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_rels/workbook.xml.rels" ContentType="application/vnd.openxmlformats-package.relationships+xml"/>
  <Override PartName="/xl/workbook.xml" ContentType="application/vnd.openxmlformats-officedocument.spreadsheetml.sheet.main+xml"/>
  <Override PartName="/xl/sharedStrings.xml" ContentType="application/vnd.openxmlformats-officedocument.spreadsheetml.sharedStrings+xml"/>
  <Override PartName="/xl/styles.xml" ContentType="application/vnd.openxmlformats-officedocument.spreadsheetml.styles+xml"/>
  <Override PartName="/xl/worksheets/sheet1.xml" ContentType="application/vnd.openxmlformats-officedocument.spreadsheetml.worksheet+xml"/>
  <Override PartName="/xl/worksheets/_rels/sheet2.xml.rels" ContentType="application/vnd.openxmlformats-package.relationships+xml"/>
  <Override PartName="/xl/worksheets/_rels/sheet1.xml.rels" ContentType="application/vnd.openxmlformats-package.relationships+xml"/>
  <Override PartName="/xl/worksheets/sheet2.xml" ContentType="application/vnd.openxmlformats-officedocument.spreadsheetml.worksheet+xml"/>
  <Override PartName="/xl/theme/theme1.xml" ContentType="application/vnd.openxmlformats-officedocument.theme+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1"/>
  </bookViews>
  <sheets>
    <sheet name="Scopus_to_Review" sheetId="1" state="visible" r:id="rId3"/>
    <sheet name="WoS_to_Review" sheetId="2" state="visible" r:id="rId4"/>
  </sheets>
  <definedNames>
    <definedName function="false" hidden="true" localSheetId="0" name="_xlnm._FilterDatabase" vbProcedure="false">Scopus_to_Review!$AJ$1:$AK$914</definedName>
    <definedName function="false" hidden="true" localSheetId="0" name="Z_D0A5F260_86E2_435B_B705_749120E4C7F0_.wvu.FilterData" vbProcedure="false">Scopus_to_Review!$A$1:$BB$914</definedName>
  </definedNames>
  <calcPr iterateCount="100" refMode="A1" iterate="false" iterateDelta="0.0001"/>
  <extLst>
    <ext xmlns:loext="http://schemas.libreoffice.org/" uri="{7626C862-2A13-11E5-B345-FEFF819CDC9F}">
      <loext:extCalcPr stringRefSyntax="CalcA1ExcelA1"/>
    </ext>
  </extLst>
</workbook>
</file>

<file path=xl/sharedStrings.xml><?xml version="1.0" encoding="utf-8"?>
<sst xmlns="http://schemas.openxmlformats.org/spreadsheetml/2006/main" count="41275" uniqueCount="26863">
  <si>
    <t xml:space="preserve">Authors</t>
  </si>
  <si>
    <t xml:space="preserve">Author full names</t>
  </si>
  <si>
    <t xml:space="preserve">Author(s) ID</t>
  </si>
  <si>
    <t xml:space="preserve">Title</t>
  </si>
  <si>
    <t xml:space="preserve">Year</t>
  </si>
  <si>
    <t xml:space="preserve">Abstract</t>
  </si>
  <si>
    <t xml:space="preserve">Class</t>
  </si>
  <si>
    <t xml:space="preserve">Authors Region [country]</t>
  </si>
  <si>
    <t xml:space="preserve">Region where data is 
collected (land)[country]</t>
  </si>
  <si>
    <t xml:space="preserve">Type of data 
(public health records, 
genomic data, 
imaging datasets, etc)</t>
  </si>
  <si>
    <t xml:space="preserve">Tropical_disease_type</t>
  </si>
  <si>
    <t xml:space="preserve">Machine_learning_techniques</t>
  </si>
  <si>
    <t xml:space="preserve">Model</t>
  </si>
  <si>
    <t xml:space="preserve">Evaluation Metric</t>
  </si>
  <si>
    <t xml:space="preserve">Key limitations</t>
  </si>
  <si>
    <t xml:space="preserve">Document Type</t>
  </si>
  <si>
    <t xml:space="preserve">Language of Original Document</t>
  </si>
  <si>
    <t xml:space="preserve">Source title</t>
  </si>
  <si>
    <t xml:space="preserve">Volume</t>
  </si>
  <si>
    <t xml:space="preserve">Publisher</t>
  </si>
  <si>
    <t xml:space="preserve">Issue</t>
  </si>
  <si>
    <t xml:space="preserve">Art. No.</t>
  </si>
  <si>
    <t xml:space="preserve">Page start</t>
  </si>
  <si>
    <t xml:space="preserve">Page end</t>
  </si>
  <si>
    <t xml:space="preserve">Page count</t>
  </si>
  <si>
    <t xml:space="preserve">DOI</t>
  </si>
  <si>
    <t xml:space="preserve">Link</t>
  </si>
  <si>
    <t xml:space="preserve">Affiliations</t>
  </si>
  <si>
    <t xml:space="preserve">Authors with affiliations</t>
  </si>
  <si>
    <t xml:space="preserve">Keywords</t>
  </si>
  <si>
    <t xml:space="preserve">Index Keywords</t>
  </si>
  <si>
    <t xml:space="preserve">Molecular Sequence Numbers</t>
  </si>
  <si>
    <t xml:space="preserve">Chemicals/CAS</t>
  </si>
  <si>
    <t xml:space="preserve">Tradenames</t>
  </si>
  <si>
    <t xml:space="preserve">Manufacturers</t>
  </si>
  <si>
    <t xml:space="preserve">Funding</t>
  </si>
  <si>
    <t xml:space="preserve">Funding Text</t>
  </si>
  <si>
    <t xml:space="preserve">References</t>
  </si>
  <si>
    <t xml:space="preserve">Correspondence Address</t>
  </si>
  <si>
    <t xml:space="preserve">Editors</t>
  </si>
  <si>
    <t xml:space="preserve">Sponsors</t>
  </si>
  <si>
    <t xml:space="preserve">Conference name</t>
  </si>
  <si>
    <t xml:space="preserve">Conference date</t>
  </si>
  <si>
    <t xml:space="preserve">Conference location</t>
  </si>
  <si>
    <t xml:space="preserve">Conference code</t>
  </si>
  <si>
    <t xml:space="preserve">ISSN</t>
  </si>
  <si>
    <t xml:space="preserve">ISBN</t>
  </si>
  <si>
    <t xml:space="preserve">CODEN</t>
  </si>
  <si>
    <t xml:space="preserve">PubMed ID</t>
  </si>
  <si>
    <t xml:space="preserve">Abbreviated Source Title</t>
  </si>
  <si>
    <t xml:space="preserve">Publication Stage</t>
  </si>
  <si>
    <t xml:space="preserve">Open Access</t>
  </si>
  <si>
    <t xml:space="preserve">Source</t>
  </si>
  <si>
    <t xml:space="preserve">EID</t>
  </si>
  <si>
    <t xml:space="preserve">Bagheri Tofighi A.; Ahmadi A.; Mosadegh H.</t>
  </si>
  <si>
    <t xml:space="preserve">Bagheri Tofighi, Abolfazl (59235963900); Ahmadi, Abbas (58664133600); Mosadegh, Hadi (53877982800)</t>
  </si>
  <si>
    <t xml:space="preserve">59235963900; 58664133600; 53877982800</t>
  </si>
  <si>
    <t xml:space="preserve">A novel case-based reasoning system for explainable lung cancer diagnosis</t>
  </si>
  <si>
    <t xml:space="preserve">Lung cancer is a leading cause of cancer death worldwide. The survival rate is generally higher when this disease is detected in its early stages. Advances in artificial intelligence (AI) have enabled the development of decision support systems that help physicians diagnose diseases. However, these systems often provide final predictions without clarifying how those decisions are reached, raising concerns about trust and adaptation in life-threatening diseases. To address these issues, this study proposes an explainable case-based reasoning (XCBR) approach that considers both physicians’ tendency to base their decisions on past cases and the case complexity in its predictions and explanations. The proposed XCBR is enhanced with naïve Bayes (NB) and multilayer perceptron (MLP) classifiers which are processed hierarchically: when the NB deems its predictions to be unlikely, the MLP classifier is employed to verify or update the predictions. This approach incorporates Shapley additive explanations values to elucidate the solutions offered by the MLP. Furthermore, it utilizes the Harris hawks optimization algorithm for feature selection and feature weighting. The proposed XCBR achieved high accuracies of 94.47 % and 100 % on two different datasets, demonstrating its generalization capability. Based on Wilcoxon signed-rank test, its classification accuracy is comparable to that of other state-of-the-art approaches and commonly used classifiers. Moreover, since this approach prioritizes case complexity in its predictions and explanations, it offers better explainability and is particularly suited for serious diseases. © 2024 Elsevier Ltd</t>
  </si>
  <si>
    <t xml:space="preserve">Diagnosis</t>
  </si>
  <si>
    <t xml:space="preserve">Iran</t>
  </si>
  <si>
    <t xml:space="preserve">Article</t>
  </si>
  <si>
    <t xml:space="preserve">English</t>
  </si>
  <si>
    <t xml:space="preserve">Computers in Biology and Medicine</t>
  </si>
  <si>
    <t xml:space="preserve">Elsevier Ltd</t>
  </si>
  <si>
    <t xml:space="preserve">10.1016/j.compbiomed.2024.109547</t>
  </si>
  <si>
    <t xml:space="preserve">https://www.scopus.com/inward/record.uri?eid=2-s2.0-85212564580&amp;doi=10.1016%2fj.compbiomed.2024.109547&amp;partnerID=40&amp;md5=d6dd80812460785109f2568a363bd840</t>
  </si>
  <si>
    <t xml:space="preserve">Department of Industrial Engineering &amp; Management Systems, Amirkabir University of Technology (Tehran Polytechnic), Tehran, Iran</t>
  </si>
  <si>
    <t xml:space="preserve">Bagheri Tofighi A., Department of Industrial Engineering &amp; Management Systems, Amirkabir University of Technology (Tehran Polytechnic), Tehran, Iran; Ahmadi A., Department of Industrial Engineering &amp; Management Systems, Amirkabir University of Technology (Tehran Polytechnic), Tehran, Iran; Mosadegh H., Department of Industrial Engineering &amp; Management Systems, Amirkabir University of Technology (Tehran Polytechnic), Tehran, Iran</t>
  </si>
  <si>
    <t xml:space="preserve">Case complexity; Case-based reasoning; Explainable AI; Feature selection; Lung cancer; Medical expert system</t>
  </si>
  <si>
    <t xml:space="preserve">Algorithms; Artificial Intelligence; Bayes Theorem; Decision Support Systems, Clinical; Diagnosis, Computer-Assisted; Humans; Lung Neoplasms; Neural Networks, Computer; Case based reasoning; Case complexity; Case-based reasoning systems; Casebased reasonings (CBR); Explainable artificial intelligence; Features selection; Lung Cancer; Lung cancer diagnosis; Medical expert system; Multilayers perceptrons; Naive bayes; algorithm; alternative hypothesis; Article; artificial intelligence; artificial neural network; brain tumor; cancer diagnosis; cancer mortality; case based reasoning; chronic cough; comparative study; controlled study; cross validation; decision support system; dementia; diagnostic accuracy; diagnostic test accuracy study; dyspnea; expert system; explainable artificial intelligence; feature selection; feature selection algorithm; human; k nearest neighbor; local interpretable model agnostic explanation; lung cancer; metaheuristics; multilayer perceptron; outlier detection; personal experience; pneumoconiosis; predictive model; predictive value; radial basis function; random forest; schistosomiasis; sensitivity analysis; Shapley additive explanation; short term memory; skin cancer; snoring; support vector machine; survival rate; thorax pain; wheezing; Wilcoxon signed ranks test; Bayes theorem; clinical decision support system; computer assisted diagnosis; diagnosis; lung tumor; procedures; Lung cancer</t>
  </si>
  <si>
    <t xml:space="preserve">Lung Cancer, (2024); About lung cancer, (2024); Cancer statistics explorer network, (2024); Key statistics for lung cancer, (2024); Maleki N., Zeinali Y., Niaki S.T.A., A k-NN method for lung cancer prognosis with the use of a genetic algorithm for feature selection, Expert Syst. Appl., 164, (2021); Motohiro A., Ueda H., Komatsu H., Yanai N., Mori T., Prognosis of non-surgically treated, clinical stage I lung cancer patients in Japan, (2002); Jiang F., Jiang Y., Zhi H., Dong Y., Li H., Ma S., Wang Y., Dong Q., Shen H., Wang Y., Artificial intelligence in healthcare: past, present and future, Stroke Vasc Neurol, 2, pp. 230-243, (2017); Rezaei S.R., Ahmadi A., A hierarchical GAN method with ensemble CNN for accurate nodule detection, Int. J. Comput. Assist. Radiol. Surg., 18, pp. 695-705, (2023); Gu D., Su K., Zhao H., A case-based ensemble learning system for explainable breast cancer recurrence prediction, Artif. Intell. Med., 107, (2020); Dritsas E., Trigka M., Lung cancer risk prediction with machine learning models, big data and cognitive computing 6, (2022); Ahmed M.S., Iqbal K.N., Alam M.G.R., Interpretable lung cancer detection using explainable AI methods, 2023 International Conference for Advancement in Technology, ICONAT 2023, (2023); Amann J., Blasimme A., Vayena E., Frey D., Madai V.I., Explainability for artificial intelligence in healthcare: a multidisciplinary perspective, BMC Med. Inf. Decis. Making, 20, (2020); Li Z., Extracting spatial effects from machine learning model using local interpretation method: an example of SHAP and XGBoost, Comput. Environ. Urban Syst., 96, (2022); Stiglic G., Kocbek P., Fijacko N., Zitnik M., Verbert K., Cilar L., Interpretability of Machine Learning-Based Prediction Models in Healthcare, 10, (2020); Luo Y., Tseng H.-H., Cui S., Wei L., Ten Haken R.K., El Naqa I., Balancing accuracy and interpretability of machine learning approaches for radiation treatment outcomes modeling, BJR|Open, 1, (2019); Cheng W., Huang L., Shen Y., Zhu Y., Incorporating interpretability into latent factor models via fast influence analysis, Proceedings of the ACM SIGKDD International Conference on Knowledge Discovery and Data Mining, pp. 885-893, (2019); Alam T.M., Shaukat K., Khan W.A., Hameed I.A., Almuqren L.A., Raza M.A., Aslam M., Luo S., An efficient deep learning-based skin cancer classifier for an imbalanced dataset, Diagnostics, 12, (2022); Ali Z., Hayat M.F., Shaukat K., Alam T.M., Hameed I.A., Luo S., Basheer S., Ayadi M., Ksibi A., A proposed framework for early prediction of schistosomiasis, Diagnostics, 12, (2022); Kumar M.R., Vekkot S., Lalitha S., Gupta D., Govindraj V.J., Shaukat K., Alotaibi Y.A., Zakariah M., Dementia detection from speech using machine learning and deep learning architectures, Sensors, 22, (2022); Srinivas C., Nandini N.P., Zakariah M., Alothaibi Y.A., Shaukat K., Partibane B., Awal H., Deep transfer learning approaches in performance analysis of brain tumor classification using MRI images, J Healthc Eng, 2022, (2022); Devnath L., Luo S., Summons P., Wang D., Shaukat K., Hameed I.A., Alrayes F.S., Deep ensemble learning for the automatic detection of pneumoconiosis in coal worker's chest X-ray radiography, J. Clin. Med., 11, (2022); Patra R., Prediction of lung cancer using machine learning classifier, (2020); Mamun M., Farjana A., Al Mamun M., Ahammed M.S., Lung cancer prediction model using ensemble learning techniques and a systematic review analysis, IEEE World AI IoT Congress, AIIoT 2022, pp. 187-193, (2022); Vikas P., Kaur, lung cancer detection using chi-square feature selection and support vector machine algorithm, Int. J. Adv. Trends Comput. Sci. Eng., 10, pp. 2050-2060, (2021); Vellido A., The importance of interpretability and visualization in machine learning for applications in medicine and health care, Neural Comput. Appl., 32, pp. 18069-18083, (2020); Kolyshkina I., Simoff S., Interpretability of machine learning solutions in public healthcare: the CRISP-ML approach, Front Big Data, 4, (2021); Alam T.M., Shaukat K., Khelifi A., Aljuaid H., Shafqat M., Ahmed U., Nafees S.A., Luo S., A fuzzy inference-based decision support system for disease diagnosis, Comput. J., 66, pp. 2169-2180, (2023); Farahani F.V., Zarandi M.H.F., Ahmadi A., Fuzzy rule based expert system for diagnosis of lung cancer, 2015 Annual Conference of the North American Fuzzy Information Processing Society (NAFIPS) Held Jointly with 2015 5th World Conference on Soft Computing (WConSC), pp. 1-6, (2015); Ramos-Gonzalez J., Lopez-Sanchez D., Castellanos-Garzon J.A., de Paz J.F., Corchado J.M., A CBR framework with gradient boosting based feature selection for lung cancer subtype classification, Comput. Biol. Med., 86, pp. 98-106, (2017); Bouzar-Benlabiod L., Harrar K., Yamoun L., Khodja M.Y., Akhloufi M.A., A novel breast cancer detection architecture based on a CNN-CBR system for mammogram classification, Comput. Biol. Med., 163, (2023); Nasiri S., Zenkert J., Fathi M., A medical case-based reasoning approach using image classification and text information for recommendation, (2015); Nasiri S., Aslan B., Geller S., Fathi M., A prototype of case-based skin cancer detector for android phones based on DePicT concept: CBMelanom, 2016 International Conference on Computational Science and Computational Intelligence (CSCI), pp. 98-103, (2016); Orozco-del-Castillo M.G., Recio-Garcia J.A., Orozco-del-Castillo E.C., Item-specific similarity assessments for explainable depression screening, (2024); Sanz-Ramos A., Ariza-Lopez L., Monton-Gimenez C., Sanchez-Ruiz A.A., Retrieval of similar cases to improve the diagnosis of diabetic retinopathy, (2023); Bichindaritz I., Liu G., Synergies between case-based reasoning and deep learning for survival analysis in oncology, (2023); Molineaux M., Weber R.O., Floyd M.W., Menager D., Larue O., Addison U., Kulhanek R., Reifsnyder N., Rauch C., Mainali M., Sen A., Goel P., Karneeb J., Turner J., Meyer J., Aligning to human decision-makers in military medical triage, (2024); Lamy J.B., Sekar B., Guezennec G., Bouaud J., Seroussi B., Explainable artificial intelligence for breast cancer: a visual case-based reasoning approach, Artif. Intell. Med., 94, pp. 42-53, (2019); Bagheri Tofighi A., Ahmadi A., Mosadegh H., Improving lung cancer detection via MobileNetV2 and stacked-GRU with explainable AI, Int. J. Inf. Technol., (2024); Gabbay F., Bar-Lev S., Montano O., Hadad N., A lime-based explainable machine learning model for predicting the severity level of covid-19 diagnosed patients, Appl. Sci., 11, (2021); Rikta S.T., Uddin K.M.M., Biswas N., Mostafiz R., Sharmin F., Dey S.K., XML-GBM lung: an explainable machine learning-based application for the diagnosis of lung cancer, J. Pathol. Inf., 14, (2023); Aydogan E.K., Ozmen M., Delice Y., CBR-PSO: cost-based rough particle swarm optimization approach for high-dimensional imbalanced problems, Neural Comput. Appl., 31, pp. 6345-6363, (2019); Shaukat K., Luo S., Varadharajan V., A novel deep learning-based approach for malware detection, Eng. Appl. Artif. Intell., 122, (2023); Molnar C., Interpretable machine learning A guide for making black box models explainable, (2020); Miller T., Howe P., Sonenberg L., Explainable A.I., Beware of inmates running the asylum or: how I learnt to stop worrying and love the social and behavioural sciences, (2017); Too J., Abdullah A.R., Saad N.M., A new quadratic binary harris hawk optimization for feature selection, Electronics, 8, (2019); Farahani F.V., Ahmadi A., Zarandi M.H.F., Hybrid intelligent approach for diagnosis of the lung nodule from CT images using spatial kernelized fuzzy c-means and ensemble learning, Math. Comput. Simulat., 149, pp. 48-68, (2018); Khushi M., Shaukat K., Alam T.M., Hameed I.A., Uddin S., Luo S., Yang X., Reyes M.C., A comparative performance analysis of data resampling methods on imbalance medical data, IEEE Access, 9, pp. 109960-109975, (2021); Data.world, Lung cancer data; survey lung cancer, (2023); Alam T.M., Shaukat K., Hameed I.A., Khan W.A., Sarwar M.U., Iqbal F., Luo S., A novel framework for prognostic factors identification of malignant mesothelioma through association rule mining, Biomed. Signal Process Control, 68, (2021); Alam T.M., Shaukat K., Mahboob H., Sarwar M.U., Iqbal F., Nasir A., Hameed I.A., Luo S., A machine learning approach for identification of malignant mesothelioma etiological factors in an imbalanced dataset, Comput. J., 65, pp. 1740-1751, (2022); Elreedy D., Atiya A.F., Kamalov F., A theoretical distribution analysis of synthetic minority oversampling technique (SMOTE) for imbalanced learning, Mach. Learn., 113, pp. 4903-4923, (2024); Heidari A.A., Mirjalili S., Faris H., Aljarah I., Mafarja M., Chen H., Harris hawks optimization: algorithm and applications, Future Generat. Comput. Syst., 97, pp. 849-872, (2019); Lin C.J., Li Y.C., Lung nodule classification using taguchi-based convolutional neural networks for computer tomography images, Electronics, 9, pp. 1-9, (2020); Mozdgir A., Mahdavi I., Badeleh I.S., Solimanpur M., Using the Taguchi method to optimize the differential evolution algorithm parameters for minimizing the workload smoothness index in simple assembly line balancing, Math. Comput. Model., 57, pp. 137-151, (2013); Zhai Z., Fernan Martinez J., Lucas Martinez N., Hernandez Diaz V., Applying case-based reasoning and a learning-based adaptation strategy to irrigation scheduling in grape farming, Comput. Electron. Agric., 178, (2020); Cover T., Hart P., Nearest neighbor pattern classification, IEEE Trans. Inf. Theor., 13, pp. 21-27, (1967); Silverman B.W., Jones M.C., Fix E., Hodges J.L., An important contribution to nonparametric discriminant analysis and density estimation: commentary on fix and hodges (1951), Int. Stat. Rev., 57, (1951); Davies E.R., Training sets and a priori probabilities with the nearest neighbour method of pattern recognition, Pattern Recogn. Lett., 8, pp. 11-13, (1988); Ottersen S.G., Bach K., Automatic adjusting global similarity measures in learning CBR systems, (2024); Mahdavifar S., Ghorbani A.A., DeNNeS: deep embedded neural network expert system for detecting cyber attacks, Neural Comput. Appl., 32, pp. 14753-14780, (2020); Ribeiro M.T., Singh S., Guestrin C., “Why should i trust you?” Explaining the predictions of any classifier, Proceedings of the ACM SIGKDD International Conference on Knowledge Discovery and Data Mining, pp. 1135-1144, (2016); Lundberg S.M., Lee S.-I., A unified approach to interpreting model predictions, Adv. Neural Inf. Process. Syst., 30, pp. 4765-4774, (2017); Ahmed S., Shamim Kaiser M., Hossain M.S., Andersson K., A comparative analysis of LIME and SHAP interpreters with explainable ML-based diabetes predictions, IEEE Access, (2024); Shaukat K., Luo S., Varadharajan V., A novel machine learning approach for detecting first-time-appeared malware, Eng. Appl. Artif. Intell., 131, (2024); Shaukat K., Luo S., Chen S., Liu D., Cyber threat detection using machine learning techniques: a performance evaluation perspective, 1st Annual International Conference on Cyber Warfare and Security, ICCWS 2020 - Proceedings, (2020); Shaukat K., Luo S., Varadharajan V., A novel method for improving the robustness of deep learning-based malware detectors against adversarial attacks, Eng. Appl. Artif. Intell., 116, (2022)</t>
  </si>
  <si>
    <t xml:space="preserve">A. Ahmadi; Department of Industrial Engineering &amp; Management Systems, Amirkabir University of Technology (Tehran Polytechnic), Tehran, Iran; email: abbas.ahmadi@aut.ac.ir</t>
  </si>
  <si>
    <t xml:space="preserve">CBMDA</t>
  </si>
  <si>
    <t xml:space="preserve">Comput. Biol. Med.</t>
  </si>
  <si>
    <t xml:space="preserve">Final</t>
  </si>
  <si>
    <t xml:space="preserve">Scopus</t>
  </si>
  <si>
    <t xml:space="preserve">2-s2.0-85212564580</t>
  </si>
  <si>
    <t xml:space="preserve">Zedda L.; Loddo A.; Di Ruberto C.</t>
  </si>
  <si>
    <t xml:space="preserve">Zedda, Luca (57715071900); Loddo, Andrea (56913288500); Di Ruberto, Cecilia (57215656413)</t>
  </si>
  <si>
    <t xml:space="preserve">57715071900; 56913288500; 57215656413</t>
  </si>
  <si>
    <t xml:space="preserve">A deep architecture based on attention mechanisms for effective end-to-end detection of early and mature malaria parasites in a realistic scenario</t>
  </si>
  <si>
    <t xml:space="preserve">Background: Malaria is a critical and potentially fatal disease caused by the Plasmodium parasite and is responsible for more than 600,000 deaths globally. Early and accurate detection of malaria parasites is crucial for effective treatment, yet conventional microscopy faces limitations in variability and efficiency. Methods: We propose a novel computer-aided detection framework based on deep learning and attention mechanisms, extending the YOLO-SPAM and YOLO-PAM models. Our approach facilitates the detection and classification of malaria parasites across all infection stages and supports multi-species identification. Results: The framework was evaluated on three publicly available datasets, demonstrating high accuracy in detecting four distinct malaria species and their life stages. Comparative analysis against state-of-the-art methodologies indicates significant improvements in both detection rates and diagnostic utility. Conclusion: This study presents a robust solution for automated malaria detection, offering valuable support for pathologists and enhancing diagnostic practices in real-world scenarios. © 2025</t>
  </si>
  <si>
    <t xml:space="preserve">10.1016/j.compbiomed.2025.109704</t>
  </si>
  <si>
    <t xml:space="preserve">https://www.scopus.com/inward/record.uri?eid=2-s2.0-85216015146&amp;doi=10.1016%2fj.compbiomed.2025.109704&amp;partnerID=40&amp;md5=aa4cbde137bb1833c54f232d1c7e79e0</t>
  </si>
  <si>
    <t xml:space="preserve">Department of Mathematics and Computer Science, University of Cagliari, Via Ospedale 72, Cagliari, 09124, Italy</t>
  </si>
  <si>
    <t xml:space="preserve">Zedda L., Department of Mathematics and Computer Science, University of Cagliari, Via Ospedale 72, Cagliari, 09124, Italy; Loddo A., Department of Mathematics and Computer Science, University of Cagliari, Via Ospedale 72, Cagliari, 09124, Italy; Di Ruberto C., Department of Mathematics and Computer Science, University of Cagliari, Via Ospedale 72, Cagliari, 09124, Italy</t>
  </si>
  <si>
    <t xml:space="preserve">Computer vision; Deep learning; Early malaria diagnosis; Image processing; Malaria parasites detection</t>
  </si>
  <si>
    <t xml:space="preserve">Architecture-based; Attention mechanisms; Deep architectures; Deep learning; Early malaria diagnose; End to end; Images processing; Malaria diagnosis; Malaria parasite; Malaria parasite detection; Article; attention network; classification algorithm; comparative study; computer vision; controlled study; deep learning; diagnostic value; image processing; microscopy; nonhuman; parasite identification; pathologist; Plasmodium</t>
  </si>
  <si>
    <t xml:space="preserve">Organization W.H., Report of the First and Second Meetings of the Technical Advisory Group on Malaria Elimination and Certification, 13–14 September 2022 and 27 January 2023, (2023); Organization W.H., (2023); Healthcare S., (2021); for Disease Control U.S.C., Prevention, (2021); Gimenez A.M., Marques R.F., Regiart M., Bargieri D.Y., Diagnostic methods for non-falciparum malaria, Front. Cell. Infect. Microbiol., 11, (2021); Vijayalakshmi A., Kanna B.R., Deep learning approach to detect malaria from microscopic images, Multimedia Tools Appl., 79, 21-22, pp. 15297-15317, (2020); Loddo A., Ruberto C.D., Kocher M., Recent advances of malaria parasites detection systems based on mathematical morphology, Sensors, 18, 2, (2018); Maity M., Jaiswal A., Gantait K., Chatterjee J., Mukherjee A., Quantification of malaria parasitaemia using trainable semantic segmentation and capsnet, Pattern Recognit. Lett., 138, pp. 88-94, (2020); Berzosa P., de Lucio A., Romay-Barja M., Herrador Z., Gonzalez V., Garcia L., Fernandez-Martinez A., Santana-Morales M., Ncogo P., Valladares B., Et al., Comparison of three diagnostic methods (microscopy, RDT, and PCR) for the detection of malaria parasites in representative samples from Equatorial Guinea, Malar. J., 17, 1, pp. 1-12, (2018); Onken A., Haanshuus C.G., Miraji M.K., Marijani M., Kibwana K.O., Abeid K.A., Morch K., Reimers M., Langeland N., Muller F., Et al., Malaria prevalence and performance of diagnostic tests among patients hospitalized with acute undifferentiated fever in Zanzibar, Malar. J., 21, 1, pp. 1-8, (2022); Liang Z., Powell A., Ersoy I., Poostchi M., Silamut K., Palaniappan K., Guo P., Hossain M.A., Antani S.K., Maude R.J., Huang J.X., Jaeger S., Thoma G.R., CNN-based image analysis for malaria diagnosis, IEEE International Conference on Bioinformatics and Biomedicine, BIBM 2016, Shenzhen, China, December 15-18, 2016, pp. 493-496, (2016); Rajaraman S., Antani S.K., Poostchi M., Silamut K., Hossain M.A., Maude R.J., Jaeger S., Thoma G.R., Pre-trained convolutional neural networks as feature extractors toward improved malaria parasite detection in thin blood smear images, PeerJ, 6, (2018); Rajaraman S., Jaeger S., Antani S.K., Perf. eval. of deep neural ensembles toward malaria parasite detection in thin-blood smear images, PeerJ, 7, (2019); Di Ruberto C., Dempster A., Khan S., Jarra B., Analysis of infected blood cell images using morphological operators, Image Vis. Comput., 20, 2, pp. 133-146, (2002); Tek F.B., Dempster A.G., Kale I., Malaria parasite detection in peripheral blood images, Proceedings of the British Machine Vision Conference 2006, Edinburgh, UK, September 4-7, 2006, pp. 347-356, (2006); Kumarasamy S.K., Ong S., Tan K.S., Robust contour reconstruction of red blood cells and parasites in the automated identification of the stages of malarial infection, Mach. Vis. Appl., 22, 3, pp. 461-469, (2011); Bias S., Reni S., Kale I., Mobile hardware based implementation of a novel, efficient, fuzzy logic inspired edge detection technique for analysis of malaria infected microscopic thin blood images, -, Procedia Computer Science, 141, pp. 374-381, (2018); Loddo A., Putzu L., On the effectiveness of leukocytes classification methods in a real application scenario, AI, 2, 3, pp. 394-412, (2021); Zaid M., Ali S., Ali M., Hussein S., Saadia A., Sultani W., Identifying out of distribution samples for skin cancer and malaria images, Biomed. Signal Process. Control, 78, (2022); Sultani W., Nawaz W., Javed S., Danish M.S., Saadia A., Ali M., Towards low-cost and efficient malaria detection, IEEE/CVF Conference on Computer Vision and Pattern Recognition, CVPR 2022, New Orleans, LA, USA, June 18-24, 2022, pp. 20655-20664, (2022); Zedda L., Loddo A., Di Ruberto C., A deep architecture based on attention mechanisms for effective end-to-end detection of early and mature malaria parasites, Biomed. Signal Process. Control, 94, (2024); Zedda L., Loddo A., Di Ruberto C., YOLO-PAM: Parasite-attention-based model for efficient malaria detection, J. Imaging, 9, 12, (2023); Zedda L., Loddo A., Di Ruberto C., A deep learning based framework for malaria diagnosis on high variation data set, Image Analysis and Processing - ICIAP 2022 - 21st International Conference, Lecce, Italy, May 23-27, 2022, Proceedings, Part II, Lecture Notes in Computer Science, 13232, pp. 358-370, (2022); Zedda L., Loddo A., Di Ruberto C., A deep learning based framework for malaria diagnosis on high variation data set, Image Analysis and Processing - ICIAP 2022 - 21st International Conference, Lecce, Italy, May 23-27, 2022, Proceedings, Part II, Lecture Notes in Computer Science, 13232, pp. 358-370, (2022); Zhao O.S., Kolluri N., Anand A., Chu N., Bhavaraju R., Ojha A., Tiku S., Nguyen D., Chen R., Morales A., Et al., Convolutional neural networks to automate the screening of malaria in low-resource countries, PeerJ, 8, (2020); Chibuta S., Acar A.C., Real-time malaria parasite screening in thick blood smears for low-resource setting, J. Digit. Imaging, 33, 3, pp. 763-775, (2020); Ljosa V., Sokolnicki K., Carpenter A., Annotated high-throughput microscopy image sets for validation, Nature Methods, 9, 7, (2012); Quinn J.A., Andama A., Munabi I., Kiwanuka F.N., Automated blood smear analysis for mobile malaria diagnosis, Mobile Point-of-Care Monitors and Diagnostic Device Design, 31, (2014); Abdurahman F., Fante K.A., Aliy M., Malaria parasite detection in thick blood smear microscopic images using modified YOLOV3 and YOLOV4 models, BMC Bioinform., 22, 1, (2021); Loddo A., Ruberto C.D., Kocher M., Prod'Hom G., MP-IDB: the malaria parasite image database for image processing and analysis, Processing and Analysis of Biomedical Information - First International SIPAIM Workshop, SaMBa 2018, Held in Conjunction with MICCAI 2018, Granada, Spain, September 20, 2018, Revised Selected Papers, Lecture Notes in Computer Science, 11379, pp. 57-65, (2018); Setyawan D., Wardoyo R., Wibowo M., Murhandarwati E., Classification of plasmodium falciparum based on textural and morphological features, Int. J. Electr. Comput. Eng., 12, 5, pp. 5036-5048, (2022); delas Penas K., Rivera P.T., Jr. P.C.N., Malaria parasite detection and species identification on thin blood smears using a convolutional neural network, Proceedings of the Second IEEE/ACM International Conference on Connected Health: Applications, Systems and Engineering Technologies, CHASE 2017, Philadelphia, PA, USA, July 17-19, 2017, pp. 1-6, (2017); Rahman A., Zunair H., Reme T.R., Rahman M.S., Mahdy M., A comparative analysis of deep learning architectures on high variation malaria parasite classification dataset, Tissue Cell, 69, (2021); Loh D.R., Yong W.X., Yapeter J., Subburaj K., Chandramohanadas R., A deep learning approach to the screening of malaria infection: Automated and rapid cell counting, object detection and instance segmentation using Mask R-CNN, Comput. Med. Imaging Graph., 88, (2021); Lin C., Wu H., Wen Z., Qin J., Automated malaria cells detection from blood smears under severe class imbalance via importance-aware balanced group softmax, Medical Image Computing and Computer Assisted Intervention - MICCAI 2021 - 24th International Conference, Strasbourg, France, September 27 - October 1, 2021, Proceedings, Part VIII, Lecture Notes in Computer Science, 12908, pp. 455-465, (2021); Acherar A., Tantaoui I., Thellier M., Lampros A., Piarroux R., Tannier X., Real-life evaluation of deep learning models trained on two datasets for Plasmodium falciparum detection with thin blood smear images at 500x magnification, Inform. Med. Unlocked, 35, (2022); Silka W., Wieczorek M., Silka J., Wozniak M., Malaria detection using advanced deep learning architecture, Sensors, 23, 3, (2023); Kumar S.A., Muchahari M.K., Poonkuntran S., Kumar L.S., Dhanaraj R.K., Karthikeyan P., Application of hybrid capsule network model for malaria parasite detection on microscopic blood smear images, Multimedia Tools Appl., pp. 1-27, (2024); Krishnadas P., Chadaga K., Sampathila N., Rao S., S. S.K., Prabhu S., Classification of malaria using object detection models, Informatics, 9, 4, (2022); Mukherjee S., Chatterjee S., Bandyopadhyay O., Biswas A., Detection of malaria parasites in thin blood smears using CNN-based approach, Computational Intelligence and Machine Learning, pp. 19-27, (2021); Nautre A., Nugroho H.A., Frannita E.L., Nurfauzi R., Detection of malaria parasites in thin red blood smear using a segmentation approach with U-Net, 2020 3rd International Conference on Biomedical Engineering, IBIOMED, pp. 55-59, (2020); Nanoti A., Jain S., Gupta C., Vyas G., Detection of malaria parasite species and life cycle stages using microscopic images of thin blood smear, 2016 International Conference on Inventive Computation Technologies, ICICT, 1, pp. 1-6, (2016); Var E., Boray Tek F., Malaria parasite detection with deep transfer learning, 2018 3rd International Conference on Computer Science and Engineering, UBMK, pp. 298-302, (2018); Abbas S.S., Dijkstra T.M., Detection and stage classification of Plasmodium falciparum from images of Giemsa stained thin blood films using random forest classifiers, Diagn. Pathol., 15, pp. 1-11, (2020); Chaudhry H.A.H., Farid M.S., Fiandrotti A., Grangetto M., A lightweight deep learning architecture for malaria parasite-type classification and life cycle stage detection, Neural Comput. Appl., pp. 1-11, (2024); Arshad Q.A., Ali M., Hassan S., Chen C., Imran A., Rasul G., Sultani W., A dataset and benchmark for malaria life-cycle classification in thin blood smear images, Neural Comput. Appl., 34, 6, pp. 4473-4485, (2022); Hung J., Goodman A., Lopes S., Rangel G., Ravel D., Costa F.T.M., Duraisingh M., Marti M., Carpenter A.E., Applying faster R-CNN for object detection on malaria images, (2018); Manku R.R., Sharma A., Panchbhai A., Malaria detection and classificaiton, (2020); Loddo A., Fadda C., Ruberto C.D., An empirical evaluation of convolutional networks for malaria diagnosis, J. Imaging, 8, 3, (2022); Sengar N., Burget R., Dutta M., A vision transformer based approach for analysis of plasmodium vivax life cycle for malaria prediction using thin blood smear microscopic images, Comput. Methods Programs Biomed., 224, (2022); Li S., Du Z., Meng X., Zhang Y., Multi-stage malaria parasite recognition by deep learning, GigaScience, 10, 6, (2021); Yang F., Quizon N., Yu H., Silamut K., Maude R.J., Jaeger S., Antani S., Cascading YOLO: automated malaria parasite detection for Plasmodium vivax in thin blood smears, Medical Imaging 2020: Computer-Aided Diagnosis, Society of Photo-Optical Instrumentation Engineers (SPIE) Conference Series, 11314, (2020); Jamshidi M.B., Lalbakhsh A., Talla J., Peroutka Z., Roshani S., Matousek V., Roshani S., Mirmozafari M., Malek Z., La Spada L., Sabet A., Dehghani M., Jamshidi M., Honari M.M., Hadjilooei F., Jamshidi A., Lalbakhsh P., Hashemi-Dezaki H., Ahmadi S., Lotfi S., Deep learning techniques and COVID-19 drug discovery: Fundamentals, state-of-the-art and future directions, Emerging Technologies During the Era of COVID-19 Pandemic, pp. 9-31, (2021); Jamshidi M., Lalbakhsh A., Talla J., Peroutka Z., Hadjilooei F., Lalbakhsh P., Jamshidi M., Spada L.L., Mirmozafari M., Dehghani M., Sabet A., Roshani S., Roshani S., Bayat-Makou N., Mohamadzade B., Malek Z., Jamshidi A., Kiani S., Hashemi-Dezaki H., Mohyuddin W., Artificial intelligence and COVID-19: Deep learning approaches for diagnosis and treatment, IEEE Access, 8, pp. 109581-109595, (2020); Lamm L., Righetto R.D., Wietrzynski W., Poge M., Martinez-Sanchez A., Peng T., Engel B.D., MemBrain: A deep learning-aided pipeline for detection of membrane proteins in Cryo-electron tomograms, Comput. Methods Programs Biomed., 224, (2022); Lamm L., Zufferey S., Righetto R.D., Wietrzynski W., Yamauchi K.A., Burt A., Liu Y., Zhang H., Martinez-Sanchez A., Ziegler S., Isensee F., Schnabel J.A., Engel B.D., Peng T., MemBrain v2: an end-to-end tool for the analysis of membranes in cryo-electron tomography, BioRxiv, (2024); Sun L., Fan Z., Huang Y., Paisley J., Compressed sensing MRI using a recursive dilated network, Proceedings of the AAAI Conference on Artificial Intelligence, 32, (2018); Attallah O., Skin-CAD: Explainable deep learning classification of skin cancer from dermoscopic images by feature selection of dual high-level CNNs features and transfer learning, Comput. Biol. Med., 178, (2024); Mao K., Jing X., Wang G., Chang Y., Liu J., Zhao Y., Yu S., Liu J., A novel open-source CADs platform for 3D CT pulmonary analysis, Comput. Biol. Med., 169, (2024); Yu Z., Li X., Li J., Chen W., Tang Z., Geng D., HSA-net with a novel CAD pipeline boosts both clinical brain tumor MR image classification and segmentation, Comput. Biol. Med., 170, (2024); Hu Q., Chen C., Kang S., Sun Z., Wang Y., Xiang M., Guan H., Xia L., Wang S., Application of computer-aided detection (CAD) software to automatically detect nodules under SDCT and LDCT scans with different parameters, Comput. Biol. Med., 146, (2022); Chossegros M., Tannier X., Stockholm D., Improving interpretability of leucocyte classification with multimodal network, Stud. Health Technol. Inform., 316, pp. 1098-1102, (2024); Chossegros M., Delhommeau F., Stockholm D., Tannier X., Improving the generalizability of white blood cell classification with few-shot domain adaptation, J. Pathol. Inform., (2024); Krizhevsky A., Sutskever I., Hinton G.E., ImageNet Classification with Deep Convolutional Neural Networks, 1, pp. 1097-1105, (2012); Arshad Q.A., Ali M., Hassan S., Chen C., Imran A., Rasul G., Sultani W., A dataset and benchmark for malaria life-cycle classification in thin blood smear images, Neural Comput. Appl., 34, 6, pp. 4473-4485, (2022); Marletta S., L'Imperio V., Eccher A., Antonini P., Santonicco N., Girolami I., Dei Tos A.P., Sbaraglia M., Pagni F., Brunelli M., Et al., Artificial intelligence-based tools applied to pathological diagnosis of microbiological diseases, Pathol.-Res. Pr., (2023); Cao H., Wang Y., Chen J., Jiang D., Zhang X., Tian Q., Wang M., Swin-Unet: Unet-like pure transformer for medical image segmentation, (2023); Loddo A., Putzu L., On the reliability of CNNs in clinical practice: a computer-aided diagnosis system case study, Appl. Sci., 12, 7, (2022); Manescu P., Bendkowski C., Claveau R., Elmi M., Brown B.J., Pawar V., Shaw M.J., Fernandez-Reyes D., A weakly supervised deep learning approach for detecting malaria and sickle cells in blood films, Medical Image Computing and Computer Assisted Intervention - MICCAI 2020 - 23rd International Conference, Lima, Peru, October 4-8, 2020, Proceedings, Part V, Lecture Notes in Computer Science, 12265, pp. 226-235, (2020); Koirala A., Jha M., Bodapati S., Mishra A., Chetty G., Sahu P.K., Mohanty S., Padhan T.K., Mattoo J., Hukkoo A., Deep learning for real-time malaria parasite detection and counting using YOLO-mp, IEEE Access, 10, pp. 102157-102172, (2022); Fatima T., Farid M.S., Automatic detection of Plasmodium parasites from microscopic blood images, J. Parasit. Dis., 44, 1, pp. 69-78, (2020); Fu M., Wu K., Li Y., Luo L., Huang W., Zhang Q., An intelligent detection method for plasmodium based on self-supervised learning and attention mechanism, Front. Med. (Lausanne), 10, (2023); Rekavandi A.M., Rashidi S., Boussaid F., Hoefs S., Akbas E., bennamoun M., Transformers in small object detection: A benchmark and survey of state-of-the-art, (2023); Zhu X., Lyu S., Wang X., Zhao Q., TPH-YOLOv5: Improved YOLOv5 Based on Transformer Prediction Head for Object Detection on Drone-Captured Scenarios, pp. 2778-2788, (2021); Vaswani A., Shazeer N., Parmar N., Uszkoreit J., Jones L., Gomez A.N., Kaiser L., Polosukhin I., Attention is All you Need, pp. 5998-6008, (2017); Woo S., Park J., Lee J., Kweon I.S., CBAM: convolutional block attention module, Computer Vision - ECCV 2018 - 15th European Conference, Munich, Germany, September 8-14, 2018, Proceedings, Part VII, Lecture Notes in Computer Science, 11211, pp. 3-19, (2018); Liu Y., Shao Z., Teng Y., Hoffmann N., NAM: normalization-based attention module, (2021); Diker A., An efficient model of residual based convolutional neural network with Bayesian optimization for the classification of malarial cell images, Comput. Biol. Med., (2022); Sengar N., Burget R., Dutta M.K., A vision transformer based approach for analysis of plasmodium vivax life cycle for malaria prediction using thin blood smear microscopic images, Comput. Methods Programs Biomed., 224, (2022); Guan H., Liu M., Domain adaptation for medical image analysis: A survey, IEEE Trans. Biomed. Eng., 69, 3, pp. 1173-1185, (2022); Kouw W.M., Loog M., A review of domain adaptation without target labels, (2019); Dave I.R., pp. 3848-3853, (2024); Pirnstill C.W., Cote G.L., Malaria diagnosis using a mobile phone polarized microscope, Sci. Rep., 5, 1, (2015); Yang F., Poostchi M., Yu H., Zhou Z., Silamut K., Yu J., Maude R.J., Jager S., Antani S.K., Deep learning for smartphone-based malaria parasite detection in thick blood smears, IEEE J. Biomed. Heal. Inform., 24, 5, pp. 1427-1438, (2020); Sultani W., Nawaz W., Javed S., Danish M.S., Saadia A., Ali M., Towards low-cost and efficient malaria detection, IEEE/CVF Conference on Computer Vision and Pattern Recognition, CVPR 2022, New Orleans, LA, USA, June 18-24, 2022, pp. 20655-20664, (2022); Wang W., Dai J., Chen Z., Huang Z., Li Z., Zhu X., Hu X., Lu T., Lu L., Li H., Wang X., Qiao Y., InternImage: Exploring large-scale vision foundation models with deformable convolutions, (2022); Liu Z., Mao H., Wu C., Feichtenhofer C., Darrell T., Xie S., A ConvNet for the 2020s, IEEE/CVF Conference on Computer Vision and Pattern Recognition, CVPR 2022, New Orleans, LA, USA, June 18-24, 2022, pp. 11966-11976, (2022); Caron M., Touvron H., Misra I., Jegou H., Mairal J., Bojanowski P., Joulin A., Emerging properties in self-supervised vision transformers, (2021); Dosovitskiy A., Beyer L., Kolesnikov A., Weissenborn D., Zhai X., Unterthiner T., Dehghani M., Minderer M., Heigold G., Gelly S., Uszkoreit J., Houlsby N., An image is worth 16x16 words: Transformers for image recognition at scale, (2020); Liu Z., Lin Y., Cao Y., Hu H., Wei Y., Zhang Z., Lin S., Guo B., Swin transformer: Hierarchical vision transformer using shifted windows, 2021 IEEE/CVF International Conference on Computer Vision, ICCV 2021, Montreal, QC, Canada, October 10-17, 2021, pp. 9992-10002, (2021); Ren S., He K., Girshick R.B., Sun J., Faster R-CNN: Towards Real-Time Object Detection with Region Proposal Networks, pp. 91-99, (2015); Liu W., Anguelov D., Erhan D., Szegedy C., Reed S.E., Fu C., Berg A.C., SSD: single shot multibox detector, Computer Vision - ECCV 2016 - 14th European Conference, Amsterdam, the Netherlands, October 11-14, 2016, Proceedings, Part I, Lecture Notes in Computer Science, 9905, pp. 21-37, (2016); Lin T., Dollar P., Girshick R.B., He K., Hariharan B., Belongie S.J., Feature pyramid networks for object detection, 2017 IEEE Conference on Computer Vision and Pattern Recognition, CVPR 2017, Honolulu, HI, USA, July 21-26, 2017, pp. 936-944, (2017); Redmon J., Divvala S.K., Girshick R.B., Farhadi A., You only look once: Unified, real-time object detection, 2016 IEEE Conference on Computer Vision and Pattern Recognition, CVPR 2016, Las Vegas, NV, USA, June 27-30, 2016, pp. 779-788, (2016); Redmon J., Farhadi A., YOLO9000: better, faster, stronger, 2017 IEEE Conference on Computer Vision and Pattern Recognition, CVPR 2017, Honolulu, HI, USA, July 21-26, 2017, pp. 6517-6525, (2017); Redmon J., Farhadi A., YOLOv3: An incremental improvement, (2018); Bochkovskiy A., Wang C., Liao H.M., YOLOv4: Optimal speed and accuracy of object detection, (2020); Zhou H., Jiang F., Lu H., SSDA-YOLO: semi-supervised domain adaptive YOLO for cross-domain object detection, (2022); Zou Z., Chen K., Shi Z., Guo Y., Ye J., Object detection in 20 years: A survey, Proc. IEEE, pp. 1-20, (2023); Lin T., Maire M., Belongie S.J., Hays J., Perona P., Ramanan D., Dollar P., Zitnick C.L., Microsoft COCO: common objects in context, Computer Vision - ECCV 2014 - 13th European Conference, Zurich, Switzerland, September 6-12, 2014, Proceedings, Part V, Lecture Notes in Computer Science, 8693, pp. 740-755, (2014); He K., Zhang X., Ren S., Sun J., Spatial pyramid pooling in deep convolutional networks for visual recognition, IEEE Trans. Pattern Anal. Mach. Intell., 37, 9, pp. 1904-1916, (2015); Liu S., Qi L., Qin H., Shi J., Jia J., Path aggregation network for instance segmentation, 2018 IEEE Conference on Computer Vision and Pattern Recognition, CVPR 2018, Salt Lake City, UT, USA, June 18-22, 2018, pp. 8759-8768, (2018); Niu Z., Zhong G., Yu H., A review on the attention mechanism of deep learning, Neurocomputing, 452, pp. 48-62, (2021); Guo M., Xu T., Liu J., Liu Z., Jiang P., Mu T., Zhang S., Martin R.R., Cheng M., Hu S., Attention mechanisms in computer vision: A survey, Comput. Vis. Media, 8, 3, pp. 331-368, (2022); Woo S., Park J., Lee J., Kweon I.S., CBAM: convolutional block attention module, Computer Vision - ECCV 2018 - 15th European Conference, Munich, Germany, September 8-14, 2018, Proceedings, Part VII, Lecture Notes in Computer Science, 11211, pp. 3-19, (2018); liu Y., Shao Z., Teng Y., Hoffmann N., NAM: Normalization-based attention module, NeurIPS 2021 Workshop on ImageNet: Past, Present, and Future, (2021); Padilla R., Netto S.L., da Silva E.A.B., A survey on performance metrics for object-detection algorithms, 2020 International Conference on Systems, Signals and Image Processing, IWSSIP 2020, Niterói, Brazil, July 1-3, 2020, pp. 237-242, (2020); Jocher G., Chaurasia A., Qiu J., Ultralytics YOLOv8, (2023); Lin T.-Y., Maire M., Belongie S., Hays J., Perona P., Ramanan D., Dollar P., Zitnick C.L., Microsoft COCO: Common objects in context, Computer Vision – ECCV 2014, pp. 740-755, (2014); Liu Z., Hu H., Lin Y., Yao Z., Xie Z., Wei Y., Ning J., Cao Y., Zhang Z., Dong L., Wei F., Guo B., Swin transformer V2: scaling up capacity and resolution, IEEE/CVF Conference on Computer Vision and Pattern Recognition, CVPR 2022, New Orleans, LA, USA, June 18-24, 2022, pp. 11999-12009, (2022); Chen S., Zhao S., Huang C., An automatic malaria disease diagnosis framework integrating blockchain-enabled cloud-edge computing and deep learning, IEEE Internet Things J., 10, 24, pp. 21544-21553, (2023); Mutabazi T., Arinaitwe E., Ndyabakira A., Sendaula E., Kakeeto A., Okimat P., Orishaba P., Katongole S.P., Mpimbaza A., Byakika-Kibwika P., Karamagi C., Kalyango J.N., Kamya M.R., Dorsey G., Nankabirwa J.I., Assessment of the accuracy of malaria microscopy in private health facilities in Entebbe Municipality, Uganda: a cross-sectional study, Malar. J., 20, 1, (2021); Dao T., Fu D.Y., Ermon S., Rudra A., Re C., FlashAttention: Fast and Memory-Efficient Exact Attention with IO-Awareness, (2022); Dao T., FlashAttention-2: Faster Attention with Better Parallelism and Work Partitioning, (2024)</t>
  </si>
  <si>
    <t xml:space="preserve">L. Zedda; Department of Mathematics and Computer Science, University of Cagliari, Cagliari, Via Ospedale 72, 09124, Italy; email: luca.zedda@unica.it</t>
  </si>
  <si>
    <t xml:space="preserve">2-s2.0-85216015146</t>
  </si>
  <si>
    <t xml:space="preserve">Bria Y.P.; Nani P.A.; Siki Y.C.H.; Mamulak N.M.R.; Meolbatak E.M.; Guntur R.D.</t>
  </si>
  <si>
    <t xml:space="preserve">Bria, Yulianti Paula (57221096497); Nani, Paskalis Andrianus (57209097730); Siki, Yovinia Carmeneja Hoar (57205018981); Mamulak, Natalia Magdalena Rafu (57205020532); Meolbatak, Emiliana Metan (57354489600); Guntur, Robertus Dole (57193865076)</t>
  </si>
  <si>
    <t xml:space="preserve">57221096497; 57209097730; 57205018981; 57205020532; 57354489600; 57193865076</t>
  </si>
  <si>
    <t xml:space="preserve">Determining Important Features for Dengue Diagnosis using Feature Selection Methods</t>
  </si>
  <si>
    <t xml:space="preserve">This research aims to determine the important features including symptoms and risk factors for dengue diagnosis. This study’s dataset was obtained from medical records collected from two hospitals in Indonesia from patients with dengue and nondengue diseases. Four feature selection methods including feature importance, recursive feature elimination, correlation matrix and KBest were leveraged to determine significant features. Feature importance employed a tree-based classifier to derive the importance scores of the features. Recursive feature elimination employed a machine learning classifier to choose the most important features from the given dataset. Correlation matrix was employed to select the best features because it has the ability to use the correlation between each feature with the target. Univariate feature selection – Kbest has the ability to choose the best features based on univariate statistical tests. Important features were also gathered from fifteen Indonesian medical doctors to confirm the results. We used six machine learning techniques for dengue prediction. The random forest classifier yields the highest accuracy for the best combination of features with the accuracy of 0.93 (LR: 0.90 (0.04), KNN: 0.89 (0.04), XGBoost: 0.91 (0. 03), RF: 0.93 (0.04), NB: 0.88 (0.09), SVM: 0.89 (0.04)) and precision of 0.90 (LR: 0.86 (0.22), KNN: 0.67 (0.14), XGBoost: 0.77 (0.13), RF: 0.90 (0.13), NB: 0.66 (0.20), SVM: 0.66 (0.18)). This study shows the significant features for dengue diagnosis including fever, fever duration, headache, muscle and joint pain, nausea, vomiting, abdominal pain, shivering, malaise, loss of appetite, shortness of breath, rash, bleeding nose, bitter mouth, temperature and age. This knowledge is pivotal to educate society to seek medical advice when dengue symptoms appear to avoid severe conditions. Arthralgia/joint pain and myalgia/muscle pain are the most significant features for the dengue prediction. This knowledge is important for medical doctors as a starting point for clinical dengue diagnosis. © 2025, Bright Publisher. All rights reserved.</t>
  </si>
  <si>
    <t xml:space="preserve">Journal of Applied Data Sciences</t>
  </si>
  <si>
    <t xml:space="preserve">Bright Publisher</t>
  </si>
  <si>
    <t xml:space="preserve">10.47738/jads.v6i1.445</t>
  </si>
  <si>
    <t xml:space="preserve">https://www.scopus.com/inward/record.uri?eid=2-s2.0-85216740526&amp;doi=10.47738%2fjads.v6i1.445&amp;partnerID=40&amp;md5=64e5b60a12da29c312c22a1801c4972e</t>
  </si>
  <si>
    <t xml:space="preserve">Universitas Katolik Widya Mandira, Jl. San Juan No. 1 Penfui Timur, Kabupaten Kupang, Nusa Tenggara Timur, 85361, Indonesia; Universitas Nusa Cendana, Jl. Adisucipto Penfui, Nusa Tenggara Timur, Kupang, 85001, Indonesia</t>
  </si>
  <si>
    <t xml:space="preserve">Bria Y.P., Universitas Katolik Widya Mandira, Jl. San Juan No. 1 Penfui Timur, Kabupaten Kupang, Nusa Tenggara Timur, 85361, Indonesia; Nani P.A., Universitas Katolik Widya Mandira, Jl. San Juan No. 1 Penfui Timur, Kabupaten Kupang, Nusa Tenggara Timur, 85361, Indonesia; Siki Y.C.H., Universitas Katolik Widya Mandira, Jl. San Juan No. 1 Penfui Timur, Kabupaten Kupang, Nusa Tenggara Timur, 85361, Indonesia; Mamulak N.M.R., Universitas Katolik Widya Mandira, Jl. San Juan No. 1 Penfui Timur, Kabupaten Kupang, Nusa Tenggara Timur, 85361, Indonesia; Meolbatak E.M., Universitas Katolik Widya Mandira, Jl. San Juan No. 1 Penfui Timur, Kabupaten Kupang, Nusa Tenggara Timur, 85361, Indonesia; Guntur R.D., Universitas Nusa Cendana, Jl. Adisucipto Penfui, Nusa Tenggara Timur, Kupang, 85001, Indonesia</t>
  </si>
  <si>
    <t xml:space="preserve">Dengue Diagnosis; Dengue Fever; Feature Selection; Machine Learning</t>
  </si>
  <si>
    <t xml:space="preserve">Vector-borne diseases; Information on DHF Cases in 2023 Week 19; Bria Y. P., Yeh C. H., Bedingfield S., Significant symptoms and nonsymptom-related factors for malaria diagnosis in endemic regions of Indonesia, Int. J. Infect. Dis, 103, 1, pp. 194-200, (2021); Update on the dengue situation in the Western Pacific Region, 481, (2015); National guidelines for medical services for the management of dengue infection in children and adolescents, pp. 1-67, (2021); Dengue guidelines for diagnosis, treatment, prevention and control, (2009); Number of disease cases according to regency/city and type of disease (Inhabitant) in 2022, (2022); Rakhmani A. N., Zuhriyah L., Knowledge, attitudes, and practices regarding dengue prevention among health volunteers in an urban area – Malang, Indonesia, J. Prev. Med. Public Health, 57, 2, pp. 176-184, (2024); Noroozi Z., Orooji A., Erfannia L., Analyzing the impact of feature selection methods on machine learning algorithms for heart disease prediction, Sci. Rep, 13, 1, pp. 1-15, (2023); Alvarez J. D., Matias-Guiu J. A., Cabrera-Martin M. N., Risco-Martin J. L., Ayala J. L., An application of machine learning with feature selection to improve diagnosis and classification of neurodegenerative disorders, BMC Bioinformatics, 20, 1, pp. 1-12, (2019); Song J., Li Z., Yao G., Wei S., Li L., Wu H., Framework for feature selection of predicting the diagnosis and prognosis of necrotizing enterocolitis, PLoS One, 17, 8, pp. 1-22, (2022); Sarma D., Hossain S., Mittra T., Bhuiya M. A. M., Saha I., Chakma R., Dengue prediction using machine learning algorithms, 2020 IEEE 8th R10 Humanitarian Technology Conference (R10-HTC), 12, 1, pp. 1-6, (2020); Ramasamy V., Vadivel S., Kothandapani S., Mahilraj J., Sivaram P., Sharma B., An optimal feature selection with neural network-based classification model for dengue fever prediction, 6th Int. Conf. Inf. Syst. Comput. Networks, 6, 1, pp. 1-5, (2023); Ramadona A. L., Tozan Y., Wallin J., Lazuardi L., Utarini A., Rocklov J., Predicting the dengue cluster outbreak dynamics in Yogyakarta, Indonesia: A modelling study, Lancet Reg. Heal. Southeast Asia, 15, 1, pp. 1-8, (2023); Tanawi I. N., Vito V., Sarwinda D., Tasman H., Hertono G. F., Support vector regression for predicting the number of dengue incidents in DKI Jakarta, Procedia Comput. Sci, 179, 1, pp. 747-753, (2021); Lestari N. A., Tyasnurita R., Vinarti R. A., Anggraeni W., Long short-term memory forecasting model for dengue fever cases in Malang regency, Indonesia, Procedia Comput. Sci, 197, 1, pp. 180-188, (2022); Thamrin S. A., Aswi Ansariadi, Jaya A. K., Mengersen K., Bayesian spatial survival modelling for dengue fever in Makassar, Indonesia, Gac. Sanit, 35, 1, pp. S59-S63, (2021); Joshi A., Miller C., Review of machine learning techniques for mosquito control in urban environments, Ecol. Inform, 61, pp. 1-14, (2021); Hoyos W., Aguilar J., Toro M., Dengue models based on machine learning techniques: A systematic literature review, Artif. Intell. Med, 119, pp. 1-16, (2021); Shaikh M. S. G., SureshKumar D. B., Narang D. G., Development of optimized ensemble classifier for dengue fever prediction and recommendation system, Biomed. Signal Process. Control, 85, pp. 1-13, (2023); Bria Y. P., Yeh C. H., Bedingfield S., Machine learning classifiers for symptom-based malaria prediction, Proc. Int. Jt. Conf. Neural Networks, 2022, 1, pp. 1-6, (2022); Qiu P., Niu Z., TCIC_FS: Total correlation information coefficient-based feature selection method for high-dimensional data, Knowledge-Based Syst, 231, pp. 1-12, (2021); Senan E. M., Abunadi I., Jadhav M. E., Fati S. M., Score and correlation coefficient-based feature selection for predicting heart failure diagnosis by using machine learning algorithms, Comput. Math. Methods Med, 2021, 1, pp. 1-16, (2021); Chen R. C., Dewi C., Huang S. W., Caraka R. E., Selecting critical features for data classification based on machine learning methods, J. Big Data, 7, 52, pp. 1-26, (2020); Mathew T. E., A logistic regression with recursive feature elimination model for breast cancer diagnosis, Int. J. Emerg. Technol, 10, 3, pp. 55-63, (2019); Alshanbari H. M., Mehmood T., Sami W., Alturaiki W., Hamza M. A., Alosaimi B., Prediction and classification of COVID-19 admissions to intensive care units (ICU) using weighted radial kernel SVM coupled with recursive feature elimination (RFE), Life, 12, 7, pp. 1-10, (2022); Misra P., Yadav A. S., Improving the classification accuracy using recursive feature elimination with cross-validation, Int. J. Emerg. Technol, 1, 3, pp. 659-665, (2020); Huang X., Zhang L., Wang B., Li F., Zhang Z., Feature clustering based support vector machine recursive feature elimination for gene selection, Appl. Intell, 48, 3, pp. 594-607, (2018); Zhou S., Li T., Li Y., Recursive feature elimination based feature selection in modulation classification for MIMO systems, Chinese J. Electron, 32, 4, pp. 785-792, (2023); Alsahaf A., Petkov N., Shenoy V., Azzopardi G., A framework for feature selection through boosting, Expert Syst. Appl, 187, pp. 1-10, (2021); Chen R. C., Dewi C., Huang S. W., Caraka R. E., Selecting critical features for data classification based on machine learning methods, J. Big Data, 7, 52, pp. 1-26, (2020); Breiman L., Random forests, Mach. Learn, 45, 8, pp. 5-32, (2001); Gundogdu S., Efficient prediction of early-stage diabetes using XGBoost classifier with random forest feature selection technique, Multimed. Tools Appl, 82, 22, pp. 34163-34181, (2023); Mei K., Tan M., Yang Z., Shi S., Modeling of feature selection based on random forest algorithm and Pearson correlation coefficient, J. Phys. Conf. Ser, 2219, pp. 1-9, (2022); Nasir I. M., Khan M. A., Yasmin M., Shah J. H., Gabryel M., Scherer R., Damasevicius R., Pearson correlation-based feature selection for document classification using balanced training, Sensors, 20, 23, pp. 1-18, (2020); Rickert C. A., Henkel M., Lieleg O., An efficiency-driven, correlation-based feature elimination strategy for small datasets, APL Mach. Learn, 1, pp. 1-14, (2023); Abellana D. P. M., Lao D. M., A new univariate feature selection algorithm based on the best-worst multi-attribute decision-making method, Decis. Anal. J, 7, pp. 1-13, (2023); Gupta G., Khan S., Guleria V., Almjally A., Alabduallah B. I., Siddiqui T., Albahlal B. M., Alajlan S. A., AL-subaie M., DDPM: A dengue disease prediction and diagnosis model using sentiment analysis and machine learning algorithms, Diagnostics, 13, 6, pp. 1-15, (2023); Dengue and severe dengue, (2023); Tatura S. N. N., Denis D., Santoso M. S, Hayati R. F., Kepel B. J., Yohan B., Sasmono R. T., Outbreak of severe dengue associated with DENV-3 in the city of Manado, North Sulawesi, Indonesia, Int. J. Infect. Dis, 106, 1, pp. 185-196, (2021); Santoso M. S., Yohan B., Denis D., Hayati R. F., Haryanto S., Trianty L., Noviyanti R., Hibberd M. L., Sasmono R. T., Diagnostic accuracy of 5 different brands of dengue virus non-structural protein 1 (NS1) antigen rapid diagnostic tests (RDT) in Indonesia, Diagn. Microbiol. Infect. Dis, 98, 2, pp. 1-7, (2020); Dengue hemorrhagic fever, (2022); Nwokolo E., Ujuju C., Anyanti J., Isiguzo C., Udoye I., Bongos-Ikwue E., Ezire O., Raji M., Oyibo W. A., Misuse of artemisinin combination therapies by clients of medicine retailers suspected to have malaria without prior parasitological confirmation in Nigeria, Int. J. Heal. Policy Manag, 7, 6, pp. 542-548, (2018); Romero-Castro N. S., Hernandez I. C., Reyes M. E. G., Hernandez M. H., Veronica A. G., Paredes-Solis S., Fernandez S. R., Clinical signs and symptoms associated with COVID-19: A cross-sectional study, Int. J. Odontostomatol, 16, 1, pp. 112-119, (2022); Demam berdarah dengue, (2022)</t>
  </si>
  <si>
    <t xml:space="preserve">Y.P. Bria; Universitas Katolik Widya Mandira, Jl. San Juan No. 1 Penfui Timur, Kabupaten Kupang, Nusa Tenggara Timur, 85361, Indonesia; email: yulianti.bria@unwira.ac.id</t>
  </si>
  <si>
    <t xml:space="preserve">J. Appl. Data Sci.</t>
  </si>
  <si>
    <t xml:space="preserve">All Open Access; Gold Open Access; Green Open Access</t>
  </si>
  <si>
    <t xml:space="preserve">2-s2.0-85216740526</t>
  </si>
  <si>
    <t xml:space="preserve">Rubio Maturana C.; de Oliveira A.D.; Zarzuela F.; Mediavilla A.; Martínez-Vallejo P.; Silgado A.; Goterris L.; Muixí M.; Abelló A.; Veiga A.; López-Codina D.; Sulleiro E.; Sayrol E.; Joseph-Munné J.</t>
  </si>
  <si>
    <t xml:space="preserve">Rubio Maturana, Carles (57989378700); de Oliveira, Allisson Dantas (57989107000); Zarzuela, Francesc (23394188300); Mediavilla, Alejandro (58629211700); Martínez-Vallejo, Patricia (59135076700); Silgado, Aroa (57210978940); Goterris, Lidia (57191592855); Muixí, Marc (59526883100); Abelló, Alberto (15073664800); Veiga, Anna (58756205300); López-Codina, Daniel (57113049700); Sulleiro, Elena (15837940500); Sayrol, Elisa (6603100738); Joseph-Munné, Joan (57202164020)</t>
  </si>
  <si>
    <t xml:space="preserve">57989378700; 57989107000; 23394188300; 58629211700; 59135076700; 57210978940; 57191592855; 59526883100; 15073664800; 58756205300; 57113049700; 15837940500; 6603100738; 57202164020</t>
  </si>
  <si>
    <t xml:space="preserve">Evaluation of an Artificial Intelligence-Based Tool and a Universal Low-Cost Robotized Microscope for the Automated Diagnosis of Malaria</t>
  </si>
  <si>
    <t xml:space="preserve">The gold standard diagnosis for malaria is the microscopic visualization of blood smears to identify Plasmodium parasites, although it is an expert-dependent technique and could trigger diagnostic errors. Artificial intelligence (AI) tools based on digital image analysis were postulated as a suitable supportive alternative for automated malaria diagnosis. A diagnostic evaluation of the iMAGING AI-based system was conducted in the reference laboratory of the International Health Unit Drassanes-Vall d’Hebron in Barcelona, Spain. iMAGING is an automated device for the diagnosis of malaria by using artificial intelligence image analysis tools and a robotized microscope. A total of 54 Giemsa-stained thick blood smear samples from travelers and migrants coming from endemic areas were employed and analyzed to determine the presence/absence of Plasmodium parasites. AI diagnostic results were compared with expert light microscopy gold standard method results. The AI system shows 81.25% sensitivity and 92.11% specificity when compared with the conventional light microscopy gold standard method. Overall, 48/54 (88.89%) samples were correctly identified [13/16 (81.25%) as positives and 35/38 (92.11%) as negatives]. The mean time of the AI system to determine a positive malaria diagnosis was 3 min and 48 s, with an average of 7.38 FoV analyzed per sample. Statistical analyses showed the Kappa Index = 0.721, demonstrating a satisfactory correlation between the gold standard diagnostic method and iMAGING results. The AI system demonstrated reliable results for malaria diagnosis in a reference laboratory in Barcelona. Validation in malaria-endemic regions will be the next step to evaluate its potential in resource-poor settings. © 2024 by the authors.</t>
  </si>
  <si>
    <t xml:space="preserve">International Journal of Environmental Research and Public Health</t>
  </si>
  <si>
    <t xml:space="preserve">Multidisciplinary Digital Publishing Institute (MDPI)</t>
  </si>
  <si>
    <t xml:space="preserve">10.3390/ijerph22010047</t>
  </si>
  <si>
    <t xml:space="preserve">https://www.scopus.com/inward/record.uri?eid=2-s2.0-85215974669&amp;doi=10.3390%2fijerph22010047&amp;partnerID=40&amp;md5=555c779bad1c779d9642eaeb78ed6736</t>
  </si>
  <si>
    <t xml:space="preserve">Microbiology Department, Vall d’Hebron University Hospital, Vall d’Hebron Research Institute, VHIR, Barcelona, 08035, Spain; Department of Microbiology and Genetics, Universitat Autònoma de Barcelona (UAB), Barcelona, 08193, Spain; Computational Biology and Complex Systems Group, Physics Department, Universitat Politècnica de Catalunya (UPC), Castelldefels, 08860, Spain; Centro de Investigación Biomédica en Red Enfermedades Infecciosas (CIBERINFEC), Instituto de Salud Carlos III, Madrid, 28029, Spain; Database Technologies and Information Management Group, Service and Information Systems Engineering Department, Universitat Politècnica de Catalunya (UPC), 08034, Barcelona, Spain; Probitas Foundation, Barcelona, 08022, Spain; Tecnocampus, Universitat Pompeu Fabra, Mataró, 08302, Spain</t>
  </si>
  <si>
    <t xml:space="preserve">Rubio Maturana C., Microbiology Department, Vall d’Hebron University Hospital, Vall d’Hebron Research Institute, VHIR, Barcelona, 08035, Spain, Department of Microbiology and Genetics, Universitat Autònoma de Barcelona (UAB), Barcelona, 08193, Spain; de Oliveira A.D., Computational Biology and Complex Systems Group, Physics Department, Universitat Politècnica de Catalunya (UPC), Castelldefels, 08860, Spain; Zarzuela F., Microbiology Department, Vall d’Hebron University Hospital, Vall d’Hebron Research Institute, VHIR, Barcelona, 08035, Spain; Mediavilla A., Microbiology Department, Vall d’Hebron University Hospital, Vall d’Hebron Research Institute, VHIR, Barcelona, 08035, Spain, Department of Microbiology and Genetics, Universitat Autònoma de Barcelona (UAB), Barcelona, 08193, Spain; Martínez-Vallejo P., Microbiology Department, Vall d’Hebron University Hospital, Vall d’Hebron Research Institute, VHIR, Barcelona, 08035, Spain, Department of Microbiology and Genetics, Universitat Autònoma de Barcelona (UAB), Barcelona, 08193, Spain; Silgado A., Microbiology Department, Vall d’Hebron University Hospital, Vall d’Hebron Research Institute, VHIR, Barcelona, 08035, Spain, Department of Microbiology and Genetics, Universitat Autònoma de Barcelona (UAB), Barcelona, 08193, Spain, Centro de Investigación Biomédica en Red Enfermedades Infecciosas (CIBERINFEC), Instituto de Salud Carlos III, Madrid, 28029, Spain; Goterris L., Microbiology Department, Vall d’Hebron University Hospital, Vall d’Hebron Research Institute, VHIR, Barcelona, 08035, Spain, Department of Microbiology and Genetics, Universitat Autònoma de Barcelona (UAB), Barcelona, 08193, Spain; Muixí M., Microbiology Department, Vall d’Hebron University Hospital, Vall d’Hebron Research Institute, VHIR, Barcelona, 08035, Spain; Abelló A., Database Technologies and Information Management Group, Service and Information Systems Engineering Department, Universitat Politècnica de Catalunya (UPC), 08034, Barcelona, Spain; Veiga A., Probitas Foundation, Barcelona, 08022, Spain; López-Codina D., Computational Biology and Complex Systems Group, Physics Department, Universitat Politècnica de Catalunya (UPC), Castelldefels, 08860, Spain; Sulleiro E., Microbiology Department, Vall d’Hebron University Hospital, Vall d’Hebron Research Institute, VHIR, Barcelona, 08035, Spain, Department of Microbiology and Genetics, Universitat Autònoma de Barcelona (UAB), Barcelona, 08193, Spain, Centro de Investigación Biomédica en Red Enfermedades Infecciosas (CIBERINFEC), Instituto de Salud Carlos III, Madrid, 28029, Spain; Sayrol E., Tecnocampus, Universitat Pompeu Fabra, Mataró, 08302, Spain; Joseph-Munné J., Microbiology Department, Vall d’Hebron University Hospital, Vall d’Hebron Research Institute, VHIR, Barcelona, 08035, Spain</t>
  </si>
  <si>
    <t xml:space="preserve">artificial intelligence; automated diagnosis; infectious diseases; malaria; Plasmodium; point-of-care; tropical medicine</t>
  </si>
  <si>
    <t xml:space="preserve">Artificial Intelligence; Humans; Image Processing, Computer-Assisted; Malaria; Microscopy; Robotics; Sensitivity and Specificity; Spain; Barcelona [Catalonia]; Catalonia; Spain; artificial intelligence; digital image; infectious disease; malaria; medicine; parasite; robotics; adult; Article; artificial intelligence; automation; blood smear; controlled study; diagnostic accuracy; diagnostic test accuracy study; female; gold standard; human; image analysis; light microscopy; major clinical study; malaria; malaria falciparum; male; parasitemia; Plasmodium; Plasmodium falciparum; Plasmodium malariae; Plasmodium malariae infection; Plasmodium vivax; predictive value; prevalence; quality control; real time polymerase chain reaction; retrospective study; sensitivity and specificity; tropical medicine; devices; diagnosis; image processing; malaria; microscopy; procedures; robotics; Spain</t>
  </si>
  <si>
    <t xml:space="preserve">Excel 2016; RealStar Malaria, altona, Germany; Xiaomi Redmi 10, Xiaomi, China</t>
  </si>
  <si>
    <t xml:space="preserve">Xiaomi, China; altona, Germany</t>
  </si>
  <si>
    <t xml:space="preserve">World Malaria Report 2023, (2023); Galic I., Habijan M., Leventic H., Romic K., Machine Learning Empowering Personalized Medicine: A Comprehensive Review of Medical Image Analysis Methods, Electronics, 12, (2023); Maturana C.R., De Oliveira A.D., Nadal S., Bilalli B., Serrat F.Z., Soley M.E., Igual E.S., Bosch M., Lluch A.V., Abello A., Et al., Advances and Challenges in Automated Malaria Diagnosis Using Digital Microscopy Imaging with Artificial Intelligence Tools: A Review, Front. Microbiol, 13, (2022); Meulah B., Oyibo P., Bengtson M., Agbana T., Lontchi R.A.L., Adegnika A.A., Oyibo W., Hokke C.H., Diehl J.C., van Lieshout L., Performance Evaluation of the Schistoscope 5.0 for (Semi-)Automated Digital Detection and Quantification of Schistosoma Haematobium Eggs in Urine: A Field-Based Study in Nigeria, Am. J. Trop. Med. Hyg, 107, pp. 1047-1054, (2022); Horning M.P., Delahunt C.B., Bachman C.M., Luchavez J., Luna C., Hu L., Jaiswal M.S., Thompson C.M., Kulhare S., Janko S., Et al., Performance of a Fully-automated System on a WHO Malaria Microscopy Evaluation Slide Set, Malar. J, 20, (2021); Rees-Channer R.R., Bachman C.M., Grignard L., Gatton M.L., Burkot S., Horning M.P., Delahunt C.B., Hu L., Mehanian C., Thompson C.M., Et al., Evaluation of an Automated Microscope Using Machine Learning for the Detection of Malaria in Travelers Returned to the UK, Front. Malar, 1, (2023); Maturana C.R., de Oliveira A.D., Nadal S., Serrat F.Z., Sulleiro E., Ruiz E., Bilalli B., Veiga A., Espasa M., Abello A., Et al., IMAGING: A Novel Automated System for Malaria Diagnosis by Using Artificial Intelligence Tools and a Universal Low-Cost Robotized Microscope, Front. Microbiol, 14, (2023); Dantas de Oliveira A., Rubio Maturana C., Zarzuela Serrat F., Carvalho B.M., Sulleiro E., Prats C., Veiga A., Bosch M., Zulueta J., Abello A., Et al., Development of a Low-Cost Robotized 3D-Prototype for Automated Optical Microscopy Diagnosis: An Open-Source System, PLoS ONE, 19, (2024); Serre-Delcor N., Ascaso C., Soriano-Arandes A., Collazos-Sanchez F., Trevino-Maruri B., Sulleiro E., Pou-Ciruelo D., Bocanegra-Garcia C., Molina-Romero I., Health status of asylum Seekers, Spain, Am. J. Trop. Med. Hyg, 98, pp. 300-307, (2018); Daniel W.W., Biostatistics: A Foundation for Analysis in the Health Sciences, 44, (1988); Das D., Vongpromek R., Assawariyathipat T., Srinamon K., Kennon K., Stepniewska K., Ghose A., Sayeed A.A., Faiz M.A., Netto R.L.A., Et al., Field Evaluation of the Diagnostic Performance of EasyScan GO: A Digital Malaria Microscopy Device Based on Machine-Learning, Malar. J, 21, (2022); Hamid M.M.A., Mohamed A.O., Mohammed F.O., Elaagip A., Mustafa S.A., Elfaki T., Jebreel W.M.A., Albsheer M.M., Dittrich S., Owusu E.D.A., Et al., Diagnostic Accuracy of an Automated Microscope Solution (MiLabTM) in Detecting Malaria Parasites in Symptomatic Patients at Point-of-Care in Sudan: A Case–Control Study, Malar. J, 23, (2024); Hoyos K., Hoyos W., Supporting Malaria Diagnosis Using Deep Learning and Data Augmentation, Diagnostics, 14, (2024); Magotra V., Rohil M.K., Malaria Diagnosis Using a Lightweight Deep Convolutional Neural Network, Int. J. Telemed. Appl, 2022, (2022); Torres K., Bachman C.M., Delahunt C.B., Alarcon Baldeon J., Alava F., Gamboa Vilela D., Proux S., Mehanian C., McGuire S.K., Thompson C.M., Et al., Automated Microscopy for Routine Malaria Diagnosis: A Field Comparison on Giemsa-Stained Blood Films in Peru, Malar. J, 17, (2018); Nema S., Rahi M., Sharma A., Bharti P.K., Strengthening Malaria Microscopy Using Artificial Intelligence-Based Approaches in India, Lancet Reg. Health—Southeast Asia, 5, (2022); Ranjan R., Sharrer K., Tsukuda S., Good C., Effects of image data quality on a convolutional neural network trained in-tank fish detection model for recirculating aquaculture systems, Comput. Electron. Agric, 205, (2023); Dawson H.L., Dubrule O., John C.M., Impact of dataset size and convolutional neural network architecture on transfer learning for carbonate rock classification, Comput. Geosci, 171, (2023); Silka W., Wieczorek M., Silka J., Wozniak M., Malaria Detection Using Advanced Deep Learning Architecture, Sensors, 23, (2023); Mujahid M., Rustam F., Shafique R., Montero E.C., Alvarado E.S., de la Torre Diez I., Ashraf I., Efficient deep learning-based approach for malaria detection using red blood cell smears, Sci. Rep, 14, (2024)</t>
  </si>
  <si>
    <t xml:space="preserve">E. Sulleiro; Microbiology Department, Vall d’Hebron University Hospital, Vall d’Hebron Research Institute, VHIR, Barcelona, 08035, Spain; email: elena.sulleiro@vallhebron.cat; J. Joseph-Munné; Microbiology Department, Vall d’Hebron University Hospital, Vall d’Hebron Research Institute, VHIR, Barcelona, 08035, Spain; email: joan.joseph@vallhebron.cat; E. Sayrol; Tecnocampus, Universitat Pompeu Fabra, Mataró, 08302, Spain; email: esayrol@tecnocampus.cat</t>
  </si>
  <si>
    <t xml:space="preserve">Int. J. Environ. Res. Public Health</t>
  </si>
  <si>
    <t xml:space="preserve">All Open Access; Gold Open Access</t>
  </si>
  <si>
    <t xml:space="preserve">2-s2.0-85215974669</t>
  </si>
  <si>
    <t xml:space="preserve">Khan Z.A.; Waqar M.; Raja M.J.A.A.; Chaudhary N.I.; Khan A.T.M.A.; Raja M.A.Z.</t>
  </si>
  <si>
    <t xml:space="preserve">Khan, Zeshan Aslam (59452654100); Waqar, Muhammad (59366159700); Raja, Muhammad Junaid Ali Asif (59364016000); Chaudhary, Naveed Ishtiaq (55796347500); Khan, Abeer Tahir Mehmood Anwar (59480259300); Raja, Muhammad Asif Zahoor (36739939800)</t>
  </si>
  <si>
    <t xml:space="preserve">59452654100; 59366159700; 59364016000; 55796347500; 59480259300; 36739939800</t>
  </si>
  <si>
    <t xml:space="preserve">Generalized fractional optimization-based explainable lightweight CNN model for malaria disease classification</t>
  </si>
  <si>
    <t xml:space="preserve">Over the past few decades, machine learning and deep learning (DL) have incredibly influenced a broader range of scientific disciplines. DL-based strategies have displayed superior performance in image processing compared to conventional standard methods, especially in healthcare settings. Among the biggest threats to global public health is the fast spread of malaria. The plasmodium falciparum infection, the disease origin causes the intestinal illness. Fortunately, advances in artificial intelligence techniques have made it possible to use visual data sets to quickly and effectively diagnose malaria which has also proven to be cost and time effective. In literature, several DL approaches have previously been used with good precision but suffer from computational inefficiency and interpretability. Therefore, this research proposes a generalized fractional order-based explainable lightweight convolutional neural network model to overcome these limitations. The fractional order optimization algorithms have proven worth in terms of estimation accuracy and convergence speed for different applications. The proposed fractional order optimizer-based model offers an improved solution to malaria disease diagnosis with a percentage accuracy of 95 % using the standard NIH dataset and outperforms the existing complex models concerning speed and effectiveness. The proposed fractionally optimized lightweight CNN model has shown substantial performance on the external MP-IDB dataset and M5 test set as well by achieving a generalized test accuracy of 92 % and 90.4 % which verifies the robustness and generalizability of the proposed solution under available circumstances. Moreover, the efficacy of the proposed lightweight architecture is endorsed through evaluation metrics of precision, recall, and F1-score. © 2024 Elsevier Ltd</t>
  </si>
  <si>
    <t xml:space="preserve">diagnosis</t>
  </si>
  <si>
    <t xml:space="preserve">10.1016/j.compbiomed.2024.109593</t>
  </si>
  <si>
    <t xml:space="preserve">https://www.scopus.com/inward/record.uri?eid=2-s2.0-85212537406&amp;doi=10.1016%2fj.compbiomed.2024.109593&amp;partnerID=40&amp;md5=429996f78d2a4e78d388c870de3e7779</t>
  </si>
  <si>
    <t xml:space="preserve">International Graduate Institute of Artificial Intelligence, National Yunlin University of Science and Technology, Section 3, 123 University Road, Douliou, Yunlin, 64002, Taiwan; Department of Computer Science and Information Engineering, National Yunlin University of Science and Technology, Section 3, 123 University Road, Douliou, Yunlin, 64002, Taiwan; Future Technology Research Center, National Yunlin University of Science and Technology, Section 3, 123 University Road, Douliou, Yunlin, 64002, Taiwan; Rawal Institute of Health Sciences, Islamabad, Pakistan</t>
  </si>
  <si>
    <t xml:space="preserve">Khan Z.A., International Graduate Institute of Artificial Intelligence, National Yunlin University of Science and Technology, Section 3, 123 University Road, Douliou, Yunlin, 64002, Taiwan; Waqar M., International Graduate Institute of Artificial Intelligence, National Yunlin University of Science and Technology, Section 3, 123 University Road, Douliou, Yunlin, 64002, Taiwan; Raja M.J.A.A., Department of Computer Science and Information Engineering, National Yunlin University of Science and Technology, Section 3, 123 University Road, Douliou, Yunlin, 64002, Taiwan; Chaudhary N.I., Future Technology Research Center, National Yunlin University of Science and Technology, Section 3, 123 University Road, Douliou, Yunlin, 64002, Taiwan; Khan A.T.M.A., Rawal Institute of Health Sciences, Islamabad, Pakistan; Raja M.A.Z., Future Technology Research Center, National Yunlin University of Science and Technology, Section 3, 123 University Road, Douliou, Yunlin, 64002, Taiwan</t>
  </si>
  <si>
    <t xml:space="preserve">Convergence speed; Convolutional neural networks; Explainable AI; Generalized fractional optimizer; Lightweight model; Malaria disease classification</t>
  </si>
  <si>
    <t xml:space="preserve">Algorithms; Deep Learning; Humans; Malaria; Malaria, Falciparum; Neural Networks, Computer; Plasmodium falciparum; Diseases; CNN models; Convergence speed; Convolutional neural network; Disease classification; Explainable AI; Fractional order; Generalized fractional optimizer; Lightweight model; Malaria disease classification; Optimizers; algorithm; Article; binocular convergence; controlled study; convolutional neural network; diagnostic test accuracy study; disease classification; human; malaria; process optimization; velocity; artificial neural network; deep learning; diagnosis; malaria; malaria falciparum; Plasmodium falciparum; Convolutional neural networks</t>
  </si>
  <si>
    <t xml:space="preserve">Panesar A., Machine learning and AI for healthcare: big data for improved health outcomes, Mach. Learning AI Healthcare: Big Data Impro. Health Outcomes, pp. 1-368, (2020); Jafari M., Et al., Emotion recognition in EEG signals using deep learning methods: a review, Comput. Biol. Med., (2023); Safdar M.F., Nowak R.M., Palka P., Exploring artificial intelligence algorithms for electrocardiogram (ECG) signal analysis: a comprehensive review, Comput. Biol. Med., (2023); Vaishya R., Javaid M., Khan I.H., Haleem A., Artificial Intelligence (AI) applications for COVID-19 pandemic, Diabetes Metabol. Syndr.: Clin. Res. Rev., 14, 4, pp. 337-339, (2020); Ozbay E., Ozbay F.A., Gharehchopogh F.S., Kidney tumor classification on CT images using self-supervised learning, Comput. Biol. Med., (2024); Wang S.F., Hu L., Nie L.F., Global dynamics and optimal control of an age-structure Malaria transmission model with vaccination and relapse, Chaos, Solit. Fractals, 150, (2021); Hemachandran K., Et al., Performance analysis of deep learning algorithms in diagnosis of malaria disease, Diagnostics, 13, 3, (2023); Jan Z., Khan A., Sajjad M., Muhammad K., Rho S., Mehmood I., A review on automated diagnosis of malaria parasite in microscopic blood smears images, Multimed. Tool. Appl., 77, 8, pp. 9801-9826, (2018); Bansal M., Goyal A., Choudhary A., A comparative analysis of K-nearest neighbor, genetic, support vector machine, decision tree, and long short term memory algorithms in machine learning, Decision Analyt. J., 3, (2022); Ravi D., Et al., Deep learning for health informatics, IEEE J. Biomed. Health Inform., 21, 1, pp. 4-21, (2017); Wang F., Casalino L.P., Khullar D., Deep learning in medicine—promise, progress, and challenges, JAMA Intern. Med., 179, 3, pp. 293-294, (2019); Hosny K.M., Kassem M.A., Foaud M.M., Classification of skin lesions using transfer learning and augmentation with Alex-net, PLoS One, 14, 5, (2019); Sunarko, Djuniadi B., Bottema M., Iksan N., Hudaya K.A.N., Hanif M.S., Red blood cell classification on thin blood smear images for malaria diagnosis, J. Phys. Conf. Ser., 1444, 1, (2020); Poostchi M., Silamut K., Maude R.J., Jaeger S., Thoma G., Image analysis and machine learning for detecting malaria, Transl. Res., 194, pp. 36-55, (2018); Khan Z.A., Chaudhary N.I., Zubair S., Fractional stochastic gradient descent for recommender systems, Electron. Mark., 29, 2, pp. 275-285, (2019); Khan Z.A., Et al., Design of normalized fractional SGD computing paradigm for recommender systems, Neural Comput. Appl., 32, 14, pp. 10245-10262, (2020); Khan Z.A., Zubair S., Alquhayz H., Azeem M., Ditta A., Design of momentum fractional stochastic gradient descent for recommender systems, IEEE Access, 7, pp. 179575-179590, (2019); Wei Y., Kang Y., Yin W., Wang Y., Generalization of the gradient method with fractional order gradient direction, J. Franklin Inst., 357, 4, pp. 2514-2532, (2020); Lambert B., Forbes F., Doyle S., Dehaene H., Dojat M., Trustworthy clinical AI solutions: a unified review of uncertainty quantification in Deep Learning models for medical image analysis, Artif. Intell. Med., 150, (2024); Janghel R.R., Rathore Y.K., Deep convolution neural network based system for early diagnosis of Alzheimer's disease, IRBM, 42, 4, pp. 258-267, (2021); Zhou L., Zhang Z., Chen Y.C., Zhao Z.Y., Yin X.D., Jiang H.B., A deep learning-based radiomics model for differentiating benign and malignant renal tumors, Transl. Oncol., 12, 2, pp. 292-300, (2019); Vijayalakshmi A., Rajesh Kanna B., Deep learning approach to detect malaria from microscopic images, Multimed. Tool. Appl., 79, 21-22, pp. 15297-15317, (2020); Banerjee T., Jain A., Sethuraman S.C., Satapathy S.C., Karthikeyan S., Jubilson A., Deep Convolutional Neural Network (Falcon) and transfer learning-based approach to detect malarial parasite, Multimed. Tool. Appl., 81, 10, pp. 13237-13251, (2022); Pattanaik P.A., Mittal M., Khan M.Z., Unsupervised deep learning CAD scheme for the detection of malaria in blood smear microscopic images, IEEE Access, 8, pp. 94936-94946, (2020); Fatima T., Farid M.S., Automatic detection of Plasmodium parasites from microscopic blood images, J. Parasit. Dis., 44, 1, pp. 69-78, (2020); Zedda L., Loddo A., Di Ruberto C., YOLO-PAM: parasite-attention-based model for efficient malaria detection, J. Imaging, 9, (2023); Zedda L., Loddo A., Di Ruberto C., A deep architecture based on attention mechanisms for effective end-to-end detection of early and mature malaria parasites, Biomed. Signal Process Control, 94, (2024); Zedda L., Loddo A., Di Ruberto C., A deep learning based framework for malaria diagnosis on high variation data set, Ann. Tourism Res., 3, pp. 358-370, (2022); Manescu P., Bendkowski C., Claveau R., Elmi M., Brown B.J., Pawar V., Shaw M.J., Fernandez-Reyes D., A weakly supervised deep learning approach for detecting malaria and sickle cells in blood films, International Conference on Medical Image Computing and Computer-Assisted Intervention, pp. 226-235, (2020); Lin C., Wu H., Wen Z., Qin J., Automated malaria cells detection from blood smears under severe class imbalance via importance-aware balanced group softmax, International Conference on Medical Image Computing and Computer-Assisted Intervention, pp. 455-465, (2021); Loddo A., Fadda C., Di Ruberto C., An empirical evaluation of convolutional networks for Malaria diagnosis, J. Imaging, 8, (2022); Irmak E., A novel implementation of deep-learning approach on malaria parasite detection from thin blood cell images, Electrica, 21, 2, pp. 216-224, (2021); Oyewola D.O., Dada E.G., Misra S., Damasevicius R., A novel data augmentation convolutional neural network for detecting malaria parasite in blood smear images, Appl. Artif. Intell., 36, 1, (2022); Alassaf A., Yacin M.; Shah D., Kawale K., Shah M., Randive S., Mapari R., Malaria parasite detection using deep learning: (beneficial to humankind), Proceedings of the International Conference on Intelligent Computing and Control Systems, pp. 984-988, (2020); Zedda L., Loddo A., Di Ruberto C., MTANet: multi-type attention ensemble for malaria parasite detection, Image Analysis and Processing - ICIAP 2023 Workshops. ICIAP 2023. Lecture Notes in Computer Science, 14366, (2024); Rajaraman S., Et al., Pre-trained convolutional neural networks as feature extractors toward improved malaria parasite detection in thin blood smear images, PeerJ, 2018, 4, (2018); Sunarko, Djuniadi B., Bottema M., Iksan N., Hudaya K.A.N., Hanif M.S., Red blood cell classification on thin blood smear images for malaria diagnosis, J. Phys. Conf. Ser., 1444, 1, (2020); Zedda L., Loddo A., Di Ruberto C., SAMMI: segment anything model for malaria identification,” UNICA IRIS institutional research information system, (2024); Altaf F., Et al., Novel fractional swarming with key term separation for input nonlinear control autoregressive systems, Fractal Fracti., 6, 7, (2022); Wen C., Yang J., Complexity evolution of chaotic financial systems based on fractional calculus, Chaos, Solit. Fractals, 128, pp. 242-251, (2019); Chaudhary N.I., Et al., Enhanced fractional adaptive processing paradigm for power signal estimation, Math. Methods Appl. Sci., 46, 6, pp. 7013-7028, (2023); Veeresha P., Malagi N.S., Prakasha D.G., Baskonus H.M., An efficient technique to analyze the fractional model of vector-borne diseases, Phys. Scripta, 97, 5, (2022); Ali K.K., Osman M.S., Baskonus H.M., Elazabb N.S., Ilhan E., Analytical and numerical study of the HIV-1 infection of CD4+ T-cells conformable fractional mathematical model that causes acquired immunodeficiency syndrome with the effect of antiviral drug therapy, Math. Methods Appl. Sci., 46, 7, pp. 7654-7670, (2023); Farman M., Xu C., Shehzad A., Akgul A., Modeling and dynamics of measles via fractional differential operator of singular and non-singular kernels, Math. Comput. Simulat., 221, pp. 461-488, (2024); Mukhtar R., Et al., Novel nonlinear fractional order Parkinson's disease model for brain electrical activity rhythms: intelligent adaptive Bayesian networks, Chaos, Solit. Fractals, 180, (2024); Akgul A., Et al., Computational analysis of corruption dynamics insight into fractional structures, Appl. Mathe. Sci. Eng., 32, 1, (2024); Ullah A., Ali S., Awwad F.A., Ismail E.A., Analysis of the convective heat transfer through straight fin by using the Riemann-Liouville type fractional derivative: probed by machine learning, Heliyon, 10, (2024); Bagkur C., Amilo D., Kaymakamzade B., A fractional-order model for nosocomial infection caused by pseudomonas aeruginosa in Northern Cyprus, Comput. Biol. Med., (2024); Liu J., Li B., Yang Y., Huang S., Sun H., Liu J., Liu Y., A comprehensive approach to prediction of fractional flow reserve from deep-learning-augmented model, Comput. Biol. Med., 169, (2024); Chaudhary N.I., Et al., Design of multi innovation fractional LMS algorithm for parameter estimation of input nonlinear control autoregressive systems, Appl. Math. Model., 93, pp. 412-425, (2021); Khan Z.A., Et al., Enhanced fractional prediction scheme for effective matrix factorization in chaotic feedback recommender systems, Chaos, Solit. Fractals, 176, (2023); Raja M.A.Z., Et al., A new computing paradigm for the optimization of parameters in adaptive beamforming using fractional processing, European Phys. J. Plus, 134, 6, (2019); Chaudhary N.I., Et al., Design of auxiliary model based normalized fractional gradient algorithm for nonlinear output-error systems, Chaos, Solit. Fractals, 163, (2022); Herrera-Alcantara O., Castelan-Aguilar J.R., Fractional gradient optimizers for PyTorch: enhancing gan and bert, Fractal Fracti., 7, (2023); Khan Z.A., Chaudhary N.I., Raja M.A.Z., Generalized fractional strategy for recommender systems with chaotic ratings behavior, Chaos, Solit. Fractals, 160, (2022); Hoffman R.R., Mueller S.T., Klein G., Litman J., Metrics for explainable AI: challenges and prospects, (2018); Bhandari M., Yogarajah P., Kavitha M.S., Condell J., Exploring the capabilities of a lightweight CNN model in accurately identifying renal abnormalities: cysts, stones, and tumors, using LIME and SHAP, Appl. Sci., 13, 5, pp. 1-17, (2023); Xu F., Uszkoreit H., Du Y., Fan W., Zhao D., Zhu J., Explainable AI: a brief survey on history, research areas, approaches and challenges, Lect. Notes Comput. Sci., 11839 LNAI, pp. 563-574, (2019); Wei Y., Chen Y.Q., Gao Q., Wang Y., Infinite series representation of functions in fractional calculus, Proceedings - 2019 Chinese Automation Congress, pp. 1697-1702, (2019); Chen Y., Gao Q., Wei Y., Wang Y., Study on fractional order gradient methods, Appl. Math. Comput., 314, pp. 310-321, (2017); Wei Y., Chen Y., Cheng S., Wang Y., A note on short memory principle of fractional calculus, Fract Calc. Appl. Anal., 20, 6, pp. 1382-1404, (2017); Loddo A., Di Ruberto C., Kocher M., Prod'Hom G., MP-IDB: the malaria parasite image database for image processing and analysis, Processing and Analysis of Biomedical Information: First International SIPAIM Workshop, SaMBa 2018, Held in Conjunction with MICCAI 2018, Granada, Spain, September 20, 2018, Revised Selected Papers 1, pp. 57-65, (2019); Chaudhry H.A.H., Farid M.S., Fiandrotti A., Grangetto M., A lightweight deep learning architecture for malaria parasite-type classification and life cycle stage detection, Neural Comput. Appl., pp. 1-11, (2024); Sultani W., Nawaz W., Javed S., Danish M.S., Saadia A., Ali M., Towards low-cost and efficient malaria detection, 2022 IEEE/CVF Conference on Computer Vision and Pattern Recognition (CVPR), pp. 20655-20664, (2022); Murmu A., Kumar P., Dlrfnet: deep learning with random forest network for classification and detection of malaria parasite in blood smear, Multimed. Tool. Appl., pp. 1-23, (2024); Khan G.Z., Shah I.A., Hassan M.A., Junaid H., Sardar F., Intelligent Systems for early malaria disease detection in patient cells using transfer learning approaches, 2023 4th International Conference on Computing, Mathematics and Engineering Technologies (iCoMET), pp. 1-6, (2023)</t>
  </si>
  <si>
    <t xml:space="preserve">N.I. Chaudhary; Future Technology Research Center, National Yunlin University of Science and Technology, Section 3, Yunlin, 123 University Road, Douliou, 64002, Taiwan; email: chaudni@yuntech.edu.tw</t>
  </si>
  <si>
    <t xml:space="preserve">2-s2.0-85212537406</t>
  </si>
  <si>
    <t xml:space="preserve">Tan Q.; Zhang C.; Xia J.; Wang R.; Zhou L.; Du Z.; Shi B.</t>
  </si>
  <si>
    <t xml:space="preserve">Tan, Qi (56660300700); Zhang, Chenyang (57199227939); Xia, Jiwen (59398113000); Wang, Ruiqi (59398295900); Zhou, Lian (55627374800); Du, Zhanwei (36720537900); Shi, Benyun (23975131700)</t>
  </si>
  <si>
    <t xml:space="preserve">56660300700; 57199227939; 59398113000; 59398295900; 55627374800; 36720537900; 23975131700</t>
  </si>
  <si>
    <t xml:space="preserve">Information-guided adaptive learning approach for active surveillance of infectious diseases</t>
  </si>
  <si>
    <t xml:space="preserve">The infectious disease surveillance system is a key support tool for public health decision making. Current research concentrates on optimizing static sentinel deployment to address the problem of incomplete data due to the lack of sufficient surveillance resources. In this study, we introduce an information-guided adaptive learning strategy for the dynamic surveillance of infectious diseases. The goal is to improve monitoring effectiveness in situations where it is possible to adjust the focus of surveillance, such as serial surveys and allocation of testing tools. Specifically, we develop a probabilistic neural network model to learn spatio-temporal correlations among the numbers of infections. Based on a probabilistic model, we evaluate the information gain of monitoring a spatio-temporal target and design a greedy selection algorithm for monitoring targets selection. Moreover, we integrate two major surveillance objectives, i.e., informativeness and coverage, in the monitoring target selection. The experimental results on the synthetic dataset and two real-world datasets demonstrate the effectiveness of our approach, showcasing the promise of further exploration and application of dynamic adaptive active surveillance. © 2024 The Authors</t>
  </si>
  <si>
    <t xml:space="preserve">surveillance</t>
  </si>
  <si>
    <t xml:space="preserve">Infectious Disease Modelling</t>
  </si>
  <si>
    <t xml:space="preserve">KeAi Communications Co.</t>
  </si>
  <si>
    <t xml:space="preserve">10.1016/j.idm.2024.10.005</t>
  </si>
  <si>
    <t xml:space="preserve">https://www.scopus.com/inward/record.uri?eid=2-s2.0-85208324910&amp;doi=10.1016%2fj.idm.2024.10.005&amp;partnerID=40&amp;md5=be2cff9b9eb2263ba6a23f350d2096fe</t>
  </si>
  <si>
    <t xml:space="preserve">College of Computer and Information Engineering, Nanjing Tech University, Jiangsu Province, Nanjing, China; College of Artificial Intelligence, Nanjing Tech University, Jiangsu Province, Nanjing, China; WHO Collaborating Center for Infectious Disease Epidemiology and Control, School of Public Health, The University of Hong Kong, Hong Kong SAR, China; Laboratory of Data Discovery for Health Limited, Hong Kong SAR, China; Faculty of Arts and Social Sciences, Hong Kong Baptist University, Hong Kong SAR, China; Jiangsu Provincial Center for Disease Control and Prevention, Nanjing, China</t>
  </si>
  <si>
    <t xml:space="preserve">Tan Q., College of Computer and Information Engineering, Nanjing Tech University, Jiangsu Province, Nanjing, China, College of Artificial Intelligence, Nanjing Tech University, Jiangsu Province, Nanjing, China; Zhang C., College of Computer and Information Engineering, Nanjing Tech University, Jiangsu Province, Nanjing, China, College of Artificial Intelligence, Nanjing Tech University, Jiangsu Province, Nanjing, China; Xia J., College of Computer and Information Engineering, Nanjing Tech University, Jiangsu Province, Nanjing, China, College of Artificial Intelligence, Nanjing Tech University, Jiangsu Province, Nanjing, China; Wang R., Faculty of Arts and Social Sciences, Hong Kong Baptist University, Hong Kong SAR, China; Zhou L., Jiangsu Provincial Center for Disease Control and Prevention, Nanjing, China; Du Z., WHO Collaborating Center for Infectious Disease Epidemiology and Control, School of Public Health, The University of Hong Kong, Hong Kong SAR, China, Laboratory of Data Discovery for Health Limited, Hong Kong SAR, China; Shi B., College of Computer and Information Engineering, Nanjing Tech University, Jiangsu Province, Nanjing, China, College of Artificial Intelligence, Nanjing Tech University, Jiangsu Province, Nanjing, China</t>
  </si>
  <si>
    <t xml:space="preserve">Active surveillance; Adaptive learning; Incomplete data; Information guide</t>
  </si>
  <si>
    <t xml:space="preserve">accuracy; active surveillance; adaptive learning approach; algorithm; Article; artificial neural network; body weight loss; China; communicable disease; conditional gaussian mode; coronavirus disease 2019; disease surveillance; entropy; epidemic; fever; human; incidence; infection; information; learning; machine learning; malaria; mathematical model; mathematical phenomena; nerve cell network; principal component analysis; probabilistic neural network; public health; resource allocation; spatiotemporal analysis</t>
  </si>
  <si>
    <r>
      <rPr>
        <sz val="11"/>
        <color theme="1"/>
        <rFont val="Aptos Narrow"/>
        <family val="0"/>
        <charset val="1"/>
      </rPr>
      <t xml:space="preserve">National Natural Science Foundation of China, NSFC; Research Grants Council, University Grants Committee, </t>
    </r>
    <r>
      <rPr>
        <sz val="11"/>
        <color theme="1"/>
        <rFont val="PingFang SC"/>
        <family val="0"/>
        <charset val="1"/>
      </rPr>
      <t xml:space="preserve">研究資助局</t>
    </r>
    <r>
      <rPr>
        <sz val="11"/>
        <color theme="1"/>
        <rFont val="Aptos Narrow"/>
        <family val="0"/>
        <charset val="1"/>
      </rPr>
      <t xml:space="preserve">, (62261160387, N_HKBU222/22); Research Grants Council, University Grants Committee, </t>
    </r>
    <r>
      <rPr>
        <sz val="11"/>
        <color theme="1"/>
        <rFont val="PingFang SC"/>
        <family val="0"/>
        <charset val="1"/>
      </rPr>
      <t xml:space="preserve">研究資助局</t>
    </r>
    <r>
      <rPr>
        <sz val="11"/>
        <color theme="1"/>
        <rFont val="Aptos Narrow"/>
        <family val="0"/>
        <charset val="1"/>
      </rPr>
      <t xml:space="preserve">; Shenzhen-Hong Kong-Macau Science and Technology Project, (SGDX20230821091559022)</t>
    </r>
  </si>
  <si>
    <t xml:space="preserve">The authors would like to acknowledge the funding support from the National Natural Science Foundation of China and the Research Grants Council (RGC) of Hong Kong Joint Research Scheme (No. 62261160387, N_HKBU222/22) and Shenzhen-Hong Kong-Macau Science and Technology Project (Category C) (Project no: SGDX20230821091559022). The authors would like to express their gratitude to Dr. Dong QIAN for his valuable advice on experimental configuration management.</t>
  </si>
  <si>
    <t xml:space="preserve">Buhat C.A.H., Duero J.C.C., Felix E.F.O., Rabajante J.F., Mamplata J.B., Optimal allocation of covid-19 test kits among accredited testing centers in the Philippines, Journal of Healthcare Informatics Research, 5, pp. 54-69, (2021); Cao J., Newby G., Cotter C., Hsiang M.S., Larson E., Tatarsky A., Gosling R.D., Xia Z., Gao Q., Achieving malaria elimination in China, The Lancet Public Health, 6, 12, pp. e871-e872, (2021); Case B., Dye-Braumuller K.C., Evans C., Li H., Rustin L., Nolan M.S., Adapting vector surveillance using bayesian experimental design: An application to an ongoing tick monitoring program in the southeastern United States, Ticks and Tick-borne Diseases, 15, 3, (2024); Cressie N., Statistics for spatial data, (2015); Du R., Chen C., Yang B., Guan X., Vanet based traffic estimation: A matrix completion approach, 2013 IEEE global communications conference, pp. 30-35, (2013); Groseclose S.L., Buckeridge D.L., Public health surveillance systems: Recent advances in their use and evaluation, Annual Review of Public Health, 38, pp. 57-79, (2017); Jamison D.T., Breman J.G., Measham A.R., Alleyne G., Claeson M., Evans D.B., Jha P., Mills A., Musgrove P., Disease control priorities in developing countries, (2006); Jiang C., Soh Y.C., Li H., Sensor placement by maximal projection on minimum eigenspace for linear inverse problems, IEEE Transactions on Signal Processing, 64, 21, pp. 5595-5610, (2016); Khamsiriwatchara A., Wangroongsarb P., Thwing J., Eliades J., Satimai W., Delacollette C., Kaewkungwal J., Respondent-driven sampling on the Thailand-cambodia border. i. can malaria cases be contained in mobile migrant workers?, Malaria Journal, 10, pp. 1-11, (2011); Kingma D.P., Welling M., Auto-encoding variational bayes, (2013); Krause A., Singh A., Guestrin C., Near-optimal sensor placements in Gaussian processes: Theory, efficient algorithms and empirical studies, Journal of Machine Learning Research, 9, 2, (2008); Laurent C.S., Cowlagi R.V., Near-optimal task-driven sensor network configuration, Automatica, 152, (2023); Li Z., Chen Q., Feng L., Rodewald L., Xia Y., Yu H., Zhang R., An Z., Yin W., Chen W., Et al., Active case finding with case management: The key to tackling the covid-19 pandemic, The lancet, 396, 10243, pp. 63-70, (2020); Litwin T., Timmer J., Berger M., Wahl-Kordon A., Muller M.J., Kreutz C., Preventing covid-19 outbreaks through surveillance testing in healthcare facilities: A modelling study, BMC Infectious Diseases, 22, 1, (2022); Longbottom J., Wamboga C., Bessell P.R., Torr S.J., Stanton M.C., Optimising passive surveillance of a neglected tropical disease in the era of elimination: A modelling study, PLoS Neglected Tropical Diseases, 15, 3, (2021); Losos J.Z., Routine and sentinel surveillance methods, EMHJ-Eastern Mediterranean Health Journal, 2, 1, pp. 46-50, (1996); Newman M., Networks, (2018); Organization W.H., Et al., 10 proposals to build a safer world together–strengthening the global architecture for health emergency preparedness, response and resilience, (2022); Pei S., Teng X., Lewis P., Shaman J., Optimizing respiratory virus surveillance networks using uncertainty propagation, Nature Communications, 12, 1, (2021); Pei H., Yang B., Liu J., Chang K., Active surveillance via group sparse bayesian learning, IEEE Transactions on Pattern Analysis and Machine Intelligence, 44, 3, pp. 1133-1148, (2020); Polgreen P.M., Chen Z., Segre A.M., Harris M.L., Pentella M.A., Rushton G., Optimizing influenza sentinel surveillance at the state level, American Journal of Epidemiology, 170, 10, pp. 1300-1306, (2009); Ranieri J., Chebira A., Vetterli M., Near-optimal sensor placement for linear inverse problems, IEEE Transactions on Signal Processing, 62, 5, pp. 1135-1146, (2014); Sarti E., L'Azou M., Mercado M., Kuri P., Siqueira J.B., Solis E., Noriega F., Ochiai R.L., A comparative study on active and passive epidemiological surveillance for dengue in five countries of Latin america, International Journal of Infectious Diseases, 44, pp. 44-49, (2016); Scarpino S.V., Dimitrov N.B., Meyers L.A., Optimizing provider recruitment for influenza surveillance networks, PLoS Computational Biology, 8, 4, (2012); Sturrock H.J., Roberts K.W., Wegbreit J., Ohrt C., Gosling R.D., Tackling imported malaria: An elimination endgame, The American Journal of Tropical Medicine and Hygiene, 93, 1, (2015); Tan Q., Liu Y., Liu J., Shi B., Xia S., Zhou X.-N., Heterogeneous neural metric learning for spatio-temporal modeling of infectious diseases with incomplete data, Neurocomputing, 458, pp. 701-713, (2021); Venkatesan P., The 2023 who world malaria report, The Lancet Microbe, 5, 3, (2024); Vitale M., Lupone C.D., Kenneson-Adams A., Ochoa R.J., Ordonez T., Beltran-Ayala E., Endy T.P., Rosenbaum P.F., Stewart-Ibarra A.M., A comparison of passive surveillance and active cluster-based surveillance for dengue fever in southern coastal Ecuador, BMC Public Health, 20, pp. 1-10, (2020); Wan X., Liu J., Cheung W.K., Tong T., Inferring epidemic network topology from surveillance data, PLoS One, 9, 6, (2014); Wang S., Li B., Yang M., Yan Z., Missing data imputation for machine learning, IoT as a service, pp. 67-72, (2019); Wang H., Yao K., Pottie G., Estrin D., Entropy-based sensor selection heuristic for target localization, Proceedings of the 3rd international symposium on information processing in sensor networks, pp. 36-45, (2004); Yang B., Guo H., Yang Y., Shi B., Zhou X., Liu J., Modeling and mining spatiotemporal patterns of infection risk from heterogeneous data for active surveillance planning, Proceedings of the AAAI Conference on Artificial Intelligence, 28, (2014); Zeng D., Cao Z., Neill D.B., Chapter 22 - artificial intelligence–enabled public health surveillance—from local detection to global epidemic monitoring and control, Artificial intelligence in medicine, pp. 437-453, (2021)</t>
  </si>
  <si>
    <t xml:space="preserve">B. Shi; College of Computer and Information Engineering, Nanjing Tech University, Nanjing, Jiangsu Province, China; email: benyunshi@outlook.com</t>
  </si>
  <si>
    <t xml:space="preserve">Infect. Dis. Modelling</t>
  </si>
  <si>
    <t xml:space="preserve">2-s2.0-85208324910</t>
  </si>
  <si>
    <t xml:space="preserve">Raza H.; Raja M.J.A.A.; Mubeen R.; Masood Z.; Raja M.A.Z.</t>
  </si>
  <si>
    <t xml:space="preserve">Raza, Hassan (59418013500); Raja, Muhammad Junaid Ali Asif (59364016000); Mubeen, Rikza (59418658900); Masood, Zaheer (57192106194); Raja, Muhammad Asif Zahoor (36739939800)</t>
  </si>
  <si>
    <t xml:space="preserve">59418013500; 59364016000; 59418658900; 57192106194; 36739939800</t>
  </si>
  <si>
    <t xml:space="preserve">Synergistic modeling of hemorrhagic dengue fever: Passive immunity dynamics and time-delay neural network analysis</t>
  </si>
  <si>
    <t xml:space="preserve">Dengue fever poses a formidable epidemiological challenge, particularly for vulnerable groups such as infants. This research paper establishes a mathematical model to describe the dynamics of secondary immunity in infants against dengue hemorrhagic fever, who acquired primary immunity through maternal antibodies. The effect of passive immunity in the form of dengue immunoglobulin is analyzed for high-risk patients for different scenarios, including standard dengue infections, host with pre-existing immunity, delayed diagnosis or treatment, and end-stage dengue cases. Convergence analysis of the model is performed through disease free and disease endemic equilibrium points in terms of basic reproduction number R0 along with local stability of disease-free equilibrium point. Adams numerical approach is utilized to simulate dengue disease/immunity interactions. A time delay exogenous neural network approach coupled with Levenberg–Marquardt optimization is designed to characterize, model and simulate these curated scenarios. Exhaustive neural network procedures determine the efficacy of the neural network approach by means of mean square error (MSE) loss charts, error correlation graphs, error histogram analysis and time-series prediction charts. The impeccable characterization of the dengue fever scenarios is supported by extremely low MSE results of the order 10−9 to 10−11. To further showcase the competency of the neural network predictions, an exhaustive comparative study against the reference numerical solutions is illustrated with absolute errors in the range of 10−3 to 10−5. The novel development of mathematical model coupled with time-delay exogenous neural networks significantly enhances our ability to understand and predict the intricate dengue hemorrhagic fever dynamics allowing for targeted interventions for such infectious disease and epidemiological scenarios. © 2025 Elsevier Ltd</t>
  </si>
  <si>
    <t xml:space="preserve">prognostics</t>
  </si>
  <si>
    <t xml:space="preserve">Computational Biology and Chemistry</t>
  </si>
  <si>
    <t xml:space="preserve">10.1016/j.compbiolchem.2025.108365</t>
  </si>
  <si>
    <t xml:space="preserve">https://www.scopus.com/inward/record.uri?eid=2-s2.0-85216609892&amp;doi=10.1016%2fj.compbiolchem.2025.108365&amp;partnerID=40&amp;md5=313236a923d8db621582b1a7e82a0254</t>
  </si>
  <si>
    <t xml:space="preserve">Federal Medical and Dental College, Shaheed Zulfiqar Ali Bhutto Medical University, Islamabad, 44000, Pakistan; Department of Computer Science and Information Engineering, National Yunlin University of Science and Technology, Douliu, Yunlin, 64002, Taiwan; Foundation University Medical College, Foundation University Islamabad, Pakistan; Department of Electrical Engineering, Capital University of Science and Technology, Islamabad, Pakistan; Future Technology Research Center, National Yunlin University of Science and Technology, Douliu, Yunlin, 64002, Taiwan</t>
  </si>
  <si>
    <t xml:space="preserve">Raza H., Federal Medical and Dental College, Shaheed Zulfiqar Ali Bhutto Medical University, Islamabad, 44000, Pakistan; Raja M.J.A.A., Department of Computer Science and Information Engineering, National Yunlin University of Science and Technology, Douliu, Yunlin, 64002, Taiwan; Mubeen R., Foundation University Medical College, Foundation University Islamabad, Pakistan; Masood Z., Department of Electrical Engineering, Capital University of Science and Technology, Islamabad, Pakistan; Raja M.A.Z., Future Technology Research Center, National Yunlin University of Science and Technology, Douliu, Yunlin, 64002, Taiwan</t>
  </si>
  <si>
    <t xml:space="preserve">Artificial intelligence; Dengue hemorrhagic fever; Infected monocytes; Passive immunity; Time delay neural networks</t>
  </si>
  <si>
    <t xml:space="preserve">Mean square error; Time series analysis; Dengue fevers; Dengue hemorrhagic fever; Equilibrium point; Infected monocyte; Means square errors; Neural network analysis; Neural-networks; Passive immunity; Time delay neural networks; Time-delays; Risk perception</t>
  </si>
  <si>
    <t xml:space="preserve">Abdelrazec A., Belair J., Shan C., Zhu H., Modeling the spread and control of dengue with limited public health resources, Math. Biosci., 271, pp. 136-145, (2016); Adimy M., Mancera P.F., Rodrigues D.S., Santos F.L., Ferreira C.P., Maternal passive immunity and dengue hemorrhagic fever in infants, Bull. Math. Biol., 82, 2, (2020); Ahmad Z., Bonanomi G., Cardone A., Iuorio A., Toraldo G., Giannino F., Fractal-fractional sirs model for the disease dynamics in both prey and predator with singular and nonsingular kernels, J. Biol. Systems, pp. 1-34, (2024); Ahmad Z., Bonanomi G., di Serafino D., Giannino F., Transmission dynamics and sensitivity analysis of pine wilt disease with asymptomatic carriers via fractal-fractional differential operator of Mittag-Leffler kernel, Appl. Numer. Math., 185, pp. 446-465, (2023); Ahmad Z., El-Kafrawy S.A., Alandijany T.A., Giannino F., Mirza A.A., El-Daly M.M., Faizo A.A., Bajrai L.H., Kamal M.A., Azhar E.I., A global report on the dynamics of COVID-19 with quarantine and hospitalization: A fractional order model with non-local kernel, Comput. Biol. Chem., 98, (2022); Ahmad M., Malik A., Mahmood K., Dengue-related information needs and information-seeking behavior in Pakistan, Heal. Commun., 38, 6, pp. 1168-1178, (2023); Anon M., Vaccination and epidemics in networked populations—An introduction, Chaos Solitons Fractals, 103, pp. 177-183, (2017); Boulaaras S., Jan R., Khan A., Ahsan M., Dynamical analysis of the transmission of dengue fever via Caputo-fabrizio fractional derivative, Chaos, Solitons Fractals: X, 8, (2022); Camargo F., Oliveira T., Rodrigues D., Mancera P., Santos F., A mathematical model for accessing dengue hemorrhagic fever in infants, Trends Comput. Appl. Math., 23, pp. 101-115, (2022); da Cruz A.M.B., Rodrigues H.S., Personal protective strategies for dengue disease: Simulations in two coexisting virus serotypes scenarios, Math. Comput. Simulation, 188, pp. 254-267, (2021); Deen J., von Seidlein L., Paracetamol for dengue fever: no benefit and potential harm?, Lancet Glob. Heal., 7, 5, pp. e552-e553, (2019); Dietz K., Heesterbeek J., Daniel Bernoulli's epidemiological model revisited, Math. Biosci., 180, 1-2, pp. 1-21, (2002); Fan J., Yin Q., Xia C., Perc M., Epidemics on multilayer simplicial complexes, Proc. R. Soc. A, 478, 2261, (2022); Gubler D.J., Meltzer M., Impact of dengue/dengue hemorrhagic fever on the developing world, Adv. Virus Res., 53, pp. 35-70, (1999); Haar L.V., Elvira T., Ochoa O., An analysis of explainability methods for convolutional neural networks, Eng. Appl. Artif. Intell., 117, (2023); Halstead S.B., Dengue hemorrhagic fever, CRC Handbook of Viral and Rickettsial Hemorrhagic Fevers, pp. 85-94, (2019); Halstead S.B., Katzelnick L.C., Russell P.K., Markoff L., Aguiar M., Dans L.R., Dans A.L., Ethics of a partially effective dengue vaccine: Lessons from the Philippines, Vaccine, 38, 35, pp. 5572-5576, (2020); Harapan H., Michie A., Sasmono R.T., Imrie A., Dengue: a minireview, Viruses, 12, 8, (2020); Huang C.-H., Tsai Y.-T., Wang S.-F., Wang W.-H., Chen Y.-H., Dengue vaccine: an update, Expert. Rev. Anti- Infect. Ther., 19, 12, pp. 1495-1502, (2021); Jan R., Boulaaras S., Alyobi S., Rajagopal K., Jawad M., Fractional dynamics of the transmission phenomena of dengue infection with vaccination, Discret. Contin. Dyn. Syst. S, 16, 8, pp. 2096-2117, (2023); Jiang Q., Zhou X., Wang R., Ding W., Chu Y., Tang S., Jia X., Xu X., Intelligent monitoring for infectious diseases with fuzzy systems and edge computing: A survey, Appl. Soft Comput., 123, (2022); Kaieski N., da Costa C.A., da Rosa Righi R., Lora P.S., Eskofier B., Application of artificial intelligence methods in vital signs analysis of hospitalized patients: A systematic literature review, Appl. Soft Comput., 96, (2020); Kar P., Debbarma S., Sentimental analysis &amp; hate speech detection on english and german text collected from social media platforms using optimal feature extraction and hybrid diagonal gated recurrent neural network, Eng. Appl. Artif. Intell., 126, (2023); Kavsaoglu A.R., Polat K., Hariharan M., Non-invasive prediction of hemoglobin level using machine learning techniques with the PPG signal's characteristics features, Appl. Soft Comput., 37, pp. 983-991, (2015); Kellstein D., Fernandes L., Symptomatic treatment of dengue: should the NSAID contraindication be reconsidered?, Postgrad. Med., 131, 2, pp. 109-116, (2019); Kim J., Kim T., Ryu J.-G., Kim J., Spatiotemporal graph neural network for multivariate multi-step ahead time-series forecasting of sea temperature, Eng. Appl. Artif. Intell., 126, (2023); Liu L., Feng M., Xia C., Zhao D., Perc M., Epidemic trajectories and awareness diffusion among unequals in simplicial complexes, Chaos Solitons Fractals, 173, (2023); Lu H., Giannino F., Tartakovsky D.M., Parsimonious models of in-host viral dynamics and immune response, Appl. Math. Lett., 145, (2023); Montalbo F.J.P., Machine-based mosquito taxonomy with a lightweight network-fused efficient dual ConvNet with residual learning and knowledge distillation, Appl. Soft Comput., 133, (2023); Murugesan A., Manoharan M., Dengue virus, Emerging and Reemerging Viral Pathogens, pp. 281-359, (2020); Muzzamil M., Naz S., Mumtaz H., Omair W., Pakistan's healthcare preparedness after the NIH warned of a new diphtheria strain and Covid-19 variation, J. Taibah Univ. Med. Sci., 18, 5, pp. 1055-1057, (2023); Nasar S., Rashid N., Iftikhar S., Dengue proteins with their role in pathogenesis, and strategies for developing an effective anti-dengue treatment: A review, J. Med. Virol., 92, 8, pp. 941-955, (2020); Nisar K.S., Naz I., Raja M.A.Z., Shoaib M., Intelligent computing framework to analyze the transmission risk of COVID-19: Meyer wavelet artificial neural networks, Comput. Biol. Chem., (2024); Norshidah H., Vignesh R., Lai N.S., Updates on dengue vaccine and antiviral: where are we heading?, Molecules, 26, 22, (2021); Pintado Silva J., Fernandez-Sesma A., Challenges on the development of a dengue vaccine: a comprehensive review of the state of the art, J. Gen. Virol., 104, 3, (2023); Purohit P., Barik D., Dansana J., Meher B.R., Investigating lycotoxin-an1a (an1a), a defense antiviral peptide from alopecosa nagpag venom as prospective anti-dengue agent against DENV-2 NS2b-NS3 protease, Comput. Biol. Chem., 108, (2024); Sabir Z., Bhat S.A., Raja M.A.Z., Alhazmi S.E., A swarming neural network computing approach to solve the zika virus model, Eng. Appl. Artif. Intell., 126, (2023); Sabir Z., Rada T.B., Kassem Z., Umar M., Salahshour S., A novel radial basis neural network for the zika virus spreading model, Comput. Biol. Chem., 112, (2024); Saha P., Sikdar G.C., Ghosh J.K., Ghosh U., Disease dynamics and optimal control strategies of a two serotypes dengue model with co-infection, Math. Comput. Simulation, 209, pp. 16-43, (2023); Shah K., Wenqi L., Raezah A.A., Khan N., Khan S.U., Ozair M., Ahmad Z., Unraveling pine wilt disease: Comparative study of stochastic and deterministic model using spectral method, Expert Syst. Appl., 240, (2024); Smith K.A., Edward jenner and the small pox vaccine, Front. Immunol., 2, (2011); Sobhani K., Li J., Cortes M., Nonsteroidal anti-inflammatory drugs (NSAIDs), First Aid Perioperative Ultrasound: Acute Pain Manual for Surgical Procedures, pp. 127-138, (2023); Tarigan R.E.A., Manik F.Y., Artificial neural network for classification of dengue fever using backpropagation algorithm, J. Artif. Intell. Eng. Applications ( JAIEA), 3, 1, pp. 468-478, (2023); Unnikrishnan R., Kamath S., Ananthanarayana V., Efficient parameter tuning of neural foundation models for drug perspective prediction from unstructured socio-medical data, Eng. Appl. Artif. Intell., 123, (2023); Wang W.-H., Urbina A.N., Chang M.R., Assavalapsakul W., Lu P.-L., Chen Y.-H., Wang S.-F., Dengue hemorrhagic fever–a systemic literature review of current perspectives on pathogenesis, prevention and control, J. Microbiol. Immunol. Infect., 53, 6, pp. 963-978, (2020); Waterman S.H., Gubler D.J., Dengue fever, Clin. Dermatol., 7, 1, pp. 117-122, (1989); Wilder-Smith A., Ooi E.-E., Horstick O., Wills B., Dengue, Lancet, 393, 10169, pp. 350-363, (2019); Yamashita W.M., Takahashi L.T., Chapiro G., Traveling wave solutions for the dispersive models describing population dynamics of aedes aegypti, Math. Comput. Simulation, 146, pp. 90-99, (2018); Zhu M., Xu Y., A time-periodic dengue fever model in a heterogeneous environment, Math. Comput. Simulation, 155, pp. 115-129, (2019)</t>
  </si>
  <si>
    <t xml:space="preserve">M.A.Z. Raja; Future Technology Research Center, National Yunlin University of Science and Technology, Yunlin, Douliu, 64002, Taiwan; email: rajamaz@yuntech.edu.tw</t>
  </si>
  <si>
    <t xml:space="preserve">Comput. Biol. Chem.</t>
  </si>
  <si>
    <t xml:space="preserve">2-s2.0-85216609892</t>
  </si>
  <si>
    <t xml:space="preserve">Tahir B.; Mehmood M.A.</t>
  </si>
  <si>
    <t xml:space="preserve">Tahir, Bilal (57206196421); Mehmood, Muhammad Amir (15127594700)</t>
  </si>
  <si>
    <t xml:space="preserve">57206196421; 15127594700</t>
  </si>
  <si>
    <t xml:space="preserve">TepiSense: A Social Computing based Real-Time Epidemic Surveillance System using Artificial Intelligence.</t>
  </si>
  <si>
    <t xml:space="preserve">Artificial Intelligence (AI) technologies have enabled researchers to develop tools to monitor real-world events and user behavior using social media platforms. Twitter is particularly useful for gathering invaluable information related to diseases and public health to build real-time disease surveillance systems. Such systems offer a cost-effective and efficient alternative to the passive, expensive, and time-consuming process of using data from healthcare organizations and hospitals. In this paper, we propose a novel system of TepiSense to automatically perform disease surveillance of epidemic-prone diseases. Our system classifies tweets related to diseases and further identifies 'indication' tweets that highlight the presence of patients. Our system consists of four distinct modules of pre-processing, feature extractor, classifier, and evaluator. TepiSense compares the performance of 3 feature extraction techniques, 9 machine learning models, and 3 Large Language Models (LLMs). To test the performance of our framework, we build dataset of Twitter Epidemic Surveillance Corpus (TESC) containing 23.9K English and 13K labelled Urdu tweets related to six diseases: COVID19, Hepatitis, Malaria, Flu, Dengue, and HIV/AIDS. Our results show that LLM of MBERT achieves the highest F-measure values of 0.96 and 0.83 for topic and indication tweets classification, respectively. Furthermore, we compute the correlation of signals generated by our framework with real-world cases to test the efficacy on COVID19 disease. We notice that real-world cases have a correlation of 0.58-0.63 with the indication category tweets. Finally, we develop an interactive and user-friendly dashboard to disseminate the analytics of our system. Overall, our system offers a powerful tool for real-time disease surveillance using social media with potential implications for public health policy and decision-making.  © 2013 IEEE.</t>
  </si>
  <si>
    <t xml:space="preserve">IEEE Access</t>
  </si>
  <si>
    <t xml:space="preserve">Institute of Electrical and Electronics Engineers Inc.</t>
  </si>
  <si>
    <t xml:space="preserve">10.1109/ACCESS.2025.3537168</t>
  </si>
  <si>
    <t xml:space="preserve">https://www.scopus.com/inward/record.uri?eid=2-s2.0-85217008047&amp;doi=10.1109%2fACCESS.2025.3537168&amp;partnerID=40&amp;md5=73e52740ea866acc08c71c1e04f9643b</t>
  </si>
  <si>
    <t xml:space="preserve">University of Engineering and Technology, Al-Khawarizmi Institute of Computer Science, Lahore, 54890, Pakistan; Islamic University of Madinah, Faculty of Computer and Information Systems, Madinah, 42351, Saudi Arabia</t>
  </si>
  <si>
    <t xml:space="preserve">Tahir B., University of Engineering and Technology, Al-Khawarizmi Institute of Computer Science, Lahore, 54890, Pakistan; Mehmood M.A., Islamic University of Madinah, Faculty of Computer and Information Systems, Madinah, 42351, Saudi Arabia</t>
  </si>
  <si>
    <t xml:space="preserve">data mining; e-health; epidemic intelligence; Natural language processing; public health; smart city</t>
  </si>
  <si>
    <t xml:space="preserve">Health expenditure as a percentage of GDP by country 2020, (2022); McIntyre D., Meheus F., Rottingen J.-A., What level of domestic government health expenditure should we aspire to for universal health coverage?, Health Economics, Policy and Law, 12, 2, pp. 125-137, (2017); CDC current outbreak list, (2022); Coronavirus cases:covid-19 coronavirus pandemic, (2022); Jackson J.K., Global economic effects of COVID-19, Congressional Research Service, Tech. Rep, (2021); Monkeypox situation update, (2022); Azam N., Tahir B., Mehmood M.A., News-EDS: News based epidemic disease surveillance using machine learning, 14th international conference on open source systems and technologies (ICOSST), pp. 1-6, (2020); Morbidity and Mortality Weekly Report (MMWR), (2022); Seasonal awareness and alert letter (SAAL), (2021); Chen H., Yang B., Liu J., Zhou X.-N., Philip S.Y., Mining spatiotemporal diffusion network: A new framework of active surveillance planning, IEEE Access, 7, pp. 108458-108473, (2019); Nguyen H., Nguyen T., Nguyen D.T., A graph-based approach for population health analysis using geo-tagged tweets, Multimedia tools and applications, 80, 5, pp. 7187-7204, (2021); Hidayat-Ur Rehman I., Ahmad A., Ahmed M., Alam A., Mobile applications to fight against COVID-19 pandemic: The case of Saudi Arabia, TEM Journal, 10, 1, (2021); Caduff C., Sick weather ahead: On data-mining, crowd-sourcing and white noise, The Cambridge Journal of Anthropology, 32, 1, pp. 32-46, (2014); Stieg C., How this canadian start-up spotted coronavirus before everyone else knew about it, (2020); Mohanty B., Chughtai A., Rabhi F., Use of mobile apps for epidemic surveillance and response-availability and gaps, Global Biosecurity, 1, 1, (2019); Ramchandani A., Fan C., Mostafavi A., Deepcovidnet: An interpretable deep learning model for predictive surveillance of COVID-19 using heterogeneous features and their interactions, IEEE Access, 8, pp. 159915-159930, (2020); Espinosa L., Wijermans A., Orchard F., Hohle M., Czernichow T., Coletti P., Hermans L., Faes C., Kissling E., Mollet T., Epitweetr: Early warning of public health threats using Twitter data, Eurosurveillance, 27, 39, (2022); Chen J., Wang Y., Et al., Social media use for health purposes: Systematic review, Journal of medical Internet research, 23, 5, (2021); Mateescu A., Brunton D., Rosenblat A., Patton D., Gold Z., Boyd D., Social media surveillance and law enforcement, Data Civ Rights, 27, pp. 2015-2027, (2015); Wijaya H.Y., Digital homophobia: Technological assemblages of anti-LGBT sentiment and surveillance in indonesia, Indonesia and the Malay World, 50, 146, pp. 52-72, (2022); Mehta P., Pandya S., Kotecha K., Harvesting social media sentiment analysis to enhance stock market prediction using deep learning, PeerJ Computer Science, 7, (2021); Dimitrova D.V., Matthes J., Social media in political campaigning around the world: Theoretical and methodological challenges, pp. 333-342, (2018); Kaliyar R.K., Goswami A., Narang P., Fakebert: Fake news detection in social media with a bert-based deep learning approach, Multimedia tools and applications, 80, 8, pp. 11765-11788, (2021); Kim J., Lee D., Park E., Machine learning for mental health in social media: Bibliometric study, Journal of Medical Internet Research, 23, 3, (2021); Vo T., Sharma R., Kumar R., Son L.H., Pham B.T., Tien Bui D., Priyadarshini I., Sarkar M., Le T., Crime rate detection using social media of different crime locations and Twitter part-of-speech tagger with brown clustering, Journal of Intelligent &amp; Fuzzy Systems, 38, 4, pp. 4287-4299, (2020); El Mouden Z.A., Taj R.M., Jakimi A., Hajar M., Towards using graph analytics for tracking COVID-19, Procedia computer science, 177, pp. 204-211, (2020); Ioanas E., Social media and its impact on consumers behavior, Jurnal Analisa Kesehatan, 1, 1, (2020); Wang Y., Yang W., Ma F., Xu J., Zhong B., Deng Q., Gao J., Weak supervision for fake news detection via reinforcement learning, Proceedings of the AAAI conference on artificial intelligence, 34, 1, pp. 516-523, (2020); Smolinski M.S., Crawley A.W., Baltrusaitis K., Chunara R., Olsen J.M., Wojcik O., Santillana M., Nguyen A., Brownstein J.S., Flu near you: Crowdsourced symptom reporting spanning 2 influenza seasons, American journal of public health, 105, 10, pp. 2124-2130, (2015); National Notifiable Diseases Surveillance System (NNDSS), (2013); Hohman K.H., Martinez A.K., Klompas M., Kraus E.M., Li W., Carton T.W., Cocoros N.M., Jackson S.L., Karras B.T., Wiltz J.L., Wall H.K., Leveraging electronic health record data for timely chronic disease surveillance: The multi-state EHR-based network for disease surveillance, Journal of Public Health Management and Practice, 29, 2, pp. 162-173, (2023); Al-Tawfiq J.A., Kheir H., Al-Dakheel T., Al-Qahtani S., AlKhadra H., Sarhan A., Halaiga M.B., Ibrahim R., COVID-19 home monitoring program: Healthcare innovation in developing, maintaining, and impacting the outcome of SARS-CoV-2 infected patients, Travel Medicine and Infectious Disease, 43, (2021); Hassounah M., Raheel H., Alhefzi M., Digital response during the COVID-19 pandemic in Saudi Arabia, Journal of medical Internet research, 22, 9, (2020); Stevens H., Haines M.B., Tracetogether: Pandemic response, democracy, and technology," East Asian Science, Technology and Society, An International Journal, 14, 3, pp. 523-532, (2020); Vedaei S.S., Fotovvat A., Mohebbian M.R., Rahman G.M., Wahid K.A., Babyn P., Marateb H.R., Mansourian M., Sami R., COVID-SAFE: An IoT-based system for automated health monitoring and surveillance in post-pandemic life, IEEE access, 8, (2020); Huang J., Xu W., Zheng Z., Wong M., Importance of sustaining nonpharmaceutical interventions for COVID-19 until herd immunity, Hong Kong Med. J, 27, pp. 95-96, (2021); Rortais A., Belyaeva J., Gemo M., Van Der Goot E., Linge J.P., Medisys: An early-warning system for the detection of (re-) emerging food-and feed-borne hazards, Food Research International, 43, 5, pp. 1553-1556, (2010); Carrion M., Madoff L.C., ProMED-mail: 22 years of digital surveillance of emerging infectious diseases, International health, 9, 3, pp. 177-183, (2017); Freifeld C.C., Mandl K.D., Reis B.Y., Brownstein J.S., Healthmap: Global infectious disease monitoring through automated classification and visualization of Internet media reports, Journal of the American Medical Informatics Association, 15, 2, pp. 150-157, (2008); Verma M., Kishore K., Kumar M., Sondh A.R., Aggarwal G., Kathirvel S., Google search trends predicting disease outbreaks: An analysis from India, Healthcare informatics research, 24, 4, pp. 300-308, (2018); Satpathy P., Kumar S., Prasad P., Suitability of Google trends for digital surveillance during ongoing COVID-19 epidemic: A case study from India, Disaster medicine and public health preparedness, 17, (2023); Ricard B.J., Marsch L.A., Crosier B., Hassanpour S., Exploring the utility of community-generated social media content for detecting depression: An analytical study on Instagram, Journal of medical Internet research, 20, 12, (2018); Kuchler T., Russel D., Stroebel J., Jue insight: The geographic spread of COVID-19 correlates with the structure of social networks as measured by Facebook, Journal of Urban Economics, 127, (2022); Naseem U., Kim J., Khushi M., Dunn A.G., Identification of disease or symptom terms in Reddit to improve health mention classification, Proceedings of the ACM Web Conference, pp. 2573-2581, (2022); Tahir B., Amjad K., Firdous S., Mehmood M.A., Public health surveillance system for online social networks using one-class text classification, 2018 6th International Conference on Control Engineering &amp; Information Technology (CEIT), pp. 1-6, (2018); Harris J.K., Hinyard L., Beatty K., Hawkins J.B., Nsoesie E.O., Mansour R., Brownstein J.S., Evaluating the implementation of a Twitter-based foodborne illness reporting tool in the city of St. Louis department of health, International Journal of Environmental Research and Public Health, 15, 5, (2018); Tahir B., Mehmood M.A., Leveraging social computing for epidemic surveillance: A case study, Big Data Research, (2024); Korach Z.T., Yang J., Rossetti S.C., Cato K.D., Kang M.-J., Knaplund C., Schnock K.O., Garcia J.P., Jia H., Schwartz J.M., Zhou L., Mining clinical phrases from nursing notes to discover risk factors of patient deterioration, International journal of medical informatics, 135, (2020); Joachims T., A probabilistic analysis of the rocchio algorithm with tfidf for text categorization, Carnegie-mellon univ pittsburgh pa dept of computer science, Tech. Rep, (1996); Seliverstov Y., Seliverstov S., Malygin I., Korolev O., Traffic safety evaluation in northwestern federal district using sentiment analysis of Internet users' reviews, Transportation research procedia, 50, pp. 626-635, (2020); Thavareesan S., Mahesan S., Sentiment lexicon expansion using Word2vec and fastText for sentiment prediction in Tamil texts, 2020 Moratuwa engineering research conference (MERCon), pp. 272-276, (2020); Kamath C.N., Bukhari S.S., Dengel A., Comparative study between traditional machine learning and deep learning approaches for text classification, Proceedings of the ACM Symposium on Document Engineering, 2018, pp. 1-11, (2018); Semwal V.B., Gupta A., Lalwani P., An optimized hybrid deep learning model using ensemble learning approach for human walking activities recognition, The Journal of Supercomputing, 77, 11, pp. 12256-12279, (2021); Rothman D., Transformers for Natural Language Processing: Build innovative deep neural network architectures for NLP with Python, PyTorch, TensorFlow, BERT, RoBERTa, and more. Packt Publishing Ltd, (2021); Devlin J., Chang M.-W., Lee K., Toutanova K., Bert: Pre-training of deep bidirectional transformers for language understanding, (2018); Conneau A., Unsupervised cross-lingual representation learning at scale, (2019); Xue L., MT5: A massively multilingual pre-trained text-to-text transformer, (2020); Naidu G., Zuva T., Sibanda E.M., A review of evaluation metrics in machine learning algorithms, Computer Science On-line Conference, pp. 15-25, (2023); Bird S., Nltk: The natural language toolkit, Proceedings of the COLING/ACL 2006 Interactive Presentation Sessions, pp. 69-72, (2006); Iqbal M., Tahir B., Mehmood M.A., Cure: Collection for urdu information retrieval evaluation and ranking, 2021 International Conference on Digital Futures and Transformative Technologies (ICoDT2), pp. 1-6, (2021); Kingma D.P., Adam: A method for stochastic optimization, (2014); Singh S., Kumar K., Kumar B., Sentiment analysis of Twitter data using tf-idf and machine learning techniques, 2022 International Conference on Machine Learning, Big Data, Cloud and Parallel Computing (COM-IT-CON), 1, pp. 252-255, (2022); Li S., Gong B., Word embedding and text classification based on deep learning methods, MATEC Web of Conferences, 336, (2021); Hauke J., Kossowski T., Comparison of values of pearson's and spearman's correlation coefficients on the same sets of data, Quaestiones geographicae, 30, 2, pp. 87-93, (2011); Stauffer M., Laravel: Up &amp; running: A framework for building modern PHP apps, 2, 3, (2019); Hu S., Dai T., Online map application development using Google Maps API, SQL database, and ASP.NET, International Journal of Information and Communication Technology Research, 3, 3, (2013); Momjian B., PostgreSQL: Introduction and concepts, 192, (2001); MacEdo T., Oliveira F., Redis cookbook: Practical techniques for fast data manipulation, (2011)</t>
  </si>
  <si>
    <t xml:space="preserve">Article in press</t>
  </si>
  <si>
    <t xml:space="preserve">2-s2.0-85217008047</t>
  </si>
  <si>
    <t xml:space="preserve">Agboka K.M.; Abdel-Rahman E.M.; Salifu D.; Kanji B.; Ndjomatchoua F.T.; Guimapi R.A.Y.; Ekesi S.; Tobias L.</t>
  </si>
  <si>
    <t xml:space="preserve">Agboka, Komi Mensah (6507989545); Abdel-Rahman, Elfatih M. (57193979141); Salifu, Daisy (54897760200); Kanji, Brian (59539384300); Ndjomatchoua, Frank T. (56374637000); Guimapi, Ritter A.Y. (57191977309); Ekesi, Sunday (6701615030); Tobias, Landmann (59539384400)</t>
  </si>
  <si>
    <t xml:space="preserve">6507989545; 57193979141; 54897760200; 59539384300; 56374637000; 57191977309; 6701615030; 59539384400</t>
  </si>
  <si>
    <t xml:space="preserve">Towards combining self-organizing maps (SOM) and convolutional neural network (CNN) for improving model accuracy: Application to malaria vectors phenotypic resistance</t>
  </si>
  <si>
    <t xml:space="preserve">This study introduces a hybrid approach that combines unsupervised self-organizing maps (SOM) with a supervised convolutional neural network (CNN) to enhance model accuracy in vector-borne disease modeling. We applied this method to predict insecticide resistance (IR) status in key malaria vectors across Africa. Our results show that the combined SOM/CNN approach is more robust than a standalone CNN model, achieving higher overall accuracy and Kappa scores among others. This confirms the potential of the SOM/CNN hybrid as an effective and reliable tool for improving model accuracy in public health applications. • The hybrid model, combining SOM and CNN, was implemented to predict IR status in malaria vectors, providing enhanced accuracy across various validation metrics. • Results indicate a notable improvement in robustness and predictive accuracy over traditional CNN models. • The combined SOM/CNN approach demonstrated higher Kappa scores and overall model accuracy. © 2025 The Authors</t>
  </si>
  <si>
    <t xml:space="preserve">MethodsX</t>
  </si>
  <si>
    <t xml:space="preserve">Elsevier B.V.</t>
  </si>
  <si>
    <t xml:space="preserve">10.1016/j.mex.2025.103198</t>
  </si>
  <si>
    <t xml:space="preserve">https://www.scopus.com/inward/record.uri?eid=2-s2.0-85216770548&amp;doi=10.1016%2fj.mex.2025.103198&amp;partnerID=40&amp;md5=616ae2073e642a5c37dd2a8210601d1c</t>
  </si>
  <si>
    <t xml:space="preserve">International Centre of Insect Physiology and Ecology (ICIPE), P.O. Box 30772 00100, Kenya; School of Agricultural, Earth, and Environmental Sciences, University of KwaZulu-Natal, Pietermaritzburg, 3209, South Africa; Department of Plant Sciences, School of the Biological Sciences, University of Cambridge, Cambridge, CB2 3EA, United Kingdom; Biotechnology and Plant Health Division, Norwegian Institute of Bioeconomy Research (NIBIO), P.O. Box 115, Ås, NO-1431, Norway</t>
  </si>
  <si>
    <t xml:space="preserve">Agboka K.M., International Centre of Insect Physiology and Ecology (ICIPE), P.O. Box 30772 00100, Kenya; Abdel-Rahman E.M., International Centre of Insect Physiology and Ecology (ICIPE), P.O. Box 30772 00100, Kenya, School of Agricultural, Earth, and Environmental Sciences, University of KwaZulu-Natal, Pietermaritzburg, 3209, South Africa; Salifu D., International Centre of Insect Physiology and Ecology (ICIPE), P.O. Box 30772 00100, Kenya; Kanji B., International Centre of Insect Physiology and Ecology (ICIPE), P.O. Box 30772 00100, Kenya; Ndjomatchoua F.T., Department of Plant Sciences, School of the Biological Sciences, University of Cambridge, Cambridge, CB2 3EA, United Kingdom; Guimapi R.A.Y., Biotechnology and Plant Health Division, Norwegian Institute of Bioeconomy Research (NIBIO), P.O. Box 115, Ås, NO-1431, Norway; Ekesi S., International Centre of Insect Physiology and Ecology (ICIPE), P.O. Box 30772 00100, Kenya; Tobias L., International Centre of Insect Physiology and Ecology (ICIPE), P.O. Box 30772 00100, Kenya</t>
  </si>
  <si>
    <t xml:space="preserve">Data science; Decision making; Insecticide resistance; Unsupervised and supervised learning</t>
  </si>
  <si>
    <t xml:space="preserve">rain; Africa; Anopheles funestus; Anopheles gambiae; Article; climate; comparative study; convolutional neural network; data accuracy; data science; decision tree; environmental factor; humidity; insecticide resistance; land use; malaria; nonhuman; parasite vector; population density; predictive value; principal component analysis; public health; self organizing map; supervised machine learning; temperature; unsupervised machine learning; vector borne disease</t>
  </si>
  <si>
    <t xml:space="preserve">Aissaoui O.E.L., El Madani Y.E.L.A., Oughdir L., Allioui Y.E.L., Combining supervised and unsupervised machine learning algorithms to predict the learners’ learning styles, Procedia Comput. Sci., 148, pp. 87-96, (2019); Gupta S., Parekh B., Jivani A., A hybrid model of clustering and classification to enhance the performance of a classifier BT, Advanced Informatics For Computing Research, pp. 383-396, (2019); Maturo F., Verde R., Combining unsupervised and supervised learning techniques for enhancing the performance of functional data classifiers, Comput. Stat., (2022); Zhao Y., Shao Z., Zhao W., Han J., Zheng Q., Jing R., Combining unsupervised and supervised classification for customer value discovery in the telecom industry: a deep learning approach, Computing, (2023); Kohonen T., Learning vector quantization BT, Self-Organizing Maps, pp. 245-261, (2001); Vesanto J., Himberg J., Alhoniemi E., Parhankangas J., Self-organizing map in MATLAB: the SOM Toolbox, Proceedings of the MATLAB DSP Conference, 99, pp. 16-17, (1999); Ajit A., Acharya K., Samanta A., A review of convolutional neural networks, Proceedings of the 2020 International Conference on Emerging Trends in Information Technology and Engineering (Ic-ETITE), pp. 1-5, (2020); Alzubaidi L., Zhang J., Humaidi A.J., Al-Dujaili A., Duan Y., Al-Shamma O., Santamaria J., Fadhel M.A., Al-Amidie M., Farhan L., Review of deep learning: concepts, CNN architectures, challenges, applications, future directions, J. Big Data, 8, 1, (2021); Dhillon A., Verma G.K., Convolutional neural network: a review of models, methodologies and applications to object detection, Prog. Artif. Intell., 9, 2, pp. 85-112, (2020); Kamimura R., Partially black-boxed collective interpretation and its application to SOM-based convolutional neural networks, Neurocomputing, 450, pp. 336-353, (2021); Ramirez-Quintana J.A., Chacon-Murguia M.I., Self-adaptive SOM-CNN neural system for dynamic object detection in normal and complex scenarios, Pattern Recognit., 48, 4, pp. 1137-1149, (2015); Yu Z., Gong H., Li M., Tang D., Hollow prussian blue nanozyme-richened liposome for artificial neural network-assisted multimodal colorimetric-photothermal immunoassay on smartphone, Biosens. Bioelectron., 218, (2022); Yu Z., Tang D., Artificial neural network-assisted wearable flexible sweat patch for drug management in Parkinson's patients based on vacancy-engineered processing of g-C3N4, Anal. Chem., 94, 51, pp. 18000-18008, (2022); Agboka K.M., Wamalwa M., Mutunga J.M., Tonnang H.E.Z., A mathematical model for mapping the insecticide resistance trend in the Anopheles gambiae mosquito population under climate variability in Africa, Sci. Rep., 14, 1, (2024); Christiansen-Jucht C., Parham P.E., Saddler A., Koella J.C., Basanez M.G., Temperature during larval development and adult maintenance influences the survival of Anopheles gambiae s.s, Parasites Vectors, 7, (2014); Parham P.E., pp. 184-199, (2010); Chaves L.F., Koenraadt C.J.M., Climate change and highland malaria: fresh air for a hot debate, Q. Rev. Biol., 85, 1, pp. 27-55, (2010); Gimnig J.E., Ombok M., Kamau L., Hawley W.A., Characteristics of larval anopheline (Diptera: culicidae) habitats in Western Kenya, J. Med. Entomol., 38, 2, pp. 282-288, (2001); Paaijmans K.P., Thomas M.B., The influence of mosquito resting behaviour and associated microclimate for malaria risk, Malar. J., 10, 1, pp. 1-7, (2011); Karger D.N., (2019); Van Rossum G., Python Tutorial: Centrum voor wiskunde en informatica Amsterdam, (1995); (2016); Version M.A.T., (2021); Vilarino F., Spyridonos P., Vitria J., Radeva P., Experiments with SVM and stratified sampling with an imbalanced problem: detection of intestinal contractions, Proceedings of the International Conference on Pattern Recognition and Image Analysis, pp. 783-791, (2005); Baughan N., Whitney H.M., Drukker K., Sahiner B., Hu T., Kim G.H., McNitt-Gray M., Myers K.J., Giger M.L., Sequestration of imaging studies in MIDRC: stratified sampling to balance demographic characteristics of patients in a multi-institutional data commons, J. Med. Imaging, 10, 6, (2023); Cao L., Shen H., CSS: handling imbalanced data by improved clustering with stratified sampling, Concurr. Comput. Pract. Exp., 34, 2, (2022); Kohonen T., The self-organizing map, Proc. IEEE, 78, 9, pp. 1464-1480, (1990); Krizhevsky A., Sutskever I., Hinton G.E., Imagenet classification with deep convolutional neural networks, Commun. ACM, 60, 6, pp. 84-90, (2017); LeCun Y., Bengio Y., Hinton G., Deep learning, Nature, 521, 7553, pp. 436-444, (2015); Kaur I., Sandhu A.K., Kumar Y., Artificial intelligence techniques for predictive modeling of vector-borne diseases and its pathogens: a systematic review, Arch. Comput. Methods Eng., 29, 6, pp. 3741-3771, (2022); Hancock P.A., Lynd A., Wiebe A., Devine M., Essandoh J., Wat'senga F., Manzambi E.Z., Agossa F., Donnelly M.J., Weetman D., Moyes C.L., Modelling spatiotemporal trends in the frequency of genetic mutations conferring insecticide target-site resistance in African mosquito malaria vector species, BMC Biol., 20, 1, (2022)</t>
  </si>
  <si>
    <t xml:space="preserve">K.M. Agboka; International Centre of Insect Physiology and Ecology (ICIPE), P.O. Box 30772 00100, Kenya; email: kagboka@icipe.org</t>
  </si>
  <si>
    <t xml:space="preserve">2-s2.0-85216770548</t>
  </si>
  <si>
    <t xml:space="preserve">Simonsen J.Ø.; Modin D.; Skaarup K.; Djernæs K.; Lassen M.C.H.; Johansen N.D.; Marott J.L.; Jensen M.T.; Jensen G.B.; Schnohr P.; Martínez S.S.; Claggett B.L.; Møgelvang R.; Biering-Sørensen T.</t>
  </si>
  <si>
    <t xml:space="preserve">Simonsen, Jakob Øystein (57296688700); Modin, Daniel (57202005037); Skaarup, Kristoffer (57148500200); Djernæs, Kasper (57216791831); Lassen, Mats Christian Højbjerg (57205762596); Johansen, Niklas Dyrby (57193866152); Marott, Jacob Louis (23473900300); Jensen, Magnus Thorsten (49661614100); Jensen, Gorm B. (8972737400); Schnohr, Peter (7005259037); Martínez, Sergio Sánchez (59369066100); Claggett, Brian Lee (36871489900); Møgelvang, Rasmus (15725926700); Biering-Sørensen, Tor (25637106800)</t>
  </si>
  <si>
    <t xml:space="preserve">57296688700; 57202005037; 57148500200; 57216791831; 57205762596; 57193866152; 23473900300; 49661614100; 8972737400; 7005259037; 59369066100; 36871489900; 15725926700; 25637106800</t>
  </si>
  <si>
    <t xml:space="preserve">Utilizing echocardiography and unsupervised machine learning for heart failure risk identification</t>
  </si>
  <si>
    <t xml:space="preserve">Background: Global longitudinal strain (GLS) is recognized as a powerful predictor of heart failure (HF). However, the entire strain curve may entail important prognostic information regarding HF risk that might be undiscovered by only focusing on the peak strain value. Objective: The hypothesis of the present study was, that analysis of the entire strain curve using unsupervised machine learning (uML) would reveal novel ventricular deformation patterns capable of predicting incident HF independently of GLS. Methods: Longitudinal strain curves from 3710 subjects from the general population without prevalent HF were analyzed using uML. Results: Mean age was 56 years and 43 % were male. During a median follow-up of 5.3 years, 92 subjects (2.5 %) developed HF. The uML algorithm generated a hierarchical clustering tree (HCT) resulting in 10 different clusters. Generally, the strain curves displayed reduced early diastolic strain to peak-strain ratio with an increasing incidence rate of HF. In multivariable Cox regressions, cluster 9 was significantly associated with increased risk of HF when compared to cluster 2–5, and 7–8 [For cluster 3: HR 8.95, 95 %CI: 2.08;38.48, P = 0.003] even though the subjects of cluster 9 were younger, displayed healthier clinical baseline characteristics, and only had slightly reduced GLS. The mean strain curve of cluster 9 displayed an early systolic lengthening followed by a late and reduced contraction specifically related to the basal lateral segment. Conclusion: The unsupervised machine learning algorithm identified unknown strain patterns beyond GLS presumably related to increased risk of HF. © 2024 The Authors</t>
  </si>
  <si>
    <t xml:space="preserve">International Journal of Cardiology</t>
  </si>
  <si>
    <t xml:space="preserve">Elsevier Ireland Ltd</t>
  </si>
  <si>
    <t xml:space="preserve">10.1016/j.ijcard.2024.132636</t>
  </si>
  <si>
    <t xml:space="preserve">https://www.scopus.com/inward/record.uri?eid=2-s2.0-85206513035&amp;doi=10.1016%2fj.ijcard.2024.132636&amp;partnerID=40&amp;md5=94de8b8ab246ee3330acf8f0983a684e</t>
  </si>
  <si>
    <t xml:space="preserve">Department of Cardiology, Herlev and Gentofte University Hospital, Copenhagen, Denmark; The Copenhagen City Heart Study, Bispebjerg and Frederiksberg University Hospital, Copenhagen, Denmark; Department of Cardiology, Amager and Hvidovre University Hospital, Copenhagen, Denmark; August Pi i Sunyer Biomedical Research Institute (IDIBAPS), Barcelona, Spain; Harvard Medical School, United States; Department of Cardiology, Rigshospitalet, Copenhagen, Denmark; Institute of Biomedical Sciences, Faculty of Health and Medical Sciences, University of Copenhagen, Denmark; Steno Diabetes Center Copenhagen, Denmark</t>
  </si>
  <si>
    <t xml:space="preserve">Simonsen J.Ø., Department of Cardiology, Herlev and Gentofte University Hospital, Copenhagen, Denmark; Modin D., Department of Cardiology, Herlev and Gentofte University Hospital, Copenhagen, Denmark; Skaarup K., Department of Cardiology, Herlev and Gentofte University Hospital, Copenhagen, Denmark; Djernæs K., Department of Cardiology, Herlev and Gentofte University Hospital, Copenhagen, Denmark; Lassen M.C.H., Department of Cardiology, Herlev and Gentofte University Hospital, Copenhagen, Denmark; Johansen N.D., Department of Cardiology, Herlev and Gentofte University Hospital, Copenhagen, Denmark; Marott J.L., The Copenhagen City Heart Study, Bispebjerg and Frederiksberg University Hospital, Copenhagen, Denmark; Jensen M.T., The Copenhagen City Heart Study, Bispebjerg and Frederiksberg University Hospital, Copenhagen, Denmark, Department of Cardiology, Amager and Hvidovre University Hospital, Copenhagen, Denmark; Jensen G.B., The Copenhagen City Heart Study, Bispebjerg and Frederiksberg University Hospital, Copenhagen, Denmark; Schnohr P., The Copenhagen City Heart Study, Bispebjerg and Frederiksberg University Hospital, Copenhagen, Denmark; Martínez S.S., August Pi i Sunyer Biomedical Research Institute (IDIBAPS), Barcelona, Spain; Claggett B.L., Harvard Medical School, United States; Møgelvang R., The Copenhagen City Heart Study, Bispebjerg and Frederiksberg University Hospital, Copenhagen, Denmark, Department of Cardiology, Rigshospitalet, Copenhagen, Denmark; Biering-Sørensen T., Department of Cardiology, Herlev and Gentofte University Hospital, Copenhagen, Denmark, The Copenhagen City Heart Study, Bispebjerg and Frederiksberg University Hospital, Copenhagen, Denmark, Department of Cardiology, Rigshospitalet, Copenhagen, Denmark, Institute of Biomedical Sciences, Faculty of Health and Medical Sciences, University of Copenhagen, Denmark, Steno Diabetes Center Copenhagen, Denmark</t>
  </si>
  <si>
    <t xml:space="preserve">Artificial intelligence; Cluster analysis; Echocardiography; Heart failure; Longitudinal strain; Unsupervised machine learning</t>
  </si>
  <si>
    <t xml:space="preserve">Adult; Aged; Echocardiography; Female; Follow-Up Studies; Heart Failure; Humans; Male; Middle Aged; Risk Assessment; Unsupervised Machine Learning; beta adrenergic receptor blocking agent; creatinine; abdominal aortic aneurysm; adult; algorithm; analysis of variance; Article; atrial fibrillation; body mass; bootstrapping; cardiovascular disease; Chagas disease; chi square test; cohort analysis; coronary artery disease; data collection method; echocardiography; ethics; female; follow up; heart ejection fraction; heart failure; heart left ventricle ejection fraction; heart rate; human; hypercholesterolemia; hypertension; ICD-10; ischemic heart disease; joint function; Kruskal Wallis test; learning; learning algorithm; machine learning; major clinical study; male; middle aged; peripheral arterial disease; phylogenetic tree; questionnaire; risk; risk factor; sequence alignment; statistical analysis; sudden cardiac death; systolic blood pressure; two dimensional speckle tracking echocardiography; aged; diagnosis; diagnostic imaging; epidemiology; pathophysiology; procedures; risk assessment; unsupervised machine learning</t>
  </si>
  <si>
    <t xml:space="preserve">creatinine, 19230-81-0, 60-27-5</t>
  </si>
  <si>
    <t xml:space="preserve">STATA SE 16.1</t>
  </si>
  <si>
    <t xml:space="preserve">Hjerteforeningen; Metropolitan Region of Denmark</t>
  </si>
  <si>
    <t xml:space="preserve">The Copenhagen City Heart Study is funded by The Danish Heart Foundation and The Metropolitan Region of Denmark . Jakob \u00D8ystein Simonsen has not received funding for the present project. </t>
  </si>
  <si>
    <t xml:space="preserve">McDonagh T.A., Metra M., Adamo M., Gardner R.S., Baumbach A., Bohm M., Et al., 2021 ESC Guidelines for the diagnosis and treatment of acute and chronic heart failure: Developed by the Task Force for the diagnosis and treatment of acute and chronic heart failure of the European Society of Cardiology (ESC) With the special contribution of the Heart Failure Association (HFA) of the ESC, Eur. Heart J., 42, 36, pp. 3599-3726, (2021); Abdin A., Anker S.D., Butler J., Coats A.J.S., Kindermann I., Lainscak M., Et al., ‘Time is prognosis’ in heart failure: time-to-treatment initiation as a modifiable risk factor, ESC Heart Fail, 8, 6, pp. 4444-4453, (2021); Medvedofsky D., Maffessanti F., Weinert L., Tehrani D.M., Narang A., Addetia K., Et al., 2D and 3D echocardiography-derived indices of left ventricular function and shape: relationship with mortality, JACC Cardiovasc. Imaging, 11, 11, pp. 1569-1579, (2018); Potter E., Marwick T.H., Assessment of left ventricular function by echocardiography: the case for routinely adding global longitudinal strain to ejection fraction, JACC Cardiovasc. Imaging, 11, 2, Part 1, pp. 260-274, (2018); Tor B.-S., Solomon S.D., Assessing contractile function when ejection fraction is Normal, Circ. Cardiovasc. Imaging, 8, 11, (2015); Tony S., Rodel L., Marwick T.H., Prediction of all-cause mortality from global longitudinal speckle strain, Circ. Cardiovasc. Imaging, 2, 5, pp. 356-364, (2009); Loncaric F., Marti Castellote P.M., Sanchez-Martinez S., Fabijanovic D., Nunno L., Mimbrero M., Et al., Automated pattern recognition in whole-cardiac cycle echocardiographic data: capturing functional phenotypes with machine learning, J. Am. Soc. Echocardiogr Off Publ Am Soc Echocardiogr, 34, 11, pp. 1170-1183, (2021); Cikes M., Sanchez-Martinez S., Claggett B., Duchateau N., Piella G., Butakoff C., Et al., Machine learning-based phenogrouping in heart failure to identify responders to cardiac resynchronization therapy, Eur. J. Heart Fail., 21, 1, pp. 74-85, (2019); Alonso-Betanzos A., Bolon-Canedo V., Big-data analysis, cluster analysis, and machine-learning approaches, Sex-Specific Analysis of Cardiovascular Function, (2018); Segar M.W., Patel K.V., Ayers C., Basit M., Tang W.H.W., Willett D., Et al., Phenomapping of patients with heart failure with preserved ejection fraction using machine learning-based unsupervised cluster analysis, Eur. J. Heart Fail., 22, 1, pp. 148-158, (2020); Sengupta P.P., Shrestha S., Berthon B., Messas E., Donal E., Tison G.H., Et al., Proposed Requirements for Cardiovascular Imaging-Related Machine Learning Evaluation (PRIME): a checklist: reviewed by the American College of Cardiology Healthcare Innovation Council, JACC Cardiovasc. Imaging, 13, 9, pp. 2017-2035, (2020); Skaarup K.G., Lassen M.C.H., Johansen N.D., Sengelov M., Marott J.L., Jorgensen P.G., Et al., Layer-Specific Global Longitudinal Strain and the Risk of Heart Failure and Cardiovascular Mortality in the General Population: The Copenhagen City Heart Study, Eur. J. Heart Fail., 23, 11, pp. 1803-1827, (2021); Skaarup K.G., Lassen M.C.H., Marott J.L., Biering-Sorensen S.R., Jorgensen P.G., Appleyard M., Et al., The impact of cardiovascular risk factors on global longitudinal strain over a decade in the general population: the Copenhagen city heart study, Int. J. Card. Imaging, 36, 10, pp. 1907-1916, (2020); Skaarup K.G., Lassen M.C.H., Johansen N.D., Olsen F.J., Lind J.N., Jorgensen P.G., Et al., Age- and sex-based normal values of layer-specific longitudinal and circumferential strain by speckle tracking echocardiography: the Copenhagen City Heart Study, Eur. Heart J. Cardiovasc. Imaging, 24, (2021); Nagueh S.F., Smiseth O.A., Appleton C.P., Byrd B.F., Dokainish H., Edvardsen T., Et al., Recommendations for the Evaluation of Left Ventricular Diastolic Function by Echocardiography: an update from the American Society of Echocardiography and the European Association of Cardiovascular Imaging, J. Am. Soc. Echocardiogr., 29, 4, pp. 277-314, (2016); Lang R.M., Badano L.P., Mor-Avi V., Afilalo J., Armstrong A., Ernande L., Et al., Recommendations for Cardiac Chamber Quantification by Echocardiography in Adults: an update from the American Society of Echocardiography and the European Association of Cardiovascular Imaging, Eur. Heart J. Cardiovasc. Imaging, 16, 3, pp. 233-271, (2015); Voigt J.U., Pedrizzetti G., Lysyansky P., Marwick T.H., Houle H., Baumann R., Et al., Definitions for a common standard for 2D speckle tracking echocardiography: consensus document of the EACVI/ASE/Industry Task Force to standardize deformation imaging, Eur. Heart J. Cardiovasc. Imaging, 16, 1, pp. 1-11, (2015); Sanchez-Martinez S., Duchateau N., Erdei T., Kunszt G., Aakhus S., Degiovanni A., Et al., Machine learning analysis of left ventricular function to characterize heart failure with preserved ejection fraction, Circ. Cardiovasc. Imaging, 11, 4, (2018); Shokoohi-Yekta M., Hu B., Jin H., Wang J., Keogh E., Generalizing Dynamic Time Warping to the Multi- Dimensional Case Requires an Adaptive Approach, 39, (2024); Aggarwal C.C., 3.4 temporal similarity measures, Data Mining: The Textbook [Internet], pp. 77-84, (2015); Tibshirani S., Friedman H., Hastie T., The Elements of Statistical Learning: Data Mining, Inference, and Prediction, (2024); Herlau T., Schmidt M.N., Morup M., Introduction to Machine Learning and Data Mining, (2024); Federmann M., Hess O.M., Differentiation between systolic and diastolic dysfunction, Eur. Heart J., 15, pp. 2-6, (1994); Lassen M.C.H., Biering-Sorensen S.R., Olsen F.J., Skaarup K.G., Tolstrup K., Qasim A.N., Et al., Ratio of transmitral early filling velocity to early diastolic strain rate predicts long-term risk of cardiovascular morbidity and mortality in the general population, Eur. Heart J., 40, 6, pp. 518-525, (2019); Hagemann R.A., Hoffmann S., Brainin P., Hagemann C.A., Fritz-Hansen T., Olsen F.J., Et al., Early diastolic strain rate by two-dimensional speckle tracking echocardiography is a predictor of coronary artery disease and cardiovascular events in stable angina pectoris, Int. J. Card. Imaging, 36, 7, pp. 1249-1260, (2020); Lassen M.C.H., Lindberg S., Olsen F.J., Fritz-Hansen T., Pedersen S., Iversen A., Et al., Early diastolic strain rate in relation to long term prognosis following isolated coronary artery bypass grafting, Int. J. Cardiol., 345, pp. 137-142, (2021); Brainin P., Haahr-Pedersen S., Olsen F.J., Holm A.E., Fritz-Hansen T., Jespersen T., Et al., Early systolic lengthening in patients with ST-segment–elevation myocardial infarction: a novel predictor of cardiovascular events, J. Am. Heart Assoc. Cardiovasc. Cerebrovasc. Dis., 9, 3, (2020); Baudry G., Mansencal N., Reynaud A., Richard P., Dubourg O., Komajda M., Et al., Global and regional echocardiographic strain to assess the early phase of hypertrophic cardiomyopathy due to sarcomeric mutations, Eur. Heart J. Cardiovasc. Imaging, 21, 3, pp. 291-298, (2020); Pagnuco I.A., Pastore J.I., Abras G., Brun M., Ballarin V.L., Analysis of genetic association using hierarchical clustering and cluster validation indices, Genomics, 109, 5, pp. 438-445, (2017); Shah S.J., Phenomapping for Novel Classification of Heart Failure With Preserved Ejection Fraction, (2021); Aghabozorgi S., Seyed Shirkhorshidi A., Ying W.T., Time-series clustering – a decade review, Inf. Syst., 53, pp. 16-38, (2015)</t>
  </si>
  <si>
    <t xml:space="preserve">J.Ø. Simonsen; Cardiovascular Non-Invasive Imaging Research Laboratory, Department of Cardiology, Herlev and Gentofte Hospital, Copenhagen, Gentofte hospitalsvej 8, 3 th. (Hjertesygdomme, forskning 2) 2900 Hellerup, Denmark; email: jako.simonsen@gmail.com</t>
  </si>
  <si>
    <t xml:space="preserve">IJCDD</t>
  </si>
  <si>
    <t xml:space="preserve">Int. J. Cardiol.</t>
  </si>
  <si>
    <t xml:space="preserve">2-s2.0-85206513035</t>
  </si>
  <si>
    <t xml:space="preserve">Aggarwal G.; Goyal M.K.</t>
  </si>
  <si>
    <t xml:space="preserve">Aggarwal, Gunjan (57222404358); Goyal, Mayank Kumar (57218573912)</t>
  </si>
  <si>
    <t xml:space="preserve">57222404358; 57218573912</t>
  </si>
  <si>
    <t xml:space="preserve">VL-M2C: Leveraging deep learning approach for stage detection of malaria parasites</t>
  </si>
  <si>
    <t xml:space="preserve">Malaria is a parasitic infection that can be caused by the bite of infected anopheles’ mosquitoes and can progress from mild symptoms to severe forms which make it crucial to understand its potential consequences. This study majorly focusses on multiclass classification and provides an ensemble framework for the detection of stages of malaria parasite in thin blood smears. In this study, we used publicly accessible dataset comprising 1320 images together with training and test json file. Initially pre-processing is applied to improve image quality, then key regions are extracted to retain important information during feature extraction phase. During this study, we compared different classification techniques to find the best model for multiclass classification for malaria parasite stages. Several metrics, including accuracy, recall, precision, and loss, are used to analyze the performance of the model. In this study, the ensemble method VL-M2C ie VGG LSTM Multiclass Malaria Classification has been proposed that raises the overall accuracy and robustness of the model by considering the advantages of individual classifiers. It has been compared with VGG16, CNN and RCNN. Our proposed VL-M2C has the best accuracy (98.56%) and lowest loss (0.1240), thus proves promising diagnosis system. © Authors.</t>
  </si>
  <si>
    <t xml:space="preserve">Journal of Integrated Science and Technology</t>
  </si>
  <si>
    <t xml:space="preserve">ScienceIn Publishing</t>
  </si>
  <si>
    <t xml:space="preserve">10.62110/sciencein.jist.2025.v13.1055</t>
  </si>
  <si>
    <t xml:space="preserve">https://www.scopus.com/inward/record.uri?eid=2-s2.0-85216565754&amp;doi=10.62110%2fsciencein.jist.2025.v13.1055&amp;partnerID=40&amp;md5=77e58d5011d771dcabe9b80276b4b4a6</t>
  </si>
  <si>
    <t xml:space="preserve">School of Engineering and Technology, Sharda University, Greater Noida, India</t>
  </si>
  <si>
    <t xml:space="preserve">Aggarwal G., School of Engineering and Technology, Sharda University, Greater Noida, India; Goyal M.K., School of Engineering and Technology, Sharda University, Greater Noida, India</t>
  </si>
  <si>
    <t xml:space="preserve">Convolutional neural networks; Deep Learning; Diagnosis; Ensemble learning; Malaria parasite; Multiclass stage classification</t>
  </si>
  <si>
    <t xml:space="preserve">Caraballo H., King K., Emergency department management of mosquito-borne illness: malaria, dengue, and West Nile virus, Emerg. Med. Pract, 16, 5, pp. 1-23, (2014); Vijayalakshmi A, Rajesh Kanna B., Deep learning approach to detect malaria from microscopic images, Multimed. Tools Appl, 79, 21–22, pp. 15297-15317, (2020); Compendium of WHO malaria guidance: prevention, diagnosis, treatment, surveillance and elimination, (2019); Shambhu S., Koundal D., Das P., Et al., Computational Methods for Automated Analysis of Malaria Parasite Using Blood Smear Images: Recent Advances, Comput. Intell. Neurosci, 2022, pp. 1-18, (2022); Kittichai V., Kaewthamasorn M., Thanee S., Et al., Classification for avian malaria parasite Plasmodium gallinaceum blood stages by using deep convolutional neural networks, Sci. Rep, 11, 1, (2021); Moody A., Rapid Diagnostic Tests for Malaria Parasites, Clin. Microbiol. Rev, 15, 1, pp. 66-78, (2002); Mangold K.A., Manson R.U., Koay E.S.C., Et al., Real-Time PCR for Detection and Identification of Plasmodium spp, J. Clin. Microbiol, 43, 5, pp. 2435-2440, (2005); Dahal P., Khanal B., Rai K., Et al., Challenges in Laboratory Diagnosis of Malaria in a Low-Resource Country at Tertiary Care in Eastern Nepal: A Comparative Study of Conventional vs. Molecular Methodologies, J. Trop. Med, 2021, pp. 1-9, (2021); Jaeger Stefan R., PhD Sameer Antani, PhD Mahdieh Poostchi, PhD Sivaramakrishnan Rajaraman, PhD Feng Yang, PhD Hang Yu. Malaria Screening: Research into Image Analysis and Deep Learning, A Report to the Board of Scientific Counselors, (2018); Marques G., Ferreras A., de la Torre-Diez I., An ensemble-based approach for automated medical diagnosis of malaria using EfficientNet, Multimed. Tools Appl, 81, 19, pp. 28061-28078, (2022); Jameela T., Athotha K., Singh N., Gunjan V.K., Kahali S., Deep Learning and Transfer Learning for Malaria Detection, Comput. Intell. Neurosci, 2022, pp. 1-14, (2022); Banerjee T., Jain A., Sethuraman S.C., Et al., Deep Convolutional Neural Network (Falcon) and transfer learning‐based approach to detect malarial parasite, Multimed. Tools Appl, 81, 10, pp. 13237-13251, (2022); Qin B., Wu Y., Wang Z., Zheng H., Malaria Cell Detection Using Evolutionary Convolutional Deep Networks, 2019 Computing, Communications and IoT Applications (ComComAp), pp. 333-336, (2019); Liang Z., Powell A., Ersoy I., Et al., CNN-based image analysis for malaria diagnosis, 2016 IEEE International Conference on Bioinformatics and Biomedicine (BIBM), pp. 493-496, (2016); Diaz G., Gonzalez F.A., Romero E., A semi-automatic method for quantification and classification of erythrocytes infected with malaria parasites in microscopic images, J. Biomed. Inform, 42, 2, pp. 296-307, (2009); Das D.K., Maiti A.K., Chakraborty C., Automated system for characterization and classification of malaria‐infected stages using light microscopic images of thin blood smears, J. Microsc, 257, 3, pp. 238-252, (2015); Nanoti A., Jain S., Gupta C., Vyas G., Detection of malaria parasite species and life cycle stages using microscopic images of thin blood smear, 2016 International Conference on Inventive Computation Technologies (ICICT), pp. 1-6, (2016); Abbas N., Saba T., Rehman A., Et al., Plasmodium life cycle stage classification based quantification of malaria parasitaemia in thin blood smears, Microsc. Res. Tech, 82, 3, pp. 283-295, (2019); Manku R.R., Sharma A., Panchbhai A., Malaria Detection and Classificaiton, (2020); Abbas S.S., Dijkstra T.M.H., Detection and stage classification of Plasmodium falciparum from images of Giemsa stained thin blood films using random forest classifiers, Diagn. Pathol, 15, 1, (2020); Davidson M.S., Andradi-Brown C., Yahiya S., Et al., Automated detection and staging of malaria parasites from cytological smears using convolutional neural networks, Biol. Imaging, 1, (2021); Molina A., Rodellar J., Boldu L., Et al., Automatic identification of malaria and other red blood cell inclusions using convolutional neural networks, Comput. Biol. Med, 136, (2021); Li S., Du Z., Meng X., Zhang Y., Multi-stage malaria parasite recognition by deep learning, GigaScience, 10, 6, (2021); Krishnadas P., Chadaga K., Sampathila N., Et al., Classification of Malaria Using Object Detection Models, Informatics, 9, 4, (2022); Aris T., Nasir A., Mustafa W., Et al., Robust Image Processing Framework for Intelligent Multi-Stage Malaria Parasite Recognition of Thick and Thin Smear Images, Diagnostics, 13, 3, (2023); Kakkar B., Goyal M., Johri P., Kumar Y., Artificial Intelligence-Based Approaches for Detection and Classification of Different Classes of Malaria Parasites Using Microscopic Images: A Systematic Review, Arch. Comput. Methods Eng, 30, 8, pp. 4781-4800, (2023); Nair V., Hinton G., Rectified linear units improve restricted boltzmann machines, Proceedings of the 27th international conference on machine learning (ICML-10), pp. 807-814; Nagi J., Ducatelle F., Di Caro G.A., Et al., Max-pooling convolutional neural networks for vision-based hand gesture recognition, 2011 IEEE International Conference on Signal and Image Processing Applications (ICSIPA), pp. 342-347, (2011); Sharma S., Guleria K., Tiwari S., Kumar S., A deep learning based convolutional neural network model with VGG16 feature extractor for the detection of Alzheimer Disease using MRI scans, Meas. Sens, 24, (2022); Kaiming H., Xiangyu Z., Ren S., Jian S., Deep Residual Learning for Image Recognition, Proceedings of the IEEE Conference on Computer Vision and Pattern Recognition (CVPR), pp. 770-778, (2016); Gers F., Long short-term memory in recurrent neural networks, (2005)</t>
  </si>
  <si>
    <t xml:space="preserve">G. Aggarwal; School of Engineering and Technology, Sharda University, Greater Noida, India; email: 2019000123.gunjan@dr.sharda.ac.in</t>
  </si>
  <si>
    <t xml:space="preserve">J. Integr. Sci. Technol.</t>
  </si>
  <si>
    <t xml:space="preserve">2-s2.0-85216565754</t>
  </si>
  <si>
    <t xml:space="preserve">Mwangi P.; Kotva S.; Awe O.O.</t>
  </si>
  <si>
    <t xml:space="preserve">Mwangi, Peter (59540300200); Kotva, Samuel (59539139600); Awe, O. Olawale (57194525020)</t>
  </si>
  <si>
    <t xml:space="preserve">59540300200; 59539139600; 57194525020</t>
  </si>
  <si>
    <t xml:space="preserve">Explainable AI Models for Improved Disease Prediction</t>
  </si>
  <si>
    <t xml:space="preserve">This study integrates ensemble machine learning models and explainable artificial intelligence (XAI) frameworks for disease classification, focusing on anemia and malaria. For anemia classification, data is sourced from the South African National Health and Nutrition Examination Survey (SANHANES-1), involving 493 individuals aged 15–17 years (264 females and 229 males). Five different ensemble methods were used, including random forest, AdaBoost, gradient boost, XGBoost, and CatBoost. This study dealt with class imbalance by oversampling technique, therefore improving the robustness of the predictions. From the ensemble models, CatBoost stood out as the best with ROC AUC score of 0.980, followed closely by random forest at 0.973, while gradient boost, XGBoost, and AdaBoost achieved scores of 0.963, 0.964, and 0.900, respectively. On the other hand, malaria classification that used secondary data from the Federal Polytechnic Ilaro Medical Centre, Ilaro, Ogun State, Nigeria, comprising information from 337 patients aged between 3 and 77 years (180 females and 157 males) over a 4-week period, was utilized. Ensemble methods, including random forest, AdaBoost, gradient boost, XGBoost, and CatBoost, were employed, addressing class imbalance through oversampling technique. From the ensemble models, random forest stood out as the best with an ROC AUC score of 0.840, followed closely by CatBoost with an ROC AUC score of 0.795. XGBoost, gradient boost, and AdaBoost achieved ROC AUC scores of 0.790, 0.747, and 0.651, respectively. Explainable AI techniques such as LIME and permutation feature importance were utilized to enhance transparency and interpretability in both studies, evaluating how important different characteristics might influence the probability of getting the disease. These methodologies reveal which characteristics are essential for making predictions, hence promoting transparency and comprehension of how models make decisions. This information is necessary for healthcare providers because it may lead to better treatment options and improved patient outcomes, particularly concerning anemia and malaria management. © The Author(s), under exclusive license to Springer Nature Switzerland AG 2025.\</t>
  </si>
  <si>
    <t xml:space="preserve">Book chapter</t>
  </si>
  <si>
    <t xml:space="preserve">STEAM-H: Science, Technology, Engineering, Agriculture, Mathematics and Health</t>
  </si>
  <si>
    <t xml:space="preserve">Part F4005</t>
  </si>
  <si>
    <t xml:space="preserve">Springer Nature</t>
  </si>
  <si>
    <t xml:space="preserve">10.1007/978-3-031-72215-8_4</t>
  </si>
  <si>
    <t xml:space="preserve">https://www.scopus.com/inward/record.uri?eid=2-s2.0-85216768961&amp;doi=10.1007%2f978-3-031-72215-8_4&amp;partnerID=40&amp;md5=9fb4874a6a8780f173690cc81e0dc766</t>
  </si>
  <si>
    <t xml:space="preserve">Department of Data Science, African Institute for Data Science (AIMS), Limbe, Cameroon; Statistical Learning Laboratory (SaLLy), Federal University of Bahia, Salvador, Brazil</t>
  </si>
  <si>
    <t xml:space="preserve">Mwangi P., Department of Data Science, African Institute for Data Science (AIMS), Limbe, Cameroon; Kotva S., Department of Data Science, African Institute for Data Science (AIMS), Limbe, Cameroon; Awe O.O., Statistical Learning Laboratory (SaLLy), Federal University of Bahia, Salvador, Brazil</t>
  </si>
  <si>
    <t xml:space="preserve">Accuracy; Binary classification; F1 score; Prediction; Recall</t>
  </si>
  <si>
    <t xml:space="preserve">Ajit P., Prediction of employee turnover in organizations using machine learning algorithms, Algorithms, 4, 5, (2016); Ali S., Abuhmed T., El-Sappagh S., Muhammad K., Alonso-Moral J.M., Confalonieri R., Guidotti R., Del Ser J., Diaz-Rodriguez N., Herrera F., Explainable artificial intelligence (xai): What we know and what is left to attain trustworthy artificial intelligence, Information Fusion, 99, (2023); Amann J., Blasimme A., Vayena E., Frey D., Madai V.I., Explainability for artificial intelligence in healthcare: A multidisciplinary perspective, BMC Medical Informatics and Decision Making, 20, pp. 1-9, (2020); Awe O.O., Dukhi N., Dias R., Shrinkage heteroscedastic discriminant algorithms for classifying multi-class high-dimensional data: Insights from a national health survey, Machine Learning with Applications, 12, (2023); Azur M.J., Stuart E.A., Frangakis C., Leaf P.J., Multiple imputation by chained equations: What is it and how does it work?, International Journal of Methods in Psychiatric Research, 20, 1, pp. 40-49, (2011); Bhardwaj R., Nambiar A.R., Dutta D., A Study of Machine Learning in Healthcare, 2, pp. 236-241, (2017); Breiman L., Random forests, Machine Learning, 45, pp. 5-32, (2001); Cabitza F., Rasoini R., Gensini G.F., Unintended consequences of machine learning in medicine, Jama, 318, 6, pp. 517-518, (2017); Chawla N.V., Bowyer K.W., Hall L.O., Kegelmeyer W.P., Smote: Synthetic minority over-sampling technique, Journal of Artificial Intelligence Research, 16, pp. 321-357, (2002); Chen T., Guestrin C., Xgboost: A Scalable Tree Boosting System, pp. 785-794, (2016); Curia F., Explainable and transparency machine learning approach to predict diabetes develop, Health and Technology, 13, 5, pp. 769-780, (2023); Darshan B., Sampathila N., Bairy M.G., Belurkar S., Prabhu S., Chadaga K., Detection of anemic condition in patients from clinical markers and explainable artificial intelligence, Technology and Health Care, (Preprint), pp. 1-14, (2024); Delport J., Centeno V., Thorp J., Transient stability prediction for load flow cascading models using random forests, 2018 IEEE/PES Transmission and Distribution Conference and Exposition (T&amp;D), pp. 1-9, (2018); Ding Y., Zhu H., Chen R., Li R., An efficient adaboost algorithm with the multiple thresholds classification, Applied Sciences, 12, 12, (2022); Enuku O., A Personalised Diabetes Mellitus Risk Assessment Tool Using Machine Learning and Explainable AI, (2024); Fafalios S., Charonyktakis P., Tsamardinos I., Gradient boosting trees, Gnosis Data Analysis PC, pp. 1-3, (2020); Freund Y., Schapire R., Abe N., A short introduction to boosting, Journal-Japanese Society for Artificial Intelligence, 14, 771-780, (1999); Friedman J., Hastie T., Tibshirani R., Additive logistic regression: A statistical view of boosting (with discussion and a rejoinder by the authors), The Annals of Statistics, 28, 2, pp. 337-407, (2000); Ghoshroy D., Alvi D.P., Santosh K., Explainable ai to predict male fertility using extreme gradient boosting algorithm with smote, Electronics, 12, (2022); Goto T., Camargo C.A., Faridi M.K., Yun B.J., Hasegawa K., Machine learning approaches for predicting disposition of asthma and copd exacerbations in the ed, The American Journal of Emergency Medicine, 36, 9, pp. 1650-1654, (2018); Hastie T., Tibshirani R., Friedman J.H., Friedman J.H., The Elements of Statistical Learning: Data Mining, Inference, and Prediction, 2, (2009); Ho E.T.L., Tan I.E.-H., Lee I., Wu P.Y., Chong H.F., Predicting Readmission at Early Hospitalization Using Electronic Health Data: A Customized Model Development, (2017); Hong W.S., Haimovich A.D., Taylor R.A., Predicting hospital admission at emergency department triage using machine learning, Plos One, 13, 7, (2018); James G., Witten D., Hastie T., Tibshirani R., An Introduction to Statistical Learning: With Applications in R, (2013); Javale D.P., Desai S.S., Machine learning ensemble approach for healthcare data analytics, Indonesian Journal of Electrical Engineering and Computer Science, 28, 2, (2022); Klug M., Barash Y., Bechler S., Resheff Y.S., Tron T., Ironi A., Soffer S., Zimlichman E., Klang E., A gradient boosting machine learning model for predicting early mortality in the emergency department triage: Devising a nine-point triage score, Journal of General Internal Medicine, 35, pp. 220-227, (2020); Li Y.-F., Wang H., Sun M., Chatgpt-like large-scale foundation models for prognostics and health management: A survey and roadmaps, Reliability Engineering &amp; System Safety, (2023); Liaw A., Wiener M., Classification and regression by randomForest, R News, 2, 3, pp. 18-22, (2002); Liew X.Y., Hameed N., Clos J., An investigation of xgboost-based algorithm for breast cancer classification, Machine Learning with Applications, 6, (2021); Little R.J., Rubin D.B., Statistical Analysis with Missing Data, 793, (2019); Mason L., Baxter J., Bartlett P., Frean M., Boosting algorithms as gradient descent, Advances in Neural Information Processing Systems, (1999); Mbaabu O., Introduction to random forest in machine learning, Engineering Education (Enged) Program— Section, (2020); Mohammed A., Kora R., A comprehensive review on ensemble deep learning: Opportunities and challenges, Journal of King Saud University-Computer and Information Sciences, 35, 2, pp. 757-774, (2023); Molnar C., Interpretable machine learning, Lulu. Com, (2020); Mridha K., Bappon S.D., Sabuj S.M., Sarker T., Ghosh A., Explainable Machine Learning for Drug Classification, pp. 673-683, (2023); Nazmul Alam M., Kabir M.S., Explainable Ai in Healthcare: Enhancing Transparency and Trust upon Legal and Ethical Consideration, (2023); Ogunleye A., Wang Q.-G., Xgboost model for chronic kidney disease diagnosis, IEEE/ACM Transactions on Computational Biology and Bioinformatics, 17, 6, pp. 2131-2140, (2019); Pan B., Application of XGBoost algorithm in hourly PM2.5 concentration prediction, IOP Conference Series: Earth and Environmental Science, 113, (2018); Pedregosa F., Varoquaux G., Gramfort A., Michel V., Thirion B., Grisel O., Blondel M., Prettenhofer P., Weiss R., Dubourg V., Et al., Scikit-learn: Machine learning in python, The Journal of Machine Learning Research, 12, pp. 2825-2830, (2011); Ponnusamy U., Darshan D., Sampathila N., Approaching Explainable Artificial Intelligence Methods in the Diagnosis of Iron Deficiency Anemia Using Blood Parameters, pp. 201-206, (2023); Prajapati J., Uduthalapally V., Das D., Mahapatra R., Wasnik P.N., Xaia: An Explainable Ai Approach for Classification and Analysis of Blood Anemia, pp. 88-93, (2023); Profillidis V., Botzoris G., Statistical methods for transport demand modeling, Modeling of Transport Demand, pp. 163-224, (2019); Rajkomar A., Dean J., Kohane I., Machine learning in medicine, New England Journal of Medicine, 380, 14, pp. 1347-1358, (2019); Rasheed K., Qayyum A., Ghaly M., Al-Fuqaha A., Razi A., Qadir J., Explainable, trustworthy, and ethical machine learning for healthcare: A survey, Computers in Biology and Medicine, 149, (2022); Sagi O., Rokach L., Approximating xgboost with an interpretable decision tree, Information Sciences, 572, pp. 522-542, (2021); Santosh K., Gaur L., Artificial Intelligence and Machine Learning in Public Healthcare: Opportunities and Societal Impact, (2022); Shickel B., Tighe P.J., Bihorac A., Rashidi P., Deep ehr: A survey of recent advances in deep learning techniques for electronic health record (ehr) analysis, IEEE Journal of Biomedical and Health Informatics, 22, 5, pp. 1589-1604, (2017); Si S., Zhang H., Keerthi S.S., Mahajan D., Dhillon I.S., Hsieh C.-J., Gradient boosted decision trees for high-dimensional sparse output, International Conference on Machine Learning, pp. 3182-3190, (2017); Tasin I., Nabil T.U., Islam S., Khan R., Diabetes prediction using machine learning and explainable ai techniques, Healthcare Technology Letters, 10, 1-2, pp. 1-10, (2023); White I.R., Royston P., Wood A.M., Multiple imputation using chained equations: Issues and guidance for practice, Statistics in Medicine, 30, 4, pp. 377-399, (2011)</t>
  </si>
  <si>
    <t xml:space="preserve">P. Mwangi; Department of Data Science, African Institute for Data Science (AIMS), Limbe, Cameroon; email: peter.mwangi@aims-cameroon.org</t>
  </si>
  <si>
    <t xml:space="preserve">2520193X</t>
  </si>
  <si>
    <t xml:space="preserve">Sci. Technol. Eng. Agric. Math. Health.</t>
  </si>
  <si>
    <t xml:space="preserve">2-s2.0-85216768961</t>
  </si>
  <si>
    <t xml:space="preserve">Agrawal N.K.</t>
  </si>
  <si>
    <t xml:space="preserve">Agrawal, Navin Kumar (57215723998)</t>
  </si>
  <si>
    <t xml:space="preserve">Malaria detection using convolutional neural networks: A deep learning approach</t>
  </si>
  <si>
    <t xml:space="preserve">Malaria remains an important worldwide challenge, with millions of cases reported annually, especially in resource-constrained regions. Effective treatment and disease management of malaria depend on a prompt and precise diagnosis. In this work, we present a Convolutional Neural Network (CNN) based deep learning method for malaria identification. Our research leverages a comprehensive dataset comprising thousands of blood smear images collected from diverse malaria-endemic regions. We pre-process the images to enhance their quality and ensure consistency across the dataset. We then employ a CNN architecture, trained on this dataset, to automatically learn discriminative features from the blood smear images. The trained CNN model demonstrates remarkable performance in malaria detection, achieving an accuracy of over 95% on a hold-out test set. Moreover, our model exhibits high sensitivity and specificity, which are essential for reducing false positives and false negatives in the diagnosis of malaria. We compare our CNN-based approach with traditional machine learning methods and highlight its superior performance. © 2024 selection and editorial matter, Anurag Tiwari and Manuj Darbari.</t>
  </si>
  <si>
    <t xml:space="preserve">Emerging Trends in Computer Science and Its Application</t>
  </si>
  <si>
    <t xml:space="preserve">CRC Press</t>
  </si>
  <si>
    <t xml:space="preserve">10.1201/9781003606635-24</t>
  </si>
  <si>
    <t xml:space="preserve">https://www.scopus.com/inward/record.uri?eid=2-s2.0-85216826738&amp;doi=10.1201%2f9781003606635-24&amp;partnerID=40&amp;md5=7435845e428a449ab57cb0b2a06d7e09</t>
  </si>
  <si>
    <t xml:space="preserve">Department of Computer Engineering and Applications, GLA university, Mathura, India</t>
  </si>
  <si>
    <t xml:space="preserve">Agrawal N.K., Department of Computer Engineering and Applications, GLA university, Mathura, India</t>
  </si>
  <si>
    <t xml:space="preserve">Convolution neural network (CNN); Deep learning; Epoch; Malaria</t>
  </si>
  <si>
    <t xml:space="preserve">Liu S., Deng W., Very deep convolutional neural network based image classification using small training sample size, (2015); NimaHatami, Gavet Y., Debayale J., "Classification of time-series images using deep convolutional neural network", 10696, (2017); Ross N.E., Pitchard C.J., Rubin D.M., Duse A.G., Automated image processing method for the diagnosis and classification of malaria on thin blood smears, 44; Khatri K.M., Ratnaparkhe V.R., Agarwal S.S., Bhalchandra A.S., Image processing approach for malarial parasite identification, International Journal of computer Application (IJCA); Makkapati V.V., Rao R.M., Segmentation of malarial parasites in peripheral blood smear images, IEEE International Conference on Acoustics; Dallet C., Kareem S., Kale I., Real time blood image processing application for malaria diagnosis using mobile phones, IEEE International Symposium on Circuits and Systems (ISCAS); Liang Z., Powell A., Ersoy I., Poostchi M., Silmaut K., Palani K., CNN-based image analysis for malaria diagnosis, IEEE International Conference on Bioinformatics and Biomedicine (BIBM); Dong Y., Jiang Z., Shen H., David Pan W., Williams L.A., Vishnu Reddy V.B., Evaluations of deep convolutional neural network for automatic identification of malaria infected cells, IEEE EMBS International Conference on Biomedical and Health Informatics (BHI); Gopakumar G.P., Swetha M., Siva G.S., Convolutional neural network-based malaria diagnosis from stack of blood smear images acquired using custom-built slide scanner, Journal of Biophontics, 11, 3; Gascoyne P., Satayavivad J., Ruchirawat M., Microfludic approaches to malaria detection, ActaTropica, 89, 3; Almezhghwi K., Et al., Convolutional neural networks for the classification of chest X-rays in the IoT era, Multim. Tool. Appl, 80, 19, pp. 29051-29065, (2021); Kaymak S., Almezhwi K., Shelag A.A.S., Classification of diseases on chest X-rays using deep learning, ICAFS 2018. AISC, 896, pp. 516-523, (2019); Abiyev R.H., Matah M.K.S., Deep convolutional neural networks for chest diseases detection, J. Healthc. Eng, (2018); Nguyen D., Et al., A comparison of Monte Carlo dropout and bootstrap aggregation on the performance and uncertainty estimation in radiation therapy dose prediction with deep learning neural networks, Phys. Med. Biol, 66, 5; Szegedy C., Et al., Going deeper with convolutions, IEEE Conference on Computer Vision and Pattern Recognition (CVPR), (2018)</t>
  </si>
  <si>
    <t xml:space="preserve">N.K. Agrawal; Department of Computer Engineering and Applications, GLA university, Mathura, India; email: navin.agrawal@gla.ac.in</t>
  </si>
  <si>
    <t xml:space="preserve">978-104034649-5; 978-103299900-5</t>
  </si>
  <si>
    <t xml:space="preserve">Emerging Trends in Computer Sci. and Its Applic.</t>
  </si>
  <si>
    <t xml:space="preserve">2-s2.0-85216826738</t>
  </si>
  <si>
    <t xml:space="preserve">Pandey A.; Singh D.</t>
  </si>
  <si>
    <t xml:space="preserve">Pandey, Anjana (58228978900); Singh, Divya (58275505900)</t>
  </si>
  <si>
    <t xml:space="preserve">58228978900; 58275505900</t>
  </si>
  <si>
    <t xml:space="preserve">Revolutionizing drug discovery and development: The impact of in silico and bioinformatics approaches</t>
  </si>
  <si>
    <t xml:space="preserve">The field of drug discovery and development is undergoing a transformative revolution driven by the integration of in silico and bioinformatics approaches. These computational methods are reshaping traditional paradigms by enhancing efficiency, reducing costs, and improving the precision and success rate of identifying new therapeutic agents. Traditional drug discovery is a time-consuming and costly process, often taking over a decade and billions of dollars to bring a new drug to market. It involves multiple stages, including target identification, lead discovery, preclinical testing, clinical trials, and regulatory approval. The high attrition rate, particularly in the later stages, underscores the need for more efficient and accurate methods. This is where in silico and bioinformatics approaches come into play, offering a paradigm shift in how drugs are discovered and developed. Virtual screening or molecular docking is a computational technique that predicts the preferred orientation of a drug molecule (ligand) when bound to its target protein. This approach helps identify potential drug candidates by evaluating their binding affinity to the target. Tools like AutoDock, UCSF Chimera, PyRx, and Schrödinger Glide facilitate the rapid screening of large compound libraries, significantly accelerating the initial stages of drug discovery. An example of molecular docking success is the development of protease inhibitors for HIV treatment, such as saquinavir. These inhibitors were designed by docking various compounds to the HIV protease enzyme, leading to effective drugs that inhibit viral replication. ADMET (Absorption, Distribution, Metabolism, Excretion, and Toxicity) properties are crucial for the success of a drug candidate. Computational ADMET prediction tools, such as ADMET Predictor, SwissADME, Protox II, and pkCSM, evaluate these properties early in the development process. By identifying compounds with favourable ADMET profiles, researchers can focus on candidates with a higher likelihood of clinical success. For instance, ADMET predictions have played a key role in the development of drugs like rivaroxaban, an anticoagulant used to prevent blood clots, by ensuring favourable pharmacokinetic properties and minimizing adverse effects. Molecular dynamics (MD) simulations go a step further by studying the physical movements of atoms and molecules over time. MD simulations provide detailed insights into the stability and behaviour of drug-target interactions, allowing researchers to understand the dynamic nature of these complexes and refine drug designs accordingly. For instance, MD simulations have been pivotal in developing drugs targeting the epidermal growth factor receptor (EGFR) in cancer therapy, such as gefitinib, used to treat non-small cell lung cancer. On the other hand, QSAR models establish a correlation between the chemical structure of compounds and their biological activity using statistical and machine learning techniques. These models predict the efficacy and toxicity of new compounds, enabling the selection of promising candidates early in the development process. For example, QSAR models have been used in designing novel antimalarial drugs by predicting the activity of new compounds against Plasmodium falciparum, the parasite responsible for malaria. Machine learning (ML) and artificial intelligence (AI) are revolutionizing bioinformatics by enabling the analysis of large and complex datasets. ML algorithms can predict drug-target interactions, optimize lead compounds, and model biological processes. For example, AI-driven platforms like DeepChem use neural networks to predict the activity and toxicity of compounds, significantly enhancing the efficiency of drug discovery. AI has been utilized in developing drugs like baricitinib, initially identified using machine learning models for repurposing in treating rheumatoid arthritis and later found effective against COVID-19. © 2025 Anjana Pandey, Rakesh Kumar, and Ashutosh Pandey. All rights reserved.</t>
  </si>
  <si>
    <t xml:space="preserve">drug discovery</t>
  </si>
  <si>
    <t xml:space="preserve">Technologies and Innovations for Sustainable Development</t>
  </si>
  <si>
    <t xml:space="preserve">10.1201/9781003487012-4</t>
  </si>
  <si>
    <t xml:space="preserve">https://www.scopus.com/inward/record.uri?eid=2-s2.0-85216702360&amp;doi=10.1201%2f9781003487012-4&amp;partnerID=40&amp;md5=acaaba70619720328790648fea50f9a7</t>
  </si>
  <si>
    <t xml:space="preserve">Department of Biotechnology, Motilal Nehru National Institute of Technology (MNNIT), Allahabad, Prayagraj, Uttar Pradesh, India</t>
  </si>
  <si>
    <t xml:space="preserve">Pandey A., Department of Biotechnology, Motilal Nehru National Institute of Technology (MNNIT), Allahabad, Prayagraj, Uttar Pradesh, India; Singh D., Department of Biotechnology, Motilal Nehru National Institute of Technology (MNNIT), Allahabad, Prayagraj, Uttar Pradesh, India</t>
  </si>
  <si>
    <t xml:space="preserve">978-100348701-2; 978-103278258-4</t>
  </si>
  <si>
    <t xml:space="preserve">Technol. and Innov. for Sustain. Dev.</t>
  </si>
  <si>
    <t xml:space="preserve">2-s2.0-85216702360</t>
  </si>
  <si>
    <t xml:space="preserve">Madhukala S.; Perera S.</t>
  </si>
  <si>
    <t xml:space="preserve">Madhukala, Sachanee (59415575800); Perera, Sulanie (57201214004)</t>
  </si>
  <si>
    <t xml:space="preserve">59415575800; 57201214004</t>
  </si>
  <si>
    <t xml:space="preserve">A Comparative Analysis of Machine Learning Algorithms to Predict Dengue Shock Syndrome</t>
  </si>
  <si>
    <t xml:space="preserve">Early diagnosis of dengue poses a considerable challenge in resource limited settings. Dengue fever may progress to life threatening diseases and clinicians need to identify high risk patients before their condition worsen. A publicly available Vietnamese dataset of 2301 Vietnamese children aged 5 to 15 years who developed dengue shock syndrome (DSS) between 2001 and 2009 was used to build a DSS predictive model using machine learning algorithms. Missing values of clinical and laboratory variables were imputed using the K-Nearest Neighbor (KNN) technique. Subsequently, feature selection was performed using Recursive Feature Elimination with Cross Validation (RFECV) and the Chi-squared test. Selected parameters included age, weight, days of illness, temperature, hematocrit level, platelet count and history of vomiting as predictors of DSS. Random Under-Sampling (RUS) and Synthetic Minority Over-sampling (SMOTE) were used to address class imbalance in the dataset. To develop predictive models, Logistic Regression (LR), Random Forest (RF), XGBoost (XGB) and Support Vector Machine (SVM) were trained. The results showed that SMOTE combined with XGBoost and SVM classifiers achieved the highest performance, with a 95.97% F1-score for both classifiers and an area under receiver operating characteristic (AUROC) of 98.48% for XGBoost and 98.89% for SVM classifier. This research shows potential for developing a predictive model by comparing several machine learning approaches with SMOTE, aimed at the early detection of DSS in resource limited settings. © The Author(s), under exclusive license to Springer Nature Singapore Pte Ltd. 2025.</t>
  </si>
  <si>
    <t xml:space="preserve">Conference paper</t>
  </si>
  <si>
    <t xml:space="preserve">Communications in Computer and Information Science</t>
  </si>
  <si>
    <t xml:space="preserve">2318 CCIS</t>
  </si>
  <si>
    <t xml:space="preserve">Springer Science and Business Media Deutschland GmbH</t>
  </si>
  <si>
    <t xml:space="preserve">10.1007/978-981-97-9793-6_19</t>
  </si>
  <si>
    <t xml:space="preserve">https://www.scopus.com/inward/record.uri?eid=2-s2.0-85209561129&amp;doi=10.1007%2f978-981-97-9793-6_19&amp;partnerID=40&amp;md5=5a532f2a3adc174f919138f030774d1c</t>
  </si>
  <si>
    <t xml:space="preserve">University of Moratuwa, Katubedda, Moratuwa, 10440, Sri Lanka</t>
  </si>
  <si>
    <t xml:space="preserve">Madhukala S., University of Moratuwa, Katubedda, Moratuwa, 10440, Sri Lanka; Perera S., University of Moratuwa, Katubedda, Moratuwa, 10440, Sri Lanka</t>
  </si>
  <si>
    <t xml:space="preserve">Class imbalance; Dengue Shock Syndrome; Machine Learning; Over-sampling; XGBoost</t>
  </si>
  <si>
    <t xml:space="preserve">Adversarial machine learning; Contrastive Learning; Diagnosis; Diseases; Logistic regression; Support vector regression; Class imbalance; Comparative analyzes; Dengue shock syndrome; Machine learning algorithms; Machine-learning; Over sampling; Predictive models; Support vector machine classifiers; Vietnamese; Xgboost; Nearest neighbor search</t>
  </si>
  <si>
    <t xml:space="preserve">Al-Azani S., Alkhnbashi O.S., Ramadan E., Alfarraj M., Gene expression-based cancer classification for handling the class imbalance problem and curse of dimensionality, Int. J. Mol. Sci., 25, 4, (2024); Alghamdi M., Al-Mallah M., Keteyian S., Brawner C., Ehrman J., Sakr S., Predicting diabetes mellitus using smote and ensemble machine learning approach: The henry ford exercise testing (fit) project, Plos ONE, 12, 7, (2017); Altman N.S., An introduction to kernel and nearest-neighbor nonparametric regression, Am. Stat., 46, 3, pp. 175-185, (1992); Belfield S.J., Cronin M.T., Enoch S.J., Firman J.W., Guidance for good practice in the application of machine learning in development of toxicological quantitative structure-activity relationships (QSARs), Plos ONE, 18, 5, (2023); Bennett M., Kleczyk E.J., Hayes K., Mehta R., Evaluating similarities and differences between machine learning and traditional statistical modeling in healthcare analytics, Intechopen, (2022); Bhatt S., Et al., The global distribution and burden of dengue, Nature, 496, pp. 504-507, (2013); Blagus R., Lusa L., Joint use of over- and under-sampling techniques and cross-validation for the development and assessment of prediction models, BMC Bioinformatics, 16, 1, (2015); Boulesteix A., Schmid M., Machine learning versus statistical modeling, Biom. J., 56, 4, pp. 588-593, (2014); Cavailler P., Et al., Early diagnosis of dengue disease severity in a resource-limited Asian country, BMC Infectious Diseases, 16, 1, (2016); Centers for Disease Control and Prevention: Why is Dengue a Global Issue?; Chen X., Huang L., Xie D., Zhao Q., Egbmmda: Extreme gradient boosting machine for mirna-disease association prediction, Cell Death Disease, 9, 1, (2018); Chowdhury S.U., Sayeed S., Rashid I., Alam M.G.R., Masum A.K.M., Dewan M.A.A., Shapley-additive-explanations-based factor analysis for dengue severity prediction using machine learning, J. Imaging, 8, 9, (2022); Commandeur F., Et al., Machine learning to predict the long-term risk of myocardial infarction and cardiac death based on clinical risk, coronary calcium, and epicardial adipose tissue: A prospective study, Cardiovasc. Res., 116, 14, pp. 2216-2225, (2019); Gupta A., Et al., Prevalence of dengue serotypes and its correlation with the laboratory profile at a tertiary care hospital in northwestern India, Cureus, (2021); Hoyos W., Aguilar J., Toro M., An autonomous cycle of data analysis tasks for the clinical management of dengue, Heliyon, 8, 10, (2022); Huang S.W., Tsai H.P., Hung S.J., Ko W.C., Wang J.R., Assessing the risk of dengue severity using demographic information and laboratory test results with machine learning, Plos Negl. Trop. Dis., 14, 12, (2020); Lam P.K., Et al., The value of daily platelet counts for predicting dengue shock syndrome: Results from a prospective observational study of 2301 Vietnamese children with dengue, Plos Negl. Trop. Dis., 11, 4, (2017); Liu Y.E., Et al., An 8-gene machine learning model improves clinical prediction of severe dengue progression, Genome Med, 14, 1, (2022); Park S., Et al., Use of structural equation models to predict dengue illness phenotype, Plos Negl. Trop. Dis., 12, 10, (2018); Pedregosa F., Et al., Scikit-learn: Machine learning in python, J. Mach. Learn. Res., 12, 85, pp. 2825-2830, (2011); Pruneski J.A., Et al., The development and deployment of machine learning models, Knee Surg. Sports Traumatol. Arthrosc., 30, 12, pp. 3917-3923, (2022); Rauschert S., Raubenheimer K., Melton P.E., Huang R.C., Machine learning and clinical epigenetics: A review of challenges for diagnosis and classification, Clin. Epigenetics, 12, 1, (2020); Sarker I.H., Machine learning: Algorithms, real-world applications and research directions, SN Comput. Sci., 2, 3, pp. 1-21, (2021); Song X., Liu X., Liu F., Wang C., Comparison of machine learning and logistic regression models in predicting acute kidney injury: A systematic review and meta-analysis, Int. J. Med. Inform., 151, (2021); Talwar A., Lopez-Olivo M.A., Huang Y., Ying L., Aparasu R.R., Performance of advanced machine learning algorithms overlogistic regression in predicting hospital readmissions: A meta-analysis, Exploratory Res. Clin. Soc. Pharmacy, 11, (2023); Wong T.T., Performance evaluation of classification algorithms by k-fold and leave-one-out cross validation, Pattern Recognit, 48, 9, pp. 2839-2846, (2015); World Health Organization: Dengue and Severe Dengue; World Health Organization: Dengue Guidelines for Diagnosis, Treatment, Prevention and Control: New Edition, (2009); Zargari Marandi R., Et al., Development of a machine learning model for early prediction of plasma leakage in suspected dengue patients, Plos Negl. Trop. Dis., 17, 3, (2023)</t>
  </si>
  <si>
    <t xml:space="preserve">S. Madhukala; University of Moratuwa, Moratuwa, Katubedda, 10440, Sri Lanka; email: madhukalahks.20@uom.lk</t>
  </si>
  <si>
    <t xml:space="preserve">Anutariya C.; Bonsangue M.M.; Budhiarti-Nababan E.; Sitompul O.S.</t>
  </si>
  <si>
    <t xml:space="preserve">2nd International Conference on Data Science and Artificial Intelligence, DSAI 2024</t>
  </si>
  <si>
    <t xml:space="preserve">13 November 2024 through 15 November 2024</t>
  </si>
  <si>
    <t xml:space="preserve">Medan</t>
  </si>
  <si>
    <t xml:space="preserve">978-981979792-9</t>
  </si>
  <si>
    <t xml:space="preserve">Commun. Comput. Info. Sci.</t>
  </si>
  <si>
    <t xml:space="preserve">2-s2.0-85209561129</t>
  </si>
  <si>
    <t xml:space="preserve">Gupta N.; Singh H.; Singla J.</t>
  </si>
  <si>
    <t xml:space="preserve">Gupta, Nisha (58717134800); Singh, Harjeet (57207838440); Singla, Jimmy (57209800811)</t>
  </si>
  <si>
    <t xml:space="preserve">58717134800; 57207838440; 57209800811</t>
  </si>
  <si>
    <t xml:space="preserve">A comparative review on machine learning based medical diagnostic systems for Chikungunya and Zika virus</t>
  </si>
  <si>
    <t xml:space="preserve">The Chikungunya arbovirus and zika virus have recently experienced widespread outbreaks, which have allowed the virus to spread rapidly worldwide. These illnesses initially manifest as an acute stage of fever and severe joint inflammation. However, this stage gradually turns into a chronic stage, and during this time, a person experiences debilitating articular pain that is persistent and long-lasting. Additionally, the traditional methodologies used to identify it are not very effective and time-consuming. However, in the current years, the advancement in technology assists in monitoring, diagnosing, and treating individuals suffering from this virus remotely. For healthcare systems, Machine Learning (ML) is a godsend since it helps experts identify, diagnose, treat, and control dangerous diseases. In order to detect Zika and Chikungunya virus, this review study evaluates and compares the performance parameters of various ML approaches utilized in existing studies. This paper discusses the top techniques for diagnosing the selected viruses and offers a thorough evaluation of medical expert systems. © 2025 the Author(s).</t>
  </si>
  <si>
    <t xml:space="preserve">Computational Methods in Science and Technology - Proceedings of the 4th International Conference on Computational Methods in Science and Technology, ICCMST 2024</t>
  </si>
  <si>
    <t xml:space="preserve">CRC Press/Balkema</t>
  </si>
  <si>
    <t xml:space="preserve">10.1201/9781003561651-49</t>
  </si>
  <si>
    <t xml:space="preserve">https://www.scopus.com/inward/record.uri?eid=2-s2.0-85209224900&amp;doi=10.1201%2f9781003561651-49&amp;partnerID=40&amp;md5=575f762b2d704760eb4f7d082b1fc81d</t>
  </si>
  <si>
    <t xml:space="preserve">Chitkara Institute of Engineering and Technology, Chitkara University, India; School of Computer Science and Engineering, Lovely Professional University, India</t>
  </si>
  <si>
    <t xml:space="preserve">Gupta N., Chitkara Institute of Engineering and Technology, Chitkara University, India; Singh H., Chitkara Institute of Engineering and Technology, Chitkara University, India; Singla J., School of Computer Science and Engineering, Lovely Professional University, India</t>
  </si>
  <si>
    <t xml:space="preserve">Artificial Intelligence; Chikungunya; Comparative Review; Diagnostic systems; Expert systems; Machine Learning; Zika Virus</t>
  </si>
  <si>
    <t xml:space="preserve">Adversarial machine learning; Arthroplasty; Contrastive Learning; Diagnosis; Disease control; Machine learning; 'current; Chikungunya; Comparative review; Diagnostic systems; Healthcare systems; Long lasting; Machine-learning; Medical diagnostics; On-machines; Zika virus; Expert systems</t>
  </si>
  <si>
    <t xml:space="preserve">Ramesh T.R., Lilhore U.K., Poongodi M., Simaiya S., Kaur A., Hamdi M., Predictive analysis of heart diseases with machine learning approaches, Malaysian Journal of Computer Science, pp. 132-148, (2022); Lilhore U.K., Poongodi M., Kaur A., Simaiya S., Algarni A.D., Elmannai H., Vijayakumar V., Tunze G.B., Hamdi M., Hybrid model for detection of cervical cancer using causal analysis and machine learning techniques, Computational and Mathematical Methods in Medicine, (2022); de Lima Cavalcanti T.Y., Pereira M.R., de Paula S.O., Franca R.F., A review on chikungunya virus epidemiology, pathogenesis and current vaccine development, Viruses, 14, 5, (2022); Wahid B., Ali A., Rafique S., Idrees M., Global expansion of chikungunya virus, Mapping the 64-Year History, International Journal of Infectious Diseases, 58, pp. 69-76, (2017); Tan C.H., Et al., Lineage replacement associated with fitness gain in mammalian cells and AEDES AEGYPTI: A catalyst for dengue virus type 2 transmission, Microorganisms, 10, 6, (2022); Bartholomeeusen K., Et al., Chikungunya fever, Nature Reviews Disease Primers, 9, 1, (2023); Mourad O., Makhani L., Chen L.H., Chikungunya: An emerging public health concern, Current Infectious Disease Reports, 24, 12, pp. 217-228, (2022); Sharma, Et al., Zika virus: An emerging challenge to public health worldwide, Canadian Journal of Microbiology, 66, 2, pp. 87-98, (2020); Song B.-H., Yun S.-I., Woolley M., Lee Y.-M., Zika virus: History, epidemiology, transmission, and clinical presentation, Journal of Neuroimmunology, 308, pp. 50-64, (2017); Gupta N., Kodan P., Baruah K., Soneja M., Biswas A., Zika virus in India: Past, present and future, QJM: An International Journal of Medicine, 116, 8, pp. 644-649, (2019); Lazear H.M., Diamond M.S., Zika virus: New clinical syndromes and its emergence in the Western Hemisphere, Journal of Virology, 90, 10, pp. 4864-4875, (2016); Sood S.K., Mahajan I., Wearable IOT sensor based healthcare system for identifying and controlling chikungunya virus, Computers in Industry, 91, pp. 33-44, (2017); Verma S., Sharma N., Statistical models for predicting chikungunya incidences in India, 2018 First International Conference on Secure Cyber Computing and Communication (ICSCCC), pp. 139-142, (2018); Sood S.K., Mahajan I., A FOG-based healthcare framework for Chikungunya, IEEE Internet of Things Journal, 5, 2, pp. 794-801, (2018); Thakur P., Kaur S., An intelligent system for predicting and preventing chikungunya virus, 2017 International Conference on Energy, Communication, Data Analytics and Soft Computing (ICECDS), 2017, pp. 3483-3492, (2017); Caicedo-Torres W., Paternina-Caicedo A., Pinzon-Redondo H., Gutierrez J., Differential diagnosis of Dengue and chikungunya in Colombian children using machine learning, Advances in Artificial Intelligence - IBERAMIA, 2018, pp. 181-192, (2018); Magwili G.V., Et al., Raspberry pi-based medical expert system for pre-diagnosis of mosquitoborne diseases, 2018 IEEE 10Th International Conference on Humanoid, Nanotechnology, pp. 1-6, (2018); da Silva Neto S.R., de Oliveira T.T., de Souza Sampaio V., Lynn T., Endo P.T., Platform for monitoring and clinical diagnosis of arboviruses using computational models, 2020 International Conference on Cyber Security and Protection of Digital Services (Cyber Security), pp. 1-3, (2020); Hossain M.S., Sultana Z., Nahar L., Andersson K., An intelligent system to diagnose chikungunya under uncertainty, Journal of Wireless Mobile Networks, Ubiquitous Computing, and Dependable Applications (Jowua), 10, 2, pp. 37-54, (2019); Dhaka A., Singh P., Comparative analysis of epidemic alert systems using machine learning for dengue and chikungunya, 2020 10th International Conference on Cloud Computing, Data Science &amp; Engineering (Confluence), pp. 798-804, (2020); Raizada S., Mala S., Shankar A., Vector borne disease outbreak prediction by machine learning, 2020 International Conference on Smart Technologies in Computing, Electrical and Electronics (ICSTCEE), pp. 213-218, (2020); Mudele O., Bayer F.M., Zanandrez L.F.R., Eiras A.E., Gamba P., Modeling the Temporal Population Distribution of Ae. aegyptiAeaegypti Mosquito Using Big Earth Observation Data, IEEE Access, 8, pp. 14182-14194, (2020); Adhane G., Dehshibi M.M., Masip D., A Deep Convolutional Neural Network for Classification of Aedes Albopictus Mosquitoes, IEEE Access, 9, pp. 72681-72690, (2021); Silva C.C., Et al., Forecasting dengue, chikungunya and zika cases in Recife, Brazil: A spatiotemporal approach based on climate conditions, health notifications and machine learning, Research, Society and Development, 10, 12, (2021); Melendez-Acosta N.J., Espinoza-Solis D.M., Leon-Borges J.A., Expert Fuzzy System Determining Dengue, Zika, chikungunya and yellow fever infection, Computación Y Sistemas, 26, 1, (2022)</t>
  </si>
  <si>
    <t xml:space="preserve">Kaur S.; Kamboj S.; Kumar M.; Dagur A.; Shukla D.K.</t>
  </si>
  <si>
    <t xml:space="preserve">4th International Conference on Computational Methods in Science and Technology, ICCMST 2024</t>
  </si>
  <si>
    <t xml:space="preserve">2 May 2024 through 3 May 2024</t>
  </si>
  <si>
    <t xml:space="preserve">Kingston</t>
  </si>
  <si>
    <t xml:space="preserve">978-103291157-1</t>
  </si>
  <si>
    <t xml:space="preserve">Comput. Methods Sci. Technol. - Proc. Int. Conf. Comput. Methods Sci. Technol.</t>
  </si>
  <si>
    <t xml:space="preserve">2-s2.0-85209224900</t>
  </si>
  <si>
    <t xml:space="preserve">Mortuza Ahmmed M.; Ashraful Babu M.; Rahman M.M.; Noor M.N.; Kabir K.M.T.; Islam M.M.; Rafith S.S.</t>
  </si>
  <si>
    <t xml:space="preserve">Mortuza Ahmmed, Md. (57222043605); Ashraful Babu, Md. (57212215763); Rahman, M. Mostafizur (58807080200); Noor, Mst. Nadiya (59390479000); Kabir, K. M. Tahsin (59390881900); Islam, Md. Moynul (57263730600); Rafith, Sadman Samir (59173633600)</t>
  </si>
  <si>
    <t xml:space="preserve">57222043605; 57212215763; 58807080200; 59390479000; 59390881900; 57263730600; 59173633600</t>
  </si>
  <si>
    <t xml:space="preserve">Dengue Dynamics in Bangladesh: Unveiling Insights Through Statistical and Machine Learning Analysis</t>
  </si>
  <si>
    <r>
      <rPr>
        <sz val="11"/>
        <color theme="1"/>
        <rFont val="Arial"/>
        <family val="0"/>
        <charset val="1"/>
      </rPr>
      <t xml:space="preserve">Dengue fever remains a significant public health concern in Bangladesh, with recurring outbreaks posing substantial challenges to healthcare systems and communities. This study provides a concise overview of a comprehensive study aimed at unraveling the dynamics of dengue in Bangladesh through a synergistic combination of statistical and machine learning analyses. By applying statistical techniques, we first identify temporal and spatial patterns, uncovering seasonal trends, hotspot regions, and fluctuations in dengue incidence. The trend of safe childbirth practices gradually increased between 2000 and 2023. Dhaka, the capital city of Bangladesh, and its surrounding areas in the Dhaka Division showed a high number of dengue cases and deaths. The knowledge and awareness level about dengue was significantly higher for educated respondents (OR = 1.89, 1.21–1.97), residing in semi-urban regions (OR = 1.35, 0.93–1.41), female (OR = 1.39, 1.14–1.62), living in Dhaka division (OR = 3.72, 2.89–3.88), and housewife (OR = 1.52, 1.26–1.89). This initial analysis </t>
    </r>
    <r>
      <rPr>
        <b val="true"/>
        <sz val="11"/>
        <color theme="1"/>
        <rFont val="Arial"/>
        <family val="0"/>
        <charset val="1"/>
      </rPr>
      <t xml:space="preserve">allows us to pinpoint high-risk areas and periods, facilitating targeted intervention strategies</t>
    </r>
    <r>
      <rPr>
        <sz val="11"/>
        <color theme="1"/>
        <rFont val="Arial"/>
        <family val="0"/>
        <charset val="1"/>
      </rPr>
      <t xml:space="preserve">. In tandem with traditional statistical methods, we harness the power of machine learning to develop a predictive model which is capable of </t>
    </r>
    <r>
      <rPr>
        <b val="true"/>
        <sz val="11"/>
        <color theme="1"/>
        <rFont val="Arial"/>
        <family val="0"/>
        <charset val="1"/>
      </rPr>
      <t xml:space="preserve">forecasting dengue outbreaks with enhanced accurac</t>
    </r>
    <r>
      <rPr>
        <sz val="11"/>
        <color theme="1"/>
        <rFont val="Arial"/>
        <family val="0"/>
        <charset val="1"/>
      </rPr>
      <t xml:space="preserve">y. In conclusion, this study represents a comprehensive effort to deepen our understanding of dengue dynamics in Bangladesh. By combining statistical analyses with machine learning technique, we aim to provide actionable insights that can inform public health policies and interventions. Our findings have the potential to guide the allocation of resources, improve preparedness, and ultimately mitigate the impact of dengue fever in Bangladesh, offering a valuable framework for addressing similar challenges in other regions grappling with vector-borne diseases. © The Author(s), under exclusive license to Springer Nature Singapore Pte Ltd. 2025.</t>
    </r>
  </si>
  <si>
    <t xml:space="preserve">prognosis</t>
  </si>
  <si>
    <t xml:space="preserve">Lecture Notes in Networks and Systems</t>
  </si>
  <si>
    <t xml:space="preserve">1034 LNNS</t>
  </si>
  <si>
    <t xml:space="preserve">10.1007/978-981-97-3937-0_41</t>
  </si>
  <si>
    <t xml:space="preserve">https://www.scopus.com/inward/record.uri?eid=2-s2.0-85207851845&amp;doi=10.1007%2f978-981-97-3937-0_41&amp;partnerID=40&amp;md5=9cdd3a752b25032dab90ac295768f316</t>
  </si>
  <si>
    <t xml:space="preserve">American International University—Bangladesh (AIUB), Dhaka, 1229, Bangladesh; Independent University, Bangladesh, Dhaka, 1229, Bangladesh</t>
  </si>
  <si>
    <t xml:space="preserve">Mortuza Ahmmed M., American International University—Bangladesh (AIUB), Dhaka, 1229, Bangladesh; Ashraful Babu M., Independent University, Bangladesh, Dhaka, 1229, Bangladesh; Rahman M.M., American International University—Bangladesh (AIUB), Dhaka, 1229, Bangladesh; Noor M.N., American International University—Bangladesh (AIUB), Dhaka, 1229, Bangladesh; Kabir K.M.T., American International University—Bangladesh (AIUB), Dhaka, 1229, Bangladesh; Islam M.M., American International University—Bangladesh (AIUB), Dhaka, 1229, Bangladesh; Rafith S.S., American International University—Bangladesh (AIUB), Dhaka, 1229, Bangladesh</t>
  </si>
  <si>
    <t xml:space="preserve">Dengue; DGHS; FBProphet; ML; Socio-demographic</t>
  </si>
  <si>
    <t xml:space="preserve">Contrastive Learning; Risk assessment; Bangladesh; Dengue; Dengue fevers; DGHS; Fbprophet; Health concerns; Machine-learning; ML; Sociodemographics; Statistical learning; Adversarial machine learning</t>
  </si>
  <si>
    <t xml:space="preserve">Rahman M.S., Mehejabin F., Rahman M.A., Rashid R., A case-control study to determine the risk factors of dengue fever in Chattogram, Bangladesh. Pub Health Pract, 4, (2022); Hossain M.S., Noman A.A., Mamun S.M., Mosabbir A.A., Twenty-two years of dengue outbreaks in Bangladesh: Epidemiology, clinical spectrum, serotypes, and future disease risks, Trop Med Health, 51, 1, pp. 1-14, (2023); Kayesh M.E.H., Khalil I., Kohara M., Tsukiyama-Kohara K., Increasing dengue burden and severe dengue risk in Bangladesh: An overview, Trop Med Infect Dis, 8, 1, (2023); Noman A.A., Das D., Nesa Z., Tariquzzaman M., Sharzana F., Hasan M.R., Rahman M.M., Importance of Wolbachia-mediated biocontrol to reduce dengue in Bangladesh and other dengue-endemic developing countries, Biosaf Health, 5, 2, pp. 69-77, (2023); Simmons C.P., Farrar J.J., van Vinh Chau N., Wills B., Dengue, New Engl J Med, 366, 15, pp. 1423-1432, (2012); Hossain S., Islam M.M., Hasan M.A., Chowdhury P.B., Easty I.A., Tusar M.K., Bashar K., Et al., Association of climate factors with dengue incidence in Bangladesh, Dhaka City: A count regression approach, Heliyon, 9, 5, (2023); Hasan K.T., Rahman M.M., Ahmmed M.M., Chowdhury A.A., Islam M.K., 4P model for dynamic prediction of COVID-19: A statistical and machine learning approach, Cogn Comput, pp. 1-14, (2021); Dey S.K., Rahman M.M., Howlader A., Siddiqi U.R., Uddin K.M.M., Borhan R., Rahman E.U., Prediction of dengue incidents using hospitalized patients, metrological and socio-economic data in Bangladesh: A machine learning approach, Plos One, 17, 7, (2022); Haque C.E., Dhar-Chowdhury P., Hossain S., Walker D., Spatial Evaluation of Dengue Transmission and Vector Abundance in the City of Dhaka. Bangladesh, Geographies, 3, 2, pp. 268-285, (2023); Rahim R., Hasan A., Phadungsombat J., Hasan N., Ara N., Biswas S.M., Shioda T., Genetic analysis of Dengue virus in severe and non-severe cases in Dhaka, Bangladesh, in 2018–2022, Viruses, 15, 5, (2023); Islam M.A., Hasan M.N., Tiwari A., Raju M.A.W., Jannat F., Sangkham S., Kumar M., Correlation of Dengue and meteorological factors in Bangladesh: A public health concern, Int J Environ Res Publ Health, 20, 6, (2023); Ahmed S., Et al., Sociodemographic and clinical determinants of dengue fever in Bangladesh: A cross-sectional study, PLOS Neglected Trop Dis, 17, 2, (2023); Islam M.S., Et al., Sociodemographic and clinical factors associated with dengue infection in Bangladesh: A systematic review and meta-analysis, BMC Infect Dis, 22, 1, (2022); Mia M.J., Et al., Socioeconomic and Environmental Determinants of Dengue Fever Incidence in Bangladesh: A Spatial Analysis, 11, (2023); Morshed M.H., Et al., Sociodemographic factors associated with dengue infection in Bangladesh: A population-based study, PLOS Neglected Trop Dis, 16, 12, (2022); Rahman M.M., Et al., Occupational and environmental risk factors for dengue fever in Bangladesh: A case control study, Am J Trop Med Hyg, 106, 6, pp. 1979-1986, (2022); Islam M.A., Et al., Travel history and dengue fever risk in Bangladesh: A cross-sectional study, J Travel Med, 30, 1, (2023); Hossain M.Z., Ahmed M., Islam M.N., Machine learning-based identification of risk factors for dengue fever in Bangladesh, Int J Infecti Dis, 132, pp. 110-116, (2023); Islam M.N., Ahmed M., Hossain M.Z., Spatiotemporal analysis of dengue fever in Bangladesh using machine learning, Sci Total Environ, 871, (2023); Ahammed M.K., Islam M.T., Alam M.J., Mamun K.A., Risk factors associated with dengue fever in Bangladesh: A systematic review and meta-analysis, J Prev Med Pub Health, 56, 1, pp. 3-16, (2023); Chowdhury M.M.U., Alam M.S., Sultana T., Kabir A., Impact of socioeconomic status on dengue fever severity in Bangladesh: A cross-sectional study, J Health Population Nutr, 42, 1, pp. 1-10, (2023); Ahmmed M.M., Babu M.A., Salim Z.R., Depression and associated factors among undergraduate students of private universities in Bangladesh: A Cross-sectional study, Int J Psychosoc Rehabil, 24, 2, pp. 97-108, (2020); Taylor S.J., Letham B., Forecasting at scale, Peerj Preprints 5:E3190v2, (2017); Rahman M.M., Islam A.R.M.T., Khan S.J., Tanni K.N., Roy T., Islam M.R., Alam E., Dengue fever responses in Dhaka City, Bangladesh: A Cross-Sectional Survey, Int J Pub Health, 67, (2022); Dhar-Chowdhury P., Emdad Haque C., Michelle Driedger S., Hossain S., Community perspectives on dengue transmission in the city of Dhaka. Bangladesh, Int Health, 6, 4, pp. 306-316, (2014); Shrestha D.B., Budhathoki P., Gurung B., Subedi S., Aryal S., Basukala A., Shrestha L.B., Epidemiology of dengue in SAARC territory: A systematic review and meta-analysis, Parasites Vectors, 15, 1, pp. 1-25, (2022); Wong J.M., Adams L.E., Durbin A.P., Munoz-Jordan J.L., Poehling K.A., Sanchez-Gonzalez L.M., Paz-Bailey G., Dengue: A growing problem with new interventions, Pediatrics, 149, 6, (2022)</t>
  </si>
  <si>
    <t xml:space="preserve">M. Mortuza Ahmmed; American International University—Bangladesh (AIUB), Dhaka, 1229, Bangladesh; email: mortuza@aiub.edu</t>
  </si>
  <si>
    <t xml:space="preserve">Mahmud M.; Kaiser M.S.; Bandyopadhyay A.; Ray K.; Al Mamun S.</t>
  </si>
  <si>
    <t xml:space="preserve">3rd International Conference on Trends in Electronics and Health Informatics, TEHI 2023</t>
  </si>
  <si>
    <t xml:space="preserve">20 December 2023 through 21 December 2023</t>
  </si>
  <si>
    <t xml:space="preserve">Dhaka</t>
  </si>
  <si>
    <t xml:space="preserve">978-981973936-3</t>
  </si>
  <si>
    <t xml:space="preserve">Lect. Notes Networks Syst.</t>
  </si>
  <si>
    <t xml:space="preserve">2-s2.0-85207851845</t>
  </si>
  <si>
    <t xml:space="preserve">Verma D.K.; Singh S.; Dubey S.; Raghuwanshi K.</t>
  </si>
  <si>
    <t xml:space="preserve">Verma, Dinesh Kumar (56785299700); Singh, Shweta (59393063900); Dubey, Shivendra (57211444038); Raghuwanshi, Kapil (56829589400)</t>
  </si>
  <si>
    <t xml:space="preserve">56785299700; 59393063900; 57211444038; 56829589400</t>
  </si>
  <si>
    <t xml:space="preserve">Revolutionize Infectious Prevention Using Artificial Intelligence and Deep Learning</t>
  </si>
  <si>
    <t xml:space="preserve">The study and treatment of human infection continues to be examined in relation to generative AI, deep learning, machine learning, and AI (artificial intelligence). We provide an overview of AI’s current and prospective uses, as well as how it relates to clinical infection control. Research studies, Clinical trial, and meta-analytic received precedence when screening 1617 the PubMed database findings. The review’s narrative format centres on investigations that employ clinically validated prospectively acquired data from the real world, as well as studies with transformative possibility, including unique pharmaceutical discovery and microbiome-based interventions. Clinical imaging analysis (e.g., tuberculosis of the lungs diagnosis), tools for clinical decision-support (e.g., antimicrobial recommending, sepsis prediction), digital culture plate reading, antimicrobial resistance profiling, and malaria diagnosis are a few areas where there is proof to support the medical value of artificial intelligence (AI) used for diagnostics in laboratories. To date, most studies have not included medical metrics or real-world validation. Comparability is hampered by substantial variation in research methodology and reports. There are a lot of practical and ethical concerns, such as bias risk and algorithm transparency. Though the practical medical value of artificial intelligence (AI) tools for infections investigation and control seems to be much more modest, enthusiasm for the research and creation of these tools is certainly gaining momentum. © The Author(s), under exclusive license to Springer Nature Switzerland AG 2025.</t>
  </si>
  <si>
    <t xml:space="preserve">diagnosis/surveillance</t>
  </si>
  <si>
    <t xml:space="preserve">2194 CCIS</t>
  </si>
  <si>
    <t xml:space="preserve">10.1007/978-3-031-70906-7_28</t>
  </si>
  <si>
    <t xml:space="preserve">https://www.scopus.com/inward/record.uri?eid=2-s2.0-85208016847&amp;doi=10.1007%2f978-3-031-70906-7_28&amp;partnerID=40&amp;md5=45c835086c79e2470855892a0e0c3dda</t>
  </si>
  <si>
    <t xml:space="preserve">Department of Computer Science and Engineering, Jaypee University of Engineering and Technology, Madhya Pradesh, Guna, India; School of Engineering and Technology, Jagran Lakecity University, Madhya Pradesh, Bhopal, India; Parul Institute of Engineering and Technology, Parul University, Gujarat, Vadodara, India</t>
  </si>
  <si>
    <t xml:space="preserve">Verma D.K., Department of Computer Science and Engineering, Jaypee University of Engineering and Technology, Madhya Pradesh, Guna, India; Singh S., School of Engineering and Technology, Jagran Lakecity University, Madhya Pradesh, Bhopal, India; Dubey S., Department of Computer Science and Engineering, Jaypee University of Engineering and Technology, Madhya Pradesh, Guna, India, Parul Institute of Engineering and Technology, Parul University, Gujarat, Vadodara, India; Raghuwanshi K., Department of Computer Science and Engineering, Jaypee University of Engineering and Technology, Madhya Pradesh, Guna, India, Parul Institute of Engineering and Technology, Parul University, Gujarat, Vadodara, India</t>
  </si>
  <si>
    <t xml:space="preserve">artificial intelligence; clinical decision-support; deep learning; Infections; machine learning</t>
  </si>
  <si>
    <t xml:space="preserve">Contrastive Learning; Drug discovery; 'current; Clinical decision support; Clinical infection; Deep learning; Human infection; Infection; Learning machines; Machine-learning; Prospectives; Real-world; Adversarial machine learning</t>
  </si>
  <si>
    <t xml:space="preserve">Nica E., Stehel V., Internet of things sensing networks, artificial intelligence-based decision-making algorithms, and real-time process monitoring in sustainable industry 4.0, J. Self-Gov. Manag. Econ., 9, 3, pp. 35-47, (2021); Enholm I.M., Papagiannidis E., Mikalef P., Krogstie J., Artificial intelligence and business value: A literature review, Inf. Syst. Front., pp. 1-26, (2021); Wirtz B.W., Muller W.M., An integrated artificial intelligence framework for public management, Public Manag. Rev., 21, 7, pp. 1076-1100, (2019); Davenport T.H., The AI Advantage: How to Put the Artificial Intelligence Revolution to Work, (2018); Reshmi S., Balakrishnan K., Enhancing inquisitiveness of chatbots through NER integration, 2018 International Conference on Data Science and Engineering (ICDSE), Pp. 1–5. IEEE, (2018); Carlander-Reuterfelt D., Carrera A., Iglesias C.A., Araque O., Rada J.F.S., Munoz S., JAICOB: A data science chatbot, IEEE Access, 8, pp. 180672-180680, (2020); de Sa Siqueira M.A., Muller B.C., Bosse T., When do we accept mistakes from chatbots? The impact of human-like communication on user experience in chatbots that make mistakes, Int. J. Hum.-Comput. Interact., pp. 1-11, (2023); Castillo I., Arguelles A., Pinal O., Glasserman L., Ramirez S., Carreon A., Towards the development of complex thinking in university students supported by Ideathon and artificial intelligence, Comput. Educ.: Artif. Intell., (2023); Dubey S., Verma D.K., Kumar M., Severe acute respiratory syndrome Coronavirus-2 Geno-Analyzer and mutagenic anomaly detector using FCMFI and NSCE, Int. J. Biol. Macromol., (2023); Shi B., Xu K., Zhao J., Domain-relevance of influence: characterizing variations in online influence across multiple domains on social media, J. Big Data, 10, 1, pp. 1-20, (2023); Kim Y., Lee H., The rise of chatbots in political campaigns: The effects of conversational agents on voting intention, Int. J. Hum.–Comput. Interact., 1, (2022); Nti I.K., Adekoya A.F., Weyori B.A., Nyarko-Boateng O., Applications of artificial intelligence in engineering and manufacturing: A systematic review, J. Intell. Manuf., 33, 6, pp. 1581-1601, (2022); Dubeya S., Kumar M., Verma D.K., Machine learning approaches in deal with the COVID-19: Comprehensive study, ECS Trans, 107, 1, (2022); Tripathi A., Chourasia U., Dubey S., Arjariya A., Dixit P., A survey: Optimization algorithms in deep learning, Proceedings of the International Conference on Innovative Computing &amp; Communications (ICICC), (2020); Soni S., Dubey S., Tiwari R., Dixit M., Feature based sentiment analysis of product reviews using deep learning methods, Int. J. Adv. Technol. Eng. Res. (IJATER, (2018); Adam M., Wessel M., Benlian A., AI-based chatbots in customer service and their effects on user compliance, Electron. Mark., 31, 2, pp. 427-445, (2021); Rapp A., Curti L., Boldi A., The human side of human-chatbot interaction: A systematic literature review of ten years of research on text-based chatbots, Int. J. Hum.-Comput. Stud., 151, (2021); Chen J.S., Usability and Responsiveness of Artificial Intelligence Chatbot on Online Customer Experience in E-Retailing. Int. J. Retail Distrib. Manag., 49, 11, pp. 1512-1531, (2021); Colabianchi S., Tedeschi A., Costantino F., Human-technology integration with industrial conversational agents: A conceptual architecture and a taxonomy for manufacturing, J. Ind. Inf. Integr., 35, (2023); Suhaili S.M., Salim N., Jambli M.N., Service chatbots: A systematic review, Expert Syst. Appl., 184, (2021); Sartorao Filho C.I., Et al., Using mobile phone-based text message to recruit representative samples: Assessment of a cross-sectional survey about the COVID-19 vaccine hesitation, Int. J. Med. Inform., 165, (2022); Chamola V., Hassija V., Gupta S., Goyal A., Guizani M., Sikdar B., Disaster and pandemic management using machine learning: A survey, IEEE Internet Things J, 8, 21, pp. 16047-16071, (2020); Li J., Liu H.H., Yin X.D., Li C.C., Wang J., COVID-19 illness and autoimmune diseases: Recent insights, Inflamm. Res., 70, pp. 407-428, (2021); Zheng Z., Wu K., Yao Z., Zheng X., Zheng J., Chen J., The prediction for development of COVID-19 in global major epidemic areas through empirical trends in China by utilizing state transition matrix model, BMC Infect. Dis., 20, pp. 1-12, (2020); Hassan B., Izquierdo E., Piatrik T., Soft biometrics: A survey: Benchmark analysis, open challenges and recommendations, Multimed. Tools Appl., pp. 1-44, (2021); Saleem F., Al-Ghamdi A.S.A.M., Alassafi M.O., Alghamdi S.A., Machine learning, deep learning, and mathematical models to analyze forecasting and epidemiology of COVID-19: A systematic literature review, Int. J. Environ. Res. Public Health, 19, 9, (2022); Alali Y., Harrou F., Sun Y., A proficient approach to forecast COVID-19 spread via optimized dynamic machine learning models, Sci. Rep., 12, 1, pp. 1-20, (2022); Javed I., Et al., Face mask detection and social distance monitoring system for covid-19 pandemic, Multimed. Tools Appl., 82, 9, pp. 14135-14152, (2023); Harikrishnan N.B., Pranay S.Y., Nagaraj N., Classification of SARS-CoV-2 viral genome sequences using Neurochaos Learning, Med. Biol. Eng. Comput., 60, 8, pp. 2245-2255, (2022); Rohaim M.A., Et al., Artificial intelligence-assisted loop mediated isothermal amplification (AI-LAMP) for rapid detection of SARS-CoV-2, Viruses, 12, 9, (2020); Mohsan S.A.H., Zahra Q.U.A., Khan M.A., Alsharif M.H., Elhaty I.A., Jahid A., Role of drone technology helping in alleviating the COVID-19 pandemic, Micromachines, 13, 10, (2022); Madhav A.V.S., Tyagi A.K., The world with future technologies (Post-COVID-19): Open issues, challenges, and the road ahead, Intelligent Interactive Multimedia Systems for E-Healthcare Applications, pp. 411-452, (2022); Hu Q., Et al., Explainable artificial intelligence-based edge fuzzy images for COVID-19 detection and identification, Appl. Soft Comput., 123, (2022); Ratajczak M.Z., Kucia M., Stem cells as potential therapeutics and targets for infection by COVID19–special issue on COVID19 in stem cell reviews and reports. Stem Cell, Rev. Rep, 17, pp. 1-3, (2021); Apostolopoulos I.D., Mpesiana T.A., Covid-19: Automatic detection from x-ray images utilizing transfer learning with convolutional neural networks, Phys. Eng. Sci. Med., 43, pp. 635-640, (2020); Marques G., Agarwal D., de la Torre Díez, I.: Automated medical diagnosis of COVID-19 through EfficientNet convolutional neural network. Appl, Soft Comput, 523, (2020); Wang S., Et al., A deep learning algorithm using CT images to screen for Corona Virus Disease (COVID-19), Eur. Radiol., 31, pp. 6096-6104, (2021); Irene D.S., Beulah J.R., An efficient COVID-19 detection from CT images using ensemble support vector machine with Ludo game-based swarm optimisation, Comput. Methods Biomech. Biomed. Eng.: Imaging Vis., 10, 6, pp. 675-686, (2022); Chamseddine E., Mansouri N., Soui M., Abed M., Handling class imbalance in COVID-19 chest X-ray images classification: Using SMOTE and weighted loss, Appl. Soft Comput., 129, (2022); Jalaber C., Lapotre T., Morcet-Delattre T., Ribet F., Jouneau S., Lederlin M., Chest CT in COVID-19 pneumonia: A review of current knowledge, Diagn. Interv. Imaging, 101, 7-8, pp. 431-437, (2020); Hernandez-Matamoros A., Fujita H., Hayashi T., Perez-Meana H., Forecasting of COVID19 per regions using ARIMA models and polynomial functions, Appl. Soft Comput., 96, (2020); Lee M.H., Kim B.J., COVID-19 vaccine development based on recombinant viral and bacterial vector systems: Combinatorial effect of adaptive and trained immunity, J. Microbiol., 60, 3, pp. 321-334, (2022); Zhan C., Zheng Y., Lai Z., Hao T., Li B., Identifying epidemic spreading dynamics of COVID-19 by pseudocoevolutionary simulated annealing optimizers, Neural Comput. Appl., 33, pp. 4915-4928, (2021); Radulescu A., Williams C., Cavanagh K., Management strategies in a SEIR-type model of COVID 19 community spread, Sci. Rep., 10, 1, pp. 1-16, (2020); Malavika B., Marimuthu S., Joy M., Nadaraj A., Asirvatham E.S., Jeyaseelan L., Forecasting COVID-19 epidemic in India and high incidence states using SIR and logistic growth models, Clin. Epidemiol. Glob. Health, 9, pp. 26-33, (2021); Prem K., Et al., The effect of control strategies to reduce social mixing on outcomes of the COVID-19 epidemic in Wuhan, China: A modelling study, Lancet Public Health, 5, 5, pp. e261-e270, (2020); Grzybowska H., Et al., SAfE transport: Wearing face masks significantly reduces the spread of COVID-19 on trains, BMC Infect. Dis., 22, 1, (2022); Eikenberry S.E., Et al., To mask or not to mask: Modeling the potential for face mask use by the general public to curtail the COVID-19 pandemic, Infect. Dis. Model., 5, pp. 293-308, (2020); Panneer S., Et al., The great lockdown in the wake of COVID-19 and its implications: Lessons for low and middle-income countries, Int. J. Environ. Res. Public Health, 19, 1, (2022)</t>
  </si>
  <si>
    <t xml:space="preserve">D.K. Verma; Department of Computer Science and Engineering, Jaypee University of Engineering and Technology, Guna, Madhya Pradesh, India; email: dinesh.hpp@gmail.com</t>
  </si>
  <si>
    <t xml:space="preserve">Singh M.; Tyagi V.; Gupta P.K.; Flusser J.; Ören T.; Cherif A.R.; Tomar R.</t>
  </si>
  <si>
    <t xml:space="preserve">8th International Conference on Advances in Computing and Data Sciences, ICACDS 2024</t>
  </si>
  <si>
    <t xml:space="preserve">9 May 2024 through 10 May 2024</t>
  </si>
  <si>
    <t xml:space="preserve">Velizy</t>
  </si>
  <si>
    <t xml:space="preserve">978-303170905-0</t>
  </si>
  <si>
    <t xml:space="preserve">2-s2.0-85208016847</t>
  </si>
  <si>
    <t xml:space="preserve">Jeon Y.; Chang W.; Jeong S.; Han S.; Park J.</t>
  </si>
  <si>
    <t xml:space="preserve">Jeon, Yeseul (57211271110); Chang, Won (55813857400); Jeong, Seonghyun (56395882600); Han, Sanghoon (55487826100); Park, Jaewoo (57195720925)</t>
  </si>
  <si>
    <t xml:space="preserve">57211271110; 55813857400; 56395882600; 55487826100; 57195720925</t>
  </si>
  <si>
    <t xml:space="preserve">A Bayesian convolutional neural network-based generalized linear model</t>
  </si>
  <si>
    <t xml:space="preserve">Convolutional neural networks (CNNs) provide flexible function approximations for a wide variety of applications when the input variables are in the form of images or spatial data. Although CNNs often outperform traditional statistical models in prediction accuracy, statistical inference, such as estimating the effects of covariates and quantifying the prediction uncertainty, is not trivial due to the highly complicated model structure and overparameterization. To address this challenge, we propose a new Bayesian approach by embedding CNNs within the generalized linear models (GLMs) framework. We use extracted nodes from the last hidden layer of CNN with Monte Carlo (MC) dropout as informative covariates in GLM. This improves accuracy in prediction and regression coefficient inference, allowing for the interpretation of coefficients and uncertainty quantification. By fitting ensemble GLMs across multiple realizations from MC dropout, we can account for uncertainties in extracting the features. We apply our methods to biological and epidemiological problems, which have both high-dimensional correlated inputs and vector covariates. Specifically, we consider malaria incidence data, brain tumor image data, and fMRI data. By extracting information from correlated inputs, the proposed method can provide an interpretable Bayesian analysis. The algorithm can be broadly applicable to image regressions or correlated data analysis by enabling accurate Bayesian inference quickly. © 2024 The Author(s). Published by Oxford University Press on behalf of The International Biometric Society.</t>
  </si>
  <si>
    <t xml:space="preserve">treatment monitoring</t>
  </si>
  <si>
    <t xml:space="preserve">Biometrics</t>
  </si>
  <si>
    <t xml:space="preserve">Oxford University Press</t>
  </si>
  <si>
    <t xml:space="preserve">ujae057</t>
  </si>
  <si>
    <t xml:space="preserve">10.1093/biomtc/ujae057</t>
  </si>
  <si>
    <t xml:space="preserve">https://www.scopus.com/inward/record.uri?eid=2-s2.0-85196596893&amp;doi=10.1093%2fbiomtc%2fujae057&amp;partnerID=40&amp;md5=3e5cb1a6056cb6a5c5b7baa9e7edc56a</t>
  </si>
  <si>
    <t xml:space="preserve">Department of Statistics and Data Science, Yonsei University, Seoul, 03722, South Korea; Division of Statistics and Data Science, University of Cincinnati, Cincinnati, 45221, OH, United States; Department of Statistics, Seoul National University, Seoul, 08826, South Korea; Department of Applied Statistics, Yonsei University, Seoul, 03722, South Korea; Department of Psychology, Yonsei University, Seoul, 03722, South Korea</t>
  </si>
  <si>
    <t xml:space="preserve">Jeon Y., Department of Statistics and Data Science, Yonsei University, Seoul, 03722, South Korea; Chang W., Division of Statistics and Data Science, University of Cincinnati, Cincinnati, 45221, OH, United States, Department of Statistics, Seoul National University, Seoul, 08826, South Korea; Jeong S., Department of Statistics and Data Science, Yonsei University, Seoul, 03722, South Korea, Department of Applied Statistics, Yonsei University, Seoul, 03722, South Korea; Han S., Department of Psychology, Yonsei University, Seoul, 03722, South Korea; Park J., Department of Statistics and Data Science, Yonsei University, Seoul, 03722, South Korea, Department of Applied Statistics, Yonsei University, Seoul, 03722, South Korea</t>
  </si>
  <si>
    <t xml:space="preserve">Bayesian deep learning; feature extraction; Monte Carlo dropout; posterior approximation; uncertainty quantification</t>
  </si>
  <si>
    <t xml:space="preserve">Algorithms; Bayes Theorem; Brain Neoplasms; Humans; Linear Models; Magnetic Resonance Imaging; Malaria; Monte Carlo Method; Neural Networks, Computer; Bayesian networks; Convolution; Convolutional neural networks; Deep learning; Forecasting; Inference engines; Monte Carlo methods; Bayesian; Bayesian deep learning; Convolutional neural network; Covariates; Features extraction; Generalized linear model; Image data; Monte carlo dropout; Posterior approximation; Uncertainty quantifications; algorithm; artificial neural network; Bayesian analysis; brain; epidemiological phenomena; image analysis; machine learning; malaria; tumor; uncertainty analysis; algorithm; artificial neural network; Bayes theorem; brain tumor; epidemiology; human; malaria; Monte Carlo method; nuclear magnetic resonance imaging; procedures; statistical model; Uncertainty analysis</t>
  </si>
  <si>
    <t xml:space="preserve">Institute for Information and Communications Technology Planning and Evaluation; Institut de Cardiométabolisme et Nutrition, ICAN; Institute for Information and Communications Technology Promotion, IITP; National Research Foundation of Korea, NRF, (2019R1A2C1007399, 2020R1C1C1A0100386814, 2022R1C1C1006735, RS-2023-00217705); National Research Foundation of Korea, NRF; Division of Human Resource Development, HRD, (RS-2023-00259934); Division of Human Resource Development, HRD</t>
  </si>
  <si>
    <t xml:space="preserve">Funding text 1: The authors are grateful to anonymous reviewers for their careful reading and valuable comments. This work was partially supported by the National Research Foundation of Korea (2019R1A2C1007399, 2020R1C1C1A0100386814, 2022R1C1C1006735, and RS-2023-00217705), ICAN (ICT Challenge and Advanced Network of HRD) support program (RS-2023-00259934), and supervised by the IITP (Institute for Information and Communications Technology Planning and Evaluation).; Funding text 2: This work was partially supported by the National Research Foundation of Korea (2019R1A2C1007399, 2020R1C1C1A0100386814, 2022R1C1C1006735, and RS-2023-00217705), ICAN (ICT Challenge and Advanced Network of HRD) support program (RS-2023-00259934), and supervised by the IITP (Institute for Information and Communications Technology Planning and Evaluation). </t>
  </si>
  <si>
    <t xml:space="preserve">Aggarwal N., Agrawal R., First and second order statistics features for classification of magnetic resonance brain images, Journal of Signal and Information Processing, 3, pp. 146-153, (2012); Alzubaidi L., Zhang J., Humaidi A. J., Al-Dujaili A., Duan Y., Al-Shamma O., Et al., Review of deep learning: concepts, CNN architectures, challenges, applications, future directions, Journal of Big Data, 8, pp. 1-74, (2021); Bhatnagar S., Chang W., Kim S., Wang J., Computer model calibration with time series data using deep learning and quantile regression, SIAM/ASA Journal on Uncertainty Quantification, 10, pp. 1-26, (2022); Damianou A., Lawrence N. D., Deep Gaussian processes, International Conference on Artificial Intelligence and Statistics, pp. 207-215, (2013); Dauphin Y. N., Pascanu R., Gulcehre C., Cho K., Ganguli S., Bengio Y., Identifying and attacking the saddle point problem in high-dimensional non-convex optimization, 27th International Conference on Neural Information Processing Systems, 2, pp. 2933-2941, (2014); Daw R., Wikle C. K., REDS: random ensemble deep spatial prediction, Environmetrics, 34, (2022); Fan J., Relationships between five-factor personality model and anxiety: the effect of conscientiousness on anxiety, Open Journal of Social Sciences, 8, pp. 462-469, (2020); Fong Y., Xu J., Forward stepwise deep autoencoder-based monotone nonlinear dimensionality reduction methods, Journal of Computational and Graphical Statistics, 30, pp. 519-529, (2021); Gal Y., Ghahramani Z., Bayesian Convolutional Neural Networks with Bernoulli Approximate Variational Inference, (2016); Gal Y., Ghahramani Z., Dropout as a Bayesian approximation: representing model uncertainty in deep learning, International Conference on Machine Learning, pp. 1050-1059, (2016); Goodfellow I. J., Vinyals O., Saxe A. M., Qualitatively Characterizing Neural Network Optimization Problems, (2014); Ismael M. R., Abdel-Qader I., Brain tumor classification via statistical features and back-propagation neural network, IEEE International Conference on Electro/Information Technology (EIT), pp. 0252-0257, (2018); Kaplan S. C., Levinson C. A., Rodebaugh T. L., Menatti A., Weeks J. W., Social anxiety and the big five personality traits: the interactive relationship of trust and openness, Cognitive Behaviour Therapy, 44, pp. 212-222, (2015); Krizhevsky A., Sutskever I., Hinton G. E., Imagenet classification with deep convolutional neural networks, Advances in Neural Information Processing Systems, 25, pp. 1097-1105, (2012); McDermott P. L., Wikle C. K., An ensemble quadratic echo state network for non-linear spatio-temporal forecasting, Stat, 6, pp. 315-330, (2017); McDermott P. L., Wikle C. K., Deep echo state networks with uncertainty quantification for spatio-temporal forecasting, Environmetrics, 30, (2019); Menze B. H., Jakab A., Bauer S., Kalpathy-Cramer J., Farahani K., Kirby J., Et al., The multimodal brain tumor image segmentation benchmark (BRATS), IEEE Transactions on Medical Imaging, 34, pp. 1993-2024, (2014); Naragon-Gainey K., Rutter L. A., Brown T. A., The interaction of extraversion and anxiety sensitivity on social anxiety: evidence of specificity relative to depression, Behavior Therapy, 45, pp. 418-429, (2014); Neal R. M., Bayesian Learning for Neural Networks, 118, (2012); Noone A., Howlader N., Krapcho M., Miller D., Brest A., Yu M., Et al., SEER Cancer Statistics Review (CSR) 1975–2017, (2020); Organization W. H., Et al., Mental Health and COVID-19: Early Evidence of the Pandemic’s Impact: Scientific Brief, 2 March 2022, (2022); Paisley J., Blei D., Jordan M., Variational Bayesian Inference with Stochastic Search, 29th International Conference on Machine Learning, (2012); Rasmussen C. E., Gaussian processes in machine learning, Summer School on Machine Learning, pp. 63-71, (2003); Rezende D. J., Mohamed S., Wierstra D., Stochastic back-propagation and approximate inference in deep generative models, International Conference on Machine Learning, pp. 1278-1286, (2014); Sagi O., Rokach L., Ensemble learning: a survey, Wiley Interdisciplinary Reviews: Data Mining and Knowledge Discovery, 8, (2018); Sauer A., Cooper A., Gramacy R. B., Vecchia-approximated deep Gaussian processes for computer experiments, JournalofComputational and Graphical Statistics, 32, pp. 824-837, (2023); Shen X., Tokoglu F., Papademetris X., Constable R. T., Groupwise whole-brain parcellation from resting-state fMRI data for network node identification, Neuroimage, 82, pp. 403-415, (2013); Shridhar K., Laumann F, AComprehensiveGuide to Bayesian Convolutional Neural Network with Variational Inference, (2019); Sporns O., Network analysis, complexity, and brain function, Complexity, 8, pp. 56-60, (2002); Srivastava N., Hinton G., Krizhevsky A., Sutskever I., Salakhutdinov R., Dropout: a simple way to prevent neural networks from overfitting, The Journal of Machine Learning Research, 15, pp. 1929-1958, (2014); Tran M. N., Nguyen N., Nott D., Kohn R., Bayesian deep net GLM and GLMM, Journal of Computational and Graphical Statistics, 29, pp. 97-113, (2020); Wang J., Yu L. C., Lai K. R., Zhang X., Dimensional sentiment analysis using a regional CNN-LSTM model, The 54th Annual Meeting of the Association for Computational Linguistics, 2, pp. 225-230, (2016); Wang S., Zhou T., Bilmes J., Jumpout: improved dropout for deep neural networks with ReLUs, International Conference on Machine Learning, pp. 6668-6676, (2019)</t>
  </si>
  <si>
    <t xml:space="preserve">J. Park; Department of Statistics and Data Science, Yonsei University, Seoul, 03722, South Korea; email: jwpark88@yonsei.ac.kr</t>
  </si>
  <si>
    <t xml:space="preserve">0006341X</t>
  </si>
  <si>
    <t xml:space="preserve">BIOMA</t>
  </si>
  <si>
    <t xml:space="preserve">All Open Access; Green Open Access</t>
  </si>
  <si>
    <t xml:space="preserve">2-s2.0-85196596893</t>
  </si>
  <si>
    <t xml:space="preserve">Alraba’nah Y.; Toghuj W.</t>
  </si>
  <si>
    <t xml:space="preserve">Alraba’nah, Yousef (57210390898); Toghuj, Wael (52264697800)</t>
  </si>
  <si>
    <t xml:space="preserve">57210390898; 52264697800</t>
  </si>
  <si>
    <t xml:space="preserve">A deep learning based architecture for malaria parasite detection</t>
  </si>
  <si>
    <t xml:space="preserve">During last decade, medical imaging has attracted great deal of research interests. Deep learning applications has revolutionized medical image analysis and diseases diagnosis. Convolutional neural networks (CNNs)-a class of deep learning-have been widely used for classification and feature extraction, and they revealed good performance for various imaging applications. However, despite the advances in medicine, malaria remains among the world’s deadliest diseases. Only in 2020, malaria recorded 241 million clinical episodes, and 627,000 deaths. The disease is examined visually through a microscope, which depends on the pathologists experience and skills and results may vary in different laboratories. This paper proposes an efficient CNN architecture that could be used in diagnosing of malaria disease. By processing on 27,558 red blood smear cell images with balanced samples of parasitized and unparasitized cells on a publicly available malaria dataset from the National Institute of Health, the proposed model achieves high accuracy rate with 99.8%, 98.2, and 97.7% for training, validation and testing sets. Furthermore, the statistical results approve that the proposed model is outperforming the state-of-the-art models. © 2024, Institute of Advanced Engineering and Science. All rights reserved.</t>
  </si>
  <si>
    <t xml:space="preserve">Bulletin of Electrical Engineering and Informatics</t>
  </si>
  <si>
    <t xml:space="preserve">Institute of Advanced Engineering and Science</t>
  </si>
  <si>
    <t xml:space="preserve">10.11591/eei.v13i1.5485</t>
  </si>
  <si>
    <t xml:space="preserve">https://www.scopus.com/inward/record.uri?eid=2-s2.0-85186253543&amp;doi=10.11591%2feei.v13i1.5485&amp;partnerID=40&amp;md5=5de24fc4191832cbb9921b4699e18edb</t>
  </si>
  <si>
    <t xml:space="preserve">Department of Software Engineering, Faculty of Information Technology, Al-Ahliyya Amman University, Amman, Jordan; Department of Computer Science, Faculty of Information Technology, Al-Ahliyya Amman University, Amman, Jordan</t>
  </si>
  <si>
    <t xml:space="preserve">Alraba’nah Y., Department of Software Engineering, Faculty of Information Technology, Al-Ahliyya Amman University, Amman, Jordan; Toghuj W., Department of Computer Science, Faculty of Information Technology, Al-Ahliyya Amman University, Amman, Jordan</t>
  </si>
  <si>
    <t xml:space="preserve">Blood smear; Convolutional neural network; Deep learning; Image processing; Malaria detection</t>
  </si>
  <si>
    <t xml:space="preserve">Malaria, (2020); Varo R., Chaccour C., Bassat Q., Update on malaria, Medicina Clínica (English Edition), 155, 9, pp. 395-402, (2020); Umer M., Sadiq S., Ahmad M., Ullah S., Choi G. S., Mehmood A., A Novel Stacked CNN for Malarial Parasite Detection in Thin Blood Smear Images, IEEE Access, 8, pp. 93782-93792, (2020); Kumar Y., Koul A., Singla R., Ijaz M. F., Artificial intelligence in disease diagnosis: a systematic literature review, synthesizing framework and future research agenda, Journal of Ambient Intelligence and Humanized Computing, 14, 7, pp. 8459-8486, (2023); Xu Y., Et al., Artificial intelligence: A powerful paradigm for scientific research, The Innovation, 2, 4, (2021); Russakovsky O., Et al., ImageNet Large Scale Visual Recognition Challenge, International Journal of Computer Vision, 115, 3, pp. 211-252, (2015); Krizhevsky A., Sutskever I., Hinton G. E., ImageNet classification with deep convolutional neural networks, Communications of the ACM, 60, 6, pp. 84-90, (2017); Szegedy C., Et al., Going Deeper with Convolutions, IEEE Conference on Computer Vision and Pattern Recognition (CVPR), pp. 1-9, (2015); He K., Zhang X., Ren S., Sun J., Deep residual learning for image recognition, 2016 IEEE Conference on Computer Vision and Pattern Recognition (CVPR), pp. 770-778, (2016); Simonyan K., Zisserman A., Very deep convolutional networks for large-scale image recognition, (2014); Magotra V., Rohil M. K., Malaria Diagnosis Using a Lightweight Deep Convolutional Neural Network, International Journal of Telemedicine and Applications, 2022, pp. 1-8, (2022); Dong Y., Et al., Evaluations of deep convolutional neural networks for automatic identification of malaria infected cells, 2017 IEEE EMBS International Conference on Biomedical &amp; Health Informatics (BHI), pp. 101-104, (2017); Tasdemir S., Qanbar M. M., Detection of Malaria Diseases with Residual Attention Network, International Journal of Intelligent Systems and Applications in Engineering, 7, 4, pp. 238-244, (2019); Deep learning approach to detect malaria from microscopic images, Multimedia Tools and Applications, 79, 21–22, pp. 15297-15317, (2020); Irmak E., A Novel Implementation of Deep-Learning Approach on Malaria Parasite Detection from Thin Blood Cell Images, Electrica, 21, 2, pp. 216-224, (2021); Oyewola D. O., Dada E. G., Misra S., Damasevicius R., A Novel Data Augmentation Convolutional Neural Network for Detecting Malaria Parasite in Blood Smear Images, Applied Artificial Intelligence, 36, 1, (2022); NLM-Malaria Data; Alzubaidi L., Et al., Review of deep learning: concepts, CNN architectures, challenges, applications, future directions, Journal of Big Data, 8, 1, (2021); Needell C. D., Bainbridge W. A., Embracing New Techniques in Deep Learning for Estimating Image Memorability, Computational Brain &amp; Behavior, 5, 2, pp. 168-184, (2022); Yu H., Yang L. T., Zhang Q., Armstrong D., Deen M. J., Convolutional neural networks for medical image analysis: State-of-the-art, comparisons, improvement and perspectives, Neurocomputing, 444, pp. 92-110, (2021); Shyam R., Convolutional neural network and its architectures, Journal of Computer Technology &amp; Applications, 12, 2, pp. 6-14, (2021); Loh D. R., Yong W. X., Yapeter J., Subburaj K., Chandramohanadas R., A deep learning approach to the screening of malaria infection: Automated and rapid cell counting, object detection and instance segmentation using Mask R-CNN, Computerized Medical Imaging and Graphics, 88, (2021); Setyawan D., Wardoyo R., Wibowo M. E., Herdiana Murhandarwati E. E., Jamilah J., Malaria Classification Using Convolutional Neural Network: A Review, 2021 Sixth International Conference on Informatics and Computing (ICIC), pp. 1-9, (2021); Sultana F., Sufian A., Dutta P., Advancements in Image Classification using Convolutional Neural Network, 2018 Fourth International Conference on Research in Computational Intelligence and Communication Networks (ICRCICN), pp. 122-129, (2018); Latha R. S., Et al., Automatic Detection of Tea Leaf Diseases using Deep Convolution Neural Network, 2021 International Conference on Computer Communication and Informatics (ICCCI), pp. 1-6, (2021); Abualhaj M. M., Abu-Shareha A. A., Hiari M. O., Alrabanah Y., Al-Zyoud M., Alsharaiah M. A., A Paradigm for DoS Attack Disclosure using Machine Learning Techniques, International Journal of Advanced Computer Science and Applications, 13, 3, (2022); Luque A., Carrasco A., Martin A., de las Heras A., The impact of class imbalance in classification performance metrics based on the binary confusion matrix, Pattern Recognition, 91, pp. 216-231, (2019); Jasim R. M., Atia T. S., Towards classification of images by using block-based CNN, Bulletin of Electrical Engineering and Informatics, 12, 1, pp. 373-379, (2023); Thanoun M. Y., Yaseen M. T., Aleesa A. M., Development of Intelligent Parkinson Disease Detection System Based on Machine Learning Techniques Using Speech Signal, International Journal on Advanced Science, Engineering and Information Technology, 11, 1, (2021); Aslan M. F., Sabanci K., Durdu A., Unlersen M. F., COVID-19 diagnosis using state-of-the-art CNN architecture features and Bayesian Optimization, Computers in Biology and Medicine, 142, (2022); Adebiyi M. O., Arowolo M. O., Olugbara O., A genetic algorithm for prediction of RNA-seq malaria vector gene expression data classification using SVM kernels, Bulletin of Electrical Engineering and Informatics, 10, 2, pp. 1071-1079, (2021)</t>
  </si>
  <si>
    <t xml:space="preserve">Y. Alraba’Nah; Department of Software Engineering, Faculty of Information Technology, Al-Ahliyya Amman University, Amman, Jordan; email: yrabanah@gmail.com</t>
  </si>
  <si>
    <t xml:space="preserve">Bull. Electr. Eng. Inform.</t>
  </si>
  <si>
    <t xml:space="preserve">2-s2.0-85186253543</t>
  </si>
  <si>
    <t xml:space="preserve">Khan Z.; Shirazi S.H.; Shahzad M.; Munir A.; Rasheed A.; Xie Y.; Gul S.</t>
  </si>
  <si>
    <t xml:space="preserve">Khan, Zakir (57188803233); Shirazi, Syed Hamad (56275849800); Shahzad, Muhammad (57530488700); Munir, Arslan (24587067400); Rasheed, Assad (57743035700); Xie, Yong (55710290600); Gul, Sarah (57216951757)</t>
  </si>
  <si>
    <t xml:space="preserve">57188803233; 56275849800; 57530488700; 24587067400; 57743035700; 55710290600; 57216951757</t>
  </si>
  <si>
    <t xml:space="preserve">A Framework for Segmentation and Classification of Blood Cells Using Generative Adversarial Networks</t>
  </si>
  <si>
    <t xml:space="preserve">Blood smear analysis is often used to diagnose diseases like malaria, Anemia, Leukemia, etc. Morphological changes, such as size, shapes, and color, are receiving much attention in pathological analysis. Existing methods for detecting, diagnosing and analyzing blood smears cannot quantify overlapped, irregular boundaries and complex structures. This work proposes and evaluates a framework that utilizes Generative adversarial networks (GANs) for the segmentation and classification of blood elements, that is, white blood cells (WBCs), red blood cells (RBCs), and platelets (PLTs) simultaneously. The Generator of the network determines the mapping from microscopic images of blood cells to a confidence map. This mapping stipulates the probabilities of the pixel of the microscopic blood cell images with respect to ground truth. The Discriminator of the network is essential to castigate the mismatch between the microscopic blood cells images and confidence map. Additionally, adversarial learning enables the Generator to generate a qualitative confidence map that is converted into segmented images. We have calculated minimum, maximum, and average losses to judge the performance of the proposed model. We measure structural similarity, peak signal-to-noise ratio, pixel classification error, and finally, classified cells. The proposed framework can analyze all the blood cell elements simultaneously. The proposed framework shows a significant improvement in the segmentation and classification of blood cell elements compared to state-of-the-art techniques. During the training process, generator total loss reduces by 12.18%, 5.39%, and 3.62% for RBCs, WBCs, and PLTs, respectively. Our results demonstrate that the proposed framework outperforms existing state-of-the-art techniques, achieving the highest pixel correctly classified (PCC) ratio for the segmentation of blood cells as 99.8%, 93.4%, and 99.9% for WBCs, RBCs, and PLTs, respectively. Our framework attains 95.45% and 88.89% classification accuracy for WBCs on ALL-IDB-I and ALL-IDB-II datasets. The dataset used for this study can be found at https://drive.google.com/drive/folders/1F7kZ1SRWUD9R6aHLMkj3wsjcHnvlGuwP?usp=sharing  © 2013 IEEE.</t>
  </si>
  <si>
    <t xml:space="preserve">10.1109/ACCESS.2024.3378575</t>
  </si>
  <si>
    <t xml:space="preserve">https://www.scopus.com/inward/record.uri?eid=2-s2.0-85188424290&amp;doi=10.1109%2fACCESS.2024.3378575&amp;partnerID=40&amp;md5=df9c47e783e0c5a6509445543af8b711</t>
  </si>
  <si>
    <t xml:space="preserve">Hazara University Mansehra, Department of Computer Science and Information Technology, Mansehra, 21300, Pakistan; Kansas State University, Department of Computer Science, Manhattan, 66506, KS, United States; Qinghai University, Department of Computer Application and Technology, Xining, 810016, China; International Islamic University Islamabad, Biological Sciences, Islamabad, 44000, Pakistan</t>
  </si>
  <si>
    <t xml:space="preserve">Khan Z., Hazara University Mansehra, Department of Computer Science and Information Technology, Mansehra, 21300, Pakistan; Shirazi S.H., Hazara University Mansehra, Department of Computer Science and Information Technology, Mansehra, 21300, Pakistan; Shahzad M., Hazara University Mansehra, Department of Computer Science and Information Technology, Mansehra, 21300, Pakistan; Munir A., Kansas State University, Department of Computer Science, Manhattan, 66506, KS, United States; Rasheed A., Hazara University Mansehra, Department of Computer Science and Information Technology, Mansehra, 21300, Pakistan; Xie Y., Qinghai University, Department of Computer Application and Technology, Xining, 810016, China; Gul S., International Islamic University Islamabad, Biological Sciences, Islamabad, 44000, Pakistan</t>
  </si>
  <si>
    <t xml:space="preserve">classification; convolutional neural network; discriminator; generative adversarial network; generator; healthcare; medical imaging; Segmentation</t>
  </si>
  <si>
    <t xml:space="preserve">Blood; Cells; Classification (of information); Cytology; Diagnosis; Discriminators; Diseases; Generative adversarial networks; Mapping; Medical imaging; Neural networks; Pixels; Signal to noise ratio; Blood; Cell (biology); Cell biology; Convolutional neural network; Features extraction; Generator; Healthcare; Images segmentations; Segmentation; Shape; Image segmentation</t>
  </si>
  <si>
    <t xml:space="preserve">Hegde R.B., Prasad K., Hebbar H., Singh B.M.K., Development of a robust algorithm for detection of nuclei and classification of white blood cells in peripheral blood smear images, J. Med. Syst., 42, 6, pp. 1-8, (2018); Hegde R.B., Prasad K., Hebbar H., Singh B.M.K., Development of a robust algorithm for detection of nuclei of white blood cells in peripheral blood smear images, Multimedia Tools Appl, 78, 13, pp. 17879-17898, (2019); Madhloom H.T., Kareem S.A., Ariffin H., Zaidan A.A., Alanazi H.O., Zaidan B.B., An automated white blood cell nucleus localization and segmentation using image arithmetic and automatic threshold, J. Appl. Sci., 10, 11, pp. 959-966, (2010); Shahzad M., Umar A.I., Khan M.A., Shirazi S.H., Khan Z., Yousaf W., Robust method for semantic segmentation of whole-slide blood cell microscopic images, Comput. Math. Methods Med., 2020, pp. 1-13, (2020); Garcia-Lamont F., Alvarado M., Cervantes J., Systematic segmentation method based on PCA of image hue features for white blood cell counting, PLoS ONE, 16, 12; Mahdi T.F., Daway H.G., Jouda J., Automatic white blood cell detection depending on color features based on red and (A) in the LAB space, Pervasive Computing and Social Networking, pp. 579-588, (2022); Devi T.G., Patil N., Rai S., Philipose C.S., Gaussian blurring technique for detecting and classifying acute lymphoblastic leukemia cancer cells from microscopic biopsy images, Life, 13, 2, (2023); Nikitaev V.G., Nagornov O.V., Pronichev A.N., Polyakov E.V., Zaytsev S.M., Zakharenko Y.V., Dmitrieva V.V., Research of the leukocytes segmentation method in the blood cells recognition systems, KnE Energy, 3, 2, pp. 350-354, (2018); Miao H., Xiao C., Simultaneous segmentation of leukocyte and erythrocyte in microscopic images using a marker-controlled watershed algorithm, Comput. Math. Methods Med., 2018, pp. 1-9, (2018); Shirazi S.H., Umar A.I., Naz S., Haq N., Razzak M.I., Efficient enhancement and segmentation of leukocytes from microscopic images, J. Appl. Environ. Biol. Sci., 6, 35, pp. 121-126, (2016); Sajjad M., Khan S., Jan Z., Muhammad K., Moon H., Kwak J.T., Rho S., Baik S.W., Mehmood I., Leukocytes classification and segmentation in microscopic blood smear: A resource-aware healthcare service in smart cities, IEEE Access, 5, pp. 3475-3489, (2017); Durant T.J.S., Olson E.M., Schulz W.L., Torres R., Very deep convolutional neural networks for morphologic classification of erythrocytes, Clin. Chem., 63, 12, pp. 1847-1855, (2017); Xu M., Papageorgiou D.P., Abidi S.Z., Dao M., Zhao H., Karniadakis G.E., A deep convolutional neural network for classification of red blood cells in sickle cell anemia, PLOS Comput. Biol., 13, 10, (2017); Tian Z., He T., Shen C., Yan Y., Decoders matter for semantic segmentation: Data-dependent decoding enables flexible feature aggregation, Proc. IEEE/CVF Conf. Comput. Vis. Pattern Recognit. (CVPR), pp. 3121-3130, (2019); Sun W., Wang R., Fully convolutional networks for semantic segmentation of very high resolution remotely sensed images combined with DSM, IEEE Geosci. Remote Sens. Lett., 15, 3, pp. 474-478, (2018); Shahzad M., Umar A.I., Shirazi S.H., Khan Z., Khan A., Assam M., Mohamed A., Attia E.-A., Identification of anemia and its severity level in a peripheral blood smear using 3-tier deep neural network, Appl. Sci., 12, 10, (2022); Zhang M., Li X., Xu M., Li Q., Automated semantic segmentation of red blood cells for sickle cell disease, IEEE J. Biomed. Health Informat., 24, 11, pp. 3095-3102, (2020); Yi F., Moon I., Javidi B., Cell morphology-based classification of red blood cells using holographic imaging informatics, Biomed. Opt. Exp., 7, 6, pp. 2385-2399, (2016); Goodfellow I., Pouget-Abadie J., Mirza M., Xu B., Warde-Farley D., Ozair S., Courville A.C., Bengio Y., Generative adversarial networks, Commun. ACM, 63, 11, pp. 139-144, (2020); Wang Y., Yu B., Wang L., Zu C., Lalush D.S., Lin W., Wu X., Zhou J., Shen D., Zhou L., 3D conditional generative adversarial networks for high-quality PET image estimation at low dose, NeuroImage, 174, pp. 550-562, (2018); Quan T.M., Nguyen-Duc T., Jeong W.-K., Compressed sensing MRI reconstruction using a generative adversarial network with a cyclic loss, IEEE Trans. Med. Imag., 37, 6, pp. 1488-1497, (2018); Dou Q., Ouyang C., Chen C., Chen H., Heng P.-A., Unsupervised cross-modality domain adaptation of ConvNets for biomedical image segmentations with adversarial loss, (2018); Negi A., Raj A.N.J., Nersisson R., Zhuang Z., Murugappan M., RDA-UNET-WGAN: An accurate breast ultrasound lesion segmentation using Wasserstein generative adversarial networks, Arabian J. Sci. Eng., 45, 8, pp. 6399-6410, (2020); Shahzad M., Umar A.I., Shirazi S.H., Shaikh I.A., Semantic segmentation of anaemic RBCs using multilevel deep convolutional encoder–decoder network, IEEE Access, 9, pp. 161326-161341, (2021); Alex V., Mohammed K.P.S., Chennamsetty S.S., Krishnamurthi G., Generative adversarial networks for brain lesion detection, Proc. SPIE, pp. 113-121, (2017); Naidoo K., Marivate V., Unsupervised anomaly detection of healthcare providers using generative adversarial networks, Proc. Conf. e-Business, e-Services e-Society., pp. 419-430, (2020); Zhu J.-Y., Park T., Isola P., Efros A.A., Unpaired image-to-image translation using cycle-consistent adversarial networks, Proc. IEEE Int. Conf. Comput. Vis. (ICCV), pp. 2242-2251, (2017); Hinton G.E., Srivastava N., Krizhevsky A., Sutskever I., Salakhutdinov R.R., Improving neural networks by preventing co-adaptation of feature detectors, (2012); Isola P., Zhu J.-Y., Zhou T., Efros A.A., Image-to-image translation with conditional adversarial networks, Proc. IEEE Conf. Comput. Vis. Pattern Recognit. (CVPR), pp. 5967-5976, (2017); Ronneberger O., Fischer P., Brox T., U-Net: Convolutional networks for biomedical image segmentation, Proc. Int. Conf. Med. Image Comput. Comput.-Assist. Intervent. Springer, pp. 234-241, (2015); Mirza M., Osindero S., Conditional generative adversarial nets, (2014); Labati R.D., Piuri V., Scotti F., All-IDB: The acute lymphoblastic leukemia image database for image processing, Proc. 18th IEEE Int. Conf. Image Process., pp. 2045-2048, (2011); Kingma D.P., Ba J., Adam: A method for stochastic optimization, (2014); Mozaffari M.H., Abdolghader P., Tay L.-L., Stolow A., Segmentation of stimulated Raman microscopy images using a 1D convolutional neural network, Proc. Photon. North (PN), (2022); Chen X., Duan Y., Houthooft R., Schulman J., Sutskever I., Abbeel P., InfoGAN: Interpretable representation learning by information maximizing generative adversarial nets, (2016); Salimans T., Goodfellow I., Zaremba W., Cheung V., Radford A., Chen X., Improved techniques for training GANs, (2016); Li Y., Zhang C., Zhang X., A Liouville theorem on complete nonKähler manifolds, (2018); Huang X., Liu M.-Y., Belongie S., Kautz J., Multimodal unsupervised image-to-image translation, (2018); van den Oord A., Li Y., Vinyals O., Representation learning with contrastive predictive coding, (2018); Karras T., StyleGAN2: An improved generative adversarial network for fewer parameters and higher quality images, IEEE Trans. Image Process., 29, pp. 2049-2067, (2020); Peng C., Kim Y.S., Mittnik S., Portfolio optimization on multivariate regime switching GARCH model with normal tempered stable innovation, (2020); Richard S., Tsuzu N., Spectral and scattering theory for topological crystals perturbed by infinitely many new edges; Lu J., Meyer S., A zero-inflated endemic-epidemic model with an application to measles time series in Germany; Iqbal A., Sharif M., Yasmin M., Raza M., Aftab S., Generative adversarial networks and its applications in the biomedical image segmentation: A comprehensive survey, Int. J. Multimedia Inf. Retr., 11, 3, pp. 333-368; Iqbal A., Sharif M., PDF-UNet: A semi-supervised method for segmentation of breast tumor images using a U-shaped pyramid-dilated network, Exp. Syst. Appl., 221, 2023; Barrera K., Rodellar J., Alferez S., Merino A., Automatic normalized digital color staining in the recognition of abnormal blood cells using generative adversarial networks, Comput. Methods Programs Biomed., 240, 2023; Barrera K., Merino A., Molina A., Rodellar J., Automatic generation of artificial images of leukocytes and leukemic cells using generative adversarial networks (syntheticcellgan), Comput. Methods Programs Biomed., 229; Hazra D., Byun Y.-C., Kim W.J., Enhancing classification of cells procured from bone marrow aspirate smears using generative adversarial networks and sequential convolutional neural network, Comput. Methods Programs Biomed., 224; Cosacak M.I., Kizil C., Using conditional generative adversarial networks (GAN) to generate de novo synthetic cell nuclei for training machine learning-based image segmentation, Tech. Rep., 2022; Xun S., Li D., Zhu H., Chen M., Wang J., Li J., Chen M., Wu B., Zhang H., Chai X., Generative adversarial networks in medical image segmentation: A review, Comput. Biol. Med., 140, 2022; Makhlouf A., Maayah M., Abughanam N., Catal C., The use of generative adversarial networks in medical image augmentation, Neural Comput. Appl., 35, 34, pp. 24055-24068, (2023); Oyelade O.N., Ezugwu A.E., A novel wavelet decomposition and transformation convolutional neural network with data augmentation for breast cancer detection using digital mammogram, Sci. Rep., 12, 1, (2022); Song L.I., Geoffrey K.F., Kaijian H.E., Bottleneck feature supervised U-Net for pixel-wise liver and tumor segmentation, Exp. Syst. Appl., 145, (2020); Ma L., Shuai R., Ran X., Liu W., Ye C., Combining DC-GAN with ResNet for blood cell image classification, Med. Biol. Eng. Comput., 58, pp. 1251-1264; Jamil M.M.A., Oussama L., Hafizah W.M., Wahab M.H.A., Johan M.F., Computational automated system for red blood cell detection and segmentation, Intelligent Data Analysis for Biomedical Applications, pp. 173-189, (2019); Gorey A., Biswas D., Kumari A., Gupta S., Sharma N., Chen G.C.K., Vasudevan S., Application of continuous-wave photoacoustic sensing to red blood cell morphology, Lasers Med. Sci., 34, pp. 487-494, (2019); Mishra S., Majhi B., Sa P.K., Sharma L., Gray level co-occurrence matrix and random forest based acute lymphoblastic leukemia detection, Biomed. Signal Process. Control, 33, pp. 272-280, (2017); Abedy H., Ahmed F., Bhuiyan M.N.Q., Islam M., Ali N.Y., Shamsujjoha M., Leukemia prediction from microscopic images of human blood cell using HOG feature descriptor and logistic regression, Proc. 16th Int. Conf. ICT Knowl. Eng., pp. 1-6, (2018); Molina A., Alferez S., Boldu L., Acevedo A., Rodellar J., Merino A., Sequential classification system for recognition of malaria infection using peripheral blood cell images, J. Clin. Pathol., 73, 10, pp. 665-670, (2020); Patel J.M., Gamit N.C., A review on feature extraction techniques in content based image retrieval, Proc. Int. Conf. Wireless Commun., Signal Process. Netw. (WiSPNET), pp. 2259-2263, (2016); Wasson V., An efficient content based image retrieval based on speeded up robust features (SURF) with optimization technique, Proc. 2nd IEEE Int. Conf. Recent Trends Electron., Inf. Commun. Technol. (RTEICT), pp. 730-735, (2017); Li Y., Li Q., Liu Y., Xie W., A spatial–spectral SIFT for hyperspectral image matching and classification, Pattern Recognit. Lett., 127, pp. 18-26, (2019); Li S., Wang Z., Zhu Q., A research of ORB feature matching algorithm based on fusion descriptor, Proc. IEEE 5th Inf. Technol. Mechatronics Eng. Conf. (ITOEC), pp. 417-420, (2020); Agrawal M., Konolige K., Blas M.R., CenSurE: Center surround extremas for realtime feature detection and matching, Proc. Eur. Conf. Comput. Vis., pp. 102-115, (2008); Ma J., Jiang X., Fan A., Jiang J., Yan J., Image matching from handcrafted to deep features: A survey, Int. J. Comput. Vis., 129, 1, pp. 23-79, (2021); Anand R., Shanthi T., Nithish M.S., Lakshman S., Face recognition and classification using GoogleNET architecture, Soft Computing for Problem Solving, 1, pp. 261-269, (2020); Khan A., Khan A., Ullah M., Alam M.M., Bangash J.I., Suud M.M., A computational classification method of breast cancer images using the VGGNet model, Frontiers Comput. Neurosci., 16, 2022; Saleem S., Amin J., Sharif M., Anjum M.A., Iqbal M., Wang S.H., A deep network designed for segmentation and classification of leukemia using fusion of the transfer learning models, Complex Intell. Syst., pp. 1-16</t>
  </si>
  <si>
    <t xml:space="preserve">S.H. Shirazi; Hazara University Mansehra, Department of Computer Science and Information Technology, Mansehra, 21300, Pakistan; email: syedhamad@hu.edu.pk</t>
  </si>
  <si>
    <t xml:space="preserve">2-s2.0-85188424290</t>
  </si>
  <si>
    <t xml:space="preserve">Chaudhry H.A.H.; Farid M.S.; Fiandrotti A.; Grangetto M.</t>
  </si>
  <si>
    <t xml:space="preserve">Chaudhry, Hafiza Ayesha Hoor (57716622400); Farid, Muhammad Shahid (56005002100); Fiandrotti, Attilio (25927032400); Grangetto, Marco (6701519103)</t>
  </si>
  <si>
    <t xml:space="preserve">57716622400; 56005002100; 25927032400; 6701519103</t>
  </si>
  <si>
    <t xml:space="preserve">A lightweight deep learning architecture for malaria parasite-type classification and life cycle stage detection</t>
  </si>
  <si>
    <t xml:space="preserve">Malaria is an endemic in various tropical countries. The gold standard for disease detection is to examine the blood smears of patients by an expert medical professional to detect malaria parasite called Plasmodium. In the rural areas of underdeveloped countries, with limited infrastructure, a scarcity of healthcare professionals, an absence of sufficient computing devices, and a lack of widespread internet access, this task becomes more challenging. A severe case of malaria can be fatal within one week, so the correct detection of the malaria parasite and its life cycle stage is crucial in treating the disease correctly. Though computer vision-based malaria detection has been adequately explored lately, the malaria life cycle stage classification is still a relatively unexplored field. In this paper, we introduce a fast and robust deep learning methodology to not only classify the malaria parasite-type detection but also the life cycle stage identification of the infected cell. The proposed deep learning architecture is more than twenty times lighter than the widely used DenseNet and has less than 0.4 million parameters, making it a good candidate to be used in the mobile applications of such economically challenged states for malaria detection. We have used four different publicly available malaria datasets to test the proposed architecture and gained significantly better results than the current state of the art on malaria parasite-type and malaria life cycle classification. © The Author(s) 2024.</t>
  </si>
  <si>
    <t xml:space="preserve">diagnosis/prognostics</t>
  </si>
  <si>
    <t xml:space="preserve">Neural Computing and Applications</t>
  </si>
  <si>
    <t xml:space="preserve">10.1007/s00521-024-10219-w</t>
  </si>
  <si>
    <t xml:space="preserve">https://www.scopus.com/inward/record.uri?eid=2-s2.0-85200886209&amp;doi=10.1007%2fs00521-024-10219-w&amp;partnerID=40&amp;md5=282ae4ef1d81a8bd793ab074229d3660</t>
  </si>
  <si>
    <t xml:space="preserve">Department of Computer Science, University of Turin, Torino, 10149, Italy; Department of Computer Science, University of the Punjab, Lahore, 54590, Pakistan</t>
  </si>
  <si>
    <t xml:space="preserve">Chaudhry H.A.H., Department of Computer Science, University of Turin, Torino, 10149, Italy; Farid M.S., Department of Computer Science, University of the Punjab, Lahore, 54590, Pakistan; Fiandrotti A., Department of Computer Science, University of Turin, Torino, 10149, Italy; Grangetto M., Department of Computer Science, University of Turin, Torino, 10149, Italy</t>
  </si>
  <si>
    <t xml:space="preserve">Deep learning; Malaria detection; Malaria life cycle stage classification; Medical image classification</t>
  </si>
  <si>
    <t xml:space="preserve">Deep learning; Diseases; Image classification; Life cycle; Medical imaging; Deep learning; Gold standards; Learning architectures; Life cycle stages; Malaria detection; Malaria life cycle stage classification; Malaria parasite; Medical image classification; Tropical countries; Type classifications; Classification (of information)</t>
  </si>
  <si>
    <t xml:space="preserve">Università degli Studi di Torino, UNITO</t>
  </si>
  <si>
    <t xml:space="preserve">Open access funding provided by Universit\u00E0 degli Studi di Torino within the CRUI-CARE Agreement. </t>
  </si>
  <si>
    <t xml:space="preserve">World Malaria Report 2022, (2022); Malaria - Pakistan, (2022); Wafula S.T., Habermann T., Franke M.A., Et al., What are the pathways between poverty and malaria in sub-saharan africa? A systematic review of mediation studies, Infect Dis Poverty, 12, 3, pp. 13-30, (2023); Price R.N., Commons R.J., Battle K.E., Et al., Plasmodium vivax in the era of the shrinking P. falciparum map, Trends Parasitol, 36, 6, pp. 560-570, (2020); Neveu G., Lavazec C., Erythroid cells and malaria parasites: it’s a match!, Curr Opin Hematol, 28, 3, pp. 158-163, (2021); Bousema T., Drakeley C., Epidemiology and infectivity of plasmodium falciparum and plasmodium vivax gametocytes in relation to malaria control and elimination, Clin Microbiol Rev, 24, 2, pp. 377-410, (2011); Adegoke J.A., Raper H., Gassner C., Et al., Visible microspectrophotometry coupled with machine learning to discriminate the erythrocytic life cycle stages of P. falciparum malaria parasites in functional single cells, Analyst, 147, pp. 2662-2670, (2022); Kochan K., Bedolla D.E., Perez-Guaita D., Et al., Infrared spectroscopy of blood, Appl Spectrosc, 75, 6, pp. 611-646, (2021); White N.J., Severe malaria, Malar J, 21, 1, (2022); Mohammed H.A., Abdelrahman I.A.M., Detection and classification of malaria in thin blood slide images, In: 2017 International Conference on Communication, Control, Computing and Electronics Engineering (ICCCCEE), IEEE, pp. 1-5, (2017); Komagal E., Kumar K., Vigneswaran A., Recognition and classification of malaria plasmodium diagnosis, Int J Eng Res Technol, 2, 1, pp. 1-4, (2013); Punitha S., Logeshwari P., Sivaranjani P., Et al., Detection of malarial parasite in blood using image processing, Asian J Appl Sci Technol, 1, 2, pp. 211-213, (2017); Razzak M.I., Automatic detection and classification of malarial parasite, Int J Biom Bioinform (IJBB), 9, 1, pp. 1-12, (2015); Arshad Q.A., Ali M., Hassan S.U., Et al., A dataset and benchmark for malaria life-cycle classification in thin blood smear images, Neural Comput Appl, 34, 6, pp. 4473-4485, (2021); Liang Z., Powell A., Ersoy I., Et al., Cnn-based image analysis for malaria diagnosis, In: 2016 IEEE International Conference on Bioinformatics and Biomedicine (BIBM), IEEE, pp. 493-496, (2016); Pan W.D., Dong Y., Wu D., Classification of Malaria-Infected Cells Using Deep Convolutional Neural Networks, 159, (2018); Fatima T., Farid M.S., Automatic detection of plasmodium parasites from microscopic blood images, J Parasit Dis, 44, 1, pp. 69-78, (2019); Rahman A., Zunair H., Rahman M.S., Et al., Improving malaria parasite detection from red blood cell using deep convolutional neural networks, (2019); Rajaraman S., Antani S.K., Poostchi M., Et al., Pre-trained convolutional neural networks as feature extractors toward improved malaria parasite detection in thin blood smear images, PeerJ, 6, (2018); Quinn J.A., Nakasi R., Mugagga P.K.B., Et al., Deep convolutional neural networks for microscopy-based point of care diagnostics, Proceedings of the 1St Machine Learning for Healthcare Conference, Proceedings of Machine Learning Research, 56, pp. 271-281, (2016); Savkare S., Narote S., Automated system for malaria parasite identification, In: 2015 International Conference on Communication, Information &amp; Computing Technology, pp. 1-4, (2015); Fn K.T., Daniel T., Pierre E., Et al., Automated diagnosis of malaria in tropical areas using 40x microscopic images of blood smears, Int J Biom Bioinforma, 10, 2, (2016); Kareem S., Kale I., Morling R.C., Automated malaria parasite detection in thin blood films:-a hybrid illumination and color constancy insensitive, morphological approach, In: 2012 IEEE Asia Pacific Conference on Circuits and Systems, IEEE, pp. 240-243, (2012); May Z., Mohd Aziz S.S.A., Salamat R., Automated quantification and classification of malaria parasites in thin blood smears, In: 2013 IEEE International Conference on Signal and Image Processing Applications, pp. 369-373, (2013); Roy K., Sharmin S., Mukta R.M., Et al., Detection of malaria parasite in giemsa blood sample using image processing, Int J Comput Sci Inform Technol, 10, 1, pp. 55-65, (2018); Arco J., Gorriz J., Ramirez J., Et al., Digital image analysis for automatic enumeration of malaria parasites using morphological operations, Expert Syst Appl, 42, 6, pp. 3041-3047, (2015); Umer M., Sadiq S., Ahmad M., Et al., A novel stacked cnn for malarial parasite detection in thin blood smear images, IEEE Access, 8, pp. 93782-93792, (2020); Gautam K., Jangir S.K., Kumar M., Et al., Malaria detection system using convolutional neural network algorithm, In: Machine Learning and Deep Learning in Real-Time Applications., pp. 219-230, (2020); Maqsood A., Farid M.S., Khan M.H., Et al., Deep malaria parasite detection in thin blood smear microscopic images, Appl Sci, 11, 5, (2021); Imran T., Khan M.A., Sharif M., Et al., Malaria blood smear classification using deep learning and best features selection, Computers, Materials Continua, 70, 1, pp. 1875-1891, (2022); Loddo A., Di Ruberto C., Kocher M., Et al., MP-IDB: The malaria parasite image database for image processing and analysis, In: Processing and Analysis of Biomedical Information: First International SIPAIM Workshop, Samba 2018, Held in Conjunction with MICCAI 2018, Granada, Spain, pp. 57-65, (2019); Kassim Y.M., Yang F., Yu H., Et al., Diagnosing malaria patients with plasmodium falciparum and vivax using deep learning for thick smear images, Diagnostics, 11, 11, (2021); Loddo A., Fadda C., Di Ruberto C., An empirical evaluation of convolutional networks for malaria diagnosis, J Imaging, 8, 3, (2022); Abbas S.S., Dijkstra T.M.H., Detection and stage classification of plasmodium falciparum from images of giemsa stained thin blood films using random forest classifiers, Diagn Pathol, 15, 1, (2020); Azhar M.S., Mashor M.Y., Kanafiah A., Et al., Development of life cycle classification system for plasmodium knowlesi malaria species using deep learning, In: AIP Conference Proceedings, AIP Publishing, (2023); Araujo F., Colares N., Carvalho U., Plasmodium life cycle-stage classification on thick blood smear microscopy images using deep learning: A contribution to malaria diagnosis, In: 2023 19Th International Symposium on Medical Information Processing and Analysis (SIPAIM), pp. 1-4, (2023); Paszke A., Gross S., Massa F., Et al., Pytorch: An imperative style, high-performance deep learning library, Advances in Neural Information Processing Systems, 32, (2019); He K., Zhang X., Ren S., Et al., Deep residual learning for image recognition, In: Proceedings of the IEEE Conference on Computer Vision and Pattern Recognition., pp. 770-778, (2016); Huang G., Liu Z., Maaten L.V.D., Et al., Densely connected convolutional networks, In: Proceedings of the IEEE Conference on Computer Vision and Pattern Recognition., pp. 2261-2269, (2017); Krizhevsky A., Sutskever I., Hinton G.E., Imagenet classification with deep convolutional neural networks, Commun ACM, 60, 6, pp. 84-90, (2017); Iandola F.N., Han S., Moskewicz M.W., Squeezenet: Alexnet-level accuracy with 50x fewer parameters and&lt;1mb model size., (2016); Simonyan K., Zisserman A., Very deep convolutional networks for large-scale image recognition., (2014); Szegedy C., Vanhoucke V., Ioffe S., Et al., Rethinking the inception architecture for computer vision, In: Proc. IEEE Conf. Comput. Vis. Pattern Recognit. (CVPR), pp. 2818-2826, (2016); Yang Z., Benhabiles H., Hammoudi K., Et al., A generalized deep learning-based framework for assistance to the human malaria diagnosis from microscopic images, Neural Comput Appl, 34, 17, pp. 14223-14238, (2022)</t>
  </si>
  <si>
    <t xml:space="preserve">H.A.H. Chaudhry; Department of Computer Science, University of Turin, Torino, 10149, Italy; email: hafizaayeshahoor.chaudhry@unito.it</t>
  </si>
  <si>
    <t xml:space="preserve">Neural Comput. Appl.</t>
  </si>
  <si>
    <t xml:space="preserve">2-s2.0-85200886209</t>
  </si>
  <si>
    <t xml:space="preserve">Ogwel B.; Mzazi V.H.; Nyawanda B.O.; Otieno G.; Tickell K.D.; Omore R.</t>
  </si>
  <si>
    <t xml:space="preserve">Ogwel, Billy (57201699482); Mzazi, Vincent H. (58516424500); Nyawanda, Bryan O. (56013776800); Otieno, Gabriel (57213466669); Tickell, Kirkby D. (55676914700); Omore, Richard (55501767200)</t>
  </si>
  <si>
    <t xml:space="preserve">57201699482; 58516424500; 56013776800; 57213466669; 55676914700; 55501767200</t>
  </si>
  <si>
    <t xml:space="preserve">A machine learning approach to predicting inpatient mortality among pediatric acute gastroenteritis patients in Kenya</t>
  </si>
  <si>
    <t xml:space="preserve">Background: Mortality prediction scores for children admitted with diarrhea are unavailable, early identification of at-risk patients for proper management remains a challenge. This study utilizes machine learning (ML) to develop a highly sensitive model for timelier identification of at-risk children admitted with acute gastroenteritis (AGE) for better management. Methods: We used seven ML algorithms to build prognostic models for the prediction of mortality using de-identified data collected from children aged &lt;5 years hospitalized with AGE at Siaya County Referral Hospital (SCRH), Kenya, between 2010 through 2020. Potential predictors included demographic, medical history, and clinical examination data collected at admission to hospital. We conducted split-sampling and employed tenfold cross-validation in the model development. We evaluated the sensitivity, specificity, positive predictive value (PPV), negative predictive value (NPV), and the area under the curve (AUC) for each of the models. Results: During the study period, 12 546 children aged &lt;5 years admitted at SCRH were enrolled in the inpatient disease surveillance, of whom 2271 (18.1%) had AGE and 164 (7.2%) subsequently died. The following features were identified as predictors of mortality in decreasing order: AVPU scale, Vesikari score, dehydration, sunken eyes, skin pinch, maximum number of vomits, unconsciousness, wasting, vomiting, pulse, fever, sunken fontanelle, restless, nasal flaring, diarrhea days, stridor, &lt;90% oxygen saturation, chest indrawing, malaria, and stunting. The sensitivity ranged from 46.3%–78.0% across models, while the specificity and AUC ranged from 71.7% to 78.7% and 56.5%–82.6%, respectively. The random forest model emerged as the champion model achieving 78.0%, 76.6%, 20.6%, 97.8%, and 82.6% for sensitivity, specificity, PPV, NPV, and AUC, respectively. Conclusions: This study demonstrates promising predictive performance of the proposed algorithm for identifying patients at risk of mortality in resource-limited settings. However, further validation in real-world clinical settings is needed to assess its feasibility and potential impact on patient outcomes. © 2024 The Author(s). Learning Health Systems published by Wiley Periodicals LLC on behalf of University of Michigan.</t>
  </si>
  <si>
    <t xml:space="preserve">Learning Health Systems</t>
  </si>
  <si>
    <t xml:space="preserve">John Wiley and Sons Inc</t>
  </si>
  <si>
    <t xml:space="preserve">10.1002/lrh2.10478</t>
  </si>
  <si>
    <t xml:space="preserve">https://www.scopus.com/inward/record.uri?eid=2-s2.0-85213037753&amp;doi=10.1002%2flrh2.10478&amp;partnerID=40&amp;md5=af0d5da9dd43142ddd28ddfe34b3a13f</t>
  </si>
  <si>
    <t xml:space="preserve">Kenya Medical Research Institute-Center for Global Health Research (KEMRI-CGHR), Kisumu, Kenya; Department of Information Systems, University of South Africa, Pretoria, South Africa; Department of Computing, United States International University, Nairobi, Kenya; Department of Global Health, University of Washington, Seattle, WA, United States</t>
  </si>
  <si>
    <t xml:space="preserve">Ogwel B., Kenya Medical Research Institute-Center for Global Health Research (KEMRI-CGHR), Kisumu, Kenya, Department of Information Systems, University of South Africa, Pretoria, South Africa; Mzazi V.H., Department of Information Systems, University of South Africa, Pretoria, South Africa; Nyawanda B.O., Kenya Medical Research Institute-Center for Global Health Research (KEMRI-CGHR), Kisumu, Kenya; Otieno G., Department of Computing, United States International University, Nairobi, Kenya; Tickell K.D., Department of Global Health, University of Washington, Seattle, WA, United States; Omore R., Kenya Medical Research Institute-Center for Global Health Research (KEMRI-CGHR), Kisumu, Kenya</t>
  </si>
  <si>
    <t xml:space="preserve">acute gastroenteritis; diarrhea; machine learning; mortality; prediction</t>
  </si>
  <si>
    <t xml:space="preserve">Diarrhoeal disease: Factsheet, (2024); Troeger C., Blacker B.F., Khalil I.A., Et al., Estimates of the global, regional, and national morbidity, mortality, and aetiologies of diarrhoea in 195 countries: a systematic analysis for the global burden of disease study 2016, Lancet Infect Dis, 18, pp. 1211-1228, (2018); Levine M.M., Nasrin D., Acacio S., Et al., Diarrhoeal disease and subsequent risk of death in infants and children residing in low-income and middle-income countries: analysis of the GEMS case-control study and 12-month GEMS-1A follow-on study, Lancet Glob Health, 8, pp. e204-e214, (2020); Pavlinac P.B., Brander R.L., Atlas H.E., John-Stewart G.C., Denno D.M., Walson J.L., Interventions to reduce post-acute consequences of diarrheal disease in children: a systematic review, BMC Public Health, 18, (2018); Diarrhoeal disease, (2017); Levine A.C., Glavis-Bloom J., Modi P., Et al., Empirically derived dehydration scoring and decision tree models for children with diarrhea: assessment and internal validation in a prospective cohort study in Dhaka, Bangladesh Glob Health Sci Pract, 3, pp. 405-418, (2015); Lewis K., Vesikari Clinical Severity Scoring System Manual, (2011); Handbook IMCI: Integrated Management of Childhood Illness, (2005); Hartzband P., Groopman J., Physician burnout, interrupted, N Engl J Med, 382, pp. 2485-2487, (2020); Kokonya D., Burnout syndrome among medical Workers at Kenyatta National Hospital (KNH), Nairobi, Kenya, Afr J Psychiatry, 17, (2014); Motluk A., Do doctors experiencing burnout make more errors?, CMAJ Can Med Assoc J, 190, pp. E1216-E1217, (2018); Chen J.H., Asch S.M., Machine learning and prediction in medicine — beyond the peak of inflated expectations, N Engl J Med, 376, pp. 2507-2509, (2017); Parashar G., Chaudhary A., Rana A., Systematic mapping study of AI/machine learning in healthcare and future directions, SN Comput Sci, 2, (2021); Jayatilake S.M.D.A.C., Ganegoda G.U., Involvement of machine learning tools in healthcare decision making, J Healthc Eng, 2021, (2021); Bottino F., Tagliente E., Pasquini L., Et al., COVID mortality prediction with machine learning methods: a systematic review and critical appraisal, J Pers Med, 11, (2021); Ismail S.R., Khalil M.K.N., Mohamad M.S.F., Azhar Shah S., Systematic review and meta-analysis of prognostic models in southeast Asian populations with acute myocardial infarction, Front Cardiovasc Med, 9, (2022); Ferreira A.M., Santos L.I., Sabino E.C., Et al., Two-year death prediction models among patients with chagas disease using machine learning-based methods, PLoS Negl Trop Dis, 16, (2022); Lu S.-C., Xu C., Nguyen C.H., Geng Y., Pfob A., Sidey-Gibbons C., Machine learning–based short-term mortality prediction models for patients with cancer using electronic health record data: systematic review and critical appraisal, JMIR Med Inform, 10, (2022); Ogwel B., Mzazi V., Nyawanda B.O., Otieno G., Omore R., Predictive modeling for infectious diarrheal disease in pediatric populations: a systematic review, Learn Health Syst, 8, 1, (2023); Omore R., Khagayi S., Ogwel B., Et al., Rates of hospitalization and death for all-cause and rotavirus acute gastroenteritis before rotavirus vaccine introduction in Kenya, 2010-2013, BMC Infect Dis, 19, (2019); Nyawanda B.O., Mott J.A., Njuguna H.N., Et al., Evaluation of case definitions to detect respiratory syncytial virus infection in hospitalized children below 5 years in rural Western Kenya, 2009–2013, BMC Infect Dis, 16, (2016); KENPHIA 2018 Preliminary Report Vol 1, (2020); Siaya County Annual Development Plan 2017–2018, (2017); Riley R.D., Ensor J., Snell K.I.E., Et al., Calculating the sample size required for developing a clinical prediction model, BMJ, 368, (2020); Luo W., Phung D., Tran T., Et al., Guidelines for developing and reporting machine learning predictive models in biomedical research: a multidisciplinary view, J Med Internet Res, 18, (2016); van Buuren S., Groothuis-Oudshoorn K., Vink G., Et al., Package ‘mice’, (2021); Kursa M.B., Rudnicki W.R., Package ‘Boruta’, (2020); Nguyen Q.H., Ly H.-B., Ho L.S., Et al., Influence of data splitting on performance of machine learning models in prediction of shear strength of soil, Math Probl Eng, 2021, (2021); Irizarry R.A., Chapter 29 cross validation|introduction to data science, (2019); Cross-validation essentials in R – articles – STHDA, (2018); Kuhn M., 11 Subsampling For Class Imbalances | The caret Package, (2019); Yang L., Shami A., On hyperparameter optimization of machine learning algorithms: theory and practice, Neurocomputing, 415, pp. 295-316, (2020); Huang Y., Li W., Macheret F., Gabriel R.A., Ohno-Machado L., A tutorial on calibration measurements and calibration models for clinical prediction models, J Am Med Inform Assoc, 27, pp. 621-633, (2020); Biecek P., Maksymiuk S., Baniecki H., DALEX: moDel agnostic language for exploration and eXplanation, (2023); Nagelkerke J., modelplotr: Plots to evaluate the business value of predictive models, (2020); R: The R project for statistical computing, (2021); Evaluate and select a machine learning algorithm – IBM Garage Practices, (2021); Uddin S., Khan A., Hossain M.E., Moni M.A., Comparing different supervised machine learning algorithms for disease prediction, BMC Med Inform Decis Mak, 19, (2019); Byeon H., Can the random forests model improve the power to predict the intention of the elderly in a community to participate in a cognitive health promotion program?, Iran J Public Health, 50, pp. 315-324, (2021); Mandrekar J.N., Receiver operating characteristic curve in diagnostic test assessment, J Thorac Oncol, 5, pp. 1315-1316, (2010); Khalilia M., Chakraborty S., Popescu M., Predicting disease risks from highly imbalanced data using random forest, BMC Med Inform Decis Mak, 11, (2011); Ooka T., Johno H., Nakamoto K., Yoda Y., Yokomichi H., Yamagata Z., Random forest approach for determining risk prediction and predictive factors of type 2 diabetes: large-scale health check-up data in Japan, BMJ Nutr Prev Health, 4, pp. 140-148, (2021); Iwendi C., Bashir A.K., Peshkar A., Et al., COVID-19 patient health prediction using boosted random Forest algorithm, Front Public Health, 8, (2020); Kaur P., Kumar R., Kumar M., A healthcare monitoring system using random forest and internet of things (IoT), Multimed Tools Appl, 78, pp. 19905-19916, (2019); Guo G., Wang H., Bell D., Bi Y., KNN model-based approach in classification, (2004); Hartman R.M., Cohen A.L., Antoni S., Et al., Risk factors for mortality among children younger than age 5 years with severe diarrhea in low- and middle-income countries: findings from the World Health Organization-coordinated global rotavirus and pediatric diarrhea surveillance networks, Clin Infect Dis, 76, 1, (2022); Acacio S., Mandomando I., Nhampossa T., Et al., Risk factors for death among children 0–59 months of age with moderate-to-severe diarrhea in Manhiça district, southern Mozambique, BMC Infect Dis, 19, (2019); Lee G., Yori P.P., Olortegui M.P., Et al., An instrument for the assessment of diarrhoeal severity based on a longitudinal community-based study, BMJ Open, 4, (2014); Zenebe G.A., Gebretsadik S., Muche T., Et al., Level of Mothers'/Caregivers' healthcare-seeking behavior for Child's diarrhea, fever, and respiratory tract infections and associated factors in Ethiopia: a systematic review and meta-analysis, Biomed Res Int, 2022, (2022); Wierzba T.F., Muhib F., Exploring the broader consequences of diarrhoeal diseases on child health, Lancet Glob Health, 6, pp. e230-e231, (2018); Walker C.L.F., Perin J., Liu J.L., Katz J., Tielsch J.M., Black R., Does comorbidity increase the risk of mortality among children under 3 years of age?, BMJ Open, 3, (2013); Paediatric emergency triage, assessment and treatment: care of critically-ill children, (2016); Eddington H.S., Trickey A.W., Shah V., Harris A.H.S., Tutorial: implementing and visualizing machine learning (ML) clinical prediction models into web-accessible calculators using shiny R, Ann Transl Med, 10, (2022); Murphree D.H., Quest D.J., Allen R.M., Ngufor C., Storlie C.B., Deploying predictive models in a healthcare environment – an open source approach, 2018 40th Annual International Conference of the IEEE Engineering in Medicine and Biology Society (EMBC), pp. 6112-6116, (2018); Khalilia M., Choi M., Henderson A., Iyengar S., Braunstein M., Sun J., Clinical predictive modeling development and deployment through FHIR web services, AMIA Annu Symp Proc, 2015, pp. 717-726, (2015)</t>
  </si>
  <si>
    <t xml:space="preserve">B. Ogwel; KEMRI-CGHR, Kisumu, P.O Box 1578-40100, Kenya; email: ogwelbill@gmail.com</t>
  </si>
  <si>
    <t xml:space="preserve">Learning Health Syst.</t>
  </si>
  <si>
    <t xml:space="preserve">2-s2.0-85213037753</t>
  </si>
  <si>
    <t xml:space="preserve">Imran T.; Iftikhar S.; Fatima K.; ElAmir M.; Alansari N.A.; Saeed A.</t>
  </si>
  <si>
    <t xml:space="preserve">Imran, Talha (57251530600); Iftikhar, Saman (24724555200); Fatima, Kiran (23008307100); ElAmir, Malak (59400962900); Alansari, Noof Abdulaziz (58918718800); Saeed, Ammar (57251538300)</t>
  </si>
  <si>
    <t xml:space="preserve">57251530600; 24724555200; 23008307100; 59400962900; 58918718800; 57251538300</t>
  </si>
  <si>
    <t xml:space="preserve">A Novel ODMC Model for Malaria Blood Smear Classification using Deep Feature Fusion and Optimization</t>
  </si>
  <si>
    <t xml:space="preserve">Background: Malaria poses an enormous threat to humanity with ever increasing cases annually. The research in the field of medical is contributing quite a lot in providing methods for premature diagnosis of malaria. Apart from medical research, information technology is also playing a vital role in proposing efficient methods for malaria diagnosis. Aim: To minimize the manual interference and boost the diagnosis accuracy, the automated systems are under study lately. In the proposed work, an Optimized Deep Malaria Classifier (ODMC) is proposed for accurate and efficient malaria blood smear classification. Method: A dataset comprising of healthy and infected images of malaria blood smears is preprocessed using color space transformation and a series of other image enhancement steps. The deep features are extracted using the well-trained layers of pre-trained Convolutional Neural Networks (CNNs) including ResNet101(RSN101) and SqueezeNet (SQN). Apart from this, the local handcrafted features are also extracted from the preprocessed dataset using Local Binary Patterns (LBP). Both the deep features and the handcrafted features are serially fused together to formulate a compact feature vector which is then optimized using Linear Discriminant Analysis (LDA). The optimized vector is the classified using multiple classifier kernels. Results: The ODMC achieved 99.73% accuracy and 99.76% precision whilst maintaining an efficient prediction speed and training time. © 2024 Journal of Natural Science, Biology and Medicine.</t>
  </si>
  <si>
    <t xml:space="preserve">Journal of Natural Science, Biology and Medicine</t>
  </si>
  <si>
    <t xml:space="preserve">Think Biotech Limited</t>
  </si>
  <si>
    <t xml:space="preserve">10.4103/jnsbm.JNSBM_15_2_23</t>
  </si>
  <si>
    <t xml:space="preserve">https://www.scopus.com/inward/record.uri?eid=2-s2.0-85208467725&amp;doi=10.4103%2fjnsbm.JNSBM_15_2_23&amp;partnerID=40&amp;md5=f56e0214c0e3395cfbe5ef6e942bfa1a</t>
  </si>
  <si>
    <t xml:space="preserve">Department of Computer Science, COMSATS University Islamabad, Wah Campus, Wah Cantt, 47040, Pakistan; Faculty of Computer Studies, Arab Open University, Riyadh, 11681, Saudi Arabia; Technical and Further Education (TAFE), NSW, Australia</t>
  </si>
  <si>
    <t xml:space="preserve">Imran T., Department of Computer Science, COMSATS University Islamabad, Wah Campus, Wah Cantt, 47040, Pakistan; Iftikhar S., Faculty of Computer Studies, Arab Open University, Riyadh, 11681, Saudi Arabia; Fatima K., Technical and Further Education (TAFE), NSW, Australia; ElAmir M., Faculty of Computer Studies, Arab Open University, Riyadh, 11681, Saudi Arabia; Alansari N.A., Faculty of Computer Studies, Arab Open University, Riyadh, 11681, Saudi Arabia; Saeed A., Department of Computer Science, COMSATS University Islamabad, Wah Campus, Wah Cantt, 47040, Pakistan</t>
  </si>
  <si>
    <t xml:space="preserve">Classification; CNN; Deep Learning; Feature Fusion; Feature Optimization; Malaria; Medical Imaging; ODMC Model; Transfer Learning</t>
  </si>
  <si>
    <t xml:space="preserve">Arab Open University; American Ornithologists' Union, AOU, (AOUKSA524008)</t>
  </si>
  <si>
    <t xml:space="preserve">The authors extend their appreciation to the Arab Open University for funding this work through AOU research fund No. (AOUKSA524008).</t>
  </si>
  <si>
    <t xml:space="preserve">Talapko J, Skrlec I, Alebic T, Jukic M, Vcev A., Malaria: The Past and the Present, Microorganisms, 7, 6, (2019); Ashton RA, Doumbia B, Diallo D, Et al., Measuring malaria diagnosis and treatment coverage in population-based surveys: a recall validation study in Mali among caregivers of febrile children under 5 years, Malar J, 18, 1, (2019); Espinoza JL., Malaria Resurgence in the Americas: An Underestimated Threat, Pathogens, 8, 1, (2019); Global malaria report 2019, (2019); Poostchi M, Silamut K, Maude RJ, Jaeger S, Thoma G., Image analysis and machine learning for detecting malaria, Transl Res, 194, pp. 36-55, (2018); Muhammad FA, Sudirman R, Zakaria NA, Mahmood NH., Classification of Red Blood Cell Abnormality in Thin Blood Smear Images using Convolutional Neural Networks, J Phys Conf Ser, 2622, 1, (2023); Kundu TK, Anguraj DK., Optimal Machine Learning Based Automated Malaria Parasite Detection and Classification Model Using Blood Smear Images, Traitement du Signal, 40, 1, pp. 91-99, (2023); Shi L, Guan Z, Liang C, You H., Automatic Classification of Plasmodium for Malaria Diagnosis based on Ensemble Neural Network, Proceedings of the 2020 2nd International Conference on Intelligent Medicine and Image Processing, pp. 80-85, (2020); Pattanaik PA, Mittal M, Khan MZ., Unsupervised Deep Learning Cad Scheme for the Detection of Malaria in Blood Smear Microscopic Images, IEEE Access, 8, pp. 94936-94946, (2020); Shambhu S, Koundal D, Das P., Deep Learning-Based Computer Assisted Detection Techniques for Malaria Parasite Using Blood Smear Images, International Journal of Advanced Technology and Engineering Exploration, 10, 105, pp. 990-1015, (2023); Rajaraman S, Jaeger S, Antani SK., Performance evaluation of deep neural ensembles toward malaria parasite detection in thin-blood smear images, PeerJ, 7, (2019); Vijayalakshmi A, Rajesh Kanna B., Deep learning approach to detect malaria from microscopic images, Multimed Tools Appl, 79, 21, pp. 15297-15317, (2020); Abbas N, Saba T, Rehman A, Et al., Plasmodium species aware based quantification of malaria parasitemia in light microscopy thin blood smear, Microsc Res Tech, 82, 7, pp. 1198-1214, (2019); Abbas N, Saba T, Mohamad D, Rehman A, Almazyad AS, Al-Ghamdi JS., Machine aided malaria parasitemia detection in Giemsa-stained thin blood smears, Neural Comput &amp; Applic, 29, 3, pp. 803-818, (2018); Yang F, Poostchi M, Yu H, Et al., Deep Learning for Smartphone-Based Malaria Parasite Detection in Thick Blood Smears, IEEE J Biomed Health Inform, 24, 5, pp. 1427-1438, (2020); Santosh T, Ramesh D, Reddy D., LSTM based prediction of malaria abundances using big data, Comput Biol Med, 124, (2020); Liu R, Liu T, Dan T, AIDMAN:AnAI-basedobject detectionsystemformalariadiagnosisfromsmartphone thin-blood-smear images, Patterns (N Y), 4, 9, (2023); Irrigisetty H, Madhavi KR, Prasad VS, Jonna H, Kurlapalli M, Gangadasari HR., EnhancingHigh-ResolutionMalaria ParasiteDetectionInBloodSmearsUsingDeepLearning, 2024 5th International Conference for Emerging Technology (INCET), 2024, pp. 1-9; Somasekar J, Reddy BE., Segmentation of erythrocytes infected with malaria parasites for the diagnosis using microscopy imaging, Comput Electr Eng, 45, pp. 336-351, (2015); Gandhamal A, Talbar S, Gajre S, Hani AF, Kumar D., Local gray level S-curve transformation - A generalized contrast enhancement technique for medical images, Comput Biol Med, 83, pp. 120-133, (2017); Gao G, Wan X, Yao S, Cui Z, Zhou C, Sun X., Reversible Data Hiding With Contrast Enhancement and Tamper Localization for Medical Images, Inf Sci (N Y), 385-386, pp. 250-265, (2017); Grigoryan AM, John A, Agaian SS., Color image enhancement of medical images using alpha-rooting and zonal alpha-rooting methods on 2D QDFT, Medical Imaging 2017: Image Perception, Observer Performance, and Technology Assessment, pp. 325-333, (2017); Yang Y, Zhang W, Liang D, Yu N., A ROI-based high capacity reversible data hiding scheme with contrast enhancement for medical images, Multimed Tools Appl, 77, 14, pp. 18043-18065, (2018); Echegaray S, Bakr S, Rubin DL, Napel S., Quantitative Image Feature Engine (QIFE): an Open-Source, Modular Engine for 3D Quantitative Feature Extraction from Volumetric Medical Images, J Digit Imaging, 31, 4, pp. 403-414, (2018); Lorenzo-Ginori JV, Chinea-Valdes L, IzquierdoTorres Y, Et al., Color Features Extraction and Classification of Digital Images of Erythrocytes Infected by Plasmodium berghei, Progress in Pattern Recognition, Image Analysis, Computer Vision, and Applications: 23rd Iberoamerican Congress, CIARP 2018, pp. 715-722, (2018); Rundo L, Tangherloni A, Galimberti S, Et al., HaraliCU: GPU-Powered Haralick Feature Extraction on Medical Images Exploiting the Full Dynamics of Gray-Scale Levels, Parallel Computing Technologies: 15th International Conference, PaCT 2019, pp. 304-318, (2019); Wang R, Shi Y, Cao W., GA-SURF: A new speeded-up robust feature extraction algorithm for multispectral images based on geometric algebra, Pattern Recognit Lett, 127, pp. 11-17, (2019); Ojala T, Pietikainen M, Harwood D., Performance Evaluation of Texture Measures With Classification Based on Kullback Discrimination of Distributions, Proceedings of 12th International Conference on Pattern Recognition, pp. 582-585, (1994); Abbasi S, Tajeripour F., Detection of brain tumor in 3D MRI images using local binary patterns and histogram orientation gradient, Neurocomputing (Amst), 219, pp. 526-535, (2017); Singh C, Walia E, Kaur KP., Color texture description with novel local binary patterns for effective image retrieval, Pattern Recognit, 76, pp. 50-68, (2018); Zhao H, Zhan ZH, Lin Y, Et al., Local Binary Pattern-Based Adaptive Differential Evolution for Multimodal Optimization Problems, IEEE Trans Cybern, 50, 7, pp. 3343-3357, (2020); Eisa M, ElGamal A, Ghoneim R, Bahey A., Local Binary Patterns as Texture Descriptors for User Attitude Recognition, IJCSNS International Journal of Computer Science and Network Security, 10, 6, pp. 222-229, (2010); Heikkila M, Pietikainen M, Schmid C., Description of Interest Regions With Local Binary Patterns, Pattern Recognit, 42, 3, pp. 425-436, (2009); Du Y, Zhang R, Zargari A, Et al., A performance comparison of low-and high-level features learned by deep convolutional neural networks in epithelium and stroma classification, Medical imaging 2018: digital pathology, pp. 304-309, (2018); Abbas A, Abdelsamea MM, Gaber MM., Classification of COVID-19 in chest X-ray images using DeTraC deep convolutional neural network, Appl Intell (Dordr), 51, 2, pp. 854-864, (2021); Gao F, Wu T, Li J, Et al., SD-CNN: A shallow-deep CNN for improved breast cancer diagnosis, Comput Med Imaging Graph, 70, pp. 53-62, (2018); Moriya T, Roth HR, Nakamura S, Et al., Unsupervised segmentation of 3D medical images based on clustering and deep representation learning, Medical Imaging 2018: Biomedical Applications in Molecular, Structural, and Functional Imaging, pp. 483-489, (2018); Trivizakis E, Manikis GC, Nikiforaki K, Et al., Extending 2-D Convolutional Neural Networks to 3-D for Advancing Deep Learning Cancer Classification With Application to MRI Liver Tumor Differentiation, IEEE J Biomed Health Inform, 23, 3, pp. 923-930, (2019); Xu Y, Hosny A, Zeleznik R, Et al., Deep Learning Predicts Lung Cancer Treatment Response from Serial Medical Imaging, Clin Cancer Res, 25, 11, pp. 3266-3275, (2019); Ghosal P, Nandanwar L, Kanchan S, Bhadra A, Chakraborty J, Nandi D., Brain Tumor Classification Using ResNet-101 Based Squeeze and Excitation Deep Neural Network, 2019 Second International Conference on Advanced Computational and Communication Paradigms (ICACCP), pp. 1-6, (2019); Rust F., Computer Vision and Deep Learning in medical imaging Detecting Covid-19 on chest CT scans; Roslidar R, Saddami K, Arnia F, Syukri M, Munadi K., A Study of Fine-Tuning CNN Models Based on Thermal Imaging for Breast Cancer Classification, 2019 IEEE International Conference on Cybernetics and Computational Intelligence (CyberneticsCom), pp. 77-81, (2019); Nabavi S, Ejmalian A, Moghaddam ME, Et al., Medical imaging and computational image analysis in COVID-19 diagnosis: A review, Comput Biol Med, 135, (2021); Zhang X, Hu W, Chen F, Et al., Gastric precancerous diseases classification using CNN with a concise model, PLoS One, 12, 9, (2017); Khalifa NEM, Loey M, Taha MHN, Mohamed H., Deep Transfer Learning Models for Medical Diabetic Retinopathy Detection, Acta Inform Med, 27, 5, pp. 327-332, (2019); Hassan M, Ali S, Alquhayz H, Safdar K., Developing intelligent medical image modality classification system using deep transfer learning and LDA, Sci Rep, 10, 1, (2020); Ali L, Wajahat I, Amiri Golilarz N, Keshtkar F, Bukhari SAC., LDA–GA–SVM: improved hepatocellular carcinoma prediction through dimensionality reduction and genetically optimized support vector machine, Neural Comput &amp; Applic, 33, 7, pp. 2783-2792, (2021); Balakrishnama S, Ganapathiraju A., Linear Discriminant Analysis-A Brief Tutorial, Institute for Signal and information Processing, 18, 1998, pp. 1-8, (1998); Malaria Cells Images Dataset, (2018); Ballabio D, Grisoni F, Todeschini R., Multivariate Comparison of Classification Performance Measures, Chemometr Intell Lab Syst, 174, pp. 33-44, (2018); Wong T-T, Yeh P-Y., Reliable Accuracy Estimates from k-Fold Cross Validation, IEEE Trans Knowl Data Eng, 32, 8, pp. 1586-1594, (2019); Luque A, Carrasco A, Martin A, de Las Heras A., The impact of class imbalance in classification performance metrics based on the binary confusion matrix, Pattern Recognit, 91, pp. 216-231, (2019); Abdel-Jaber H, Devassy D, Al Salam A, Hidaytallah L, EL-Amir M., A Review of Deep Learning Algorithms and Their Applications in Healthcare, Algorithms, 15, 2, (2022); Masud M, Alhumyani H, Alshamrani SS, Et al., Leveraging Deep Learning Techniques for Malaria Parasite Detection Using Mobile Application, Wirel Commun Mob Comput, 2020, 1, (2020); Sinha S, Srivastava U, Dhiman V, Akhilan PS, Mishra S., Performance assessment of Deep Learning procedures on Malaria dataset, Journal of Robotics and Control (JRC), 2, 1, pp. 12-18, (2021); Quan Q, Wang J, Liu L., An Effective Convolutional Neural Network for Classifying Red Blood Cells in Malaria Diseases, Interdiscip Sci, 12, 2, pp. 217-225, (2020); Fuhad KMF, Tuba JF, Sarker MRA, Momen S, Mohammed N, Rahman T., Deep Learning Based Automatic Malaria Parasite Detection from Blood Smear and its Smartphone Based Application, Diagnostics (Basel), 10, 5, (2020)</t>
  </si>
  <si>
    <t xml:space="preserve">S. Iftikhar; Faculty of Computer Studies, Arab Open University, Riyadh, 11681, Saudi Arabia; email: s.iftikhar@arabou.edu.sa</t>
  </si>
  <si>
    <t xml:space="preserve">J. Nat. Sci. Biol. Med.</t>
  </si>
  <si>
    <t xml:space="preserve">2-s2.0-85208467725</t>
  </si>
  <si>
    <t xml:space="preserve">da Silva Ramos J.; Vieira I.H.P.; Rocha W.S.; Esquerdo R.P.; Watanabe C.Y.V.; Zanchi F.B.</t>
  </si>
  <si>
    <t xml:space="preserve">da Silva Ramos, Jonathan (55619875900); Vieira, Ivo Henrique Provensi (58156202100); Rocha, Wan Song (58990554400); Esquerdo, Rosimar Pires (57215013431); Watanabe, Carolina Yukari Veludo (36662957800); Zanchi, Fernando Berton (30767919100)</t>
  </si>
  <si>
    <t xml:space="preserve">55619875900; 58156202100; 58990554400; 57215013431; 36662957800; 30767919100</t>
  </si>
  <si>
    <t xml:space="preserve">A transfer learning approach to identify Plasmodium in microscopic images</t>
  </si>
  <si>
    <t xml:space="preserve">Plasmodium parasites cause Malaria disease, which remains a significant threat to global health, affecting 200 million people and causing 400,000 deaths yearly. Plasmodium falciparum and Plasmodium vivax remain the two main malaria species affecting humans. Identifying the malaria disease in blood smears requires years of expertise, even for highly trained specialists. Literature studies have been coping with the automatic identification and classification of malaria. However, several points must be addressed and investigated so these automatic methods can be used clinically in a Computer-aided Diagnosis (CAD) scenario. In this work, we assess the transfer learning approach by using well-known pre-trained deep learning architectures. We considered a database with 6222 Region of Interest (ROI), of which 6002 are from the Broad Bioimage Benchmark Collection (BBBC), and 220 were acquired locally by us at Fundação Oswaldo Cruz (FIOCRUZ) in Porto Velho Velho, Rondônia—Brazil, which is part of the legal Amazon. We exhaustively cross-validated the dataset using 100 distinct partitions with 80% train and 20% test for each considering circular ROIs (rough segmentation). Our experimental results show that DenseNet201 has a potential to identify Plasmodium parasites in ROIs (infected or uninfected) of microscopic images, achieving 99.41% AUC with a fast processing time. We further validated our results, showing that DenseNet201 was significantly better (99% confidence interval) than the other networks considered in the experiment. Our results support claiming that transfer learning with texture features potentially differentiates subjects with malaria, spotting those with Plasmodium even in Leukocytes images, which is a challenge. In Future work, we intend scale our approach by adding more data and developing a friendly user interface for CAD use. We aim at aiding the worldwide population and our local natives living nearby the legal Amazon’s rivers. Copyright: © 2024 Ramos et al. This is an open access article distributed under the terms of the Creative Commons Attribution License, which permits unrestricted use, distribution, and reproduction in any medium, provided the original author and source are credited.</t>
  </si>
  <si>
    <t xml:space="preserve">PLoS Computational Biology</t>
  </si>
  <si>
    <t xml:space="preserve">Public Library of Science</t>
  </si>
  <si>
    <t xml:space="preserve">e1012327</t>
  </si>
  <si>
    <t xml:space="preserve">10.1371/journal.pcbi.1012327</t>
  </si>
  <si>
    <t xml:space="preserve">https://www.scopus.com/inward/record.uri?eid=2-s2.0-85200592819&amp;doi=10.1371%2fjournal.pcbi.1012327&amp;partnerID=40&amp;md5=aeaff8122177125a1055d6e0fe5d702e</t>
  </si>
  <si>
    <t xml:space="preserve">Computer Science Department, Federal University of Rondônia (DACC/UNIR), Rondônia, Porto Velho, Brazil; Laboratório de Bioinformática e Química Medicinal, Fundação Oswaldo Cruz Rondônia, Rondônia, Porto Velho, Brazil; Instituto Nacional de Epidemiologia na Amazônia Ocidental (INCT-EPIAMO), Rondônia, Porto Velho, Brazil; Programa de Pós-Graduação em Biologia Experimental, Universidade Federal de Rondônia (PGBIOEXP/UNIR), Rondônia, Porto Velho, Brazil</t>
  </si>
  <si>
    <t xml:space="preserve">da Silva Ramos J., Computer Science Department, Federal University of Rondônia (DACC/UNIR), Rondônia, Porto Velho, Brazil; Vieira I.H.P., Laboratório de Bioinformática e Química Medicinal, Fundação Oswaldo Cruz Rondônia, Rondônia, Porto Velho, Brazil, Instituto Nacional de Epidemiologia na Amazônia Ocidental (INCT-EPIAMO), Rondônia, Porto Velho, Brazil; Rocha W.S., Instituto Nacional de Epidemiologia na Amazônia Ocidental (INCT-EPIAMO), Rondônia, Porto Velho, Brazil, Programa de Pós-Graduação em Biologia Experimental, Universidade Federal de Rondônia (PGBIOEXP/UNIR), Rondônia, Porto Velho, Brazil; Esquerdo R.P., Laboratório de Bioinformática e Química Medicinal, Fundação Oswaldo Cruz Rondônia, Rondônia, Porto Velho, Brazil; Watanabe C.Y.V., Computer Science Department, Federal University of Rondônia (DACC/UNIR), Rondônia, Porto Velho, Brazil; Zanchi F.B., Laboratório de Bioinformática e Química Medicinal, Fundação Oswaldo Cruz Rondônia, Rondônia, Porto Velho, Brazil, Instituto Nacional de Epidemiologia na Amazônia Ocidental (INCT-EPIAMO), Rondônia, Porto Velho, Brazil, Programa de Pós-Graduação em Biologia Experimental, Universidade Federal de Rondônia (PGBIOEXP/UNIR), Rondônia, Porto Velho, Brazil</t>
  </si>
  <si>
    <t xml:space="preserve">Computational Biology; Databases, Factual; Deep Learning; Diagnosis, Computer-Assisted; Humans; Image Processing, Computer-Assisted; Malaria; Malaria, Falciparum; Microscopy; Plasmodium; Plasmodium falciparum; Plasmodium vivax; Automation; Computer aided diagnosis; Deep learning; Health risks; Image segmentation; Statistical tests; Textures; User interfaces; Automatic identification; Blood smears; Global health; Learning approach; Literature studies; Microscopic image; Plasmodium falciparum; Plasmodium parasites; Plasmodium vivax; Transfer learning; area under the curve; Article; artificial intelligence; benchmarking; blood smear; convolutional neural network; data mining; deep learning; learning algorithm; machine learning; malaria; microscopy; nonhuman; Plasmodium; Plasmodium falciparum; Plasmodium vivax; sensitivity and specificity; time series analysis; transfer of learning; bioinformatics; computer assisted diagnosis; factual database; human; image processing; malaria falciparum; parasitology; pathogenicity; Plasmodium; procedures; Diseases</t>
  </si>
  <si>
    <t xml:space="preserve">ImageNet</t>
  </si>
  <si>
    <t xml:space="preserve">Cowman AF, Healer J, Marapana D, Marsh K., Malaria: Biology and Disease, Cell, 167, 3, pp. 610-624, (2016); Oladosu OO, Oyibo W., Overdiagnosis and Overtreatment of Malaria in Children That Presented with Fever in Lagos, Nigeria, International Scholarly Research Notices, 2013, pp. 1-6, (2013); Gitta B, Kilian N., Diagnosis of malaria parasites Plasmodium spp. In endemic areas: Current strategies for an ancient disease, Bioessays, 42, 1, (2020); Moonasar D, Goga AE, Frean J, Kruger P, Chandramohan D., An exploratory study of factors that affect the performance and usage of rapid diagnostic tests for malaria in the Limpopo Province, South Africa, Malaria Journal, 6, 1, (2007); Wongsrichanalai C, Barcus MJ, Muth S, Sutamihardja A, Wernsdorfer WH., A review of malaria diagnostic tools: microscopy and rapid diagnostic test (RDT), Am J Trop Med Hyg, 77, 6, pp. 119-127, (2007); Heide J, Vaughan KC, Sette A, Jacobs T, Schulze Zur Wiesch J., Specific CD8+ T Cell Epitopes, Front Immunol, 10, (2019); Ngasala B, Bushukatale S., Evaluation of malaria microscopy diagnostic performance at private health facilities in Tanzania, Malaria Journal, 18, 1, (2019); Wangdi K, Pasaribu AP, Clements ACA., Addressing hard-to-reach populations for achieving malaria elimination in the Asia Pacific Malaria Elimination Network countries, Asia; the Pacific Policy Studies, 8, 2, pp. 176-188, (2021); Bouwmans T, Javed S, Sultana M, Jung SK., Deep neural network concepts for background subtraction:A systematic review and comparative evaluation, Neural Networks, 117, pp. 8-66, (2019); Silka W, Wieczorek M, Silka J, Wozniak M., Malaria Detection Using Advanced Deep Learning Architecture, Sensors, 23, 3, (2023); Alnussairi MHD, Ibrahim AA., Malaria parasite detection using deep learning algorithms based on (CNNs) technique, Computers and Electrical Engineering, 103, (2022); Jameela T, Athota K, Singh N, Gunjan VK, Kahali S., Deep Learning and Transfer Learning for Malaria Detection, Computational Intelligence and Neuroscience, 2022, (2022); Hemachandran K, Alasiry A, Marzougui M, Ganie SM, Pise AA, Alouane MTH, Et al., Performance Analysis of Deep Learning Algorithms in Diagnosis of Malaria Disease, Diagnostics, 13, 3, (2023); Rahman A, Zunair H, Reme TR, Rahman MS, Mahdy MRC., A comparative analysis of deep learning architectures on high variation malaria parasite classification dataset, Tissue and Cell, 69, (2021); Golenda CF, Li J, Rosenberg R., Continuous in vitro propagation of the malaria parasite Plasmodium vivax, Proc Natl Acad Sci U S A, 94, 13, pp. 6786-6791, (1997); Udomsangpetch R, Somsri S, Panichakul T, Chotivanich K, Sirichaisinthop J, Yang Z, Et al., Short-term in vitro culture of field isolates of Plasmodium vivax using umbilical cord blood; Kittichai V, Kaewthamasorn M, Thanee S, Jomtarak R, Klanboot K, Naing KM, Et al., Classification for avian malaria parasite Plasmodium gallinaceum blood stages by using deep convolutional neural networks, Scientific Reports, 11, 1, (2021); Ikerionwu C, Ugwuishiwu C, Okpala I, James I, Okoronkwo M, Nnadi C, Et al., Application of machine and deep learning algorithms in optical microscopic detection of Plasmodium: A malaria diagnostic tool for the future, Photodiagnosis and Photodynamic Therapy, 40, (2022); Lee RM, Eisenman LR, Khuon S, Aaron JS, Chew TL., Believing is seeing—the deceptive influence of bias in quantitative microscopy, Journal of Cell Science, 137, 1, (2024); Massey FJ., The Kolmogorov-Smirnov test for goodness of fit, Journal of the American Statistical Association, 46, 253, pp. 68-78, (1951); King AP, Eckersley RJ., Chapter 6—Inferential Statistics III: Nonparametric Hypothesis Testing, Statistics for Biomedical Engineers and Scientists, pp. 119-145, (2019); Wilcoxon F, Katti SK, Wilcox RA., Critical values and probability levels for the Wilcoxon rank sum test and the Wilcoxon signed rank test, Selected Tables in Mathematical Statistics, 1, pp. 171-259, (1970); He K, Zhang X, Ren S, Sun J., Deep Residual Learning for Image Recognition, 2016 IEEE Conference on Computer Vision and Pattern Recognition (CVPR), pp. 770-778, (2016); Hajian-Tilaki K., Receiver Operating Characteristic (ROC) Curve Analysis for Medical Diagnostic Test Evaluation, Caspian J Intern Med, 4, 2, pp. 627-635, (2013); Ramos JS., Plasmodium Identification Using Transfer Learning, (2023); Hung J, Lopes SCP, Nery OA, Nosten F, Ferreira MU, Duraisingh MT, Et al., Applying Faster R-CNN for object detection on malaria images, Conf Comput Vis Pattern Recognit Workshops, 2017, pp. 808-813, (2017); Roberts M, Et al., Common pitfalls and recommendations for using machine learning to detect and prognosticate for COVID-19 using chest radiographs and CT scans, (2021); Sokolova M, Lapalme G., A systematic analysis of performance measures for classification tasks, Information Processing &amp; Management, 45, 4, pp. 427-437, (2009)</t>
  </si>
  <si>
    <t xml:space="preserve">J. da Silva Ramos; Computer Science Department, Federal University of Rondônia (DACC/UNIR), Porto Velho, Rondônia, Brazil; email: jonathan@usp.br; F.B. Zanchi; Laboratório de Bioinformática e Química Medicinal, Fundação Oswaldo Cruz Rondônia, Porto Velho, Rondônia, Brazil; email: fernando.zanchi@fiocruz.br</t>
  </si>
  <si>
    <t xml:space="preserve">1553734X</t>
  </si>
  <si>
    <t xml:space="preserve">PLoS Comput. Biol.</t>
  </si>
  <si>
    <t xml:space="preserve">2-s2.0-85200592819</t>
  </si>
  <si>
    <t xml:space="preserve">Ali S.A.; Kumar S.P.</t>
  </si>
  <si>
    <t xml:space="preserve">Ali, Syed Azar (57214221783); Kumar, Singamsetty Phani (35812290500)</t>
  </si>
  <si>
    <t xml:space="preserve">57214221783; 35812290500</t>
  </si>
  <si>
    <t xml:space="preserve">AN INNOVATIVE ENSEMBLE LEARNING METHODOLOGY FOR THE IDENTIFICATION OF MALARIA USING MICROSCOPIC RED BLOOD CELL IMAGES</t>
  </si>
  <si>
    <t xml:space="preserve">Malaria is a potentially fatal parasite illness transmitted by female Anopheles mosquitoes that are infected. Microscopists are able to identify this disease by studying the sample of microscopic pictures of red blood cells. The detection technique necessitates the expertise of a professional microscopist, which may take less time and yield subpar results when used to large-scale diagnosis. Infectious and noninfectious erythrocyte images are collected and processed into models of transfer learning like as CNN, densnet201, Nasnet large, InceptionNet, Xception, Hybrid (CNN + DenseNet201 + NasNet Large + InceptionNet + Xception), KNN, SVM, Mobilenet, VGG16, Resnet50, InceptionV3, Densenet169, Resnet101, Lenet, efficientnetV2S which are all trained on the same dataset which is taken form Kaggle and augmented. The methodologies involving transfer acquisition and fine-tuning are utilized, and the results are compared. but the efficiency is very less, with individual method. Therefore, in this work we introduce an innovative methodology, utilizing ensemble learning in combination with deep learning techniques to accurately detect malaria parasites in red blood cells Images. Resnet50(Residual Network), Inception (googlenet), and DenseNet201 are three techniques utilized in employing an weighted average ensemble method. To decrease the variability in estimations, a technique called max polling cluster is employed together with weighted average collaborative models. Diverse image processing approaches, such as the data expansion technique like augmentation, boost etc. are employed to improve dataset and address the issue of overfitting in the model. Additionally, other methods such as tradition CNN, Transfer Knowledge, and CNN-ML classifier procedures are utilized to assess their effectiveness in comparison to ensemble learning pattern. The model that has been suggested in this paper achieves better efficiency compared to other techniques discussed in literature survey, With a precision of 96.87%, it successfully distinguishes between parasitic and healthy cells. Hence, the method employed for deep learning possesses the capability to precisely and autonomously detect malaria. © Little Lion Scientific.</t>
  </si>
  <si>
    <t xml:space="preserve">Journal of Theoretical and Applied Information Technology</t>
  </si>
  <si>
    <t xml:space="preserve">Little Lion Scientific</t>
  </si>
  <si>
    <t xml:space="preserve">https://www.scopus.com/inward/record.uri?eid=2-s2.0-85186665389&amp;partnerID=40&amp;md5=35d0bc64fd6a948112a52c781007b510</t>
  </si>
  <si>
    <t xml:space="preserve">CSE Dept, GITAM Deemed to be University, Telangana, Hyderabad, India</t>
  </si>
  <si>
    <t xml:space="preserve">Ali S.A.; Kumar S.P., CSE Dept, GITAM Deemed to be University, Telangana, Hyderabad, India</t>
  </si>
  <si>
    <t xml:space="preserve">Analysis; Classification; Deep Learning; Machine Learning; Malaria Disease</t>
  </si>
  <si>
    <t xml:space="preserve">Ali syed azar, Phani kumar S., Analysis and Classification of Malaria infected erythrocytes using microscopic images, journal of theoretical and applied information technology, 101, 10, (2023); Azar Ali Syed, Phani Kumar S., Review of decision Tree-Based binary classification framework using robust 3D image and feature selection for Malaria-Infected erythrocyte detection, Data Engineering and Communication Technology: Proceedings of 3rd ICDECT-2K19, (2020); Bhuiyan Mosabbir, Islam Md Saiful, A new ensemble learning approach to detect malaria from microscopic red blood cell images, Sensors International, 4, (2023); Rodriguez-Martinez Iosu, Lafuente Julio, Santiago Regivan H.N., Dimuro Gracaliz Pereira, Herrera Francisco, Bustince Humberto, Replacing pooling functions in Convolutional Neural Networks by linear combinations of increasing functions, Neural Networks, 152, pp. 380-393, (2022); Ali R., Hardie R.C., Narayanan B.N., Kebede T.M., IMNets: deep learning using an incremental modular network synthesis approach for medical imaging applications, Appl. Sci, 12, 11, (2022); Badrinarayanan V., Kendall A., Cipolla R., SegNet: a deep convolutional encoderdecoder architecture for image segmentation, IEEE Trans. Pattern Anal. Mach. Intell, 39, 12, pp. 2481-2495, (2017); Bhuiyan M., Kabir A., Ahasan Kabir M., Vehicle speed prediction based on road status using machine learning, Adv. Res.Eng. Energy, 2, 1, pp. 1-9, (2020); Blood Smear - Understand the Test, (2021); Burke D., Malaria: causes, symptoms, and diagnosis, Healthline, (2019); Delgado-Ortet M., Molina A., Alferez S., Rodellar J., Merino A., A deep learning approach for segmentation of red blood cell images and malaria detection, Entropy, 22, 6, (2020); Dong Y., Jiang Z., Shen H., David Pan W., Williams L.A., Reddy V.V.B., Benjamin W.H., Bryan A.W., Evaluations of deep convolutional neural networks for automatic identification of malaria infected cells, 2017 IEEE EMBS International Conference on Biomedical &amp; Health Informatics (BHI), pp. 101-104, (2017); Fuhad K.M.F., Tuba J.F., Sarker M.R.A., Momen S., Mohammed N., Rahman T., Deep learning based automatic malaria parasite detection from blood smear and its smartphone based application, Diagnostics, 10, 5, (2020); Hayat M., Tahir M., Alarfaj F.K., Alturki R., Gazzawe F., NLP-BCH-Ens: NLP-based intelligent computational model for discrimination of malaria parasite, Comput. Biol. Med, 149, (2022); Huang G., Liu Z., van der Maaten L., Weinberger K.Q., Densely connected convolutional networks, Proceedings of the IEEE Conference on Computer Vision and Pattern Recognition, pp. 4700-4708, (2017); Ioffe S., Szegedy C., Batch normalization: accelerating deep network training by reducing internal covariate shift, 32nd International Conference on Machine Learning, PMLR, pp. 448-456, (2015); Kingma D.P., Ba J.L., Adam: A Method for Stochastic Optimization, (2014); Krizhevsky A., Sutskever I., Hinton G.E., ImageNet classification with deep convolutional neural networks, Adv. Neural Inf. Process. Syst, 25, pp. 1097-1105, (2012); Lecun Y., Bottou L., Bengio Y., Haffner P., Gradient-based learning applied to document recognition, Proc. IEEE, 86, 11, pp. 2278-2324, (1998); Dulhare Uma N., Ali Mohd Hussam, Underwater human detection using faster R-CNN with data augmentation, Materials Today: Proceedings, 80, pp. 1940-1945, (2023); (2021); Maqsood A., Farid M.S., Khan M.H., Grzegorzek M., Deep malaria parasite detection in thin blood smear microscopic images, Appl. Sci, 11, 5, (2021); Narayanan B.N., Ali R., Hardie R.C., Performance analysis of machine learning and deep learning architectures for malaria detection on cell images, Applications of Machine Learning, (2019); Poostchi M., Silamut K., Maude R.J., Jaeger S., Thoma G., Image analysis and machine learning for detecting malaria, Transl. Res, 194, pp. 36-55, (2018); Quan Q., Wang J., Liu L., An effective convolutional neural network for classifying red blood cells in malaria diseases, Interdiscipl. Sci. Comput. Life Sci, 12, 2, pp. 217-225, (2020); Rahman A., Zunair H., Sohel Rahman M., Quader Yuki J., Biswas S., Ashraful Alam M., Binte Alam N., Mahdy M.R.C., Improving Malaria Parasite Detection from Red Blood Cell Using Deep Convolutional Neural Networks, (2019); RandomRotation layer, Keras; RandomZoom layer, Keras; Sarkar S., Sharma R., Shah K., Malaria Detection from RBC Images Using Shallow Convolutional Neural Networks, (2020); Shang W., Sohn K., Almeida D., Lee H., Understanding and improving convolutional neural networks via concatenated rectified linear units, Proceedings of 33rd International Conference on Machine Learning (ICML2016), pp. 2217-2225, (2016); Simonyan K., Zisserman A., Very Deep Convolutional Networks for Large-Scale Image Recognition, (2014); Sourab S.Y., Kabir M.A., A comparison of hybrid deep learning models for pneumonia diagnosis from chest radiograms, Sensors International, 3, (2022); Sunarko B., Djuniadi M., Bottema N., Iksan K.A.N., Hanif M.S., Red blood cell classification on thin blood smear images for malaria diagnosis, J. Phys. Conf, 1444, 1, (2020); Szegedy C., Liu W., Jia Y., Sermanet P., Reed S., Anguelov D., Erhan D., Vanhoucke V., Rabinovich A., Going deeper with convolutions, Proceedings of the IEEE Conference on Computer Vision and Pattern Recognition, pp. 1-9, (2015); Zhao O.S., Kolluri N., Anand A., Chu N., Bhavaraju R., Ojha A., Tiku S., Nguyen D., Chen R., Morales A., Valliappan D., Patel J.P., Nguyen K., Convolutional neural networks to automate the screening of malaria in low-resource countries, PeerJ, 8, (2020); Kontou P.I., Braliou G.G., Dimou N.L., Nikolopoulos G., Bagos P.G., Antibody Tests in Detecting SARS-CoV-2 Infection: A Meta-Analysis, Diagnostics, 10, (2020); Alnussairi Muqdad Hanoon Dawood, Ibrahim Abdullahi Abdu, Malaria parasite detection using deep learning algorithms based on (CNNs) technique, Computers and Electrical Engineering, 103, (2022); Dulhare U.N., Khaleed A.M., Taj-Shanvi Framework for Image Fusion Using Guided Filters, Data Management, Analytics and Innovation. Advances in Intelligent Systems and Computing, 1016, (2020); Fouzia Sayeedunnisa S., Hegde N.P., Khan K.U.R., Wilcoxon Signed Rank Based Feature Selection for Sentiment Classification, Proceedings of the Second In- ternational Conference on Computational Intelligence and Informatics, pp. 293-310, (2018); Fouzia Sayeedunnisa S., Hegde N.P., Khan K.U.R., Feature Selection by Associativity for Sentiment Analysis, Smart Computing Techniques and Applications, (2021)</t>
  </si>
  <si>
    <t xml:space="preserve">J. Theor. Appl. Inf. Technol.</t>
  </si>
  <si>
    <t xml:space="preserve">2-s2.0-85186665389</t>
  </si>
  <si>
    <t xml:space="preserve">Barbosa H.; Espinoza G.Z.; Amaral M.; de Castro Levatti E.V.; Abiuzi M.B.; Veríssimo G.C.; Fernandes P.D.O.; Maltarollo V.G.; Tempone A.G.; Honorio K.M.; Lago J.H.G.</t>
  </si>
  <si>
    <t xml:space="preserve">Barbosa, Henrique (57211441502); Espinoza, Gabriel Zarzana (57205133565); Amaral, Maiara (57204564727); de Castro Levatti, Erica Valadares (57193852472); Abiuzi, Mariana Babberg (58205763300); Veríssimo, Gabriel Correa (57208703380); Fernandes, Philipe de Oliveira (57194763990); Maltarollo, Vinícius Gonçalves (35203871500); Tempone, Andre Gustavo (8233794800); Honorio, Kathia Maria (6602497820); Lago, João Henrique Ghilardi (7003802703)</t>
  </si>
  <si>
    <t xml:space="preserve">57211441502; 57205133565; 57204564727; 57193852472; 58205763300; 57208703380; 57194763990; 35203871500; 8233794800; 6602497820; 7003802703</t>
  </si>
  <si>
    <t xml:space="preserve">Andrographolide: A Diterpenoid from Cymbopogon schoenanthus Identified as a New Hit Compound against Trypanosoma cruzi Using Machine Learning and Experimental Approaches</t>
  </si>
  <si>
    <t xml:space="preserve">American Trypanosomiasis, also known as Chagas disease, is caused by the protozoan Trypanosoma cruzi and exhibits limited options for treatment. Natural products offer various structurally complex metabolites with biological activities, including those with anti-T. cruzi potential. The discovery and development of prototypes based on natural products frequently display multiple phases that could be facilitated by machine learning techniques to provide a fast and efficient method for selecting new hit candidates. Using Random Forest and k-Nearest Neighbors, two models were constructed to predict the biological activity of natural products from plants against intracellular amastigotes of T. cruzi. The diterpenoid andrographolide was identified from a virtual screening as a promising hit compound. Hereafter, it was isolated from Cymbopogon schoenanthus and chemically characterized by spectral data analysis. Andrographolide was evaluated against trypomastigote and amastigote forms of T. cruzi, showing IC50 values of 29.4 and 2.9 μM, respectively, while the standard drug benznidazole displayed IC50 values of 17.7 and 5.0 μM, respectively. Additionally, the isolated compound exhibited a reduced cytotoxicity (CC50 = 92.8 μM) against mammalian cells and afforded a selectivity index (SI) of 32, similar to that of benznidazole (SI = 39). From the in silico analyses, we can conclude that andrographolide fulfills many requirements implemented by DNDi to be a hit compound. Therefore, this work successfully obtained machine learning models capable of predicting the activity of compounds against intracellular forms of T. cruzi. © 2023 American Chemical Society</t>
  </si>
  <si>
    <t xml:space="preserve">Journal of Chemical Information and Modeling</t>
  </si>
  <si>
    <t xml:space="preserve">American Chemical Society</t>
  </si>
  <si>
    <t xml:space="preserve">10.1021/acs.jcim.3c01410</t>
  </si>
  <si>
    <t xml:space="preserve">https://www.scopus.com/inward/record.uri?eid=2-s2.0-85181836810&amp;doi=10.1021%2facs.jcim.3c01410&amp;partnerID=40&amp;md5=fb2a46fc0d6bed85672170c71c75ebd7</t>
  </si>
  <si>
    <t xml:space="preserve">Center for Natural and Human Sciences, Federal University of ABC, São Paulo, 09210-180, Brazil; School of Arts, Science, and Humanities, University of São Paulo, São Paulo, 03828-000, Brazil; Laboratory of Pathophysiology, Butantan Institute, São Paulo, 05503-900, Brazil; Department of Pharmaceutical Products, Federal University of Minas Gerais, Minas Gerais, 31270-901, Brazil</t>
  </si>
  <si>
    <t xml:space="preserve">Barbosa H., Center for Natural and Human Sciences, Federal University of ABC, São Paulo, 09210-180, Brazil; Espinoza G.Z., School of Arts, Science, and Humanities, University of São Paulo, São Paulo, 03828-000, Brazil; Amaral M., Laboratory of Pathophysiology, Butantan Institute, São Paulo, 05503-900, Brazil; de Castro Levatti E.V., Laboratory of Pathophysiology, Butantan Institute, São Paulo, 05503-900, Brazil; Abiuzi M.B., Laboratory of Pathophysiology, Butantan Institute, São Paulo, 05503-900, Brazil; Veríssimo G.C., Department of Pharmaceutical Products, Federal University of Minas Gerais, Minas Gerais, 31270-901, Brazil; Fernandes P.D.O., Department of Pharmaceutical Products, Federal University of Minas Gerais, Minas Gerais, 31270-901, Brazil; Maltarollo V.G., Department of Pharmaceutical Products, Federal University of Minas Gerais, Minas Gerais, 31270-901, Brazil; Tempone A.G., Laboratory of Pathophysiology, Butantan Institute, São Paulo, 05503-900, Brazil; Honorio K.M., Center for Natural and Human Sciences, Federal University of ABC, São Paulo, 09210-180, Brazil, School of Arts, Science, and Humanities, University of São Paulo, São Paulo, 03828-000, Brazil; Lago J.H.G., Center for Natural and Human Sciences, Federal University of ABC, São Paulo, 09210-180, Brazil</t>
  </si>
  <si>
    <t xml:space="preserve">Animals; Biological Products; Chagas Disease; Cymbopogon; Diterpenes; Mammals; Nitroimidazoles; Trypanosoma cruzi; Bioactivity; Diagnosis; Forestry; Lipids; Machine learning; Mammals; Nearest neighbor search; andrographolide; benznidazole; biological product; diterpenoid; nitroimidazole derivative; Andrographolide; Chagas disease; Cymbopogon; Diterpenoids; Experimental approaches; Machine learning approaches; Natural products; Selectivity index; T.cruzi; Trypanosoma cruzi; animal; Chagas disease; Cymbopogon; mammal; metabolism; Trypanosoma cruzi; Metabolites</t>
  </si>
  <si>
    <t xml:space="preserve">andrographolide, 5508-58-7; benznidazole, 22994-85-0; andrographolide, ; benzonidazole, ; Biological Products, ; Diterpenes, ; Nitroimidazoles, </t>
  </si>
  <si>
    <t xml:space="preserve">Coordenação de Aperfeiçoamento de Pessoal de Nível Superior, CAPES; Fundação de Amparo à Pesquisa do Estado de São Paulo, FAPESP, (2021/02789–7, 2017/50333–7, 2023/12447–1, 2020/01221–4, 2021/04464–8); Conselho Nacional de Desenvolvimento Científico e Tecnológico, CNPq, (301354/2019–4, 307672/2021–2, 405691/2021–1)</t>
  </si>
  <si>
    <t xml:space="preserve">This study was financed in part by the Coordenac\u0327a\u0303o de Aperfeic\u0327oamento de Pessoal de Ni\u0301vel Superior - Brasil (CAPES) - Finance Code 001. The authors would also to thank Sa\u0303o Paulo Research Foundation - FAPESP (2017/50333\u20137, 2020/01221\u20134, 2021/02789\u20137, 2021/04464\u20138, and 2023/12447\u20131) and the National Council for Scientific and Technological Development - CNPq (301354/2019\u20134, 405691/2021\u20131 and 307672/2021\u20132) for the financial support. </t>
  </si>
  <si>
    <t xml:space="preserve">Pereiro A.C., Guidelines for the Diagnosis and Treatment of Chagas Disease, Lancet, 393, pp. 1486-1487, (2019); Schaub G.A., An Update on the Knowledge of Parasite-Vector Interactions of Chagas Disease, Res. Rep. Trop. Med., 12, pp. 63-76, (2021); Chagas disease (also known as American trypanosomiasis); Garcia-Huertas P., Cardona-Castro N., Advances in the Treatment of Chagas Disease: Promising New Drugs, Plants and Targets, Biomed. Pharmacother., 142, (2021); Falk N., Berenstein A.J., Moscatelli G., Moroni S., Gonzalez N., Ballering G., Freilij H., Altcheh J., Effectiveness of Nifurtimox in the Treatment of Chagas Disease: A Long-Term Retrospective Cohort Study in Children and Adults, Antimicrob. Agents Chemother., 66, (2022); Newman D.J., Cragg G.M., Natural Products as Sources of New Drugs over the Nearly Four Decades from 01/1981 to 09/2019, J. Nat. Prod., 83, pp. 770-803, (2020); Atanasov A.G., Zotchev S.B., Dirsch V.M., the International Natural Product Sciences Taskforce; Supuran, C. T. Natural Products in Drug Discovery: Advances and Opportunities, Nat. Rev. Drug Discovery, 20, pp. 200-216, (2021); Berdigaliyev N., Aljofan M., An Overview of Drug Discovery and Development, Future Med. Chem., 12, pp. 939-947, (2020); Mak K.-K., Pichika M.R., Artificial Intelligence in Drug Development: Present Status and Future Prospects, Drug Discovery Today, 24, pp. 773-780, (2019); Paul D., Sanap G., Shenoy S., Kalyane D., Kalia K., Tekade R.K., Artificial Intelligence in Drug Discovery and Development, Drug Discovery Today, 26, pp. 80-93, (2021); Bellera C.L., Alberca L.N., Sbaraglini M.L., Talevi A., In Silico Drug Repositioning for Chagas Disease, Curr. Med. Chem., 27, pp. 662-675, (2020); Saldivar-Gonzalez F.I., Aldas-Bulos V.D., Medina-Franco J.L., Plisson F., Natural Product Drug Discovery in the Artificial Intelligence Era, Chem. Sci., 13, pp. 1526-1546, (2022); Tawaraishi T., Ochida A., Akao Y., Itono S., Kamaura M., Akther T., Shimada M., Canan S., Chowdhury S., Cao Y., Condroski K., Engkvist O., Francisco A., Ghosh S., Kaki R., Kelly J.M., Kimura C., Kogej T., Nagaoka K., Naito A., Pairaudeau G., Radu C., Roberts I., Shum D., Watanabe N., Xie H., Yonezawa S., Yoshida O., Yoshida R., Mowbray C., Perry B., Collaborative Virtual Screening Identifies a 2-Aryl-4-Aminoquinazoline Series with Efficacy in an In Vivo Model of Trypanosoma cruzi Infection, J. Med. Chem., 66, pp. 1221-1238, (2023); de Souza M.L., Junior C.O.R., Ferreira R.S., Chavez R.M.E., Ferreira L.L.G., Slafer B.W., Magalhaes L.G., Krogh R., Oliva G., Cruz F.C., Dias L.C., Andricopulo A.D., Discovery of Potent, Reversible, and Competitive Cruzain Inhibitors with Trypanocidal Activity: A Structure-Based Drug Design Approach, J. Chem. Inf. Model., 60, pp. 1028-1041, (2020); Martinez-Mayorga K., Byler K.G., Ramirez-Hernandez A.I., Terrazas-Alvares D.E., Cruzain Inhibitors: Efforts Made, Current Leads and a Structural Outlook of New Hits, Drug Discovery Today, 20, pp. 890-898, (2015); Santos V.C., Leite P.G., Santos L.H., Pascutti P.G., Kolb P., Machado F.S., Ferreira R.S., Structure-Based Discovery of Novel Cruzain Inhibitors with Distinct Trypanocidal Activity Profiles, Eur. J. Med. Chem., 257, (2023); Zeng B., Wei A., Zhou Q., Yuan M., Lei K., Liu Y., Song J., Guo L., Ye Q., Andrographolide: A Review of Its Pharmacology, Pharmacokinetics, Toxicity and Clinical Trials and Pharmaceutical Researches, Phytother. Res., 36, pp. 336-364, (2022); Tanwettiyanont J., Piriyachananusorn N., Sangsoi L., Boonsong B., Sunpapoa C., Tanamatayarat P., Na-Ek N., Kanchanasurakit S., Use of Andrographis paniculata (Burm.f.) Wall. ex Nees and Risk of Pneumonia in Hospitalized Patients with Mild Coronavirus Disease 2019: A Retrospective Cohort Study, Front. Med., 9, (2022); Banerjee M., Parai D., Dhar P., Roy M., Barik R., Chattopadhyay S., Mukherjee S.K., Andrographolide Induces Oxidative Stress-Dependent Cell Death in Unicellular Protozoan Parasite Trypanosoma brucei, Acta Trop., 176, pp. 58-67, (2017); Durao R., Ramalhete C., Madureira A.M., Mendes E., Duarte N., Plant Terpenoids as Hit Compounds against Trypanosomiasis, Pharmaceuticals, 15, (2022); Barbosa H., Thevenard F., Reimao J.Q., Tempone A.G., Honorio K.M., Lago J.H.G., The Potential of Secondary Metabolites from Plants as Drugs or Leads Against Trypanosoma cruzi - an Update from 2012 to 2021, Curr. Top. Med. Chem., 23, (2022); Fourches D., Muratov E., Tropsha A., Trust, But Verify: On the Importance of Chemical Structure Curation in Cheminformatics and QSAR Modeling Research, J. Chem. Inf. Model., 50, pp. 1189-1204, (2010); Fourches D., Muratov E., Tropsha A., Curation of Chemogenomics Data, Nat. Chem. Biol., 11, pp. 535-535, (2015); Fourches D., Muratov E., Tropsha A., Trust, but Verify II: A Practical Guide to Chemogenomics Data Curation, J. Chem. Inf. Model., 56, pp. 1243-1252, (2016); Melo-Filho C.C., Braga R.C., Muratov E.N., Franco C.H., Moraes C.B., Freitas-Junior L.H., Andrade C.H., Discovery of New Potent Hits against Intracellular Trypanosoma cruzi by QSAR-Based Virtual Screening, Eur. J. Med. Chem., 163, pp. 649-659, (2019); Rogers D., Hahn M., Extended-Connectivity Fingerprints, J. Chem. Inf. Model., 50, pp. 742-754, (2010); Perez-Nueno V.I., Rabal O., Borrell J.I., Teixido J., APIF: A New Interaction Fingerprint Based on Atom Pairs and Its Application to Virtual Screening, J. Chem. Inf. Model., 49, pp. 1245-1260, (2009); Cereto-Massague A., Ojeda M.J., Valls C., Mulero M., Garcia-Vallve S., Pujadas G., Molecular Fingerprint Similarity Search in Virtual Screening, Methods, 71, pp. 58-63, (2015); Han L., Wang Y., Bryant S.H., Developing and Validating Predictive Decision Tree Models from Mining Chemical Structural Fingerprints and High-Throughput Screening Data in PubChem, BMC Bioinform, 9, (2008); Landrum G., Tosco P., Kelley B., Sriniker R., Gedeck, Vianello R., Schneider N., Kawashima E., Dalke A., Dan N., Cosgrove D., Cole B., Swain M., Turk S., Savelyev A., Jones G., Vaucher A., Wojcikowski M., Take I., Probst D., Ujihara K., Scalfani V.F., Godin G., Pahl A., Berenger F., Varjo J.L., Strets J.P., Gavid D., Rdkit/Rdkit: 2021_09_5 (Q3 2021) Release, (2022); Lemaitre G., Nogueira F., Aridas C.K., Imbalanced-Learn: A Python Toolbox to Tackle the Curse of Imbalanced Datasets in Machine Learning, J. Mach. Learn. Res., 18, pp. 1-5, (2017); Chawla N.V., Bowyer K.W., Hall L.O., Kegelmeyer W.P., SMOTE: Synthetic Minority Over-Sampling Technique, J. Artif. Intell. Res., 16, pp. 321-357, (2002); Pedregosa F., Varoquaux G., Gramfort A., Michel V., Thirion B., Grisel O., Blondel M., Prettenhofer P., Weiss R., Dubourg V., Vanderplas J., Passos A., Cournapeau D., Brucher M., Perrot M., Duchesnay E., Scikit-Learn: Machine Learning in Python, J. Mach. Learn. Res., 12, pp. 2825-2830, (2011); Maltarollo V.G., Classification of Staphylococcus aureus FabI Inhibitors by Machine Learning Techniques, Int. J. Quant. Struct.-Prop. Relatsh., 4, pp. 1-14, (2019); Chicco D., Jurman G., The Advantages of the Matthews Correlation Coefficient (MCC) over F1 Score and Accuracy in Binary Classification Evaluation, BMC Genom, 21, 1, (2020); Boughorbel S., Jarray F., El-Anbari M., Optimal Classifier for Imbalanced Data Using Matthews Correlation Coefficient Metric, PLoS One, 12, (2017); Wei Q., Dunbrack R.L., The Role of Balanced Training and Testing Data Sets for Binary Classifiers in Bioinformatics, PLoS One, 8, (2013); Roy K., Kar S., Das R.N., Validation of QSAR Models, Understanding the Basics of QSAR for Applications in Pharmaceutical Sciences and Risk Assessment, pp. 231-289, (2015); Fernandes P.O., Martins D.M., De Souza Bozzi A., Martins J.P.A., De Moraes A.H., Maltarollo V.G., Molecular Insights on ABL Kinase Activation Using Tree-Based Machine Learning Models and Molecular Docking, Mol. Divers, 25, pp. 1301-1314, (2021); Mangal M., Sagar P., Singh H., Raghava G.P.S., Agarwal S.M., NPACT: Naturally Occurring Plant-Based Anti-Cancer Compound-Activity-Target Database, Nucleic Acids Res., 41, pp. D1124-D1129, (2013); Daina A., Michielin O., Zoete V., SwissADME: A Free Web Tool to Evaluate Pharmacokinetics, Drug-Likeness and Medicinal Chemistry Friendliness of Small Molecules, Sci. Rep., 7, (2017); Xiong G., Wu Z., Yi J., Fu L., Yang Z., Hsieh C., Yin M., Zeng X., Wu C., Lu A., Chen X., Hou T., Cao D., ADMETlab 2.0: An Integrated Online Platform for Accurate and Comprehensive Predictions of ADMET Properties, Nucleic Acids Res., 49, pp. W5-W14, (2021); Thevenard F., Brito I., Costa-Silva T.A., Tempone A.G., Lago J.H.G., Enyne Acetogenins from Porcelia macrocarpa Fruit Peels Displayed Anti-Trypanosoma cruzi Activity in Vitro and Cause a Reduction in the Intracellular Calcium Level in the Parasites, Sci. Rep., 13, (2023); Romanelli M.M., Amaral M., Thevenard F., Santa Cruz L.M., Regasini L.O., Migotto A.E., Lago J.H.G., Tempone A.G., Mitochondrial Imbalance of Trypanosoma cruzi Induced by the Marine Alkaloid 6-Bromo-2′-de-N-Methylaplysinopsin, ACS Omega, 7, pp. 28561-28570, (2022); Galhardo T.S., Ueno A.K., Costa-Silva T.A., Tempone A.G., Carvalho W.A., Fischmeister C., Bruneau C., Mandelli D., Lago J.H.G., New Derivatives from Dehydrodieugenol B and Its Methyl Ether Displayed High Anti-Trypanosoma cruzi Activity and Cause Depolarization of the Plasma Membrane and Collapse the Mitochondrial Membrane Potential, Chem. Biol. Interact., 366, (2022); Kamiloglu S., Sari G., Ozdal T., Capanoglu E., Guidelines for Cell Viability Assays, Food Front, 1, pp. 332-349, (2020); Jourdan J.-P., Bureau R., Rochais C., Dallemagne P., Drug Repositioning: A Brief Overview, J. Pharm. Pharmacol., 72, pp. 1145-1151, (2020); Xue H., Li J., Xie H., Wang Y., Review of Drug Repositioning Approaches and Resources, Int. J. Biol. Sci., 14, pp. 1232-1244, (2018); Patil R., Jain V., Andrographolide: A Review of Analytical Methods, J. Chromatogr. Sci., 59, pp. 191-203, (2021); Dai Y., Chen S.-R., Chai L., Zhao J., Wang Y., Wang Y., Overview of Pharmacological Activities of Andrographis paniculata and Its Major Compound Andrographolide, Crit. Rev. Food Sci. Nutr., 59, pp. S17-S29, (2019); Mussard E., Cesaro A., Lespessailles E., Legrain B., Berteina-Raboin S., Toumi H., Andrographolide, A Natural Antioxidant: An Update, Antioxidants, 8, (2019); Mathea M., Klingspohn W., Baumann K., Chemoinformatic Classification Methods and Their Applicability Domain, Mol. Inform., 35, pp. 160-180, (2016); Hanser T., Barber C., Marchaland J.F., Werner S., Applicability Domain: Towards a More Formal Definition, SAR QSAR Environ. Res., 27, pp. 865-881, (2016); Gramatica P., On the Development and Validation of QSAR Models, Computational Toxicology, 930, pp. 499-526, (2013); Yagi S., Babiker R., Tzanova T., Schohn H., Chemical Composition, Antiproliferative, Antioxidant and Antibacterial Activities of Essential Oils from Aromatic Plants Growing in Sudan, Asian Pac. J. Trop. Med., 9, pp. 763-770, (2016); Anwar L., Santoni A., P. Putra D., Efdi M., Cytotoxic Lactone-Type Diterpenoids and Triterpenoid from Vitex pubescens Vahl, Rasayan J. Chem., 12, pp. 1641-1645, (2019); Du Q., Jerz G., Winterhalter P., Separation of Andrographolide and Neoandrographolide from the Leaves of Andrographis paniculata Using High-Speed Counter-Current Chromatography, J. Chromatogr. A, 984, pp. 147-151, (2003); Bodiga V.L., Bathula J., Kudle M.R., Vemuri P.K., Bodiga S., Andrographolide Suppresses Cisplatin-Induced Endothelial Hyperpermeability through Activation of PI3K/Akt and eNOS - Derived Nitric Oxide, Bioorg. Med. Chem., 28, (2020); Suebsasana S., Pongnaratorn P., Sattayasai J., Arkaravichien T., Tiamkao S., Aromdee C., Analgesic, Antipyretic, Anti-Inflammatory and Toxic Effects of Andrographolide Derivatives in Experimental Animals, Arch. Pharm. Res., 32, pp. 1191-1200, (2009); Cui L., Qiu F., Yao X., Isolation and identification of seven glucuronide conjugates of andrographolide in human urine, Drug Metab. Dispos., 33, pp. 555-562, (2005); Dutta N., Ghosh S., Nelson V.K., Sareng H.R., Majumder C., Mandal S.C., Pal M., Andrographolide Upregulates Protein Quality Control Mechanisms in Cell and Mouse through Upregulation of mTORC1 Function, Biochim. Biophys. Acta BBA - Gen. Subj., 1865, (2021); Don R., Ioset J.-R., Screening Strategies to Identify New Chemical Diversity for Drug Development to Treat Kinetoplastid Infections, Parasitology, 141, pp. 140-146, (2014); Katsuno K., Burrows J.N., Duncan K., van Huijsduijnen R.H., Kaneko T., Kita K., Mowbray C.E., Schmatz D., Warner P., Slingsby B.T., Hit and Lead Criteria in Drug Discovery for Infectious Diseases of the Developing World, Nat. Rev. Drug Discovery, 14, pp. 751-758, (2015); Baell J.B., Feeling Nature’s PAINS: Natural Products, Natural Product Drugs, and Pan Assay Interference Compounds (PAINS), J. Nat. Prod., 79, pp. 616-628, (2016); Ye L., Wang T., Tang L., Liu W., Yang Z., Zhou J., Zheng Z., Cai Z., Hu M., Liu Z., Poor Oral Bioavailability of a Promising Anticancer Agent Andrographolide Is Due to Extensive Metabolism and Efflux by P-glycoprotein, J. Pharm. Sci., 100, pp. 5007-5017, (2011); Hanafy A.S., Dietrich D., Fricker G., Lamprecht A., Blood-Brain Barrier Models: Rationale for Selection, Adv. Drug Delivery Rev., 176, (2021); Chellampillai B., Pawar A.P., Improved Bioavailability of Orally Administered Andrographolide from pH-Sensitive Nanoparticles, Eur. J. Drug Metab. Pharmacokinet, 35, pp. 123-129, (2011); Sharifuddin Y., Parry E.M., Parry J.M., The Genotoxicity and Cytotoxicity Assessments of Andrographolide in Vitro, Food Chem. Toxicol., 50, pp. 1393-1398, (2012); Srinivasan M., Preetha S., Sudhakar Rao G., Tirumurugaan K., Seshiah A., Ramesh S., Genotoxicity Assessment of Andrographolide in Ames Mutagenicity Assay and in Vitro Chromosomal Aberration Assay, Pharma Innov. J., 10, pp. 61-65, (2021); Li W., Pan B., Shi Y., Wang M., Han T., Wang Q., Duan G., Fu H., Identification of Poly(ADP-Ribose)Polymerase 1 and 2 (PARP1/2) as Targets of Andrographolide Using an Integrated Chemical Biology Approach, Chem. Commun., 57, pp. 6308-6311, (2021)</t>
  </si>
  <si>
    <t xml:space="preserve">K.M. Honorio; Center for Natural and Human Sciences, Federal University of ABC, São Paulo, 09210-180, Brazil; email: kmhonorio@usp.br; J.H.G. Lago; Center for Natural and Human Sciences, Federal University of ABC, São Paulo, 09210-180, Brazil; email: joao.lago@ufabc.edu.br</t>
  </si>
  <si>
    <t xml:space="preserve">JCISD</t>
  </si>
  <si>
    <t xml:space="preserve">J. Chem. Inf. Model.</t>
  </si>
  <si>
    <t xml:space="preserve">2-s2.0-85181836810</t>
  </si>
  <si>
    <t xml:space="preserve">Vlasov A.V.; Sergeeva N.E.; Serikov V.V.; Karkashadze G.A.</t>
  </si>
  <si>
    <t xml:space="preserve">Vlasov, Andrey V. (57414752100); Sergeeva, Natalia E. (57429197100); Serikov, Vasily V. (59518779300); Karkashadze, George A. (57201139299)</t>
  </si>
  <si>
    <t xml:space="preserve">57414752100; 57429197100; 59518779300; 57201139299</t>
  </si>
  <si>
    <t xml:space="preserve">Application of Abstract Generative Imagery for Psychological Diagnosis: A Pilot Study</t>
  </si>
  <si>
    <t xml:space="preserve">Purpose: of this pilot study was to determine the practical use of AIgenerated images for psychological diagnosis in an adult group. Methods. A set of abstract images generated by a text-to-image model was developed and applied. Prompting (creating a text input) included "polar words" that created a visual dichotomy, positive or non-positive coloration of the images presented: e.g., "calmness – excitement". The following psychological techniques were used in the experiment to test correlations: Satisfaction with Life Scale, Five Well-Being Index, Questionnaire for the determination of accentuated personalities (Schmieschek), Hospital Anxiety and Depression Scale. Results. The main findings are: (i) Correlations were found between preference for positive visual content in the high life satisfaction group with the “pacification and rabies” dichotomy and the “delight and despondency” dichotomy; and SWLS score with the “delight” prompt, as well as WHO5 volume (p&lt;.05 and p&lt;.05, respectively). (ii) When assessing the relationship between individual image dichotomies of concepts and psychological characteristics, it was revealed that 5 out of 10 personality accentuation scales were significantly correlated with the coloring of preferred generative content. Correlations were found for the visual dichotomy of “calmness and excitement” and the following personality accentuations (Schmieschek): demonstrative, hyperthymic, and dysthymic types. Conclusion. The study has demonstrated the potential use of AI-generated images in diagnosing (dis)satisfaction with life, distress, increased anxiety, as well as excitable personality traits. The identified connections suggest that this stimulus is effective for diagnosing states and psychological traits characterized by heightened sensitivity to external visual content. © 2024, Interactive Media Institute. All rights reserved.</t>
  </si>
  <si>
    <t xml:space="preserve">Annual Review of CyberTherapy and Telemedicine</t>
  </si>
  <si>
    <t xml:space="preserve">Interactive Media Institute</t>
  </si>
  <si>
    <t xml:space="preserve">https://www.scopus.com/inward/record.uri?eid=2-s2.0-85215396895&amp;partnerID=40&amp;md5=513184694688e2076ca15161fa32665e</t>
  </si>
  <si>
    <t xml:space="preserve">HSE University, International Lab for Experimental and Behavioural Economics, Moscow, Russian Federation; DDT, Moscow, Russian Federation; Research Institute of Pediatrics and Children's Health, Scientific Center No. 2, Russian Scientific Center for Surgery named after. acad. B.V. Petrovsky, Moscow, Russian Federation; Russian Medical Academy Continuing Professional Education, Department of Occupational Pathology and Occupational Medicine, Moscow, Russian Federation</t>
  </si>
  <si>
    <t xml:space="preserve">Vlasov A.V., HSE University, International Lab for Experimental and Behavioural Economics, Moscow, Russian Federation, DDT, Moscow, Russian Federation; Sergeeva N.E., Research Institute of Pediatrics and Children's Health, Scientific Center No. 2, Russian Scientific Center for Surgery named after. acad. B.V. Petrovsky, Moscow, Russian Federation; Serikov V.V., Russian Medical Academy Continuing Professional Education, Department of Occupational Pathology and Occupational Medicine, Moscow, Russian Federation; Karkashadze G.A., Research Institute of Pediatrics and Children's Health, Scientific Center No. 2, Russian Scientific Center for Surgery named after. acad. B.V. Petrovsky, Moscow, Russian Federation</t>
  </si>
  <si>
    <t xml:space="preserve">accentuated personalities; anxiety; delight; Generative images; psychological diagnosis; satisfaction with life scale</t>
  </si>
  <si>
    <t xml:space="preserve">adaptation; adult; aggression; anger; anxiety; Article; clinical article; courage; distress syndrome; emotional well-being; excitement; fear; female; forgiveness; generative artificial intelligence; Hospital Anxiety and Depression Scale; human; imagery; kindness; life satisfaction; male; personality; pilot study; projective personality test; psychiatric diagnosis; psychologic assessment; psychological and psychiatric procedures; questionnaire; rabies; Satisfaction with Life Scale; text-to-image model; WHO-5 Well-Being Index</t>
  </si>
  <si>
    <t xml:space="preserve">Garb HN, Wood JM, Lilienfeld SO, Nezworski MT., Roots of the Rorschach controversy, Clin Psychol Rev, 25, 1, pp. 97-118, (2005); Digital art collection of pictorial poems, (2022); Vlasov A., GALA inspired by Klimt's art: image-to-text processing with implementation in interaction and perception studies: library and case examples, Annu Rev CyberTher Telemed, 21, pp. 200-205, (2023); Diener E, Emmons RA, Larsen RJ, Griffin S., The Satisfaction with life scale, J Pers Assess, 49, 1, pp. 71-75, (1985); The World Health Organization – Five Well-Being Index (WHO-5); Topp CW, Ostergaard SD, Sondergaard S, Bech P., The WHO-5 Well-Being Index: a systematic review of the literature, Psychother Psychosom, 84, 3, pp. 167-176, (2015); Schmieschek H., Fragebogen zur Ermittlung akzentuierter Persönlichkeiten [Questionnaire for the determination of accentuated personalities], Psychiatr Neurol Med Psychol (Leipz), 22, 10, pp. 378-381, (1970); Leonhard K., Accentuated personalities, (1989); Leonhard K., Akcentuirovannye lichnosti [Accentuated personalities], (2002); Snaith RP, Zigmond AS., The hospital anxiety and depression scale, BMJ Clin Res Ed, 292, 6516, (1986); Diener E., Subjective well-being, Psychol Bull, 95, 3, pp. 542-575, (1984); Beck AT., Depression: clinical, experimental and theoretical aspects, (1967); Beck AT, Emery G, Greenberg R., Anxiety disorders and phobias: a cognitive perspective, (1985)</t>
  </si>
  <si>
    <t xml:space="preserve">A.V. Vlasov; HSE University, International Lab for Experimental and Behavioural Economics, Moscow, Russian Federation; email: avvlasov@hse.ru</t>
  </si>
  <si>
    <t xml:space="preserve">Annu. Rev. Cyber Ther. Telemedicine</t>
  </si>
  <si>
    <t xml:space="preserve">2-s2.0-85215396895</t>
  </si>
  <si>
    <t xml:space="preserve">Tuta-Quintero E.; Botero-Rosas D.; Bastidas-Goyes A.; Leon-Ariza J.; Guerrero A.; Agudelo M.; Valenzuela N.</t>
  </si>
  <si>
    <t xml:space="preserve">Tuta-Quintero, Eduardo (57210806632); Botero-Rosas, Daniel (8355353700); Bastidas-Goyes, Alirio (57220030847); Leon-Ariza, Juan (56488028200); Guerrero, Angela (59500242100); Agudelo, Mauricio (56039827900); Valenzuela, Natalia (57224761673)</t>
  </si>
  <si>
    <t xml:space="preserve">57210806632; 8355353700; 57220030847; 56488028200; 59500242100; 56039827900; 57224761673</t>
  </si>
  <si>
    <t xml:space="preserve">Application of artificial intelligence in the Prediction of Complications in patients with Malaria; [Aplicación de la inteligencia artificial en la Predicción de Complicaciones en pacientes con Malaria]</t>
  </si>
  <si>
    <t xml:space="preserve">Introduction: This study aims to develop a neural network (NN) that can serve as a useful tool for early diagnosis of complicated malaria. Materials and methods: In this study, a feedforward NN was developed, incorporating 10 clinical variables in the input nodes, hidden layer, and output node. The data were included in the input layer. Various validation techniques such as V-cross, Random V-cross, Modified Holdout, and Proportional Percentage Sample were applied to train and validate the network using data from 412 patients. Results: The variables included in the analysis were mean arterial pressure, hemoglobin, leukocyte count, platelet count, total bilirubin, presence of dyspnea, vomiting, previous history of malaria, prior use of malaria medication, and persistent fever. The V-cross technique, Random V-cross Validation, Modified Holdout Validation, and Proportional Percentage Sample Validation were utilized to evaluate the performance of a NN in diagnosing malaria. Sensitivity values varied from 13% to 47%, with positive predictive value values ranging from 37% to 88%. Specificity remained consistently high, ranging from 79% to 90%. Discussion: Sensitivity, specificity, and positive predictive values varied across techniques: V-cross and random V-cross validation showed narrower sensitivity ranges with strong specificities, while modified holdout validation exhibited wider sensitivity variability. © 2024 Asociacion Colombiana de Infectologia. All rights reserved.</t>
  </si>
  <si>
    <t xml:space="preserve">Infectio</t>
  </si>
  <si>
    <t xml:space="preserve">Asociacion Colombiana de Infectologia</t>
  </si>
  <si>
    <t xml:space="preserve">10.22354/24223794.1201</t>
  </si>
  <si>
    <t xml:space="preserve">https://www.scopus.com/inward/record.uri?eid=2-s2.0-85214095556&amp;doi=10.22354%2f24223794.1201&amp;partnerID=40&amp;md5=d455437fc1cc546004965cdf99ef2c0f</t>
  </si>
  <si>
    <t xml:space="preserve">School of Medicine, Universidad de la Sabana, Chía, Colombia; School of Engineering, Universidad de la Sabana, Cundinamarca, Colombia</t>
  </si>
  <si>
    <t xml:space="preserve">Tuta-Quintero E., School of Medicine, Universidad de la Sabana, Chía, Colombia; Botero-Rosas D., School of Medicine, Universidad de la Sabana, Chía, Colombia; Bastidas-Goyes A., School of Medicine, Universidad de la Sabana, Chía, Colombia; Leon-Ariza J., School of Medicine, Universidad de la Sabana, Chía, Colombia; Guerrero A., School of Engineering, Universidad de la Sabana, Cundinamarca, Colombia; Agudelo M., School of Engineering, Universidad de la Sabana, Cundinamarca, Colombia; Valenzuela N., School of Medicine, Universidad de la Sabana, Chía, Colombia</t>
  </si>
  <si>
    <t xml:space="preserve">Artificial intelligence; Diagnosis; Malaria</t>
  </si>
  <si>
    <t xml:space="preserve">antimalarial agent; antipyretic agent; bilirubin; hemoglobin; Article; controlled study; cross validation; diagnostic test accuracy study; disease severity; dyspnea; early diagnosis; feed forward neural network; fever; human; leukocyte count; malaria; mean arterial pressure; modified holdout validation; observational study; platelet count; prediction; predictive value; proportional per sample validation; random v cross validation; retrospective study; sensitivity and specificity; v cross validation; vomiting</t>
  </si>
  <si>
    <t xml:space="preserve">bilirubin, 18422-02-1, 635-65-4; hemoglobin, 9008-02-0</t>
  </si>
  <si>
    <t xml:space="preserve">Sagaki P, Thanachartwet V, Desakorn V, Sahassananda D, Chamnanchanunt S, Chierakul W, Pitisuttithum P, Ruangkanchanasetr P., Clinical factors for severity of Plasmodium falciparum malaria in hospitalized adults in Thailand, PLoS One, 8, 8, (2013); Rahimi BA, Thakkinstian A, White NJ, Sirivichayakul C, Dondorp AM, Chokejindachai W., Severe vivax malaria: a systematic review and meta-analysis of clinical studies since 1900, Malar J, 13, (2014); Botwe AK, Oppong FB, Gyaase S, Owusu-Agyei S, Asghar M, Asante KP, Farnert A, Osier F., Determinants of the varied profiles of Plasmodium falciparum infections among infants living in Kintampo, Ghana, Malar J, 20, 1, (2021); Sutto-Ortiz P, Eleouet JF, Ferron F, Decroly E., Biochemistry of the Respiratory Syncytial Virus L Protein Embedding RNA Polymerase and Capping Activities, Viruses, 15, 2, (2023); Carlson CJ, Colwell R, Hossain MS, Rahman MM, Robock A, Ryan SJ, Alam MS, Trisos CH., Solar geoengineering could redistribute malaria risk in developing countries, Nat Commun, 13, 1, (2022); Tobon-Castano A, Giraldo-Castro C, Blair S., Utilidad de los signos clínicos y parasitológicos en el pronóstico de la malaria grave en Colombia, Biomedica, 32, pp. 79-94, (2012); Tomassi MV, D'Abramo A, Vita S, Corpolongo A, Vulcano A, Ascoli Bartoli T, Bartolini B, Faraglia F, Nicastri E., A case of severe Plasmodium ovale malaria with acute respiratory distress syndrome and splenic infarction in a male traveller presenting in Italy, Malar J, 23, 1, (2024); Walker IS, Rogerson SJ., Pathogenicity and virulence of malaria: Sticky problems and tricky solutions, Virulence, 14, 1, (2023); Kumar A, Singh PP, Tyagi S, Hari Kishan Raju K, Sahu SS, Rahi M., Vivax malaria: a possible stumbling block for malaria elimination in India, Front Public Health, 11, (2024); Murray CJ, Ortblad KF, Guinovart C, Lim SS, Wolock TM, Roberts DA, Dansereau EA, Graetz N, Barber RM, Brown JC, Et al., Global, regional, and national incidence and mortality for HIV, tuberculosis, and malaria during 1990-2013: a systematic analysis for the Global Burden of Disease Study 2013, Lancet, 384, 9947, pp. 1005-1070, (2014); Saravu K, Rishikesh K, Kamath A, Shastry AB., Severity in Plasmodium vivax malaria claiming global vigilance and exploration-a tertiary care centrebased cohort study, Malar J, 13, (2014); Manning L, Laman M, Law I, Bona C, Aipit S, Teine D, Warrell J, Rosanas-Urgell A, Lin E, Kiniboro B, Vince J, Hwaiwhanje I, Karunajeewa H, Michon P, Siba P, Mueller I, Davis TM., Features and prognosis of severe malaria caused by Plasmodium falciparum, Plasmodium vivax and mixed Plasmodium species in Papua New Guinean children, PLoS One, 6, 12, (2011); Nsanzabana C, Djalle D, Guerin PJ, Menard D, Gonzalez IJ., Tools for surveillance of anti-malarial drug resistance: an assessment of the current landscape, Malar J, 17, 1, (2018); Wongsrichanalai C, Barcus MJ, Muth S, Sutamihardja A, Wernsdorfer WH., A review of malaria diagnostic tools: microscopy and rapid diagnostic test (RDT), Am J Trop Med Hyg, 77, 6, pp. 119-127, (2007); Leke RF, Djokam RR, Mbu R, Leke RJ, Fogako J, Megnekou R, Metenou S, Sama G, Zhou Y, Cadigan T, Parra M, Taylor DW., Detection of the Plasmodium falciparum antigen histidine-rich protein 2 in blood of pregnant women: implications for diagnosing placental malaria, J Clin Microbiol, 37, 9, pp. 2992-2996, (1999); Chu CS, Stolbrink M, Stolady D, Saito M, Beau C, Choun K, Wah TG, Mu N, Htoo K, Nu B, Keereevijit A, Wiladpaingern J, Carrara V, Phyo AP, Lwin KM, Luxemburger C, Proux S, Charunwatthana P, McGready R, White NJ, Nosten F., Severe Falciparum and Vivax Malaria on the Thailand-Myanmar Border: A Review of 1503 Cases, Clin Infect Dis, 77, 5, pp. 721-728, (2023); Mello MB, Luz FC, Leal-Santos FA, Alves ER, Gasquez TM, Fontes CJ., Standardization of blood smears prepared in transparent acetate: an alternative method for the microscopic diagnosis of malaria, Malar J, 13, (2014); Hosseini MP, Hosseini A, Ahi K., A Review on Machine Learning for EEG Signal Processing in Bioengineering, IEEE Rev Biomed Eng, 14, pp. 204-218, (2021); Ma G, Chen P, Liu Z, Liu J., The Prediction of Enterprise Stock Change Trend by Deep Neural Network Model, Comput Intell Neurosci, 2022, (2022); Quintero JP, Siqueira AM, Tobon A, Blair S, Moreno A, Arevalo-Herrera M, Lacerda MV, Valencia SH., Malaria-related anaemia: a Latin American perspective, Mem Inst Oswaldo Cruz, 106, pp. 91-104, (2011); Kuna A, Gajewski M, Szostakowska B, Nahorski WL, Myjak P, Stanczak J., Imported Malaria in the Material of the Institute of Maritime and Tropical Medicine: A Review of 82 Patients in the Years 2002-2014, Biomed Res Int, 2015, (2015); Bruneel F, Hocqueloux L, Alberti C, Wolff M, Chevret S, Bedos JP, Durand R, Le Bras J, Regnier B, Vachon F., The clinical spectrum of severe imported falciparum malaria in the intensive care unit: report of 188 cases in adults, Am J Respir Crit Care Med, 167, 5, pp. 684-689, (2003); Andrade BB, Reis-Filho A, Barros AM, Souza-Neto SM, Nogueira LL, Fukutani KF, Camargo EP, Camargo LM, Barral A, Duarte A, Barral-Netto M., Towards a precise test for malaria diagnosis in the Brazilian Amazon: comparison among field microscopy, a rapid diagnostic test, nested PCR, and a computational expert system based on artificial neural networks, Malar J, 9, (2010); Mehrtash A, Wells WM, Tempany CM, Abolmaesumi P, Kapur T., Confidence Calibration and Predictive Uncertainty Estimation for Deep Medical Image Segmentation, IEEE Trans Med Imaging, 39, 12, pp. 3868-3878, (2020); Simundic AM., Measures of diagnostic accuracy: basic definitions, EJIFCC, 19, 4, pp. 203-211, (2009); Plewes K, Leopold SJ, Kingston HWF, Dondorp AM., Malaria: What’s New in the Management of Malaria?, Infect Dis Clin North Am, 33, 1, pp. 39-60, (2019); Jain V, Basak S, Bhandari S, Bharti PK, Thomas T, Singh MP, Singh N., Burden of complicated malaria in a densely forested Bastar region of Chhattisgarh State (Central India), PLoS One, 9, 12, (2014); Troselj-Vukic B, Vuksanovic-Mikulicic S, Sladoje-Martinovic B, Milotic I, Slavuljica I., Unrecognized malaria and its consequences-a case report of severe malaria with acute renal failure, Coll Antropol, 37, 2, pp. 611-613, (2013); Tobon-Castano A, Betancur JE., Severe malaria in pregnant women hospitalized between 2010 and 2014 in the Department of Antioquia (Colombia), Biomedica, 39, 2, pp. 354-369, (2019); Aung NM, Kaung M, Kyi TT, Kyaw MP, Min M, Htet ZW, Anstey NM, Kyi MM, Hanson J., The Safety of a Conservative Fluid Replacement Strategy in Adults Hospitalised with Malaria, PLoS One, 10, 11, (2015); Hendriksen IC, Mtove G, Pedro AJ, Gomes E, Silamut K, Lee SJ, Mwambuli A, Gesase S, Reyburn H, Day NP, White NJ, von Seidlein L, Dondorp AM., Evaluation of a PfHRP2 and a pLDH-based rapid diagnostic test for the diagnosis of severe malaria in 2 populations of African children, Clin Infect Dis, 52, 9, pp. 1100-1107, (2011)</t>
  </si>
  <si>
    <t xml:space="preserve">D. Botero-Rosas; School of Medicine, Universidad de la Sabana, Chía, Colombia; email: daniel.botero@unisabana.edu.co</t>
  </si>
  <si>
    <t xml:space="preserve">2-s2.0-85214095556</t>
  </si>
  <si>
    <t xml:space="preserve">Kumar S.A.; Muchahari M.K.; Poonkuntran S.; Kumar L.S.; Dhanaraj R.K.; Karthikeyan P.</t>
  </si>
  <si>
    <t xml:space="preserve">Kumar, S. Aanjan (56826130100); Muchahari, Monoj Kumar (55649655000); Poonkuntran, S. (25031991500); Kumar, L. Sathish (54381874100); Dhanaraj, Rajesh Kumar (56884774100); Karthikeyan, P. (56845793700)</t>
  </si>
  <si>
    <t xml:space="preserve">56826130100; 55649655000; 25031991500; 54381874100; 56884774100; 56845793700</t>
  </si>
  <si>
    <t xml:space="preserve">Application of hybrid capsule network model for malaria parasite detection on microscopic blood smear images</t>
  </si>
  <si>
    <t xml:space="preserve">Today, malaria is a dangerous disease caused by Plasmodium parasites and transmitted by the bite of Anopheles mosquitoes. It is estimated that more than 200,000 cases of malaria will occur every day worldwide, and more than 400,000 people will die from malaria. Early diagnosis of malaria is important to mitigate the morbidity and mortality of the disease. In this paper, a fully trained capsule neural network combined with a convolutional neural network model is proposed for malaria detection from blood smear microscopic images. In malaria diagnosis, the hybrid CapsNet model can detect malaria in blood samples. The hybrid model is optimized based on malaria data in microscopic images of infected and uninfected blood. Images are processed and enhanced through rotation before being fed into the hybrid CapsNet model. The CapsNet hybrid model is examined for malaria data with a learning rate of 0.07 and a batch size of 20. Hybrid CapsNet model shows improved results in detecting malaria from microscopic images measured against the currently available standard malaria test. Constraints like malaria parasite detection rate, accuracy, F1 index and blood smear classification is used to gauge the attainment of the hybrid CapsNet model. Detection rate of 99%, accuracy of 99.08% and FAR of 0.97% is attained by the hybrid CapsNet model as contrary to the traditional state-of-the-art model, the DSCN-Net, where the detection rate was 98%, the accuracy was 97.2%, and the FAR was 0.99%. © The Author(s), under exclusive licence to Springer Science+Business Media, LLC, part of Springer Nature 2024.</t>
  </si>
  <si>
    <t xml:space="preserve">Multimedia Tools and Applications</t>
  </si>
  <si>
    <t xml:space="preserve">Springer</t>
  </si>
  <si>
    <t xml:space="preserve">10.1007/s11042-024-19062-6</t>
  </si>
  <si>
    <t xml:space="preserve">https://www.scopus.com/inward/record.uri?eid=2-s2.0-85190757480&amp;doi=10.1007%2fs11042-024-19062-6&amp;partnerID=40&amp;md5=6541a78669dafc592017ea52d5cff7f2</t>
  </si>
  <si>
    <t xml:space="preserve">Department of Computer Application and Science, Institute of Engineering and Management, West Bengal, Kolkata, India; School of Computing Science and Engineering, VIT Bhopal University, Bhopal-Indore Highway, Kothrikalan, Madhya Pradesh, Sehore, 466114, India; Symbiosis Institute of Computer Studies and Research, Symbiosis International (Deemed University), Pune, India; Department of Electronics &amp; amp; Communication Engineering, Velammal College of Engineering &amp; amp; Technology, Tamil Nadu, Madurai, 625009, India</t>
  </si>
  <si>
    <t xml:space="preserve">Kumar S.A., School of Computing Science and Engineering, VIT Bhopal University, Bhopal-Indore Highway, Kothrikalan, Madhya Pradesh, Sehore, 466114, India; Muchahari M.K., Department of Computer Application and Science, Institute of Engineering and Management, West Bengal, Kolkata, India; Poonkuntran S., School of Computing Science and Engineering, VIT Bhopal University, Bhopal-Indore Highway, Kothrikalan, Madhya Pradesh, Sehore, 466114, India; Kumar L.S., School of Computing Science and Engineering, VIT Bhopal University, Bhopal-Indore Highway, Kothrikalan, Madhya Pradesh, Sehore, 466114, India; Dhanaraj R.K., Symbiosis Institute of Computer Studies and Research, Symbiosis International (Deemed University), Pune, India; Karthikeyan P., Department of Electronics &amp; amp; Communication Engineering, Velammal College of Engineering &amp; amp; Technology, Tamil Nadu, Madurai, 625009, India</t>
  </si>
  <si>
    <t xml:space="preserve">Capsule Neural Network; Convolutional Neural Network; Deep learning model; Healthcare; Malaria</t>
  </si>
  <si>
    <t xml:space="preserve">Blood; Convolution; Convolutional neural networks; Deep neural networks; Diagnosis; Image enhancement; Learning systems; Blood smears; Capsule neural network; Convolutional neural network; Deep learning model; Detection rates; Healthcare; Learning models; Malaria; Microscopic image; Neural-networks; Diseases</t>
  </si>
  <si>
    <t xml:space="preserve">The "World malaria report 2019" at a glance, WHO, (1999); Pandey S.K., Janghel R.R., Recent deep learning techniques, challenges and its applications for medical healthcare system: a review, Neural Process Lett, 50, pp. 1907-1935, (2019); Dogan M., Taspinar Y.S., Cinar I., Kursun R., Ozkan I.A., Koklu M., Dry bean cultivars classification using deep cnn features and salp swarm algorithm based extreme learning machine, Comput Electron Agric, 204, (2023); Ahad M.T., Li Y.A.S.B., Bhuiyan T., Comparison of CNN-based deep learning architectures for rice diseases classification, Artificial Intelligence in Agriculture, 9, pp. 22-35, (2023); Kumar A., Gaur N., Chakravarty S., Alsharif M.H., Uthansakul P., Uthansakul M., Analysis of spectrum sensing using deep learning algorithms: CNNs and RNNs, Ain Shams Eng J, 15, 3, (2024); Afriyie Y., Weyori B.A., Opoku A.A., Classification of blood cells using optimized Capsule networks, Neural Process Lett, 54, 6, pp. 4809-4828, (2022); Madhu G., Govardhan A., Ravi V., Kautish S., Srinivas B.S., Chaudhary T., Kumar M., DSCN-net: a deep Siamese capsule neural network model for automatic diagnosis of malaria parasites detection, Multimed Tools Appl, 81, pp. 34105-34127, (2022); Jameela T., Athota K., Singh N., Gunjan V.K., Kahali S., Deep learning and transfer learning for malaria detection, Computational Intelligence and Neuroscience, 2022, (2022); Jia B.A.H.Q., DE-CapsNet: A diverse enhanced capsule network with disperse dynamic routing, Appl Sci, 10, 3, (2020); Xi E., Bing S., Jin Y., Capsule Network Performance on Complex Data, (2017); Chola C., Muaad A.Y., Bin Heyat M.B., Benifa J.B., Naji, Al-Antari M.A., Kadah Y.M., Kim T.-S., BCNet: A Deep Learning Computer-Aided Diagnosis Framework for Human Peripheral Blood Cell Identification, Diagnostics, 12, 11, (2022); Bibin D., Nair M.S., Punitha P., Malaria parasite detection from peripheral blood smear images using deep belief networks, IEEE Access, 5, pp. 9099-9108, (2017); Huq A., Pervin M.T., Robust deep neural network model for identification of malaria parasites in cell images, 2020 IEEE Region 10 Symposium (TENSYMP), pp. 1456-1459, (2020); Koresh H.J.D., Chacko S., Periyanayagi M., A modified capsule network algorithm for oct corneal image segmentation, Pattern Recogn Lett, 143, pp. 104-112, (2021); Wang Y., Sun L., Ma K., Fang J., Breast cancer microscope image classification based on CNN with image deformation, in Image Analysis and Recognition, 15Th International Conference, ICIAR 2018, Portugal, (2018); Pranskuniene Z., Belousoviene E., Baranauskiene N., Eimantas N., Vaitkaitiene E., Bernatoniene J., Brazaitis M., Pranskunas A., Modulation of endothelial glycocalyx and microcirculation in healthy young men during high-intensity sprint interval cycling-exercise by supplementation with pomegranate extract. A randomized controlled trial, Int J Environ Res Public Health, 17, 12, (2020); Liang N., Li B., Jia Z., Wang C., Wu P., Zheng T., Wang Y., Qiu F., Wu Y., Su J., Xu J., Xu F., Chu H., Fang S., Yang X., Wu C., Cao Z., Cao L., Bing Z., Liu H., Ultrasensitive detection of circulating tumour DNA via deep methylation sequencing aided by machine learning, Nature Biomed Eng, 5, 6, (2021); de Souza Oliveira A., Costa M.G.F., Barbosa M.D.G.V., Costa Filho C.F.F., A new approach for malaria diagnosis in thick blood smear images, Biomed Signal Process Control, 78, (2022); Abdurahman F., Fante K.A., Aliy M., Malaria parasite detection in thick blood smear microscopic images using modified YOLOV3 and YOLOV4 models, BMC Bioinformatics, 22, 1, pp. 1-17, (2021); Mariki M., Mkoba E., Mduma N., Combining clinical symptoms and patient features for malaria diagnosis: machine learning approach, Appl Artif Intell, 36, 1, (2022); Nakasi R., Tusubira J.F., Zawedde A., Mansourian A., Mwebaze E., A web-based intelligence platform for diagnosis of malaria in thick blood smear images: A case for a developing country, Proceedings of the IEEE/CVF Conference on Computer Vision and Pattern Recognition Workshops, pp. 984-985, (2020); Yang F., Poostchi M., Yu H., Zhou Z., Silamut K.A.Y.J., Maude R.J., Jaeger S., Antani S., Deep learning for smartphone-based malaria parasite detection in thick blood smears, IEEE J Biomed Health Informatics, 24, 5, pp. 1427-1438, (2019); Tek F.B., Dempster A.G., Kale I., Parasite detection and identification for automated thin blood film malaria diagnosis, Comput Vis Image Underst, 114, 1, pp. 21-32, (2010); Long F., Peng J.-J., Song W., Xia X., Sang J., BloodCaps: A capsule network based model for the multiclassification of human peripheral blood cells, Comput Methods Programs Biomed, 202, (2021); Liu R., Liu T., Dan T., Yang S., Li Y., Luo B., Zhuang Y., Fan X., Zhang X., Cai H., Teng Y., AIDMAN: An AI-based object detection system for malaria diagnosis from smartphone thin-blood-smear images, Patterns, 4, 9, (2023); Yang F., Poostchi M., Yu H., Zhou Z., Silamut K., Yu J., Maude R.J., Jaeger S., Antani S., Deep learning for smartphone-based malaria parasite detection in thick blood smears, IEEE J Biomed Health Inform, 24, 5, pp. 1427-1438, (2019); Das D.K., Ghosh M., Pal M., Maiti A.K., Chakraborty C., Machine learning approach for automated screening of malaria parasite using light microscopic images, Micron, 45, pp. 97-106, (2013); Liang Z., Powell A., Ersoy I., Poostchi M., Silamut K., Palaniappan K., Guo P., Hossain M.A., Sameer A., Maude R.J., Huang J.X., CNN-based image analysis for malaria diagnosis, 2016 IEEE International Conference on Bioinformatics and Biomedicine (BIBM), pp. 493-496, (2016); Kumarasamy S.O.S.T.K., Robust contour reconstruction of red blood cells and parasites in the automated identification of the stages of malarial infection, Mach Vis Appl, 22, 1, pp. 461-469, (2011); Maity M., Jaiswal A., Gantait K., Chatterjee J., Mukherjee A., Quantification of malaria parasitaemia using trainable semantic segmentation and capsnet, Pattern Recogn Lett, 138, pp. 88-94, (2020); Chen Y., Ni J., Tang G., Cao W., Yang S.X., An improved dense-to-sparse cross-modal fusion network for 3D object detection in RGB-D images, Multimed Tools Appl, pp. 1-26, (2023); Ni J., Shen K., Chen Y., Yang S.X., An Improved SSD-Like Deep Network-Based Object Detection Method for Indoor Scenes, IEEE Trans Instrum Meas, 72, pp. 1-15, (2023); Tabata A.N., Zimmer A., dos Santos Coelho L., Mariani V.C., Analyzing CARLA’s performance for 2D object detection and monocular depth estimation based on deep learning approaches, Exp Syst Appl, 227, (2023); Singh P., Muchahari M.K., Solving multi-objective optimization problem of convolutional neural network using fast forward quantum optimization algorithm: Application in digital image classification, Adv Eng Softw, 176, (2023); Sabour S., Frosst N., Hinton G.E., Dynamic routing between capsules, Adv Neural Inf Process Syst, 30, (2017); Alqudah A.M., AOCT-NET: a convolutional network automated classification of multiclass retinal diseases using spectral-domain optical coherence tomography images, Med Biol Eng Comput, 58, pp. 41-53, (2020); Maturana C.R., de Oliveira A.D., Nadal S., Bilalli B., Serrat F.Z., Soley M.E., Igual E.S., Bosch M., Lluch A.V., Abello A., Advances and challenges in automated malaria diagnosis using digital microscopy imaging with artificial intelligence tools: A review, Frontiers in Microbiology, 13, (2022); Loey M., Manogaran G., Taha M.H.N., Khalifa N.E.M., Fighting against COVID-19: A novel deep learning model based on YOLO-v2 with ResNet-50 for medical face mask detection, Sustain Cities Soc, 65, (2021); Howard J., Gugger S., Fastai: A layered API for deep learning, Information, 11, 2, (2020); Srivastava R., Prajapati Y.K., Pal S., Kumar S., Micro-channel plasmon sensor based on a D-shaped photonic crystal fiber for malaria diagnosis with improved performance, IEEE Sens J, 22, 15, pp. 14834-14841, (2022); Aanjanadevi S., Palanisamy V., Aanjankumar S., Poonkuntran S., Karthikeyan P., Independent automobile intelligent motion controller and redirection using a deep learning system, Object Detection with Deep Learning Models: Principles and Applications, pp. 165-178, (2022); Azikiwe C.C., Ifezulike C., Siminialayi I., Amazu L.U., Enye J., Nwakwunite O., A comparative laboratory diagnosis of malaria: microscopy versus rapid diagnostic test kits, Asian Pac J Trop Biomed, 2, 4, pp. 307-310, (2012); Vijayalakshmi A., Deep learning approach to detect malaria from microscopic images, Multimed Tools Appl, 79, pp. 15297-15317, (2020); Gheysari P., Fateh M., Rezvani M., Lung ct image segmentation using reinforcement learning, Int J Artif Intell Tools, 30, 2, (2021); Marques G., Ferreras A., de la Torre-Diez I., An ensemble-based approach for automated medical diagnosis of malaria using EfficientNet, Multimedia Tools Appl, 81, 19, pp. 28061-28078, (2022); Mirahmadi H., Rahmati-Balaghaleh M., Afzalaghaee M., Zarean M., Shamsian S.A., Mehravaran A., Raissi V., Etemadi S., Detection of malaria using blood smear by light microscopy, RDT and nested-PCR for suspected patients in south-eastern Iran, Gene Reports, 25, (2021); Simonyan K., Zisserman A., Very Deep Convolutional Networks for Large-Scale Image Recognition, (2014); Zogaj F., Cambronero J.P., Rinard M.C., Cito J., Doing more with less: Characterizing dataset downsampling for automl, Proceedings of the VLDB Endowment, New York., (2021); Tajbakhsh N.A.S.J.Y.A.G.S.R., Hurst R.T., Kendall C.B., Gotway M.B., Liang J., Convolutional neural networks for medical image analysis: Full training or fine tuning?, IEEE Trans Med Imaging, 35, 5, pp. 1299-1312, (2016); Alqudah A., Alqudah A.M., Qazan S., Lightweight Deep Learning for Malaria Parasite Detection Using Cell-Image of Blood Smear Images, Rev d'Intelligence Artif, 34, 5, pp. 571-576, (2020); Anggraini D., Nugroho A.S., Pratama C., Rozi I.E., Iskandar A.A., Hartono R.N., Automated status identification of microscopic images obtained from malaria thin blood smears, Proceedings of the 2011 International Conference on Electrical Engineering and Informatics Pp, pp. 1-6, (2011); Kim Y., Ratnam J., Doi T., Morioka Y., Behera S., Tsuzuki A., Minakawa N., Sweijd N., Kruger P., Maharaj R., Malaria predictions based on seasonal climate forecasts in South Africa: A time series distributed lag nonlinear model, Sci Rep, 9, 1, (2019); Ma A., Filippi A.M., Wang Z., Yin Z., Hyperspectral image classification using similarity measurements-based deep recurrent neural networks, Remote Sensing, 11, 2, (2019); Diaz G.G.F.R.E., A semi-automatic method for quantification and classification of erythrocytes infected with malaria parasites in microscopic images, J Biomed Inform, 42, 2, pp. 296-307, (2009)</t>
  </si>
  <si>
    <t xml:space="preserve">M.K. Muchahari; Department of Computer Application and Science, Institute of Engineering and Management, Kolkata, West Bengal, India; email: memonoj@gmail.com</t>
  </si>
  <si>
    <t xml:space="preserve">MTAPF</t>
  </si>
  <si>
    <t xml:space="preserve">Multimedia Tools Appl</t>
  </si>
  <si>
    <t xml:space="preserve">2-s2.0-85190757480</t>
  </si>
  <si>
    <t xml:space="preserve">Yanik S.; Yu H.; Chaiyawong N.; Adewale-Fasoro O.; Dinis L.R.; Narayanasamy R.K.; Lee E.C.; Lubonja A.; Li B.; Jaeger S.; Srinivasan P.</t>
  </si>
  <si>
    <t xml:space="preserve">Yanik, Sean (58283774800); Yu, Hang (57214397334); Chaiyawong, Nattawat (57212530982); Adewale-Fasoro, Opeoluwa (57221324067); Dinis, Luciana Ribeiro (59253524600); Narayanasamy, Ravi Kumar (57201061015); Lee, Elizabeth C. (59109798300); Lubonja, Ariel (58897651400); Li, Bowen (59252905500); Jaeger, Stefan (55516608100); Srinivasan, Prakash (7103192271)</t>
  </si>
  <si>
    <t xml:space="preserve">58283774800; 57214397334; 57212530982; 57221324067; 59253524600; 57201061015; 59109798300; 58897651400; 59252905500; 55516608100; 7103192271</t>
  </si>
  <si>
    <t xml:space="preserve">Application of Machine Learning in a Rodent Malaria Model for Rapid, Accurate, and Consistent Parasite Counts</t>
  </si>
  <si>
    <t xml:space="preserve">Rodent malaria models serve as important preclinical antimalarial and vaccine testing tools. Evaluating treatment outcomes in these models often requires manually counting parasite-infected red blood cells (iRBCs), a time-consuming process, which can be inconsistent between individuals and laboratories. We have developed an easy-to-use machine learning (ML)-based software, Malaria Screener R, to expedite and standardize such studies by automating the counting of Plasmodium iRBCs in rodents. This software can process Giemsa-stained blood smear images captured by any camera-equipped microscope. It features an intuitive graphical user interface that facilitates image processing and visualization of the results. The software has been developed as a desktop application that processes images on standard Windows and MacOS computers. A previous ML model created by the authors designed to count Plasmodium falciparum-infected human RBCs did not perform well counting Plasmodium-infected mouse RBCs. We leveraged that model by loading the pretrained weights and training the algorithm with newly collected data to target Plasmodium yoelii- and Plasmodium berghei-infected mouse RBCs. This new model reliably measured both P. yoelii and P. berghei parasitemia (R2 5 0.9916). Additional rounds of training data to incorporate variances due to length of Giemsa staining and type of microscopes, etc., have produced a generalizable model, meeting WHO competency level 1 for the subcategory of parasite counting using independent microscopes. Reliable, automated analyses of blood-stage parasitemia will facilitate rapid and consistent evaluation of novel vaccines and antimalarials across laboratories in an easily accessible in vivo malaria model. © 2024 The author(s).</t>
  </si>
  <si>
    <t xml:space="preserve">American Journal of Tropical Medicine and Hygiene</t>
  </si>
  <si>
    <t xml:space="preserve">American Society of Tropical Medicine and Hygiene</t>
  </si>
  <si>
    <t xml:space="preserve">10.4269/ajtmh.24-0135</t>
  </si>
  <si>
    <t xml:space="preserve">https://www.scopus.com/inward/record.uri?eid=2-s2.0-85208771777&amp;doi=10.4269%2fajtmh.24-0135&amp;partnerID=40&amp;md5=c8671630f07771e7a38c4df9c7886fc5</t>
  </si>
  <si>
    <t xml:space="preserve">Department of Molecular Microbiology and Immunology, Johns Hopkins School of Public Health, Baltimore, MD, United States; Malaria Research Institute, Johns Hopkins School of Public Health, Baltimore, MD, United States; National Library of Medicine, National Institutes of Health, Bethesda, MD, United States; Department of Computer Science, Johns Hopkins Whiting School of Engineering, Baltimore, MD, United States</t>
  </si>
  <si>
    <t xml:space="preserve">Yanik S., Department of Molecular Microbiology and Immunology, Johns Hopkins School of Public Health, Baltimore, MD, United States, Malaria Research Institute, Johns Hopkins School of Public Health, Baltimore, MD, United States; Yu H., National Library of Medicine, National Institutes of Health, Bethesda, MD, United States; Chaiyawong N., Department of Molecular Microbiology and Immunology, Johns Hopkins School of Public Health, Baltimore, MD, United States, Malaria Research Institute, Johns Hopkins School of Public Health, Baltimore, MD, United States; Adewale-Fasoro O., Department of Molecular Microbiology and Immunology, Johns Hopkins School of Public Health, Baltimore, MD, United States, Malaria Research Institute, Johns Hopkins School of Public Health, Baltimore, MD, United States; Dinis L.R., Department of Molecular Microbiology and Immunology, Johns Hopkins School of Public Health, Baltimore, MD, United States, Malaria Research Institute, Johns Hopkins School of Public Health, Baltimore, MD, United States; Narayanasamy R.K., Department of Molecular Microbiology and Immunology, Johns Hopkins School of Public Health, Baltimore, MD, United States, Malaria Research Institute, Johns Hopkins School of Public Health, Baltimore, MD, United States; Lee E.C., Department of Molecular Microbiology and Immunology, Johns Hopkins School of Public Health, Baltimore, MD, United States, Malaria Research Institute, Johns Hopkins School of Public Health, Baltimore, MD, United States; Lubonja A., Department of Computer Science, Johns Hopkins Whiting School of Engineering, Baltimore, MD, United States; Li B., Department of Computer Science, Johns Hopkins Whiting School of Engineering, Baltimore, MD, United States; Jaeger S., National Library of Medicine, National Institutes of Health, Bethesda, MD, United States; Srinivasan P., Department of Molecular Microbiology and Immunology, Johns Hopkins School of Public Health, Baltimore, MD, United States, Malaria Research Institute, Johns Hopkins School of Public Health, Baltimore, MD, United States</t>
  </si>
  <si>
    <t xml:space="preserve">Animals; Disease Models, Animal; Erythrocytes; Humans; Machine Learning; Malaria; Mice; Parasite Load; Parasitemia; Plasmodium berghei; Plasmodium yoelii; Software; accurate parasite count; animal experiment; animal model; animal tissue; antimalarial activity; Article; biochemical analysis; blood smear; consistent parasite count; controlled study; data visualization; deep learning; female; image analysis; image processing; image quality; learning algorithm; machine learning; malaria falciparum; microscopy; mouse; nerve cell network; nonhuman; parasite count; parasitemia; Plasmodium falciparum; Plasmodium yoelii; preclinical study; rapid parasite count; rodent malaria; animal; diagnosis; disease model; erythrocyte; human; malaria; parasite load; parasitology; Plasmodium berghei; Plasmodium yoelii; procedures; software</t>
  </si>
  <si>
    <t xml:space="preserve">Intel Core i5, Intel; Leica ICC50W microscope, Leica; Nikon E600, Nikon; Nikon E800 microscope, Nikon; Tesla P100, NVIDIA; Tesla V100, NVIDIA</t>
  </si>
  <si>
    <t xml:space="preserve">Intel; Leica; NVIDIA; NVIDIA; Nikon; Nikon</t>
  </si>
  <si>
    <t xml:space="preserve">U.S. National Library of Medicine, NLM; Photini Sinnis; Lister Hill National Center for Biomedical Communications, LHNCBC; Johns Hopkins Malaria Research Institute, (T32AI138953, R01AI155598); National Institutes of Health, NIH, (T32 AI138953); National Institutes of Health, NIH</t>
  </si>
  <si>
    <t xml:space="preserve">Funding text 1: We thank Jake Ruddy for valuable discussions regarding this study. We also thank Natalie Gobrial for her help annotating uninfected red blood cells (RBCs) in this study. We thank Photini Sinnis and the Sinnis Laboratory for use of their Nikon E600 microscope in this study. This work was supported in part by the Lister Hill National Center for Biomedical Communications of the National Library of Medicine (NLM), NIH. This work was also supported by the Johns Hopkins Malaria Research Institute and the Bloomberg Philanthropies. Financial support: S. Yanik was supported by the NIH (grant no. T32 AI138953). N. Chaiyawong and O. Adewale-Fasoro were supported by Johns Hopkins Malaria Research Institute. E. C. Lee was supported by the NIH (grant no. T32AI138953). P. Srinivasan was supported in part by the NIH (grant no. R01AI155598) and the Johns Hopkins Malaria Research Institute.; Funding text 2: Financial support: S. Yanik was supported by the NIH (grant no. T32 AI138953). N. Chaiyawong and O. Adewale-Fasoro were supported by Johns Hopkins Malaria Research Institute. E. C. Lee was supported by the NIH (grant no. T32AI138953). P. Srinivasan was supported in part by the NIH (grant no. R01AI155598) and the Johns Hopkins Malaria Research Institute.</t>
  </si>
  <si>
    <t xml:space="preserve">World Malaria Report 2022, (2022); Zavala F, RTS, S: The first malaria vaccine, J Clin Invest, 132, (2022); Efficacy and safety of RTS, S/AS01 malaria vaccine with or without a booster dose in infants and children in Africa: Final results of a phase 3, individually randomised, controlled trial, Lancet, 386, pp. 31-45, (2015); Schuerman L, RTS, S malaria vaccine could provide major public health benefits, Lancet, 394, pp. 735-736, (2019); Dondorp AM, Et al., Artemisinin resistance in Plasmodium falciparum malaria, N Engl J Med, 361, pp. 455-467, (2009); Fairhurst RM, Dondorp AM, Artemisinin-resistant Plasmodium falciparum malaria, Microbiol Spectr, 4, (2016); Balikagala B, Et al., Evidence of artemisinin-resistant malaria in Africa, N Engl J Med, 385, pp. 1163-1171, (2021); Ryan SJ, Lippi CA, Zermoglio F, Shifting transmission risk for malaria in Africa with climate change: A framework for planning and intervention, Malar J, 19, (2020); Locally Acquired Malaria Cases Identified in the United States, (2023); Aleshnick M, Florez-Cuadros M, Martinson T, Wilder BK, Monoclonal antibodies for malaria prevention, Mol Ther, 30, pp. 1810-1821, (2022); Douglas AD, Et al., A defined mechanistic correlate of protection against Plasmodium falciparum malaria in non-human primates, Nat Commun, 10, (2019); Gruszczyk J, Et al., Transferrin receptor 1 is a reticulocytespecific receptor for Plasmodium vivax, Science, 359, pp. 48-55, (2018); Rawlinson TA, Et al., Structural basis for inhibition of Plasmodium vivax invasion by a broadly neutralizing vaccine-induced human antibody, Nat Microbiol, 4, pp. 1497-1507, (2019); Walker LA, Sullivan DJ, Impact of extended duration of artesunate treatment on parasitological outcome in a cytocidal murine malaria model, Antimicrob Agents Chemother, 61, pp. e02499-16, (2017); Yu H, Yang F, Rajaraman S, Ersoy I, Moallem G, Poostchi M, Palaniappan K, Antani S, Maude RJ, Jaeger S, Malaria Screener: A smartphone application for automated malaria screening, BMC Infect Dis, 20, (2020); Liu R, Et al., AIDMAN: An AI-based object detection system for malaria diagnosis from smartphone thin-blood-smear images, Patterns (NY), 4, (2023); Kumar Y, Garg P, Moudgil MR, Singh R, Wozniak M, Shafi J, Ijaz MF, Enhancing parasitic organism detection in microscopy images through deep learning and fine-tuned optimizer, Sci Rep, 14, (2024); Masud M, Alhumyani H, Alshamrani SS, Cheikhrouhou O, Ibrahim S, Muhammad G, Hossain MS, Shorfuzzaman M, Leveraging deep learning techniques for malaria parasite detection using mobile application, Wirel Commun Mob Com-put, (2020); Rajaraman S, Antani SK, Poostchi M, Silamut K, Hossain MA, Maude RJ, Jaeger S, Thoma GR, Pre-trained convolutional neural networks as feature extractors toward improved malaria parasite detection in thin blood smear images, PeerJ, 6, (2018); Poostchi M, Silamut K, Maude RJ, Jaeger S, Thoma G, Image analysis and machine learning for detecting malaria, Transl Res, 194, pp. 36-55, (2018); Kassim Y, Yang F, Yu H, Maude R, Jaeger S, Diagnosing malaria patients with Plasmodium falciparum and vivax using deep learning for thick smear images, Diagnostics (Basel), 11, (2021); Yang F, Poostchi M, Yu H, Zhou Z, Silamut K, Yu J, Maude RJ, Jaeger S, Antani S, Deep learning for smartphone-based malaria parasite detection in thick blood smears, IEEE J Biomed Health Inform, 24, pp. 1427-1438, (2020); Yu H, Et al., Patient-level performance evaluation of a smartphone-based malaria diagnostic application, Malar J, 22, (2023); Das D, Et al., Field evaluation of the diagnostic performance of EasyScan GO: A digital malaria microscopy device based on machine-learning, Malar J, 21, (2022); Horning MP, Et al., Performance of a fully-automated system on a WHO malaria microscopy evaluation slide set, Malar J, 20, (2021); Ma C, Harrison P, Wang L, Coppel RL, Automated estimation of parasitaemia of Plasmodium yoelii-infected mice by digital image analysis of Giemsa-stained thin blood smears, Malar J, 9, (2010); Poostchi M, Et al., Malaria parasite detection and cell counting for human and mouse using thin blood smear microscopy, J Med Imaging (Bellingham), 5, (2018); Tzutalin D, Labellmg, a Graphical Image Annotation Tool, (2015); Malaria Microscopy Quality Assurance Manual Version 2, (2016)</t>
  </si>
  <si>
    <t xml:space="preserve">P. Srinivasan; Department of Molecular Microbiology and Immunology, Malaria Research Institute, Johns Hopkins School of Public Health, Baltimore, 615 N. Wolfe St, Rm E5628, 21025, United States; email: psriniv3@jhu.edu; S. Jaeger; National Library of Medicine, National Institutes of Health, Bethesda, 8600 Rockville Pike, 20894, United States; email: stefan.jaeger@nih.gov</t>
  </si>
  <si>
    <t xml:space="preserve">AJTHA</t>
  </si>
  <si>
    <t xml:space="preserve">Am. J. Trop. Med. Hyg.</t>
  </si>
  <si>
    <t xml:space="preserve">2-s2.0-85208771777</t>
  </si>
  <si>
    <t xml:space="preserve">Parija S.C.; Poddar A.</t>
  </si>
  <si>
    <t xml:space="preserve">Parija, Subhash Chandra (7006847626); Poddar, Abhijit (55994282000)</t>
  </si>
  <si>
    <t xml:space="preserve">7006847626; 55994282000</t>
  </si>
  <si>
    <t xml:space="preserve">Artificial intelligence in parasitic disease control: A paradigm shift in health care</t>
  </si>
  <si>
    <t xml:space="preserve">Parasitic diseases, including malaria, leishmaniasis, and trypanosomiasis, continue to plague populations worldwide, particularly in resource-limited settings and disproportionately affecting vulnerable populations. It has limited the use of conventional health-care delivery and disease control approaches and necessitated exploring innovative strategies. In this direction, artificial intelligence (AI) has emerged as a transformative tool with immense promise in parasitic disease control, offering the potential for enhanced diagnostics, precision drug discovery, predictive modeling, and personalized treatment. Predictive AI algorithms have assisted in understanding parasite transmission patterns and outbreaks by analyzing vast amounts of epidemiological data, environmental factors, and population demographics. This has strengthened public health interventions, resource allocation, and outbreak preparedness strategies, enabling proactive measures to mitigate disease spread. In diagnostics, AI-enabled accurate and rapid identification of parasites by analyzing microscopic images. This capability is particularly valuable in remote regions with limited access to diagnostic facilities. AI-driven computational methods have also assisted in drug discovery for parasitic diseases by identifying novel drug targets and predicting the efficacy and safety of potential drug candidates. This approach has streamlined drug development, leading to more effective and targeted therapies. This article reviews these current developments and their transformative impacts on the health-care sector. It also assessed the hurdles that require attention before these transformations can be realized in real-life scenarios.  Copyright: © 2024 Tropical Parasitology.</t>
  </si>
  <si>
    <t xml:space="preserve">prognostics,  outbreak prediction</t>
  </si>
  <si>
    <t xml:space="preserve">Tropical Parasitology</t>
  </si>
  <si>
    <t xml:space="preserve">Wolters Kluwer Medknow Publications</t>
  </si>
  <si>
    <t xml:space="preserve">10.4103/tp.tp_66_23</t>
  </si>
  <si>
    <t xml:space="preserve">https://www.scopus.com/inward/record.uri?eid=2-s2.0-85203098471&amp;doi=10.4103%2ftp.tp_66_23&amp;partnerID=40&amp;md5=b68a4778f47cb14a232c4c35f144f451</t>
  </si>
  <si>
    <t xml:space="preserve">National Academy of Medical Sciences, New Delhi, India; Mahatma Gandhi Medical Advanced Research Institute, Sri Balaji Vidyapeeth (Deemed to be University), Puducherry, India</t>
  </si>
  <si>
    <t xml:space="preserve">Parija S.C., National Academy of Medical Sciences, New Delhi, India; Poddar A., Mahatma Gandhi Medical Advanced Research Institute, Sri Balaji Vidyapeeth (Deemed to be University), Puducherry, India</t>
  </si>
  <si>
    <t xml:space="preserve">Artificial intelligence; health care; machine learning; parasitic diseases</t>
  </si>
  <si>
    <t xml:space="preserve">algorithm; Article; artificial intelligence; climate change; disease control; drug development; environmental factor; health care cost; health care delivery; human; leishmaniasis; machine learning; malaria; parasite transmission; parasitology; parasitosis; personalized medicine; plague; predictive model; resource allocation; resource limited setting; trypanosomiasis; vulnerable population</t>
  </si>
  <si>
    <t xml:space="preserve">Jiang F, Jiang Y, Zhi H, Dong Y, Li H, Ma S, Et al., Artificial intelligence in healthcare: Past, present and future, Stroke Vasc Neurol, 2, pp. 230-243, (2017); Bloom DE, Cadarette D., Infectious disease threats in the twenty‑first century: Strengthening the global response, Front Immunol, 10, (2019); Samimian-Darash L., Governing future potential biothreats: Toward an anthropology of uncertainty, Curr Anthropol, 54, pp. 1-22, (2013); Patz JA, Graczyk TK, Geller N, Vittor AY., Effects of environmental change on emerging parasitic diseases, Int J Parasitol, 30, pp. 1395-1405, (2000); Scarpino SV, Petri G., On the predictability of infectious disease outbreaks, Nat Commun, 10, (2019); Myers MF, Rogers DJ, Cox J, Flahault A, Hay SI., Forecasting disease risk for increased epidemic preparedness in public health, Adv Parasitol, 47, pp. 309-330, (2000); Liu Y, Feng G, Tsui KL, Sun S., Forecasting influenza epidemics in Hong Kong using Google search queries data: A new integrated approach, Expert Syst Appl, 185, (2021); Laureano-Rosario AE, Duncan AP, Mendez-Lazaro PA, Garcia-Rejon JE, Gomez-Carro S, Farfan-Ale J, Et al., Application of artificial neural networks for dengue fever outbreak predictions in the northwest coast of Yucatan, Mexico and San Juan, Puerto Rico, Trop Med Infect Dis, 3, (2018); Bogoch II, Brady OJ, Kraemer MU, German M, Creatore MI, Brent S, Et al., Potential for Zika virus introduction and transmission in resource‑limited countries in Africa and the Asia‑Pacific region: A modelling study, Lancet Infect Dis, 16, pp. 1237-1245, (2016); Raizada S, Mala S, Shankar A., Vector Borne Disease Outbreak Prediction by Machine Learning, 2020 International Conference on Smart Technologies in Computing, Electrical and Electronics (ICSTCEE), (2020); Oguntimilehin A, Adetunmbi AO, Abiola OB., A review of predictive models on diagnosis and treatment of malaria fever, Int J Comput Sci Mob Comput, 4, pp. 1087-1093, (2015); Shabanpour N, Razavi-Termeh SV, Sadeghi-Niaraki A, Choi SM, Abuhmed T., Integration of machine learning algorithms and GIS‑based approaches to cutaneous leishmaniasis prevalence risk mapping, Int J Appl Earth Obs Geoinf, 112, (2022); Berdigaliyev N, Aljofan M., An overview of drug discovery and development, Future Med Chem, 12, (2020); Sun D, Gao W, Hu H, Zhou S., Why 90% of clinical drug development fails and how to improve it?, Acta Pharm Sin B, 12, (2022); Waring MJ, Arrowsmith J, Leach AR, Leeson PD, Mandrell S, Owen RM, Et al., An analysis of the attrition of drug candidates from four major pharmaceutical companies, Nat Rev Drug Discov, 14, pp. 475-486, (2015); DiMasi JA, Hansen RW, Grabowski HG., The price of innovation: New estimates of drug development costs, J Health Econ, 22, pp. 151-185, (2003); Gupta R, Srivastava D, Sahu M, Tiwari S, Ambasta RK, Kumar P., Artificial intelligence to deep learning: Machine intelligence approach for drug discovery, Mol Divers, 25, (2021); Zhou Y, Wang F, Tang J, Nussinov R, Cheng F., Artificial intelligence in COVID‑19 drug repurposing, Lancet Digit Health, 2, (2020); Maharao N, Antontsev V, Wright M, Varshney J., Entering the era of computationally driven drug development, Drug Metab Rev, 52, (2020); Lima MN, Borba JV, Cassiano GC, Mottin M, Mendonca SS, Silva AC, Et al., Artificial intelligence applied to the rapid identification of new antimalarial candidates with dual‑stage activity, ChemMedChem, 16, (2021); Keshavarzi Arshadi A, Salem M, Collins J, Yuan JS, Chakrabarti D., DeepMalaria: Artificial intelligence driven discovery of potent antiplasmodials, Front Pharmacol, 10, (2019); Martin EJ, Polyakov VR, Zhu XW, Tian L, Mukherjee P, Liu X., All‑Assay‑Max2 pQSAR: Activity predictions as accurate as four‑concentration IC(50)s for 8558 Novartis assays, J Chem Inf Model, 59, (2019); Rao SP, Manjunatha UH, Mikolajczak S, Ashigbie PG, Diagana TT., Drug discovery for parasitic diseases: Powered by technology, enabled by pharmacology, informed by clinical science, Trends Parasitol, 39, pp. 260-271, (2023); Leonardi D, Salomon CJ, Lamas MC, Olivieri AC., Development of novel formulations for Chagas’ disease: Optimization of benznidazole chitosan microparticles based on artificial neural networks, Int J Pharm, 367, pp. 140-147, (2009); De Rycker M, Wyllie S, Horn D, Read KD, Gilbert IH., Anti‑trypanosomatid drug discovery: Progress and challenges, Nat Rev Microbiol, 21, pp. 35-50, (2023); Uran Landaburu L, Didier Garnham M, Aguero F., Targeting trypanosomes: How chemogenomics and artificial intelligence can guide drug discovery, Biochem Soc Trans, 51, (2023); Winkler DA., Use of artificial intelligence and machine learning for discovery of drugs for neglected tropical diseases, Front Chem, 9, (2021); Williams K, Bilsland E, Sparkes A, Aubrey W, Young M, Soldatova LN, Et al., Cheaper faster drug development validated by the repositioning of drugs against neglected tropical diseases, J R Soc Interface, 12, (2015); Parija SC., Climate adaptation impacting parasitic infection, Trop Parasitol, 12, pp. 3-7, (2022); Parija SC, Poddar A., Deep tech innovation for parasite diagnosis: New dimensions and opportunities, Trop Parasitol, 13, pp. 3-7, (2023); Liu R, Liu T, Dan T, Yang S, Li Y, Luo B, Et al., AIDMAN: An AI‑based object detection system for malaria diagnosis from smartphone thin‑blood‑smear images, Patterns (N Y), 4, (2023); Ending the Neglect to Attain the Sustainable Development Goals: A Road Map for Neglected Tropical Diseases 2021‑2030, (2021); Lin L, Bermejo-Pelaez D, Capellan-Martin D, Cuadrado D, Rodriguez C, Garcia L, Et al., Combining collective and artificial intelligence for global health diseases diagnosis using crowdsourced annotated medical images, Annu Int Conf IEEE Eng Med Biol Soc, 2021, (2021); Recommendation on the Ethics of Artificial Intelligence, (2021); Gurevich E, El Hassan B, El Morr C., Equity within AI systems: What can health leaders expect?, Healthc Manage Forum, 36, pp. 119-124, (2023); AI Equity: Ensuring Access to AI for All</t>
  </si>
  <si>
    <t xml:space="preserve">S.C. Parija; Indian Academy of Tropical Parasitology, Puducherry, 605008, India; email: subhashparija@gmail.com</t>
  </si>
  <si>
    <t xml:space="preserve">Trop. Parasitol.</t>
  </si>
  <si>
    <t xml:space="preserve">All Open Access; Green Open Access; Hybrid Gold Open Access</t>
  </si>
  <si>
    <t xml:space="preserve">2-s2.0-85203098471</t>
  </si>
  <si>
    <t xml:space="preserve">Shafqat R.; Alsaadi A.</t>
  </si>
  <si>
    <t xml:space="preserve">Shafqat, Ramsha (57226503533); Alsaadi, Ateq (57433179100)</t>
  </si>
  <si>
    <t xml:space="preserve">57226503533; 57433179100</t>
  </si>
  <si>
    <t xml:space="preserve">Artificial neural networks for stability analysis and simulation of delayerabies spread models</t>
  </si>
  <si>
    <t xml:space="preserve">Rabies remains a significant public health challenge, particularly in areas with substantial dog populations, necessitating a deeper understanding of its transmission dynamics for effective control strategies. This study addressed the complexity of rabies spread by integrating two critical delay effects—vaccination efficacy and incubation duration—into a delay differential equations model, capturing more realistic infection patterns between dogs and humans. To explore the multifaceted drivers of transmission, we applied a novel framework using piecewise derivatives that incorporated singular and non-singular kernels, allowing for nuanced insights into crossover dynamics. The existence and uniqueness of solutions was demonstrated using fixed-point theory within the context of piecewise derivatives and integrals. We employed a piecewise numerical scheme grounded in Newton interpolation polynomials to approximate solutions tailored to handle singular and non-singular kernels. Additionally, we leveraged artificial neural networks to split the dataset into training, testing, and validation sets, conducting an in-depth analysis across these subsets. This approach aimed to expand our understanding of rabies transmission, illustrating the potential of advanced mathematical tools and machine learning in epidemiological modeling. © 2024 the Author(s).</t>
  </si>
  <si>
    <t xml:space="preserve">AIMS Mathematics</t>
  </si>
  <si>
    <t xml:space="preserve">American Institute of Mathematical Sciences</t>
  </si>
  <si>
    <t xml:space="preserve">10.3934/math.20241599</t>
  </si>
  <si>
    <t xml:space="preserve">https://www.scopus.com/inward/record.uri?eid=2-s2.0-85211123747&amp;doi=10.3934%2fmath.20241599&amp;partnerID=40&amp;md5=f4a6c4d9868f3ffd02b8c13c47a0bf69</t>
  </si>
  <si>
    <t xml:space="preserve">Department of Mathematics and Statistics, The University of Lahore, Sargodha, 40100, Pakistan; Department of Mathematics and Statistics, College of Science, Taif University, P. O. Box 11099, Taif, 21944, Saudi Arabia</t>
  </si>
  <si>
    <t xml:space="preserve">Shafqat R., Department of Mathematics and Statistics, The University of Lahore, Sargodha, 40100, Pakistan; Alsaadi A., Department of Mathematics and Statistics, College of Science, Taif University, P. O. Box 11099, Taif, 21944, Saudi Arabia</t>
  </si>
  <si>
    <t xml:space="preserve">artificial neural network; Atangana-Baleanu-Caputo derivative; Caputo derivative; newton polynomials numerical method; piecewise derivative; rabies spread model</t>
  </si>
  <si>
    <t xml:space="preserve">Taif University, TU, (TU-DSPP-2024-259); Taif University, TU</t>
  </si>
  <si>
    <t xml:space="preserve">The authors extend their appreciation to Taif University, Saudi Arabia, for supporting this work through project number (TU-DSPP-2024-259).</t>
  </si>
  <si>
    <t xml:space="preserve">Shenoy M. S., Santra A., Giri A. K., Rabies elimination policy guidelines: Where do we stand, Indian J. Community He, 35, pp. 258-263, (2023); Abdulmajid S., Hassan A. S., Analysis of time delayed Rabies model in human and dog populations with controls, Afr. Mat, 32, pp. 1067-1085, (2021); Chen J., Zou L., Jin Z., Ruan S. G., Modeling the geographic spread of rabies in China, PLoS Negl. Trop. Dis, 9, (2015); Nurdiansyah M. R. A., Kasbawati S. Toaha, Stability analysis and numerical simulation of rabies spread model with delay effects, AIMS Mathematics, 9, pp. 3399-3425, (2024); Bay V., Shirzadi M. R., Sirizi M. J., Asl I. M., Animal bites management in Northern Iran: Challenges and solutions, Heliyon, 9, (2023); Zhang J., Jin Z., Sun G. Q., Zhou T., Ruan S. G., Analysis of rabies in China: Transmission dynamics and control, PLoS One, 6, (2011); Tohma K., Saito M., Demetria C. S., Manalo D. L., Quiambao B. P., Kamigaki T., Et al., Molecular and mathematical modeling analyses of inter-island transmission of rabies into a previously rabies-free island in the Philippines, Infect. Genet. Evol, 38, pp. 22-28, (2016); Huang Y. H., Li M. T., Application of a mathematical model in determining the spread of the rabies virus: simulation study, JMIR Med. Inform, 8, (2020); Pantha B., Giri S., Joshi H. R., Vaidya N. K., Modeling transmission dynamics of rabies in Nepal, Infectious Disease Modelling, 6, pp. 284-301, (2021); Asamoah J. K. K., Oduro F. T., Bonyah E., Seidu B., Modelling of rabies transmission dynamics using optimal control analysis, J. Appl. Math, 2017, (2017); Carroll M. J., Singer A., Smith G. C., Cowan D. P., Massei G., The use of immunocontraception to improve rabies eradication in urban dog populations, Wildlife Res, 37, pp. 676-687, (2010); Bornaa C. S., Seidu B., Daabo M. I., Mathematical analysis of rabies infection, J. Appl. Math, 2020, (2020); Renalda E. K., Kuznetsov D., Kreppel K., Desirable Dog-Rabies control methods in an urban setting in Africa–A mathematical model, International Journal of Mathematical Sciences and Computing(IJMSC), 6, pp. 49-67, (2020); Haberman R., Mathematical models: mechanical vibrations, population dynamics, and traffic flow, (1998); Columbu A., Fuentes R. D., Frassu S., Uniform-in-time boundedness in a class of local and nonlocal nonlinear attraction–repulsion chemotaxis models with logistics, Nonlinear Anal.-Real, 79, (2024); Jiao Z., Jadlovska I., Li T. X., Global existence in a fully parabolic attraction-repulsion chemotaxis system with singular sensitivities and proliferation, J. Differ. Equations, 411, pp. 227-267, (2024); Li T. X., Frassu S., Viglialoro G., Combining effects ensuring boundedness in an attraction–repulsion chemotaxis model with production and consumption, Z. Angew. Math. Phys, 74, (2023); Huang C. X., Liu B. W., Yang H. D., Cao J. D., Positive almost periodicity on SICNNs incorporating mixed delays and D operator, Nonlinear Anal.-Model, 27, pp. 1-21, (2022); Liu B. W., Finite-time stability of CNNs with neutral proportional delays and time-varying leakage delays, Math. Method. Appl. Sci, 40, pp. 167-174, (2017); Long X., Gong S. H., New results on stability of Nicholson’s blowflies equation with multiple pairs of time-varying delays, Appl. Math. Lett, 100, (2020); Sabir Z., Said S. B., Al-Mdallal Q., An artificial neural network approach for the language learning model, Sci. Rep, 13, (2023); Sabir Z., Said S. B., Al-Mdallal Q., Ali M. R., A neuro swarm procedure to solve the novel second order perturbed delay Lane-Emden model arising in astrophysics, Sci. Rep, 12, (2022); Kumar P., Felicita A., Nagaraja B., Ajaykumar A. R., Al-Mdallal Q., Neural network model using Levenberg Marquardt backpropagation algorithm for the prandtl fluid flow over stratified curved sheet, IEEE Access, 12, 2024, pp. 102242-102260; Atangana A., Baleanu D., New fractional derivatives with nonlocal and non-singular kernel: Theory and application to heat transfer model, (2016); Podlubny I., Geometric and physical interpretation of fractional integration and fractional differentiation, Fract. Calc. Appl. Anal, 5, pp. 367-386, (2002); Zhang L., Ur Rahman M., Qu H. D., Arfan M., Adnan, Fractal-fractional Anthroponotic Cutaneous Leishmania model study in sense of Caputo derivative, Alex. Eng. J, 61, pp. 4423-4433, (2022); Xu C. J., Liao M. X., Li P. L., Yao L. Y., Qin Q. W., Shang Y. L., Chaos control for a fractional-order jerk system via time delay feedback controller and mixed controller, Fractal Fract, 5, (2021); Zhou B. W., Shu X. B., Xu F., Yang F. Y., Wang Y., Exponential synchronization of dynamical complex networks via random impulsive scheme, Nonlinear Anal.-Model, 29, pp. 816-832, (2024); Li S., Shu L. X., Shu X. B., Xu F., Existence and Hyers-Ulam stability of random impulsive stochastic functional differential equations with finite delays, Stochastics, 91, pp. 857-872, (2019); Zhu X., Xia P., He Q., Ni Z., Ni L., Ensemble classifier design based on perturbation binary salp swarm algorithm for classification, Comput. Model. Eng. Sci, 135, pp. 653-671, (2023); Li B., Eskandari Z., Dynamical analysis of a discrete-time SIR epidemic model, J. Franklin I, 360, pp. 7989-8007, (2023); Li B., Zhang T. X., Zhang C., Investigation of financial bubble mathematical model under fractal-fractional Caputo derivative, Fractals, 31, (2023); Zhu X. H., Xia P. F., He Q. Z., Ni Z. W., Ni L. P., Coke price prediction approach based on dense GRU and opposition-based learning salp swarm algorithm, Int. J. Bio-Inspir. Com, 21, pp. 106-121, (2023); Li B., Eskandari Z., Avazzadeh Z., Dynamical behaviors of an SIR epidemic model with discrete time, Fractal Fract, 6, (2022); Abuasbeh K., Shafqat R., Alsinai A., Awadalla M., Analysis of controllability of fractional functional random integroevolution equations with delay, Symmetry, 15, (2023); Abuasbeh K., Shafqat R., Fractional Brownian motion for a system of fuzzy fractional stochastic differential equation, J. Math, 2022, 2022; Atangana A., Araz S. I., New concept in calculus: Piecewise differential and integral operators, Chaos. Soliton. Fract, 145, (2021); Anjam Y. N., Shafqat R., Sarris I. E., Ur Rahman M., Touseef S., Arshad M., A fractional order investigation of smoking model using Caputo-Fabrizio differential operator, Fractal Fract, 6, (2022); Sami A., Ali A., Shafqat R., Pakkaranang N., Ur Rahmamn M., Analysis of food chain mathematical model under fractal fractional Caputo derivative, Math. Biosci. Eng, 20, pp. 2094-2109, (2023); Abuasbeh K., Shafqat R., Alsinai A., Awadalla M., Analysis of the mathematical modelling of COVID-19 by using mild solution with delay Caputo operator, Symmetry, 15, (2023); Turab A., Shafqat R., Muhammad S., Shuaib M., Khan M. F., Kamal M., Predictive modeling of hepatitis B viral dynamics: A caputo derivative-based approach using artificial neural networks, Sci. Rep, 42, (2024); Qu H. D., Saifullah S., Khan J., Khan A., Ur Rahman M., Zheng G. Z., Dynamics of leptospirosis disease in context of piecewise classical-global and classical-fractional operators, Fractals, 30, (2022); Xu C. J., Liu Z. X., Li P. L., Yan J. L., Yao L. Y., Bifurcation mechanism for fractional-order three-triangle multi-delayed neural networks, Neural Process. Lett, 55, pp. 6125-6151, (2023); He Q. Z., Xia P. F., Hu C., Li B., Public information, actual intervention and inflation expectations, Transform. Bus. Econ, 21, pp. 644-666, (2022)</t>
  </si>
  <si>
    <t xml:space="preserve">R. Shafqat; Department of Mathematics and Statistics, The University of Lahore, Sargodha, 40100, Pakistan; email: ramshawarriach@gmail.com</t>
  </si>
  <si>
    <t xml:space="preserve">AIMS Math.</t>
  </si>
  <si>
    <t xml:space="preserve">2-s2.0-85211123747</t>
  </si>
  <si>
    <t xml:space="preserve">Ramesh J.V.N.; Agarwal R.; Jyasta H.; Sivani B.; Mounika P.A.S.T.; Bhargavi B.</t>
  </si>
  <si>
    <t xml:space="preserve">Ramesh, Janjhyam Venkata Naga (59253432200); Agarwal, Raghav (58593194300); Jyasta, Harshitha (58954095400); Sivani, Bommisetty (58955206600); Mounika, Palacholla Anuradha Sri Tulasi (56285125000); Bhargavi, Bollineni (57216608278)</t>
  </si>
  <si>
    <t xml:space="preserve">59253432200; 58593194300; 58954095400; 58955206600; 56285125000; 57216608278</t>
  </si>
  <si>
    <t xml:space="preserve">Automated Life Stage Classification of Malaria Using Deep Learning</t>
  </si>
  <si>
    <t xml:space="preserve">INTRODUCTION: Malaria, an infectious illness spread by mosquitoes, is a serious hazard to humans and animals, with an increasing number of cases recorded yearly. Prompt and precise diagnosis, as well as preventative actions, are critical for effectively combating this condition. Malaria is now diagnosed using standard techniques. Microscopy of blood smears, which consists of small pictures, is used by trained specialists to identify diseased cells and define their life phases. The World Health Organisation (WHO) has approved this microscopy-based malaria diagnostic method. Drawing a blood sample from the finger, pricking it, spreading it onto a clean glass slide, and allowing it to dry naturally are all steps in the method. Thin blood smears were previously used to identify parasites under the microscope, but thick blood smears are utilized when parasite levels are low. OBJECTIVES: Due to its reliance on medical knowledge, high prices, time-consuming nature, and unsatisfactory outcomes, this technique has significant disadvantages. However, as deep learning algorithms progress, these activities may be completed more effectively and with fewer human resources. METHODS: This study demonstrates the usefulness of transfer learning, a type of deep learning, in categorizing microscopic pictures of parasitized versus uninfected malaria cells. Six models were evaluated using the publicly accessible NIH dataset, proving the usefulness of the suggested technique. RESULTS: VGG19 model fared better than its competitors, obtaining 95.05% accuracy, 92.83% precision, 96.88% sensitivity, 93.46% specificity, and 94.81% F1-score. CONCLUSION: This categorization of malaria cell photos will benefit microscopists in particular, as it will improve their workflow and provide a viable alternative for detecting malaria using microscopic cell images. © 2024 J. V. Naga Ramesh et al., licensed to EAI.</t>
  </si>
  <si>
    <t xml:space="preserve">EAI Endorsed Transactions on Pervasive Health and Technology</t>
  </si>
  <si>
    <t xml:space="preserve">European Alliance for Innovation</t>
  </si>
  <si>
    <t xml:space="preserve">10.4108/eetpht.10.5439</t>
  </si>
  <si>
    <t xml:space="preserve">https://www.scopus.com/inward/record.uri?eid=2-s2.0-85188649701&amp;doi=10.4108%2feetpht.10.5439&amp;partnerID=40&amp;md5=d0e529a7ada839414bfaaa89bdf0570f</t>
  </si>
  <si>
    <t xml:space="preserve">Department of Computer Science and Engineering, Koneru Lakshmaiah Education Foundation, Guntur Dist., Andhra Pradesh, Vaddeswaram, 522302, India; School of Computer Science &amp; Engineering (SCOPE), VIT-AP University, Andhra Pradesh, Amaravati, India</t>
  </si>
  <si>
    <t xml:space="preserve">Ramesh J.V.N., Department of Computer Science and Engineering, Koneru Lakshmaiah Education Foundation, Guntur Dist., Andhra Pradesh, Vaddeswaram, 522302, India; Agarwal R., School of Computer Science &amp; Engineering (SCOPE), VIT-AP University, Andhra Pradesh, Amaravati, India; Jyasta H., Department of Computer Science and Engineering, Koneru Lakshmaiah Education Foundation, Guntur Dist., Andhra Pradesh, Vaddeswaram, 522302, India; Sivani B., Department of Computer Science and Engineering, Koneru Lakshmaiah Education Foundation, Guntur Dist., Andhra Pradesh, Vaddeswaram, 522302, India; Mounika P.A.S.T., Department of Computer Science and Engineering, Koneru Lakshmaiah Education Foundation, Guntur Dist., Andhra Pradesh, Vaddeswaram, 522302, India; Bhargavi B., Department of Computer Science and Engineering, Koneru Lakshmaiah Education Foundation, Guntur Dist., Andhra Pradesh, Vaddeswaram, 522302, India</t>
  </si>
  <si>
    <t xml:space="preserve">Blood smear; Deep Learning; life stage classification; Malaria microscopic cell images</t>
  </si>
  <si>
    <t xml:space="preserve">Blood; Cytology; Deep learning; Diagnosis; Diseases; Image classification; Image enhancement; Learning algorithms; Learning systems; Blood smears; Cell images; Condition; Deep learning; Life phasis; Life stage classification; Life stages; Malaria microscopic cell image; Parasite-; Preventative actions; Cells</t>
  </si>
  <si>
    <t xml:space="preserve">World Malaria Report-2020; Peripheral_blood_smear_-_stained_and_unstained.jpg (2460×3372); Malaria, (2021); About Malaria, (2019); Malaria; Wilson M. L., Malaria rapid diagnostic tests, Clin. Infect. Dis, 54, 11, pp. 1637-1641, (2012); Pande S. D., Agarwal R., Multi-Class Kidney Abnormalities Detecting Novel System Through Computed Tomography, IEEE Access; Agarwal R., Pande S. D., Mohanty S. N., Panda S. K., A Novel Hybrid System of Detecting Brain Tumors in MRI, IEEE Access, 11, pp. 118372-118385, (2023); Agarwal R., Godavarthi D., Skin Disease Classification Using CNN Algorithms, EAI Endorsed Trans Perv Health Tech, 9, (2023); Reddy ASB, Juliet DS, Transfer learning with ResNet-50 for malaria cell-image classification, International Conference on Communication and Signal Processing (ICCSP), pp. 945-949, (2019); Kalkan SC, Sahingoz OK, Deep learning based classification of malaria from slide images, Scientific Meeting on Electrical-Electronics &amp; Biomedical Engineering and Computer Science (EBBT), pp. 1-4, (2019); Liang Z., Et al., CNN-based image analysis for malaria diagnosis, Proc.-2016 IEEE Int. Conf. Bioinforma. Biomed. BIBM 2016, pp. 493-496, (2017); Rajaraman S., Et al., Pre-trained convolutional neural networks as feature extractors toward improved malaria parasite detection in thin blood smear images, PeerJ, 2018, 4, (2018); Simonyan K., Zisserman A., Very deep convolutional networks for large-scale image recognition, (2015); Dong Y., Et al., Evaluations of deep convolutional neural networks for automatic identification of malaria infected cells, 2017 IEEE EMBS International Conference on Biomedical &amp; Health Informatics (BHI), pp. 101-104, (2017); Abdulghany Eman, Osama Nada, Classification of Malaria Cell Images with Deep Learning Architectures, (2021); Reddy Marada Amrutha, Krishna Ganti Sai Siva Rama, Kumar Teki Tanoj, Malaria Cell-Image Classification using InceptionV3 and SVM, INTERNATIONAL JOURNAL OF ENGINEERING RESEARCH &amp; TECHNOLOGY (IJERT), 10, (2021); Reddy A. S. B., Juliet D. S., Transfer Learning with ResNet 50 for Malaria Cell-Image Classification, 2019 International Conference on Communication and Signal Processing (ICCSP), pp. 0945-0949, (2019); Agarwal R., Sathwik A. S., Godavarthi D., Naga Ramesh J. V., Comparative Analysis of Deep Learning Models for Multiclass Alzheimer’s Disease Classification, EAI Endorsed Trans Perv Health Tech, 9, (2023); Agarwal R., Suthar J., Panda S. K., Mohanty S. N., Fuzzy and Machine Learning based Multi-Criteria Decision Making for Selecting Electronics Product, EAI Endorsed Scal Inf Syst, 10, 5, (2023); Rahman Aimon, Zunair Hasib, Reme Tamanna, Rahman Mohammad, Mahdy Mahdy Rahman Chowdhury, A Comparative Analysis of Deep Learning Architectures on High Variation Malaria Parasite Classification Dataset, Tissue and Cell, 69, (2020); Jasman P., Amelia Irma, Reza, Yani, Automated Malaria Diagnosis Using Object Detection Retina-Net Based on Thin Blood Smear Images; Parveen Rahila, Song Wei, Qiu Baozhi, Bhatti Mairaj, Hassan Tallal, Liu Ziyi, Probabilistic Model-Based Malaria Disease Recognition System, Complexity, 2021, pp. 1-11, (2021); Mehanian C, Jaiswal M, Delahunt C, Thompson C, Horning M, Hu L, Ostbye T, McGuire S, Mehanian M, Champlin C, Wilson B., Computer-automated malaria diagnosis and quantitation using convolutional neural networks, InProceedings of the IEEE International Conference on Computer Vision, pp. 116-125, (2017); Bibin Dhanya, Nair S., Madhu, Punitha P., Malaria Parasite Detection From Peripheral Blood Smear Images Using Deep Belief Networks, IEEE Access, (2017)</t>
  </si>
  <si>
    <t xml:space="preserve">R. Agarwal; School of Computer Science &amp; Engineering (SCOPE), VIT-AP University, Amaravati, Andhra Pradesh, India; email: raghav.g2106@gmail.com</t>
  </si>
  <si>
    <t xml:space="preserve">EAI Endorsed Trans. Pervasive Health Technol.</t>
  </si>
  <si>
    <t xml:space="preserve">2-s2.0-85188649701</t>
  </si>
  <si>
    <t xml:space="preserve">Laranjeira C.; Pereira M.; Oliveira R.; Barbosa G.; Fernandes C.; Bermudi P.; Resende E.; Fernandes E.; Nogueira K.; Andrade V.; Quintanilha J.A.; Dos Santos J.A.; Chiaravalloti-Neto F.</t>
  </si>
  <si>
    <t xml:space="preserve">Laranjeira, Camila (57200695742); Pereira, Matheus (57212556072); Oliveira, Raul (59189278000); Barbosa, Gerson (36141743600); Fernandes, Camila (58823804100); Bermudi, Patricia (57199686435); Resende, Ester (59189269100); Fernandes, Eduardo (57370996300); Nogueira, Keiller (56385805000); Andrade, Valmir (7004599400); Quintanilha, José Alberto (6507254654); Dos Santos, Jefersson A. (25654873000); Chiaravalloti-Neto, Francisco (6603270926)</t>
  </si>
  <si>
    <t xml:space="preserve">57200695742; 57212556072; 59189278000; 36141743600; 58823804100; 57199686435; 59189269100; 57370996300; 56385805000; 7004599400; 6507254654; 25654873000; 6603270926</t>
  </si>
  <si>
    <t xml:space="preserve">Automatic mapping of high-risk urban areas for Aedes aegypti infestation based on building facade image analysis</t>
  </si>
  <si>
    <t xml:space="preserve">Background Dengue, Zika, and chikungunya, whose viruses are transmitted mainly by Aedes aegypti, significantly impact human health worldwide. Despite the recent development of promising vaccines against the dengue virus, controlling these arbovirus diseases still depends on mosquito surveillance and control. Nonetheless, several studies have shown that these measures are not sufficiently effective or ineffective. Identifying higher-risk areas in a municipality and directing control efforts towards them could improve it. One tool for this is the premise condition index (PCI); however, its measure requires visiting all buildings. We pro-pose a novel approach capable of predicting the PCI based on facade street-level images, which we call PCINet. Methodology Our study was conducted in Campinas, a one million-inhabitant city in São Paulo, Brazil. We surveyed 200 blocks, visited their buildings, and measured the three traditional PCI components (building and backyard conditions and shading), the facade conditions (taking pictures of them), and other characteristics. We trained a deep neural network with the pictures taken, creating a computational model that can predict buildings’ conditions based on the view of their facades. We evaluated PCINet in a scenario emulating a real large-scale situation, where the model could be deployed to automatically monitor four regions of Campinas to identify risk areas. Principal findings PCINet produced reasonable results in differentiating the facade condition into three levels, and it is a scalable strategy to triage large areas. The entire process can be automated through data collection from facade data sources and inferences through PCINet. The facade conditions correlated highly with the building and backyard conditions and reasonably well with shading and backyard conditions. The use of street-level images and PCINet could help to optimize Ae. aegypti surveillance and control, reducing the number of in-person visits necessary to identify buildings, blocks, and neighborhoods at higher risk from mosquito and arbovirus diseases. © 2024 Laranjeira et al.</t>
  </si>
  <si>
    <t xml:space="preserve">surveilllance</t>
  </si>
  <si>
    <t xml:space="preserve">PLoS Neglected Tropical Diseases</t>
  </si>
  <si>
    <t xml:space="preserve">e0011811</t>
  </si>
  <si>
    <t xml:space="preserve">10.1371/journal.pntd.0011811</t>
  </si>
  <si>
    <t xml:space="preserve">https://www.scopus.com/inward/record.uri?eid=2-s2.0-85196920908&amp;doi=10.1371%2fjournal.pntd.0011811&amp;partnerID=40&amp;md5=1999e368af66dba51c507aa226797729</t>
  </si>
  <si>
    <t xml:space="preserve">Department of Computer Science, Universidade Federal de Minas Gerais, Belo Horizonte, Brazil; Department of Epidemiology, School of Public, Health of University of São Paulo, São Paulo, Brazil; Pasteur Institute, Secretary of Health of the State of São Paulo, São Paulo, Brazil; Computer Science and Mathematics, University of Stirling, Stirling, United Kingdom; Epidemiologic Surveillance Center, Secretary of Health of the State of São Paulo, São Paulo, Brazil; Institute of Energy and Environment, University of São Paulo, São Paulo, Brazil; Department of Computer Science, University of Sheffield, Sheffield, United Kingdom</t>
  </si>
  <si>
    <t xml:space="preserve">Laranjeira C., Department of Computer Science, Universidade Federal de Minas Gerais, Belo Horizonte, Brazil; Pereira M., Department of Computer Science, Universidade Federal de Minas Gerais, Belo Horizonte, Brazil; Oliveira R., Department of Epidemiology, School of Public, Health of University of São Paulo, São Paulo, Brazil; Barbosa G., Pasteur Institute, Secretary of Health of the State of São Paulo, São Paulo, Brazil; Fernandes C., Department of Epidemiology, School of Public, Health of University of São Paulo, São Paulo, Brazil; Bermudi P., Department of Epidemiology, School of Public, Health of University of São Paulo, São Paulo, Brazil; Resende E., Department of Computer Science, Universidade Federal de Minas Gerais, Belo Horizonte, Brazil; Fernandes E., Department of Computer Science, Universidade Federal de Minas Gerais, Belo Horizonte, Brazil; Nogueira K., Computer Science and Mathematics, University of Stirling, Stirling, United Kingdom; Andrade V., Epidemiologic Surveillance Center, Secretary of Health of the State of São Paulo, São Paulo, Brazil; Quintanilha J.A., Institute of Energy and Environment, University of São Paulo, São Paulo, Brazil; Dos Santos J.A., Department of Computer Science, Universidade Federal de Minas Gerais, Belo Horizonte, Brazil, Department of Computer Science, University of Sheffield, Sheffield, United Kingdom; Chiaravalloti-Neto F., Department of Epidemiology, School of Public, Health of University of São Paulo, São Paulo, Brazil</t>
  </si>
  <si>
    <t xml:space="preserve">Aedes; Animals; Brazil; Cities; Dengue; Humans; Image Processing, Computer-Assisted; Mosquito Control; Mosquito Vectors; Zika Virus Infection; Aedes aegypti; algorithm; Arbovirus; Article; chikungunya; dengue; fever; Flavivirus; image analysis; immune response; machine learning; nonhuman; risk assessment; virus transmission; visual field; Wart virus; Aedes; animal; Brazil; city; dengue; epidemiology; human; image processing; mosquito control; mosquito vector; physiology; prevention and control; procedures; virology; Zika fever</t>
  </si>
  <si>
    <t xml:space="preserve">Fundação de Amparo à Pesquisa do Estado de São Paulo, FAPESP, (2020/12371-7); Instituto Serrapilheira, (R-2011-37776); Conselho Nacional de Desenvolvimento Científico e Tecnológico, CNPq, (305188/ 2020-8, 306955/2021-0, 304391/2022-0); Fundação de Amparo à Pesquisa do Estado de Minas Gerais, FAPEMIG, (APQ-00449-17); São Paulo Research Foundation-FAPESP, (2020/ 01596-8)</t>
  </si>
  <si>
    <t xml:space="preserve">This work was supported by the S\u00E3o Paulo Research Foundation-FAPESP (grant 2020/ 01596-8 to FCN); by the National Council for Scientific and Technological Development-CNPq (grant 304391/2022-0 to FCN); by the Serrapilheira Institute (grant R-2011-37776 to JAS); by the Minas Gerais State Research Support Foundation \u2013 FAPEMIG (grant APQ-00449-17 to JAS) and CNPq (grant 306955/2021-0 to JAS and grant 305188/ 2020-8 to JAQ). This work was also supported by FAPESP (grant 2020/12371-7 to PMMB). The funders had no role in study design, data collection and analysis, decision to publish, or preparation of the manuscript.</t>
  </si>
  <si>
    <t xml:space="preserve">Cleton N, Koopmans M, Reimerink J, Godeke GJ, Reusken C., Come fly with me: review of clinically important arboviruses for global travelers, Journal of Clinical Virology, 55, 3, pp. 191-203, (2012); Souza-Neto JA, Powell JR, Bonizzoni M., Aedes aegypti vector competence studies: A review, Infection, genetics and evolution, 67, pp. 191-209, (2019); Nuckols J, Huang YJ, Higgs S, Miller A, Pyles R, Hm Spratt, Et al., Evaluation of simultaneous transmission of chikungunya virus and dengue virus type 2 in infected Aedes aegypti and Aedes albopictus (Dip-tera: Culicidae), Journal of medical entomology, 52, 3, pp. 447-451, (2015); Gatherer D, Kohl A., Zika virus: a previously slow pandemic spreads rapidly through the Americas, Journal of General Virology, 97, 2, pp. 269-273, (2016); Lorenz C, Azevedo TS, Chiaravalloti-Neto F., COVID-19 and dengue fever: A dangerous combination for the health system in Brazil, Travel Medicine and Infectious Disease, 35, (2020); New Dengue Vaccine to Arrive in Brazil Next Week, (2023); Tauil PL., Urbanização e ecologia do dengue, Cadernos de Saúde Pública, 17, pp. S99-S102, (2001); Ponlawat A, Scott JG, Harrington LC., Insecticide susceptibility of Aedes aegypti and Aedes albopictus across Thailand, Journal of Medical Entomology, 42, 5, pp. 821-825, (2005); Ngugi HN, Mutuku FM, Ndenga BA, Musunzaji PS, Mbakaya JO, Aswani P, Et al., Characterization and productivity profiles of Aedes aegypti (L.) breeding habitats across rural and urban landscapes in west-ern and coastal Kenya, Parasites &amp; vectors, 10, pp. 1-12, (2017); Yougang AP, Keumeni CR, Wilson-Bahun TA, Tedjou AN, Njiokou F, Wondji C, Et al., Spatial distribution and insecticide resistance profile of Aedes aegypti and Aedes albopictus in Douala, the most important city of Cameroon, Plos one, 17, 12, (2022); Esu E, Lenhart A, Smith L, Horstick O., Effectiveness of peridomestic space spraying with insecticide on dengue transmission; systematic review, Tropical Medicine &amp; International Health, 15, 5, pp. 619-631, (2010); Horstick O, Runge-Ranzinger S, Nathan MB, Kroeger A., Dengue vector-control services: how do they work? A systematic literature review and country case studies, Transactions of the Royal Society of Tropical Medicine and Hygiene, 104, 6, pp. 379-386, (2010); Gubler DJ., Dengue, urbanization and globalization: the unholy trinity of the 21st century, Tropical medicine and health, 39, 4SUPPLEMENT, pp. S3-S11, (2011); Achee NL, Gould F, Perkins TA, Reiner RC, Morrison AC, Ritchie SA, Et al., A critical assessment of vector control for dengue prevention, PLoS neglected tropical diseases, 9, 5, (2015); Fares RC, Souza KP, Anez G, Rios M, Et al., Epidemiological scenario of dengue in Brazil, BioMed research international, 2015, (2015); Bowman LR, Runge-Ranzinger S, McCall P., Assessing the relationship between vector indices and dengue transmission: a systematic review of the evidence, PLoS neglected tropical diseases, 8, 5, (2014); Reiner RC, Achee N, Barrera R, Burkot TR, Chadee DD, Devine GJ, Et al., Quantifying the epidemio-logical impact of vector control on dengue, PLoS neglected tropical diseases, 10, 5, (2016); Olliaro P, Fouque F, Kroeger A, Bowman L, Velayudhan R, Santelli AC, Et al., Improved tools and strategies for the prevention and control of arboviral diseases: A research-to-policy forum, PLoS neglected tropical diseases, 12, 2, (2018); de Azevedo TS, Lorenz C, Chiaravalloti-Neto F., Spatiotemporal evolution of dengue outbreaks in Brazil, Transactions of the Royal Society of Tropical Medicine and Hygiene, 114, 8, pp. 593-602, (2020); Sylvestre E, Joachim C, Cecilia-Joseph E, Bouzille G, Campillo-Gimenez B, Cuggia M, Et al., Data-driven methods for dengue prediction and surveillance using real-world and Big Data: A systematic review, PLoS neglected tropical diseases, 16, 1, (2022); Milinovich GJ, Williams GM, Clements AC, Hu W., Internet-based surveillance systems for monitoring emerging infectious diseases, The Lancet infectious diseases, 14, 2, pp. 160-168, (2014); Chiaravalloti-Neto F, Barbosa GL, Mota TS, Galli B, de Arruda Silveira LV., Ocorrência de dengue e sua relação com medidas de controle e níveis de infestação de Aedes aegypti em uma cidade do sudeste brasileiro, BEPA Boletim Epidemiológico Paulista, 17, 195, pp. 3-19, (2020); Teich V, Arinelli R, Fahham L., Aedes aegypti e sociedade: o impacto econômico das arboviroses no Brasil, Jornal Brasileiro de Economia da Saúde (Impr), pp. 267-276, (2017); Tun-Lin W, Lenhart A, Nam VS, Rebollar-Tellez E, Morrison A, Barbazan P, Et al., Reducing costs and operational constraints of dengue vector control by targeting productive breeding places: a multi-coun-try non-inferiority cluster randomized trial, Tropical medicine &amp; international health, 14, 9, pp. 1143-1153, (2009); Madoff LC, Fisman DN, Kass-Hout T., A new approach to monitoring dengue activity, PLoS neglected tropical diseases, 5, 5, (2011); Tun-Lin W, Kay B, Barnes A., The Premise Condition Index: a tool for streamlining surveys of Aedes aegypti, The American journal of tropical medicine and hygiene, 53, 6, pp. 591-594, (1995); Tun-Lin W, Kay B, Barnes A., Understanding productivity, a key to Aedes aegypti surveillance, The American journal of tropical medicine and hygiene, 53, 6, pp. 595-601, (1995); Peres RC, Rego R, Maciel-de Freitas R., The use of the Premise Condition Index (PCI) to provide guide-lines for Aedes aegypti surveys, Journal of Vector Ecology, 38, 1, pp. 190-192, (2013); Nogueira LA, Gushi LT, Miranda JE, Madeira NG, Ribolla PE., Application of an alternative Aedes species (Diptera: Culicidae) surveillance method in Botucatu city, São Paulo, Brazil, The American journal of tropical medicine and hygiene, 73, 2, pp. 309-311, (2005); Andrighetti MTM, Galvani KC, da Graca Macoris MdL., Evaluation of premise condition index in the con-text of Aedes aegypti control in Marília, São Paulo, Brazil, Dengue Bulletin, 33, pp. 167-175, (2009); Barbosa GL, de Oliveira Lage M, Andrade VR, Gomes AHA, Quintanilha JA, Neto FC., Use of an Extended Premise Condition Index for detection of priority areas for vector control actions, Acta Tropica, 209, (2020); Zeng D, Cao Z, Neill DB., Artificial intelligence–enabled public health surveillance—from local detection to global epidemic monitoring and control, Artificial intelligence in medicine, pp. 437-453, (2021); Nandana G, Mala S, Rawat A., Hotspot detection of dengue fever outbreaks using DBSCAN algorithm, 2019 9th International Conference on Cloud Computing, Data Science &amp; Engineering (Confluence), pp. 158-161, (2019); Ferreira AC, Chiaravalloti Neto F., Infestação de área urbana por Aedes aegypti e relação com níveis socioeconômicos, Revista de Saúde Pública, 41, pp. 915-922, (2007); Spiegel JM, Bonet M, Ibarra AM, Pagliccia N, Ouellette V, Yassi A., Social and environmental determinants of Aedes aegypti infestation in Central Havana: results of a case–control study nested in an integrated dengue surveillance programme in Cuba, Tropical Medicine &amp; International Health, 12, 4, pp. 503-510, (2007); Whiteman A, Gomez C, Rovira J, Chen G, McMillan WO, Loaiza J., Aedes mosquito infestation in socio-economically contrasting neighborhoods of Panama City, EcoHealth, 16, pp. 210-221, (2019); Souza RL, Nazare RJ, Argibay HD, Pellizzaro M, Anjos RO, Portilho MM, Et al., Density of Aedes aegypti (Diptera: Culicidae) in a low-income Brazilian urban community where dengue, Zika, and chikungunya viruses co-circulate, Parasites &amp; Vectors, 16, 1, pp. 1-15, (2023); Chen S, Whiteman A, Li A, Rapp T, Delmelle E, Chen G, Et al., An operational machine learning approach to predict mosquito abundance based on socioeconomic and landscape patterns, Landscape Ecology, 34, pp. 1295-1311, (2019); Rahman MS, Pientong C, Zafar S, Ekalaksananan T, Paul RE, Haque U, Et al., Mapping the spatial distribution of the dengue vector Aedes aegypti and predicting its abundance in northeastern Thailand using machine-learning approach, One Health, 13, (2021); Lorenz C, Castro MC, Trindade PM, Nogueira ML, de Oliveira Lage M, Quintanilha JA, Et al., Predicting Aedes aegypti infestation using landscape and thermal features, Scientific reports, 10, 1, (2020); Telle O, Nikolay B, Kumar V, Benkimoun S, Pal R, Nagpal B, Et al., Social and environmental risk factors for dengue in Delhi city: A retrospective study, PLoS neglected tropical diseases, 15, 2, (2021); Javaid M, Sarfraz MS, Aftab MU, Zaman Qu, Rauf HT, Alnowibet KA., WebGIS-Based Real-Time Surveillance and Response System for Vector-Borne Infectious Diseases, International Journal of Environmental Research and Public Health, 20, 4, (2023); Lorenz C, Chiaravalloti-Neto F, de Oliveira Lage M, Quintanilha JA, Parra MC, Dibo MR, Et al., Remote sensing for risk mapping of Aedes aegypti infestations: Is this a practical task?, Acta Tropica, 205, (2020); Albrieu Llinas G, Espinosa MO, Quaglia AIE, Abril M, Scavuzzo CM., Urban environmental clustering to assess the spatial dynamics of Aedes aegypti breeding sites, Geospatial Health, 13, 1, (2018); Cunha HS, Sclauser BS, Wildemberg PF, Fernandes EAM, Dos Santos JA, Lage MdO, Et al., Water tank and swimming pool detection based on remote sensing and deep learning: Relationship with socioeconomic level and applications in dengue control, Plos one, 16, 12, (2021); Passos WL, Araujo GM, de Lima AA, Netto SL, da Silva EA., Automatic detection of Aedes aegypti breeding grounds based on deep networks with spatio-temporal consistency, Computers, Environment and Urban Systems, 93, (2022); Joshi A, Miller C., Review of machine learning techniques for mosquito control in urban environments, Ecological Informatics, 61, (2021); Zou S, Wang L., Detecting individual abandoned houses from google street view: A hierarchical deep learning approach, ISPRS Journal of Photogrammetry and Remote Sensing, 175, pp. 298-310, (2021); Andersson VO, Birck MAF, Araujo RM., Towards predicting dengue fever rates using convolutional neural networks and street-level images, 2018 International Joint Conference on Neural Networks (IJCNN), pp. 1-8, (2018); Andersson VO, Cechinel C, Araujo RM., Combining street-level and aerial images for dengue incidence rate estimation, 2019 International Joint Conference on Neural Networks (IJCNN), pp. 1-8, (2019); Kim M, Holt JB, Eisen RJ, Padgett K, Reisen WK, Croft JB., Detection of swimming pools by geographic object-based image analysis to support west Nile virus control efforts, Photogrammetric Engineering &amp; Remote Sensing, 77, 11, pp. 1169-1179, (2011); Saghri JA, Cary DA., A rectangular-fit classifier for synthetic aperture radar automatic target recognition, Applications of Digital Image Processing XXX, 6696, pp. 511-521, (2007); Haddawy P, Wettayakorn P, Nonthaleerak B, Su Yin M, Wiratsudakul A, Schoning J, Et al., Large scale detailed mapping of dengue vector breeding sites using street view images, PLoS neglected tropical diseases, 13, 7, (2019); Lee GO, Vasco L, Marquez S, Zuniga-Moya JC, Van Engen A, Uruchima J, Et al., A dengue outbreak in a rural community in Northern Coastal Ecuador: An analysis using unmanned aerial vehicle mapping, PLoS neglected tropical diseases, 15, 9, (2021); Liu K, Yin L, Zhang M, Kang M, Deng AP, Li QL, Et al., Facilitating fine-grained intra-urban dengue fore-casting by integrating urban environments measured from street-view images, Infectious Diseases of Poverty, 10, 1, pp. 1-16, (2021); Padilla R, Passos WL, Dias TL, Netto SL, Da Silva EA., A comparative analysis of object detection metrics with a companion open-source toolkit, Electronics, 10, 3, (2021); Chiaravalloti-Neto F, da Silva RA, Zini N, da Silva GCD, da Silva NS, Parra MCP, Et al., Seroprevalence for dengue virus in a hyperendemic area and associated socioeconomic and demographic factors using a cross-sectional design and a geostatistical approach, state of São Paulo, Brazil, BMC infectious diseases, 19, pp. 1-14, (2019); Moreno-Madrinan MJ, Crosson WL, Eisen L, Estes SM, Estes MG, Hayden M, Et al., Correlating remote sensing data with the abundance of pupae of the dengue virus mosquito vector, Aedes aegypti, in central Mexico, ISPRS International Journal of Geo-Information, 3, 2, pp. 732-749, (2014); Braga C, Luna CF, Martelli CM, De Souza WV, Cordeiro MT, Alexander N, Et al., Seroprevalence and risk factors for dengue infection in socio-economically distinct areas of Recife, Brazil, Acta tropica, 113, 3, pp. 234-240, (2010); Farinelli EC, Baquero OS, Stephan C, Chiaravalloti-Neto F., Low socioeconomic condition and the risk of dengue fever: a direct relationship, Acta tropica, 180, pp. 47-57, (2018); MODIS—Moderate Resolution Imaging Spectroradiometer, (2021); Census Tract Aggregates—2010, (2010); Barbosa GL, Lage MdO, Andrade VR, Gomes AHA, Quintanilha JA, Chiaravalloti-Neto F., Influence of strategic points in the dispersion of Aedes aegypti in infested areas, Revista de saúde publica, 53, (2019); Zhang A, Lipton ZC, Li M, Smola AJ., Dive into Deep Learning, (2023); Paszke A, Gross S, Massa F, Lerer A, Bradbury J, Chanan G, Et al., PyTorch: An Imperative Style, High-Performance Deep Learning Library, Advances in Neural Information Processing Systems, 32, pp. 8024-8035, (2019); Lin TY, Goyal P, Girshick R, He K, Dollar P., Focal loss for dense object detection, Proceedings of the IEEE international conference on computer vision, pp. 2980-2988, (2017); Kingma DP, Ba J., Adam: A method for stochastic optimization, (2017); Programa nacional de controle da dengue, (2002); Morales-Perez A, Nava-Aguilera E, Balanzar-Martinez A, Cortes-Guzman AJ, Gasga-Salinas D, Rodri-guez-Ramos IE, Et al., Aedes aegypti breeding ecology in Guerrero: cross-sectional study of mosquito breeding sites from the baseline for the Camino Verde trial in Mexico, BMC public health, 17, 1, pp. 61-70, (2017); Paploski IAD, Rodrigues MS, Mugabe VA, Kikuti M, Tavares AS, Reis MG, Et al., Storm drains as larval development and adult resting sites for Aedes aegypti and Aedes albopictus in Salvador, Brazil, Parasites &amp; Vectors, 9, 1, pp. 1-8, (2016); Medronho RA, Macrini L, Novellino DM, Lagrotta MT, Camara VM, Pedreira CE., Aedes aegypti imma-ture forms distribution according to type of breeding site, The American journal of tropical medicine and hygiene, 80, 3, pp. 401-404, (2009); Technical document for the implementation of interventions based on generic operational scenarios for Aedes aegypti control, (2019); Diagnóstico rápido nos municípios para vigilância entomo-lógica de Aedes aegypti no Brasil: metodologia para avaliação dos índices de Breteau e predial, (2004); Leandro AS, de Castro WAC, Lopes RD, Delai RM, Villela DA, De-Freitas RM., Citywide integrated Aedes aegypti mosquito surveillance as early warning system for arbovirus transmission, Brazil, Emerging Infectious Diseases, 28, 4, (2022); Codeco CT, Lima AW, Araujo SC, Lima JBP, Maciel-de Freitas R, Honorio NA, Et al., Surveillance of Aedes aegypti: comparison of house index with four alternative traps, PLoS neglected tropical diseases, 9, 2, (2015); Focks DA, Chadee DD., Pupal survey: an epidemiologically significant surveillance method for Aedes aegypti: an example using data from Trinidad, The American journal of tropical medicine and hygiene, 56, 2, pp. 159-167, (1997); Barbosa GL, Donalisio MR, Stephan C, Lourenco RW, Andrade VR, Arduino MdB, Et al., Spatial distribution of the risk of dengue and the entomological indicators in Sumaré, State of São Paulo, Brazil, PLoS neglected tropical diseases, 8, 5, (2014); Buhler C, Winkler V, Runge-Ranzinger S, Boyce R, Horstick O., Environmental methods for dengue vector control–A systematic review and meta-analysis, PLoS neglected tropical diseases, 13, 7, (2019); Packierisamy PR, Ng CW, Dahlui M, Inbaraj J, Balan VK, Halasa YA, Et al., Cost of dengue vector control activities in Malaysia, The American journal of tropical medicine and hygiene, 93, 5, (2015); Massad E, Coutinho FAB., The cost of dengue control, The Lancet, 377, 9778, pp. 1630-1631, (2011); Maciel-de Freitas R, Peres RC, Souza-Santos R, Lourenco-de Oliveira R., Occurrence, productivity and spatial distribution of key-premises in two dengue-endemic areas of Rio de Janeiro and their role in adult Aedes aegypti spatial infestation pattern, Tropical Medicine &amp; International Health, 13, 12, pp. 1488-1494, (2008); Silva NIO, Sacchetto L, De Rezende IM, Trindade GdS, LaBeaud AD, De Thoisy B, Et al., Recent syl-vatic yellow fever virus transmission in Brazil: the news from an old disease, Virology journal, 17, pp. 1-12, (2020); Lacerda AB, del Castillo Saad L, Ikefuti PV, Pinter A, Chiaravalloti-Neto F., Diffusion of sylvatic yellow fever in the state of São Paulo, Brazil, Scientific Reports, 11, 1, (2021); Case E, Shragai T, Harrington L, Ren Y, Morreale S, Erickson D., Evaluation of unmanned aerial vehicles and neural networks for integrated mosquito management of Aedes albopictus (Diptera: Culicidae), Journal of Medical Entomology, 57, 5, pp. 1588-1595, (2020); Amarasinghe A, Suduwella C, Niroshan L, Elvitigala C, De Zoysa K, Keppetiyagama C., Suppressing dengue via a drone system, 2017 Seventeenth International Conference on Advances in ICT for Emerging Regions (ICTer), pp. 1-7, (2017); Acquaye L., Low-income homeowners and the challenges of home maintenance, Community Development, 42, 1, pp. 16-33, (2011); Govender T, Barnes JM, Pieper CH., Housing conditions, sanitation status and associated health risks in selected subsidized low-cost housing settlements in Cape Town, South Africa, Habitat International, 35, 2, pp. 335-342, (2011)</t>
  </si>
  <si>
    <t xml:space="preserve">PLoS. Negl. Trop. Dis.</t>
  </si>
  <si>
    <t xml:space="preserve">2-s2.0-85196920908</t>
  </si>
  <si>
    <t xml:space="preserve">Auerswald H.; Guillebaud J.; Durand B.; Le Vu M.; Sorn S.; In S.; Pov V.; Davun H.; Duong V.; Ly S.; Dussart P.; Chevalier V.</t>
  </si>
  <si>
    <t xml:space="preserve">Auerswald, Heidi (57200562754); Guillebaud, Julia (55362245200); Durand, Benoit (7102555214); Le Vu, Mathilde (58243943100); Sorn, Sopheak (57225287561); In, Saraden (57193007527); Pov, Vutha (57225188196); Davun, Holl (13408561200); Duong, Veasna (34881555300); Ly, Sowath (24491869200); Dussart, Philippe (6506096992); Chevalier, Véronique (55884078800)</t>
  </si>
  <si>
    <t xml:space="preserve">57200562754; 55362245200; 7102555214; 58243943100; 57225287561; 57193007527; 57225188196; 13408561200; 34881555300; 24491869200; 6506096992; 55884078800</t>
  </si>
  <si>
    <t xml:space="preserve">Bayesian modeling of post-vaccination serological data suggests that yearly vaccination of dog aged &lt;2 years old is efficient to stop rabies circulation in Cambodia</t>
  </si>
  <si>
    <t xml:space="preserve">Rabies control remains challenging in low and middle-income countries, mostly due to lack of financial resources, rapid turnover of dog populations and poor accessibility to dogs. Rabies is endemic in Cambodia, where no national rabies vaccination program is imple-mented. The objective of this study was to assess the short and long-term vaccination-induced immunity in Cambodian dogs under field conditions, and to propose optimized vaccination strategies. A cohort of 351 dogs was followed at regular time points following primary vaccination only (PV) or PV plus single booster (BV). Fluorescent antibody virus neutralization test (FAVNT) was implemented to determine the neutralizing antibody titer against rabies and an individual titer ≥0.5 IU/mL indicated protection. Bayesian modeling was used to evaluate the individual duration of protection against rabies and the efficacy of two different vaccination strategies. Overall, 61% of dogs had a protective immunity one year after PV. In dogs receiving a BV, this protective immunity remained for up to one year after the BV in 95% of dogs. According to the best Bayesian model, a PV conferred a protective immunity in 82% of dogs (95% CI: 75–91%) for a mean duration of 4.7 years, and BV induced a lifelong protective immunity. Annual PV of dogs less than one year old and systematic BV solely of dogs vaccinated the year before would allow to achieve the 70% World Health Organization recommended threshold to control rabies circulation in a dog population in three to five years of implementation depending on dog population dynamics. This vaccination strategy would save up to about a third of vaccine doses, reducing cost and time efforts of mass dog vaccination campaigns. These results can contribute to optimize rabies control measures in Cambodia moving towards the global goal of ending human death from dog-mediated rabies by 2030. © 2024 Auerswald et al.</t>
  </si>
  <si>
    <t xml:space="preserve">e0012089</t>
  </si>
  <si>
    <t xml:space="preserve">10.1371/journal.pntd.0012089</t>
  </si>
  <si>
    <t xml:space="preserve">https://www.scopus.com/inward/record.uri?eid=2-s2.0-85191899804&amp;doi=10.1371%2fjournal.pntd.0012089&amp;partnerID=40&amp;md5=d2736ee45655602ec6683d742d2da2e0</t>
  </si>
  <si>
    <t xml:space="preserve">Virology Unit, Institut Pasteur du Cambodge, Pasteur Network, Phnom Penh, Cambodia; Epidemiology Unit, Laboratory for Animal Health, French Agency for Food, Environmental and Occupational Health and Safety (ANSES), University Paris-Est, Maisons-Alfort, France; Epidemiology and Public Health Unit, Institut Pasteur du Cambodge, Pasteur Network, Phnom Penh, Cambodia; General Directorate of Animal Health and Production, Ministry of Agriculture, Forestry and Fisheries, Phnom Penh, Cambodia; Centre de Coopération Internationale en Recherche Agronomique pour le Développement (CIRAD), Unité Mixte de Recherche ASTRE, Montpellier, France; ASTRE, Université de Montpellier, CIRAD, INRAE, Montpellier, France</t>
  </si>
  <si>
    <t xml:space="preserve">Auerswald H., Virology Unit, Institut Pasteur du Cambodge, Pasteur Network, Phnom Penh, Cambodia; Guillebaud J., Virology Unit, Institut Pasteur du Cambodge, Pasteur Network, Phnom Penh, Cambodia; Durand B., Epidemiology Unit, Laboratory for Animal Health, French Agency for Food, Environmental and Occupational Health and Safety (ANSES), University Paris-Est, Maisons-Alfort, France; Le Vu M., Epidemiology and Public Health Unit, Institut Pasteur du Cambodge, Pasteur Network, Phnom Penh, Cambodia; Sorn S., Epidemiology and Public Health Unit, Institut Pasteur du Cambodge, Pasteur Network, Phnom Penh, Cambodia; In S., Virology Unit, Institut Pasteur du Cambodge, Pasteur Network, Phnom Penh, Cambodia; Pov V., Epidemiology and Public Health Unit, Institut Pasteur du Cambodge, Pasteur Network, Phnom Penh, Cambodia; Davun H., General Directorate of Animal Health and Production, Ministry of Agriculture, Forestry and Fisheries, Phnom Penh, Cambodia; Duong V., Virology Unit, Institut Pasteur du Cambodge, Pasteur Network, Phnom Penh, Cambodia; Ly S., Epidemiology and Public Health Unit, Institut Pasteur du Cambodge, Pasteur Network, Phnom Penh, Cambodia; Dussart P., Virology Unit, Institut Pasteur du Cambodge, Pasteur Network, Phnom Penh, Cambodia; Chevalier V., Epidemiology and Public Health Unit, Institut Pasteur du Cambodge, Pasteur Network, Phnom Penh, Cambodia, Centre de Coopération Internationale en Recherche Agronomique pour le Développement (CIRAD), Unité Mixte de Recherche ASTRE, Montpellier, France, ASTRE, Université de Montpellier, CIRAD, INRAE, Montpellier, France</t>
  </si>
  <si>
    <t xml:space="preserve">Animals; Antibodies, Neutralizing; Antibodies, Viral; Bayes Theorem; Cambodia; Dog Diseases; Dogs; Female; Male; Rabies; Rabies Vaccines; Rabies virus; Vaccination; neutralizing antibody; rabies vaccine; neutralizing antibody; rabies vaccine; virus antibody; agglutination test; animal experiment; animal welfare; antibody titer; Article; Bayesian network; body constitution; brachial vein; Cambodia; cohort analysis; controlled study; disease control; disease surveillance; disease transmission; endemic disease; female; fluorescent antibody technique; follow up; immune response; immunity; immunization; innate immunity; jugular vein; life expectancy; male; nonhuman; population dynamics; rabies; seroconversion; serology; seroprevalence; turnover rate; vaccination; virus neutralization; virus neutralization test; virus transmission; animal; Bayes theorem; blood; dog; dog disease; immunology; rabies; Rabies virus; veterinary medicine; virology</t>
  </si>
  <si>
    <t xml:space="preserve">Antibodies, Neutralizing, ; Antibodies, Viral, ; Rabies Vaccines, </t>
  </si>
  <si>
    <t xml:space="preserve">FSPI; French Embassy in Madagascar; International Direction of Pasteur Institute; Région Occitanie; French Embassy; Fondation Pierre Ledoux; German Centre for International Migration and Development; Fondation de France; Vetenskapsrådet, VR</t>
  </si>
  <si>
    <t xml:space="preserve">This study was financially supported by R\u00E9gion Occitanie, Swedish Research Council and the French Embassy in Cambodia to VC; by the German Centre for International Migration and Development to HA; by International Direction of Pasteur Institute through Fondation Pierre Ledoux grant of the Fondation de France to MLV; and by the FSPI project CORAMAD funded by the French Embassy in Madagascar. The funders had no role in study design, data collection and analysis, decision to publish, or preparation of the manuscript.</t>
  </si>
  <si>
    <t xml:space="preserve">Hampson K, Coudeville L, Lembo T, Sambo M, Kieffer A, Attlan M, Et al., Estimating the global burden of endemic canine rabies, PLOS Negl Trop Dis, 9, (2015); Wallace RM, Undurraga EA, Gibson A, Boone J, Pieracci EG, Gamble L, Et al., Estimating the effectiveness of vaccine programs in dog populations, Epidemiol Infect, 147, (2019); WHO expert consultation on rabies: third report, (2018); Morters MK, McKinley TJ, Horton DL, Cleaveland S, Schoeman JP, Restif O, Et al., Achieving Popula-tion-Level Immunity to Rabies in Free-Roaming Dogs in Africa and Asia, PLOS Negl Trop Dis, 8, (2014); Aubert M., Practical significance of rabies antibodies in cats and dogs, Rev Sci Tech OIE, 11, pp. 735-760, (1992); Brown CM, Slavinski S, Ettestad P, Sidwa TJ, Sorhage FE., Compendium of Animal Rabies Prevention and Control, 2016, Journal of the American Veterinary Medical Association, 248, pp. 505-517, (2016); Rabies (Chapter 2.1.13), Manual of Diagnostic Tests and Vaccines for Terrestrial Animals (Terrestrial Manual), pp. 304-322, (2008); Kennedy LJ, Lunt M, Barnes A, McElhinney L, Fooks AR, Baxter DN, Et al., Factors influencing the antibody response of dogs vaccinated against rabies, Vaccine, 25, pp. 8500-8507, (2007); Wallace RM, Pees A, Blanton JB, Moore SM., Risk factors for inadequate antibody response to primary rabies vaccination in dogs under one year of age, PLOS Negl Trop Dis, 11, (2017); Mansfield KL, Sayers R, Fooks AR, Burr PD, Snodgrass D., Factors affecting the serological response of dogs and cats to rabies vaccination, Veterinary Record, 154, pp. 423-426, (2004); Nokireki T, Jakava-Viljanen M, Virtala A-M, Sihvonen L., Efficacy of rabies vaccines in dogs and cats and protection in a mouse model against European bat lyssavirus type 2, Acta Vet Scand, 59, (2017); Berndtsson LT, Nyman A-KJ, Rivera E, Klingeborn B., Factors associated with the success of rabies vaccination of dogs in Sweden, Acta Vet Scand, 53, (2011); Cliquet F, Verdier Y, Sagne L, Aubert M, Schereffer JL, Selve M, Et al., Neutralising antibody titration in 25,000 sera of dogs and cats vaccinated against rabies in France, in the framework of the new regula-tions that offer an alternative to quarantine:-EN--FR--ES-, Rev Sci Tech OIE, 22, pp. 857-866, (2003); Bahloul C, Taieb D, Kaabi B, Diouani MF, Ben Hadjahmed S, Chtourou Y, Et al., Comparative evaluation of specific ELISA and RFFIT antibody assays in the assessment of dog immunity against rabies, Epide-miol Infect, 133, pp. 749-757, (2005); Servat A, Cliquet F, Collaborative study to evaluate a new ELISA test to monitor the effectiveness of rabies vaccination in domestic carnivores, Virus Res, 120, pp. 17-27, (2006); Smith TG, Gilbert AT., Comparison of a Micro-Neutralization Test with the Rapid Fluorescent Focus Inhi-bition Test for Measuring Rabies Virus Neutralizing Antibodies, Trop Med Infect Dis, 2, (2017); Moore SM., Challenges of Rabies Serology: Defining Context of Interpretation, Viruses, 13, (2021); Keddie SH, Baerenbold O, Keogh RH, Bradley J., Estimating sensitivity and specificity of diagnostic tests using latent class models that account for conditional dependence between tests: a simulation study, BMC Medical Research Methodology, 23, (2023); Rural population (% of total population)—Cambodia. Rural population (% of total popula-tion)—Cambodia, (2020); Sor S, Higuchi M, Sarker MAB, Hamajima N., Knowledge of rabies and dog-related behaviors among people in Siem Reap Province, Cambodia, Trop Med Health, 46, (2018); Chevalier V, Davun H, Sorn S, Ly P, Pov V, Ly S., Large scale dog population demography, dog management and bite risk factors analysis: A crucial step towards rabies control in Cambodia, PLOS ONE, 16, (2021); Ly S, Buchy P, Heng NY, Ong S, Chhor N, Bourhy H, Et al., Rabies situation in Cambodia, PLOS Negl Trop Dis, 3, (2009); Use of Animals in Research and Education, Terrestrial Code Online Access, (2021); Cliquet F, Aubert M, Sagne L., Development of a fluorescent antibody virus neutralisation test (FAVN test) for the quantitation of rabies-neutralising antibody, Journal of Immunological Methods, 212, pp. 79-87, (1998); Moore SM, Hanlon CA., Rabies-Specific Antibodies: Measuring Surrogates of Protection against a Fatal Disease, PLOS Negl Trop Dis, 4, (2010); Chapter 3.1.18 Rabies (Infection with Rabies Virus and Other Lyssaviruses), Manual of Diagnostic Tests and Vaccines for Terrestrial Animals, (2023); Hampson K, Dushoff J, Cleaveland S, Haydon DT, Kaare M, Packer C, Transmission dynamics and prospects for the elimination of canine rabies, PLOS Biol, 7, (2009); R: A language and environment for statistical computing, (2021); RStan: the R interface to Stan, (2022); Darkaoui S, Fassi Fihri O, Schereffer JL, Aboulfidaa N, Wasniewski M, Zouine K, Et al., Immunogenicity and efficacy of Rabivac vaccine for animal rabies control in Morocco, Clin Exp Vaccine Res, 5, (2016); Minke JM, Bouvet J, Cliquet F, Wasniewski M, Guiot AL, Lemaitre L, Et al., Comparison of antibody responses after vaccination with two inactivated rabies vaccines, Veterinary Microbiology, 133, pp. 283-286, (2009); Dodds WJ, Larson LJ, Christine KL, Schultz RD., Duration of immunity after rabies vaccination in dogs: The Rabies Challenge Fund research study, Can J Vet Res, 84, pp. 153-158, (2020); Gold S, Donnelly CA, Nouvellet P, Woodroffe R., Rabies virus-neutralising antibodies in healthy, unvac-cinated individuals: What do they mean for rabies epidemiology?, PLOS Negl Trop Dis, 14, (2020); Kitala P, McDermott J, Kyule M, Gathuma J, Perry B, Wandeler A., Dog ecology and demography infor-mation to support the planning of rabies control in Machakos District, Kenya, Acta Tropica, 78, pp. 217-230, (2001); Smith TG, Millien M, Vos A, Fracciterne FA, Crowdis K, Chirodea C, Et al., Evaluation of immune responses in dogs to oral rabies vaccine under field conditions, Vaccine, 37, pp. 4743-4749, (2019); Mauti S, Traore A, Hattendorf J, Schelling E, Wasniewski M, Schereffer JL, Et al., Factors associated with dog rabies immunisation status in Bamako, Mali, Acta Tropica, 165, pp. 194-202, (2017); Arega S, Conan A, Sabeta CT, Crafford JE, Wentzel J, Reininghaus B, Et al., Rabies Vaccination of 6-Week-Old Puppies Born to Immunized Mothers: A Randomized Controlled Trial in a High-Mortality Population of Owned, Free-Roaming Dogs, TropicalMed, 5, (2020); Troupin C, Dacheux L, Tanguy M, Sabeta C, Blanc H, Bouchier C, Et al., Large-Scale Phylogenomic Analysis Reveals the Complex Evolutionary History of Rabies Virus in Multiple Carnivore Hosts, PLoS Pathog, 12, (2016); Reynes J-M, Molia S, Audry L, Hout S, Ngin S, Walston J, Et al., Serologic evidence of lyssavirus infection in bats, Cambodia, Emerg Infect Dis, 10, pp. 2231-2234, (2004); Lumlertdacha B, Boongird K, Wanghongsa S, Wacharapluesadee S, Chanhome L, Khawplod P, Et al., Survey for bat lyssaviruses, Thailand, Emerg Infect Dis, 11, pp. 232-236, (2005); Nguyen ATK, Nguyen TT, Noguchi A, Nguyen DV, Ngo GC, Thong VD, Et al., Bat lyssaviruses, northern Vietnam, Emerg Infect Dis, 20, pp. 161-163, (2014); Badrane H, Bahloul C, Perrin P, Tordo N., Evidence of Two Lyssavirus Phylogroups with Distinct Patho-genicity and Immunogenicity, J Virol, 75, pp. 3268-3276, (2001); Servat A, Wasniewski M, Cliquet F., Cross-Protection of Inactivated Rabies Vaccines for Veterinary Use against Bat Lyssaviruses Occurring in Europe, Viruses, 11, (2019); Moore MC, Davis RD, Kang Q, Vahl CI, Wallace RM, Hanlon CA, Et al., Comparison of anamnestic responses to rabies vaccination in dogs and cats with current and out-of-date vaccination status, J Am Vet Med Assoc, 246, pp. 205-211, (2015); Minyoo AB, Steinmetz M, Czupryna A, Bigambo M, Mzimbiri I, Powell G, Et al., Incentives Increase Par-ticipation in Mass Dog Rabies Vaccination Clinics and Methods of Coverage Estimation Are Assessed to Be Accurate, PLOS Negl Trop Dis, 9, (2015); Kazadi Kawaya E, Marcotty T, Mulumba Mfumu-Kazadi L, Van Gucht S, Kirschvink N., Factors of main-tenance of rabies transmission in dogs in Kinshasa, Democratic Republic of the Congo, Prev Vet Med, 176, (2020); Muthiani Y, Traore A, Mauti S, Zinsstag J, Hattendorf J., Low coverage of central point vaccination against dog rabies in Bamako, Mali, Preventive Veterinary Medicine, 120, pp. 203-209, (2015); Kazadi Kawaya E, Marcotty T, Mfumu-Kazadi LM, Marcotty D, Van Gucht S, Kirschvink N., Evaluation of dog vaccination schemes against rabies in Kinshasa, Democratic Republic of the Congo, Prev Vet Med, 198, (2022); Chomel B, Chappuis G, Bullon F, Cardenas E, de Beublain TD, Lombard M, Giambruno E., Mass Vaccination Campaign Against Rabies: Are Dogs Correctly Protected? The Peruvian Experience, Clinical Infectious Diseases, 10, pp. S697-S702, (1988); Sihvonen L, Kulonen K, Neuvonen E, Pekkanen K., Rabies antibodies in vaccinated dogs, Acta Vet Scand, 36, pp. 87-91, (1995); Bahloul C, Taieb D, Diouani M, Ahmed S, Chtourou Y, Bchir B, Kharmachi H, Dellagi K., Field trials of a very potent rabies DNA vaccine which induced long lasting virus neutralizing antibodies and protection in dogs in experimental conditions, Vaccine, 24, pp. 1063-1072, (2006); Tepsumethanon W, Polsuwan C, Lumlertdaecha B, Khawplod P, Hemachudha T, Chutivongse S, Wilde H, Chiewbamrungkiat M, Phanuphak P., Immune response to rabies vaccine in Thai dogs: A preliminary report, Vaccine, 9, pp. 627-630, (1991); Watanabe I, Yamada K, Aso A, Suda O, Matsumoto T, Yahiro T, Ahmed K, Nishizono A., Relationship between Virus-Neutralizing Antibody Levels and the Number of Rabies Vaccinations: a Prospective Study of Dogs in Japan, Jpn J Infect Dis, 66, pp. 17-21, (2013); Pimburage RMS, Gunatilake M, Wimalaratne O, Balasuriya A, Perera KADN., Sero-prevalence of virus neutralizing antibodies for rabies in different groups of dogs following vaccination, BMC Vet Res, 13, (2017); Wera E, Warembourg C, Bulu PM, Siko MM, Durr S., Loss of binding antibodies against rabies in a vaccinated dog population in Flores Island, Indonesia, PLOS Neglected Tropical Diseases, 15, (2021)</t>
  </si>
  <si>
    <t xml:space="preserve">V. Chevalier; Epidemiology and Public Health Unit, Institut Pasteur du Cambodge, Pasteur Network, Phnom Penh, Cambodia; email: veronique.chevalier@cirad.fr</t>
  </si>
  <si>
    <t xml:space="preserve">2-s2.0-85191899804</t>
  </si>
  <si>
    <t xml:space="preserve">Lamoureux E.S.; Cheng Y.; Islamzada E.; Matthews K.; Duffy S.P.; Ma H.</t>
  </si>
  <si>
    <t xml:space="preserve">Lamoureux, Erik S. (57221117350); Cheng, You (59164062800); Islamzada, Emel (56957143600); Matthews, Kerryn (42861943700); Duffy, Simon P. (56350389600); Ma, Hongshen (56368152800)</t>
  </si>
  <si>
    <t xml:space="preserve">57221117350; 59164062800; 56957143600; 42861943700; 56350389600; 56368152800</t>
  </si>
  <si>
    <t xml:space="preserve">Biophysical profiling of red blood cells from thin-film blood smears using deep learning</t>
  </si>
  <si>
    <t xml:space="preserve">Microscopic inspection of thin-film blood smears is widely used to identify red blood cell (RBC) pathologies, including malaria parasitism and hemoglobinopathies, such as sickle cell disease and thalassemia. Emerging research indicates that non-pathologic changes in RBCs can also be detected in images, such as deformability and morphological changes resulting from the storage lesion. In transfusion medicine, cell deformability is a potential biomarker for the quality of donated RBCs. However, a major impediment to the clinical translation of this biomarker is the difficulty associated with performing this measurement. To address this challenge, we developed an approach for biophysical profiling of RBCs based on cell images in thin-film blood smears. We hypothesize that subtle cellular changes are evident in blood smear images, but this information is inaccessible to human expert labellers. To test this hypothesis, we developed a deep learning strategy to analyze Giemsa-stained blood smears to assess the subtle morphologies indicative of RBC deformability and storage-based degradation. Specifically, we prepared thin-film blood smears from 27 RBC samples (9 donors evaluated at 3 storage time points) and imaged them using high-resolution microscopy. Using this dataset, we trained a convolutional neural network to evaluate image-based morphological features related to cell deformability. The prediction of donor deformability is strongly correlated to the microfluidic scores and can be used to categorize images into specific deformability groups with high accuracy. We also used this model to evaluate differences in RBC morphology resulting from cold storage. Together, our results demonstrate that deep learning models can detect subtle cellular morphology differences resulting from deformability and cold storage. This result suggests the potential to assess donor blood quality from thin-film blood smears, which can be acquired ubiquitously in clinical workflows. © 2024 The Authors</t>
  </si>
  <si>
    <t xml:space="preserve">diagnostics</t>
  </si>
  <si>
    <t xml:space="preserve">Heliyon</t>
  </si>
  <si>
    <t xml:space="preserve">e35276</t>
  </si>
  <si>
    <t xml:space="preserve">10.1016/j.heliyon.2024.e35276</t>
  </si>
  <si>
    <t xml:space="preserve">https://www.scopus.com/inward/record.uri?eid=2-s2.0-85199963200&amp;doi=10.1016%2fj.heliyon.2024.e35276&amp;partnerID=40&amp;md5=838c9d7f2bf1d3341e39e5de9a8676a8</t>
  </si>
  <si>
    <t xml:space="preserve">Department of Mechanical Engineering, University of British Columbia, Canada; Centre for Blood Research, University of British Columbia, Canada; British Columbia Institute of Technology, Canada; School of Biomedical Engineering, University of British Columbia, Canada; Vancouver Prostate Centre, Vancouver General Hospital, Canada</t>
  </si>
  <si>
    <t xml:space="preserve">Lamoureux E.S., Department of Mechanical Engineering, University of British Columbia, Canada, Centre for Blood Research, University of British Columbia, Canada; Cheng Y., Department of Mechanical Engineering, University of British Columbia, Canada, Centre for Blood Research, University of British Columbia, Canada; Islamzada E., Department of Mechanical Engineering, University of British Columbia, Canada, Centre for Blood Research, University of British Columbia, Canada; Matthews K., Department of Mechanical Engineering, University of British Columbia, Canada, Centre for Blood Research, University of British Columbia, Canada; Duffy S.P., Department of Mechanical Engineering, University of British Columbia, Canada, Centre for Blood Research, University of British Columbia, Canada, British Columbia Institute of Technology, Canada; Ma H., Department of Mechanical Engineering, University of British Columbia, Canada, Centre for Blood Research, University of British Columbia, Canada, School of Biomedical Engineering, University of British Columbia, Canada, Vancouver Prostate Centre, Vancouver General Hospital, Canada</t>
  </si>
  <si>
    <t xml:space="preserve">Blood smear; Deep learning; Deformability; Microscopy; Red blood cell; Storage lesion; Transfusion</t>
  </si>
  <si>
    <t xml:space="preserve">Canadian Blood Services, CBS; Mitacs, (IT09621, 9880084); Natural Sciences and Engineering Research Council of Canada, NSERC, (538818-19, 2015-06541, 06541); Canadian Institutes of Health Research, CIHR, (322375, 414861, 362500)</t>
  </si>
  <si>
    <t xml:space="preserve">Funding text 1: This work was supported by grants from the Canadian Institutes of Health Research (322375, 362500, 414861), Natural Sciences and Engineering Research Council of Canada (538818-19, 2015\u201306541), MITACS (K. M. IT09621), and the Canadian Blood Services Graduate Fellowship Program (E. L. and E. I.), which is funded by the federal government (Health Canada) and the provincial and territorial ministries of health. The views herein do not necessarily reflect the views of Canadian Blood Services or the federal, provincial, or territorial governments of Canada.The authors declare the following financial interests/personal relationships which may be considered as potential competing interests: Hongshen Ma reports financial support was provided by Canadian Institutes of Health Research. Hongshen Ma reports financial support was provided by Natural Sciences and Engineering Research Council of Canada. Kerryn Matthews reports financial support was provided by Mitacs. Erik Lamoureux reports financial support was provided by Canadian Blood Services. Emel Islamzada reports financial support was provided by Canadian Blood Services. Hongshen Ma has patent #9880084 issued to the University of British Columbia. If there are other authors, they declare that they have no known competing financial interests or personal relationships that could have appeared to influence the work reported in this paper.; Funding text 2: This work was supported by grants from the Canadian Institutes of Health Research (322375, 362500, 414861), Natural Sciences and Engineering Research Council of Canada (538818-19, 2015-06541), MITACS (K. M. IT09621), and the Canadian Blood Services Graduate Fellowship Program (E. L. and E. I.), which is funded by the federal government (Health Canada) and the provincial and territorial ministries of health. The views herein do not necessarily reflect the views of Canadian Blood Services or the federal, provincial, or territorial governments of Canada. </t>
  </si>
  <si>
    <t xml:space="preserve">Bain B.J., Diagnosis from the blood smear, N. Engl. J. Med., 353, 5, pp. 498-507, (2005); Poostchi M., Silamut K., Maude R.J., Jaeger S., Thoma G., Image analysis and machine learning for detecting malaria, Transl. Res., 194, pp. 36-55, (2018); Suganya Devi K., Arutperumjothi G., Srinivasan P., Diagnosis evaluation and interpretation of qualitative abnormalities in peripheral blood smear images—a review, Health Informatics: A Computational Perspective in Healthcare, pp. 341-365, (2021); Wheeless L.L., Et al., Classification of red blood cells as normal, sickle, or other abnormal, using a single image analysis feature, Cytometry, 17, pp. 159-166, (1994); Tyas D.A., Hartati S., Harjoko A., Ratnaningsih T., Morphological, texture, and color feature analysis for erythrocyte classification in thalassemia cases, IEEE Access, 8, pp. 69849-69860, (2020); Abbas N., Et al., Machine aided malaria parasitemia detection in Giemsa-stained thin blood smears, Neural Comput. Appl., 29, pp. 803-818, (2018); Slinger R., Et al., Transfusion-transmitted malaria in Canada, Can. Med. Assoc. J., 164, pp. 377-379, (2001); Bosch F.H., Et al., Determinants of red blood cell deformability in relation to cell age, Eur. J. Haematol., 52, pp. 35-41, (2009); Islamzada E., Et al., Deformability based sorting of stored red blood cells reveals donor-dependent aging curves, Lab Chip, 20, pp. 226-235, (2020); Islamzada E., Et al., Degradation of red blood cell deformability during cold storage in blood bags, eJHaem, 3, pp. 63-71, (2022); Wolfe L.C., The membrane and the lesions of storage in preserved red cells, Transfusion (Paris), 25, pp. 185-203, (1985); Barshtein G., Pajic-Lijakovic I., Gural A., Deformability of stored red blood cells, Front. Physiol., 12, (2021); Weiss L., Tavassoli M., Anatomical hazards to the passage of erythrocytes through the spleen, Semin. Hematol., 7, pp. 372-380, (1970); Chen L.T., Weiss L., Role of sinus wall in passage of erythrocytes through spleen, Blood, 41, pp. 529-537, (1973); K T.N., Prasad K., Singh B.M.K., Analysis of red blood cells from peripheral blood smear images for anemia detection: a methodological review, Med. Biol. Eng. Comput., 60, pp. 2445-2462, (2022); Wagner S.J., Transfusion-transmitted bacterial infection: risks, sources and interventions, Vox Sang., 86, pp. 157-163, (2004); Bux J., Transfusion-related acute lung injury (TRALI): a serious adverse event of blood transfusion, Vox Sang., 89, pp. 1-10, (2005); Ng M.S.Y., Ng A.S.Y., Chan J., Tung J.-P., Fraser J.F., Effects of packed red blood cell storage duration on post-transfusion clinical outcomes: a meta-analysis and systematic review, Intensive Care Med., 41, pp. 2087-2097, (2015); Hendrickson J.E., Hillyer C.D., Noninfectious serious hazards of transfusion, Anesth. Analg., 108, pp. 759-769, (2009); Streekstra G.J., Dobbe J.G.G., Hoekstra A.G., Quantification of the fraction poorly deformable red blood cells using ektacytometry, Opt Express, 18, (2010); Streekstra G.J., Hoekstra A.G., Nijhof E.-J., Heethaar R.M., Light scattering by red blood cells in ektacytometry: fraunhofer versus anomalous diffraction, Appl. Opt., 32, (1993); Guo Q., Park S., Ma H., Microfluidic micropipette aspiration for measuring the deformability of single cells, Lab Chip, 12, (2012); Lekka M., Fornal M., Wizner B., Grodzicki T., Styczen J., Erythrocyte stiffness probed using atomic force microscope, Biorheology, 42, pp. 307-317, (2005); Wang N., Butler J.P., Ingber D.E., Mechanotransduction across the Cell Surface and through the Cytoskeleton, 260, (1993); Puig-de-Morales-Marinkovic M., Turner K.T., Butler J.P., Fredberg J.J., Suresh S., Viscoelasticity of the Human Red Blood Cell, 293, (2007); Kim Y., Kim K., Park Y., Measurement techniques for red blood cell deformability: recent advances, Blood Cell - an Overview of Studies in Hematology, (2012); Chen J., Et al., Electrodeformation for single cell mechanical characterization, J. Micromech. Microeng., 21, (2011); Amirouche A., Faivre M., Chateaux J.F., Ferrigno R., Determination of red blood cell fatigue using electrodeformation, 2017 39th Annual International Conference of the IEEE Engineering in Medicine and Biology Society, pp. 3584-3587, (2017); Nodargi N.A., Kiendl J., Bisegna P., Caselli F., De Lorenzis L., An isogeometric analysis formulation for red blood cell electro-deformation modeling, Comput. Methods Appl. Mech. Eng., 338, pp. 392-411, (2018); Agrawal R., Et al., Assessment of red blood cell deformability in type 2 diabetes mellitus and diabetic retinopathy by dual optical tweezers stretching technique, Sci. Rep., 6, (2016); Liu J., Zhang F., Zhu L., Chu D., Qu X., Mechanical properties of RBCs under oxidative stress measured by optical tweezers, Opt Commun., 442, pp. 56-59, (2019); Forsyth A.M., Wan J., Ristenpart W.D., Stone H.A., The dynamic behavior of chemically “stiffened” red blood cells in microchannel flows, Microvasc. Res., 80, pp. 37-43, (2010); Lee S.S., Yim Y., Ahn K.H., Lee S.J., Extensional flow-based assessment of red blood cell deformability using hyperbolic converging microchannel, Biomed. Microdevices, 11, pp. 1021-1027, (2009); Katsumoto Y., Tatsumi K., Doi T., Nakabe K., Electrical classification of single red blood cell deformability in high-shear microchannel flows, Int. J. Heat Fluid Flow, 31, pp. 985-995, (2010); Shelby J.P., White J., Ganesan K., Rathod P.K., Chiu D.T., A microfluidic model for single-cell capillary obstruction by Plasmodium falciparum-infected erythrocytes, Proc. Natl. Acad. Sci., 100, pp. 14618-14622, (2003); Matthews K., Et al., Microfluidic deformability analysis of the red cell storage lesion, J. Biomech., 48, pp. 4065-4072, (2015); Guo Q., Reiling S.J., Rohrbach P., Ma H., Microfluidic biomechanical assay for red blood cells parasitized by Plasmodium falciparum, Lab Chip, 12, (2012); Matthews K., Et al., Microfluidic analysis of red blood cell deformability as a means to assess hemin-induced oxidative stress resulting from Plasmodium falciparum intraerythrocytic parasitism, Integr. Biol., 9, pp. 519-528, (2017); Myrand-Lapierre M.-E., Et al., Multiplexed fluidic plunger mechanism for the measurement of red blood cell deformability, Lab Chip, 15, pp. 159-167, (2015); Kwan J.M., Guo Q., Kyluik-Price D.L., Ma H., Scott M.D., Microfluidic analysis of cellular deformability of normal and oxidatively damaged red blood cells, Am. J. Hematol., 88, pp. 682-689, (2013); Guo Q., Et al., Microfluidic analysis of red blood cell deformability, J. Biomech., 47, pp. 1767-1776, (2014); Wu T., Guo Q., Ma H., Feng J.J., The critical pressure for driving a red blood cell through a contracting microfluidic channel, Theor. Appl. Mech. Lett., 5, pp. 227-230, (2015); Deng X., Et al., Reduced deformability of parasitized red blood cells as a biomarker for anti-malarial drug efficacy, Malar. J., 14, (2015); Bow H., Et al., A microfabricated deformability-based flow cytometer with application to malaria, Lab Chip, 11, (2011); Adamo A., Et al., Microfluidics-based assessment of cell deformability, Anal. Chem., 84, pp. 6438-6443, (2012); Santoso A.T., Et al., Microfluidic cell-phoresis enabling high-throughput analysis of red blood cell deformability and biophysical screening of antimalarial drugs, Lab Chip, 15, pp. 4451-4460, (2015); Guo Q., McFaul S.M., Ma H., Deterministic microfluidic ratchet based on the deformation of individual cells, Phys. Rev. E, 83, (2011); McFaul S.M., Lin B.K., Ma H., Cell separation based on size and deformability using microfluidic funnel ratchets, Lab Chip, 12, (2012); Park E.S., Et al., Continuous flow deformability-based separation of circulating tumor cells using microfluidic ratchets, Small, 12, pp. 1909-1919, (2016); Guo Q., Et al., Deformability based sorting of red blood cells improves diagnostic sensitivity for malaria caused by Plasmodium falciparum, Lab Chip, 16, pp. 645-654, (2016); Islamzada E., Et al., Blood unit segments accurately represent the biophysical properties of red blood cells in blood bags but not hemolysis, Transfusion (Paris), 62, pp. 448-456, (2022); Kim E., Park S., Hwang S., Moon I., Javidi B., Deep learning-based phenotypic assessment of red cell storage lesions for safe transfusions, IEEE J. Biomed. Health Inform., 26, pp. 1318-1328, (2022); Park H., Et al., Measuring cell surface area and deformability of individual human red blood cells over blood storage using quantitative phase imaging, Sci. Rep., 6, (2016); Popescu G., Et al., Imaging red blood cell dynamics by quantitative phase microscopy, Blood Cells Mol. Dis., 41, pp. 10-16, (2008); Park Y., Et al., Measurement of the nonlinear elasticity of red blood cell membranes, Phys. Rev. E, 83, (2011); Popescu G., Et al., Erythrocyte structure and dynamics quantified by Hilbert phase microscopy, J. Biomed. Opt., 10, (2005); Park Y., Et al., Metabolic remodeling of the human red blood cell membrane, Proc. Natl. Acad. Sci., 107, pp. 1289-1294, (2010); Park Y., Depeursinge C., Popescu G., Quantitative phase imaging in biomedicine, Nat. Photonics, 12, pp. 578-589, (2018); Matthews K., Lamoureux E.S., Myrand-Lapierre M.-E., Duffy S.P., Ma H., Technologies for measuring red blood cell deformability, Lab Chip, 22, pp. 1254-1274, (2022); Shin S., Hou J.X., Suh J.S., Singh M., Validation and application of a microfluidic ektacytometer (RheoScan-D) in measuring erythrocyte deformability, Clin. Hemorheol. Microcirc., 37, pp. 319-328, (2007); Lozano M., Cid J., DEHP plasticizer and blood bags: challenges ahead, ISBT Sci. Ser., 8, pp. 127-130, (2013); Lamoureux E.S., Et al., Assessing red blood cell deformability from microscopy images using deep learning, Lab Chip, 10.1039, (2022); Berryman S., Matthews K., Lee J.H., Duffy S.P., Ma H., Image-based phenotyping of disaggregated cells using deep learning, Commun. Biol., 3, (2020); Moen E., Et al., Deep learning for cellular image analysis, Nat. Methods, 16, pp. 1233-1246, (2019); Renoux C., Et al., Impact of surface-area-to-volume ratio, internal viscosity and membrane viscoelasticity on red blood cell deformability measured in isotonic condition, Sci. Rep., 9, (2019); Mohandas N., Clark M.R., Jacobs M.S., Shohet S.B., Analysis of factors regulating erythrocyte deformability, J. Clin. Invest., 66, pp. 563-573, (1980); Kratz A., Et al., Digital morphology analyzers in hematology: ICSH review and recommendations, Int. J. Lab. Hematol, 13042, (2019); Nash G., O'Brien E., Gordon-Smith E., Dormandy J., Abnormalities in the mechanical properties of red blood cells caused by Plasmodium falciparum, Blood, 74, pp. 855-861, (1989); Evans E., Mohandas N., Leung A., Static and dynamic rigidities of normal and sickle erythrocytes. Major influence of cell hemoglobin concentration, J. Clin. Invest., 73, pp. 477-488, (1984); Hebbel R., Leung A., Mohandas N., Oxidation-induced changes in microrheologic properties of the red blood cell membrane, Blood, 76, pp. 1015-1020, (1990); Henon S., Lenormand G., Richert A., Gallet F., A new determination of the shear modulus of the human erythrocyte membrane using optical tweezers, Biophys. J., 76, pp. 1145-1151, (1999); Dao M., Lim C.T., Suresh S., Mechanics of the human red blood cell deformed by optical tweezers, J. Mech. Phys. Solids, 51, pp. 2259-2280, (2003); Mills J.P., Qie L., Dao M., Lim C.T., Suresh S., Nonlinear Elastic and Viscoelastic Deformation of the Human Red Blood Cell with Optical Tweezers, 13, (2004); Dulinska I., Et al., Stiffness of normal and pathological erythrocytes studied by means of atomic force microscopy, J. Biochem. Biophys. Methods, 66, pp. 1-11, (2006); Sebastian J.A., Kolios M.C., Acker J.P., Emerging use of machine learning and advanced technologies to assess red cell quality, Transfus. Apher. Sci., 59, (2020); Li W., Et al., Analysis of red blood cell deformability using parallel ladder electrodes in a microfluidic manipulation system, Int. J. Adv. Manuf. Technol., 105, pp. 4919-4928, (2019); Siu D.M.D., Et al., Optofluidic imaging meets deep learning: from merging to emerging, Lab Chip, 10.1039, (2023); Praljak N., Et al., Integrating deep learning with microfluidics for biophysical classification of sickle red blood cells adhered to laminin, PLoS Comput. Biol., 17, (2021); Mencattini A., Et al., Machine learning microfluidic based platform: integration of Lab-on-Chip devices and data analysis algorithms for red blood cell plasticity evaluation in Pyruvate Kinase Disease monitoring, Sens. Actuators Phys., 351, (2023); Rizzuto V., Et al., Combining microfluidics with machine learning algorithms for RBC classification in rare hereditary hemolytic anemia, Sci. Rep., 11, (2021); Link A., Pardo I.L., Porr B., Franke T., AI based image analysis of red blood cells in oscillating microchannels, RSC Adv., 13, pp. 28576-28582, (2023); Delgado-Ortet M., Molina A., Alferez S., Rodellar J., Merino A., A deep learning approach for segmentation of red blood cell images and malaria detection, Entropy, 22, (2020); Dong Y., Et al., Evaluations of deep convolutional neural networks for automatic identification of malaria infected cells, 2017 IEEE EMBS International Conference on Biomedical &amp; Health Informatics (BHI), pp. 101-104, (2017); Hung J., Et al., Applying faster R-CNN for object detection on malaria images, Conf. Comput. Vis. Pattern Recognit. Workshop IEEE Comput. Soc. Conf. Comput. Vis. Pattern Recognit, pp. 808-813, (2017); Islam M.R., Et al., Explainable transformer-based deep learning model for the detection of malaria parasites from blood cell images, Sensors, 22, (2022); Kalkan S.C., Sahingoz O.K., Deep learning based classification of malaria from slide images, 2019 Scientific Meeting on Electrical-Electronics &amp; Biomedical Engineering and Computer Science (EBBT) 1–4 (IEEE, Istanbul, Turkey, (2019); Kassim Y.M., Et al., Clustering-based dual deep learning architecture for detecting red blood cells in malaria diagnostic smears, IEEE J. Biomed. Health Inform., 25, pp. 1735-1746, (2021); Nakasi R., Mwebaze E., Zawedde A., Mobile-aware deep learning algorithms for malaria parasites and white blood cells localization in thick blood smears, Algorithms, 14, (2021); Vijayalakshmi A., Rajesh Kanna B., Deep learning approach to detect malaria from microscopic images, Multimed. Tools Appl., 79, pp. 15297-15317, (2020); Yang F., Et al., Deep learning for smartphone-based malaria parasite detection in thick blood smears, IEEE J. Biomed. Health Inform., 24, pp. 1427-1438, (2020); Shekar G., Scholar U.G., Revathy S., Malaria Detection Using Deep Learning, (2020); Rahman A., Et al., Improving Malaria Parasite Detection from Red Blood Cell Using Deep Convolutional Neural Networks, (2019); Liang Z., Et al., CNN-based image analysis for malaria diagnosis, 2016 IEEE International Conference on Bioinformatics and Biomedicine (BIBM, pp. 493-496, (2016); de Haan K., Et al., Automated screening of sickle cells using a smartphone-based microscope and deep learning, Npj Digit. Med., 3, (2020); Alzubaidi L., Fadhel M.A., Al-Shamma O., Zhang J., Duan Y., Deep learning models for classification of red blood cells in microscopy images to aid in sickle cell anemia diagnosis, Electronics, 9, (2020); Abdulkarim H.A., Abdul Razak M.A., Sudirman R., Ramli N., A deep learning AlexNet model for classification of red blood cells in sickle cell anemia, IAES Int. J. Artif. Intell., (2020); Xu M., Et al., A deep convolutional neural network for classification of red blood cells in sickle cell anemia, PLoS Comput. Biol., 13, (2017); Zhang M., Li X., Xu M., Li Q., Automated semantic segmentation of red blood cells for sickle cell disease, IEEE J. Biomed. Health Inform, 24, pp. 3095-3102, (2020); Zhang M., Li X., Xu M., Li Q., RBC semantic segmentation for sickle cell disease based on deformable U-net, Medical Image Computing and Computer Assisted Intervention – MICCAI 2018, pp. 695-702, (2018); Lin Y.-H., Liao K.Y.-K., Sung K.-B., Automatic detection and characterization of quantitative phase images of thalassemic red blood cells using a mask region-based convolutional neural network, J. Biomed. Opt., 25, (2020); Purwar S., Tripathi R., Ranjan R., Saxena R., Classification of thalassemia patients using a fusion of deep image and clinical features, 2021 11th International Conference on Cloud Computing, Data Science &amp; Engineering (Confluence), pp. 410-415, (2021); O'Connor T., Shen J.-B., Liang B.T., Javidi B., Digital holographic deep learning of red blood cells for field-portable, rapid COVID-19 screening, Opt. Lett., 46, (2021); Doan M., Et al., Objective assessment of stored blood quality by deep learning, Proc. Natl. Acad. Sci., 117, pp. 21381-21390, (2020); Molcan S., Smieskova M., Bachraty H., Bachrata K., Computational study of methods for determining the elasticity of red blood cells using machine learning, Symmetry, 14, (2022); Guo Q., Duffy S.P., Matthews K., Islamzada E., Ma H., Deformability based cell sorting using microfluidic ratchets enabling phenotypic separation of leukocytes directly from whole blood, Sci. Rep., 7, (2017); Desai S.P., Freeman D.M., Voldman J., Plastic masters—rigid templates for soft lithography, Lab Chip, 9, pp. 1631-1637, (2009)</t>
  </si>
  <si>
    <t xml:space="preserve">H. Ma; Vancouver, 2054-6250 Applied Science Lane, V6T 1Z4, Canada; email: hongma@mech.ubc.ca</t>
  </si>
  <si>
    <t xml:space="preserve">2-s2.0-85199963200</t>
  </si>
  <si>
    <t xml:space="preserve">Minarno A.E.; Izzah T.N.; Munarko Y.; Basuki S.</t>
  </si>
  <si>
    <t xml:space="preserve">Minarno, Agus Eko (57222160033); Izzah, Tsabita Nurul (59376965200); Munarko, Yuda (56411906600); Basuki, Setio (57190070688)</t>
  </si>
  <si>
    <t xml:space="preserve">57222160033; 59376965200; 56411906600; 57190070688</t>
  </si>
  <si>
    <t xml:space="preserve">Classification of Malaria Using Convolutional Neural Network Method on Microscopic Image of Blood Smear</t>
  </si>
  <si>
    <t xml:space="preserve">—Malaria, a critical global health issue, can lead to severe complications and mortality if not treated promptly. The conventional diagnostic method, involving a microscopic examination of blood smears, is time-consuming and requires extensive expertise. To address these challenges, computer-assisted diagnostic methods have been explored. Among these, Convolutional Neural Networks (CNN), a deep learning technique, has shown considerable promise for image classification tasks, including the analysis of microscopic blood smear images. In this study, we employ the NIH Malaria dataset, which consists of 27,558 images, to train a CNN model. The dataset is divided into parasitized (malaria-infected) and uninfected. The CNN architecture designed for this study includes three convolutional layers and two fully connected layers. We compare the performance of this model with that of a pre-trained VGG-16 model to determine the most effective approach for malaria diagnosis. The proposed CNN model demonstrates high accuracy, achieving a value of 96.81%. Furthermore, it records a recall of 0.97, a precision of 0.97, and an F1-score of 0.97. These metrics indicate a robust performance, outperforming previous studies and highlighting the model's potential for accurate malaria diagnosis. This study underscores the potential of CNN in medical image classification and supports its implementation in clinical settings to enhance diagnostic accuracy and efficiency. The findings suggest that with further refinement and validation, such models could significantly improve the speed and reliability of malaria diagnostics, ultimately aiding in better disease management and patient outcomes. © 2024, Politeknik Negeri Padang. All rights reserved.</t>
  </si>
  <si>
    <t xml:space="preserve">International Journal on Informatics Visualization</t>
  </si>
  <si>
    <t xml:space="preserve">Politeknik Negeri Padang</t>
  </si>
  <si>
    <t xml:space="preserve">10.62527/joiv.8.3.2154</t>
  </si>
  <si>
    <t xml:space="preserve">https://www.scopus.com/inward/record.uri?eid=2-s2.0-85206999763&amp;doi=10.62527%2fjoiv.8.3.2154&amp;partnerID=40&amp;md5=a9bf0b0ea1742cdd958a8ee0be6d9811</t>
  </si>
  <si>
    <t xml:space="preserve">Department of Information Technology, Universitas Muhammadiyah Malang, Jl. Raya Tlogomas 246, Malang, Indonesia; Auckland Bioengineering Institute, University of Auckland, Auckland, 1010, New Zealand</t>
  </si>
  <si>
    <t xml:space="preserve">Minarno A.E., Department of Information Technology, Universitas Muhammadiyah Malang, Jl. Raya Tlogomas 246, Malang, Indonesia; Izzah T.N., Department of Information Technology, Universitas Muhammadiyah Malang, Jl. Raya Tlogomas 246, Malang, Indonesia; Munarko Y., Department of Information Technology, Universitas Muhammadiyah Malang, Jl. Raya Tlogomas 246, Malang, Indonesia, Auckland Bioengineering Institute, University of Auckland, Auckland, 1010, New Zealand; Basuki S., Department of Information Technology, Universitas Muhammadiyah Malang, Jl. Raya Tlogomas 246, Malang, Indonesia</t>
  </si>
  <si>
    <t xml:space="preserve">blood microscopic image; classification; convolutional neural network; machine learning; Malaria</t>
  </si>
  <si>
    <t xml:space="preserve">Militante S. V., Malaria Disease Recognition through Adaptive Deep Learning Models of Convolutional Neural Network, ICETAS 2019-2019 6th IEEE International Conference on Engineering, Technologies and Applied Sciences, (2019); Sai Bharadwaj Reddy A., Sujitha Juliet D., Transfer learning with RESNET-50 for malaria cell-image classification, Proceedings of the 2019 IEEE International Conference on Communication and Signal Processing, ICCSP 2019, pp. 945-949, (2019); Sinha S., Srivastava U., Dhiman V., Akhilan P. S., Mishra S., Performance assessment of Deep Learning procedures on Malaria dataset, Journal of Robotics and Control (JRC), 2, 1, pp. 12-18, (2021); Vijayalakshmi A, Rajesh Kanna B, Deep learning approach to detect malaria from microscopic images, Multimed Tools Appl, 79, 21–22, pp. 15297-15317, (2020); Umer M., Sadiq S., Ahmad M., Ullah S., Choi G. S., Mehmood A., A novel stacked CNN for malarial parasite detection in thin blood smear images, IEEE Access, 8, pp. 93782-93792, (2020); Fuhad K. M. F., Tuba J. F., Sarker M. R. A., Momen S., Mohammed N., Rahman T., Deep Learning Based Automatic Malaria Parasite Detection from Blood Smear and Its Smartphone Based Application, Diagnostics, 10, 5, (2020); Minarno A. E., Sasongko B. Y., Munarko Y., Nugroho H. A., Ibrahim Z., Convolutional Neural Network featuring VGG-16 Model for Glioma Classification, JOIV: International Journal on Informatics Visualization, 6, 3, pp. 660-666, (2022); Dey S., Nath P., Biswas S., Nath S., Ganguly A., Malaria detection through digital microscopic imaging using Deep Greedy Network with transfer learning, Journal of Medical Imaging, 8, 5, (2021); Kassim Y. M., Et al., Clustering-Based Dual Deep Learning Architecture for Detecting Red Blood Cells in Malaria Diagnostic Smears, IEEE J Biomed Health Inform, 25, 5, pp. 1735-1746, (2021); Prakash S. S., Kovoor B. C., Visakha K., Convolutional Neural Network Based Malaria Parasite Infection Detection Using Thin Microscopic Blood Smear Samples, Proceedings of the 2nd International Conference on Inventive Research in Computing Applications, ICIRCA 2020, pp. 308-313, (2020); Pattanaik P. A., Mittal M., Khan M. Z., Panda S. N., Malaria detection using deep residual networks with mobile microscopy, Journal of King Saud University-Computer and Information Sciences, 34, 5, pp. 1700-1705, (2022); Minarno A. E., Soesanti I., Nugroho H. A., A Convolutional Neural Network Model for Batik Image Retrieval, 2024 IEEE 14th Symposium on Computer Applications &amp; Industrial Electronics (ISCAIE), pp. 31-36, (2024); Lee Y. W., Choi J. W., Shin E. H., Machine learning model for predicting malaria using clinical information, Comput Biol Med, 129, (2021); Deelder W., Et al., Using deep learning to identify recent positive selection in malaria parasite sequence data, Malar J, 20, 1, pp. 1-9, (2021); Sayyed A. Q. M. S., Saha D., Hossain A. R., Shahnaz C., Effectiveness of Convolutional and Capsule network in Malaria Parasite Detection, 2019 IEEE International Conference on Signal Processing, Information, Communication and Systems, SPICSCON 2019, pp. 68-73, (2019); Nkiruka O., Prasad R., Clement O., Prediction of malaria incidence using climate variability and machine learning, Inform Med Unlocked, 22, (2021); Minarno A. E., Fadhlan M., Munarko Y., Chandranegara D. R., Classification of Dermoscopic Images Using CNN-SVM, JOIV: International Journal on Informatics Visualization, 8, 2, pp. 606-612, (2024); Madhu G., Mohamed A. W., Kautish S., Shah M. A., Ali I., Intelligent diagnostic model for malaria parasite detection and classification using imperative inception-based capsule neural networks, Scientific Reports 2023 13:1, 1, pp. 1-11, (2023); Sukumarran D., Et al., Machine and deep learning methods in identifying malaria through microscopic blood smear: A systematic review, Eng Appl Artif Intell, 133, (2024); Asif S., Khan S. U. R., Zheng X., Zhao M., MozzieNet: A deep learning approach to efficiently detect malaria parasites in blood smear images, Int J Imaging Syst Technol, 34, 1, (2024); Masud M., Et al., Leveraging Deep Learning Techniques for Malaria Parasite Detection Using Mobile Application, Wirel Commun Mob Comput, 2020, 1, (2020); Abubakar A., Ajuji M., Yahya I. U., DeepFMD: Computational Analysis for Malaria Detection in Blood-Smear Images Using Deep-Learning Features, Applied System Innovation, 4, 4, (2021); Pratiwi N., Pratiwi N. K. C., Ibrahim N., Fu'adah Y. N., Rizal S., Deteksi Parasit Plasmodium pada Citra Mikroskopis Hapusan Darah dengan Metode Deep Learning, ELKOMIKA: Jurnal Teknik Energi Elektrik, Teknik Telekomunikasi, &amp; Teknik Elektronika, 9, 2, (2021); Malaria Cell Images Dataset; Dev A., Fouda M. M., Kerby L., Md Fadlullah Z., Advancing Malaria Identification from Microscopic Blood Smears Using Hybrid Deep Learning Frameworks, IEEE Access, 12, pp. 71705-71715, (2024); Taye A. G., Et al., Automated Web-Based Malaria Detection System with Machine Learning and Deep Learning Techniques, Communications in Computer and Information Science (CCIS); KPV P. R., Radley S., Automated Malaria Parasite Identification and Classification Using Deep Learning Techniques, 2024 International Conference on Science Technology Engineering and Management (ICSTEM), pp. 1-6, (2024); Mujahid M., Et al., Efficient deep learning-based approach for malaria detection using red blood cell smears, Scientific Reports 2024 14:1, pp. 1-16, (2024); Loh D. R., Yong W. X., Yapeter J., Subburaj K., Chandramohanadas R., A deep learning approach to the screening of malaria infection: Automated and rapid cell counting, object detection and instance segmentation using Mask R-CNN, Computerized Medical Imaging and Graphics, 88, (2021); Rahman A., Et al., Improving Malaria Parasite Detection from Red Blood Cell using Deep Convolutional Neural Networks, (2019); Kumar A., Sarkar S., Pradhan C., Malaria Disease Detection Using CNN Technique with SGD, RMSprop and ADAM Optimizers, Studies in Big Data, 68, pp. 211-230, (2020); Deelder W., Et al., Using deep learning to identify recent positive selection in malaria parasite sequence data, Malar J, 20, 1, pp. 1-9, (2021); Rahman A., Zunair H., Reme T. R., Rahman M. S., Mahdy M. R. C., A comparative analysis of deep learning architectures on high variation malaria parasite classification dataset, Tissue Cell, 69, (2021); Zakariya A. M., Adak M. F., A Review on Computational Methods Based on Deep Learning and Transfer Learning Techniques for Malaria Detection, 2024 10th International Conference on Automation, Robotics and Applications (ICARA), pp. 443-447, (2024); Yang F., Et al., Deep Learning for Smartphone-Based Malaria Parasite Detection in Thick Blood Smears, IEEE J Biomed Health Inform, 24, 5, pp. 1427-1438, (2020)</t>
  </si>
  <si>
    <t xml:space="preserve">A.E. Minarno; Department of Information Technology, Universitas Muhammadiyah Malang, Malang, Jl. Raya Tlogomas 246, Indonesia; email: aguseko@umm.ac.id</t>
  </si>
  <si>
    <t xml:space="preserve">Int. J. Inform. Vis.</t>
  </si>
  <si>
    <t xml:space="preserve">2-s2.0-85206999763</t>
  </si>
  <si>
    <t xml:space="preserve">Glidden C.K.; Singleton A.L.; Chamberlin A.; Tuan R.; Palasio R.G.S.; Caldeira R.L.; Monteiro A.M.V.; Lwiza K.M.M.; Liu P.; Silva V.; Athni T.S.; Sokolow S.H.; Mordecai E.A.; De Leo G.A.</t>
  </si>
  <si>
    <t xml:space="preserve">Glidden, Caroline K. (57200256506); Singleton, Alyson L. (57202432112); Chamberlin, Andrew (57205371637); Tuan, Roseli (7102072676); Palasio, Raquel G. S. (56755348300); Caldeira, Roberta Lima (7003731167); Monteiro, Antônio Miguel V. (7102146079); Lwiza, Kamazima M. M. (6602899249); Liu, Ping (58893834200); Silva, Vivian (59077822400); Athni, Tejas S. (57216940413); Sokolow, Susanne H. (8725138200); Mordecai, Erin A. (24174955700); De Leo, Giulio A. (7006105591)</t>
  </si>
  <si>
    <t xml:space="preserve">57200256506; 57202432112; 57205371637; 7102072676; 56755348300; 7003731167; 7102146079; 6602899249; 58893834200; 59077822400; 57216940413; 8725138200; 24174955700; 7006105591</t>
  </si>
  <si>
    <t xml:space="preserve">Climate and urbanization drive changes in the habitat suitability of Schistosoma mansoni competent snails in Brazil</t>
  </si>
  <si>
    <t xml:space="preserve">Schistosomiasis is a neglected tropical disease caused by Schistosoma parasites. Schistosoma are obligate parasites of freshwater Biomphalaria and Bulinus snails, thus controlling snail populations is critical to reducing transmission risk. As snails are sensitive to environmental conditions, we expect their distribution is significantly impacted by global change. Here, we used machine learning, remote sensing, and 30 years of snail occurrence records to map the historical and current distribution of forward-transmitting Biomphalaria hosts throughout Brazil. We identified key features influencing the distribution of suitable habitat and determined how Biomphalaria habitat has changed with climate and urbanization over the last three decades. Our models show that climate change has driven broad shifts in snail host range, whereas expansion of urban and peri-urban areas has driven localized increases in habitat suitability. Elucidating change in Biomphalaria distribution—while accounting for non-linearities that are difficult to detect from local case studies—can help inform schistosomiasis control strategies. © The Author(s) 2024.</t>
  </si>
  <si>
    <t xml:space="preserve">outbreak  prediction</t>
  </si>
  <si>
    <t xml:space="preserve">Nature Communications</t>
  </si>
  <si>
    <t xml:space="preserve">Nature Research</t>
  </si>
  <si>
    <t xml:space="preserve">10.1038/s41467-024-48335-9</t>
  </si>
  <si>
    <t xml:space="preserve">https://www.scopus.com/inward/record.uri?eid=2-s2.0-85196370559&amp;doi=10.1038%2fs41467-024-48335-9&amp;partnerID=40&amp;md5=45815f23a2a58e55a6f64716c6498c4d</t>
  </si>
  <si>
    <t xml:space="preserve">Stanford University, Department of Biology, Institute for Human-Centered AI, Stanford, CA, United States; Stanford University, Department of Biology, Stanford, CA, United States; Stanford University, Emmett Interdisciplinary Program in Environment and Resources, Stanford, CA, United States; Stanford University, Department of Oceans, Hopkins Marine Station, Pacific Grove, CA, United States; Pasteur Institute, São Paulo, Brazil; Fiocruz Minas/Belo Horizonte, Minas Gerais, Brazil; National Institute for Space Research, São José dos Campos, Brazil; Stony Brook University, Stony Brook, New York, NY, United States; Harvard Medical School, Boston, MA, United States; Stanford University, Woods Institute for the Environment, Stanford, CA, United States; Marine Science Institute, University of California, Santa Barbara, CA, United States</t>
  </si>
  <si>
    <t xml:space="preserve">Glidden C.K., Stanford University, Department of Biology, Institute for Human-Centered AI, Stanford, CA, United States, Stanford University, Department of Biology, Stanford, CA, United States; Singleton A.L., Stanford University, Emmett Interdisciplinary Program in Environment and Resources, Stanford, CA, United States; Chamberlin A., Stanford University, Department of Oceans, Hopkins Marine Station, Pacific Grove, CA, United States; Tuan R., Pasteur Institute, São Paulo, Brazil; Palasio R.G.S., Pasteur Institute, São Paulo, Brazil; Caldeira R.L., Fiocruz Minas/Belo Horizonte, Minas Gerais, Brazil; Monteiro A.M.V., National Institute for Space Research, São José dos Campos, Brazil; Lwiza K.M.M., Stony Brook University, Stony Brook, New York, NY, United States; Liu P., Stony Brook University, Stony Brook, New York, NY, United States; Silva V., National Institute for Space Research, São José dos Campos, Brazil; Athni T.S., Harvard Medical School, Boston, MA, United States; Sokolow S.H., Stanford University, Woods Institute for the Environment, Stanford, CA, United States, Marine Science Institute, University of California, Santa Barbara, CA, United States; Mordecai E.A., Stanford University, Department of Biology, Institute for Human-Centered AI, Stanford, CA, United States, Stanford University, Department of Biology, Stanford, CA, United States; De Leo G.A., Stanford University, Department of Oceans, Hopkins Marine Station, Pacific Grove, CA, United States</t>
  </si>
  <si>
    <t xml:space="preserve">Animals; Biomphalaria; Brazil; Climate Change; Ecosystem; Humans; Schistosoma mansoni; Schistosomiasis mansoni; Snails; Urbanization; Brazil; climate change; habitat selection; host range; machine learning; remote sensing; schistosomiasis; snail; urbanization; agricultural land; animal experiment; Article; Biomphalaria; Biomphalaria glabrata; Biomphalaria straminea; Biomphalaria tenagophila; Brazil; climate change; control strategy; controlled study; disease transmission; environmental factor; habitat; host; host range; land use; machine learning; nonhuman; remote sensing; Schistosoma mansoni; schistosomiasis; snail; soil property; urban area; urbanization; animal; Biomphalaria; ecosystem; epidemiology; human; parasitology; physiology; schistosomiasis mansoni</t>
  </si>
  <si>
    <t xml:space="preserve">Fiocruz Minas; Stanford University Center for Innovation in Global Health, CIGH; Stanford Institute for Human-centered Artificial Intelligence Postdoctoral Fellowship; CMM-Fiocruz; Fundação de Amparo à Pesquisa do Estado de São Paulo, FAPESP; Stanford Woods Institute for the Environment; National Institute of Allergy and Infectious Diseases, NIAID, (R01AI102918, R01AI168097); National Institute of Allergy and Infectious Diseases, NIAID; National Institute of General Medical Sciences, NIGMS, (2024385, T32GM144273); National Institute of General Medical Sciences, NIGMS; Fogarty International Center, FIC, (DEB-2011147); Fogarty International Center, FIC; National Science Foundation, NSF, (DEB – 2011179); National Science Foundation, NSF; National Institutes of Health, NIH, (R35GM133439); National Institutes of Health, NIH</t>
  </si>
  <si>
    <t xml:space="preserve">This work was supported by the Belmont Collaborative Forum on Climate, Environment and Health (US-NSF ICER-2024383, FAPESP), by a grant of the Stanford Center for Innovation in Global Health, and the Stanford Program for Disease Ecology, Health and the Environment. G.A.D.L. was partially supported also by an NSF EEID grant (DEB \u2013 2011179). E.A.M. and C.K.G. were supported by the National Science Foundation and the Fogarty International Center (grant no. DEB-2011147). EAM was additionally supported by the National Institute of Allergy and Infectious Diseases (grant nos R01AI168097 and R01AI102918), the National Institutes of Health (grant no. R35GM133439), and by seed grants from the Stanford Woods Institute for the Environment, King Center on Global Development, Center for Innovation in Global Health, and the Terman Award. C.K.G. was additionally supported by a Stanford Institute for Human-centered Artificial Intelligence Postdoctoral Fellowship. T.S.A. was supported by the National Institute of General Medical Sciences under grant number T32GM144273. S.H.S. was supported by NSF grant number 2024385. The content is solely the responsibility of the authors and does not necessarily represent the official views of the National Institute of General Medical Sciences or the National Institutes of Health. Our thanks to the Medical Malacology Collection from Fiocruz Minas (CMM-Fiocruz) for providing the Biomphalaria data. </t>
  </si>
  <si>
    <t xml:space="preserve">Colley D.G., Bustinduy A.L., Secor W.E., King C.H., Human schistosomiasis, Lancet, 383, pp. 2253-2264, (2014); WHO Guideline on Control and Elimination of Human Schistosomiasis., (2022); Schistosomiasis—PAHO/WHO | Pan American Health Organization., (2017); Ending the neglect to attain the Sustainable Development Goals: A road map for neglected tropical diseases 2021–2030; Leo G.A.D., Et al., Schistosomiasis and climate change, BMJ, 371, (2020); Paraense W.L., The schistosome vectors in the Americas, Mem. Inst. Oswaldo Cruz, 96, pp. 7-16, (2001); Nguyen K.H., Et al., Interventions can shift the thermal optimum for parasitic disease transmission, Proc. Natl Acad. Sci. USA, 118, (2021); Barbosa F.S., Barbosa C.S., The bioecology of snail vectors for schitosomiasis in Brazil, Cad. Saude Publ, 10, pp. 200-209, (1994); Gomes E.C.S., Et al., Urban schistosomiasis: An ecological study describing a new challenge to the control of this neglected tropical disease, Lancet Reg. Health Am, 8, (2021); Klohe K., Et al., A systematic literature review of schistosomiasis in urban and peri-urban settings, PLoS Negl. Trop. Dis, 15, (2021); Calasans T.A.S., Et al., Socioenvironmental factors associated with Schistosoma mansoni infection and intermediate hosts in an urban area of northeastern Brazil, PLOS One, 13, (2018); Barbosa C.S., Et al., Current epidemiological status of schistosomiasis in the state of Pernambuco, Brazil, Mem. Inst. Oswaldo Cruz, 105, pp. 549-554, (2010); Silva L.K., Et al., The changing profile of schistosomiasis in a changing urban landscape, Int. J. Parasitol, 50, pp. 27-34, (2020); Oliveira D.S., Et al., Schistosomiasis mansoni in urban Northeast Brazil: influence of rainfall regime on the population dynamics of Biomphalaria sp, Rev. Soc. Bras. Med. Trop, 46, pp. 654-657, (2013); Silva P., Barbosa C.S., Pieri O., Travassos A., Florencio L., Aspectos físico-químicos e biológicos relacionados à ocorrência de Biomphalaria glabrata em focos litorâneos da esquistossomose em Pernambuco, Quím. Nova, 29, pp. 901-906, (2006); Menezes C.A., Et al., FioSchisto’s expert perspective on implementing WHO guidelines for schistosomiasis control and transmission elimination in Brazil, Front. Immunol, 14, (2023); Silva da Paz W., Et al., Basic and associated causes of schistosomiasis-related mortality in Brazil: A population-based study and a 20-year time series of a disease still neglected, J. Glob. Health, 11, (2021); Sokolow S.H., Et al., To Reduce the Global Burden of Human Schistosomiasis, Use ‘Old Fashioned’ Snail Control, Trends Parasitol, 34, pp. 23-40, (2018); Sokolow S.H., Et al., Global Assessment of Schistosomiasis Control Over the Past Century Shows Targeting the Snail Intermediate Host Works Best, PLoS Negl. Trop. Dis, 10, (2016); Scholte R.G.C., Carvalho O.S., Malone J.B., Utzinger J., Vounatsou P., Spatial distribution of Biomphalaria spp., the intermediate host snails of Schistosoma mansoni, in Brazil, Geospatial Health, 6, pp. S95-S101, (2012); Palasio R.G.S., de Azevedo T.S., Tuan R., Chiaravalloti-Neto F., Modelling the present and future distribution of Biomphalaria species along the watershed of the Middle Paranapanema region, São Paulo, Brazil, Acta Trop, 214, (2021); Sorichetta A., Et al., High-resolution gridded population datasets for Latin America and the Caribbean in 2010, 2015, and 2020, Sci. Data, 2, (2015); Azevedo T., Souza C.M., Shimbo J., Alencar A., MapBiomas initiative: Mapping annual land cover and land use changes in Brazil from 1985 to 2017, B22A-04 (American Geophysical Union, (2018); Molnar C., Interpretable Machine Learning: A Guide for Making Black Box Models Explainable, (2022); Elith J., Et al., A statistical explanation of MaxEnt for ecologists, Divers. Distrib, 17, pp. 43-57, (2011); Cardoso A.C.D., dal'Asta A.P., Monteiro A.M.V., O que é o urbano na Amazônia contemporânea? Implicações para a vigilância em saúde no bioma, Cad. Saúde. Públ, 39, (2023); Favre T.C., Et al., A Longitudinal Study on the Natural Infection of Biomphalaria straminea and B. Glabrata by Schistosoma mansoni in an Endemic Area of Schistosomiasis in Pernambuco, Brazil. Mem. Inst. Oswaldo Cruz., 97, pp. 465-475, (2002); Palasio R.G.S., de Jesus Rossignoli T., Di Sessa R.C.S., Ohlweiler F.P., Chiaravalloti-Neto F., Spatial analysis of areas at risk for schistosomiasis in the Alto Tietê Basin, São Paulo, Brazil, Acta Trop, 224, (2021); Brazil: Internal migration, In the Encyclopedia of Global Human Migration, (2013); Strikis N.M., Et al., Modern anthropogenic drought in Central Brazil unprecedented during last 700 years, Nat. Commun, 15, (2024); Hijmans R.J., Cameron S.E., Parra J.L., Jones P.G., Jarvis A., Very high resolution interpolated climate surfaces for global land areas, Int. J. Climatol, 25, pp. 1965-1978, (2005); De Sousa Dos Santos S., Et al., Schistosomiasis mansoni and hydrographical conditions in São Carlos, São Paulo, Brazil, Trans. R. Soc. Trop. Med. Hyg, 117, pp. 391-400, (2023); Njoh D.B., Et al., Urban and Peri-Urban Agriculture in Bamenda: A Policy Narrative, (2018); de Souza Gomes E.C., Et al., Risk analysis for occurrences of schistosomiasis in the coastal area of Porto de Galinhas, Pernambuco, Brazil, BMC Infect. Dis, 14, (2014); Pinto H.A., Mati V.L.T., Melo A., The Pampulha reservoir remains a potential urban focus of schistosomiasis mansoni in Brazil: changes in the occurrence patterns of Biomphalaria species and a new record of the parasite, Rev. Soc. Bras. Med. Trop, 46, pp. 478-483, (2013); Ferrari D.F., ESQUISTOSSOMOSE—PERFIL EPIDEMIOLÓGICO DOS CASOS ESPÍRITO SANTO – 2007 A 2017, In Proceedings of the II Scientific Journey of Medicine at Vila Velha University: UVV 11, (2018); Alves M.R., Socio-environmental factors and schistosomiasis hospitalizations in Minas Gerais, Brazil (2007-2017)/ Factores socioambientales y hospitalizaciones por esquistosomiasis en Minas Gerais, Brasil (2007-2017)/ Fatores socioambientais e internações por esquistossomose em Minas Gerais, Brasil (2007-2017), J. Health NPEPS, 7, (2022); Wood C.L., Et al., Precision mapping of snail habitat provides a powerful indicator of human schistosomiasis transmission, Proc. Natl Acad. Sci. USA, 116, pp. 23182-23191, (2019); Liu Z.Y.-C., Et al., Deep Learning Segmentation of Satellite Imagery Identifies Aquatic Vegetation Associated with Snail Intermediate Hosts of Schistosomiasis in Senegal, Afr. Remote Sens, 14, (2022); Lin D., Et al., The potential risk of Schistosoma mansoni transmission by the invasive freshwater snail Biomphalaria straminea in South China, PLoS Negl. Trop. Dis, 14, (2020); Singleton A.L., Et al., Species Distribution Modeling for Disease Ecology: A Multi-Scale Case Study for Schistosomiasis Host Snails in Brazil, (2023); Hijmans R.J., Phillips S., Elith J., Dismo: Species Distribution Modeling., (2023); Boria R.A., Olson L.E., Goodman S.M., Anderson R.P., Spatial filtering to reduce sampling bias can improve the performance of ecological niche models, Ecol. Model, 275, pp. 73-77, (2014); GBIF, (2024); Karger D.N., Schmatz D.R., Dettling G., Zimmermann N.E., High-resolution monthly precipitation and temperature time series from 2006 to 2100, Sci. Data, 7, (2020); Pekel J.-F., Cottam A., Gorelick N., Belward A.S., High-resolution mapping of global surface water and its long-term changes, Nature, 540, pp. 418-422, (2016); Yamazaki D., Et al., MERIT Hydro: A High-Resolution Global Hydrography Map Based on Latest Topography Dataset, Water Resour. Res, 55, pp. 5053-5073, (2019); Grill G., Et al., Mapping the world’s free-flowing rivers, Nature, 569, pp. 215-221, (2019); NASADEM Merged DEM Global 1 arc second V001 [Data set]. NASA EOSDIS Land Processes DAAC., (2020); Hengl T., Sand content in % (Kg / kg) at 6 standard depths (0, 10, 30, 60, 100 and 200 cm) at 250 m resolution., (2018); Hengl T., Clay content in % (Kg / kg) at 6 standard depths (0, 10, 30, 60, 100 and 200 cm) at 250 m resolution., (2018); Hengl T., Soil bulk density (Fine earth) 10 x kg / m-cubic at 6 standard depths (0, 10, 30, 60, 100 and 200 cm) at 250 m resolution., (2018); Hengl T., Soil pH in H2O at 6 standard depths (0, 10, 30, 60, 100 and 200 cm) at 250 m resolution., (2018); Soil organic carbon content in x5 g / kg at 6 standard depths (0, 10, 30, 60, 100 and 200 cm) at 250 m resolution., (2018); United Nations Statistics Division—Demographic and Social Statistics, (2005); Data | The World Bank, (2017); European Commission, Joint Research Centre (JRC). GHS-POP R2015A - GHS population grid, derived from GPW4, multitemporal, (1975); Gorelick N., Et al., Google Earth Engine: Planetary-scale geospatial analysis for everyone, Remote Sens. Environ, 202, pp. 18-27, (2017); CHELSA Downloads V2.1. “CHELSA Downloads v2.1.”, (2021); XGBoost: A Scalable Tree Boosting System, In Proceedings of the 22Nd ACM SIGKDD International Conference on Knowledge Discovery and Data Mining, pp. 785-794, (2016); Valavi R., Elith J., Lahoz-Monfort J.J., Guillera-Arroita G., blockCV: An r package for generating spatially or environmentally separated folds for k-fold cross-validation of species distribution models, Methods Ecol. Evol, 10, pp. 225-232, (2019); Yan Y., Rbayesianoptimization: Bayesian Optimization of Hyperparameters; Robin X., Et al., pROC: an open-source package for R and S+ to analyze and compare ROC curves, BMC Bioinforma, 12, (2011); Kuhn M., Building Predictive Models in R Using the caret Package, J. Stat. Softw, 28, pp. 1-26, (2008); Liu Y., Just A., SHAPforxgboost: SHAP plots for ‘XGBoost’, R Package Version 0.1.3 (CRAN, (2023); Greenwell B.M., pdp: An R Package for Constructing Partial Dependence Plots, R. J, 9, pp. 421-436, (2017); Ggplot2: Elegant Graphics for Data Analysis, (2016); Pereira R., Goncalves C., Geobr: Download Official Spatial Data Sets of Brazil, (2024); Hijmans R., Raster: Geographic Data Analysis and Modeling. R Package Version 3.6-27, (2024); Alchamberlin A., Climate and Urbanization Drive Changes in the Habitat Suitability of Schistosoma Mansoni Competent Snails in Brazil, (2024)</t>
  </si>
  <si>
    <t xml:space="preserve">C.K. Glidden; Stanford University, Department of Biology, Institute for Human-Centered AI, Stanford, United States; email: cglidden@stanford.edu</t>
  </si>
  <si>
    <t xml:space="preserve">Nat. Commun.</t>
  </si>
  <si>
    <t xml:space="preserve">2-s2.0-85196370559</t>
  </si>
  <si>
    <t xml:space="preserve">Guma F.E.</t>
  </si>
  <si>
    <t xml:space="preserve">Guma, Fathelrhman El (58895612300)</t>
  </si>
  <si>
    <t xml:space="preserve">Comparative analysis of time series prediction models for visceral leishmaniasis:based on SARIMA and LSTM</t>
  </si>
  <si>
    <t xml:space="preserve">Visceral leishmaniasis, a severe health disorder, is attributed to the microscopic parasite Leishmania. The parasitic illness possesses the capacity to pose a significant risk to human life and exhibits a variable prevalence across people worldwide. Using time series prediction techniques for VL might offer valuable insights to aid public health professionals in strategizing and implementing effective measures for VL prevention. This study presents a comparative analysis of time series forecasting techniques, specifically focusing on two methods: SARIMA and LSTM recurrent neural networks. Forecast performance evaluation involves utilizing monthly VL data acquired from district health offices from January 2000 to December 2021. An assessment of the model’s performance is conducted to ascertain its efficacy. According to the evaluation conducted using three metrics, namely mean average precision (MAP), root mean square (RMS), and mean absolute error (MA), the findings indicate that the LSTM model outperforms the SARIMA model in terms of forecasting monthly conditions. The discovery implies that the LSTM approach may be better suited for predicting VL incidents and has the potential to contribute to the formulation of efficient preventive measures. Furthermore, it is suggested that future studies should investigate the possibility of integrating SARIMA and LSTM techniques to improve VL forecasts’ precision. © 2024 NSP Natural Sciences Publishing Cor. All Rights Reserved.</t>
  </si>
  <si>
    <t xml:space="preserve">surveillance.policy planning</t>
  </si>
  <si>
    <t xml:space="preserve">Applied Mathematics and Information Sciences</t>
  </si>
  <si>
    <t xml:space="preserve">Natural Sciences Publishing</t>
  </si>
  <si>
    <t xml:space="preserve">10.18576/amis/180113</t>
  </si>
  <si>
    <t xml:space="preserve">https://www.scopus.com/inward/record.uri?eid=2-s2.0-85186170897&amp;doi=10.18576%2famis%2f180113&amp;partnerID=40&amp;md5=7f4b909b5c435f3cde08983f9592e956</t>
  </si>
  <si>
    <t xml:space="preserve">Department of Mathematics, Faculty of Science and Arts, Al-Baha University, Baljurashi, 1988, Saudi Arabia; Department of Statistical Study, College of Economics and Community Development, Peace University, West Kordofan, Sudan</t>
  </si>
  <si>
    <t xml:space="preserve">Guma F.E., Department of Mathematics, Faculty of Science and Arts, Al-Baha University, Baljurashi, 1988, Saudi Arabia, Department of Statistical Study, College of Economics and Community Development, Peace University, West Kordofan, Sudan</t>
  </si>
  <si>
    <t xml:space="preserve">LSTM; Prediction; SARIMA; VL pandemic</t>
  </si>
  <si>
    <t xml:space="preserve">Gedaref State Ministry of Health; Health Information Center</t>
  </si>
  <si>
    <t xml:space="preserve">The author would like to thank everyone who helped compile the study’s data set from the Health Information Center under the Gedaref State Ministry of Health. He would also like to thank the anonymous reviewers for their invaluable contributions.</t>
  </si>
  <si>
    <t xml:space="preserve">Zijlstra E., El-Hassan A., Leishmaniasis in sudan. 3. visceral leishmaniasis, Transactions of the Royal Society of Tropical Medicine and Hygiene, 95, pp. S27-S58, (2001); van Griensven J., Dorlo T. P., Diro E., Costa C., Burza S., The status of combination therapy for visceral leishmaniasis: an updated review, The Lancet Infectious Diseases, (2023); Chappuis F., Sundar S., Hailu A., Ghalib H., Rijal S., Peeling R. W., Alvar J., Boelaert M., Visceral leishmaniasis: what are the needs for diagnosis, treatment and control?, Nature reviews microbiology, 5, 11, pp. 873-882, (2007); Clem A., A current perspective on leishmaniasis, Journal of global infectious diseases, 2, 2, (2010); Guma F., Badawy O., Musa A., Mohammed B., Abdoon M., Berir M., Salih S., Risk factors for death among COVID-19 Patients admitted to isolation Units in Gedaref state, Eastern Sudan: a retrospective cohort study, Journal Of Survey In Fisheries Sciences, 10, pp. 712-722, (2023); Elshoubary E., Abdoon M., Bahatheg A., Albeladi M., Stability analysis and numerical simulation of fractional model of Leishmaniasis, Results In Nonlinear Analysis, 6, pp. 9-17, (2023); Abdoon M., Saadeh R., Berir M., Guma F., Others Analysis, modeling and simulation of a fractional-order influenza model, Alexandria Engineering Journal, 74, pp. 231-240, (2023); Wamai R. G., Kahn J., McGloin J., Ziaggi G., Visceral leishmaniasis: a global overview, Journal of Global Health Science, 2, 1, (2020); Guma F., Badawy O., Berir M., Abdoon M., Numerical Analysis of Fractional-Order Dynamic Dengue Disease Epidemic in Sudan, Journal Of The Nigerian Society Of Physical Sciences, pp. 1464-1464, (2023); Abdalla A. O. A., Mohammed A. A., Khaier M. A. M., Zainaldeen A. A., Et al., Prevalence and characterization of leishmania donovani in human hospital cases and domestic dogs in gadarif state, sudan, (2023); Almutairi D. K., Abdoon M. A., Salih S. Y. M., Elsamani S. A., Guma F. E., Berir M., Modeling and analysis of a fractional visceral leishmaniosis with caputo and caputo-fabrizio derivatives, Journal of the Nigerian Society of Physical Sciences, pp. 1453-1453, (2023); Tsan Y.-T., Chen D.-Y., Liu P.-Y., Kristiani E., Nguyen K. L. P., Yang C.-T., The prediction of influenza-like illness and respiratory disease using lstm and arima, International Journal of Environmental Research and Public Health, 19, 3, (2022); Zhao D., Zhang H., Cao Q., Wang Z., He S., Zhou M., Zhang R., The research of ARIMA, GM(1,1), and LSTM models for prediction of TB cases in China, PLOS ONE, 17, (2022); Shaman J., Karspeck A., Forecasting seasonal outbreaks of influenza, Proceedings Of The National Academy Of Sciences, 109, pp. 20425-20430, (2012); Riaz M., Hussain Sial M., Sharif S., Mehmood Q., Others Epidemiological Forecasting Models Using ARIMA, SARIMA, and Holt-Winter Multiplicative Approach for Pakistan, Journal Of Environmental And Public Health, 2023; Chimmula V., Zhang L., Time series forecasting of COVID-19 transmission in Canada using LSTM networks, Chaos, Solitons &amp; Fractals, 135, (2020); Watad A., Watad S., Mahroum N., Sharif K., Amital H., Bragazzi N., Adawi M., Others Forecasting the West Nile virus in the United States: an extensive novel data streams-based time series analysis and structural equation modeling of related digital searching behavior, JMIR Public Health And Surveillance, 5, (2019); Dubey A., Kumar A., Garcia-Diaz V., Sharma A., Kanhaiya K., Study and analysis of SARIMA and LSTM in forecasting time series data, Sustainable Energy Technologies And Assessments, 47, (2021); Aryal S., Nadarajah D., Rupasinghe P., Jayawardena C., Kasthurirathna D., Comparative analysis of deep learning models for multi-step prediction of financial time series, Journal Of Computer Science, 16, pp. 1401-1416, (2020); Aghelpour P., Mohammadi B., Biazar S., Long-term monthly average temperature forecasting in some climate types of Iran, using the models SARIMA, SVR, and SVR-FA, Theoretical And Applied Climatology, 138, pp. 1471-1480, (2019); Zhao Z., Zhai M., Li G., Gao X., Song W., Wang X., Ren H., Cui Y., Qiao Y., Ren J., Others Study on the prediction effect of a combined model of SARIMA and LSTM based on SSA for influenza in Shanxi Province, China, BMC Infectious Diseases, 23, (2023); Adeyeye J., Nkemnole E., Predicting Malaria Incident Using Hybrid SARIMA-LSTM Model, International Journal Of Mathematical Sciences And Optimization: Theory And Applications, 9, (2023); Zhao R., Liu J., Zhao Z., Zhai M., Ren H., Wang X., Li Y., Cui Y., Qiao Y., Ren J., Others A hybrid model for tuberculosis forecasting based on empirical mode decomposition in China, BMC Infectious Diseases, 23, (2023); Mills T., A very British affair: Six Britons and the development of time series analysis during the 20th century, (2012); ArunKumar K., Kalaga D. V., Kumar C. M. S., Kawaji M., Brenza T. M., Comparative analysis of gated recurrent units (gru), long short-term memory (lstm) cells, autoregressive integrated moving average (arima), seasonal autoregressive integrated moving average (sarima) for forecasting covid-19 trends, Alexandria engineering journal, 61, 10, pp. 7585-7603, (2022); Yang J., Yang L., Li G., Du J., Ma L., Zhang T., Zhang X., Yang J., Feng L., Yang W., Et al., Comparative study on influenza time series prediction models in a megacity from 2010 to 2019: Based on sarima and deep learning hybrid prediction model, (2022); Amshi A., Prasad R., Sharma B., Forecasting cholera disease using SARIMA and LSTM models with discrete wavelet transform as feature selection, Journal Of Intelligent &amp; Fuzzy Systems, pp. 1-13; Amshi A. H., Prasad R., Time series analysis and forecasting of cholera disease using discrete wavelet transform and seasonal autoregressive integrated moving average model, Scientific African, 20, (2023); Liu H., Li C., Shao Y., Zhang X., Zhai Z., Wang X., Qi X., Wang J., Hao Y., Wu Q., Et al., Forecast of the trend in incidence of acute hemorrhagic conjunctivitis in china from 2011-2019 using the seasonal autoregressive integrated moving average (sarima) and exponential smoothing (ets) models, Journal of infection and public health, 13, 2, pp. 287-294, (2020); Bezerra A. K. L., Santos E. M. C., Prediction the daily number of confirmed cases of covid-19 in sudan with arima and holt winter exponential smoothing, International Journal of Development Research, 10, pp. 39408-39413, (2020); Mamudu L., Yahaya A., Dan S., Application of seasonal autoregressive integrated moving average (sarima) for flows of river kaduna, Niger. J. Eng, 28, 2, (2021); Hochreiter S., Schmidhuber J., Long short-term memory, Neural computation, 9, 8, pp. 1735-1780, (1997); Othman M., Indawati R., Suleiman A. A., Qomaruddin M. B., Sokkalingam R., Model forecasting development for dengue fever incidence in surabaya city using time series analysis, Processes, 10, 11, (2022)</t>
  </si>
  <si>
    <t xml:space="preserve">F.E. Guma; Department of Statistical Study, College of Economics and Community Development, Peace University, West Kordofan, Sudan; email: fathyelrhman@gmail.com</t>
  </si>
  <si>
    <t xml:space="preserve">Appl. Mat. Inf. Sci.</t>
  </si>
  <si>
    <t xml:space="preserve">2-s2.0-85186170897</t>
  </si>
  <si>
    <t xml:space="preserve">Indra Z.; Jusman Y.; Elfizar E.; Salambue R.; Kurniawan R.; Melia T.</t>
  </si>
  <si>
    <t xml:space="preserve">Indra, Zul (56606264400); Jusman, Yessi (35810354700); Elfizar, Elfizar (57035411800); Salambue, Roni (57201503912); Kurniawan, Rahmad (57188235500); Melia, Tisha (56291795100)</t>
  </si>
  <si>
    <t xml:space="preserve">56606264400; 35810354700; 57035411800; 57201503912; 57188235500; 56291795100</t>
  </si>
  <si>
    <t xml:space="preserve">Computer-Assisted Disease Diagnosis Application for Malaria Early Diagnosis Based on Modified CNN Algorithm</t>
  </si>
  <si>
    <t xml:space="preserve">Since its emergence in the early 20th century, Malaria has been confirmed as a deadly disease that has spread throughout the world with very high mortality and morbidity. This is in accordance with the WHO report in 2018 which stated that worldwide there have been more than 220 million cases of malaria with a death rate of nearly 500 thousand cases. However, Malaria is actually a disease that can be cured and prevented if treatment initiatives are implemented early and effectively. Unfortunately, this disease is often ignored because it is considered the common cold and is only diagnosed when it has reached a critical phase. This research is expected to be an alternative for early diagnosis of malaria. Hence, confirming the presence of the malaria parasite earlier will make the treatment of this disease more effective in reducing mortality. This research is expected to produce website-based computer-assisted disease diagnosis (CAD) software enriched with deep learning algorithms to become an alternative for early diagnosis of malaria. This CAD system has the potential to provide fast and reliable malaria diagnosis and avoid detection errors by experts due to human error. This research uses various pre-trained CNN architectures that have been proven to have the best performance in extracting features and recognizing image patterns such as MobileNetV2, EfficientNetBO, RestNet50, InceptionV3 and Xception. This architecture was then modified by adding several additional layers to improve its performance. To be concluded, this research succeeded in exceeding previous studies by obtaining an accuracy value above 97%. Moreover, this developed CAD software is also equipped with various features to make it easier to use. © 2024 University of Bahrain. All rights reserved.</t>
  </si>
  <si>
    <t xml:space="preserve">International Journal of Computing and Digital Systems</t>
  </si>
  <si>
    <t xml:space="preserve">University of Bahrain</t>
  </si>
  <si>
    <t xml:space="preserve">10.12785/ijcds/150168</t>
  </si>
  <si>
    <t xml:space="preserve">https://www.scopus.com/inward/record.uri?eid=2-s2.0-85186924162&amp;doi=10.12785%2fijcds%2f150168&amp;partnerID=40&amp;md5=e26eef04874262251b7d3d7077994db1</t>
  </si>
  <si>
    <t xml:space="preserve">Departement of Computer Science, Universitas Riau, Pekanbaru, Indonesia; Departement of Electrical Engineering, Universitas Muhammadiyah Yogyakarta, Bantul, Indonesia</t>
  </si>
  <si>
    <t xml:space="preserve">Indra Z., Departement of Computer Science, Universitas Riau, Pekanbaru, Indonesia; Jusman Y., Departement of Electrical Engineering, Universitas Muhammadiyah Yogyakarta, Bantul, Indonesia; Elfizar E., Departement of Computer Science, Universitas Riau, Pekanbaru, Indonesia; Salambue R., Departement of Computer Science, Universitas Riau, Pekanbaru, Indonesia; Kurniawan R., Departement of Computer Science, Universitas Riau, Pekanbaru, Indonesia; Melia T., Departement of Computer Science, Universitas Riau, Pekanbaru, Indonesia</t>
  </si>
  <si>
    <t xml:space="preserve">Computer-assisted disease diagnosis (CAD); Convolutional Neural Network (CNN); Malaria; Pre-trained CNN; Thin Blood Images; Website</t>
  </si>
  <si>
    <t xml:space="preserve">Dagen M., History of malaria and its treatment, Antimalarial agents, pp. 1-48, (2020); World malaria report 2022, (2022); Fact Sheet about Malaria 2019; Fact Sheet about Malaria 2020; Poostchi M., Silamut K., Maude R. J., Jaeger S., Thoma G., Image analysis and machine learning for detecting malaria, Translational Research, 194, pp. 36-55, (2018); Sriporn K., Tsai C.-F., Tsai C.-E., Wang P., Analyzing malaria disease using effective deep learning approach, Diagnostics, 10, 10, (2020); Del Prado G. R. L., Garcia C. H., Cea L. M., Espinilla V. F., Moreno M. F. M., Marquez A. D., Polo M. J. P., Garcia I. A., Malaria in developing countries, The Journal of Infection in Developing Countries, 8, pp. 001-004, (2014); Pattanaik P., Mittal M., Khan M. Z., Panda S., Malaria detection using deep residual networks with mobile microscopy, Journal of King Saud University-Computer and Information Sciences, 34, 5, pp. 1700-1705, (2022); Kassim Y. M., Palaniappan K., Yang F., Poostchi M., Palaniappan N., Maude R. J., Antani S., Jaeger S., Clustering-based dual deep learning architecture for detecting red blood cells in malaria diagnostic smears, ieee journal of biomedical and health informatics, 25, 5, pp. 1735-1746, (2020); Liang Z., Powell A., Ersoy I., Poostchi M., Silamut K., Palaniappan K., Guo P., Hossain M. A., Sameer A., Maude R. J., Et al., Cnn-based image analysis for malaria diagnosis, 2016 IEEE international conference on bioinformatics and biomedicine (BIBM), pp. 493-496, (2016); Yang F., Poostchi M., Yu H., Zhou Z., Silamut K., Yu J., Maude R. J., Jaeger S., Antani S., Deep learning for smartphone-based malaria parasite detection in thick blood smears, IEEE journal of biomedical and health informatics, 24, 5, pp. 1427-1438, (2019); Bibin D., Nair M. S., Punitha P., Malaria parasite detection from peripheral blood smear images using deep belief networks, IEEE Access, 5, pp. 9099-9108, (2017); Manescu P., Bendkowski C., Claveau R., Elmi M., Brown B. J., Pawar V., Shaw M. J., Fernandez-Reyes D., A weakly supervised deep learning approach for detecting malaria and sickle cells in blood films, Medical Image Computing and Computer Assisted Intervention–MICCAI 2020: 23rd International Conference, pp. 226-235, (2020); Delgado-Ortet M., Molina A., Alferez S., Rodellar J., Merino A., A deep learning approach for segmentation of red blood cell images and malaria detection, Entropy, 22, 6, (2020); Islam C. S., Mollah M. S. H., A novel idea of malaria identification using convolutional neural networks (cnn), 2018 IEEE-EMBS Conference on Biomedical Engineering and Sciences (IECBES), pp. 7-12, (2018); Umer M., Sadiq S., Ahmad M., Ullah S., Choi G. S., Mehmood A., A novel stacked cnn for malarial parasite detection in thin blood smear images, IEEE Access, 8, pp. 93782-93792, (2020); Mehanian C., Jaiswal M., Delahunt C., Thompson C., Horning M., Hu L., Ostbye T., McGuire S., Mehanian M., Champlin C., Et al., Computer-automated malaria diagnosis and quantitation using convolutional neural networks, Proceedings of the IEEE international conference on computer vision workshops, pp. 116-125, (2017); Prakash S. S., Kovoor B. C., Visakha K., Convolutional neural network based malaria parasite infection detection using thin microscopic blood smear samples, 2020 Second International Conference on Inventive Research in Computing Applications (ICIRCA), pp. 308-313, (2020); Ragb H. K., Dover I. T., Ali R., Deep convolutional neural network ensemble for improved malaria parasite detection, 2020 IEEE Applied Imagery Pattern Recognition Workshop (AIPR), pp. 1-10, (2020); Vijayalakshmi A., Deep learning approach to detect malaria from microscopic images, Multimedia Tools and Applications, 79, pp. 15297-15317, (2020); Joshi A. M., Das A. K., Dhal S., Deep learning based approach for malaria detection in blood cell images, 2020 IEEE region 10 conference (TENCON), pp. 241-246, (2020); Fuhad K. F., Tuba J. F., Sarker M. R. A., Momen S., Mohammed N., Rahman T., Deep learning based automatic malaria parasite detection from blood smear and its smartphone based application, Diagnostics, 10, 5, (2020); Kalkan S. C., Sahingoz O. K., Deep learning based classification of malaria from slide images, 2019 scientific meeting on electrical-electronics &amp; biomedical engineering and computer science (EBBT), pp. 1-4, (2019); Singla N., Srivastava V., Deep learning enabled multiwavelength spatial coherence microscope for the classification of malaria-infected stages with limited labelled data size, Optics &amp; Laser Technology, 130, (2020); Manescu P., Zajiczek L. N., Shaw M. J., Elmi M., Claveau R., Pawar V., Shawe-Taylor J., Kokkinos I., Srinivasan M. A., Lagunju I., Et al., Deep learning enhanced extended depth-of-field for thick blood-film malaria high-throughput microscopy, (2019); Alok N., Krishan K., Chauhan P., Deep learning-based image classifier for malaria cell detection, Machine learning for healthcare applications, pp. 187-197, (2021); Maqsood A., Farid M. S., Khan M. H., Grzegorzek M., Deep malaria parasite detection in thin blood smear microscopic images, Applied Sciences, 11, 5, (2021); Abubakar A., Ajuji M., Yahya I. U., Deepfmd: computational analysis for malaria detection in blood-smear images using deep-learning features, Applied System Innovation, 4, 4, (2021); Sayyed A. S., Saha D., Hossain A. R., Shahnaz C., Effectiveness of convolutional and capsule network in malaria parasite detection, 2019 IEEE International Conference on Signal Processing, Information, Communication &amp; Systems (SPICSCON), pp. 68-73, (2019); Montalbo F. J. P., Alon A. S., Empirical analysis of a fine-tuned deep convolutional model in classifying and detecting malaria parasites from blood smears, KSII Transactions on Internet and Information Systems, 15, 1, (2021); Dong Y., Jiang Z., Shen H., Pan W. D., Williams L. A., Reddy V. V., Benjamin W. H., Bryan A. W., Evaluations of deep convolutional neural networks for automatic identification of malaria infected cells, 2017 IEEE EMBS international conference on biomedical &amp; health informatics (BHI), pp. 101-104, (2017); Saglam S., Tat F., Bayar S., Fpga implementation of cnn algorithm for detecting malaria diseased blood cells, 2019 International Symposium on Advanced Electrical and Communication Technologies (ISAECT), pp. 1-5, (2019); Rahman A., Zunair H., Rahman M. S., Yuki J. Q., Biswas S., Alam M. A., Alam N. B., Mahdy M., Improving malaria parasite detection from red blood cell using deep convolutional neural networks, (2019); Masud M., Alhumyani H., Alshamrani S. S., Cheikhrouhou O., Ibrahim S., Muhammad G., Hossain M. S., Shorfuzzaman M., Leveraging deep learning techniques for malaria parasite detection using mobile application, Wireless Communications and Mobile Computing, 2020, pp. 1-15, (2020); Alqudah A., Alqudah A. M., Qazan S., Lightweight deep learning for malaria parasite detection using cell-image of blood smear images, Rev. d’Intelligence Artif, 34, 5, pp. 571-576, (2020); Adamjee U., Ghani S., Malaria cell identification from microscopic blood smear images, 2019 8th International Conference on Information and Communication Technologies (ICICT), pp. 82-86, (2019); Shekar G., Revathy S., Goud E. K., Malaria detection using deep learning, 2020 4th international conference on trends in electronics and informatics (ICOEI)(48184), pp. 746-750, (2020); Qayyum A. B. A., Islam T., Haque M. A., Malaria diagnosis with dilated convolutional neural network based image analysis, 2019 IEEE International Conference on Biomedical Engineering, Computer and Information Technology for Health (BECITHCON), pp. 68-72, (2019); Militante S. V., Malaria disease recognition through adaptive deep learning models of convolutional neural network, 2019 IEEE 6th International Conference on Engineering Technologies and Applied Sciences (ICETAS), pp. 1-6, (2019); Singh S. P., Bansal P., Kumar S., Shrivastava P., Malaria parasite recognition in thin blood smear images using squeeze and excitation networks, 2019 IEEE Conference on Information and Communication Technology, pp. 1-5, (2019); Kumar A., Singh S. B., Satapathy S. C., Rout M., Mosquito-net: a deep learning based cadx system for malaria diagnosis along with model interpretation using gradcam and class activation maps, Expert Systems, 39, 7, (2022); Rajaraman S., Jaeger S., Antani S. K., Performance evaluation of deep neural ensembles toward malaria parasite detection in thin-blood smear images, PeerJ, 7, (2019); Rajaraman S., Antani S. K., Poostchi M., Silamut K., Hossain M. A., Maude R. J., Jaeger S., Thoma G. R., Pre-trained convolutional neural networks as feature extractors toward improved malaria parasite detection in thin blood smear images, PeerJ, 6, (2018); Huq A., Pervin M. T., Robust deep neural network model for identification of malaria parasites in cell images, 2020 IEEE Region 10 Symposium (TENSYMP), pp. 1456-1459, (2020); Reddy A. S. B., Juliet D. S., Transfer learning with resnet-50 for malaria cell-image classification, 2019 International Conference on Communication and Signal Processing (ICCSP), pp. 0945-0949, (2019); Pattanaik P. A., Mittal M., Khan M. Z., Unsupervised deep learning cad scheme for the detection of malaria in blood smear microscopic images, IEEE Access, 8, pp. 94936-94946, (2020); Yang F., Yu H., Silamut K., Maude R. J., Jaeger S., Antani S., Smartphone-supported malaria diagnosis based on deep learning, Machine Learning in Medical Imaging: 10th International Workshop, MLMI 2019, Held in Conjunction with MICCAI 2019, pp. 73-80, (2019); Rahman A., Zunair H., Reme T. R., Rahman M. S., Mahdy M. R. C., A comparative analysis of deep learning architectures on high variation malaria parasite classification dataset, Tissue and Cell, 69, (2021); Torres K., Bachman C. M., Delahunt C. B., Alarcon Baldeon J., Alava F., Gamboa Vilela D., Proux S., Mehanian C., McGuire S. K., Thompson C. M., Et al., Automated microscopy for routine malaria diagnosis: a field comparison on giemsa-stained blood films in peru, Malaria journal, 17, pp. 1-11, (2018); Manescu P., Shaw M. J., Elmi M., Neary-Zajiczek L., Claveau R., Pawar V., Kokkinos I., Oyinloye G., Bendkowski C., Oladejo O. A., Et al., Expert-level automated malaria diagnosis on routine blood films with deep neural networks, American Journal of Hematology, 95, 8, pp. 883-891, (2020); Shah D., Kawale K., Shah M., Randive S., Mapari R., Malaria parasite detection using deep learning:(beneficial to humankind), 2020 4th International Conference on Intelligent Computing and Control Systems (ICICCS), pp. 984-988, (2020); Sivaramakrishnan R., Antani S., Jaeger S., Visualizing deep learning activations for improved malaria cell classification, Medical informatics and healthcare. PMLR, pp. 40-47, (2017); Rahul Das P., Karuna G., Srilakshmi V., Rupa B., An efficient smartphone based parasite malaria detection with deep neural networks, 2021 Third International Conference on Inventive Research in Computing Applications (ICIRCA), (2021); Mitrovic K., Milosevic D., Classification of malaria-infected cells using convolutional neural networks, 2021 IEEE 15th International Symposium on Applied Computational Intelligence and Informatics (SACI), pp. 000323-000328, (2021); Tan C. K., Goh C. M., Aluwee S. A. Z. B. S., Khor S. W., Chai M. T., Malaria parasite detection using residual attention u-net, 2021 IEEE International Conference on Signal and Image Processing Applications (ICSIPA), pp. 122-127, (2021); Alawi A. E. B., Mosleh M. A., Almohagry Z., Saeed A. Y., Parasitized cell recognition using alexnet pre-trained model, 2021 1st International Conference on Emerging Smart Technologies and Applications (eSmarTA), pp. 1-4, (2021); Delahunt C. B., Jaiswal M. S., Horning M. P., Janko S., Thompson C. M., Kulhare S., Hu L., Ostbye T., Yun G., Gebrehiwot R., Et al., Fully-automated patient-level malaria assessment on field-prepared thin blood film microscopy images, 2019 IEEE Global Humanitarian Technology Conference (GHTC), pp. 1-8, (2019); Elangovan P., Nath M. K., A novel shallow convnet-18 for malaria parasite detection in thin blood smear images: Cnn based malaria parasite detection, SN computer science, 2, 5, (2021); Gopakumar G. P., Swetha M., Sai Siva G., Sai Sub-rahmanyam G. R. K., Convolutional neural network-based malaria diagnosis from focus stack of blood smear images acquired using custom-built slide scanner, Journal of biophotonics, 11, 3, (2018); Penas K. E. D., Rivera P. T., Naval P. C., Malaria parasite detection and species identification on thin blood smears using a convolutional neural network, 2017 IEEE/ACM International Conference on Connected Health: Applications, Systems and Engineering Technologies (CHASE), pp. 1-6, (2017); Horning M. P., Delahunt C. B., Bachman C. M., Luchavez J., Luna C., Hu L., Jaiswal M. S., Thompson C. M., Kulhare S., Janko S., Et al., Performance of a fully-automated system on a who malaria microscopy evaluation slide set, Malaria journal, 20, 1, pp. 1-11, (2021); Qin B., Wu Y., Wang Z., Zheng H., Malaria cell detection using evolutionary convolutional deep networks, 2019 Computing, Communications and IoT Applications (ComComAp), pp. 333-336, (2019); Jameela T., Athota K., Singh N., Gunjan V. K., Kahali S., Et al., Deep learning and transfer learning for malaria detection, Computational intelligence and neuroscience, 2022; Uzun Ozsahin D., Mustapha M. T., Bartholomew Duwa B., Ozsahin I., Evaluating the performance of deep learning frameworks for malaria parasite detection using microscopic images of peripheral blood smears, Diagnostics, 12, 11, (2022); Hemachandran K., Alasiry A., Marzougui M., Ganie S. M., Pise A. A., Alouane M. T.-H., Chola C., Performance analysis of deep learning algorithms in diagnosis of malaria disease, Diagnostics, 13, 3, (2023); Loh D. R., Yong W. X., Yapeter J., Subburaj K., Chandramohanadas R., A deep learning approach to the screening of malaria infection: Automated and rapid cell counting, object detection and instance segmentation using mask r-cnn, Computerized Medical Imaging and Graphics, 88, (2021); Kassim Y. M., Yang F., Yu H., Maude R. J., Jaeger S., Diagnosing malaria patients with plasmodium falciparum and vivax using deep learning for thick smear images, Diagnostics, 11, 11, (1994); Nakasi R., Mwebaze E., Zawedde A., Tusubira J., Akera B., Maiga G., A new approach for microscopic diagnosis of malaria parasites in thick blood smears using pre-trained deep learning models, SN Applied Sciences, 2, pp. 1-7, (2020); Hung J., Carpenter A., Applying faster r-cnn for object detection on malaria images, Proceedings of the IEEE conference on computer vision and pattern recognition workshops, pp. 56-61, (2017); Nakasi R., Mwebaze E., Zawedde A., Mobile-aware deep learning algorithms for malaria parasites and white blood cells localization in thick blood smears, Algorithms, 14, 1, (2021); Nakasi R., Tusubira J. F., Zawedde A., Mansourian A., Mwebaze E., A web-based intelligence platform for diagnosis of malaria in thick blood smear images: A case for a developing country, Proceedings of the IEEE/CVF Conference on Computer Vision and Pattern Recognition Workshops, pp. 984-985, (2020); Yang F., Yu H., Silamut K., Maude R. J., Jaeger S., Antani S., Parasite detection in thick blood smears based on customized faster-rcnn on smartphones, 2019 IEEE Applied Imagery Pattern Recognition Workshop (AIPR), pp. 1-4, (2019); Madhu G., Govardhan A., Srinivas B. S., Patel S. A., Rohit B., Bharadwaj B. L., Capsule networks for malaria parasite classification: An application oriented model, 2020 IEEE International Conference for Innovation in Technology (INOCON), pp. 1-5, (2020); Maity M., Jaiswal A., Gantait K., Chatterjee J., Mukherjee A., Quantification of malaria parasitaemia using trainable semantic segmentation and capsnet, Pattern Recognition Letters, 138, pp. 88-94, (2020); Kudisthalert W., Pasupa K., Tongsima S., Counting and classification of malarial parasite from giemsa-stained thin film images, IEEE Access, 8, pp. 78663-78682, (2020); Abdurahman F., Fante K. A., Aliy M., Malaria parasite detection in thick blood smear microscopic images using modified yolov3 and yolov4 models, BMC bioinformatics, 22, 1, pp. 1-17, (2021); Shewajo F. A., Fante K. A., Tile-based microscopic image processing for malaria screening using a deep learning approach, BMC Medical Imaging, 23, 1, pp. 1-14, (2023); Bhuiyan M., Islam M. S., A new ensemble learning approach to detect malaria from microscopic red blood cell images, Sensors International, 4, (2023)</t>
  </si>
  <si>
    <t xml:space="preserve">Y. Jusman; Departement of Electrical Engineering, Universitas Muhammadiyah Yogyakarta, Bantul, Indonesia; email: yjusman@umy.ac.id</t>
  </si>
  <si>
    <t xml:space="preserve">2210142X</t>
  </si>
  <si>
    <t xml:space="preserve">Int. J. Comput. Digit. Syst.</t>
  </si>
  <si>
    <t xml:space="preserve">2-s2.0-85186924162</t>
  </si>
  <si>
    <t xml:space="preserve">Joelianto E.; Mandasari M.I.; Marpaung D.B.; Hafizhan N.D.; Heryono T.; Prasetyo M.E.; Dani; Tjahjani S.; Anggraeni T.; Ahmad I.</t>
  </si>
  <si>
    <t xml:space="preserve">Joelianto, Endra (17434540100); Mandasari, Miranti Indar (36809945200); Marpaung, Daniel Beltsazar (58863497600); Hafizhan, Naufal Dzaki (58863956500); Heryono, Teddy (58863497700); Prasetyo, Maria Ekawati (55582540500); Dani (58849759200); Tjahjani, Susy (57160501100); Anggraeni, Tjandra (24358584300); Ahmad, Intan (57199666916)</t>
  </si>
  <si>
    <t xml:space="preserve">17434540100; 36809945200; 58863497600; 58863956500; 58863497700; 55582540500; 58849759200; 57160501100; 24358584300; 57199666916</t>
  </si>
  <si>
    <t xml:space="preserve">Convolutional neural network-based real-time mosquito genus identification using wingbeat frequency: A binary and multiclass classification approach</t>
  </si>
  <si>
    <t xml:space="preserve">Global rises in dengue hemorrhagic fever, especially in Asia and Latin America, underscore the necessity for enhanced public health interventions. Aedes spp. mosquitoes are the primary vectors; however, species such as Culex quinquefasciatus pose significant health risks by transmitting diseases such as filariasis, impacting millions of people worldwide. This study introduces a real-time convolutional neural network-based mosquito classification system using wingbeat frequency for identifying various mosquito species, with emphasis on Aedes sp. We proposed and assessed two models: a binary classification and a multiclass system. The binary system exhibited an outstanding accuracy of 91.76% in distinguishing between Aedes aegypti and Culex quinquefasciatus. The multiclass system accurately identified female and male Aedes aegypti and Culex quinquefasciatus with a precision of 87.16%. This innovative approach serves as a potential tool for dengue infection control and a versatile instrument for combating various mosquito-borne illnesses, enhancing vector surveillance for comprehensive disease management. © 2023</t>
  </si>
  <si>
    <t xml:space="preserve">Ecological Informatics</t>
  </si>
  <si>
    <t xml:space="preserve">10.1016/j.ecoinf.2024.102495</t>
  </si>
  <si>
    <t xml:space="preserve">https://www.scopus.com/inward/record.uri?eid=2-s2.0-85184068430&amp;doi=10.1016%2fj.ecoinf.2024.102495&amp;partnerID=40&amp;md5=4b1bc9a888229073f8d9314c7ef3a521</t>
  </si>
  <si>
    <t xml:space="preserve">Instrumentation, Control and Automation Research Group, Institut Teknologi Bandung, Bandung, Indonesia; University Center of Excellence Artificial Intelligence on Vision, NLP and Big Data Analytics, Institut Teknologi Bandung, Bandung, Indonesia; Build Environment Performance Engineering Research Group, Institut Teknologi Bandung, Bandung, Indonesia; Engineering Physics Study Program, Institut Teknologi Bandung, Bandung, Indonesia; Instrumentation and Control Graduate Program, Institut Teknologi Bandung, Bandung, Indonesia; Biomedical Research Centre of Indonesia, Bandung, Indonesia; Faculty of Medicine, Maranatha Christian University, Bandung, Indonesia; School of Life Sciences and Technology, Institut Teknologi Bandung, Bandung, Indonesia</t>
  </si>
  <si>
    <t xml:space="preserve">Joelianto E., Instrumentation, Control and Automation Research Group, Institut Teknologi Bandung, Bandung, Indonesia, University Center of Excellence Artificial Intelligence on Vision, NLP and Big Data Analytics, Institut Teknologi Bandung, Bandung, Indonesia; Mandasari M.I., Build Environment Performance Engineering Research Group, Institut Teknologi Bandung, Bandung, Indonesia; Marpaung D.B., Engineering Physics Study Program, Institut Teknologi Bandung, Bandung, Indonesia; Hafizhan N.D., Engineering Physics Study Program, Institut Teknologi Bandung, Bandung, Indonesia; Heryono T., Instrumentation and Control Graduate Program, Institut Teknologi Bandung, Bandung, Indonesia; Prasetyo M.E., Biomedical Research Centre of Indonesia, Bandung, Indonesia; Dani, Faculty of Medicine, Maranatha Christian University, Bandung, Indonesia; Tjahjani S., Faculty of Medicine, Maranatha Christian University, Bandung, Indonesia; Anggraeni T., School of Life Sciences and Technology, Institut Teknologi Bandung, Bandung, Indonesia; Ahmad I., School of Life Sciences and Technology, Institut Teknologi Bandung, Bandung, Indonesia</t>
  </si>
  <si>
    <t xml:space="preserve">Aedes aegypti; Deep learning; Dengue infection; Mosquito vector; Sustainability monitoring; Wingbeat frequency</t>
  </si>
  <si>
    <t xml:space="preserve">Asia; Latin America; accuracy assessment; classification; dengue fever; disease transmission; frequency analysis; machine learning; mosquito; sustainability</t>
  </si>
  <si>
    <t xml:space="preserve">CINOVASI Ltd; Kementerian Keuangan Republik Indonesia, (2019-2023); Kementerian Keuangan Republik Indonesia</t>
  </si>
  <si>
    <t xml:space="preserve">Funding text 1: This research was funded by the Innovative-Productive Research Invitation-RISPRO KEP-52/LPDP/2019 and PRJ-23/LPDP/2019, the Indonesia Endowment Fund for Education, Ministry of Finance, 2019–2023, Indonesia.This study was supported by an Innovative-Productive Research Invitation-RISPRO KEP-52/LPDP/2019 and PRJ-23/LPDP/2019, the Indonesia Endowment Fund for Education, Ministry of Finance, 2019-2023, Indonesia. The authors also thank CINOVASI Ltd. Bandung, Indonesia for providing technical support for this research. The authors would like to acknowledge the Associate Editor and anonymous reviewers for their valuable comments on improving the manuscript.; Funding text 2: This study was supported by an Innovative-Productive Research Invitation-RISPRO KEP-52/LPDP/2019 and PRJ-23/LPDP/2019 , the Indonesia Endowment Fund for Education, Ministry of Finance , 2019-2023, Indonesia. The authors also thank CINOVASI Ltd., Bandung, Indonesia for providing technical support for this research. The authors would like to acknowledge the Associate Editor and anonymous reviewers for their valuable comments on improving the manuscript.</t>
  </si>
  <si>
    <t xml:space="preserve">Abdel-Hamid O., Mohamed A.R., Jiang H., Deng L., Penn G., Yu D., Convolutional neural networks for speech recognition, IEEE/ACM Trans. Audio Speech Lang. Process, 22, 10, pp. 1533-1545, (2014); Agustiningtyas I., Lusiyana N., Ovitrap survey and serotype identification of dengue virus on Aedes sp. mosquito in Potorono, Banguntapan, Bantul, Indonesia, Int. J. Mosq. Res., 4, 5, pp. 32-37, (2017); Albawi S., Mohammed T.A., Al-Zawi S., Understanding of a convolutional neural network, 2017 International Conference on Engineering and Technology (ICET), pp. 1-6, (2017); Aldersley A., Champneys A., Homer M., Robert D., Time-frequency composition of mosquito flight tones obtained using Hilbert spectral analysis, J. Acoust. Soc. Am., 136, 4, pp. 1982-1989, (2014); Arthur B.J., Emr K.S., Wyttenbach R.A., Hoy R.R., Mosquito (Aedes aegypti) flight tones: frequency, harmonicity, spherical spreading, and phase relationships, J. Acoust. Soc. Am., 135, 2, pp. 933-941, (2014); Aucouturier J.J., Defreville B., Pachet F., The bag-of-frames approach to audio pattern recognition: a sufficient model for urban soundscapes but not for polyphonic music, J. Acoust. Soc. Am., 122, 2, pp. 881-891, (2007); Capinha C., Ceia-Hasse A., Kramer A.M., Meijer C., Deep learning for supervised classification of temporal data in ecology, Ecol. Inform., 61, (2021); Cator L.J., Arthur B.J., Ponlawat A., Harrington L.C., Behavioral observations and sound recordings of free-flight mating swarms of ae. Aegypti (Diptera: Culicidae) in Thailand, J. Med. Entomol., 48, 4, pp. 941-946, (2011); Ceia-Hasse A., Sousa C.A., Gouveia B.R., Capinha C., Forecasting the abundance of disease vectors with deep learning, Ecol. Inform., 78, (2023); da Silva B.F., dos Santos Rodrigues R.Z., Heiskanen J., Abera T.A., Gasparetto S.C., Biase A.G., Ballester M.V.R., de Moura Y.M., de Stefano Piedade S.M., de Oliveira Silva A.K., de Camargo P.B., Evaluating the temporal patterns of land use and precipitation under desertification in the semi-arid region of Brazil, Ecol. Inform., 77, (2023); Deng L., Yu D., Deep learning: methods and applications, FNT Sign. Proc., 7, 3-4, pp. 197-387, (2014); Fanioudakis E., Geismar M., Potamitis I., Mosquito wingbeat analysis and classification using deep learning, 2018 26th European signal processing conference (EUSIPCO), 2410–2414, (2018); Fernandes M.S., Cordeiro W., Recamonde-Mendoza M., Detecting Aedes aegypti mosquitoes through audio classification with convolutional neural networks, Comput. Biol. Med., 129, (2021); Fisher R., Wilson S.K., Sin T.M., Lee A.C., Langlois T.J., A simple function for full-subsets multiple regression in ecology with R, Ecol. Evol., 8, 12, pp. 6104-6113, (2018); Forman G., Scholz M., Apples-to-apples in cross-validation studies, SIGKDD Explor. Newsl., 12, 1, pp. 49-57, (2010); Franca R.P., Monteiro A.C.B., Arthur R., Iano Y., Chapter 3 - An overview of deep learning in big data, image, and signal processing in the modern digital age, Trends Deep Learn. Methodol., pp. 63-87, (2021); Ghani B., Klinck H., Hallerberg S., Classification of group-specific variations in songs within house wren species using machine learning models, Ecol. Inform., 74, (2023); Ghoraani B., Krishnan S., Time–frequency matrix feature extraction and classification of environmental audio signals, IEEE Trans. Audio Speech Lang. Process., 19, 7, pp. 2197-2209, (2011); Gonzalez C.R., Guzman C., Andreo V., Using VHR satellite imagery, OBIA and landscape metrics to improve mosquito surveillance in urban areas, Ecol. Inform., 77, (2023); Grandini M., Bagli E., Visani G., (2020); Gunara N.P., Joelianto E., Ahmad I., Identification of Aedes aegypti and Aedes albopictus eggs based on image processing and elliptic Fourier analysis, Sci. Rep., 13, 1, (2023); Hamesse C., Andreo V., Rodriguez Gonzalez C.R., Beumier C., Rubio J., Porcasi X., Lopez L., Guzman C., Haelterman R., Shimoni M., Scavuzzo C.M., Ovitrap monitor-online application for counting mosquito eggs and visualisation toolbox in support of health services, Ecol. Inform., 75, (2023); Hinton G., Deng L., Yu D., Dahl G.E., Mohamed A.R., Jaitly N., Senior A., Vanhoucke V., Nguyen P., Sainath T.N., Kingsbury B., Deep neural networks for acoustic modeling in speech recognition: the shared views of four research groups, IEEE Signal Process. Mag., 29, 6, pp. 82-97, (2012); Indonesia Ministry of Health, Profil Kesehatan Indonesia 2019, (2019); Jhaveri A., Sangwan K.S., Maan V., Dhiraj, Deep learning-based mosquito species detection using wingbeat frequencies, Smart Innov. Syst. Technol, pp. 71-80, (2022); Jiang W., Majumder S., Kumar S., Subramaniam S., Li X., Khedri R., Mondal T., Abolghasemian M., Satia I., Deen M.J., A wearable tele-health system towards monitoring COVID-19 and chronic diseases, IEEE Rev. Biomed. Eng., 15, pp. 61-84, (2022); Joshi A., Miller C., Review of machine learning techniques for mosquito control in urban environments, Ecol. Inform., 61, (2021); Juhdi I., Fitri L., Zuhriyah L., Arasy A., Ovitrap index and transovarial transmission rate of dengue virus of male and female Aedes aegypti mosquitoes in Makassar, South Sulawesi, Indonesia, J. Trop. Life Sci., 9, 1, pp. 95-103, (2019); Kemenkes R.I., Penguatan Kapasitas Petugas Filariasis dalam Rangka Peringatan Hari NTD Sedunia 2022. Newsletter DITJEN P2P, 1, (2022); Kim T., Lee J., Nam J., Sample-level CNN architectures for music auto-tagging using raw waveforms, 2018 IEEE International Conference on Acoustics, Speech and Signal Processing (ICASSP), pp. 366-370, (2018); Kiskin I.A., Cobb D., Wang L., Roberts S., Humbug zooniverse: a crowd-sourced acoustic mosquito dataset, 2020 IEEE International Conference on Acoustics, Speech and Signal Processing (ICASSP), pp. 916-920, (2020); LeCun Y., Bengio Y., Hinton G., Deep learning, Nature, 521, 7553, pp. 436-444, (2015); Lee K.Y., Chung N., Hwang S., Application of an artificial neural network (ANN) model for predicting mosquito abundances in urban areas, Ecol. Inform., 36, pp. 172-180, (2016); Martin E., Medeiros M.C.I., Carbajal E., Valdez E., Juarez J.G., Garcia-Luna S., Salazar A., Qualls W.A., Hinojosa S., Borucki M.K., Manley H.A., Badillo-Vargas I.E., Frank M., Hamer G.L., Surveillance of Aedes aegypti indoors and outdoors using Autocidal gravid Ovitraps in South Texas during local transmission of Zika virus, 2016 to 2018, Acta Trop., 192, pp. 129-137, (2019); Moore A., Miller J.R., Tabashnik B.E., Gage S.H., Automated identification of flying insects by analysis of wingbeat frequencies, J. Econ. Entomol., 79, 6, pp. 1703-1706, (1986); Navamani T.M., Chapter 7 - Efficient deep learning approaches for health informatics, Deep Learning and Parallel Computing Environment for Bioengineering Systems, pp. 123-137, (2019); Ng A., Machine Learning Yearning: Technical Strategy for AI Engineers, In the Era of Deep Learning, deeplearning, AI Project, (2018); Nolasco I., Singh S., Morfi V., Lostanlen V., Strandburg-Peshkin A., Vidana-Vila E., Gill L., Pamula H., Whitehead H., Kiskin I., Jensen F.H., Morford J., Emmerson M.G., Versace E., Grout E., Liu H., Ghani B., Stowell D., Learning to detect an animal sound from five examples, Ecol. Inform., 77, (2023); Ortega-Morales A.I., Moreno-Garcia M., Gonzalez-Acosta C., Correa-Morales F., Mosquito surveillance in Mexico: the use of ovitraps for Aedes aegypti, ae. Albopictus, and non-target species, Fla. Entomol., 101, 4, pp. 623-626, (2018); O'Shaughnessy D., Speech Communications: Human and Machine, (1987); Ouyang T.H., Yang E.C., Jiang J.A., Te Lin T., Mosquito vector monitoring system based on optical wingbeat classification, Comput. Electron. Agric., 118, pp. 47-55, (2015); Peterson A.T., Papes M., Soberon J., Rethinking receiver operating characteristic analysis applications in ecological niche modeling, Ecol. Model., 213, 1, pp. 63-72, (2008); Potamitis I., Rigakis I., Measuring the fundamental frequency and the harmonic properties of the wingbeat of a large number of mosquitoes in flight using 2D optoacoustic sensors, Appl. Acoust., 109, pp. 54-60, (2016); Rao K.S., Manjunath K.E., Speech Recognition Using Articulatory and Excitation Source Features, (2017); Reed E.M.X., Byrd B.D., Richards S.L., Eckardt M., Williams C., Reiskind M.H., A statewide survey of container aedes mosquitoes (Diptera: Culicidae) in North Carolina, 2016: a multiagency surveillance response to Zika using ovitraps, J. Med. Entomol., 56, 2, pp. 483-490, (2019); Sahidullah M., Saha G., Design, analysis and experimental evaluation of block based transformation in MFCC computation for speaker recognition, Speech Comm., 54, 4, pp. 543-565, (2012); Santos D.A.A., Rodrigues J.J.P.C., Furtado V., Saleem K., Korotaev V., Automated electronic approaches for detecting disease vectors mosquitoes through the wing-beat frequency, J. Clean. Prod., 217, pp. 767-775, (2019); Sasmita H.I., Neoh K.B., Yusmalinar S., Anggraeni T., Chang N.T., Bong L.J., Putra R.E., Sebayang A., Silalahi C.N., Ahmad I., Tu W.C., Ovitrap surveillance of dengue vector mosquitoes in Bandung city, West Java province, Indonesia, PLoS Negl. Trop. Dis., 15, 10, (2021); Silva D.F., Souza V.M.A., Ellis D.P.W., Keogh E.J., Batista G.E.A.P.A., Exploring low cost laser sensors to identify flying insect species: Evaluation of machine learning and signal processing methods, J. Intell. Robot. Syst., 80, S1, pp. 313-330, (2015); Soh S., Aik J., The abundance of Culex mosquito vectors for West Nile virus and other flaviviruses: a time-series analysis of rainfall and temperature dependence in Singapore, Sci. Total Environ., 754, (2021); Sotavalta O., The essential factor regulating the wing-stroke frequency of insects in wing mutilation and loading experiments and in experiments at subatmospheric pressure, Annales Zoologici Societatis Zoologicae Botanicae Fennicae "Vanamo"; Tom., 15, 2, (1952); Stevens S.S., Volkmann J., Newman E.B., A scale for the measurement of the psychological magnitude pitch, J. Acoust. Soc. Am., 8, 3, pp. 185-190, (1937); Tang Q., Xu L., Zheng B., He C., Transound: hyper-head attention transformer for birds sound recognition, Ecol. Inform., 75, (2023); Thakur S., Kumar A., X-ray and CT-scan-based automated detection and classification of Covid-19 using convolutional neural networks (CNN), Biomed. Signal Process. Control, 69, (2021); Truong T.H., Du Nguyen H.D., Mai T.Q.A., Nguyen H.L., Dang T.N.M., Phan T., A deep learning-based approach for bee sound identification, Ecol. Inform., 78, (2023); Villarreal S.M., Winokur O., Harrington L., The impact of temperature and body size on fundamental flight tone variation in the mosquito vector Aedes aegypti (Diptera: Culicidae): implications for acoustic lures, J. Med. Entomol., 54, 5, pp. 1116-1121, (2017); World Health Organization, Dengue and severe dengue, (2014); World Health Organization, Guideline: Alternative Mass Drug Administration Regimens to Eliminate Lymphatic Filariasis, (2017); Yin M.S., Haddawy P., Nirandmongkol B., Kongthaworn T., Chaisumritchoke C., Supratak A., Sa-Ngamuang C., Sriwichai P., A lightweight deep learning approach to mosquito classification from wingbeat sounds, Proceedings of the Conference on Information Technology for Social Good, pp. 37-42, (2021); Yin M.S., Gunatilaka D., Assawavinijkulchai K., Thampakorn T., Heesawat W., Haddawy P., Eiamsamang S., Sriwichai P., Weber M., MosquitoSongSense: IoT-based mosquito wingbeat data collection system, Proceedings of the 2023 ACM Conference on Information Technology for Social Good, pp. 285-290, (2023); Zoladek J., Nisole S., Mosquito-borne flaviviruses and type I interferon: catch me if you can!, Front. Microbiol., 14, (2023); Zuhriyah L., Satoto T.B.T., Kusnanto H., Efektifitas Modifikasi Ovitrap Model Kepanjen Untuk Menurunkan Angka Kepadatan Larva Aedes aegypti di Malang, Jurnal Kedokteran Brawijaya, 29, 2, pp. 157-164, (2016)</t>
  </si>
  <si>
    <t xml:space="preserve">E. Joelianto; Instrumentation, Control and Automation Research Group, Institut Teknologi Bandung, Bandung, Indonesia; email: ejoel@itb.ac.id</t>
  </si>
  <si>
    <t xml:space="preserve">Ecol. Informatics</t>
  </si>
  <si>
    <t xml:space="preserve">2-s2.0-85184068430</t>
  </si>
  <si>
    <t xml:space="preserve">Ghosh H.; Rahat I.S.; Ravindra J.V.R.; Balajee J.; Khan M.A.U.; Somasekar J.</t>
  </si>
  <si>
    <t xml:space="preserve">Ghosh, Hritwik (58613938700); Rahat, Irfan Sadiq (58613785800); Ravindra, J.V.R. (12645916300); Balajee, J. (58221957300); Khan, Mohammad Aman Ullah (59007191200); Somasekar, J. (55353870400)</t>
  </si>
  <si>
    <t xml:space="preserve">58613938700; 58613785800; 12645916300; 58221957300; 59007191200; 55353870400</t>
  </si>
  <si>
    <t xml:space="preserve">Convolutional Neural Networks in Malaria Diagnosis: A Study on Cell Image Classification</t>
  </si>
  <si>
    <t xml:space="preserve">INTRODUCTION: Malaria, a persistent global health threat caused by Plasmodium parasites, necessitates rapid and accurate identification for effective treatment and containment. This study investigates the utilization of convolutional neural networks (CNNs) to enhance the precision and speed of malaria detection through the classification of cell images infected with malaria. OBJECTIVES: The primary objective of this research is to explore the effectiveness of CNNs in accurately classifying malaria-infected cell images. By employing various deep learning models, including ResNet50, AlexNet, Inception V3, VGG19, VGG16, and MobileNetV2, the study aims to assess the performance of each model and identify their strengths and weaknesses in malaria diagnosis. METHODS: A balanced dataset comprising approximately 8,000 enhanced images of blood cells, evenly distributed between infected and uninfected classes, was utilized for model training and evaluation. Performance evaluation metrics such as precision, recall, F1-score, and accuracy were employed to assess the efficacy of each CNN model in malaria classification. RESULTS: The results demonstrate high accuracy across all models, with AlexNet and VGG19 exhibiting the highest levels of accuracy. However, the selection of a model should consider specific application requirements and constraints, as each model presents unique trade-offs between computational efficiency and performance. CONCLUSION: This study contributes to the burgeoning field of deep learning in healthcare, particularly in utilizing medical imaging for disease diagnosis. The findings underscore the considerable potential of CNNs in enhancing malaria diagnosis. Future research directions may involve further model optimization, exploration of larger and more diverse datasets, and the integration of CNNs into practical diagnostic tools for real-world deployment. © 2024 H. Ghosh et al., licensed to EAI.</t>
  </si>
  <si>
    <t xml:space="preserve">10.4108/eetpht.10.5551</t>
  </si>
  <si>
    <t xml:space="preserve">https://www.scopus.com/inward/record.uri?eid=2-s2.0-85191653611&amp;doi=10.4108%2feetpht.10.5551&amp;partnerID=40&amp;md5=0091c368e4d3005b4bf0fae56c0ee4bd</t>
  </si>
  <si>
    <t xml:space="preserve">School of Computer Science and Engineering (SCOPE), VIT-AP University, Andhra Pradesh, Amaravati, India; Center for Advanced Computing Research Laboratory (C-ACRL), Department of Electronics and Communication Engineering, Vardhaman College of Engineering (Autonomous), Telangana, Hyderabad, India; Department of Computer Science &amp; Engineering, Mother Theresa Institute of Engineering and Technology, Chittoor, Andhra Pradesh, Palamaner, 517408, India; Department of Computer Science and Engineering, BRAC University, Bangladesh; Department of Computer Science &amp; Engineering, Faculty of Engineering and Technology, JAIN (Deemed-to-be University), Karnataka, Bengaluru, India</t>
  </si>
  <si>
    <t xml:space="preserve">Ghosh H., School of Computer Science and Engineering (SCOPE), VIT-AP University, Andhra Pradesh, Amaravati, India; Rahat I.S., School of Computer Science and Engineering (SCOPE), VIT-AP University, Andhra Pradesh, Amaravati, India; Ravindra J.V.R., Center for Advanced Computing Research Laboratory (C-ACRL), Department of Electronics and Communication Engineering, Vardhaman College of Engineering (Autonomous), Telangana, Hyderabad, India; Balajee J., Department of Computer Science &amp; Engineering, Mother Theresa Institute of Engineering and Technology, Chittoor, Andhra Pradesh, Palamaner, 517408, India; Khan M.A.U., Department of Computer Science and Engineering, BRAC University, Bangladesh; Somasekar J., Department of Computer Science &amp; Engineering, Faculty of Engineering and Technology, JAIN (Deemed-to-be University), Karnataka, Bengaluru, India</t>
  </si>
  <si>
    <t xml:space="preserve">AlexNet; deep learning; F1-score; Inception V3; Malaria; precision; recall; ResNet50; VGG16; VGG19</t>
  </si>
  <si>
    <t xml:space="preserve">Blood; Cells; Computational efficiency; Convolution; Cytology; Deep learning; Diseases; Economic and social effects; Health risks; Image classification; Image enhancement; Medical imaging; Alexnet; Deep learning; F1 scores; Inception v3; Malaria; Precision; Recall; Resnet50; VGG16; VGG19; Convolutional neural networks</t>
  </si>
  <si>
    <t xml:space="preserve">Junger S. T., Hoyer U. C. I., Schaufler D., Laukamp K. R., Goertz L., Thiele F., Grunz J., Schlamann M., Perkuhn M., Kabbasch C., Persigehl T., Grau S., Borggrefe J., Scheffler M., Shahzad R., Pennig L., Fully Automated MR Detection and Segmentation of Brain Metastases in Non‐small Cell Lung Cancer Using Deep Learning, Journal of Magnetic Resonance Imaging, 54, 5, pp. 1608-1622, (2021); Masud M., Sikder N., Nahid A.-A., Bairagi A. K., AlZain M. A., A Machine Learning Approach to Diagnosing Lung and Colon Cancer Using a Deep Learning-Based Classification Framework, Sensors (Basel, Switzerland), 21, 3, (2021); Coudray N., Ocampo P. S., Sakellaropoulos T., Narula N., Snuderl M., Fenyo D., Moreira A. L., Razavian N., Tsirigos A., Classification and mutation prediction from non-small cell lung cancer histopathology images using deep learning, Nature Medicine, 24, 10, pp. 1559-1567, (2018); Chen J., Zeng H., Zhang C., Shi Z., Dekker A., Wee L., Bermejo I., Lung cancer diagnosis using deep attention-based multiple instance learning and radiomics, Medical Physics (Lancaster), 49, 5, pp. 3134-3143, (2022); Yeh M. C.-H., Wang Y.-H., Yang H.-C., Bai K.-J., Wang H.-H., Li Y.-C., Artificial Intelligence-Based Prediction of Lung Cancer Risk Using Nonimaging Electronic Medical Records: Deep Learning Approach, Journal of Medical Internet Research, 23, 8, pp. e26256-e26256, (2021); Rong Z., Lingyun D., Jinxing L., Ying G., Diagnostic Classification of Lung Cancer Using Deep Transfer Learning Technology and Multi‐Omics Data, CHINESE JOURNAL OF ELECTRONICS, 30, 5, pp. 843-852, (2021); Tan H., Bates J. H. T., Matthew Kinsey C., Discriminating TB lung nodules from early lung cancers using deep learning, BMC Medical Informatics and Decision Making, 22, 1, pp. 1-161, (2022); Nishio M., Sugiyama O., Yakami M., Ueno S., Kubo T., Kuroda T., Togashi K., Computer-aided diagnosis of lung nodule classification between benign nodule, primary lung cancer, and metastatic lung cancer at different image size using deep convolutional neural network with transfer learning, PloS One, 13, 7, pp. e0200721-e0200721, (2018); Park J., Kang S. K., Hwang D., Choi H., Ha S., Seo J. M., Eo J. S., Lee J. S., Automatic Lung Cancer Segmentation in [18F]FDG PET/CT Using a Two-Stage Deep Learning Approach, Nuclear Medicine and Molecular Imaging, 57, 2, pp. 86-93, (2023); Talukder M. A., Islam M. M., Uddin M. A., Akhter A., Hasan K. F., Moni M. A., Machine learning-based lung and colon cancer detection using deep feature extraction and ensemble learning, Expert Systems with Applications, 205, (2022); Zhang H., Liao M., Guo Q., Chen J., Wang S., Liu S., Xiao F., Predicting N2 lymph node metastasis in presurgical stage I‐II non‐small cell lung cancer using multiview radiomics and deep learning method, Medical Physics (Lancaster), 50, 4, pp. 2049-2060, (2023); Li B., Dai C., Wang L., Deng H., Li Y., Guan Z., Ni H., A novel drug repurposing approach for non-small cell lung cancer using deep learning, PloS One, 15, 6, pp. e0233112-e0233112, (2020); Zheng S., Guo J., Langendijk J. A., Both S., Veldhuis R. N. J., Oudkerk M., van Ooijen P. M. A., Wijsman R., Sijtsema N. M., Survival prediction for stage I-IIIA non-small cell lung cancer using deep learning, Radiotherapy and Oncology, 180, (2023); Patel B. N., Langlotz C. P., Beyond the AJR: "Deep Learning Using Chest Radiographs to Identify High-Risk Smokers for Lung Cancer Screening Computed Tomography: Development and Validation of a Prediction Model, American Journal of Roentgenology (1976), 217, 2, pp. 521-521, (2021); Varchagall M., Nethravathi N. P., Chandramma R., Nagashree N., Athreya S. M., Using Deep Learning Techniques to Evaluate Lung Cancer Using CT Images, SN Computer Science, 4, 2, (2023); Chen C.-L., Chen C.-C., Yu W.-H., Chen S.-H., Chang Y.-C., Hsu T.-I., Hsiao M., Yeh C.-Y., Chen C.-Y., An annotation-free whole-slide training approach to pathological classification of lung cancer types using deep learning, Nature Communications, 12, 1, pp. 1193-1193, (2021); Torres F. S., Akbar S., Raman S., Yasufuku K., Hannessy T. J., Baldauf-Lenschen F., Leighl N. B., Automated imaging-based prognostication (IPRO) for stage I non-small cell lung cancer using deep learning applied to computed tomography, Journal of Clinical Oncology, 40, pp. e20575-e20575, (2022); Rout G. P., Mohanty S. N., A Hybrid Approach for Network Intrusion Detection, 2015 Fifth International Conference on Communication Systems and Network Technologies, pp. 614-617, (2015); Alenezi F., Armghan A., Mohanty S.N., Jhaveri R.H., Tiwari P., Block-Greedy and CNN Based Underwater Image Dehazing for Novel Depth Estimation and Optimal Ambient Light, Water, 13, (2021)</t>
  </si>
  <si>
    <t xml:space="preserve">I.S. Rahat; School of Computer Science and Engineering (SCOPE), VIT-AP University, Amaravati, Andhra Pradesh, India; email: me.rahat2020@gmail.com</t>
  </si>
  <si>
    <t xml:space="preserve">2-s2.0-85191653611</t>
  </si>
  <si>
    <t xml:space="preserve">Shrestha S.P.; Chaisowwong W.; Upadhyaya M.; Shrestha S.P.; Punyapornwithaya V.</t>
  </si>
  <si>
    <t xml:space="preserve">Shrestha, Swochhal Prakash (58368764300); Chaisowwong, Warangkhana (36995838700); Upadhyaya, Mukul (57203432015); Shrestha, Swoyam Prakash (57191583898); Punyapornwithaya, Veerasak (34973240100)</t>
  </si>
  <si>
    <t xml:space="preserve">58368764300; 36995838700; 57203432015; 57191583898; 34973240100</t>
  </si>
  <si>
    <t xml:space="preserve">Cross-correlation and time series analysis of rabies in different animal species in Nepal from 2005 to 2018</t>
  </si>
  <si>
    <t xml:space="preserve">Rabies is a fatal zoonotic disease, resulting in human and livestock deaths. In Nepal, animal rabies has posed a significant challenge to public health. Because animals are the primary source of rabies in humans, a better understanding of rabies epidemiology in animals is necessary. The objectives of this study were to determine the correlation between rabies occurrences in dogs and livestock animals and to detect the trends and change points of the disease using longitudinal data. The nationwide rabies dataset from 2005 to 2018 was analyzed using cross-correlation, multiple change points, and time series methods. Autoregressive Integrated Moving Average (ARIMA) and Neural Network Autoregression (NNAR) were applied to the time series data. The results show a positive correlation between canine rabies and livestock rabies occurrences. Three significant change points were detected in the time series data, demonstrating that the occurrences were high in the initial years but stabilized before peaking to an upward trend in the final years of the study period. Nonetheless, there was no seasonality pattern in rabies occurrences. The most suitable models were ARIMA (2,1,2) and NNAR (5,1,4) (12). Based on the study findings, both locals and tourists in Nepal need to have enhanced awareness of the potential dangers posed by rabies in canines and livestock. This study offers much-needed insight into the patterns and epidemiology of animal rabies which will be helpful for policymakers in drafting rabies control plans for Nepal. © 2024 The Authors</t>
  </si>
  <si>
    <t xml:space="preserve">e25773</t>
  </si>
  <si>
    <t xml:space="preserve">10.1016/j.heliyon.2024.e25773</t>
  </si>
  <si>
    <t xml:space="preserve">https://www.scopus.com/inward/record.uri?eid=2-s2.0-85184617331&amp;doi=10.1016%2fj.heliyon.2024.e25773&amp;partnerID=40&amp;md5=7711bbbf7c8ab49a824f4a37f51cc178</t>
  </si>
  <si>
    <t xml:space="preserve">Veterinary Public Health and Food Safety Centre for Asia Pacific (VPHCAP), Faculty of Veterinary Medicine, Chiang Mai University, Chiang Mai, 50100, Thailand; Department of Veterinary Biosciences and Veterinary Public Health, Faculty of Veterinary Medicine, Chiang Mai University, Chiang Mai, 50100, Thailand; Research Center for Veterinary Biosciences and Veterinary Public Health, Faculty of Veterinary Medicine, Chiang Mai University, Chiang Mai, 50100, Thailand; Veterinary Epidemiology Section (VES), Department of Livestock Services (DLS), Kathmandu, 44600, Nepal; National Animal Science Research Institute (NASRI), Nepal Agricultural Research Council (NARC), Lalitpur, 44700, Nepal</t>
  </si>
  <si>
    <t xml:space="preserve">Shrestha S.P., Veterinary Public Health and Food Safety Centre for Asia Pacific (VPHCAP), Faculty of Veterinary Medicine, Chiang Mai University, Chiang Mai, 50100, Thailand; Chaisowwong W., Veterinary Public Health and Food Safety Centre for Asia Pacific (VPHCAP), Faculty of Veterinary Medicine, Chiang Mai University, Chiang Mai, 50100, Thailand, Department of Veterinary Biosciences and Veterinary Public Health, Faculty of Veterinary Medicine, Chiang Mai University, Chiang Mai, 50100, Thailand, Research Center for Veterinary Biosciences and Veterinary Public Health, Faculty of Veterinary Medicine, Chiang Mai University, Chiang Mai, 50100, Thailand; Upadhyaya M., Veterinary Epidemiology Section (VES), Department of Livestock Services (DLS), Kathmandu, 44600, Nepal; Shrestha S.P., National Animal Science Research Institute (NASRI), Nepal Agricultural Research Council (NARC), Lalitpur, 44700, Nepal; Punyapornwithaya V., Veterinary Public Health and Food Safety Centre for Asia Pacific (VPHCAP), Faculty of Veterinary Medicine, Chiang Mai University, Chiang Mai, 50100, Thailand, Department of Veterinary Biosciences and Veterinary Public Health, Faculty of Veterinary Medicine, Chiang Mai University, Chiang Mai, 50100, Thailand, Research Center for Veterinary Biosciences and Veterinary Public Health, Faculty of Veterinary Medicine, Chiang Mai University, Chiang Mai, 50100, Thailand</t>
  </si>
  <si>
    <t xml:space="preserve">Cross-correlation; Forecasting; Nepal; Rabies; Time series</t>
  </si>
  <si>
    <t xml:space="preserve">Department of Livestock Services; Veterinary Public Health and Food Safety Centre for Asia Pacific; Chiang Mai University, CMU, (R000029530/FF66/021, R66IN00356); Faculty of Veterinary Medicine, Chiang Mai University, FVM, CMU</t>
  </si>
  <si>
    <t xml:space="preserve">Funding text 1: This study was funded by Chiang Mai University, Chiang Mai, Thailand (Grant: R66IN00356 and Grant: R000029530/FF66/021).The authors would like to express their sincere gratitude towards the Veterinary Epidemiology Section under the Department of Livestock Services, Nepal for providing animal rabies data for use in this study. In addition, the author would like to acknowledge VPHCAP (Veterinary Public Health and Food Safety Centre for Asia Pacific), Faculty of Veterinary Medicine, Chiang Mai University, under the CMU Presidential Scholarship for all the support.; Funding text 2: This study was funded by Chiang Mai University , Chiang Mai, Thailand (Grant: R66IN00356 and Grant: R000029530/FF66/021). </t>
  </si>
  <si>
    <t xml:space="preserve">Devleesschauwer B., Aryal A., Sharma B.K., Ale A., Declercq A., Depraz S., Gaire T.N., Gongal G., Karki S., Pandey B.D., Pun S.B., Duchateau L., Dorny P., Speybroeck N., Epidemiology, impact and control of rabies in Nepal: a systematic review, PLoS Neglected Trop. Dis., 10, (2016); Baer G.M., The history of rabies, Rabies, pp. 1-22, (2007); De Mattos C.A., De Mattos C.C., Smith J.S., Miller E.T., Papo S., Utrera A., Osburn B.I., Genetic characterization of rabies field isolates from Venezuela, J. Clin. Microbiol., 34, pp. 1553-1558, (1996); Belotto A., Leanes L.F., Schneider M.C., Tamayo H., Correa E., Overview of rabies in the americas, Virus Res., 111, pp. 5-12, (2005); Bourhy H., Dacheux L., Strady C., Mailles A., Rabies in Europe in 2005, Euro Surveill., 10, pp. 213-216, (2005); Finnegan C.J., Brookes S.M., Johnson N., Smith J., Mansfield K.L., Keene V.L., McElhinney L.M., Fooks A.R., Rabies in north America and Europe, J. R. Soc. Med., 95, (2002); Knobel D.L., Cleaveland S., Coleman P.G., Fevre E.M., Meltzer M.I., Miranda M.E.G., Shaw A., Zinsstag J., Meslin F.X., Re-evaluating the burden of rabies in Africa and Asia, Bull. World Health Organ., 83, (2005); Taylor L.H., Nel L.H., Global epidemiology of canine rabies: past, present, and future prospects, Vet. Med. Res. Rep., 6, (2015); Wilde H., Hemachudha T., Khawplod P., Tepsumethanon V., Wacharapluesadee S., Lumlertdacha B., Rabies 2007: Perspective from Asia, (2007); Hampson K., Coudeville L., Lembo T., Sambo M., Kieffer A., Attlan M., Barrat J., Blanton J.D., Briggs D.J., Cleaveland S., Costa P., Freuling C.M., Hiby E., Knopf L., Leanes F., Meslin F.-X., Metlin A., Miranda M.E., Muller T., Nel L.H., Recuenco S., Rupprecht C.E., Schumacher C., Taylor L., Antonio M., Vigilato N., Zinsstag J., Dushoff J.; Okoh A.E.J., Antigenic characterization of rabies virus isolates from vaccinated dogs in plateau state, Nigeria, Vet. Res. Commun., 24, pp. 203-211, (2000); Si H., Guo Z.M., Hao Y.T., Liu Y.G., Zhang D.M., Rao S.Q., Lu J.H., Rabies trend in China (1990-2007) and post-exposure prophylaxis in the Guangdong province, BMC Infect. Dis., 8, pp. 1-10, (2008); Sudarshan M.K., Madhusudana S.N., Mahendra B.J., Rao N.S.N., Ashwath Narayana D.H., Abdul Rahman S., Meslin F.X., Lobo D., Ravikumar K., Gangaboraiah, Assessing the burden of human rabies in India: results of a national multi-center epidemiological survey, Int. J. Infect. Dis., 11, pp. 29-35, (2007); Wu X., Hu R., Zhang Y., Dong G., Rupprecht C.E., Reemerging rabies and lack of systemic surveillance in people's Republic of China - volume 15, number 8—august 2009 - emerging infectious diseases journal - CDC, Emerg. Infect. Dis., 15, pp. 1159-1164, (2009); Shah Y., Pandey K., Pant D.K., Poudel A., Dahal B., Panta K.P., Pandey B.D., Potential threat of rabies virus from bat bite in Nepal, Open Microbiol. J., 12, pp. 419-421, (2019); Quarterly Animal Health E- Bulletin (Rabies Specific), pp. 1-4, (2018); Acharya K.P., Karki S., Shrestha K., Kaphle K., One health approach in Nepal: scope, opportunities and challenges, One Health, 8, (2019); Yadav S., Animal Rabies in Nepal and Raccoon Rabies in Albany County, (2012); Pokhrel S., Yadav R., Sharma K., Shrestha A., Poudel R., Pun C.B., Clinico-epidemiological study on animal bite presenting to a tertiary care hospital in western part of Nepal, Journal of Gandaki Medical College-Nepal, 15, pp. 48-52, (2022); Pal P., Yawongsa A., Bhatta R., Shimoda H., Rukkwamsuk T., Animal rabies epidemiology in Nepal from 2005 to 2017, Int J One Health, 7, pp. 190-195, (2021); Hernandez F.A., Manqui J., Mejias C., Acosta-Jamett G., Domestic dogs and wild foxes interactions in a wildlife-domestic interface of north-Central Chile: implications for multi-host pathogen transmission, Front. Vet. Sci., 8, (2021); Acharya K.P., Chand R., Huettmann F., Ghimire T.R., Rabies elimination: is it feasible without considering wildlife?, J. Trop. Med., (2022); Cordeiro R.D.A., Duarte N.F.H., Rolim B.N., Soares Junior F.A., Franco I.C.F., Ferrer L.L., Almeida C.P., Duarte B.H., de Araujo D.B., Rocha M.F.G., Brilhante R.S.N., Favoretto S.R., Sidrim J.J.C., The importance of wild canids in the epidemiology of rabies in northeast Brazil: a retrospective study, Zoonoses Public Health, 63, pp. 486-493, (2016); Shah U., Jaswal G.S., Victims of a rabid wolf in India: effect of severity and location of bites on development of rabies, J. Infect. Dis., 134, pp. 25-29, (1976); Miao F., Li N., Yang J., Chen T., Liu Y., Zhang S., Hu R., Neglected challenges in the control of animal rabies in China, One Health, 12, (2021); Feng Y., Wang Y., Xu W., Tu Z., Liu T., Huo M., Liu Y., Gong W., Zeng Z., Wang W., Wei Y., Tu C., Animal rabies surveillance, China, 2004–2018 - volume 26, number 12—december 2020 - emerging infectious diseases journal - CDC, Emerg. Infect. Dis., 26, pp. 2825-2834, (2020); Thanapongtharm W., Suwanpakdee S., Chumkaeo A., Gilbert M., Wiratsudakul A., Current characteristics of animal rabies cases in Thailand and relevant risk factors identified by a spatial modeling approach, PLoS Neglected Trop. Dis., 15, (2021); Kalthoum S., Guesmi K., Gharbi R., Baccar M.N., Seghaier C., Zrelli M., Bahloul C., Temporal and spatial distributions of animal and human rabies cases during 2012 and 2018, in Tunisia, Vet. Med. Sci., 7, pp. 686-696, (2021); Karki S., Thakuri K.C., Epidemiological situation of animal rabies and its control strategy in Nepal, Proceedings of the 9th Conference of Nepal Veterinary Association. Kathmandu, pp. 105-110, (2010); Kato H., Takizawa A., Time series cross-correlation between home range and number of infected people during the COVID-19 pandemic in a suburban city, PLoS One, 17, (2022); Derrick T., Thomas J.M., Time Series Analysis: the Cross-Correlation Function, (2004); Ehelepola N.D.B., Ariyaratne K., Buddhadasa W.M.N.P., Ratnayake S., Wickramasinghe M., A study of the correlation between dengue and weather in Kandy City, Sri Lanka (2003 -2012) and lessons learned, Infect Dis Poverty, 4, (2015); Hendriks W., Boshuizen H., Dekkers A., Knol M., Donker G.A., van der Ende A., Korthals Altes H., Temporal cross-correlation between influenza-like illnesses and invasive pneumococcal disease in The Netherlands, Influenza Other Respir Viruses, 11, pp. 130-137, (2017); Tenzin, Dhand N.K., Ward M.P., Patterns of rabies occurrence in Bhutan between 1996 and 2009, Zoonoses Public Health, 58, pp. 463-471, (2011); Shrestha S.P., Chaisowwong W., Arjkumpa O., Upadhyaya M., Koirala P., Maharjan M., Shrestha S.P., Punyapornwithaya V., Temporal trend and high-risk areas of rabies occurrences in animals in Nepal from 2005 to 2018, Veterinary Integrative Sciences, 21, pp. 411-427, (2023); Xu B., Li J., Wang M., Epidemiological and time series analysis on the incidence and death of AIDS and HIV in China, BMC Publ. Health, 20, pp. 1-10, (2020); Anwar A., Na-Lampang K., Preyavichyapugdee N., Punyapornwithaya V., Lumpy skin disease outbreaks in Africa, Europe, and Asia (2005–2022): multiple change point analysis and time series forecast, Viruses, 14, (2022); Tian C.W., Wang H., Luo X.M., Time-series modelling and forecasting of hand, foot and mouth disease cases in China from 2008 to 2018, Epidemiol. Infect., 147, (2019); Ward M.P., Iglesias R.M., Brookes V.J., Autoregressive models applied to time-series data in veterinary science, Front. Vet. Sci., 7, (2020); Weng R.X., Fu H.L., Zhang C.L., Ye J.B., Hong F.C., Chen X.S., Cai Y.M., Time series analysis and forecasting of chlamydia trachomatis incidence using surveillance data from 2008 to 2019 in Shenzhen, China, Epidemiol. Infect., 148, (2020); Paso A., Ngamjarus C., Forecasting rabies in dogs in Thailand: time series analysis, Naresuan University Journal: Sci. Technol., 28, pp. 64-74, (2020); Lopes E., Safadi T., Da Rocha C.M.B.M., Cardoso D.L., Analysis of time series of cattle rabies cases in Minas Gerais, Brazil, 2006–2013, Trop. Anim. Health Prod., 47, pp. 663-670, (2015); Ortega-Sanchez R., Barcenas-Reyes I., Canto-Alarcon G.J., Luna-Cozar J., R.A E., Contreras-Magallanes Y.G., Gonzalez-Ruiz S., Cortez-Garcia B., Milian-Suazo F., Descriptive and time-series analysis of rabies in different animal species in Mexico, Front. Vet. Sci., 9, (2022); Courtin F., Carpenter T.E., Paskin R.D., Chomel B.B., Temporal patterns of domestic and wildlife rabies in central Namibia stock-ranching area, 1986–1996, Prev. Vet. Med., 43, pp. 13-28, (2000); Gargoum S.A., Gargoum A.S., Limiting mobility during COVID-19, when and to what level? An international comparative study using change point analysis, J. Transport Health, 20, (2021); Killick R., Eckley I.A., Changepoint: an R package for changepoint analysis, J. Stat. Software, 58, pp. 1-19, (2014); Molinaro A., DeFalco F., Empirical assessment of alternative methods for identifying seasonality in observational healthcare data, BMC Med. Res. Methodol., 22, pp. 1-11, (2022); Siami-Namini S., Tavakoli N., Siami Namin A., A comparison of ARIMA and LSTM in forecasting time series, 2018 17th IEEE International Conference on Machine Learning and Applications (ICMLA), pp. 1394-1401, (2018); Perone G., Comparison of ARIMA, ETS, NNAR, TBATS and hybrid models to forecast the second wave of COVID-19 hospitalizations in Italy, Eur. J. Health Econ., 23, pp. 917-940, (2022); R: A Language and Environment for Statistical Computing, (2014); Poudel U., Dahal U., Upadhyaya N., Chaudhari S., Dhakal S., Livestock and poultry production in Nepal and current status of vaccine development, Vaccines, 8, (2020); Jemberu W.T., Molla W., Almaw G., Alemu S., Incidence of rabies in humans and domestic animals and people's awareness in north gondar zone, Ethiopia, PLoS Neglected Trop. Dis., 7, (2013); Gongal G., The epidemiological trend of animal rabies in Nepal and future control strategy, APCRI Journal, 8, (2006); Pantha S., Subedi D., Poudel U., Subedi S., Kaphle K., Dhakal S., Review of rabies in Nepal, One Health, 10, (2020); Ezeokoli C.D., Umoh J.U., Epidemiology of rabies in northern Nigeria, Trans. R. Soc. Trop. Med. Hyg., 81, pp. 268-272, (1987); Malaga H., Nieto E.L., Gambirazio C., Canine rabies seasonality, Int. J. Epidemiol., 8, pp. 243-246, (1979); Mitmoonpitak C., Tepsumethanon V., Wilde H., Rabies in Thailand, Epidemiol. Infect., 120, pp. 165-169, (1998); Guo D., Zhou H., Zou Y., Yin W., Yu H., Si Y., Li J., Zhou Y., Zhou X., Magalhaes R.J.S., Geographical analysis of the distribution and spread of human rabies in China from 2005 to 2011, PLoS One, 8, (2013); Wang L., Zou H., Su J., Li L., Chaudhry S., An ARIMA-ANN hybrid model for time series forecasting, Syst. Res. Behav. Sci., 30, pp. 244-259, (2013); Punyapornwithaya V., Mishra P., Sansamur C., Pfeiffer D., Arjkumpa O., Prakotcheo R., Damrongwatanapokin T., Jampachaisri K., Time-series analysis for the number of foot and mouth disease outbreak episodes in cattle farms in Thailand using data from 2010-2020, (2022)</t>
  </si>
  <si>
    <t xml:space="preserve">V. Punyapornwithaya; Veterinary Public Health and Food Safety Centre for Asia Pacific (VPHCAP), Faculty of Veterinary Medicine, Chiang Mai University, Chiang Mai, 50100, Thailand; email: veerasak.p@cmu.ac.th</t>
  </si>
  <si>
    <t xml:space="preserve">2-s2.0-85184617331</t>
  </si>
  <si>
    <t xml:space="preserve">Kukkar A.; Kumar Y.; Sandhu J.K.; Kaur M.; Walia T.S.; Amoon M.</t>
  </si>
  <si>
    <t xml:space="preserve">Kukkar, Ashima (57202704922); Kumar, Yugal (55085037000); Sandhu, Jasminder Kaur (56712403800); Kaur, Manjit (57209860887); Walia, Tarandeep Singh (57204830011); Amoon, Mohammed (15924812700)</t>
  </si>
  <si>
    <t xml:space="preserve">57202704922; 55085037000; 56712403800; 57209860887; 57204830011; 15924812700</t>
  </si>
  <si>
    <t xml:space="preserve">DengueFog: A Fog Computing-Enabled Weighted Random Forest-Based Smart Health Monitoring System for Automatic Dengue Prediction</t>
  </si>
  <si>
    <t xml:space="preserve">Dengue is a distinctive and fatal infectious disease that spreads through female mosquitoes called Aedes aegypti. It is a notable concern for developing countries due to its low diagnosis rate. Dengue has the most astounding mortality level as compared to other diseases due to tremendous platelet depletion. Hence, it can be categorized as a life-threatening fever as compared to the same class of fevers. Additionally, it has been shown that dengue fever shares many of the same symptoms as other flu-based fevers. On the other hand, the research community is closely monitoring the popular research fields related to IoT, fog, and cloud computing for the diagnosis and prediction of diseases. IoT, fog, and cloud-based technologies are used for constructing a number of health care systems. Accordingly, in this study, a DengueFog monitoring system was created based on fog computing for prediction and detection of dengue sickness. Additionally, the proposed DengueFog system includes a weighted random forest (WRF) classifier to monitor and predict the dengue infection. The proposed system’s efficacy was evaluated using data on dengue infection. This dataset was gathered between 2016 and 2018 from several hospitals in the Delhi-NCR region. The accuracy, F-value, recall, precision, error rate, and specificity metrics were used to assess the simulation results of the suggested monitoring system. It was demonstrated that the proposed DengueFog monitoring system with WRF outperforms the traditional classifiers. © 2023 by the authors.</t>
  </si>
  <si>
    <t xml:space="preserve">Diagnostics</t>
  </si>
  <si>
    <t xml:space="preserve">10.3390/diagnostics14060624</t>
  </si>
  <si>
    <t xml:space="preserve">https://www.scopus.com/inward/record.uri?eid=2-s2.0-85188964829&amp;doi=10.3390%2fdiagnostics14060624&amp;partnerID=40&amp;md5=cefc04d3da6b0146774c5d458d476699</t>
  </si>
  <si>
    <t xml:space="preserve">Chitkara University Institute of Engineering and Technology, Chitkara University, Punjab, 140401, India; Department of Computer Science and Engineering, Jaypee University of Information Technology, Solan, Waknaghat, 173234, India; Department of Computer Science &amp; Engineering, Chandigarh University, Mohali, Gharuan, 140413, India; School of Computer Science and Artificial Intelligence, SR University, Warangal, 506371, India; School of Computer Application, Lovely Professional University, Phagwara, 144411, India; Department of Computer Science, Community College, King Saud University, P.O. Box 28095, Riyadh, 11437, Saudi Arabia</t>
  </si>
  <si>
    <t xml:space="preserve">Kukkar A., Chitkara University Institute of Engineering and Technology, Chitkara University, Punjab, 140401, India; Kumar Y., Department of Computer Science and Engineering, Jaypee University of Information Technology, Solan, Waknaghat, 173234, India; Sandhu J.K., Department of Computer Science &amp; Engineering, Chandigarh University, Mohali, Gharuan, 140413, India; Kaur M., School of Computer Science and Artificial Intelligence, SR University, Warangal, 506371, India; Walia T.S., School of Computer Application, Lovely Professional University, Phagwara, 144411, India; Amoon M., Department of Computer Science, Community College, King Saud University, P.O. Box 28095, Riyadh, 11437, Saudi Arabia</t>
  </si>
  <si>
    <t xml:space="preserve">cloud computing; dengue; fog computing; IoT; random forest</t>
  </si>
  <si>
    <t xml:space="preserve">Article; artificial neural network; Bayesian learning; cloud computing; computer assisted diagnosis; computer prediction; cross validation; decision tree; dengue; DengueFog; diagnostic accuracy; false negative result; false positive result; human; internet of things; mean absolute error; patient information; patient monitoring; random forest; sensitivity and specificity; support vector machine; weighted random forest</t>
  </si>
  <si>
    <t xml:space="preserve">Intel Core i5; NVIDIA GEFORCE GPU; Windows 10</t>
  </si>
  <si>
    <t xml:space="preserve">King Saud University, KSU</t>
  </si>
  <si>
    <t xml:space="preserve">This work was supported by Researchers Supporting Project number (RSPD2024R968), King Saud University Riyadh, Saudi Arabia.</t>
  </si>
  <si>
    <t xml:space="preserve">Mosquito–Borne Diseases; Kakarla S.G., Mopuri R., Mutheneni S.R., Bhimala K.R., Kumaraswamy S., Kadiri M.R., Gouda K.C., Upadhyayula S.M., Temperature dependent transmission potential model for chikungunya in India, Sci. Total Environ, 647, pp. 66-74, (2019); Zhu G., Liu T., Xiao J., Zhang B., Song T., Zhang Y., Lin L., Peng Z., Deng A., Ma W., Et al., Effects of human mobility, temperature and mosquito control on the spatiotemporal transmission of dengue, Sci. Total Environ, 651, pp. 969-978, (2018); Gupta G., Khan S., Guleria V., Almjally A., Alabduallah B., Siddiqui T., Albahlal B., Alajlan S., AL-Subaie M., DDPM: A Dengue Disease Prediction and Diagnosis Model Using Sentiment Analysis and Machine Learning Algorithms, Diagnostics, 13, (2023); Balakrishnan C., Ambeth Kumar V., IoT-Enabled Classification of Echocardiogram Images for Cardiovascular Disease Risk Prediction with Pre-Trained Recurrent Convolutional Neural Networks, Diagnostics, 13, (2023); Sareen S., Gupta S.K., Sood S.K., An intelligent and secure system for predicting and preventing Zika virus outbreak using Fog computing, Enterp. Inf. Syst, 11, pp. 1436-1456, (2017); Almufareh M., Tehsin S., Humayun M., Kausar S., A Transfer Learning Approach for Clinical Detection Support of Monkeypox Skin Lesions, Diagnostics, 13, (2023); Wu F., Li X., Xu L., Kumari S., Sangaiah A.K., A novel mutual authentication scheme with formal proof for smart health care systems under global mobility networks notion, Comput. Electr. Eng, 68, pp. 107-118, (2018); Gangula R., Thirupathi L., Parupati R., Sreeveda K., Gattoju S., Ensemble machine learning based prediction of dengue disease with performance and accuracy elevation patterns, Mater. Today Proc, 80, pp. 3458-3463, (2023); Zargari Marandi R., Leung P., Sigera C., Murray D.D., Weeratunga P., Fernando D., Rodrigo C., Rajapakse S., MacPherson C.R., Development of a machine learning model for early prediction of plasma leakage in suspected dengue patients, PLoS Negl. Trop. Dis, 17, (2023); Hussain Z., Khan I.A., Hassan M., Machine learning approaches for dengue prediction: A review of algorithms and applications, Pak. Geogr. Rev, 78, pp. 15-36, (2023); Zheng Y.L., Ding X.R., Poon C.C.Y., Lo B.P.L., Zhang H., Zhou X.L., Yang G.Z., Zhao N., Zhang Y.T., Unobtrusive sensing and wearable devices for health informatics, IEEE Trans. Biomed. Eng, 61, pp. 1538-1554, (2014); Zhao X., Li K., Ang C.K.E., Cheong K.H., A deep learning based hybrid architecture for weekly dengue incidences forecasting, Chaos Solitons Fractals, 168, (2023); Panja M., Chakraborty T., Nadim S.S., Ghosh I., Kumar U., Liu N., An ensemble neural network approach to forecast Dengue outbreak based on climatic condition, Chaos Solitons Fractals, 167, (2023); Ghanavati S., Abawajy J.H., Izadi D., Alelaiwi A.A., Cloud-assisted IoT-based health status monitoring Framework, Clust. Comput, 20, pp. 1843-1853, (2017); Majeed M.A., Shafri H.Z.M., Zulkafli Z., Wayayok A., A Deep Learning Approach for Dengue Fever Prediction in Malaysia Using LSTM with Spatial Attention, Int. J. Environ. Res. Public Health, 20, (2023); Lounis A., Hadjidj A., Bouabdallah A., Challal Y., Healing on the cloud: Secure cloud architecture for medical wireless sensor networks, Future Gener. Comput. Syst, 55, pp. 266-277, (2016); Santos C.Y., Tuboi S., de Abreu ADJ L., Abud D.A., Neto A.A.L., Pereira R., Siqueira J.B., A machine learning model to assess potential misdiagnosed dengue hospitalization, Heliyon, 7, (2023); Sareen S., Sood S.K., Gupta S.K., An automatic prediction of epileptic seizures using cloud computing and wireless sensor networks, J. Med. Syst, 40, (2016); Vairavasundaram S., Varadharajan V., Vairavasundaram I., Ravi L., Data mining-based tag recommendation system: An overview, Wiley Interdiscip. Rev. Data Min. Knowl. Discov, 5, pp. 87-112, (2015); Sanchez Lopez B.S., Candioti Nolberto D., Taquia Gutierrez J.A.A., Garcia Lopez Y., Traditional Machine Learning based on Atmospheric Conditions for Prediction of Dengue Presence, Comput. Y Sist, 27, pp. 769-777, (2023); Hadi Z.A., Dom N.C., Development of machine learning modelling and dengue risk mapping: A concept framework, IOP Conference Series: Earth and Environmental Science, 1217, (2023); Shaikh M.S.G., SureshKumar B., Narang G., Development of optimized ensemble classifier for dengue fever prediction and recommendation system, Biomed. Signal Process. Control, 85, (2023); Wang X., Gui Q., Liu B., Jin Z., Chen Y., Enabling smart personalized health care: A hybrid mobilecloud approach for ECG telemonitoring, IEEE J. Biomed. Health Inform, 18, pp. 739-745, (2014); Lalitha T., Jagruthi H., Laxmi V., Bordoloi D., Balaji N.A., Rawat R.S., Use of Machine Learning and Deep Learning Techniques to Predict Cases of Hospitalizations Caused by Dengue, Proceedings of the 2023 International Conference on Advances in Computing, Communication and Applied Informatics (ACCAI), pp. 1-7, (2023); Kapoor R., Ahuja S., Kadyan V., Machine Learning Based Classification Algorithm for Classification of Dengue (Dengue Fever-DF, Dengue Harmonic Fever-DHF, Serve Dengue-SD), ECS Trans, 107, (2022); Venkatachala Appa Swamy M., Periyasamy J., Thangavel M., Khan S., Almusharraf A., Santhanam P., Ramaraj V., Elsisi M., Design and Development of IoT and Deep Ensemble Learning Based Model for Disease Monitoring and Prediction, Diagnostics, 13, (2023); Nancy A., Ravindran D., Vincent D., Srinivasan K., Chang C., Fog-Based Smart Cardiovascular Disease Prediction System Powered by Modified Gated Recurrent Unit, Diagnostics, 13, (2023); Pati A., Parhi M., Pattanayak B., Singh D., Singh V., Kadry S., Nam Y., Kang B., Breast Cancer Diagnosis Based on IoT and Deep Transfer Learning Enabled by Fog Computing, Diagnostics, 13, (2023); Pirbhulal S., Shang P., Wu W., Sangaiah A.K., Samuel O.W., Li G., Fuzzy vault-based biometric security method for tele-health monitoring systems, Comput. Electr. Eng, 71, pp. 546-557, (2018); Kapoor R., Kadyan V., Ahuja S., Weight based-artificial neural network (W-ANN) for predicting dengue using machine learning approach with Indian perspective, Int. J. Sci. Technol. Res, 9, pp. 3290-3298, (2020); Kapoor R., Ahuja S., Kadyan V., Contribution Title a Correlational Diagnosis Prediction Model for Detecting Concurrent Occurrence of Clinical Features of Chikungunya and Zika in Dengue Infected Patient, Proceedings of the International Conference on Paradigms of Computing, Communication and Data Sciences: PCCDS 2020, pp. 933-944, (2021); Dastjerdi A.V., Buyya R., Fog computing: Helping the Internet of Things realize its potential, Computer, 49, pp. 112-116, (2016); Albahlal B., Emerging Technology-Driven Hybrid Models for Preventing and Monitoring Infectious Diseases: A Comprehensive Review and Conceptual Framework, Diagnostics, 13, (2023); Singh S., Bansal A., Sandhu R., Sidhu J., Fog computing and IoT based health care support service for dengue fever, Int. J. Pervasive Comput. Commun, 14, pp. 197-207, (2018); Ali Z., Hossain M.S., Muhammad G., Sangaiah A.K., An intelligent health care system for detection and classification to discriminate vocal fold disorders, Future Gener. Comput. Syst, 85, pp. 19-28, (2018); Manoharan S.N., Kumar K.M., Vadivelan N., A Novel CNN-TLSTM Approach for Dengue Disease Identification and Prevention using IoT-Fog Cloud Architecture, Neural Process. Lett, 55, pp. 1951-1973, (2023); Wu W., Pirbhulal S., Sangaiah A.K., Mukhopadhyay S.C., Li G., Optimization of signal quality over comfortability of textile electrodes for ECG monitoring in fog computing based medical applications, Future Gener. Comput. Syst, 86, pp. 515-526, (2018); Roy C.K., Sadiwala R., Cloud-Fog based HealthCare Framework to Identify and Prevent Dengue Fever Outbreak, Proceedings of the 2021 International Conference on Emerging Smart Computing and Informatics (ESCI), pp. 537-541, (2021); Sodhro A.H., Luo Z., Sangaiah A.K., Baik S.W., Mobile edge computing based QoS optimization in medical health care applications, Int. J. Inf. Manag, 45, pp. 308-318, (2018); Shamshuzzoha M., Islam M.M., Early Prediction Model of Macrosomia Using Machine Learning for Clinical Decision Support, Diagnostics, 13, (2023); Shah T., Yavari A., Mitra K., Saguna S., Jayaraman P.P., Rabhi F., Ranjan R., Remote health care cyber-physical system: Quality of service (QoS) challenges and opportunities, IET Cyber-Phys. Syst. Theory Appl, 1, pp. 40-48, (2016); Nandyala C.S., Kim H.K., From cloud to Fog and IoT-based real-time U-health care monitoring for smart homes and hospitals, Int. J. Smart Home, 10, pp. 187-196, (2016); Costanzo A., Faro A., Giordano D., Pino C., Mobile cyber physical systems for health care: Functions, ambient ontology and e-diagnostics, Proceedings of the 2016 13th IEEE Annual Consumer Communications &amp; Networking Conference (CCNC), pp. 972-975, (2016); Oluwagbemi O., Oluwagbemi F., Abimbola O., Ebinformatics: Ebola fuzzy informatics systems on the diagnosis, prediction and recommendation of appropriate treatments for Ebola virus disease (EVD), Inform. Med. Unlocked, 2, pp. 12-37, (2016); Sood S.K., Mahajan I., Fog-cloud based cyber-physical system for distinguishing, detecting and preventing mosquito borne diseases, Future Gener. Comput. Syst, 88, pp. 764-775, (2018); Thota C., Sundarasekar R., Manogaran G., Varatharajan R., Priyan M.K., Centralized fog computing security platform for IoT and cloud in health care system, Fog Computing: Breakthroughs in Research and Practice, pp. 365-378, (2018); Venckauskas A., Morkevicius N., Jukavicius V., Damasevicius R., Toldinas J., Grigaliunas S., An edge-fog secure self-authenticable data transfer protocol, Sensors, 19, (2019); Parkash O., Abdullah M., Yean C., Sekaran S., Shueb R., Development and Evaluation of an Electrochemical Biosensor for Detection of Dengue-Specific IgM Antibody in Serum Samples, Diagnostics, 11, (2021); Saxena S.K., Elahi A., Gadugu S., Prasad A.K., Zika virus outbreak: An overview of the experimental therapeutics and treatment, Virusdisease, 27, pp. 111-115, (2016); Ginier M., Neumayr A., Gunther S., Schmidt-Chanasit J., Blum J., Zika without symptoms in returning travellers: What are the implications?, Travel Med. Infect. Dis, 14, pp. 16-20, (2016); Pabbaraju K., Wong S., Gill K., Fonseca K., Tipples G.A., Tellier R., Simultaneous detection of Zika, Chikungunya and Dengue viruses by a multiplex real-time RT-PCR assay, J. Clin. Virol, 83, pp. 66-71, (2016); Campion M., Bina C., Pozniak M., Hanson T., Vaughan J., Mehus J., Hanson S., Cronquist L., Feist M., Ranganathan P., Et al., Predicting West Nile Virus (WNV) occurrences in North Dakota using data mining techniques, Future Technologies Conference (FTC), pp. 310-317, (2016); Lambert B., Sikulu-Lord M.T., Mayagaya V.S., Devine G., Dowell F., Churcher T.S., Monitoring the Age of Mosquito Populations Using Near-Infrared Spectroscopy, Sci. Rep, 8, (2018); Saturi S., Development of prediction and forecasting model for Dengue disease using machine learning algorithms, Proceedings of the 2020 IEEE International Conference on Distributed Computing, VLSI, Electrical Circuits and Robotics (DISCOVER), pp. 6-11, (2020); Devarajan M., Ravi L., Intelligent cyber-physical system for an efficient detection of Parkinson disease using fog computing, Multimed. Tools Appl, 78, pp. 32695-32719, (2018); Kaur P., Kumar R., Kumar M., A health care monitoring system using random forest and internet of things (IoT), Multimed. Tools Appl, 78, pp. 19905-19916, (2019); Parthasarathy P., Vivekanandan S., A typical IoT architecture-based regular monitoring of arthritis disease using time wrapping algorithm, Int. J. Comput. Appl, 42, pp. 222-232, (2018); Tuli S., Basumatary N., Gill S.S., Kahani M., Arya R.C., Wander G.S., Buyya R., HealthFog: An ensemble deep learning based Smart Health care System for Automatic Diagnosis of Heart Diseases in integrated IoT and fog computing environments, Future Gener. Comput. Syst, 104, pp. 187-200, (2019); Priyadarshini R., Barik R., Dubey H., DeepFog: Fog Computing-Based Deep Neural Architecture for Prediction of Stress Types, Diabetes and Hypertension Attacks, Computation, 6, (2018); Jabeen F., Maqsood M., Ghazanfar M.A., Aadil F., Khan S., Khan M.F., Mehmood I., An IoT based efficient hybrid recommender system for cardiovascular disease, Peer-to-Peer Netw. Appl, 12, pp. 1263-1276, (2019); Sood S.K., Mahajan I., A Fog Assisted Cyber-Physical Framework for Identifying and Preventing Coronary Heart Disease, Wirel. Pers. Commun, 101, pp. 143-165, (2018); Gu Z., Jiang Y., Zhou M., Gu M., Song X., Sha L., A Cyber-Physical System Framework for Early Detection of Paroxysmal Diseases, IEEE Access, 6, pp. 34834-34845, (2018); Sood S.K., Mahajan I., IoT-Fog-Based Health care Framework to Identify and Control Hypertension Attack, IEEE Internet Things J, 6, pp. 1920-1927, (2018); Lakshmanaprabu S.K., Shankar K., Ilayaraja M., Nasir A.W., Vijayakumar V., Chilamkurti N., Random forest for big data classification in the internet of things using optimal features, Int. J. Mach. Learn. Cybern, 10, pp. 2609-2618, (2019); Anand L., Ibrahim S.S., HANN: A Hybrid Model for Liver Syndrome Classification by Feature Assortment Optimization, J. Med. Syst, 42, (2018); Sood S.K., Sood V., Mahajan I., An intelligent health care system for predicting and preventing dengue virus infection, Computing, 105, pp. 1-39, (2021); Sood S.K., Kaur A., Sood V., Energy efficient IoT-Fog based architectural paradigm for prevention of Dengue fever infection, J. Parallel Distrib. Comput, 150, pp. 46-59, (2021); Suggala R.K., Krishna M.V., Swain S.K., Health monitoring jeopardy prophylaxis model based on machine learning in fog computing, Trans. Emerg. Telecommun. Technol, 33, (2022); Gambhir S., Malik S.K., Kumar Y., PSO-ANN based diagnostic model for the early detection of dengue disease, New Horiz. Transl. Med, 4, pp. 1-8, (2017); Gambhir S., Malik S.K., Kumar Y., The Diagnosis of Dengue Disease, Int. J. Healthc. Inf. Syst. Inform, 13, pp. 1-19, (2018); Azman MIA B.Z., Sarlan A.B., Aedes larvae classification and detection (ALCD) system by using deep learning, Proceedings of the 2020 International Conference on Computational Intelligence (ICCI), pp. 179-184, (2020); Verma P., Tiwari R., Hong W.C., Upadhyay S., Yeh Y.H., FETCH: A deep learning-based fog computing and IoT Integrated environment for health care monitoring and diagnosis, IEEE Access, 10, pp. 12548-12563, (2022); Corradi J.P., Thompson S., Mather J.F., Waszynski C.M., Dicks R.S., Prediction of Incident Delirium Using a Random Forest classifier, J. Med. Syst, 42, (2018); Zhao N., Charland K., Carabali M., Nsoesie E.O., Maheu-Giroux M., Rees E., Yuan M., Garcia Balaguera C., Jaramillo Ramirez G., Zinszer K., Machine learning and dengue forecasting: Comparing random forests and artificial neural networks for predicting dengue burden at national and sub-national scales in Colombia, PLoS Negl. Trop. Dis, 14, (2020); Mussumeci E., Coelho F.C., Large-scale multivariate forecasting models for Dengue-LSTM versus random forest regression, Spat. Spatio-Temporal Epidemiol, 35, (2020); Akinsal E.C., Haznedar B., Baydilli N., Kalinli A., Ozturk A., Artificial Neural Network for the Prediction of Chromosomal Abnormalities in Azoospermic Males, Urol. J, 15, pp. 122-125, (2018)</t>
  </si>
  <si>
    <t xml:space="preserve">J.K. Sandhu; Department of Computer Science &amp; Engineering, Chandigarh University, Gharuan, Mohali, 140413, India; email: jasminder.e12840@cumail.in; M. Amoon; Department of Computer Science, Community College, King Saud University, Riyadh, P.O. Box 28095, 11437, Saudi Arabia; email: mamoon@ksu.edu.sa</t>
  </si>
  <si>
    <t xml:space="preserve">Diagn.</t>
  </si>
  <si>
    <t xml:space="preserve">2-s2.0-85188964829</t>
  </si>
  <si>
    <t xml:space="preserve">Leena Jenifer A.L.; Indumathi B.K.; Mahalakshmi C.P.</t>
  </si>
  <si>
    <t xml:space="preserve">Leena Jenifer, A.L. (57716010400); Indumathi, B.K. (58939816900); Mahalakshmi, C.P. (58940030500)</t>
  </si>
  <si>
    <t xml:space="preserve">57716010400; 58939816900; 58940030500</t>
  </si>
  <si>
    <t xml:space="preserve">Detection of Female Anopheles Mosquito-Infected Cells: Exploring CNN, ReLU, and Sigmoid Activation Methods</t>
  </si>
  <si>
    <t xml:space="preserve">INTRODUCTION: Deep learning uses multi-layer neural networks where the algorithm decides for itself whether aspects are essential for analysis based on the raw input. In general, deep learning networks get better as more data is used to train them. For a variety of applications, convolutional neural networks are frequently used to analyse, categorize, and detect images. OBJECTIVES: The proposed system technique is used for automated analysis of malaria-detecting frameworks. A female Anopheles mosquito bite is the primary method of transmission of the blood disease malaria. It is still common to manually count and identify parasitized cells during microscopic examination of either thick or thin layers of haemoglobin, which takes time for disease prognosis. METHODS: The current research uses a neural network based on convolution to catalogue images of cells with and without malaria infection. This method improves the precision of classification for the datasets under study. The ReLu activation function used by this model enables it to learn more quickly and perform more effectively. RESULTS: The prediction of infected and healthy cells was done accurately by the proposed model, which uses only 3 layers of convolution, and this was the idea behind the implementation. The model achieved an improved accuracy of 99.77% across 12 iterations (epochs). CONCLUSION: The proposed model is straightforward and successful in differentiating between malaria-infected and uninfected cells. © 2024 A. L. Leena Jennifer et al., licensed to EAI.</t>
  </si>
  <si>
    <t xml:space="preserve">10.4108/eetpht.10.5269</t>
  </si>
  <si>
    <t xml:space="preserve">https://www.scopus.com/inward/record.uri?eid=2-s2.0-85187805925&amp;doi=10.4108%2feetpht.10.5269&amp;partnerID=40&amp;md5=50aaef078d361df51f985b666f334032</t>
  </si>
  <si>
    <t xml:space="preserve">Department of Information Technology, Rajalakshmi Engineering College, Thandalam, Chennai, India</t>
  </si>
  <si>
    <t xml:space="preserve">Leena Jenifer A.L., Department of Information Technology, Rajalakshmi Engineering College, Thandalam, Chennai, India; Indumathi B.K., Department of Information Technology, Rajalakshmi Engineering College, Thandalam, Chennai, India; Mahalakshmi C.P., Department of Information Technology, Rajalakshmi Engineering College, Thandalam, Chennai, India</t>
  </si>
  <si>
    <t xml:space="preserve">CNN; Image classification; ReLU; Sigmoid activation layer</t>
  </si>
  <si>
    <t xml:space="preserve">Cells; Chemical activation; Classification (of information); Convolutional neural networks; Cytology; Deep learning; Diagnosis; Diseases; Image classification; Learning systems; Multilayer neural networks; Network layers; Activation layer; Activation method; Anopheles mosquitoes; Images classification; Infected cells; Learning network; Multi-layer neural networks; ReLU; Sigmoid activation layer; Sigmoids; Convolution</t>
  </si>
  <si>
    <t xml:space="preserve">Skaramagkas V, Pentari A, Kefalopoulou Z, Tsiknakis M., Multi-modal Deep Learning Diagnosis of Parkinson’s Disease-A Systematic Review, IEEE Transactions on Neural Systems and Rehabilitation Engineering, 31, pp. 2399-2423, (2023); Tripathi S., Image classification using small convolutional neural network, Proceedings of the 9th International Conference on Cloud Computing, Data Science &amp; Engineering (Confluence), pp. 483-487, (2019); Sriram G.K., Deep Learning Approaches for Pneumonia Classification in Healthcare,  International Conference on Innovative Practices in Technology and Management, pp. 1-6, (2023); Devi Padma K., Exploring The Potential of Machine Learning for Early Diagnosis of Parkinson's Disease: A Comparative Study,  International Conference on Intelligent Engineering and Management, pp. 1-6, (2023); Poostchi M, Silamut K, Maude R.J, Jaeger S., Image analysis and machine learning for detecting malaria, Translational Research, 194, pp. 36-55, (2018); Pattanaik P, Mittal M, Khan M, Unsupervised deep learning cad scheme for the detection of malaria in blood smear microscopic images, IEEE Access, 8, pp. 94936-94946, (2020); Lin G, Shen W., Research on convolutional neural network based on improved ReLU piecewise activation function, Procedia computer science, 131, pp. 977-984, (2018); He K., Deep residual learning for image recognition, Proceedings of the IEEE Conference on Computer Vision and Pattern Recognition (CVPR), pp. 770-778, (2016); Liang Z., CNN-based image analysis for malaria diagnosis, Proceedings of IEEE International Conference on Bioinformatics and Biomedicine, pp. 493-496, (2016); Jaspreet Singh C, Abhishek S, Karan S, Rekha R., Malaria Cell Image Classification using Deep Learning, International Journal of Recent Technology and Engineering, 8, pp. 1-7, (2020); Patil GG., Techniques of Deep Learning for Image Recognition, Proceedings of IEEE 5th International Conference for Convergence in Technology, pp. 1-5, (2019); Deng J., Imagenet: A large-scale hierarchical image database, Proceedings of IEEE conference on computer vision and pattern recognition, pp. 248-255, (2009); Rajaraman S, Antani S.K, Poostchi M, Silamut K., Pre-trained convolutional neural networks as feature extractors toward improved malaria parasite detection in thin blood smear images, PeerJ, 6, pp. 1-17, (2018); Qiumei Z, Dan T, Fenghua W., Improved convolutional neural network based on fast exponentially linear unit activation function, IEEE Access, 7, pp. 151359-151367, (2019); Hassairi S., Supervised image classification using deep convolutional wavelets network, Proceedings of International Conference on Tools with Artificial Intelligence, pp. 265-271, (2015); Vijay K., Survey on chaos RNN–A root cause analysis and anomaly detection, AIP Conference Proceedings. Proceedings of the 5th International Conference on Intelligent Computing (IConIC 2k22), pp. 1-8, (2022); Tek F.B, Dempster A.G, Kale I., Malaria parasite detection in peripheral blood images, BMVA, 1, pp. 347-356, (2006); Babu R, Jayashree K, Viswanathan K, Vijay K., An Efficient Spam Detector Model for Accurate Categorization of Spam Tweets Using Quantum Chaotic Optimization-Based Stacked Recurrent Network, Nonlinear Dynamics, 111, pp. 18523-18540, (2023); Iliev A, Kyurkchiev N, Markov S., On the approximation of the step function by some sigmoid functions, Journal of Mathematics &amp; Computers in Simulation, 133, pp. 223-234, (2017); Ross N, Pritchard E, J J, Rubin D, Duse M, Automated image processing method for the diagnosis and classification of malaria on thin blood smears, Medical and Biological Engineering and Computing, 44, pp. 427-436, (2006); Das D, Ghosh M, Pal M, Maiti A, Chakraborty C., Machine learning approach for automated screening of malaria parasite using light microscopic images, Micron, 45, pp. 97-106, (2013); Devi S.S, Sheikh S.A, Talukdar A, Laskar R.H., Malaria infected erythrocyte classification based on the histogram features using microscopic images of thin blood smear, Indian Journal of Science and Technology, 9, pp. 1-10, (2016); Liang Z., CNN ‐based image analysis for malaria diagnosis, Proceedings of IEEE International Conference on Bioinformatics and Biomedicine (BIBM), pp. 493-496, (2016); Bibin D, Nair M.S, Punitha P., Malaria parasite detection from peripheral blood smear images using deep belief networks, IEEE Access, 5, pp. 9099-9108, (2017); Gopakumar G, Swetha M, Sai Siva G, SaiSubrahmanyam G, Convolutional Neural Network based malaria diagnosis from focus stack of blood smear images acquired using custom‐built slide scanner, Journal of Biophotonics, 11, pp. 111-123, (2018); Rajaraman S, Jaeger S, Antani S.K., Performance evaluation of deep neural ensembles toward malaria parasite detection in thin‐blood smear images, PeerJ, 7, pp. 1-16, (2019); Fuhad K, Tuba JF, Sarker M, Momen S, Mohammed N, Rahman T., Deep learning based automatic malaria parasite detection from blood smear and its smartphone based application, Diagnostics, 10, pp. 329-348, (2020); Braveen M, Nachiyappan S, Seetha R, Anusha K, ALBAE feature extraction based lung pneumonia and cancer classification, Soft Computing, 27, pp. 1-14, (2023); Jayachitra S., Hierarchical-Based Binary Moth Flame Optimization for Feature Extraction in Biomedical Application,  International Conference on Machine Learning, Image Processing, Network Security and Data 21 Dec 2022, pp. 27-38; Sekar J, Aruchamy P., An Efficient Clinical Support System For Heart Disease Prediction Using TANFIS Classifier, Computational Intelligence, 38, pp. 610-640, (2022)</t>
  </si>
  <si>
    <t xml:space="preserve">A.L. Leena Jenifer; Department of Information Technology, Rajalakshmi Engineering College, Chennai, Thandalam, India; email: leenajenifer.l@rajalakshmi.edu.in</t>
  </si>
  <si>
    <t xml:space="preserve">2-s2.0-85187805925</t>
  </si>
  <si>
    <t xml:space="preserve">Divase A.; Pisal S.; Dake M.; Dhere R.; Dakshinamurthy P.K.; Reddy P.S.; Kamat C.; Chahar D.S.; Pal J.; Nawani N.</t>
  </si>
  <si>
    <t xml:space="preserve">Divase, Ambika (59280878300); Pisal, Sambhaji (6507671377); Dake, Manjusha (7006774029); Dhere, Rajeev (15847859300); Dakshinamurthy, Pravin Kumar (57192943320); Reddy, Peddireddy Srinivas (59394880800); Kamat, Chandrashekhar (59297524200); Chahar, Digamber Singh (57210637830); Pal, Jayanta (7004533235); Nawani, Neelu (6507993984)</t>
  </si>
  <si>
    <t xml:space="preserve">59280878300; 6507671377; 7006774029; 15847859300; 57192943320; 59394880800; 59297524200; 57210637830; 7004533235; 6507993984</t>
  </si>
  <si>
    <t xml:space="preserve">Development of an ELISA for an effective potency determination of recombinant rabies human monoclonal antibody</t>
  </si>
  <si>
    <t xml:space="preserve">Rapid Fluorescence Focus Inhibition Test (RFFIT) is the most widely used cell-based assay to measure the potency of recombinant human rabies monoclonal antibodies. Nonetheless, RFFIT assay is time-consuming and it requires well-equipped biosafety level 2 facility, virulent live rabies virus cultures, permissive cell lines, and well-trained manpower. Therefore, the development of alternative methods to the RFFIT has been encouraged by the World Health Organization (WHO) expert working groups to overcome these barriers. An In-vitro ELISA test has been developed as an alternative to the RFFIT assay, for quantifying the rabies monoclonal antibody (mAb) potency using inactivated rabies virus vaccine (Rabivax-S). It is based on the specific interaction between the antigen and the antibody, that induces neutralizing antibody response to rabies virus. The ELISA was validated involving accuracy and precision within 20 % coefficient of variance. The validation has been done by 4PL standard curve with linearity r2 ˃ 0.98 and LLOQ of 0.3 μg/mL indicating high assay sensitivity. The specificity of the assay was ascertained by challenging with another homologous non-rabies humanized mAb, which does not show binding with the rabies virus. The indirect ELISA developed here, is precise, robust, and accurate to quantitate the potency of rabies monoclonal antibody. It is highly sensitive and has a broad range of detection. It is easy to perform, and it has a short turnaround time (results available in few hours). Furthermore, it is cost effective and can be performed with low-cost resource setting, as there is no requirement of handling the live cells and live virus and also BSL-2 Facility. © 2024 Elsevier B.V.</t>
  </si>
  <si>
    <t xml:space="preserve">Journal of Immunological Methods</t>
  </si>
  <si>
    <t xml:space="preserve">10.1016/j.jim.2024.113769</t>
  </si>
  <si>
    <t xml:space="preserve">https://www.scopus.com/inward/record.uri?eid=2-s2.0-85208112711&amp;doi=10.1016%2fj.jim.2024.113769&amp;partnerID=40&amp;md5=00d4908a0656e41d4190a88f4e5c5f76</t>
  </si>
  <si>
    <t xml:space="preserve">Serum Institute of India Pvt. Ltd., Hadapsar, Maharashtra, Pune, 411028, India; Dr. D.Y. Patil Biotechnology and Bioinformatics Institute, Dr. D.Y. Patil Vidyapeeth, Maharashtra, Pune, 411033, India</t>
  </si>
  <si>
    <t xml:space="preserve">Divase A., Serum Institute of India Pvt. Ltd., Hadapsar, Maharashtra, Pune, 411028, India, Dr. D.Y. Patil Biotechnology and Bioinformatics Institute, Dr. D.Y. Patil Vidyapeeth, Maharashtra, Pune, 411033, India; Pisal S., Serum Institute of India Pvt. Ltd., Hadapsar, Maharashtra, Pune, 411028, India; Dake M., Dr. D.Y. Patil Biotechnology and Bioinformatics Institute, Dr. D.Y. Patil Vidyapeeth, Maharashtra, Pune, 411033, India; Dhere R., Serum Institute of India Pvt. Ltd., Hadapsar, Maharashtra, Pune, 411028, India; Dakshinamurthy P.K., Serum Institute of India Pvt. Ltd., Hadapsar, Maharashtra, Pune, 411028, India; Reddy P.S., Serum Institute of India Pvt. Ltd., Hadapsar, Maharashtra, Pune, 411028, India; Kamat C., Serum Institute of India Pvt. Ltd., Hadapsar, Maharashtra, Pune, 411028, India; Chahar D.S., Serum Institute of India Pvt. Ltd., Hadapsar, Maharashtra, Pune, 411028, India; Pal J., Dr. D.Y. Patil Biotechnology and Bioinformatics Institute, Dr. D.Y. Patil Vidyapeeth, Maharashtra, Pune, 411033, India; Nawani N., Dr. D.Y. Patil Biotechnology and Bioinformatics Institute, Dr. D.Y. Patil Vidyapeeth, Maharashtra, Pune, 411033, India</t>
  </si>
  <si>
    <t xml:space="preserve">indirect ELISA; potency testing; Rabies monoclonal antibodies; rabies virus</t>
  </si>
  <si>
    <t xml:space="preserve">Animals; Antibodies, Monoclonal; Antibodies, Neutralizing; Antibodies, Viral; Enzyme-Linked Immunosorbent Assay; Humans; Rabies; Rabies Vaccines; Rabies virus; Recombinant Proteins; Reproducibility of Results; Vaccine Potency; human monoclonal antibody; neutralizing antibody; rabies vaccine; monoclonal antibody; neutralizing antibody; rabies vaccine; recombinant protein; vaccine; virus antibody; animal cell; animal experiment; antibody response; Article; controlled study; enzyme linked immunosorbent assay; fluorescence; genetic recombination; in vitro study; indirect ELISA; mouse; nonhuman; rabies; Rabies virus; turnaround time; virus culture; animal; diagnosis; genetics; human; immunology; procedures; rabies; reproducibility; virology</t>
  </si>
  <si>
    <t xml:space="preserve">Antibodies, Monoclonal, ; Antibodies, Neutralizing, ; Antibodies, Viral, ; Rabies Vaccines, ; Recombinant Proteins, </t>
  </si>
  <si>
    <t xml:space="preserve">Serum Institute of India, SII; Serum Institute of India Private Limited</t>
  </si>
  <si>
    <t xml:space="preserve">This work was supported by Serum Institute of India Pvt. Ltd., Pune India.The authors are grateful to Serum Institute of India Private Limited and Dr. D. Y. Patil Biotechnology and Bioinformatics Institute, Dr. D.Y. Patil Vidyapeeth, Pune for providing all the facilities to carry out this study.</t>
  </si>
  <si>
    <t xml:space="preserve">Bakker A.B.H., Marissen W.E., Kramer R.A., Rice A.B., Weldon W.C., Niezgoda M., Et al., Novel human monoclonal antibody combination effectively neutralizing natural rabies virus variants and individual in vitro escape mutants, J. Virol. [Internet], 79, 14, pp. 9062-9068, (2005); Barth R., Gruschkau H., Jaeger O., Milcke L., Purification, concentration and evaluation of rabies virus antigen, Comp. Immunol. Microbiol. Infect. Dis., 5, 1-3, pp. 211-216, (1982); Barth R., Diderrich G., Weinmann E., NIH test, a problematic method for testing potency of inactivated rabies vaccine, Vaccine, 6, 4, pp. 369-377, (1988); Chabaud-Riou M., Moreno N., Guinchard F., Nicolai M.C., Niogret-Siohan E., Seve N., Et al., G-protein based ELISA as a potency test for rabies vaccines, Biologicals, 46, pp. 124-129, (2017); Cliquet F., McElhinney L.M., Servat A., Boucher J.M., Lowings J.P., Goddard T., Et al., Development of a qualitative indirect ELISA for the measurement of rabies virus-specific antibodies from vaccinated dogs and cats, J. Virol. Methods, 117, 1, pp. 1-8, (2004); Ferguson M., Schild G.C., A single-radial-immunodiffusion technique for the assay of rabies glycoprotein antigen: application for potency tests of vaccines against rabies, J. General Virol. [Internet], 59, 1, pp. 197-201, (1982); Feyssaguet M., Dacheux L., Audry L., Compoint A., Morize J.L., Blanchard I., Et al., Multicenter comparative study of a new ELISA, PLATELIA™ RABIES II, for the detection and titration of anti-rabies glycoprotein antibodies and comparison with the rapid fluorescent focus inhibition test (RFFIT) on human samples from vaccinated and non-vaccinated people, Vaccine, 25, 12, pp. 2244-2251, (2007); Fooks A.R., Cliquet F., Finke S., Freuling C., Hemachudha T., Mani R.S., Et al., Rabies. Vol. 3, Nature Reviews Disease Primers, (2017); Fournier-Caruana J., Poirier B., Haond G., Jallet C., Fuchs F., Tordo N., Et al., Inactivated rabies vaccine control and release:use of an ELISA method, Biologicals, 31, 1, pp. 9-16, (2003); Gairola S., Gautam M., Waghmare S., A novel ELISA for quantification of glycoprotein in human rabies vaccines using a clinically proven virus neutralizing human monoclonal antibody, 16, 8, pp. 1857-1865, (2020); Gan H., Hou X., Wang Y., Xu G., Huang Z., Zhang T., Et al., Global burden of rabies in 204 countries and territories, from 1990 to 2019: results from the global burden of disease study 2019, Int. J. Infect. Dis., 126, pp. 136-144, (2023); Gibert R., Alberti M., Poirier B., Jallet C., Tordo N., Morgeaux S., A relevant in vitro ELISA test in alternative to the in vivo NIH test for human rabies vaccine batch release, Vaccine, 31, 50, pp. 6022-6029, (2013); Huluvadi Shivalingaiah A., Haradanhalli Shankaraiah R., Narayana Doddabele Hanumanthaiah A., Safety of new indigenous human rabies monoclonal antibody (RmAb) for post exposure prophylaxis, iapsmupuk.org [Internet], 30, pp. 196-201, (2018); Jallet C., Tordo N., In vitro ELISA test to evaluate rabies vaccine potency, JoVE (J. Visualiz. Exp.) [Internet], 2020, 159, (2020); Johnson N., Cunningham A.F., Fooks A.R., The immune response to rabies virus infection and vaccination, Vaccine, 28, 23, pp. 3896-3901, (2010); Ling W., Doi S.A.R., Lau C.L., Mills D.J., Kostoulas P., Furuya-Kanamori L., Diagnostic accuracy of ELISA kits for measurement of rabies antibodies, J. Travel Med., 28, 5, (2021); Moore S.M., Gordon C.R., Measures of Rabies Immunity. Rabies: Scientific Basis of the Disease and its Management, pp. 445-479, (2020); Moore S.M., Ricke T.A., Davis R.D., Briggs D.J., The influence of homologous vs. heterologous challenge virus strains on the serological test results of rabies virus neutralizing assays, Biologicals, 33, 4, pp. 269-276, (2005); Moore S.M., Gilbert A., Vos A., Freuling C.M., Ellis C., Kliemt J., Et al., Rabies virus antibodies from oral vaccination as a correlate of protection against lethal infection in wildlife, Trop Med. Infect. Dis., 2, 3, (2017); Moore S.M., Gilbert A., Vos A., Freuling C.M., Ellis C., Kliemt J., Et al., Rabies virus antibodies from oral vaccination as a correlate of protection against lethal infection in wildlife, Trop. Med. Infect. Disease, 2, 3, (2017); Moore S.M., Rupprecht C.E., Wallace R.M., Challenges of rabies serology: defining context of interpretation, Viruses, 13, 8, (2021); Nagarajan T., Marissen W., Rupprecht C., Monoclonal antibodies for the prevention of rabies: theory and clinical practice, Antibody Technol. J., (2014); Nicholson K.G., Prestage H., Enzyme-linked lmmunosorbent assay: a rapid reproducible test for the measurement of rabies antibody, J. Med. Virol. [Internet], 9, 1, pp. 43-49, (1982); Nimmagadda S.V., Aavula S.M., Biradhar N., Rao V.S., Shanmugham R., Chandran D., Et al., Recombinant diabody-based immunocapture enzyme-linked immunosorbent assay for quantification of rabies virus glycoprotein, Clin. Vaccine Immunol. [Internet], 17, 8, pp. 1261-1268, (2010); Perrin P., Morgeaux S., Sureau P., In vitro rabies vaccine potency appraisal by ELISA: advantages of the immunocapture method with a neutralizing anti-glycoprotein monoclonal antibody, Biologicals, 18, 4, pp. 321-330, (1990); Rupprecht C.E., Salahuddin N., Current status of human rabies prevention: remaining barriers to global biologics accessibility and disease elimination, 18, 6, pp. 629-640, (2019); Sanyal G., Development of functionally relevant potency assays for monovalent and multivalent vaccines delivered by evolving technologies, NPJ Vaccines, 7, 1, pp. 1-10, (2022); Seif I., Coulon, Pierre P., Rollin E., Flamandl A., Rabies virulence: effect on pathogenicity and sequence characterization of rabies virus mutations affecting antigenic site III of the glycoprotein, J. Virol. [Internet], 53, 3, pp. 926-934, (1985); Shivalingaiah Anwith H., Gopalakrishna Upadhya K., Shankaraiah Ravish H., Thenambigai R., Prashanth Ramya M., Thejaswini P., Awareness on rabies and its prevention among anganwadi workers, researchgate.net [Internet], 7, (2018); Smith T.G., Gilbert A.T., Comparison of a micro-neutralization test with the rapid fluorescent focus inhibition test for measuring rabies virus neutralizing antibodies, Trop Med. Infect. Dis., 2, 3, (2017); Smith J.S., Yager P.A., Baer G.M., A rapid reproducible test for determining rabies neutralizing antibody, Bull. Org. Mond. Sant. Bull. Wid Hith Org, 48, (1973); Soni D., Sahoo I., Mallya A.D., Kamthe P., Sahai A., Goel S.K., Et al., Development of competitive inhibition ELISA as an effective potency test to analyze human rabies vaccines and assessment of the antigenic epitope of rabies glycoprotein, J. Immunol. Methods, 492, (2021); Standardization WEC on B, WHO expert committee on biological standardization: fifty-sixth report [Internet], (2007); Thraenhart O., Ramakrishnan K., Standardization of an enzyme immunoassay for the in vitro potency assay of inactivated tissue culture rabies vaccines: determination of the rabies virus glycoprotein with polyclonal antisera, J. Biol. Stand., 17, 4, pp. 291-309, (1989); Toinon A., Moreno N., Chausse H., Mas E., Nicolai M.C., Guinchard F., Et al., Potency test to discriminate between differentially over-inactivated rabies vaccines: agreement between the NIH assay and a G-protein based ELISA, Biologicals, 60, pp. 49-54, (2019); Volokhov D.V., Furtak V., Allen C., Pulle G., Zajac M.D., Levin Y., Et al., Robust humoral immune response against rabies virus in rabbits and guinea pigs immunized with plasmid DNA vectors encoding rabies virus glycoproteins – an approach to the production of polyclonal antibody reagents, Mol. Cell. Probes, 64, (2022); Wasniewski M., Cliquet F., Evaluation of ELISA for detection of rabies antibodies in domestic carnivores, J. Virol. Methods, 179, 1, pp. 166-175, (2012); Wasniewski M., Almeida I., Baur A., Bedekovic T., Boncea D., Chaves L.B., Et al., First international collaborative study to evaluate rabies antibody detection method for use in monitoring the effectiveness of oral vaccination programmes in fox and raccoon dog in Europe, J. Virol. Methods, 238, pp. 77-85, (2016); Webster L.T., Dawson J.R., Early diagnosis of rabies by mouse inoculation. Measurement of humoral immunity to rabies by mouse protection test, 32, 4, pp. 570-573, (1935); WHO Expert Consultation on Rabies, Third Report - World Health Organization - Google Books [Internet], (2023); WHO Expert Consultation on Rabies Third report [Internet], (2018); Zhao R., Yu P., Shan Y., Thirumeni N., Li M., Lv Y., Et al., Rabies virus glycoprotein serology ELISA for measurement of neutralizing antibodies in sera of vaccinated human subjects, Vaccine, 37, 41, pp. 6060-6067, (2019)</t>
  </si>
  <si>
    <t xml:space="preserve">M. Dake; Dr. D.Y. Patil Biotechnology and Bioinformatics Institute, Dr. D.Y. Patil Vidyapeeth, Pune, Maharashtra, 411033, India; email: manjusha.dake@dpu.edu.in</t>
  </si>
  <si>
    <t xml:space="preserve">JIMMB</t>
  </si>
  <si>
    <t xml:space="preserve">J. Immunol. Methods</t>
  </si>
  <si>
    <t xml:space="preserve">2-s2.0-85208112711</t>
  </si>
  <si>
    <t xml:space="preserve">Hamid M.M.A.; Mohamed A.O.; Mohammed F.O.; Elaagip A.; Mustafa S.A.; Elfaki T.; Jebreel W.M.A.; Albsheer M.M.; Dittrich S.; Owusu E.D.A.; Yerlikaya S.</t>
  </si>
  <si>
    <t xml:space="preserve">Hamid, Muzamil M. Abdel (57216815886); Mohamed, Abdelrahim O. (55414062600); Mohammed, Fayad O. (57223301821); Elaagip, Arwa (54934581200); Mustafa, Sayed A. (58572831900); Elfaki, Tarig (58520163700); Jebreel, Waleed M. A. (58691257700); Albsheer, Musab M. (57189033988); Dittrich, Sabine (57205848244); Owusu, Ewurama D. A. (56690035000); Yerlikaya, Seda (57204231183)</t>
  </si>
  <si>
    <t xml:space="preserve">57216815886; 55414062600; 57223301821; 54934581200; 58572831900; 58520163700; 58691257700; 57189033988; 57205848244; 56690035000; 57204231183</t>
  </si>
  <si>
    <t xml:space="preserve">Diagnostic accuracy of an automated microscope solution (miLab™) in detecting malaria parasites in symptomatic patients at point-of-care in Sudan: a case–control study</t>
  </si>
  <si>
    <t xml:space="preserve">Background: Microscopic detection of malaria parasites is labour-intensive, time-consuming, and expertise-demanding. Moreover, the slide interpretation is highly dependent on the staining technique and the technician’s expertise. Therefore, there is a growing interest in next-generation, fully- or semi-integrated microscopes that can improve slide preparation and examination. This study aimed to evaluate the clinical performance of miLab™ (Noul Inc., Republic of Korea), a fully-integrated automated microscopy device for the detection of malaria parasites in symptomatic patients at point-of-care in Sudan. Methods: This was a prospective, case–control diagnostic accuracy study conducted in primary health care facilities in rural Khartoum, Sudan in 2020. According to the outcomes of routine on-site microscopy testing, 100 malaria-positive and 90 malaria-negative patients who presented at the health facility and were 5 years of age or older were enrolled consecutively. All consenting patients underwent miLab™ testing and received a negative or suspected result. For the primary analysis, the suspected results were regarded as positive (automated mode). For the secondary analysis, the operator reviewed the suspected results and categorized them as either negative or positive (corrected mode). Nested polymerase chain reaction (PCR) was used as the reference standard, and expert light microscopy as the comparator. Results: Out of the 190 patients, malaria diagnosis was confirmed by PCR in 112 and excluded in 78. The sensitivity of miLab™ was 91.1% (95% confidence interval [CI] 84.2–95.6%) and the specificity was 66.7% (95% Cl 55.1–67.7%) in the automated mode. The specificity increased to 96.2% (95% Cl 89.6–99.2%), with operator intervention in the corrected mode. Concordance of miLab with expert microscopy was substantial (kappa 0.65 [95% CI 0.54–0.76]) in the automated mode, but almost perfect (kappa 0.97 [95% CI 0.95–0.99]) in the corrected mode. A mean difference of 0.359 was found in the Bland–Altman analysis of the agreement between expert microscopy and miLab™ for quantifying parasite counts. Conclusion: When used in a clinical context, miLab™ demonstrated high sensitivity but low specificity. Expert intervention was shown to be required to improve the device’s specificity in its current version. miLab™ in the corrected mode performed similar to expert microscopy. Before clinical application, more refinement is needed to ensure full workflow automation and eliminate human intervention. Trial registration ClinicalTrials.gov: NCT04558515 © The Author(s) 2024.</t>
  </si>
  <si>
    <t xml:space="preserve">Malaria Journal</t>
  </si>
  <si>
    <t xml:space="preserve">BioMed Central Ltd</t>
  </si>
  <si>
    <t xml:space="preserve">10.1186/s12936-024-05029-3</t>
  </si>
  <si>
    <t xml:space="preserve">https://www.scopus.com/inward/record.uri?eid=2-s2.0-85197194938&amp;doi=10.1186%2fs12936-024-05029-3&amp;partnerID=40&amp;md5=60ca698b21f148f7421322f483987fd0</t>
  </si>
  <si>
    <t xml:space="preserve">Department of Parasitology and Medical Entomology, Institute of Endemic Diseases, University of Khartoum, Khartoum, Sudan; FIND, Geneva, Switzerland; Department of Medical Laboratory Sciences, School of Biomedical and Allied Health Sciences, College of Health Sciences, University of Ghana, Accra, Ghana; Malaria Control Program, Federal Ministry of Health, Khartoum, Sudan; Faculty of Medical Laboratory Sciences, Sinnar University, Sinnar, Sudan; Department of Biochemistry, Faculty of Medicine, University of Khartoum, Khartoum, Sudan; Department of Infectious Disease and Tropical Medicine, Heidelberg University Hospital, Heidelberg, 69120, Germany</t>
  </si>
  <si>
    <t xml:space="preserve">Hamid M.M.A., Department of Parasitology and Medical Entomology, Institute of Endemic Diseases, University of Khartoum, Khartoum, Sudan; Mohamed A.O., Department of Parasitology and Medical Entomology, Institute of Endemic Diseases, University of Khartoum, Khartoum, Sudan, Department of Biochemistry, Faculty of Medicine, University of Khartoum, Khartoum, Sudan; Mohammed F.O., Department of Parasitology and Medical Entomology, Institute of Endemic Diseases, University of Khartoum, Khartoum, Sudan; Elaagip A., Department of Parasitology and Medical Entomology, Institute of Endemic Diseases, University of Khartoum, Khartoum, Sudan; Mustafa S.A., Malaria Control Program, Federal Ministry of Health, Khartoum, Sudan; Elfaki T., Malaria Control Program, Federal Ministry of Health, Khartoum, Sudan; Jebreel W.M.A., Department of Parasitology and Medical Entomology, Institute of Endemic Diseases, University of Khartoum, Khartoum, Sudan; Albsheer M.M., Department of Parasitology and Medical Entomology, Institute of Endemic Diseases, University of Khartoum, Khartoum, Sudan, Faculty of Medical Laboratory Sciences, Sinnar University, Sinnar, Sudan; Dittrich S., FIND, Geneva, Switzerland; Owusu E.D.A., FIND, Geneva, Switzerland, Department of Medical Laboratory Sciences, School of Biomedical and Allied Health Sciences, College of Health Sciences, University of Ghana, Accra, Ghana; Yerlikaya S., FIND, Geneva, Switzerland, Department of Infectious Disease and Tropical Medicine, Heidelberg University Hospital, Heidelberg, 69120, Germany</t>
  </si>
  <si>
    <t xml:space="preserve">Artificial intelligence; Automated microscope; Malaria; miLab™; Sudan</t>
  </si>
  <si>
    <t xml:space="preserve">Adolescent; Adult; Case-Control Studies; Child; Child, Preschool; Female; Humans; Malaria; Male; Microscopy; Middle Aged; Point-of-Care Systems; Prospective Studies; Sensitivity and Specificity; Sudan; Young Adult; accuracy; adolescent; adult; aged; Article; artificial intelligence; blood smear; case control study; child; confidence interval; controlled study; diagnostic accuracy; diagnostic test accuracy study; enzyme deficiency; female; fever; Giemsa stain; health care facility; human; leukocyte; light microscopy; major clinical study; malaria; male; microscopy; nested polymerase chain reaction; parasite count; parasite density; Plasmodium; Plasmodium falciparum; Plasmodium vivax; primary health care; secondary analysis; South Korea; standard; Sudan; workflow; diagnosis; microscopy; middle aged; point of care system; preschool child; procedures; prospective study; sensitivity and specificity; Sudan; young adult</t>
  </si>
  <si>
    <t xml:space="preserve">Noul Inc.; Department of Foreign Affairs and Trade, Australian Government, DFAT; FIND Malaria Innovation Platform Project</t>
  </si>
  <si>
    <t xml:space="preserve">Funding text 1: The authors thank all the study participants. We also thank the directors and all staff at the two hospitals in GS and SOR for their assistance and collaboration in patient recruitment and performing on-site microscopy and miLabTM testing. We would like to acknowledge that this study was conducted independently of the product developer, Noul Inc., and their involvement was limited to providing the miLab\u2122 device and cartridges for evaluation.; Funding text 2: This study was funded by the Australian Government, Department for Foreign Affairs and Trade, as part of the FIND Malaria Innovation Platform Project. </t>
  </si>
  <si>
    <t xml:space="preserve">World Malaria Report 2023, (2023); Malik E., Khalafalla O., Malaria in Sudan: past, present and the future, Gezira J Health Sci, 1, pp. 47-53, (2004); Nur E., The impact of malaria on labour use and efficiency in the Sudan, Soc Sci Med, 37, pp. 1115-1119, (1993); Fleischer B., 100 years ago: Giemsa's solution for staining of plasmodia, Trop Med Int Health, 9, pp. 755-756, (2004); Payne D., Use and limitations of light microscopy for diagnosing malaria at the primary health care level, Bull World Health Organ, 66, pp. 621-626, (1988); Zimmerman P., Howes R., Malaria diagnosis for malaria elimination, Curr Opin Infect Dis, 28, pp. 446-454, (2015); Tetteh M., Dwomoh D., Asamoah A., Kupeh E., Malm K., Nonvignon J., Impact of malaria diagnostic refresher training programme on competencies and skills in malaria diagnosis among medical laboratory professionals: evidence from Ghana 2015–2019, Malar J, 20, (2021); Wongsrichanalai C., Barcus M., Muth S., Sutamihardja A., Wernsdorfer W., A review of malaria diagnostic tools: microscopy and rapid diagnostic test (RDT), Am J Trop Med Hyg, 77, 6 Suppl, pp. 119-127, (2007); Maturana C., de Oliveira A., Nadal S., Bilalli B., Serrat F., Soley M., Et al., Advances and challenges in automated malaria diagnosis using digital microscopy imaging with artificial intelligence tools: a review, Front Microbiol, 13, (2022); Das D., Mukherjee R., Chakraborty C., Computational microscopic imaging for malaria parasite detection: a systematic review, J Microsc, 260, pp. 1-19, (2015); Horning M., Delahunt C., Bachman C., Luchavez J., Luna C., Hu L., Et al., Performance of a fully-automated system on a WHO malaria microscopy evaluation slide set, Malar J, 20, (2021); Decentralized Diagnostic Platform, miLab™; Choi J., Chin L., Woo B., Song Y., Seol M., Hong Y., Et al., Hydrogel-based stamping technology for solution-free blood cell staining, ACS Appl Mater Interfaces, 13, pp. 22124-22130, (2021); FIND Malaria Innovation Platform; Vincent O.O., Ikeh E., Obisakin F., Comparison of nested PCR and conventional analysis of Plasmodium parasites in Kano, Nigeria, Eur J Clin Biomed Sci, 28, 3, (2017); Zhou X., Obuchowski N., McClish D., Statistical methods in diagnostic medicine, 2nd Edn. Wiley Series in Probability and Statistics, Wiley, (2011); Abdelwhab O., Elaagip A., Albsheer M., Ahmed A., Paganotti G., Abdel H.M., Molecular and morphological identification of suspected Plasmodium vivax vectors in Central and Eastern Sudan, Malar J, 20, (2021); Al Khaja K., Sequeira R., Drug treatment and prevention of malaria in pregnancy: a critical review of the guidelines, Malar J, 20, (2021); Guidelines for Malaria, (2022); Best Practices in Phlebotomy, (2010); Makler M., Palmer C., Ager A., A review of practical techniques for the diagnosis of malaria, Ann Trop Med Parasitol, 92, pp. 419-433, (1998); Malaria Microscopy Quality Assurance Manual-Version, 2, (2016); Torres K., Bachman C., Delahunt C., Alarcon Baldeon J., Alava F., Gamboa Vilela D., Et al., Automated microscopy for routine malaria diagnosis: a field comparison on Giemsa-stained blood films in Peru, Malar J, 17, (2018); Snounou G., Singh B., Nested PCR analysis of Plasmodium parasites, Methods Mol Med, 72, pp. 189-203, (2002); Wilson E., Probable inference, the law of succession, and statistical inference, J Am Stat Assoc, 22, pp. 209-212, (1927); Giavarina D., Understanding Bland Altman analysis, Biochem Med (Zagreb), 25, pp. 141-151, (2015); Bailey J., Williams J., Bain B., Parker-Williams J., Chiodini P., General haematology task force of the British committee for standards in haematology. Guideline: the laboratory diagnosis of malaria, Br J Haematol, 163, pp. 573-580, (2013); Kahama-Maro J., D'Acremont V., Mtasiwa D., Genton B., Lengeler C., Low quality of routine microscopy for malaria at different levels of the health system in Dar es Salaam, Malar J, 10, (2011); Yoon J., Jang W., Nam J., Mihn D., Lim C., An automated microscopic malaria parasite detection system using digital image analysis, Diagnostics (Basel), 11, (2021); Pillay E., Khodaiji S., Bezuidenhout B., Litshie M., Coetzer T., Evaluation of automated malaria diagnosis using the Sysmex XN-30 analyser in a clinical setting, Malar J, 18, (2019); Jan Z., Khan A., Sajjad M., Muhammad K., Rho S., Mehmood I., A review on automated diagnosis of malaria parasite in microscopic blood smears images, Multimed Tools Appl, 77, pp. 9801-9826, (2018); Poostchi M., Silamut K., Maude R., Jaeger S., Thoma G., Image analysis and machine learning for detecting malaria, Transl Res, 194, pp. 36-55, (2018); Vasiman A., Stothard J., Bogoch I., Mobile phone devices and handheld microscopes as diagnostic platforms for malaria and neglected tropical diseases (NTDs) in low-resource settings: a systematic review, historical perspective and future outlook, Adv Parasitol, 103, pp. 151-173, (2019); Harchut K., Standley C., Dobson A., Klaassen B., Rambaud-Althaus C., Althaus F., Et al., Over-diagnosis of malaria by microscopy in the Kilombero Valley, Southern Tanzania: an evaluation of the utility and cost-effectiveness of rapid diagnostic tests, Malar J, 12, (2013); Delahunt C., Jaiswal M., Horning M., Janko S., Thompson C., Kulhare S., Fully-automated patient-level malaria assessment on field-prepared thin blood film microscopy images, 2019 IEEE Global Humanitarian Technology Conference (GHTC); O'Meara W., McKenzie F., Magill A., Forney J., Permpanich B., Lucas C., Et al., Sources of variability in determining malaria parasite density by microscopy, Am J Trop Med Hyg, 73, pp. 593-598, (2005); Yu H., Mohammed F., Abdel Hamid M., Yang F., Kassim Y., Mohamed A., Et al., Patient-level performance evaluation of a smartphone-based malaria diagnostic application, Malar J, 22, (2023); Das D., Vongpromek R., Assawariyathipat T., Srinamon K., Kennon K., Stepniewska K., Et al., Field evaluation of the diagnostic performance of EasyScan GO: a digital malaria microscopy device based on machine-learning, Malar J, 21, (2022); Toha S., Ngah U., Computer aided medical diagnosis for the identification of malaria parasites, 2007 International Conference on Signal Processing, Communications and Networking, (2007); Oliveira A., Prats C., Espasa M., Zarzuela Serrat F., Montanola Sales C., Silgado A., Et al., The malaria system MicroApp: a new, mobile device-based tool for malaria diagnosis, JMIR Res Protoc, 6, (2017); Dhorda M., Ba E., Kevin Baird J., Barnwell J., Bell D., Carter J., Et al., Research Malaria Microscopy Working Group. Towards harmonization of microscopy methods for malaria clinical research studies, Malar J, 19, (2020); Elgoraish A.G., Elzaki S.E.G., Ahmed R.T., Ahmed A.I., Fadlalmula H.A., Abdalgader Mohamed S., Et al., Epidemiology and distribution of Plasmodium vivax malaria in Sudan, Trans R Soc Trop Med Hyg, 6, 113, pp. 517-524, (2019)</t>
  </si>
  <si>
    <t xml:space="preserve">M.M.A. Hamid; Department of Parasitology and Medical Entomology, Institute of Endemic Diseases, University of Khartoum, Khartoum, Sudan; email: mz.mahdi@gmail.com</t>
  </si>
  <si>
    <t xml:space="preserve">Malar. J.</t>
  </si>
  <si>
    <t xml:space="preserve">2-s2.0-85197194938</t>
  </si>
  <si>
    <t xml:space="preserve">Damodar T.; Dunai C.; Prabhu N.; Jose M.; Akhila L.; Kinhal U.V.; Anusha Raj K.; Marate S.; Lalitha A.V.; Dsouza F.S.; Sajjan S.V.; Gowda V.K.; Basavaraja G.V.; Singh B.; Prathyusha P.V.; Tharmaratnam K.; Ravi V.; Kolamunnage-Dona R.; Solomon T.; Turtle L.; Yadav R.; Michael B.D.; Mani R.S.</t>
  </si>
  <si>
    <t xml:space="preserve">Damodar, Tina (55876605400); Dunai, Cordelia (57204090033); Prabhu, Namratha (58150697700); Jose, Maria (59428493100); Akhila, L. (59125150400); Kinhal, Uddhava V. (57573717000); Anusha Raj, K. (57384357300); Marate, Srilatha (57813889200); Lalitha, A.V. (14009110500); Dsouza, Fulton Sebastian (57220784165); Sajjan, Sushma Veeranna (57191586474); Gowda, Vykuntaraju K. (55385680000); Basavaraja, G.V. (56299444100); Singh, Bhagteshwar (55872859900); Prathyusha, P.V. (56331344900); Tharmaratnam, Kukatharmini (36483574700); Ravi, Vasanthapuram (57203088102); Kolamunnage-Dona, Ruwanthi (35324688400); Solomon, Tom (59114618500); Turtle, Lance (25654424100); Yadav, Ravi (37011849500); Michael, Benedict D. (33068020300); Mani, Reeta S. (16646427500)</t>
  </si>
  <si>
    <t xml:space="preserve">55876605400; 57204090033; 58150697700; 59428493100; 59125150400; 57573717000; 57384357300; 57813889200; 14009110500; 57220784165; 57191586474; 55385680000; 56299444100; 55872859900; 56331344900; 36483574700; 57203088102; 35324688400; 59114618500; 25654424100; 37011849500; 33068020300; 16646427500</t>
  </si>
  <si>
    <t xml:space="preserve">Diagnostic markers of acute encephalitis syndrome and COVID-associated multisystem inflammatory syndrome in children from Southern India</t>
  </si>
  <si>
    <t xml:space="preserve">Acute encephalitis syndrome (AES) in children poses a significant public health challenge in India. This study aims to explore the utility of host inflammatory mediators and neurofilament (NfL) levels in distinguishing etiologies, assessing disease severity, and predicting outcomes in AES. We assessed 12 mediators in serum (n = 58) and 11 in cerebrospinal fluid (CSF) (n = 42) from 62 children with AES due to scrub typhus, viral etiologies, and COVID-associated multisystem inflammatory syndrome (MIS-C) in Southern India. Additionally, NfL levels in serum (n = 20) and CSF (n = 18) were examined. Clinical data, including Glasgow coma scale (GCS) and Liverpool outcome scores, were recorded. Examining serum and CSF markers in the three AES etiology groups revealed notable distinctions, with scrub typhus differing significantly from viral and MIS-C causes. Viral causes had elevated serum CCL11 and CCL2 compared with scrub typhus, while MIS-C cases showed higher HGF levels than scrub typhus. However, CSF analysis showed a distinct pattern with the scrub typhus group exhibiting elevated levels of IL-1RA, IL-1β, and TNF compared with MIS-C, and lower CCL2 levels compared with the viral group. Modeling the characteristic features, we identified that age ≥3 years with serum CCL11 &lt; 180 pg/mL effectively distinguished scrub typhus from other AES causes. Elevated serum CCL11, HGF, and IL-6:IL-10 ratio were associated with poor outcomes (p = 0.038, 0.005, 0.02). Positive CSF and serum NfL correlation, and negative GCS and serum NfL correlation were observed. Median NfL levels were higher in children with abnormal admission GCS and poor outcomes. Measuring immune mediators and brain injury markers in AES provides valuable diagnostic insights, with the potential to facilitate rapid diagnosis and prognosis. The correlation between CSF and serum NfL, along with distinctive serum cytokine profiles across various etiologies, indicates the adequacy of blood samples alone for assessment and monitoring. The association of elevated levels of CCL11, HGF, and an increased IL-6:IL-10 ratio with adverse outcomes suggests promising avenues for therapeutic exploration, warranting further investigation. © 2024 Wiley Periodicals LLC.</t>
  </si>
  <si>
    <t xml:space="preserve">Journal of Medical Virology</t>
  </si>
  <si>
    <t xml:space="preserve">e29666</t>
  </si>
  <si>
    <t xml:space="preserve">10.1002/jmv.29666</t>
  </si>
  <si>
    <t xml:space="preserve">https://www.scopus.com/inward/record.uri?eid=2-s2.0-85192911294&amp;doi=10.1002%2fjmv.29666&amp;partnerID=40&amp;md5=fd70000338ab8e194195add257cfeecf</t>
  </si>
  <si>
    <t xml:space="preserve">Department of Neurovirology, National Institute of Mental Health &amp; Neurosciences, Bangalore, India; Department of Clinical Infection, Microbiology &amp; Immunology, Institute of Infection, Veterinary and Ecological Sciences, University of Liverpool, Liverpool, United Kingdom; National Institute for Health and Care Research Health Protection Research Unit in Emerging and Zoonotic Infections, Institute of Infection, Veterinary and Ecological Sciences, University of Liverpool, Liverpool, United Kingdom; Department of Pediatric Neurology, Indira Gandhi Institute of Child Health, Bangalore, India; Department of Pediatric Critical Care, St John's Medical College and Hospital, Bangalore, India; Department of Pediatrics, St John's Medical College and Hospital, Bangalore, India; Department of Pediatrics, Bangalore Medical College and Research Institute, Bangalore, India; Department of Pediatrics, Indira Gandhi Institute of Child Health, Bangalore, India; Tropical &amp; Infectious Diseases Unit, Royal Liverpool University Hospital, Liverpool, United Kingdom; Institute of Infection, Veterinary and Ecological Sciences, University of Liverpool, Liverpool, United Kingdom; Department of Infectious Diseases, Christian Medical College, Vellore, India; Department of Biostatistics, National Institute of Mental Health &amp; Neurosciences, Bangalore, India; Department of Health Data Science, Institute of Population Health, University of Liverpool, United Kingdom; The Pandemic Institute, Liverpool, United Kingdom; Department of Neurology, Walton Centre NHS Foundation Trust, Liverpool, United Kingdom; Liverpool University Hospitals NHS Foundation Trust, Liverpool, United Kingdom; Department of Neurology, National Institute of Mental Health &amp; Neurosciences, Bangalore, India</t>
  </si>
  <si>
    <t xml:space="preserve">Damodar T., Department of Neurovirology, National Institute of Mental Health &amp; Neurosciences, Bangalore, India; Dunai C., Department of Clinical Infection, Microbiology &amp; Immunology, Institute of Infection, Veterinary and Ecological Sciences, University of Liverpool, Liverpool, United Kingdom, National Institute for Health and Care Research Health Protection Research Unit in Emerging and Zoonotic Infections, Institute of Infection, Veterinary and Ecological Sciences, University of Liverpool, Liverpool, United Kingdom; Prabhu N., Department of Neurovirology, National Institute of Mental Health &amp; Neurosciences, Bangalore, India; Jose M., Department of Neurovirology, National Institute of Mental Health &amp; Neurosciences, Bangalore, India; Akhila L., Department of Neurovirology, National Institute of Mental Health &amp; Neurosciences, Bangalore, India; Kinhal U.V., Department of Pediatric Neurology, Indira Gandhi Institute of Child Health, Bangalore, India; Anusha Raj K., Department of Pediatric Neurology, Indira Gandhi Institute of Child Health, Bangalore, India; Marate S., Department of Neurovirology, National Institute of Mental Health &amp; Neurosciences, Bangalore, India; Lalitha A.V., Department of Pediatric Critical Care, St John's Medical College and Hospital, Bangalore, India; Dsouza F.S., Department of Pediatrics, St John's Medical College and Hospital, Bangalore, India; Sajjan S.V., Department of Pediatrics, Bangalore Medical College and Research Institute, Bangalore, India; Gowda V.K., Department of Pediatrics, Indira Gandhi Institute of Child Health, Bangalore, India; Basavaraja G.V., Department of Pediatrics, Indira Gandhi Institute of Child Health, Bangalore, India; Singh B., Tropical &amp; Infectious Diseases Unit, Royal Liverpool University Hospital, Liverpool, United Kingdom, Institute of Infection, Veterinary and Ecological Sciences, University of Liverpool, Liverpool, United Kingdom, Department of Infectious Diseases, Christian Medical College, Vellore, India; Prathyusha P.V., Department of Biostatistics, National Institute of Mental Health &amp; Neurosciences, Bangalore, India; Tharmaratnam K., Department of Health Data Science, Institute of Population Health, University of Liverpool, United Kingdom; Ravi V., Department of Neurovirology, National Institute of Mental Health &amp; Neurosciences, Bangalore, India; Kolamunnage-Dona R., Department of Health Data Science, Institute of Population Health, University of Liverpool, United Kingdom; Solomon T., National Institute for Health and Care Research Health Protection Research Unit in Emerging and Zoonotic Infections, Institute of Infection, Veterinary and Ecological Sciences, University of Liverpool, Liverpool, United Kingdom, The Pandemic Institute, Liverpool, United Kingdom, Department of Neurology, Walton Centre NHS Foundation Trust, Liverpool, United Kingdom; Turtle L., Department of Clinical Infection, Microbiology &amp; Immunology, Institute of Infection, Veterinary and Ecological Sciences, University of Liverpool, Liverpool, United Kingdom, National Institute for Health and Care Research Health Protection Research Unit in Emerging and Zoonotic Infections, Institute of Infection, Veterinary and Ecological Sciences, University of Liverpool, Liverpool, United Kingdom, Liverpool University Hospitals NHS Foundation Trust, Liverpool, United Kingdom; Yadav R., Department of Neurology, National Institute of Mental Health &amp; Neurosciences, Bangalore, India; Michael B.D., Department of Clinical Infection, Microbiology &amp; Immunology, Institute of Infection, Veterinary and Ecological Sciences, University of Liverpool, Liverpool, United Kingdom, National Institute for Health and Care Research Health Protection Research Unit in Emerging and Zoonotic Infections, Institute of Infection, Veterinary and Ecological Sciences, University of Liverpool, Liverpool, United Kingdom, The Pandemic Institute, Liverpool, United Kingdom, Department of Neurology, Walton Centre NHS Foundation Trust, Liverpool, United Kingdom; Mani R.S., Department of Neurovirology, National Institute of Mental Health &amp; Neurosciences, Bangalore, India</t>
  </si>
  <si>
    <t xml:space="preserve">acute encephalitis syndrome; chemokines; COVID-associated multisystem inflammatory syndrome; cytokines; inflammatory markers; neurofilament</t>
  </si>
  <si>
    <t xml:space="preserve">Acute Febrile Encephalopathy; Adolescent; Biomarkers; Child; Child, Preschool; COVID-19; Cytokines; Female; Humans; India; Infant; Male; pediatric multisystem inflammatory disease, COVID-19 related; Scrub Typhus; Systemic Inflammatory Response Syndrome; biological marker; chemokine; cytokine; eotaxin; interleukin 1 receptor blocking agent; interleukin 10; interleukin 12; interleukin 1beta; interleukin 2; interleukin 6; interleukin 8; tumor necrosis factor; Article; brain injury; cerebrospinal fluid; chikungunya; child; coronavirus disease 2019; electrochemiluminescence; encephalitis; Enterovirus; female; Glasgow coma scale; hepatomegaly; hospitalization; human; Leptospira; leukocyte count; lymphocyte count; major clinical study; male; neurofilament; neutrophil count; pediatric multisystem inflammatory syndrome; platelet count; predictive value; risk factor; seizure; sensitivity and specificity; upregulation; vaccination; virus etiology; virus load; acute febrile encephalopathy; adolescent; blood; complication; coronavirus disease 2019; epidemiology; India; infant; preschool child; scrub typhus; systemic inflammatory response syndrome</t>
  </si>
  <si>
    <t xml:space="preserve">interleukin 12, 138415-13-1; interleukin 2, 85898-30-2; interleukin 8, 114308-91-7; Biomarkers, ; Cytokines, </t>
  </si>
  <si>
    <t xml:space="preserve">Public Health England, PHE; University of Liverpool, UoL; Department of Biotechnology, Ministry of Science and Technology, India, DBT; University of Oxford; HPRU; UK Research and Innovation, UKRI; Medical Research Council, MRC, (MR/V03605X/1, MR/T028750/1, MR/V007181/1, MC_PC_19059); Medical Research Council, MRC; National Institute for Health Research Health Protection Research Unit, NIHR HPRU, (NIHR200907); National Institute for Health Research Health Protection Research Unit, NIHR HPRU; Wellcome Trust DBT India Alliance, WTDBT India Alliance, (IA/E/15/1/503960); Wellcome Trust DBT India Alliance, WTDBT India Alliance; Wellcome Trust, WT, (ISSF201902/3); Wellcome Trust, WT; National Institute for Health and Care Research, NIHR, (CO‐CIN‐01); National Institute for Health and Care Research, NIHR; Medical Research Foundation, MRF, (MRF‐CPP‐R2‐2022‐100003); Medical Research Foundation, MRF; Indian Council of Medical Research, ICMR, (2021‐3668); Indian Council of Medical Research, ICMR</t>
  </si>
  <si>
    <t xml:space="preserve">Funding text 1: C. D. and B. D. M. are supported to conduct COVID\u201019 neuroscience research by the UKRI/MRC (MR/V03605X/1) and by the NIHR Health Protection Research Unit (HPRU) in Emerging and Zoonotic Infections at the University of Liverpool; B. D. M. is also supported for additional neurological inflammation research due to viral infection by grants from: the NIHR [award CO\u2010CIN\u201001], the Medical Research Council [MC_PC_19059] the MRC/UKRI (MR/V007181/1), MRC (MR/T028750/1), Wellcome (ISSF201902/3) and Medical Research Foundation (MRF) [MRF\u2010CPP\u2010R2\u20102022\u2010100003]. L. T. is supported by the National Institute for Health Research Health Protection Research Unit (NIHR HPRU) in Emerging and Zoonotic Infections (NIHR200907) at the University of Liverpool in partnership with Public Health England (PHE), in collaboration with Liverpool School of Tropical Medicine and the University of Oxford. L. T. is based at the University of Liverpool. The views expressed are those of the author(s) and not necessarily those of the NHS, the NIHR, the Department of Health or Public Health England. L. T. has received consulting fees from MHRA; and from AstraZeneca and Synairgen, paid to the University of Liverpool; speakers' fees from Eisai Ltd, and support for conference attendance from AstraZeneca. ; Funding text 2: The authors acknowledge the technical assistance provided by Dr Sarada Subramanian and Ms Geethu Krishna in performing the NfL assay, and Dr Monojit Debnath for support in performing the luminex assay.\u00A0This work was supported by grants from the Indian Council of Medical Research (ICMR) to Reeta S. Mani (Project ID: 2021-3668) and DBT/Wellcome Trust India Alliance Fellowship IA/E/15/1/503960 awarded to Tina Damodar.\u00A0The funders had no role in study design, data collection and analysis, decision to publish, or preparation of the manuscript.; Funding text 3: The authors acknowledge the technical assistance provided by Dr Sarada Subramanian and Ms Geethu Krishna in performing the NfL assay, and Dr Monojit Debnath for support in performing the luminex assay. This work was supported by grants from the Indian Council of Medical Research (ICMR) to Reeta S. Mani (Project ID: 2021\u20103668) and DBT/Wellcome Trust India Alliance Fellowship IA/E/15/1/503960 awarded to Tina Damodar. The funders had no role in study design, data collection and analysis, decision to publish, or preparation of the manuscript. </t>
  </si>
  <si>
    <t xml:space="preserve">Ravi V., Hameed S.K.S., Desai A., Et al., An algorithmic approach to identifying the aetiology of acute encephalitis syndrome in India: results of a 4-year enhanced surveillance study, Lancet Global Health, 10, 5, pp. e685-e693, (2022); Damodar T., Singh B., Prabhu N., Et al., Association of scrub typhus in children with acute encephalitis syndrome and meningoencephalitis, Southern India, Emerging Infect Dis, 29, 4, pp. 711-722, (2023); Ellul M., Solomon T., Acute encephalitis – diagnosis and management, Clin Med, 18, 2, pp. 155-159, (2018); Murhekar M.V., Acute encephalitis syndrome and scrub typhus in India, Emerging Infect Dis, 23, 8, (2017); Farhat S.K., Srivastava P.K., Baskar P., Krishnan J., Inflammatory cytokines in scrub typhus and COVID-19, Indian J Public Health, 67, 1, (2023); Dhooria G.S., Kakkar S., Pooni P.A., Et al., Comparison of clinical features and outcome of dengue fever and multisystem inflammatory syndrome in children associated with COVID-19 (MIS-C), Indian Pediatr, 58, 10, pp. 951-954, (2021); Rastogi S., Gala F., Kulkarni S., Gavali V., Neurological and neuroradiological patterns with COVID-19 infection in children: a single institutional study, Indian J Radiol Imaging, 32, 4, pp. 510-522, (2022); Chintha L., Magar S., Vaidya V., Bhartiya S., Mehta K., Neurological manifestations of multisystem inflammatory syndrome in children associated with COVID-19 in a tertiary care centre, Int J Contemp Pediatr, 10, 3, pp. 372-375, (2023); Bova S.M., Serafini L., Capetti P., Et al., Neurological involvement in multisystem inflammatory syndrome in children: clinical, electroencephalographic and magnetic resonance imaging peculiarities and therapeutic implications. An Italian single-center experience, Front Pediatr, 10, 10, (2022); Abbati G., Attaianese F., Rosati A., Indolfi G., Trapani S., Neurological involvement in children with COVID-19 and MIS-C: a retrospective study conducted for more than two years in a pediatric hospital, Children, 9, 12, (2022); Dahm T., Rudolph H., Schwerk C., Schroten H., Tenenbaum T. neuroinvasion and inflammation in viral central nervous system infections, Mediators Inflamm, 2016, (2016); Garg D., Manesh A., Neurological facets of scrub typhus: a comprehensive narrative review, Ann Indian Acad Neurol, 24, 6, pp. 849-864, (2021); Sharma C., Ganigara M., Galeotti C., Et al., Multisystem inflammatory syndrome in children and Kawasaki disease: a critical comparison, Nat Rev Rheumatol, 17, 12, pp. 731-748, (2021); Soltani Khaboushan A., Pahlevan-Fallahy M.T., Shobeiri P., Teixeira A.L., Rezaei N., Cytokines and chemokines profile in encephalitis patients: a meta-analysis, PLoS One, 17, 9, (2022); Michael B.D., Griffiths M.J., Granerod J., Et al., Characteristic cytokine and chemokine profiles in encephalitis of infectious, immune-mediated, and unknown aetiology, PLoS One, 11, 1, (2016); Jain P., Prakash S., Tripathi P.K., Et al., Emergence of orientia tsutsugamushi as an important cause of acute encephalitis syndrome in India, PLoS Neglected Trop Dis, 12, 3, (2018); Nayak S., Panda P.C., Biswal B., Et al., Eastern India collaboration on multisystem inflammatory syndrome in children (EICOMISC): a multicenter observational study of 134 cases, Front Pediatr, 10, (2022); Gaetani L., Blennow K., Calabresi P., Di Filippo M., Parnetti L., Zetterberg H., Neurofilament light chain as a biomarker in neurological disorders, J Neurol Neurosurg Psychiatry, 90, 8, pp. 870-881, (2019); Balanza N., Francis C.K., Crowley V.M., Et al., Neurofilament light chain as a biomarker of neuronal damage in children with malaria, J Infect Dis, 229, 1, pp. 183-188, (2024); Ehler J., Petzold A., Wittstock M., Et al., The prognostic value of neurofilament levels in patients with sepsis-associated encephalopathy—a prospective, pilot observational study, PLoS One, 14, 1, (2019); Chung H.Y., Wickel J., Oswald M., Et al., Neurofilament light chain levels predict encephalopathy and outcome in community-acquired pneumonia, Ann Clin Transl Neurol, 10, 2, pp. 204-212, (2023); Chekrouni N., van Soest T.M., Brouwer M.C., Willemse E.A., Teunissen C.E., van de Beek D., CSF neurofilament light chain concentrations predict outcome in bacterial meningitis, Neurol: Neuroimmunol Neuroinflamm, 9, 1, (2021); van Zeggeren I.E., Ter Horst L., Heijst H., Teunissen C.E., van de Beek D., Brouwer M.C., Neurofilament light chain in central nervous system infections: a prospective study of diagnostic accuracy, Sci Rep, 12, 1, (2022); Altmann P., Leutmezer F., Zach H., Et al., Serum neurofilament light chain withstands delayed freezing and repeated thawing, Sci Rep, 10, 1, (2020); Melgar M., Lee E.H., Miller A.D., Et al., Council of state and territorial Epidemiologists/CDC surveillance case definition for multisystem inflammatory syndrome in children associated with SARS-CoV-2 infection—United States, MMWR Recomm Rep, 71, 4, pp. 1-14, (2022); Ravindra A., Mishra B., Rath S., Et al., Comparability of the sensitivity of different real time PCR kits used in the detection of SARS CoV -2, Indian J Med Microbiol, 39, (2021); Clappia | No-Code Platform for Business Operations [Internet]. Accessed, (2023); Lewthwaite P., Begum A., Ooi M.H., Et al., Disability after encephalitis: development and validation of a new outcome score, Bull World Health Organ, 88, 8, pp. 584-592, (2010); Le N.D., Muri L., Grandgirard D., Kuhle J., Leppert D., Leib S.L., Evaluation of neurofilament light chain in the cerebrospinal fluid and blood as a biomarker for neuronal damage in experimental pneumococcal meningitis, J Neuroinflammation, 17, (2020); Masi A., Breen E.J., Alvares G.A., Et al., Cytokine levels and associations with symptom severity in male and female children with autism spectrum disorder, Mol Autism, 8, (2017); Sood M., Singh R., Bhardwaj P., Pediatric scrub typhus manifesting with multisystem inflammatory syndrome: a new cause for confusion or concern—a case series, Indian J Crit Care Med, 26, 6, pp. 723-727, (2022); Gupta A., Gill A., Multisystem inflammatory syndrome in a child with scrub typhus and macrophage activation syndrome, J Trop Pediatr, 67, 1, (2021); Mohsin S.S., Abbas Q., Chowdhary D., Et al., Multisystem inflammatory syndrome (MIS-C) in Pakistani children: a description of the phenotypes and comparison with historical cohorts of children with kawasaki disease and myocarditis, PLoS One, 16, 6, (2021); Chinniah K., Bhimma R., Naidoo K.L., Et al., Multisystem inflammatory syndrome in children associated with SARS-CoV-2 infection in KwaZulu-Natal, South Africa, Pediatr Infect Dis J, 42, 1, pp. e9-e14, (2023); Gupta V., Singh A., Ganju S., Et al., Severity and mortality associated with COVID-19 among children hospitalised in tertiary care centres in India: a cohort study, Lancet Reg Health - Southeast Asia, 13, (2023); Thangaraj J.W.V., Vasanthapuram R., Machado L., Et al., Risk factors for acquiring scrub typhus among children in Deoria and Gorakhpur Districts, Uttar Pradesh, India, 2017, Emerging Infect Dis, 24, 12, pp. 2364-2367, (2018); Guasp M., Munoz-Sanchez G., Martinez-Hernandez E., Et al., CSF biomarkers in COVID-19 associated encephalopathy and encephalitis predict long-term outcome, Front Immunol, 13, (2022); Terry R.L., Getts D.R., Deffrasnes C., van Vreden C., Campbell I.L., King N.J., Inflammatory monocytes and the pathogenesis of viral encephalitis, J Neuroinflammation, 9, 1, (2012); Kao J., Frankland P.W., COVID fog demystified, Cell, 185, 14, pp. 2391-2393, (2022); Venkataramani V., Winkler F., Cognitive deficits in long COVID-19, N Engl J Med, 387, 19, pp. 1813-1815, (2022); Cherry J.D., Stein T.D., Tripodis Y., Et al., CCL11 is increased in the CNS in chronic traumatic encephalopathy but not in Alzheimer's disease, PLoS One, 12, 9, (2017); Fisher J., Card G., Soong L., Neuroinflammation associated with scrub typhus and spotted fever group rickettsioses, PLoS Neglected Trop Dis, 14, 10, (2020); Soong L., Shelite T.R., Xing Y., Et al., Type 1-skewed neuroinflammation and vascular damage associated with Orientia tsutsugamushi infection in mice, PLoS Neglected Trop Dis, 11, 7, (2017); Perreau M., Suffiotti M., Marques-Vidal P., Et al., The cytokines HGF and CXCL13 predict the severity and the mortality in COVID-19 patients, Nat Commun, 12, 1, (2021); Han H., Ma Q., Li C., Et al., Profiling serum cytokines in COVID-19 patients reveals IL-6 and IL-10 are disease severity predictors, Emerg Microbes Infect, 9, 1, pp. 1123-1130, (2020); Desole C., Gallo S., Vitacolonna A., Et al., HGF and MET: from brain development to neurological disorders, Front Cell Dev Biol, 9, (2021); Borsini A., Merrick B., Edgeworth J., Et al., Neurogenesis is disrupted in human hippocampal progenitor cells upon exposure to serum samples from hospitalized COVID-19 patients with neurological symptoms, Mol Psychiatry, 27, 12, pp. 5049-5061, (2022); Soung A.L., Vanderheiden A., Nordvig A.S., Et al., COVID-19 induces CNS cytokine expression and loss of hippocampal neurogenesis, Brain, 145, 12, pp. 4193-4201, (2022); Kuhle J., Gaiottino J., Leppert D., Et al., Serum neurofilament light chain is a biomarker of human spinal cord injury severity and outcome, J Neurol, Neurosurg Psychiatry, 86, 3, pp. 273-279, (2015); Tyrberg T., Nilsson S., Blennow K., Zetterberg H., Grahn A., Serum and cerebrospinal fluid neurofilament light chain in patients with central nervous system infections caused by varicella-zoster virus, J Neurovirol, 26, pp. 719-726, (2020)</t>
  </si>
  <si>
    <t xml:space="preserve">T. Damodar; Department of Neurovirology, National Institute of Mental Health &amp; Neurosciences, Bangalore, India; email: tinadamodar86@gmail.com; R.S. Mani; Department of Neurovirology, National Institute of Mental Health &amp; Neurosciences, Bangalore, India; email: drreeta@gmail.com</t>
  </si>
  <si>
    <t xml:space="preserve">JMVID</t>
  </si>
  <si>
    <t xml:space="preserve">J. Med. Virol.</t>
  </si>
  <si>
    <t xml:space="preserve">2-s2.0-85192911294</t>
  </si>
  <si>
    <t xml:space="preserve">Arrubla-Hoyos W.; Gómez J.G.; De-La-Hoz-Franco E.</t>
  </si>
  <si>
    <t xml:space="preserve">Arrubla-Hoyos, Wilson (57929089800); Gómez, Jorge Gómez (55436473200); De-La-Hoz-Franco, Emiro (57204111690)</t>
  </si>
  <si>
    <t xml:space="preserve">57929089800; 55436473200; 57204111690</t>
  </si>
  <si>
    <t xml:space="preserve">Differential Classification of Dengue, Zika, and Chikungunya Using Machine Learning—Random Forest and Decision Tree Techniques</t>
  </si>
  <si>
    <t xml:space="preserve">Dengue, Zika, and chikungunya viruses pose a serious threat globally and circulate widely in America. These diseases share similar symptoms in their early stages, which can make early diagnosis difficult. In this study, two predictive models based on Decision Trees and Random Forests were developed to classify dengue, Zika, and chikungunya, with the aim of being supportive and easily interpretable for the medical community. To achieve this, a dataset was collected from a clinic in Sincelejo, Colombia, including the signs, symptoms, and laboratory results of these diseases. The Pan American Health Organization (PAHO) Diagnostic Guide 2022 methodology for the differential classification of dengue and chikungunya was applied by assigning evaluative weights to symptoms in the dataset. In addition, a bootstrapping resampling technique based on the central limit theorem was used to balance the target variable, and cross-validation was used to train the models. The main results were obtained with the Random Forest technique, achieving an accuracy of 99.7% for classifying chikungunya, 99.1% for dengue, and 98.8% for Zika. This study represents a significant advance in the differential prediction of these diseases through the use of automatic learning techniques and the integration of clinical and laboratory information. © 2024 by the authors.</t>
  </si>
  <si>
    <t xml:space="preserve">Informatics</t>
  </si>
  <si>
    <t xml:space="preserve">10.3390/informatics11030069</t>
  </si>
  <si>
    <t xml:space="preserve">https://www.scopus.com/inward/record.uri?eid=2-s2.0-85205064310&amp;doi=10.3390%2finformatics11030069&amp;partnerID=40&amp;md5=1676d990247f3ee9b7f8049f21f2657c</t>
  </si>
  <si>
    <t xml:space="preserve">Faculty of Engineering, Universidad Nacional Abierta y a Distancia, Sincelejo, 700002, Colombia; SOCRATES Group, Department of Systems Engineering and Telecommunications, Faculty of Engineering, University of Cordoba, Montería, 230001, Colombia; Department of Computer Science and Electronics, Faculty of Engineering, Universidad de la Costa, Barranquilla, 080002, Colombia</t>
  </si>
  <si>
    <t xml:space="preserve">Arrubla-Hoyos W., Faculty of Engineering, Universidad Nacional Abierta y a Distancia, Sincelejo, 700002, Colombia; Gómez J.G., SOCRATES Group, Department of Systems Engineering and Telecommunications, Faculty of Engineering, University of Cordoba, Montería, 230001, Colombia; De-La-Hoz-Franco E., Department of Computer Science and Electronics, Faculty of Engineering, Universidad de la Costa, Barranquilla, 080002, Colombia</t>
  </si>
  <si>
    <t xml:space="preserve">chikungunya; dengue; machine learning; medical evidence synthesis; PAHO; Zika</t>
  </si>
  <si>
    <t xml:space="preserve">Lambrechts L., Scott T.W., Gubler D.J., Consequences of the Expanding Global Distribution of Aedes Albopictus for Dengue Virus Transmission, PLoS Neglected Trop. Dis, 4, (2010); Chaw J.K., Chaw S.H., Quah C.H., Sahrani S., Ang M.C., Zhao Y., Ting T.T., A Predictive Analytics Model Using Machine Learning Algorithms to Estimate the Risk of Shock Development among Dengue Patients, Healthc. Anal, 5, (2024); Arrubla W.D.J.A., Conceptualización del diagnóstico del Dengue desde una perspectiva de la ingeniería y las nuevas tecnologías, Comput. Electron. Sci. Theory Appl, 3, pp. 1-8, (2022); Codina J.-R., Mascini M., Dikici E., Deo S.K., Daunert S., Accelerating the Screening of Small Peptide Ligands by Combining Peptide-Protein Docking and Machine Learning, Int. J. Mol. Sci, 24, (2023); Gangula R., Thirupathi L., Parupati R., Sreeveda K., Gattoju S., Ensemble Machine Learning Based Prediction of Dengue Disease with Performance and Accuracy Elevation Patterns, Mater. Today Proc, 80, pp. 3458-3463, (2023); Brady O.J., Hay S.I., The Global Expansion of Dengue: How Aedes Aegypti Mosquitoes Enabled the First Pandemic Arbovirus, Annu. Rev. Entomol, 65, pp. 191-208, (2020); Sukhralia S., Verma M., Gopirajan S., Dhanaraj P.S., Lal R., Mehla N., Kant C.R., From Dengue to Zika: The Wide Spread of Mosquito-Borne Arboviruses, Eur. J. Clin. Microbiol. Infect. Dis, 38, pp. 3-14, (2019); Chala B., Hamde F., Emerging and Re-Emerging Vector-Borne Infectious Diseases and the Challenges for Control: A Review, Front. Public Health, 9, (2021); PAHO Síntesis de evidencia: Directrices para el diagnóstico y el tratamiento del dengue, el chikunguña y el zika en la Región de las Américas, Rev. Panam. Salud Pública, 46, (2022); Paniz-Mondolfi A.E., Rodriguez-Morales A.J., Blohm G., Marquez M., Villamil-Gomez W.E., ChikDenMaZika Syndrome: The Challenge of Diagnosing Arboviral Infections in the Midst of Concurrent Epidemics, Ann. Clin. Microbiol. Antimicrob, 15, (2016); da Silva Neto S.R., Tabosa de Oliveira T., Teixiera I.V., Medeiros Neto L., Souza Sampaio V., Lynn T., Endo P.T., Arboviral Disease Record Data—Dengue and Chikungunya, Brazil, 2013–2020, Sci. Data, 9, (2022); Villamil-Gomez W.E., Rodriguez-Morales A.J., Uribe-Garcia A.M., Gonzalez-Arismendy E., Castellanos J.E., Calvo E.P., Alvarez-Mon M., Musso D., Zika, Dengue, and Chikungunya Co-Infection in a Pregnant Woman from Colombia, Int. J. Infect. Dis, 51, pp. 135-138, (2016); Caicedo D.M., Mendez A.C., Tovar J.R., Osorio L., Caicedo D.M., Mendez A.C., Tovar J.R., Osorio L., Desarrollo de algoritmos clínicos para el diagnóstico del dengue en Colombia, Biomédica, 39, pp. 170-185, (2019); Dharap P., Raimbault S., Performance Evaluation of Machine Learning-Based Infectious Screening Flags on the HORIBA Medical Yumizen H550 Haematology Analyzer for Vivax Malaria and Dengue Fever, Malar. J, 19, (2020); Tchapet Njafa J.-P., Nana Engo S.G., Quantum Associative Memory with Linear and Non-Linear Algorithms for the Diagnosis of Some Tropical Diseases, Neural Netw, 97, pp. 1-10, (2018); Rodriguez-Quijada C., Gomez-Marquez J., Hamad-Schifferli K., Repurposing Old Antibodies for New Diseases by Exploiting Cross-Reactivity and Multicolored Nanoparticles, ACS Nano, 14, pp. 6626-6635, (2020); Tan K.W., Tan B., Thein T.L., Leo Y.-S., Lye D.C., Dickens B.L., Wong J.G.X., Cook A.R., Dynamic Dengue Haemorrhagic Fever Calculators as Clinical Decision Support Tools in Adult Dengue, Trans. R. Soc. Trop. Med. Hyg, 114, pp. 7-15, (2020); Veiga R.V., Schuler-Faccini L., Franca G.V., Andrade R.F., Teixeira M.G., Costa L.C., Paixao E.S., Costa M., Barreto M.L., Oliveira J.F., Et al., Classification Algorithm for Congenital Zika Syndrome: Characterizations, Diagnosis and Validation, Sci. Rep, 11, (2021); Medeiros Neto L., Rogerio da Silva Neto S., Endo P.T., A Comparative Analysis of Converters of Tabular Data into Image for the Classification of Arboviruses Using Convolutional Neural Networks, PLoS ONE, 18, (2023); da Silva Neto S.R., Tabosa Oliveira T., Teixeira I.V., Aguiar de Oliveira S.B., Souza Sampaio V., Lynn T., Endo P.T., Machine Learning and Deep Learning Techniques to Support Clinical Diagnosis of Arboviral Diseases: A Systematic Review, PLoS Neglected Trop. Dis, 16, (2022); Choubey S., Barde S., Badholia A., Analysis of Deep Learning Techniques to Investigate and Support Diagnosis of Virus Borne Diseases, Proceedings of the 3rd International Conference on Electronics and Sustainable Communication Systems, ICESC 2022—Proceedings, pp. 921-928, (2022); Arrubla-Hoyos W., Gomez J.G., De-La-Hoz-Franco E., Methodology for the Differential Classification of Dengue and Chikungunya According to the PAHO 2022 Diagnostic Guide, Viruses, 16, (2024); Noorbakhsh-Sabet N., Zand R., Zhang Y., Abedi V., Artificial Intelligence Transforms the Future of Health Care, Am. J. Med, 132, pp. 795-801, (2019); Wiljer D., Hakim Z., Developing an Artificial Intelligence–Enabled Health Care Practice: Rewiring Health Care Professions for Better Care, J. Med. Imaging Radiat. Sci, 50, pp. S8-S14, (2019); Bharambe A., Chandorkar A.A., Kalbande D., A Deep Learning Approach for Dengue Tweet Classification, Proceedings of the 2021 Third International Conference on Inventive Research in Computing Applications (ICIRCA), pp. 1043-1047, (2021); Khotimah P.H., Fachrur Rozie A., Nugraheni E., Arisal A., Suwarningsih W., Purwarianti A., Deep Learning for Dengue Fever Event Detection Using Online News, Proceedings of the 2020 International Conference on Radar, Antenna, Microwave, Electronics, and Telecommunications (ICRAMET), pp. 261-266, (2020); Gambhir S., Malik S.K., Kumar Y., The diagnosis of dengue disease: An evaluation of three machine learning approaches, Int. J. Healthc. Inf. Syst. Inform. (IJHISI), 13, pp. 1-19, (2018); Acosta Torres J., Oller Meneses L., Sokol N., Balado Sardinas R., Montero Diaz D., Balado Sanson R., Sardinas Arce M.E., Técnica Árboles de Decisión Aplicada al Método Clínico En El Diagnóstico Del Dengue, Rev. Cuba. Pediatr, 88, pp. 441-453, (2016); Arrubla-Hoyos W., Seveiche-Maury Z., Saeed K., Gomez J.E.G., De-La-Hoz-Franco E., Comparison of Classical Machine Learning and Ensemble Techniques in the Context of Dengue Severity Prediction, Proceedings of the 2023 IEEE Colombian Caribbean Conference (C3), pp. 1-5; Zoubir A.M., Boashash B., The Bootstrap and Its Application in Signal Processing, IEEE Signal Process. Mag, 15, pp. 56-76, (1998); Zoubir A.M., Iskander D.R., Bootstrap Techniques for Signal Processing, (2004); Smith P.J., Hoaglin D.C., Battaglia M.P., Barker L., Implementation and Applications of Bootstrap Methods for the National Immunization Survey, Stat. Med, 22, pp. 2487-2502, (2003); Wu C., Rao J.N.K., Bootstrap procedures for the pseudo empirical likelihood method in sample surveys, Stat. Probab. Lett, 80, pp. 1472-1478, (2010); Kunz P.J., ben Abid S., Zoubir A.M., The Heterogeneity-Intensified and Heterogeneity Ratio-Stratified Bootstrap (HiS- and HeRS-Boot) Oversampling to Boost a Detector Performance, Proceedings of the 2023 IEEE SENSORS, pp. 1-4; Acosta-Reyes J., Navarro-Lechuga E., Martinez-Garces J.C., Enfermedad por el virus del Chikungunya: Historia y epidemiología, Rev. Salud Uninorte, 31, pp. 621-630, (2015); Pardo-Turriago R., Zika. Una pandemia en progreso y un reto epidemiológico, Colomb. J. Anestesiol, 44, pp. 86-88, (2016); He H., Garcia E.A., Learning from Imbalanced Data, IEEE Trans. Knowl. Data Eng, 21, pp. 1263-1284, (2009); Chawla N.V., Bowyer K.W., Hall L.O., Kegelmeyer W.P., SMOTE: Synthetic Minority over-Sampling Technique, J. Artif. Intell. Res, 16, pp. 321-357, (2002); Fernandez A., Garcia S., Herrera F., Chawla N.V., SMOTE for Learning from Imbalanced Data: Progress and Challenges, Marking the 15-Year Anniversary, J. Artif. Intell. Res, 61, pp. 863-905, (2018); Connor S., Khoshgoftaar T.M., A Survey on Image Data Augmentation for Deep Learning, J. Big Data, 6, (2019); Shaikh S.G., Kumar B.S., Narang G., Pachpor N.N., Original Research Article Hybrid machine learning method for classification and recommendation of vector-borne disease, J. Auton. Intell, 7, pp. 1-14, (2024)</t>
  </si>
  <si>
    <t xml:space="preserve">W. Arrubla-Hoyos; Faculty of Engineering, Universidad Nacional Abierta y a Distancia, Sincelejo, 700002, Colombia; email: wilson.arrubla@unad.edu.co; J.G. Gómez; SOCRATES Group, Department of Systems Engineering and Telecommunications, Faculty of Engineering, University of Cordoba, Montería, 230001, Colombia; email: jeliecergomez@correo.unicordoba.edu.co</t>
  </si>
  <si>
    <t xml:space="preserve">2-s2.0-85205064310</t>
  </si>
  <si>
    <t xml:space="preserve">Rabie A.H.; Saleh A.I.</t>
  </si>
  <si>
    <t xml:space="preserve">Rabie, Asmaa H. (57189711449); Saleh, Ahmed I. (22434197300)</t>
  </si>
  <si>
    <t xml:space="preserve">57189711449; 22434197300</t>
  </si>
  <si>
    <t xml:space="preserve">Diseases diagnosis based on artificial intelligence and ensemble classification</t>
  </si>
  <si>
    <t xml:space="preserve">Background: In recent years, Computer Aided Diagnosis (CAD) has become an important research area that attracted a lot of researchers. In medical diagnostic systems, several attempts have been made to build and enhance CAD applications to avoid errors that can cause dangerously misleading medical treatments. The most exciting opportunity for promoting the performance of CAD system can be accomplished by integrating Artificial Intelligence (AI) in medicine. This allows the effective automation of traditional manual workflow, which is slow, inaccurate and affected by human errors. Aims: This paper aims to provide a complete Computer Aided Disease Diagnosis (CAD2) strategy based on Machine Learning (ML) techniques that can help clinicians to make better medical decisions. Methods: The proposed CAD2 consists of three main sequential phases, namely; (i) Outlier Rejection Phase (ORP), (ii) Feature Selection Phase (FSP), and (iii) Classification Phase (CP). ORP is implemented to reject outliers using new Outlier Rejection Technique (ORT) that contains two sequential stages called Fast Outlier Rejection (FOR) and Accurate Outlier Rejection (AOR). The most informative features are selected through FSP using Hybrid Selection Technique (HST). HST includes two main stages called Quick Selection Stage (QS2) using fisher score as a filter method and Precise Selection Stage (PS2) using a Hybrid Bio-inspired Optimization (HBO) technique as a wrapper method. Finally, actual diagnose takes place through CP, which relies on Ensemble Classification Technique (ECT). Results: The proposed CAD2 has been tested experimentally against recent disease diagnostic strategies using two different datasets in which the first contains several diseases, while the second includes data for Covid-19 patients only. Experimental results have proven the high efficiency of the proposed CAD2 in terms of accuracy, error, precision, and recall compared with other competitors. Additionally, CAD2 strategy provides the best Wilcoxon signed rank test and Friedman test measurements against other strategies according to both datasets. Conclusion: It is concluded that CAD2 strategy based on ORP, FSP, and CP gave an accurate diagnosis compared to other strategies because it gave the highest accuracy and the lowest error and implementation time. © 2023</t>
  </si>
  <si>
    <t xml:space="preserve">Artificial Intelligence in Medicine</t>
  </si>
  <si>
    <t xml:space="preserve">10.1016/j.artmed.2023.102753</t>
  </si>
  <si>
    <t xml:space="preserve">https://www.scopus.com/inward/record.uri?eid=2-s2.0-85182400309&amp;doi=10.1016%2fj.artmed.2023.102753&amp;partnerID=40&amp;md5=58e7e42bbd0def526ddc00c63c22ec5f</t>
  </si>
  <si>
    <t xml:space="preserve">Computer Engineering and Systems Dept., Faculty of Engineering, Mansoura University, Mansoura, Egypt</t>
  </si>
  <si>
    <t xml:space="preserve">Rabie A.H., Computer Engineering and Systems Dept., Faculty of Engineering, Mansoura University, Mansoura, Egypt; Saleh A.I., Computer Engineering and Systems Dept., Faculty of Engineering, Mansoura University, Mansoura, Egypt</t>
  </si>
  <si>
    <t xml:space="preserve">Computer-aided diagnoses; Diagnosis; Diseases; Ensemble classification; Feature selection; Outlier rejection</t>
  </si>
  <si>
    <t xml:space="preserve">Artificial Intelligence; Diagnosis, Computer-Assisted; Humans; Machine Learning; Biomimetics; Classification (of information); Computer aided instruction; Errors; Feature Selection; Statistics; Diagnostic systems; Disease diagnosis; Ensemble classification; Features selection; Hybrid selection; Medical diagnostics; Outliers rejections; Research areas; Selection stages; Selection techniques; accurate outlier rejection; acne; acquired immune deficiency syndrome; adverse drug reaction; alcoholic hepatitis; allergy; arthritis; Article; artificial intelligence; asthma; automation; benign paroxysmal positional vertigo; brain hemorrhage; cervical spondylosis; chickenpox; cholestasis; classification phase; clinician; common cold; computer assisted diagnosis; coronavirus disease 2019; cross validation; dengue; diabetes mellitus; diagnostic accuracy; diagnostic test accuracy study; disease classification; ensemble classification technique; fast outlier rejection; feature selection; feature selection phase; Friedman test; gastroenteritis; gastroesophageal reflux; genetic algorithm; heart infarction; hemorrhoid; hepatitis A; hepatitis B; hepatitis C; hepatitis D; hepatitis E; human; hybrid bio inspired optimization; hypertension; hyperthyroidism; hypoglycemia; hypothyroidism; impetigo; jaundice; machine learning; major clinical study; malaria; migraine; mycosis; osteoarthritis; outlier rejection phase; paralysis; particle swarm optimization; peptic ulcer; pneumonia; psoriasis; tuberculosis; typhoid fever; urinary tract infection; varicosis; Wilcoxon signed ranks test; World Health Organization; procedures; Computer aided diagnosis</t>
  </si>
  <si>
    <t xml:space="preserve">Devlekar P., Gawande P., Chalke C., Et al., Data driven machine learning system for optimization of clinic activities, Int J Eng Res Appl (IJERA), 12, 4, pp. 40-45, (2022); Irshad R., Hussain S., Hussain I., Et al., A novel artificial spider monkey based random forest hybrid framework for monitoring and predictive diagnoses of patients healthcare, IEEE Access, 11, pp. 77880-77894, (2023); Rabie A., Saleh A., Mansour N., A Covid-19’s integrated herd immunity (CIHI) based on classifying people vulnerability, Comput Biol Med, 140, pp. 1-29, (2022); Rabie A., Mansour N., Saleh A., Et al., Expecting individuals’ body reaction to Covid-19 based on statistical Naïve Bayes technique, Pattern Recogn, 128, pp. 1-23, (2022); Saleh A., Rabie A., A new Autism Spectrum Disorder Discovery (ASDD) strategy using data mining techniques based on blood tests, Biomed Signal Process Control, 81, pp. 1-14, (2023); Sarker I., Machine learning: algorithms, real-world applications and research directions, SN Comput Sci, 2, 160, pp. 1-21, (2021); Saleh A., Rabie A., Human monkeypox diagnose (HMD) strategy based on data mining and artificial intelligence techniques, Comput Biol Med, 152, pp. 1-20, (2023); Doi K., Computer-aided diagnosis in medical imaging: historical review, current status and future potential, Comput Med Imaging Graphics, 31, 4-5, pp. 198-211, (2007); Pal S., Chronic kidney disease prediction using machine learning techniques, Biomed Mater Devices, pp. 1-7, (2022); Abdollahi J., Nouri-Moghaddam B., A hybrid method for heart disease diagnosis utilizing feature selection based ensemble classifier model generation, Iran J Comput Sci, pp. 1-18, (2022); Sitaula C., Shahi T., Monkeypox virus detection using pre-trained deep learning-based approaches, J Med Syst, 46, 78, pp. 1-9, (2022); Chomatek L., Duraj A., Efficient genetic algorithm for breast cancer diagnosis, Proceedings of the International Conference on Information Technologies in Biomedicine, ITIB 2018: Advances in Intelligent Systems and Computing, 762, pp. 64-76, (2019); Cai S., Chen J., Yin B., Et al., An efficient outlier detection approach for streaming sensor data based on neighbor difference and clustering, Secur Commun Netw, 2022, pp. 1-14, (2022); Abdel-Basset M., El-Shahat D., El-henawy I., de Albuquerque V., Mirjalili S., A new fusion of grey wolf optimizer algorithm with a two-phase mutation for feature selection, Expert Syst Appl, 139, pp. 1-14, (2020); Bashir S., Khattak I., Khan A., Khan F., Et al., A novel feature selection method for classification of medical data using filters, wrappers, and embedded approaches, Complexity, 2022, pp. 1-12, (2022); Wu X., Wang H., Shi P., Et al., Long short-term memory model – a deep learning approach for medical data with irregularity in cancer predication with tumor markers, Comput Biol Med, 144, pp. 1-10, (2022); Rabie A., Ali S., Ali H., Saleh A., A fog based load forecasting strategy for smart grids using big electrical data, Cluster Comput, 22, 1, pp. 241-270, (2019); Mahesh T., Kumar D., Kumar V., Asghar J., Et al., Blended ensemble learning prediction model for strengthening diagnosis and treatment of chronic diabetes disease, Comput Intelligence Neurosci, 2022, pp. 1-9, (2022); Militello C., Prinzi F., Sollami G., Et al., CT Radiomic features and clinical biomarkers for predicting coronary artery disease, Cogn Comput, 15, pp. 238-253, (2023); Ahmad A., Polat H., Prediction of heart disease based on machine learning using jellyfish optimization algorithm, Diagnostics, 13, 14, pp. 1-17, (2023); Malibari A., An efficient IoT-Artificial intelligence-based disease prediction using lightweight CNN in healthcare system, Measurement: Sensors, 26, pp. 1-9, (2023); Saleh A., Rabie A., Abo-Al-Ezb K., A data mining based load forecasting strategy for smart electrical grids, Adv Eng Inform, 30, 3, pp. 422-448, (2016); Sun L., Wang T., Ding W., Et al., Feature selection using fisher score and multilabel neighborhood rough sets for multilabel classification, Inform Sci, 578, pp. 887-912, (2021); Guyon I., Weston J., Barnhill S., Gene selection for cancer classification using support vector machines, Mach Learn, 46, pp. 389-422, (2002); Hancer E., Xue B., Zhang M., Differential evolution for filter feature selection based on information theory and feature ranking, Knowledge Based Syst, 140, pp. 103-119, (2018); Gunes S., Polat K., Yosunkaya S., Multi-class f-score feature selection approach to classification of obstructive sleep apnea syndrome, Expert Syst Appl, 37, 2, pp. 998-1004, (2010); Davahli A., Shamsi M., Abaei G., Hybridizing genetic algorithm and grey wolf optimizer to advance an intelligent and lightweight intrusion detection system for IoT wireless networks, J Ambient Intell Human Comput, 11, pp. 5581-5609, (2020); Mienye I., Sun Y., A survey of ensemble learning: concepts, algorithms, applications, and prospects, IEEE Access, 10, pp. 99129-99149, (2022); Fleyeh H., Davami E., Multiclass Adaboost based on an ensemble of binary AdaBoosts, Am J Intell Syst, 3, 2, pp. 57-70, (2013); Aziz N., Akhir E., Abdul Aziz I., Et al., A study on gradient boosting algorithms for development of AI monitoring and prediction systems, 2020 international conference on computational intelligence (ICCI), Bandar Seri Iskandar, Malaysia, pp. 11-16, (2020); Chen T., Guestrin C., XGBoost: a scalable tree boosting system, KDD '16: Proceedings of the 22nd ACM SIGKDD International Conference on Knowledge Discovery and Data Mining, San Francisco, CA, USA, pp. 1-13, (2016); Shaban W., Rabie A., Saleh A., Abo-Elsoud M., A new COVID-19 Patients Detection Strategy (CPDS) based on hybrid feature selection and enhanced KNN classifier, Knowledge-Based Syst, 205, pp. 1-18, (2020); Liu H., Mandvikar A., Mody J., An empirical study of building compact ensembles, Web-Age Information Management (WAIM), 3129, pp. 622-627, (2004); Bonab H., Can F., Less is more: a comprehensive framework for the number of components of ensemble classifiers, IEEE Trans Neural Netw Learn Syst, 14, 8, pp. 2735-2745, (2018); Mandrekar J., Receiver operating characteristic curve in diagnostic test assessment, J Thoracic Oncol, 5, 9, pp. 1315-1316, (2010); Shaban W., Rabie A., Saleh A., Abo-Elsoud M., Detecting COVID-19 patients based on fuzzy inference engine and deep neural network, Appl Soft Comput, 99, pp. 1-19, (2021)</t>
  </si>
  <si>
    <t xml:space="preserve">A.H. Rabie; Computer Engineering and Systems Dept., Faculty of Engineering, Mansoura University, Mansoura, Egypt; email: asmaa91hamdy@yahoo.com</t>
  </si>
  <si>
    <t xml:space="preserve">AIMEE</t>
  </si>
  <si>
    <t xml:space="preserve">Artif. Intell. Med.</t>
  </si>
  <si>
    <t xml:space="preserve">2-s2.0-85182400309</t>
  </si>
  <si>
    <t xml:space="preserve">Wattanasombat S.; Tongjai S.</t>
  </si>
  <si>
    <t xml:space="preserve">Wattanasombat, Sara (59213561800); Tongjai, Siripong (39763257200)</t>
  </si>
  <si>
    <t xml:space="preserve">59213561800; 39763257200</t>
  </si>
  <si>
    <t xml:space="preserve">Easing genomic surveillance: A comprehensive performance evaluation of long-read assemblers across multi-strain mixture data of HIV-1 and Other pathogenic viruses for constructing a user-friendly bioinformatic pipeline</t>
  </si>
  <si>
    <t xml:space="preserve">Background: Determining the appropriate computational requirements and software performance is essential for efficient genomic surveillance. The lack of standardized benchmarking complicates software selection, especially with limited resources. Methods: We developed a containerized benchmarking pipeline to evaluate seven long-read assemblers—Canu, GoldRush, MetaFlye, Strainline, HaploDMF, iGDA, and RVHaplo—for viral haplotype reconstruction, using both simulated and experimental Oxford Nanopore sequencing data of HIV-1 and other viruses. Benchmarking was conducted on three computational systems to assess each assembler’s performance, utilizing QUAST and BLASTN for quality assessment. Results: Our findings show that assembler choice significantly impacts assembly time, with CPU and memory usage having minimal effect. Assembler selection also influences the size of the contigs, with a minimum read length of 2,000 nucleotides required for quality assembly. A 4,000-nucleotide read length improves quality further. Canu was efficient among de novo assemblers but not suitable for multi-strain mixtures, while GoldRush produced only consensus assemblies. Strainline and MetaFlye were suitable for metagenomic sequencing data, with Strainline requiring high memory and MetaFlye operable on low-specification machines. Among reference-based assemblers, iGDA had high error rates, RVHaplo showed the best runtime and accuracy but became ineffective with similar sequences, and HaploDMF, utilizing machine learning, had fewer errors with a slightly longer runtime. Conclusions: The HIV-64148 pipeline, containerized using Docker, facilitates easy deployment and offers flexibility to select from a range of assemblers to match computational systems or study requirements. This tool aids in genome assembly and provides valuable information on HIV-1 sequences, enhancing viral evolution monitoring and understanding. Copyright: © 2024 Wattanasombat S and Tongjai S.</t>
  </si>
  <si>
    <t xml:space="preserve">F1000Research</t>
  </si>
  <si>
    <t xml:space="preserve">F1000 Research Ltd</t>
  </si>
  <si>
    <t xml:space="preserve">10.12688/f1000research.149577.1</t>
  </si>
  <si>
    <t xml:space="preserve">https://www.scopus.com/inward/record.uri?eid=2-s2.0-85198061552&amp;doi=10.12688%2ff1000research.149577.1&amp;partnerID=40&amp;md5=6f17aa997f4c76cb3e0e11336537a076</t>
  </si>
  <si>
    <t xml:space="preserve">Department of Microbiology, Faculty of Medicine, Chiang Mai University, Chiang Mai, 50200, Thailand</t>
  </si>
  <si>
    <t xml:space="preserve">Wattanasombat S., Department of Microbiology, Faculty of Medicine, Chiang Mai University, Chiang Mai, 50200, Thailand; Tongjai S., Department of Microbiology, Faculty of Medicine, Chiang Mai University, Chiang Mai, 50200, Thailand</t>
  </si>
  <si>
    <t xml:space="preserve">Genome assembly; Genomic surveillance; Haplotype reconstruction; HIV; Infectious Diseases; NGS; Single-molecule sequencing; Virus</t>
  </si>
  <si>
    <t xml:space="preserve">Computational Biology; Genome, Viral; Genomics; HIV-1; Humans; Software; amino acid sequence; antibiotic resistance; Article; bacterial genome; bioinformatic pipeline; bioinformatics; comprehensive performance evaluation; evoked brain stem auditory response; gene sequence; genome; genome analysis; genome size; genomic surveillance; haplotype; Haplotype reconstruction; hearing; hepatitis C; Hepatitis C virus; high throughput sequencing; human; Human immunodeficiency virus; Human immunodeficiency virus 1; Human immunodeficiency virus infection; infection; Klebsiella pneumoniae; learning algorithm; machine learning; metagenome; metagenomics; monkeypox; pathogenic virus; peer review; phylogeny; pipeline; Plasmodium falciparum; Poliomyelitis virus; pustule; quality control; SARS coronavirus; validation process; virus; virus transmission; whole genome sequencing; Zika virus; bioinformatics; genetics; genomics; procedures; software; virus genome</t>
  </si>
  <si>
    <t xml:space="preserve">Faculty of Medicine Research Fund; Children Foundation; Chiang Mai University, CMU, (099-2563)</t>
  </si>
  <si>
    <t xml:space="preserve">Funding text 1: This research was funded by the Health Systems Research Institute, Thailand, Grant No. 64-148, and the Faculty of Medicine Research Fund, Chiang Mai University, Grant No. 099-2563.; Funding text 2: The authors would like to thank The ERAWAN HPC Service, Chiang Mai University, Thailand and The Center of Multidisciplinary Technology for Advanced Medicine (CMUTEAM), Faculty of Medicine, Chiang Mai University, Thailand for their supports on computational resources and server. We would like to thank Support the Children Foundation, Chiang Mai, Thailand for financial support. We also would like to thank Yuphin Chromwinya and Somporn Sankonkit of The Immunology Lab, Department of Microbiology, Faculty of Medicine, Chiang Mai University, Thailand for their administrative supports. </t>
  </si>
  <si>
    <t xml:space="preserve">Frescura L., Et al., Achieving the 95 95 95 targets for all: A pathway to ending AIDS, PLoS One, 17, (2022); Understanding Fast-Track: accelerating action to end the AIDS epidemic by 2030, 10, (2015); World AIDS Day Report: Prevailing against pandemics by putting people at the centre, 87, (2020); Hill V., Et al., Toward a global virus genomic surveillance network, Cell Host Microbe, 31, pp. 861-873, (2023); Global genomic surveillance strategy for pathogens with pandemic and epidemic potential 2022–2032: progress report on the first year of implementation, (2023); Metzner K.J., HIV Whole-Genome Sequencing Now: Answering Still-Open Questions, J. Clin. Microbiol, 54, pp. 834-835, (2016); Wittwer C.T., Portable Nanopore Sequencing for Viral Surveillance, Clin. Chem, 62, pp. 1427-1429, (2016); Foster-Nyarko E., Et al., Nanopore-only assemblies for genomic surveillance of the global priority drug-resistant pathogen, Klebsiella pneumoniae, Microb Genom, 9, (2023); Wheeler N.E., Et al., Innovations in genomic antimicrobial resistance surveillance, Lancet Microbe, 4, pp. e1063-e1070, (2023); Holzschuh A., Et al., Using a mobile nanopore sequencing lab for end-to-end genomic surveillance of Plasmodium falciparum: A feasibility study, PLOS Glob. Public Health, 4, (2024); Baltimore D., Viral RNA-dependent DNA Polymerase: RNA-dependent DNA Polymerase in Virions of RNA Tumour Viruses, Nature, 226, pp. 1209-1211, (1970); Roberts J.D., Bebenek K., Kunkel T.A., The Accuracy of Reverse Transcriptase from HIV-1, Science, 242, pp. 1171-1173, (1988); Preston B.D., Poiesz B.J., Loeb L.A., Fidelity of HIV-1 Reverse Transcriptase, Science, 242, pp. 1168-1171, (1988); Das K., Arnold E., HIV-1 reverse transcriptase and antiviral drug resistance. Part 1, Curr. Opin. Virol, 3, pp. 111-118, (2013); Johnson W.E., Desrosiers R.C., Viral Persistence: HIV’s Strategies of Immune System Evasion, Annu. Rev. Med, 53, pp. 499-518, (2002); Kirchhoff F., Immune Evasion and Counteraction of Restriction Factors by HIV-1 and Other Primate Lentiviruses, Cell Host Microbe, 8, pp. 55-67, (2010); Greninger A.L., Et al., Rapid metagenomic identification of viral pathogens in clinical samples by real-time nanopore sequencing analysis, Genome Med, 7, (2015); Rambaut A., Posada D., Crandall K.A., Et al., The causes and consequences of HIV evolution, Nat. Rev. Genet, 5, pp. 52-61, (2004); Blackard J.T., Cohen D.E., Mayer K.H., Human Immunodeficiency Virus Superinfection and Recombination: Current State of Knowledge and Potential Clinical Consequences, Clin. Infect. Dis, 34, pp. 1108-1114, (2002); Pandit A., De Boer R.J., Reliable reconstruction of HIV-1 whole genome haplotypes reveals clonal interference and genetic hitchhiking among immune escape variants, Retrovirology, 11, (2014); Deeks S.G., Et al., Research priorities for an HIV cure: International AIDS Society Global Scientific Strategy 2021, Nat. Med, 27, pp. 2085-2098, (2021); Monaco D.C., Zapata L., Hunter E., Et al., Resistance profile of HIV-1 quasispecies in patients under treatment failure using single molecule, real-time sequencing, AIDS, 34, pp. 2201-2210, (2020); Gaudin M., Desnues C., Hybrid Capture-Based Next Generation Sequencing and Its Application to Human Infectious Diseases, Front. Microbiol, 9, (2018); Lauring A.S., Andino R., Quasispecies Theory and the Behavior of RNA Viruses, PLoS Pathog, 6, (2010); Bonsall D., Et al., A comprehensive genomics solution for HIV surveillance and clinical monitoring in a global health setting, Genomics, (2018); Frishman D., Marz M., Virus Bioinformatics, (2021); Udaondo Z., Et al., Comparative Analysis of PacBio and Oxford Nanopore Sequencing Technologies for Transcriptomic Landscape Identification of Penaeus monodon, Life, 11, (2021); Luo X., Kang X., Schonhuth A., Strainline: full-length de novo viral haplotype reconstruction from noisy long reads, Genome Biol, 23, (2022); Yamashita T., Et al., Single-molecular real-time deep sequencing reveals the dynamics of multi-drug resistant haplotypes and structural variations in the hepatitis C virus genome, Sci. Rep, 10, (2020); Sahlin K., Medvedev P., Error correction enables use of Oxford Nanopore technology for reference-free transcriptome analysis, Nat. Commun, 12, (2021); Zhang H., Jain C., Aluru S., A comprehensive evaluation of long read error correction methods, BMC Genomics, 21, (2020); Link R.W., Et al., HIV-Quasipore: A Suite of HIV-1-Specific Nanopore Basecallers Designed to Enhance Viral Quasispecies Detection, Front. Virol, 2, (2022); Nguyen Quang N., Et al., Dynamic nanopore long-read sequencing analysis of HIV-1 splicing events during the early steps of infection, Retrovirology, 17, (2020); Chen Y., Et al., Efficient assembly of nanopore reads via highly accurate and intact error correction, Nat. Commun, 12, (2021); Karst S.M., Et al., High-accuracy long-read amplicon sequences using unique molecular identifiers with Nanopore or PacBio sequencing, Nat. Methods, 18, pp. 165-169, (2021); Ni Y., Liu X., Simeneh Z.M., Et al., Benchmarking of Nanopore R10.4 and R9.4.1 flow cells in single-cell whole-genome amplification and whole-genome shotgun sequencing, Comput. Struct. Biotechnol. J, 21, pp. 2352-2364, (2023); Luo X., Kang X., Schonhuth A., VeChat: correcting errors in long reads using variation graphs, Nat. Commun, 13, (2022); Chen Q., Et al., Recent advances in sequence assembly: principles and applications, Brief. Funct. Genomics, 16, pp. 361-378, (2017); Chen Y., Xiao C.L., A survey on de novo assembly methods for single-molecular sequencing, Quant. Biol, 8, pp. 203-215, (2020); Eliseev A., Et al., Evaluation of haplotype callers for next-generation sequencing of viruses, Infect. Genet. Evol, 82, (2020); Luo X., Kang X., Schonhuth A., Enhancing Long-Read-Based Strain-Aware Metagenome Assembly, Front. Genet, 13, (2022); Kolmogorov M., Et al., metaFlye: scalable long-read metagenome assembly using repeat graphs, Nat. Methods, 17, pp. 1103-1110, (2020); Cai D., Shang J., Sun Y., HaploDMF: viral haplotype reconstruction from long reads via deep matrix factorization, Bioinformatics, 38, pp. 5360-5367, (2022); Feng Z., Clemente J.C., Wong B., Et al., Detecting and phasing minor single-nucleotide variants from long-read sequencing data, Nat. Commun, 12, (2021); Cai D., Sun Y., Reconstructing viral haplotypes using long reads, Bioinformatics, 38, pp. 2127-2134, (2022); Chan D.M., Rao R., Huang F., Et al., GPU accelerated t-distributed stochastic neighbor embedding, J. Parallel Distrib. Comput, 131, pp. 1-13, (2019); Koren S., Et al., Canu: scalable and accurate long-read assembly via adaptive k-mer weighting and repeat separation, Genome Res, 27, pp. 722-736, (2017); Wong J., Et al., Linear time complexity de novo long read genome assembly with GoldRush, Nat. Commun, 14, (2023); Van Der Walt A.J., Et al., Assembling metagenomes, one community at a time, BMC Genomics, 18, (2017); Hu B., Et al., Challenges in Bioinformatics Workflows for Processing Microbiome Omics Data at Scale, Front. Bioinform, 1, (2022); De Coster W., D'Hert S., Schultz D.T., Et al., NanoPack: visualizing and processing long-read sequencing data, Bioinformatics, 34, pp. 2666-2669, (2018); Verma S.B., Pandey B., Kumar Gupta B., Containerization and its Architectures: A Study, ADCAIJ, 11, pp. 395-409, (2023); HIV Sequence Compendium 2021, (2023); Tongjai S., Wattanasombat S., figshare, (2024); Yang C., Et al., Characterization and simulation of metagenomic nanopore sequencing data with Meta-NanoSim, GigaScience, 12, (2023); Yang C., Chu J., Warren R.L., Et al., NanoSim: nanopore sequence read simulator based on statistical characterization, GigaScience, 6, pp. 1-6, (2017); Wright I.A., Et al., NanoHIV: A Bioinformatics Pipeline for Producing Accurate, Near Full-Length HIV Proviral Genomes Sequenced Using the Oxford Nanopore Technology, Cells, 10, (2021); Ng T.T.-L., Et al., Long-Read Sequencing with Hierarchical Clustering for Antiretroviral Resistance Profiling of Mixed Human Immunodeficiency Virus Quasispecies, Clin. Chem, 69, pp. 1174-1185, (2023); Tongjai S., Wattanasombat S., figshare, (2024); Tongjai S., Wattanasombat S., figshare, (2024); Tongjai S., Wattanasombat S., figshare, (2024); Camacho C., Et al., BLAST+: architecture and applications, BMC Bioinformatics, 10, (2009); Mikheenko A., Saveliev V., Gurevich A., MetaQUAST: evaluation of metagenome assemblies, Bioinformatics, 32, pp. 1088-1090, (2016); Tongjai S., Wattanasombat S., figshare, (2024); (2023); R: A Language and environment for statistical computing, (2022); Mori M., Et al., Nanopore Sequencing for Characterization of HIV-1 Recombinant Forms, Microbiol Spectr, 10, pp. e0150722-e0101522, (2022); Pineda-Pena A.-C., Et al., Automated subtyping of HIV-1 genetic sequences for clinical and surveillance purposes: Performance evaluation of the new REGA version 3 and seven other tools, Infect. Genet. Evol, 19, pp. 337-348, (2013); Bohn P., Gribling-Burrer A.-S., Ambi U.B., Et al., Nano-DMS-MaP allows isoform-specific RNA structure determination, Nat. Methods, 20, pp. 849-859, (2023); BioProject, PRJEB56841, (2020); BioProject, PRJNA762014, (2021); BioProject, PRJNA608224, (2020); Rhee S.Y., Human immunodeficiency virus reverse transcriptase and protease sequence database, Nucleic Acids Res, 31, pp. 298-303, (2003); Liu T.F., Shafer R.W., Web Resources for HIV Type 1 Genotypic-Resistance Test Interpretation, Clin. Infect. Dis, 42, pp. 1608-1618, (2006); Shafer R.W., Rationale and Uses of a Public HIV Drug-Resistance Database, J. Infect. Dis, 194, pp. S51-S58, (2006); Rhee S.-Y., Et al., HIV-1 pol mutation frequency by subtype and treatment experience: extension of the HIVseq program to seven non-B subtypes, AIDS, 20, pp. 643-651, (2006); Shafer R.W., Jung D.R., Betts B.J., Human immunodeficiency virus type 1 reverse transcriptase and protease mutation search engine for queries, Nat. Med, 6, pp. 1290-1292, (2000); Gifford R.J., Et al., The calibrated population resistance tool: standardized genotypic estimation of transmitted HIV-1 drug resistance, Bioinformatics, 25, pp. 1197-1198, (2009); Hanussek M., Bartusch F., Kruger J., Performance and scaling behavior of bioinformatic applications in virtualization environments to create awareness for the efficient use of compute resources, PLoS Comput. Biol, 17, (2021); Anyansi C., Straub T.J., Manson A.L., Et al., Computational Methods for Strain-Level Microbial Detection in Colony and Metagenome Sequencing Data, Front. Microbiol, 11, (2020); Poje K., Brcic M., Knezovic J., Et al., First Steps towards Efficient Genome Assembly on ARM-Based HPC, Electronics, 13, (2023); Dika A., Prevalla B., Electronics Engineers in Israel (IEEEI 2010); Popiolek P.F., Mendizabal O.M., Monitoring and analysis of performance impact in virtualized environments, J. Appl. Comput. Res, 2, pp. 75-82, (2013); Al-hamouri R., Al-Jarrah H., Al-Sharif Z.A., Et al., 2020 Seventh International Conference on Software Defined Systems (SDS), pp. 131-138, (2020); Chung M.T., Quang-Hung N., Nguyen M.-T., Et al., 2016 IEEE Sixth International Conference on Communications and Electronics (ICCE), pp. 52-57, (2016); Bielecki J., Smialek M., Estimation of execution time for computing tasks, Clust. Comput, 26, pp. 3943-3956, (2023); Sikka J., Et al., Learning based Methods for Code Runtime Complexity Prediction, (2019); Tongjai S., Wattanasombat S., figshare, (2024); Tongjai S., Wattanasombat S., figshare, (2024)</t>
  </si>
  <si>
    <t xml:space="preserve">S. Tongjai; Department of Microbiology, Faculty of Medicine, Chiang Mai University, Chiang Mai, 50200, Thailand; email: siripong.tongjai@cmu.ac.th</t>
  </si>
  <si>
    <t xml:space="preserve">F1000 Res.</t>
  </si>
  <si>
    <t xml:space="preserve">2-s2.0-85198061552</t>
  </si>
  <si>
    <t xml:space="preserve">Kiemde F.; Sorgho H.; Zango S.H.; Some G.F.; Rouamba T.; Traore O.; Kabore B.; Natama H.M.; Hien Y.E.; Valea I.; Schallig H.; Tinto H.</t>
  </si>
  <si>
    <t xml:space="preserve">Kiemde, Francois (57189752717); Sorgho, Hermann (6506606400); Zango, Serge Henri (57201616781); Some, Gnohion Fabrice (58288003700); Rouamba, Toussaint (57195058079); Traore, Ousmane (57205967134); Kabore, Berenger (8218510800); Natama, Hamtandi Magloire (57194393426); Hien, Yeri Esther (57193866028); Valea, Innocent (12765515800); Schallig, Henk (7004712193); Tinto, Halidou (55975227100)</t>
  </si>
  <si>
    <t xml:space="preserve">57189752717; 6506606400; 57201616781; 58288003700; 57195058079; 57205967134; 8218510800; 57194393426; 57193866028; 12765515800; 7004712193; 55975227100</t>
  </si>
  <si>
    <t xml:space="preserve">Effects of gestational age on blood cortisol and prolactin levels during pregnancy in malaria endemic area</t>
  </si>
  <si>
    <t xml:space="preserve">Background The hormonal shift occurring in pregnant women is crucial for the outcome of pregnancy. We conducted a study in pregnant women living in a malaria endemic area to determine the potential effect of gestational age on the modulation of the endocrine system by cortisol and prolactin production during pregnancy. Methods Primigravidae and multigravidae with a gestational age between 16–20 weeks were included in the study and followed up to delivery and 6–7 weeks thereafter. Venous blood was collected at scheduled visit: Visit 1 (V1; 16–20 weeks of amenorrhea), Visit 2 (V2; 28 ±1 weeks of pregnancy), Visit 3 (V3; 32 ±1 weeks of pregnancy), Visit4 (V4; delivery) and Visit5 (V5; 6–7 weeks after delivery). In addition, a cord blood sample was also collected during labour at delivery. Nulliparous and primiparous/multiparous non-pregnant women were enrolled in the control group. Cortisol and prolactin plasma concentrations were measured using ichroma II and i-chamber apparatus. Light microscopy was used to detect Plasmodium falciparum infections. A linear mixed-effects regression (LMER) model was used to assess the association between the variation of cortisol titres and prolactin levels during the pregnancy and the post-partum. Results Results showed that cortisol and prolactin levels in the peripheral blood were globally up-regulated during pregnancy. Concentrations of cortisol during follow-up was significantly higher in primigravidae than in multigravidae during the whole pregnancy (p&lt;0.024). Moreover, the level of prolactin which was higher before delivery in primigravidae reversed at delivery and postpartum visit, but the difference was not statistically significant during the follow-up (V1 to V5) (p = 0.60). The cortisol level in peripheral blood at delivery was higher than that in the cord blood, and conversely for prolactin. Cortisol and prolactin levels decreased after delivery, though the level of prolactin was still higher than that at enrolment. An increase of one unit of prolactin was associated with the decrease of the average concentration of cortisol by 0.04 ng/ml (p = 0.009). However, when cortisol increases with one unit, the average concentration of prolactin decreases by 1.16 ng/ml (p = 0.013). Conclusion These results showed that the up-regulation effects of cortisol and prolactin are related to gestational age. A The downward regulation effect that both hormones have on each other during the pregnancy when each increase to 1 unit (1.0 ng/ml) was also reported. © 2024 Kiemde et al. This is an open access article distributed under the terms of the Creative Commons Attribution License, which permits unrestricted use, distribution, and reproduction in any medium, provided the original author and source are credited.</t>
  </si>
  <si>
    <t xml:space="preserve">Prognostics</t>
  </si>
  <si>
    <t xml:space="preserve">PLoS ONE</t>
  </si>
  <si>
    <t xml:space="preserve">e0310372</t>
  </si>
  <si>
    <t xml:space="preserve">10.1371/journal.pone.0310372</t>
  </si>
  <si>
    <t xml:space="preserve">https://www.scopus.com/inward/record.uri?eid=2-s2.0-85208378126&amp;doi=10.1371%2fjournal.pone.0310372&amp;partnerID=40&amp;md5=8996a606a75572b12d7c7c58ed0001e4</t>
  </si>
  <si>
    <t xml:space="preserve">Institut de Recherche en Sciences de la Santé, Clinical Research Unit of Nanoro (IRSS-CRUN), Nanoro, Burkina Faso; Unité de Recherche et de Formation en Sciences de la Vie et de la Terre (URF-SVT), Université Joseph Ki-Zerbo Ouaga 1, Ouagadougou, Burkina Faso; Department of Medical Microbiology and Infection Prevention, Laboratory for Experimental Parasitology, Amsterdam Institute for Infection and Immunity, Amsterdam University Medical Centres, Academic Medical Centre, the University of Amsterdam, Amsterdam, Netherlands</t>
  </si>
  <si>
    <t xml:space="preserve">Kiemde F., Institut de Recherche en Sciences de la Santé, Clinical Research Unit of Nanoro (IRSS-CRUN), Nanoro, Burkina Faso; Sorgho H., Institut de Recherche en Sciences de la Santé, Clinical Research Unit of Nanoro (IRSS-CRUN), Nanoro, Burkina Faso; Zango S.H., Institut de Recherche en Sciences de la Santé, Clinical Research Unit of Nanoro (IRSS-CRUN), Nanoro, Burkina Faso; Some G.F., Institut de Recherche en Sciences de la Santé, Clinical Research Unit of Nanoro (IRSS-CRUN), Nanoro, Burkina Faso; Rouamba T., Institut de Recherche en Sciences de la Santé, Clinical Research Unit of Nanoro (IRSS-CRUN), Nanoro, Burkina Faso; Traore O., Institut de Recherche en Sciences de la Santé, Clinical Research Unit of Nanoro (IRSS-CRUN), Nanoro, Burkina Faso; Kabore B., Institut de Recherche en Sciences de la Santé, Clinical Research Unit of Nanoro (IRSS-CRUN), Nanoro, Burkina Faso; Natama H.M., Institut de Recherche en Sciences de la Santé, Clinical Research Unit of Nanoro (IRSS-CRUN), Nanoro, Burkina Faso; Hien Y.E., Unité de Recherche et de Formation en Sciences de la Vie et de la Terre (URF-SVT), Université Joseph Ki-Zerbo Ouaga 1, Ouagadougou, Burkina Faso; Valea I., Institut de Recherche en Sciences de la Santé, Clinical Research Unit of Nanoro (IRSS-CRUN), Nanoro, Burkina Faso; Schallig H., Department of Medical Microbiology and Infection Prevention, Laboratory for Experimental Parasitology, Amsterdam Institute for Infection and Immunity, Amsterdam University Medical Centres, Academic Medical Centre, the University of Amsterdam, Amsterdam, Netherlands; Tinto H., Institut de Recherche en Sciences de la Santé, Clinical Research Unit of Nanoro (IRSS-CRUN), Nanoro, Burkina Faso</t>
  </si>
  <si>
    <t xml:space="preserve">Adult; Female; Fetal Blood; Gestational Age; Humans; Hydrocortisone; Malaria, Falciparum; Pregnancy; Pregnancy Complications, Parasitic; Prolactin; Young Adult; hydrocortisone; prolactin; hydrocortisone; prolactin; adult; amenorrhea; Article; centrifugation; endocrine system; female; gestational age; health care facility; human; human experiment; hydrocortisone blood level; immunological pregnancy test; leukocyte count; light microscopy; malaria; malaria falciparum; microscopy; multigravida; natural killer cell; nullipara; Plasmodium falciparum; pregnancy; pregnant woman; primigravida; prolactin blood level; quality control; ultrasound; umbilical cord blood; venous blood; young adult; blood; epidemiology; fetus blood; metabolism; parasitic pregnancy complication; parasitology; pregnancy</t>
  </si>
  <si>
    <t xml:space="preserve">hydrocortisone, 50-23-7; prolactin, 12585-34-1, 50647-00-2, 9002-62-4; Hydrocortisone, ; Prolactin, </t>
  </si>
  <si>
    <t xml:space="preserve">R software, R Foundation, Austria; ichroma II, Boditech Med, South Korea</t>
  </si>
  <si>
    <t xml:space="preserve">Boditech Med, South Korea; R Foundation, Austria</t>
  </si>
  <si>
    <t xml:space="preserve">International Society for Infectious Diseases, ISID</t>
  </si>
  <si>
    <t xml:space="preserve">International Society for Infectious Diseases (ISID), Small Grant 2014, \u201CDetermination of cytotoxicity of NK cells against erythrocytes infected by Plasmodium Falciparum during pregnancy\u201D. the funder had no role in the study design, data collection and analysis, decision to publish, or preparation of the manuscript. We would like to thank the study staff of the rural health facilities of Nanoro, Seguedin and Nazoanga in the Health District of Nanoro for their valuable contributions to the work. We are indebted to the pregnant and non-pregnant women for their participation in the study.</t>
  </si>
  <si>
    <t xml:space="preserve">NG SC, Gilman-sachs A, Beaman KD, Beer AE, Kwak-kim J., Expression of intracellular Th1 and Th2 cytokines in women with recurrent spontaneous abortion, implantation failures after IVF/ET or normal pregnancy, American Journal of Reproductive Immunology, 48, 2, pp. 77-86, (2002); Kwak-Kim JYH, Gilman-Sachs A, Kim CE., T Helper 1 and 2 Immune Responses in Relationship to Pregnancy, Nonpregnancy, Recurrent Spontaneous Abortions and Infertility of Repeated Implantation Failures, Immunology of Gametes and Embryo Implantation, pp. 64-79, (2005); Rukavina D, Podack ER., Abundant perforin expression at the maternal-fetal interface: Guarding the semiallogeneic transplant, Immunology Today, 21, (2000); Mellor AL, Munn DH., Immunology at the maternal-fetal interface: Lessons for T cell tolerance and suppression, Annual Review of Immunology, 18, (2000); Szekeres-Bartho J, Barakonyi A, Miko E, Polgar B, Palkovics T., The role ofγ / δT cells in the feto-maternal relationship, Semin Immunol, 13, 4, pp. 229-233, (2001); Meeusen ENT, Bischof RJ, Lee CS., Comparative T-cell responses during pregnancy in large animals and humans, American Journal of Reproductive Immunology, 46, (2001); Gaunt G, Ramin K., Immunological tolerance of the human fetus, American Journal of Perinatology, 18, (2001); Vacchio MS, Jiang SP., The fetus and the maternal immune system: Pregnancy as a model to study peripheral T-cell tolerance, Critical Reviews in Immunology, 19, (1999); Menendez C., Malaria during pregnancy: Priority areas for current research on malaria during pregnancy, Ann Trop Med Parasitol, 93, pp. S71-S74, (1999); Mor G, Cardenas I., The Immune System in Pregnancy: A Unique Complexity, American Journal of Reproductive Immunology, 63, 6, pp. 425-433, (2010); Kareva I., Immune Suppression in Pregnancy and Cancer: Parallels and Insights, Transl Oncol, 13, 7, (2020); Wegmann TG, Lin H, Guilbert L, Mosmann TR., Bidirectional cytokine interactions in the maternal-fetal relationship: is successful pregnancy a TH2 phenomenon?, Immunology Today, 14, (1993); Pazos M, Sperling RS, Moran TM, Kraus TA., The influence of pregnancy on systemic immunity, Immunol Res, 54, 1–3, pp. 254-261, (2012); Mor G, Cardenas I, Abrahams V, Guller S., Inflammation and pregnancy: the role of the immune system at the implantation site, Ann N Y Acad Sci, 1221, 1, pp. 80-87, (2011); Svensson-arvelund J, Mehta RB, Lindau R, Mirrasekhian E, Rodriguez-martinez H, Lash GE, Et al., The human fetal placenta promotes tolerance against the semiallogeneic fetus by inducing regulatory T cells and homeostatic M2 macrophages, The Journal of Immunology, 194, 4, pp. 1534-1544, (2015); Smith R, Mesiano S, Chan E-C, Brown S, Jaffe RB., Corticotropin-Releasing Hormone Directly and Preferentially Stimulates Dehydroepiandrosterone Sulfate Secretion by Human Fetal Adrenal Cortical Cells*, J Clin Endocrinol Metab, 83, 8, pp. 2916-2920, (1998); Murphy VE, Smith R, Giles WB, Clifton VL., Endocrine Regulation of Human Fetal Growth: The Role of the Mother, Placenta, and Fetus, Endocr Rev, 27, 2, pp. 141-169, (2006); Freeman ME, Kanyicska B, Lerant A, Nagy G., Prolactin: Structure, Function, and Regulation of Secretion, Physiol Rev, 80, 4, pp. 1523-631, (2000); Berczi I, Chalmers IM, Nagy E, Warrington RJ., The immune effects of neuropeptides, Bailliere’s Clinical Rheumatology, 10, pp. 227-257, (1996); Robinson DP, Klein SL., Pregnancy and pregnancy-associated hormones alter immune responses and disease pathogenesis, Hormones and Behavior, 62, (2012); Dhabhar FS., Enhancing versus Suppressive Effects of Stress on Immune Function: Implications for Immunoprotection and Immunopathology, Neuroimmunomodulation, 16, 5, pp. 300-317, (2009); Dhabhar FS., Effects of stress on immune function: the good, the bad, and the beautiful, Immunol Res, 58, 2–3, pp. 193-210, (2014); Bouyou-Akotet MK, Issifou S, Meye JF, Kombila M, Ngou-Milama E, Luty a JF, Et al., Depressed natural killer cell cytotoxicity against Plasmodium falciparum- infected erythrocytes during first pregnancies, Clinical Infectious Diseases, 38, 3, pp. 342-347, (2004); Jung C, Ho JT, Torpy DJ, Rogers A, Doogue M, Lewis JG, Et al., A longitudinal study of plasma and urinary cortisol in pregnancy and postpartum, Journal of Clinical Endocrinology and Metabolism, 96, 5, (2011); Bouyou-Akotet MK, Mavoungou E., Natural killer cell IFN-γ-activity is associated with Plasmodium falciparum infection during pregnancy, Exp Parasitol, 123, 3, (2009); Seckl JR., 11β-hydroxysteroid dehydrogenases: changing glucocorticoid action, Curr Opin Pharmacol, 4, 6, pp. 597-602, (2004); Dong J, Qu Y, Li J, Cui L, Wang Y, Lin J, Et al., Cortisol inhibits NF-κB and MAPK pathways in LPS activated bovine endometrial epithelial cells, Int Immunopharmacol, 56, pp. 71-77, (2018); Clevenger C V., Furth PA, Hankinson SE, Schuler LA., The Role of Prolactin in Mammary Carcinoma, Endocr Rev, 24, 1, pp. 1-27, (2003); Reuwer AQ, van Eijk M, Houttuijn-Bloemendaal FM, van der Loos CM, Claessen N, Teeling P, Et al., The prolactin receptor is expressed in macrophages within human carotid atherosclerotic plaques: a role for prolactin in atherogenesis?, Journal of Endocrinology, 208, 2, pp. 107-117, (2011); Tripathi A, Sodhi A., Prolactin-induced production of cytokines in macrophages in vitro involves JAK/ STAT and JNK MAPK pathways, Int Immunol, 20, 3, pp. 327-336, (2008); Bleker LS, Roseboom TJ, Vrijkotte TG, Reynolds RM, de Rooij SR., Determinants of cortisol during pregnancy–The ABCD cohort, Psychoneuroendocrinology, 83, (2017); Vleugels MPH, Brabin B, Eling WMC, de Graaf R., Cortisol and plasmodium falciparum infection in pregnant women in kenya, Trans R Soc Trop Med Hyg, 83, 2, (1989); VLEUGELS MPH, ELING WMC, ROLLAND R, de GRAAF R., Cortisol and loss of malaria immunity in human pregnancy, BJOG, 94, 8, (1987); Bouyou-Akotet MK, Adegnika AA, Agnandji ST, Ngou-Milama E, Kombila M, Kremsner PG, Et al., Cortisol and susceptibility to malaria during pregnancy, Microbes Infect, 7, 11–12, (2005); Jaju S, al Kharusi L, Gowri V., Antenatal prevalence of fear associated with childbirth and depressed mood in primigravid women, Indian J Psychiatry, 57, 2, (2015); Carroll BJ., Neuroendocrine Regulation in Depression, Arch Gen Psychiatry, 33, 9, (1976); LINKOWSKI P, MENDLEWICZ J, LECLERCQ R, BRASSEUR M, HUBAIN P, GOLSTEIN J, Et al., The 24-Hour Profile of Adrenocorticotropin and Cortisol in Major Depressive Illness*, J Clin Endocrinol Metab, 61, 3, (1985); Linkowski P, Spiegel K, Kerkhofs M, L'Hermite-Baleriaux M, van Onderbergen A, Leproult R, Et al., Genetic and environmental influences on prolactin secretion during wake and during sleep, Am J Physiol Endocrinol Metab, 274, 5, pp. 37-5, (1998); Callewaert DM, Moudgil VK, Radcliff G, Waite R., Hormone specific regulation of natural killer cells by cortisol Direct inactivation of the cytotoxic function of cloned human NK cells without an effect on cellular proliferation, FEBS Lett, 285, 1, pp. 108-110, (1991); Zhou J, Olsen S, Moldovan J, Fu X, Sarkar FH, Moudgil VK, Et al., Glucocorticoid regulation of natural cytotoxicity: Effects of cortisol on the phenotype and function of a cloned human natural killer cell line, Cell Immunol, 178, 2, (1997); Gatti G, Cavallo R, Sartori ML, del Ponte D, Masera R, Salvadori a, Et al., Inhibition by cortisol of human natural killer (NK) cell activity, J Steroid Biochem, 26, 1, pp. 49-58, (1987); Nagy E, Berczi I, Friesen HG., Regulation of immunity in rats by lactogenic and growth hormones, Acta Endocrinol (Copenh), 102, 3, (1983); Jara LJ, Lavalle C, Fraga A, Gomez-Sanchez C, Silveira LH, Martinez-Osuna P, Et al., Prolactin, immunoregulation, and autoimmune diseases, Semin Arthritis Rheum, 20, 5, (1991); Challis J, Newnham J, Petraglia F, Yeganegi M, Bocking A., Fetal sex and preterm birth, Placenta, (2013); Lindsay JR, Nieman LK., The hypothalamic-pituitary-adrenal axis in pregnancy: Challenges in disease detection and treatment, Endocrine Reviews, 26, (2005); Akinloye O, Obikoya OM, Jegede AI, Oparinde DP, Arowojolu AO., Cortisol plays central role in biochemical changes during pregnancy, International Journal of Medicine and Biomedical Research, (2013); Tayek JA, Katz J., Glucose production, recycling, Cori cycle, and gluconeogenesis in humans: Relationship to serum cortisol, Am J Physiol Endocrinol Metab, 272, 3, pp. 35-3, (1997); Macias H, Hinck L., Mammary gland development, Wiley Interdisciplinary Reviews: Developmental Biology, 1, (2012); Shelton MM, Schminkey DL, Groer MW., Relationships Among Prenatal Depression, Plasma Cortisol, and Inflammatory Cytokines, Biol Res Nurs, 17, 3, (2015); Lao TT, Panesar NS., The effect of labour on prolactin and cortisol concentrations in the mother and the fetus, European Journal of Obstetrics and Gynecology and Reproductive Biology, 30, 3, (1989); Yaginuma T., Decrease or increase in maternal blood prolactin concentrations during labor, Acta Obstet Gynaecol Jpn, 34, 1, (1982); Grattan DR, le Tissier P., Hypothalamic Control of Prolactin Secretion, and the Multiple Reproductive Functions of Prolactin, Knobil and Neill’s Physiology of Reproduction: Two-Volume Set, (2015); Voogt JL, Lee Y, Yang S, Arbogast L., Chapter 12 Regulation of prolactin secretion during pregnancy and lactation, pp. 173-185, (2001); Kimball CD, Chang CM, Huang SM, Houck JC., Immunoreactive endorphin peptides and prolactin in umbilical vein and maternal blood, Am J Obstet Gynecol, 140, 2, (1981); Napso T, Yong HEJ, Lopez-Tello J, Sferruzzi-Perri AN., The role of placental hormones in mediating maternal adaptations to support pregnancy and lactation, Frontiers in Physiology, 9, (2018); Zhang F, Xia H, Shen M, Li X, Qin L, Gu H, Et al., Are Prolactin Levels Linked to Suction Pressure?, Breastfeeding Medicine, 11, 9, (2016); Hill PD, Aldag JC, Demirtas H, Naeem V, Parker NP, Zinaman MJ, Et al., Association of serum prolactin and oxytocin with milk production in mothers of preterm and term infants, Biol Res Nurs, 10, 4, (2009)</t>
  </si>
  <si>
    <t xml:space="preserve">F. Kiemde; Institut de Recherche en Sciences de la Santé, Clinical Research Unit of Nanoro (IRSS-CRUN), Nanoro, Burkina Faso; email: kiemdefrancois@yahoo.fr</t>
  </si>
  <si>
    <t xml:space="preserve">POLNC</t>
  </si>
  <si>
    <t xml:space="preserve">2-s2.0-85208378126</t>
  </si>
  <si>
    <t xml:space="preserve">Khan S.; Sajjad M.; Abbas N.; Escorcia-Gutierrez J.; Gamarra M.; Muhammad K.</t>
  </si>
  <si>
    <t xml:space="preserve">Khan, Siraj (57217325056); Sajjad, Muhammad (57215455402); Abbas, Naveed (55853745600); Escorcia-Gutierrez, José (57191268293); Gamarra, Margarita (57190965729); Muhammad, Khan (58896842200)</t>
  </si>
  <si>
    <t xml:space="preserve">57217325056; 57215455402; 55853745600; 57191268293; 57190965729; 58896842200</t>
  </si>
  <si>
    <t xml:space="preserve">Efficient leukocytes detection and classification in microscopic blood images using convolutional neural network coupled with a dual attention network</t>
  </si>
  <si>
    <t xml:space="preserve">Leukocytes, also called White Blood Cells (WBCs) or leucocytes, are the cells that play a pivotal role in human health and are vital indicators of diseases such as malaria, leukemia, AIDS, and other viral infections. WBCs detection and classification in blood smears offers insights to pathologists, aiding diagnosis across medical conditions. Traditional techniques, including manual counting, detection, classification, and visual inspection of microscopic images by medical professionals, pose challenges due to their labor-intensive nature. However, traditional methods are time consuming and sometimes susceptible to errors. Here, we propose a high-performance convolutional neural network (CNN) coupled with a dual-attention network that efficiently detects and classifies WBCs in microscopic thick smear images. The main aim of this study was to enhance clinical hematology systems and expedite medical diagnostic processes. In the proposed technique, we utilized a deep convolutional generative adversarial network (DCGAN) to overcome the limitations imposed by limited training data and employed a dual attention mechanism to improve accuracy, efficiency, and generalization. The proposed technique achieved overall accuracy rates of 99.83%, 99.35%, and 99.60% for the peripheral blood cell (PBC), leukocyte images for segmentation and classification (LISC), and Raabin-WBC benchmark datasets, respectively. Our proposed approach outperforms state-of-the-art methods in terms of accuracy, highlighting the effectiveness of the strategies employed and their potential to enhance diagnostic capabilities and advance real-world healthcare practices and diagnostic systems. © 2024 Elsevier Ltd</t>
  </si>
  <si>
    <t xml:space="preserve">10.1016/j.compbiomed.2024.108146</t>
  </si>
  <si>
    <t xml:space="preserve">https://www.scopus.com/inward/record.uri?eid=2-s2.0-85189929582&amp;doi=10.1016%2fj.compbiomed.2024.108146&amp;partnerID=40&amp;md5=8cdb271a4117bf34dd464bb63cbf8270</t>
  </si>
  <si>
    <t xml:space="preserve">Digital Image Processing Laboratory (DIP Lab), Department of Computer Science, Islamia College University, Peshawar, 25120, Pakistan; Department of Computational Science and Electronics, Universidad de la Costa, CUC, Barranquilla, 080002, Colombia; Department of System Engineering, Universidad del Norte, Puerto Colombia, 081007, Colombia; Visual Analytics for Knowledge Laboratory (VIS2KNOW Lab), Department of Applied Artificial Intelligence, School of Convergence, College of Computing and Informatics, Sungkyunkwan University, Seoul, 03063, South Korea</t>
  </si>
  <si>
    <t xml:space="preserve">Khan S., Digital Image Processing Laboratory (DIP Lab), Department of Computer Science, Islamia College University, Peshawar, 25120, Pakistan; Sajjad M., Digital Image Processing Laboratory (DIP Lab), Department of Computer Science, Islamia College University, Peshawar, 25120, Pakistan; Abbas N., Digital Image Processing Laboratory (DIP Lab), Department of Computer Science, Islamia College University, Peshawar, 25120, Pakistan; Escorcia-Gutierrez J., Department of Computational Science and Electronics, Universidad de la Costa, CUC, Barranquilla, 080002, Colombia; Gamarra M., Department of System Engineering, Universidad del Norte, Puerto Colombia, 081007, Colombia; Muhammad K., Visual Analytics for Knowledge Laboratory (VIS2KNOW Lab), Department of Applied Artificial Intelligence, School of Convergence, College of Computing and Informatics, Sungkyunkwan University, Seoul, 03063, South Korea</t>
  </si>
  <si>
    <t xml:space="preserve">Blood smear images; Deep learning; Dual attention network; Image classification; Image detection; Leukocytes; WBC classification</t>
  </si>
  <si>
    <t xml:space="preserve">Deep Learning; Humans; Image Processing, Computer-Assisted; Leukocytes; Microscopy; Neural Networks, Computer; Blood; Cells; Computer aided diagnosis; Convolution; Convolutional neural networks; Deep learning; Diseases; Generative adversarial networks; Image classification; Image segmentation; Medical imaging; Blood smear image; Blood smears; Convolutional neural network; Deep learning; Dual attention network; Image detection; Images classification; Leucocytes; White blood cell classification; White blood cells; anemia; Article; attention network; blood smear; computer vision; controlled study; convolutional neural network; feature extraction; health care practice; health care system; human; image processing; leukemia; leukocyte count; malaria; medical expert; particle swarm optimization; artificial neural network; classification; cytology; deep learning; leukocyte; microscopy; procedures; Classification (of information)</t>
  </si>
  <si>
    <t xml:space="preserve">National Research Foundation of Korea, NRF; Ministry of Science, ICT and Future Planning, MSIP, (2023R1C1B2012433); Ministry of Science, ICT and Future Planning, MSIP</t>
  </si>
  <si>
    <t xml:space="preserve">This research was supported by a grant provided by the National Research Foundation of Korea (NRF) and the Korean government's Ministry of Science, ICT , and Future Planning ( MSIP ) under reference number 2023R1C1B2012433 .</t>
  </si>
  <si>
    <t xml:space="preserve">Sajjad M., Et al., Leukocytes classification and segmentation in microscopic blood smear: a resource-aware healthcare service in smart cities, IEEE Access, 5, pp. 3475-3489, (2016); Khan S., Sajjad M., Hussain T., Ullah A., Imran A.S., A review on traditional machine learning and deep learning models for WBCs classification in blood smear images, IEEE Access, 9, pp. 10657-10673, (2020); Roland L., Drillich M., Iwersen M., Hematology as a diagnostic tool in bovine medicine, J. Vet. Diagn. Invest., 26, 5, pp. 592-598, (2014); Kutlu H., Avci E., Ozyurt F., White blood cells detection and classification based on regional convolutional neural networks, Med. Hypotheses, 135, (2020); Hosseini S., Khamesee M.B., Modeling and Simulation and Imaging of Blood Flow in the Human Body, pp. 13235-13244, (2021); Yan Y., Et al., Life-course cumulative burden of body mass index and blood pressure on progression of left ventricular mass and geometry in midlife: the Bogalusa Heart Study, Circ. Res., 126, 5, pp. 633-643, (2020); Bain B.J., Structure and function of red and white blood cells and platelets, Medicine, 49, 4, pp. 183-188, (2021); McPherson R.A., Pincus M.R., Henry's Clinical Diagnosis and Management by Laboratory Methods E-Book, (2021); Alharbi A.H., Aravinda C., Lin M., Venugopala P., Reddicherla P., Shah M.A., “Segmentation and classification of white blood cells using the UNet,”, Contrast Media Mol. Imaging, 2022, (2022); Alzubaidi L., Fadhel M.A., Al-Shamma O., Zhang J., Duan Y., Deep learning models for classification of red blood cells in microscopy images to aid in sickle cell anemia diagnosis, Electronics, 9, 3, (2020); Zhou M., Et al., Development and evaluation of a leukemia diagnosis system using deep learning in real clinical scenarios, Frontiers in Pediatrics, 9, (2021); Variability in white blood cell count during uncomplicated malaria and implications for parasite density estimation: a WorldWide Antimalarial Resistance Network individual patient data meta-analysis, Malar. J., 22, 1, (2023); Rivas-Posada E., Chacon-Murguia M.I., Automatic base-model selection for white blood cell image classification using meta-learning, Comput. Biol. Med., 163, (2023); AL-Dulaimi K., Makki T., Blood cell microscopic image classification in computer aided diagnosis using machine learning: a review, Iraqi Journal For Computer Science and Mathematics, 4, 2, pp. 43-55, (2023); HemaSri A., Sreenidhi M.D., Chaitanya V.V.K., Vasanth G., Mohan V.M., Satish T., Detection of RBCs, WBCs, platelets count in blood sample by using deep learning, 2023 International Conference on Sustainable Computing and Data Communication Systems (ICSCDS), pp. 47-51, (2023); Saleem S., Amin J., Sharif M., Mallah G.A., Kadry S., Gandomi A.H., Leukemia segmentation and classification: a comprehensive survey, Comput. Biol. Med., (2022); Das P.K., Diya V., Meher S., Panda R., Abraham A., A Systematic Review on Recent Advancements in Deep and Machine Learning Based Detection and Classification of Acute Lymphoblastic Leukemia, (2022); Khan S., Sajjad M., Abbas N., Rehman A., A review on machine learning-based wbcs analysis in blood smear images: key challenges, datasets, and future directions, Prognostic Models in Healthcare: AI and Statistical Approaches, pp. 293-314, (2022); Hegde R.B., Prasad K., Hebbar H., Singh B.M.K., Comparison of traditional image processing and deep learning approaches for classification of white blood cells in peripheral blood smear images, Biocybern. Biomed. Eng., 39, 2, pp. 382-392, (2019); Wu H., Lin C., Liu J., Song Y., Wen Z., Qin J., Feature masking on non-overlapping regions for detecting dense cells in blood smear image, IEEE Trans. Med. Imag., (2023); Pandey S.K., Bhandari A.K., A systematic review of modern approaches in healthcare systems for lung cancer detection and classification, Arch. Comput. Methods Eng., pp. 1-20, (2023); Hegde R.B., Prasad K., Hebbar H., Singh B.M.K.J.B., Engineering B., Comparison of traditional image processing and deep learning approaches for classification of white blood cells in peripheral blood smear images, 39, 2, pp. 382-392, (2019); Reena M.R., Ameer P., Localization and recognition of leukocytes in peripheral blood: a deep learning approach, Comput. Biol. Med., 126, (2020); Han Z., Et al., One-stage and lightweight CNN detection approach with attention: application to WBC detection of microscopic images, Comput. Biol. Med., 154, (2023); Leng B., Wang C., Leng M., Ge M., Dong W., Deep learning detection network for peripheral blood leukocytes based on improved detection transformer, Biomed. Signal Process Control, 82, (2023); Liu W., Et al., Ssd: single shot multibox detector, Computer Vision–ECCV 2016: 14th European Conference, pp. 21-37, (2016); Kadry S., Rajinikanth V., Taniar D., Damasevicius R., Valencia X.P.B., Automated segmentation of leukocyte from hematological images—a study using various CNN schemes, J. Supercomput., pp. 1-21, (2022); Khan S., Sajjad M., Hussain T., Ullah A., Imran A.S.J.I.A., A review on traditional machine learning and deep learning models for WBCs classification in blood smear images, 9, pp. 10657-10673, (2020); Sajjad M., Et al., Computer aided system for leukocytes classification and segmentation in blood smear images, 2016 International Conference on Frontiers of Information Technology (FIT), pp. 99-104, (2016); Safuan S.N.M., Tomari M.R.M., Zakaria W.N.W., White blood cell (WBC) counting analysis in blood smear images using various color segmentation methods, Measurement, 116, pp. 543-555, (2018); Tang Z., Quan D., Wang X., Jin N., Zhang D., Radar signal recognition based on dual-channel model with HOG feature extraction, IEEE Journal on Miniaturization for Air and Space Systems, (2023); Sajjad M., Et al., Raspberry Pi assisted face recognition framework for enhanced law-enforcement services in smart cities, Future Generat. Comput. Syst., 108, pp. 995-1007, (2020); Hegde R.B., Prasad K., Hebbar H., Singh B.M.K., Development of a robust algorithm for detection of nuclei and classification of white blood cells in peripheral blood smear images, J. Med. Syst., 42, pp. 1-8, (2018); Rastogi P., Khanna K., Singh V., LeuFeatx: deep learning–based feature extractor for the diagnosis of acute leukemia from microscopic images of peripheral blood smear, Comput. Biol. Med., 142, (2022); Sahin M.E., Ulutas H., Yuce E., Erkoc M.F., Detection and classification of COVID-19 by using faster R-CNN and mask R-CNN on CT images, Neural Comput. Appl., 35, 18, pp. 13597-13611, (2023); Katar O., Yildirim O., An Explainable Vision Transformer Model Based White Blood Cells Classification and Localization, (2023); Balasubramanian K., Ananthamoorthy N., Ramya K., An approach to classify white blood cells using convolutional neural network optimized by particle swarm optimization algorithm, Neural Comput. Appl., 34, 18, pp. 16089-16101, (2022); Xu J., Ren H., Cai S., Zhang X., An improved faster R-CNN algorithm for assisted detection of lung nodules, Comput. Biol. Med., 153, (2023); Li H., Luo Y., Zhao J., Luo X., Toe T.T., Resnet for classification of leukocyte: application and optimization, 2023 8th International Conference on Computer and Communication Systems (ICCCS), pp. 932-937, (2023); Chen H., Et al., Accurate classification of white blood cells by coupling pre-trained ResNet and DenseNet with SCAM mechanism, BMC Bioinf., 23, 1, pp. 1-20, (2022); Sae-Lim W., Wettayaprasit W., Aiyarak P., Convolutional neural networks using MobileNet for skin lesion classification, 2019 16th International Joint Conference on Computer Science and Software Engineering (JCSSE), pp. 242-247, (2019); Barrera K., Merino A., Molina A., Rodellar J., Automatic generation of artificial images of leukocytes and leukemic cells using generative adversarial networks (syntheticcellgan), Comput. Methods Progr. Biomed., 229, (2023); Barrera K., Rodellar J., Alferez S., Merino A., Automatic normalized digital color staining in the recognition of abnormal blood cells using generative adversarial networks, Comput. Methods Progr. Biomed., 240, (2023); Devi G.M., Neelambary V., Computer-aided diagnosis of white blood cell leukemia using VGG16 convolution neural network, 2022 4th International Conference on Inventive Research in Computing Applications (ICIRCA), pp. 1064-1068, (2022); Jing Y., Yang Y., Feng Z., Ye J., Yu Y., Song M., Neural style transfer: a review, IEEE Trans. Visual. Comput. Graph., 26, 11, pp. 3365-3385, (2019); Bai T., Luo J., Zhao J., Wen B., Wang Q., Recent advances in adversarial training for adversarial robustness, arXiv preprint arXiv, (2021); Gonog L., Zhou Y., A review: generative adversarial networks, 2019 14th IEEE Conference on Industrial Electronics and Applications (ICIEA), pp. 505-510, (2019); Nozaka H., Kamata K., Yamagata K., The effectiveness of data augmentation for mature white blood cell image classification in deep learning—selection of an optimal technique for hematological morphology recognition, IEICE Trans. Info Syst., 106, 5, pp. 707-714, (2023); Shorten C., Khoshgoftaar T.M., A survey on image data augmentation for deep learning, Journal of big data, 6, 1, pp. 1-48, (2019); Gao X., Deng F., Yue X., Data augmentation in fault diagnosis based on the Wasserstein generative adversarial network with gradient penalty, Neurocomputing, 396, pp. 487-494, (2020); Bissoto A., Valle E., Avila S., Gan-based data augmentation and anonymization for skin-lesion analysis: a critical review, Proceedings of the IEEE/CVF Conference on Computer Vision and Pattern Recognition, pp. 1847-1856, (2021); Mert A., Enhanced dataset synthesis using conditional generative adversarial networks, Biomedical Engineering Letters, 13, 1, pp. 41-48, (2023); Mirza M., Osindero S., Conditional generative adversarial nets, arXiv preprint arXiv, (2014); Ledig C., Et al., Photo-realistic single image super-resolution using a generative adversarial network, Proceedings of the IEEE Conference on Computer Vision and Pattern Recognition, pp. 4681-4690, (2017); Zhu J.-Y., Park T., Isola P., Efros A.A., Unpaired image-to-image translation using cycle-consistent adversarial networks, Proceedings of the IEEE International Conference on Computer Vision, pp. 2223-2232, (2017); Chen X., Duan Y., Houthooft R., Schulman J., Sutskever I., Abbeel P., Infogan: interpretable representation learning by information maximizing generative adversarial nets, Adv. Neural Inf. Process. Syst., 29, (2016); Arjovsky M., Chintala S., Bottou L., Wasserstein generative adversarial networks, International Conference on Machine Learning, pp. 214-223, (2017); Hartanto C., Kurniawan S., Arianto D., Arymurthy A., Dcgan-generated synthetic images effect on white blood cell classification, IOP Conf. Ser. Mater. Sci. Eng., 1077, 1, (2021); Qin Z., Liu Z., Zhu P., Xue Y., A GAN-based image synthesis method for skin lesion classification, Comput. Methods Progr. Biomed., 195, (2020); Liu Y., Zhang J., Zhao T., Wang Z., Wang Z., Reconstruction of the meso-scale concrete model using a deep convolutional generative adversarial network (DCGAN), Construct. Build. Mater., 370, (2023); Lyu Z., Et al., A survey of model compression strategies for object detection, Multimed. Tool. Appl., (2023); Ren S., He K., Girshick R., Sun J., Faster r-cnn: towards real-time object detection with region proposal networks, Adv. Neural Inf. Process. Syst., 28, (2015); Ren S., He K., Girshick R., Sun J., Faster R-CNN: towards real-time object detection with region proposal networks, IEEE Trans. Pattern Anal. Mach. Intell., 28, (2015); Sandler M., Howard A., Zhu M., Zhmoginov A., Chen L.-C., Mobilenetv2: inverted residuals and linear bottlenecks, Proceedings of the IEEE Conference on Computer Vision and Pattern Recognition, pp. 4510-4520, (2018); Yar H., Hussain T., Agarwal M., Khan Z.A., Gupta S.K., Baik S.W., Optimized dual fire attention network and medium-scale fire classification benchmark, IEEE Trans. Image Process., 31, pp. 6331-6343, (2022); Woo S., Park J., Lee J.-Y., Kweon I.S., Cbam: convolutional block attention module, Proceedings of the European Conference on Computer Vision, pp. 3-19, (2018); Sitaula C., Hossain M.B., Attention-based VGG-16 model for COVID-19 chest X-ray image classification, Appl. Intell., 51, pp. 2850-2863, (2021); Dinc B., Kaya Y., A novel hybrid optic disc detection and fovea localization method integrating region-based convnet and mathematical approach, Wireless Pers. Commun., 129, 4, pp. 2727-2748, (2023); Acevedo A., Merino A., Alferez S., Molina A., Boldu L., Rodellar J., A dataset of microscopic peripheral blood cell images for development of automatic recognition systems, Data Brief, 30, (2020); Rezatofighi S.H., Soltanian-Zadeh H., Automatic recognition of five types of white blood cells in peripheral blood, Comput. Med. Imag. Graph., 35, 4, pp. 333-343, (2011); Kouzehkanan Z.M., Et al., A large dataset of white blood cells containing cell locations and types, along with segmented nuclei and cytoplasm, Sci. Rep., 12, 1, (2022); Hazra D., Byun Y.-C., Kim W.J., Kang C.-U., Synthesis of microscopic cell images obtained from bone marrow aspirate smears through generative adversarial networks, Biology, 11, 2, (2022); Hazra D., Byun Y.-C., Kim W.J., Enhancing classification of cells procured from bone marrow aspirate smears using generative adversarial networks and sequential convolutional neural network, Comput. Methods Progr. Biomed., 224, (2022); Bairaboina S.S.R., Battula S.R., Ghost-ResNeXt: an effective deep learning based on mature and immature WBC classification, Appl. Sci., 13, 6, (2023); Liu R., Dai W., Wu T., Wang M., Wan S., Liu J., AIMIC: deep learning for microscopic image classification, Comput. Methods Progr. Biomed., 226, (2022); Zhang R., Et al., RCMNet: a deep learning model assists CAR-T therapy for leukemia, Comput. Biol. Med., 150, (2022); Wang Q., Bi S., Sun M., Wang Y., Wang D., Yang S., Deep learning approach to peripheral leukocyte recognition, PLoS One, 14, 6, (2019); Kimura K., Et al., A novel automated image analysis system using deep convolutional neural networks can assist to differentiate MDS and AA, Sci. Rep., 9, 1, (2019); Jung C., Abuhamad M., Mohaisen D., Han K., Nyang D., WBC image classification and generative models based on convolutional neural network, BMC Med. Imag., 22, 1, pp. 1-16, (2022); Balasubramanian K.; Rivas-Posada E., Chacon-Murguia M.I., Ramirez-Quintana J.A., Arzate-Quintana C., Classification of leukocytes using meta-learning and color constancy methods, Jurnal Ilmiah Teknik Elektro Komputer dan Informatika (JITEKI), 8, 4, pp. 486-499, (2022); Rao B.S.S., Rao B.S., An effective WBC segmentation and classification using MobilenetV3–ShufflenetV2 based deep learning framework, IEEE Access, 11, pp. 27739-27748, (2023)</t>
  </si>
  <si>
    <t xml:space="preserve">K. Muhammad; Visual Analytics for Knowledge Laboratory (VIS2KNOW Lab), Department of Applied Artificial Intelligence, School of Convergence, College of Computing and Informatics, Sungkyunkwan University, Seoul, 03063, South Korea; email: khan.muhammad@ieee.org; M. Sajjad; Digital Image Processing Laboratory (DIP Lab), Department of Computer Science, Islamia College University, Peshawar, 25120, Pakistan; email: muhammad.sajjad@icp.edu.pk</t>
  </si>
  <si>
    <t xml:space="preserve">2-s2.0-85189929582</t>
  </si>
  <si>
    <t xml:space="preserve">Wang M.; Zhou Y.; Yao S.; Wu J.; Zhu M.; Dong L.; Wang D.</t>
  </si>
  <si>
    <t xml:space="preserve">Wang, Minghao (57230737800); Zhou, Yibin (57194730037); Yao, Shenjun (37040114700); Wu, Jianping (56145346300); Zhu, Minhui (57198426863); Dong, Linjuan (57223279398); Wang, Dunjia (59350390400)</t>
  </si>
  <si>
    <t xml:space="preserve">57230737800; 57194730037; 37040114700; 56145346300; 57198426863; 57223279398; 59350390400</t>
  </si>
  <si>
    <t xml:space="preserve">Enhancing vector control: AI-based identification and counting of Aedes albopictus (Diptera: Culicidae) mosquito eggs</t>
  </si>
  <si>
    <t xml:space="preserve">Background: Dengue fever poses a significant global public health concern, necessitating the monitoring of Aedes mosquito population density. These mosquitoes serve as the disease vectors, making their surveillance crucial for dengue prevention. The objective of this study was to address the difficulty associated with identifying and counting mosquito eggs of wild strains during the monitoring of Aedes albopictus (Diptera: Culicidae) density via ovitraps in field surveys. Methods: We constructed a dataset comprising 1729 images of Ae. albopictus mosquito eggs from wild strains and employed the Segment Anything Model to enhance the applicability of the detection model in complex environments. A two-stage Faster Region-based Convolutional Neural Network model was used to establish a detection model for Ae. albopictus mosquito eggs. The identification and counting process involved applying the tile overlapping method, while morphological filtering was employed to remove impurities. The model’s performance was evaluated in terms of precision, recall, and F1 score, and counting accuracy was assessed using R-squared and root mean square error (RMSE). Results: The experimental results revealed the model’s remarkable identification capabilities, achieving precision of 0.977, recall of 0.978, and an F1 score of 0.977. The R-squared value between the actual and identified egg counts was 0.997, with an RMSE of 1.742. The average detection time for a single tile was 0.48 s, which was more than 10 times as fast as the human–computer interaction method in counting an entire image. Conclusions: The model demonstrated excellent performance in recognizing and counting Ae. albopictus mosquito eggs, indicating great application potential. This study offers novel technological support for enhancing vector control effectiveness and public health standards. © The Author(s) 2024.</t>
  </si>
  <si>
    <t xml:space="preserve">Surveillance &amp; Outbreak Monitoring</t>
  </si>
  <si>
    <t xml:space="preserve">Parasites and Vectors </t>
  </si>
  <si>
    <t xml:space="preserve">10.1186/s13071-024-06587-w</t>
  </si>
  <si>
    <t xml:space="preserve">https://www.scopus.com/inward/record.uri?eid=2-s2.0-85212515275&amp;doi=10.1186%2fs13071-024-06587-w&amp;partnerID=40&amp;md5=4fc5c502b29a53725cb00c8964cfbd48</t>
  </si>
  <si>
    <t xml:space="preserve">Key Laboratory of Geographic Information Science, Ministry of Education, Shanghai, China; School of Geographic Sciences, East China Normal University, Shanghai, China; Minhang Center for Disease Prevention and Control, Shanghai, China; Key Laboratory of Spatial-Temporal Big Data Analysis and Application of Natural Resources in Megacities, Ministry of Natural Resources, Shanghai, China; Institute of Cartography, East China Normal University, Shanghai, China</t>
  </si>
  <si>
    <t xml:space="preserve">Wang M., Key Laboratory of Geographic Information Science, Ministry of Education, Shanghai, China, School of Geographic Sciences, East China Normal University, Shanghai, China; Zhou Y., Minhang Center for Disease Prevention and Control, Shanghai, China; Yao S., Key Laboratory of Geographic Information Science, Ministry of Education, Shanghai, China, School of Geographic Sciences, East China Normal University, Shanghai, China; Wu J., Key Laboratory of Spatial-Temporal Big Data Analysis and Application of Natural Resources in Megacities, Ministry of Natural Resources, Shanghai, China, Institute of Cartography, East China Normal University, Shanghai, China; Zhu M., Minhang Center for Disease Prevention and Control, Shanghai, China; Dong L., Minhang Center for Disease Prevention and Control, Shanghai, China; Wang D., Minhang Center for Disease Prevention and Control, Shanghai, China</t>
  </si>
  <si>
    <t xml:space="preserve">Aedes albopictus; Egg identification and counting; Faster R-CNN; Mosquito eggs; Ovitraps; Segment Anything Model</t>
  </si>
  <si>
    <t xml:space="preserve">Aedes; Aedes albopictus; Animals; Dengue; Mosquito Control; Mosquito Vectors; Neural Networks, Computer; Ovum; Population Density; Aedes albopictus; algorithm; Article; artificial intelligence; artificial neural network; convolutional neural network; Diptera; egg; human computer interaction; image segmentation; measurement precision; mosquito; nonhuman; public health; training; validation process; vector control; Aedes; Aedes albopictus; animal; classification; dengue; mosquito control; mosquito vector; ovum; physiology; population density; prevention and control; procedures</t>
  </si>
  <si>
    <t xml:space="preserve">CUDA 11.7; OpenCV 4.6.0; Torch 2.0.0; Torchvision 0.15.1; X-S10 mirrorless digital camera, Fujifilm</t>
  </si>
  <si>
    <t xml:space="preserve">Fujifilm</t>
  </si>
  <si>
    <t xml:space="preserve">Minhang Public Health Key Discipline, (MGWXK2023-09); State Key Laboratory of Pathogen and Biosecurity, (SKLPBS2128); State Key Laboratory of Pathogen and Biosecurity</t>
  </si>
  <si>
    <t xml:space="preserve">This research was funded by the Minhang Public Health Key Discipline (Grant No. MGWXK2023-09) and China State Key Laboratory of Pathogen and Biosecurity (SKLPBS2128). </t>
  </si>
  <si>
    <t xml:space="preserve">Simmons C.P., Farrar J.J., van Vinh C.N., Wills B., Dengue, N Engl J Med, 366, pp. 1423-1432, (2012); Guzman M.G., Gubler D.J., Izquierdo A., Martinez E., Halstead S.B., Dengue infection, Nat Rev Dis Primers, 2, pp. 1-25, (2016); Jing Q., Wang M., Dengue epidemiology, Glob Health J, 3, pp. 37-45, (2019); Lee H., Halverson S., Ezinwa N., Mosquito-borne diseases, Prim Care, 45, pp. 393-407, (2018); Shepard D.S., Undurraga E.A., Halasa Y.A., Stanaway J.D., The global economic burden of dengue: a systematic analysis, Lancet Infect Dis, 16, pp. 935-941, (2016); Gubler D.J., Epidemic dengue/dengue hemorrhagic fever as a public health, social and economic problem in the 21st century, Trends Microbiol, 10, pp. 100-103, (2002); Franklinos L.H., Jones K.E., Redding D.W., Abubakar I., The effect of global change on mosquito-borne disease, Lancet Infect Dis, 19, pp. e302-e312, (2019); Tatem A.J., Hay S.I., Rogers D.J., Global traffic and disease vector dispersal, Proc Natl Acad Sci, 103, pp. 6242-6247, (2006); Liu H., Huang X., Guo X., Cheng P., Wang H., Liu L., Et al., Climate change and Aedes albopictus risks in China: current impact and future projection, Infect Dis Poverty, 12, (2023); Van Kleef E., Bambrick H., Hales S., The geographic distribution of dengue fever and the potential influence of global climate change, TropIKA net, 2010, pp. 1-22, (2010); Gubler D.J., Dengue, urbanization and globalization: the unholy trinity of the 21&lt;sup&gt;st&lt;/sup&gt; century, Trop Med Health, 39, pp. S3-S11, (2011); Lin P.-S., Liu W.-L., Chen C.-D., Wen T.-H., Chen C.-H., Chen L.-W., Et al., Micro-scale urbanization-based risk factors for dengue epidemics, Int J Biometeorol, 68, pp. 133-141, (2024); Bhatt S., Gething P.W., Brady O.J., Messina J.P., Farlow A.W., Moyes C.L., Et al., The global distribution and burden of dengue, Nature, 496, pp. 504-507, (2013); Messina J.P., Brady O.J., Golding N., Kraemer M.U., Wint G.W., Ray S.E., Et al., The current and future global distribution and population at risk of dengue, Nat Microbiol, 4, pp. 1508-1515, (2019); Waickman A.T., Newell K., Endy T.P., Thomas S.J., Biologics for dengue prevention: up-to-date, Expert Opin Biol Ther, 23, pp. 73-87, (2023); A global brief on vector-borne diseases, World Health Organization, (2014); Wilson A.L., Courtenay O., Kelly-Hope L.A., Scott T.W., Takken W., Torr S.J., Et al., The importance of vector control for the control and elimination of vector-borne diseases, PLoS Negl Trop Dis, 14, (2020); Williams C.R., Johnson P., Ball T., Ritchie S., Productivity and population density estimates of the dengue vector mosquito Aedes aegypti (Stegomyia aegypti) in Australia, Med Vet Entomol, 27, pp. 313-322, (2013); Fillinger U., Sombroek H., Majambere S., van Loon E., Takken W., Lindsay S.W., Identifying the most productive breeding sites for malaria mosquitoes in The Gambia, Malar J, 8, pp. 1-14, (2009); Kay B., Dengue vector surveillance and control, Curr Opin Infect Dis, 12, pp. 425-432, (1999); Schaffner F., Bellini R., Petric D., Scholte E.-J., Zeller H., Marrama R.L., Development of guidelines for the surveillance of invasive mosquitoes in Europe, Parasites Vectors, 6, pp. 1-10, (2013); Norzahira R., Hidayatulfathi O., Wong H., Cheryl A., Firdaus R., Chew H., Et al., Ovitrap surveillance of the dengue vectors, Aedes (Stegomyia) aegypti (L.) and Aedes (Stegomyia) albopictus Skuse in selected areas in Bentong, Pahang, Malaysia, Trop Biomed, 28, pp. 48-54, (2011); Sasmita H.I., Neoh K.-B., Yusmalinar S., Anggraeni T., Chang N.-T., Bong L.-J., Et al., Ovitrap surveillance of dengue vector mosquitoes in Bandung city, West Java province, Indonesia, PLoS Negl Trop Dis, 15, (2021); Manica M., Rosa R., della Torre A., Caputo B., Estimating Mosquito/Host Contact from Ovitrap Data: A Case Study for Aedes Albopictus in Rome, (2016); Day J.F., Mosquito oviposition behavior and vector control, Insects, 7, (2016); Zhou Y., Zhao T., Leng P., The Application of Aedes Egg Trap in Aedes Monitoring, Chin J Vector Biol Control, 19, pp. 487-489, (2008); Anicic N., Steigmiller K., Renaux C., Ravasi D., Tanadini M., Flacio E., Optical recognition of the eggs of four Aedine mosquito species (Aedes albopictus, Aedes geniculatus, Aedes japonicus, and Aedes koreicus), PLoS ONE, 18, (2023); de Morais L.M.O., Jussiani E.I., Zequi J.A.C., Dos Reis P.J., Andrello A.C., Morphological study of Aedes aegypti and Aedes albopictus (Diptera: Culicidae) eggs by X-ray computed microtomography, Micron, 126, (2019); da Silva M.G.N.M., Rodrigues M.A.B., de Araujo R., Editors. Aedes Aegypti Egg Counting System, (2011); Mains J.W., Mercer D.R., Dobson S.L., Digital image analysis to estimate numbers of Aedes eggs oviposited in containers, J Am Mosq Control Assoc, 24, (2008); Bandong S., Joelianto E., Counting of Aedes Aegypti Eggs using Image Processing with Grid Search Parameter Optimization, 2019 International Conference on Sustainable Engineering and Creative Computing (ICSECC), (2019); Gusmao G., Machado S.C., Rodrigues M.A., . A new algorithm for segmenting and counting Aedes aegypti eggs in ovitraps, 2009 Annual International Conference of the IEEE Engineering in Medicine and Biology Society, (2009); Image segmentation of ovitraps for automatic counting of Aedes aegypti eggs, 2008 30Th Annual International Conference of the IEEE Engineering in Medicine and Biology Society; Ibraheem N.A., Hasan M.M., Khan R.Z., Mishra P.K., Understanding color models: a review, ARPN J Sci Technol, 2, pp. 265-275, (2012); Gaburro J., Duchemin J.-B., Paradkar P.N., Nahavandi S., Bhatti A., Assessment of ICount software, a precise and fast egg counting tool for the mosquito vector Aedes aegypti, Parasites Vectors, 9, pp. 1-9, (2016); . Wavelet-based Auto-Counting Tool of Aedes Eggs, . Proceedings of the 2018 International Conference on Sensors, Signal and Image Processing, (2018); Joshi A., Miller C., Review of machine learning techniques for mosquito control in urban environments, Ecol Inform, 61, (2021); Montgomery B.L., Shivas M.A., Hall-Mendelin S., Edwards J., Hamilton N.A., Jansen C.C., Et al., Rapid Surveillance for Vector Presence (RSVP): development of a novel system for detecting Aedes aegypti and Aedes albopictus, PLoS Negl Trop Dis, 11, (2017); Mollahosseini A., Rossignol M., Pennetier C., Cohuet A., Anjos A.D., Chandre F., Et al., A user-friendly software to easily count Anopheles egg batches, Parasites Vectors, 5, pp. 1-7, (2012); Krieshok G.T.G.C., Using Computer Vision to Identify and Count Mosquito Eggs 2020; Zhao Z.-Q., Zheng P., Xu S.-T., Wu X., Object detection with deep learning: a review, IEEE Trans Neural Netw Learn Syst, 30, pp. 3212-3232, (2019); Krizhevsky A., Sutskever I., Hinton G.E., Imagenet classification with deep convolutional neural networks, Adv Neural Inf Process Syst, 25, (2012); Liu X., Faes L., Kale A.U., Wagner S.K., Fu D.J., Bruynseels A., Et al., A comparison of deep learning performance against health-care professionals in detecting diseases from medical imaging: a systematic review and meta-analysis, Lancet Digit Health, 1, pp. e271-e297, (2019); Weichenthal S., Hatzopoulou M., Brauer M., A picture tells a thousand… exposures: opportunities and challenges of deep learning image analyses in exposure science and environmental epidemiology, Environ Int, 122, pp. 3-10, (2019); Pavitra H., Raghavendra C., An overview on detection, counting and categorization of silkworm eggs using image analysis approach, Glob Transit Proc, 3, pp. 285-288, (2022); Khalid S., Oqaibi H.M., Aqib M., Hafeez Y., Small pests detection in field crops using deep learning object detection, Sustainability, 15, (2023); Fuad M.A.M., Ab Ghani M.R., Ghazali R., Izzuddin T.A., Sulaima M.F., Jano Z., Et al., Detection of Aedes aegypti larvae using single shot multibox detector with transfer learning, Bull Electr Eng Inform, 8, pp. 514-518, (2019); Hubalde A.M., Padilla D.A., Santos D.A.C., A YOLO-Based Approach for Aedes aegypti Larvae Classification and Detection, 2021 6Th International Conference on Image, Vision and Computing (ICIVC), (2021); Siddiqua R., Rahman S., Uddin J., A Deep learning-based dengue mosquito detection method using faster R-CNN and image processing techniques, Ann Emerg Technol Comput, 5, pp. 11-23, (2021); Javed N., Lopez-Denman A.J., Paradkar P.N., Bhatti A., EggCountAI: a convolutional neural network-based software for counting of Aedes aegypti mosquito eggs, Parasites Vectors, 16, (2023); de Santana C.J., Firmo A.C.A., de Oliveira R.F.A.P., Lins P.J.B., de Lima G.A., de Lima R.A., A solution for counting Aedes aegypti and Aedes albopictus eggs in paddles from ovitraps using deep learning, IEEE Lat Am Trans, 17, pp. 1987-1994, (2019); Acquisition of digital images and identification of Aedes aegypti mosquito eggs using classification and deep learning, 2019 32Nd SIBGRAPI Conference on Graphics, Patterns and Images, (2019); Segment Anything. Proceedings of the IEEE/CVF International Conference on Computer Vision, (2023); Surveillance Methods for Vector density—Mosquito, (2020); Labelimg: Git Code, (2015); Li Y., An Q., Sun Z., Gao X., Wang H., Distribution areas and monthly dynamic distribution changes of three Aedes species in China: Aedes aegypti, Aedes albopictus and Aedes vexans, Parasites Vectors, 16, (2023); Lin T.-Y., Maire M., Belongie S., Hays J., Perona P., Ramanan D., Microsoft COCO: Common Objects in Context, Computer Vision–ECCV 2014: 13Th European Conference, (2014); Tong K., Wu Y., Zhou F., Recent advances in small object detection based on deep learning: a review, Image Vis Comput, 97, (2020); Ren S., He K., Girshick R., Sun J., Faster R-CNN: towards real-time object detection with region proposal networks, IEEE Trans Pattern Anal Mach Intell, 39, pp. 1137-1149, (2016); Lin T.-Y., Dollar P., Girshick R., He K., Hariharan B., Belongie S., Feature Pyramid Networks for Object Detection, Proceedings of the IEEE Conference on Computer Vision and Pattern Recognition, (2017); Deep Residual Learning for Image Recognition, Proceedings of the IEEE Conference on Computer Vision and Pattern Recognition, (2016); Win M., Swe T., Sett K., Mya M., Latt A., Soe K., Et al., Structural differentiation of Aedes aegypti and Aedes albopictus eggs using Scanning Electron Microscope, J Biol Eng Res Rev, 5, pp. 09-12, (2018); A survey on performance metrics for object-detection algorithms, 2020 International Conference on Systems, Signals and Image Processing (IWSSIP), (2020); Arista-Jalife A., Nakano M., Garcia-Nonoal Z., Robles-Camarillo D., Perez-Meana H., Arista-Viveros H.A., Aedes mosquito detection in its larval stage using deep neural networks, Knowl Based Syst, 189, (2020)</t>
  </si>
  <si>
    <t xml:space="preserve">S. Yao; Key Laboratory of Geographic Information Science, Ministry of Education, Shanghai, China; email: sjyao@geo.ecnu.edu.cn</t>
  </si>
  <si>
    <t xml:space="preserve">Parasites Vectors</t>
  </si>
  <si>
    <t xml:space="preserve">2-s2.0-85212515275</t>
  </si>
  <si>
    <t xml:space="preserve">Malik R.A.; Frimadani M.R.; Putra D.J.</t>
  </si>
  <si>
    <t xml:space="preserve">Malik, Rio Andika (59073420200); Frimadani, Marta Riri (57219973430); Putra, Dwipa Junika (59075021900)</t>
  </si>
  <si>
    <t xml:space="preserve">59073420200; 57219973430; 59075021900</t>
  </si>
  <si>
    <t xml:space="preserve">Enrichment of microscopic photographs by utilizing CNN regarding soil-transmitted helminths identification</t>
  </si>
  <si>
    <t xml:space="preserve">Soil-transmitted helminth (STH) infection remains a significant global health challenge, affecting millions of people, particularly in developing countries. A convolutional neural network (CNN) approach to optimize the detection of STH infections in microscopic images. The study aims to assess the effectiveness of the CNN model in identifying and classifying STH worm eggs accurately. The research employs MATLAB as the primary tool for conducting experiments and validation tests. By implementing image preprocessing techniques to enhance image quality and applying precise segmentation methods, the CNN model is trained on a dataset of microscopic images to learn and classify STH infections effectively. The validation test results demonstrate that the CNN model achieved a high accuracy rate of 92.31% in classifying STH infections. This accuracy surpasses traditional methods, which are time-consuming and susceptible to human errors. This study underscores the importance of integrating artificial intelligence, particularly CNN, into the healthcare domain to support detecting and diagnosing diseases requiring specialized expertise, such as STH infections. The findings of this research can serve as a valuable reference for researchers, medical practitioners, and data scientists in leveraging artificial intelligence to enhance the quality of healthcare services, leading to positive impacts on society worldwide. © 2024, Intelektual Pustaka Media Utama. All rights reserved.</t>
  </si>
  <si>
    <t xml:space="preserve">International Journal of Advances in Applied Sciences</t>
  </si>
  <si>
    <t xml:space="preserve">Intelektual Pustaka Media Utama</t>
  </si>
  <si>
    <t xml:space="preserve">10.11591/ijaas.v13.i1.pp46-53</t>
  </si>
  <si>
    <t xml:space="preserve">https://www.scopus.com/inward/record.uri?eid=2-s2.0-85192453138&amp;doi=10.11591%2fijaas.v13.i1.pp46-53&amp;partnerID=40&amp;md5=109b8c3a940571e89d18480c531b9f98</t>
  </si>
  <si>
    <t xml:space="preserve">Department of Digital Business, Faculty of Economic Business and Social Sciences, University of Perintis Indonesia, Padang, Indonesia; Integrated Natural Resources Management, Postgraduate Program, Andalas University, Padang, Indonesia</t>
  </si>
  <si>
    <t xml:space="preserve">Malik R.A., Department of Digital Business, Faculty of Economic Business and Social Sciences, University of Perintis Indonesia, Padang, Indonesia; Frimadani M.R., Integrated Natural Resources Management, Postgraduate Program, Andalas University, Padang, Indonesia; Putra D.J., Department of Digital Business, Faculty of Economic Business and Social Sciences, University of Perintis Indonesia, Padang, Indonesia</t>
  </si>
  <si>
    <t xml:space="preserve">Classification; Convolutional neural network; Deep learning; Image processing; Soil-transmitted helminths</t>
  </si>
  <si>
    <t xml:space="preserve">University of Perintis Indonesia; Kementerian Pendidikan dan Kebudayaan</t>
  </si>
  <si>
    <t xml:space="preserve">Thanks to the University of Perintis Indonesia, which provided resources and expertise for the research, the author should extend their gratitude. Additionally, we would like to express our gratitude for supporting the novice lecturer research scheme (PDP) in 2023 from the Ministry of Education and Culture of the Republic of Indonesia's Directorate of Research Technology and Community Service (DRTPM).</t>
  </si>
  <si>
    <t xml:space="preserve">Amoah I.D., Singh G., Stenstrom T.A., Reddy P., Detection and quantification of soil-transmitted helminths in environmental samples: A review of current state-of-the-art and future perspectives, Acta Tropica, 169, pp. 187-201, (2017); Dacal E., Et al., Mobile microscopy and telemedicine platform assisted by deep learning for the quantification of Trichuris trichiura infection, Plos Neglected Tropical Diseases, 15, no. 9, pp. 1-4, (2021); Wimmersberger D., Et al., Efficacy and safety of ivermectin against trichuris trichiura in preschool-aged and school-aged children: A randomized controlled dose-finding trial, Clinical Infectious Diseases, 67, 8, pp. 1247-1255, (2018); Steinbaum L., Et al., Detecting and enumerating soil-transmitted helminth eggs in soil: New method development and results from field testing in Kenya and Bangladesh, Plos Neglected Tropical Diseases, 11, 4, pp. 1-15, (2017); Kabatende J., Et al., Prevalence, intensity, and correlates of soil-transmitted helminth infections among school children after a decade of preventive chemotherapy in Western Rwanda, Pathogens, 9, 12, pp. 1-20, (2020); Le B., Et al., The impact of ivermectin, diethylcarbamazine citrate, and albendazole mass drug administration on the prevalence of scabies and soil-transmitted helminths in school-aged children in three municipalities in Timor-Leste: A before–after assessment, The Lancet Global Health, 11, no. 6, pp. e924-e932, (2023); Pruss-Ustun A., Et al., Burden of disease from inadequate water, sanitation and hygiene for selected adverse health outcomes: An updated analysis with a focus on low-and middle-income countries, International Journal of Hygiene and Environmental Health, 222, 5, pp. 765-777, (2019); Jourdan P.M., Lamberton P.H.L., Fenwick A., Addiss D.G., Soil-transmitted helminth infections, The Lancet, 391, 10117, pp. 252-265, (2018); Ame S., Et al., Impact of preventive chemotherapy on transmission of soil-transmitted helminth infections in Pemba Island, United Republic of Tanzania, Plos Neglected Tropical Diseases, 16, 6, pp. 1-11, (2022); Adegoke A.A., Amoah I.D., Stenstrom T.A., Verbyla M.E., Mihelcic J.R., Epidemiological evidence and health risks associated with agricultural reuse of partially treated and untreated wastewater: A review, Frontiers in Public Health, 6, DEC, pp. 1-11, (2018); Welch V.A., Et al., Mass deworming to improve developmental health and wellbeing of children in low-income and middle-income countries: A systematic review and network meta-analysis, The Lancet Global Health, 5, 1, pp. e40-e50, (2017); Vaz Nery S., Et al., The role of water, sanitation and hygiene interventions in reducing soil-transmitted helminths: Interpreting the evidence and identifying next steps, Parasites and Vectors, 12, 1, pp. 1-8, (2019); Zendejas-Heredia P.A., Colella V., Hii S.F., Traub R.J., Comparison of the egg recovery rates and limit of detection for soil-transmitted helminths using the kato-katz thick smear, faecal flotation and quantitative real-time pcr in human stool, Plos Neglected Tropical Diseases, 15, 5, pp. 1-18, (2021); Xu Y., Et al., The prevalence of soil transmitted helminths and its influential factors in Shandong Province, China: An analysis of surveillance data from 2016 to 2020, Infectious Diseases of Poverty, 12, 1, pp. 1-13, (2023); Ward P., Et al., Affordable artificial intelligence-based digital pathology for neglected tropical diseases: A proof-of-concept for the detection of soil-transmitted helminths and Schistosoma mansoni eggs in Kato-Katz stool thick smears, Plos Neglected Tropical Diseases, 16, 6, pp. 1-16, (2022); Tee M.Z., Et al., Efficacy of triple dose albendazole treatment for soil-transmitted helminth infections, Plos ONE, 17, pp. 1-21, (2022); Salam N., Azam S., Prevalence and distribution of soil-transmitted helminth infections in India, BMC Public Health, 17, 1, (2017); Scavuzzo C.M., Et al., Feature importance: Opening a soil-transmitted helminth machine learning model via SHAP, Infectious Disease Modelling, 7, 1, pp. 262-276, (2022); Miswan N., Singham G.V., Othman N., Advantages and limitations of microscopy and molecular detections for diagnosis of soil-transmitted helminths: An overview, Helminthologia (Poland), 59, 4, pp. 321-340, (2022); Beknazarova M., Whiley H., Ross K., Strongyloidiasis: A disease of socioeconomic disadvantage, International Journal of Environmental Research and Public Health, 13, 5, (2016); Azzopardi K.I., Et al., Detection of six soil-transmitted helminths in human stool by qPCR-a systematic workflow, Plos ONE, 16, pp. 1-17, (2021); Malik R.A., Et al., Enhancing soil-transmitted helminth detection in microscopic images using the chain code for object feature extraction, International Journal of Advances in Data and Information Systems (IJADIS), 4, 2, pp. 181-190, (2023); Werkman M., Et al., Testing for soil-transmitted helminth transmission elimination: Analysing the impact of the sensitivity of different diagnostic tools, Plos Neglected Tropical Diseases, 12, 1, pp. 1-20, (2018); Montresor A., Et al., The global progress of soil-transmitted helminthiases control in 2020 and world health organization targets for 2030, Plos Neglected Tropical Diseases, 14, 8, pp. 1-17, (2020); Donkoh E.T., Et al., Evidence of reduced academic performance among schoolchildren with helminth infection, International Health, 15, 3, pp. 309-317, (2023); Holmstrom O., Et al., Point-of-care mobile digital microscopy and deep learning for the detection of soil-transmitted helminths and Schistosoma haematobium, Global Health Action, 10, 3, (2017); Lin L., Et al., Combining collective and artificial intelligence for global health diseases diagnosis using crowdsourced annotated medical images, Proceedings of the Annual International Conference of the IEEE Engineering in Medicine and Biology Society, EMBS, pp. 3344-3348, (2021); Ghazal T.M., Et al., Alzheimer disease detection empowered with transfer learning, Computers, Materials and Continua, 70, 3, pp. 5005-5019, (2022); Wang J., Zhu H., Wang S.H., Zhang Y.D., A review of deep learning on medical image analysis, Mobile Networks and Applications, 26, 1, pp. 351-380, (2021); Sarkar S., Sunil Menon A., Tang G., Kakelli A.K., Convolutional neural network (CNN-SA) based selective amplification model to enhance image quality for efficient fire detection, International Journal of Image, Graphics and Signal Processing, 13, 5, pp. 51-59, (2021); Yu H.J., Cho S.R., Kim M.J., Kim W.H., Kim J.W., Choi J., Automated skeletal classification with lateral cephalometry based on artificial intelligence, Journal of Dental Research, 99, 3, pp. 249-256, (2020); Almabdy S., Elrefaei L., Deep convolutional neural network-based approaches for face recognition, Applied Sciences (Switzerland), 9, 20, (2019); Polsinelli M., Cinque L., Placidi G., A light CNN for detecting COVID-19 from CT scans of the chest, Pattern Recognition Letters, 140, pp. 95-100, (2020); Tao W., Et al., EEG-based emotion recognition via channel-wise attention and self attention, IEEE Transactions on Affective Computing, 14, 1, pp. 382-393, (2023); Guirado E., Tabik S., Rivas M.L., Alcaraz-Segura D., Herrera F., Whale counting in satellite and aerial images with deep learning, Scientific Reports, 9, 1, pp. 1-12, (2019); Fuentes A., Yoon S., Kim S.C., Park D.S., A robust deep-learning-based detector for real-time tomato plant diseases and pests recognition, Sensors (Switzerland), 17, 9, (2017); Shin H.C., Et al., Deep convolutional neural networks for computer-aided detection: CNN architectures, dataset characteristics and transfer learning, IEEE Transactions on Medical Imaging, 35, 5, pp. 1285-1298, (2016); Tuncer T., Dogan S., Ozyurt F., An automated residual exemplar local binary pattern and iterative relieff based corona detection method using lung X-ray image, Chemometrics and Intelligent Laboratory Systems, 203, (2020); Rivas A., Chamoso P., Gonzalez-Briones A., Corchado J.M., Detection of cattle using drones and convolutional neural networks, Sensors (Switzerland), 18, 7, pp. 1-15, (2018); Schlemper J., Et al., Attention gated networks: Learning to leverage salient regions in medical images, Medical Image Analysis, 53, pp. 197-207, (2019); Yang H., Kim J.Y., Kim H., Adhikari S.P., Guided soft attention network for classification of breast cancer histopathology images, IEEE Transactions on Medical Imaging, 39, 5, pp. 1306-1315, (2020); Alyoubi W.L., Abulkhair M.F., Shalash W.M., Diabetic retinopathy fundus image classification and lesions localization system using deep learning, Sensors, 21, 11, pp. 1-22, (2021); Chen Y., Liao H.Y., Behdad S., Hu B., Human activity recognition in an end-of-life consumer electronics disassembly task, Applied Ergonomics, 113, (2023); Maduranga M.W.P., Nandasena D., Mobile-based skin disease diagnosis system using convolutional neural networks (CNN), International Journal of Image, Graphics and Signal Processing, 14, 3, pp. 47-57, (2022); Ali L., Alnajjar F., Al Jassmi H., Gochoo M., Khan W., Serhani M.A., Performance evaluation of deep CNN-based crack detection and localization techniques for concrete structures, Sensors, 21, 5, pp. 1-22, (2021); Vijayalakshmi A., Rajesh Kanna B., Deep learning approach to detect malaria from microscopic images, Multimedia Tools and Applications, 79, 21-22, pp. 15297-15317, (2020); Madduri A., Adusumalli S.S., Katragadda H.S., Dontireddy M.K.R., Suhasini P.S., Classification of breast cancer histopathological images using convolutional neural networks, Proceedings of the 8Th International Conference on Signal Processing and Integrated Networks, SPIN 2021, pp. 755-759, (2021); Zheng J., Lin D., Gao Z., Wang S., He M., Fan J., Deep learning assisted efficient adaboost algorithm for breast cancer detection and early diagnosis, IEEE Access, 8, pp. 96946-96954, (2020)</t>
  </si>
  <si>
    <t xml:space="preserve">R.A. Malik; Department of Digital Business, Faculty of Economic Business and Social Sciences, University of Perintis Indonesia, Padang, Adinegoro Road KM15, Lubuk Buaya, West Sumatera, 25173, Indonesia; email: rioandikamalik@upertis.ac.id</t>
  </si>
  <si>
    <t xml:space="preserve">Int. J. Adv. Appl. Sci.</t>
  </si>
  <si>
    <t xml:space="preserve">2-s2.0-85192453138</t>
  </si>
  <si>
    <t xml:space="preserve">Rouza E.; Arifin F.; Suprapto</t>
  </si>
  <si>
    <t xml:space="preserve">Rouza, Erni (58075411100); Arifin, Fatchul (56163418400); Suprapto (56580451100)</t>
  </si>
  <si>
    <t xml:space="preserve">58075411100; 56163418400; 56580451100</t>
  </si>
  <si>
    <t xml:space="preserve">Essential Advances in Soil-Transmitted Helminth Detection Using Machine Learning and Deep Learning: A Systematic Review</t>
  </si>
  <si>
    <t xml:space="preserve">Soil-Transmitted Helminths (STH) infection remains a significant global health challenge, particularly in regions with inadequate sanitation. While precise early detection is crucial, conventional techniques like microscopy require substantial time and accuracy. This work rigorously examines recent developments in STH detection utilizing machine learning and deep learning techniques. This study pertains to articles published from 2014 until 2024. During the literature selection process utilizing the PRISMA Method, 26 pertinent articles were extracted from the Google Scholar, PubMed, IEEE Xplore, and Scopus databases. The findings indicated that notably Convolutional Neural Networks (CNN) and U-Net algorithms exhibited markedly superior detection accuracy (95-98%) relative to Support Vector Machines (SVM) and Random Forest (RF) (87-92%) respectively. SVM and RF exhibit superior speed but diminished accuracy when applied to tiny datasets. Moreover, there exists significant potential to boost model performance and address data constraints using transfer learning and data augmentation techniques. This study demonstrates that the integration of artificial intelligence with the Internet of Things (IoT) facilitates expedited and more efficient surveillance through real-time detection of STH in endemic regions. Moreover, crowdsourcing and self-supervised learning (SSL) have emerged as methods for the acquisition of annotated data. Significant recent advancements in machine learning and deep learning technologies forecast expedited, more precise, and scalable STH diagnosis in the future. This can be utilized in future global health surveillance, despite limitations such as restricted data and computational resources. © (2024), (Insight Society). All rights reserved.</t>
  </si>
  <si>
    <t xml:space="preserve">International Journal on Advanced Science, Engineering and Information Technology</t>
  </si>
  <si>
    <t xml:space="preserve">Insight Society</t>
  </si>
  <si>
    <t xml:space="preserve">10.18517/ijaseit.14.6.20691</t>
  </si>
  <si>
    <t xml:space="preserve">https://www.scopus.com/inward/record.uri?eid=2-s2.0-85214305262&amp;doi=10.18517%2fijaseit.14.6.20691&amp;partnerID=40&amp;md5=e5fbd507ddb804985aeca6bb7bcc3da5</t>
  </si>
  <si>
    <t xml:space="preserve">Doctoral Program of Engineering, Faculty of Engineering, Yogyakarta State University, Yogyakarta, Indonesia; Department of Electronic and Informatics Engineering, Universitas Negeri Yogyakarta, D.I. Yogyakarta, Sleman, Indonesia; Informatics Engineering Study Program, Faculty of Computer Science, Pasir Pengaraian University, Riau, Indonesia</t>
  </si>
  <si>
    <t xml:space="preserve">Rouza E., Doctoral Program of Engineering, Faculty of Engineering, Yogyakarta State University, Yogyakarta, Indonesia, Informatics Engineering Study Program, Faculty of Computer Science, Pasir Pengaraian University, Riau, Indonesia; Arifin F., Department of Electronic and Informatics Engineering, Universitas Negeri Yogyakarta, D.I. Yogyakarta, Sleman, Indonesia; Suprapto, Doctoral Program of Engineering, Faculty of Engineering, Yogyakarta State University, Yogyakarta, Indonesia</t>
  </si>
  <si>
    <t xml:space="preserve">convolutional neural networks; deep learning; Detection; machine learning; Soil Transmitted Helminths (STH)</t>
  </si>
  <si>
    <t xml:space="preserve">Soil-transmitted helminth infections; Xu Y., Et al., The prevalence of soil transmitted helminths and its influential factors in Shandong Province, China: an analysis of surveillance data from 2016 to 2020, Infectious Diseases of Poverty, 12, 1, (2023); Qian M.-B., Utzinger J., Li S.-Z., Montresor A., Zhou X.-N., Towards elimination of soil-transmitted helminthiasis in China, The Lancet Regional Health - Western Pacific, 22, (2022); Manuel M., Et al., Soil surveillance for monitoring soil-transmitted helminths: Method development and field testing in three countries, PLOS Neglected Tropical Diseases, 18, 9, (2024); Manuel M., Ramanujam K., Ajjampur S. S. R., Molecular Tools for Diagnosis and Surveillance of Soil-Transmitted Helminths in Endemic Areas, Parasitologia, 1, 3, pp. 105-118, (2021); Alemu Y., Degefa T., Bajiro M., Teshome G., Prevalence and intensity of soil-transmitted helminths infection among individuals in model and non-model households, South West Ethiopia: A comparative cross-sectional community based study, PLoS One, 17, 10, (2022); Boehme C., Carmona S., Nogaro S., Malecela M., Diagnostic testing holds the key to NTD elimination, PLoS Neglected Tropical Diseases, 15, 8, (2021); Kazienga A., Levecke B., Leta G. T., de Vlas S. J., Coffeng L. E., A general framework to support cost-efficient survey design choices for the control of soil-transmitted helminths when deploying Kato- Katz thick smear, PLoS Neglected Tropical Diseases, 17, 6, (2023); Ozkan-Ahmetoglu M., Demirel F., Tasar M. A., Dinc B., Sarzhanov F., Dogruman-Al F., Investigation of intestinal parasites by conventional and molecular methods in children with gastrointestinal system complaints, Parasitology Research, 122, 6, pp. 1361-1370, (2023); Menezes D. L., Et al., Accuracy Study of Kato-Katz and Helmintex Methods for Diagnosis of Schistosomiasis Mansoni in a Moderate Endemicity Area in Sergipe, Northeastern Brazil, Diagnostics, 13, 3, (2023); Wisetmora A., Artchayasawat A., Laummaunwai P., Pitaksakulrat O., Wattanawong O., Boonmars T., Formalin-fixed stool improves the performance of the Kato–Katz method, Veterinary World, pp. 99-107, (2024); Quintela I. A., Vasse T., Lin C.-S., Wu V. C. H., Advances, applications, and limitations of portable and rapid detection technologies for routinely encountered foodborne pathogens, Frontiers in Microbiology, 13, (2022); Hong R., Fenyo D., Deep Learning and Its Applications in Computational Pathology, BioMedInformatics, 2, 1, pp. 159-168, (2022); Farhad M., Masud M. M., Beg A., Ahmad A., Ahmed L., A Review of Medical Diagnostic Video Analysis Using Deep Learning Techniques, Applied Sciences, 13, 11, (2023); Ghaffar Nia N., Kaplanoglu E., Nasab A., Evaluation of artificial intelligence techniques in disease diagnosis and prediction, Discover Artificial Intelligence, 3, 1, (2023); Sisimayi C., Harley C., Nyabadza F., Visaya M. V., AI-enabled case detection model for infectious disease outbreaks in resourcelimited settings, Frontiers in Applied Mathematics and Statistics, 9, (2023); Ward P., Et al., Affordable artificial intelligence-based digital pathology for neglected tropical diseases: A proof-of-concept for the detection of soil-transmitted helminths and Schistosoma mansoni eggs in Kato-Katz stool thick smears, PLoS Neglected Tropical Diseases, 16, 6, (2022); Miswan N., Singham G. V., Othman N., Advantages and limitations of microscopy and molecular detections for diagnosis of soil-transmitted helminths: An overview, Helminthologia, 59, 4, pp. 321-340, (2022); Kumar S., Arif T., Alotaibi A. S., Malik M. B., Manhas J., Advances Towards Automatic Detection and Classification of Parasites Microscopic Images Using Deep Convolutional Neural Network: Methods, Models and Research Directions, Archives of Computational Methods in Engineering, 30, 3, pp. 2013-2039, (2022); Khan A. I., Khan M., Khan R., Artificial Intelligence in Point-of- Care Testing, Annals of Laboratory Medicine, 43, 5, pp. 401-407, (2023); Cure-Bolt N., Et al., Artificial intelligence-based digital pathology for the detection and quantification of soil-transmitted helminths eggs, PLoS Neglected Tropical Diseases, 18, 9, (2024); Malik R. A., Frimadani M. R., Putra D. J., Enrichment of microscopic photographs by utilizing CNN regarding soil-transmitted helminths identification, International Journal of Advances in Applied Sciences, 13, 1, (2024); Dacal E., Et al., Mobile microscopy and telemedicine platform assisted by deep learning for the quantification of Trichuris trichiura infection, PLoS Neglected Tropical Diseases, 15, 9, (2021); Zhang C., Et al., Deep learning for microscopic examination of protozoan parasites, Computational and Structural Biotechnology Journal, 20, pp. 1036-1043, (2022); Page M. J., Et al., Pravila PRISMA 2020, Medicina Fluminensis, 57, 4, pp. 444-465, (2021); Park H. Y., Suh C. H., Woo S., Kim P. H., Kim K. W., Quality Reporting of Systematic Review and Meta-Analysis According to PRISMA 2020 Guidelines: Results from Recently Published Papers in the Korean Journal of Radiology, Korean Journal of Radiology, 23, 3, (2022); Khairudin N. A. A., Nasir A. S. A., Chin L. C., Jaafar H., Mohamed Z., A Fast and Efficient Segmentation of Soil-Transmitted Helminths Through Various Color Models and k-Means Clustering, Proceedings of the 11th National Technical Seminar on Unmanned System Technology, 2020, pp. 555-576, (2019); Ray K., Saharia S., Sarma N., A Study on Classification Accuracy of Different Features in Identification of Parasite Eggs from Microscopic Images of Fecal Samples, Proceedings of the International Conference on Computing and Communication Systems, pp. 305-313, (2021); Lundin J., Et al., Diagnosis of soil-transmitted helminth infections with digital mobile microscopy and artificial intelligence in a resourcelimited setting, PLoS Neglected Tropical Diseases, 18, 4, (2024); Scavuzzo C. M., Et al., Feature importance: Opening a soil-transmitted helminth machine learning model via SHAP, Infectious Disease Modelling, 7, 1, pp. 262-276, (2022); Nelson A. J., Hess S. T., Molecular imaging with neural training of identification algorithm (neural network localization identification), Microscopy Research and Technique, 81, 9, pp. 966-972, (2018); Jaya Sundar Rajasekar S., Jaswal G., Perumal V., Ravi S., Dutt V., Parasite.ai – An Automated Parasitic Egg Detection Model from Microscopic Images of Fecal Smears using Deep Learning Techniques, 2023 International Conference on Advances in Computing, Communication and Applied Informatics (ACCAI), pp. 1-9, (2023); Lin L., Et al., Combining collective and artificial intelligence for global health diseases diagnosis using crowdsourced annotated medical images, 2021 43rd Annual International Conference of the IEEE Engineering in Medicine &amp; Biology Society (EMBC), pp. 3344-3348, (2021); Huo Y., Zhang J., Du X., Wang X., Liu J., Liu L., Recognition of parasite eggs in microscopic medical images based on YOLOv5, 2021 5th Asian Conference on Artificial Intelligence Technology (ACAIT), pp. 123-127, (2021); Libouga I. O., Bitjoka L., Gwet D. L. L., Boukar O., Nloga A. M. N., A supervised U-Net based color image semantic segmentation for detection &amp; classification of human intestinal parasites, e-Prime - Advances in Electrical Engineering, Electronics and Energy, 2, (2022); Lim C. C., Khairudin N. A. A., Loke S. W., Nasir A. S. A., Chong Y. F., Mohamed Z., Comparison of Human Intestinal Parasite Ova Segmentation Using Machine Learning and Deep Learning Techniques, Applied Sciences, 12, 15, (2022); Butploy N., Kanarkard W., Maleewong Intapan P., Deep Learning Approach for Ascaris lumbricoides Parasite Egg Classification, Journal of Parasitology Research, 2021, pp. 1-8, (2021); Holmstrom O., Et al., Point-of-care mobile digital microscopy and deep learning for the detection of soil-transmitted helminths and Schistosoma haematobium, Global Health Action, 10, (2017); Pinetsuksai N., Et al., Development of Self-Supervised Learning with Dinov2-Distilled Models for Parasite Classification in Screening, 2023 15th International Conference on Information Technology and Electrical Engineering (ICITEE), pp. 323-328, (2023); He J.-Y., Wu X., Jiang Y.-G., Peng Q., Jain R., Hookworm Detection in Wireless Capsule Endoscopy Images With Deep Learning, IEEE Transactions on Image Processing, 27, 5, pp. 2379-2392, (2018); Yang A., Et al., Kankanet: An artificial neural network-based object detection smartphone application and mobile microscope as a point-ofcare diagnostic aid for soil-transmitted helminthiases, PLoS Neglected Tropical Diseases, 13, 8, (2019); Kariyawasam T. N., Et al., Near-infrared spectroscopy and machine learning algorithms for rapid and non-invasive detection of Trichuris, PLoS Neglected Tropical Diseases, 17, 11, (2023); Phillips F., Beg S., Video capsule endoscopy: pushing the boundaries with software technology, Translational Gastroenterology and Hepatology, 6, pp. 17-17, (2021); Soffer S., Et al., Deep learning for wireless capsule endoscopy: a systematic review and meta-analysis, Gastrointestinal Endoscopy, 92, 4, pp. 831-839, (2020); Wu X., Chen H., Gan T., Chen J., Ngo C.-W., Peng Q., Automatic Hookworm Detection in Wireless Capsule Endoscopy Images, IEEE Transactions on Medical Imaging, 35, 7, pp. 1741-1752, (2016)</t>
  </si>
  <si>
    <t xml:space="preserve">E. Rouza; Doctoral Program of Engineering, Faculty of Engineering, Yogyakarta State University, Yogyakarta, Indonesia; email: ernirouzait@gmail.com</t>
  </si>
  <si>
    <t xml:space="preserve">Int. J. Adv. Sci. Eng. Inf. Technol.</t>
  </si>
  <si>
    <t xml:space="preserve">2-s2.0-85214305262</t>
  </si>
  <si>
    <t xml:space="preserve">Vargas-Clavijo M.; Cardona-Castro N.; Ospina-Gómez J.P.; Serrano-Coll H.</t>
  </si>
  <si>
    <t xml:space="preserve">Vargas-Clavijo, Mariana (59411391500); Cardona-Castro, Nora (56041826500); Ospina-Gómez, Juan Pablo (57220022436); Serrano-Coll, Héctor (57192402543)</t>
  </si>
  <si>
    <t xml:space="preserve">59411391500; 56041826500; 57220022436; 57192402543</t>
  </si>
  <si>
    <t xml:space="preserve">Evaluating Advanced Machine Learning Models for Histopathological Diagnosis of Hansen Disease</t>
  </si>
  <si>
    <t xml:space="preserve">Introduction: Leprosy is a neglected infectious disease caused by Mycobacterium leprae and Mycobacterium lepromatosis and remains a public health challenge in tropical regions. Therefore, the development of technological tools such as machine learning (ML) offers an opportunity to innovate strategies for improving the diagnosis of this complex disease. Objective: To validate the utility of different ML models for the histopathological diagnosis of Hansen disease. Methodology: An observational study was conducted where 55 H&amp;E-stained tissue slides from leprosy patients and 51 healthy skin controls were analyzed using microphotographs captured at various magnifications. These images were categorized based on histopathological findings and processed using the Cross-Industry Standard Process for Data Mining methodology for designing and training ML models. Five types of ML models were evaluated using standard metrics such as accuracy, sensitivity, and specificity, emphasizing data normalization as a fundamental step in optimizing model performance. Results: The artificial neural network (ANN) model demonstrated an accuracy of 70%, sensitivity of 74%, and specificity of 65%, demonstrating its ability to identify leprosy cases with moderate precision. The receiver operating characteristic curve of the ANN model showed an area under the curve of 0.71. Conversely, models such as decision trees, logistic regression, and random forests showed similar accuracy results but with slightly lower sensitivity, potentially indicating a higher risk of false negatives in detecting leprosy-positive cases. Conclusion: The ANN model emerges as a promising alternative for leprosy detection. However, further refinement of these models is necessary to enhance their adaptability across different clinical settings and participation in patient care. Copyright © 2024 Wolters Kluwer Health, Inc. All rights reserved.</t>
  </si>
  <si>
    <t xml:space="preserve">American Journal of Dermatopathology</t>
  </si>
  <si>
    <t xml:space="preserve">Lippincott Williams and Wilkins</t>
  </si>
  <si>
    <t xml:space="preserve">10.1097/DAD.0000000000002875</t>
  </si>
  <si>
    <t xml:space="preserve">https://www.scopus.com/inward/record.uri?eid=2-s2.0-85209150673&amp;doi=10.1097%2fDAD.0000000000002875&amp;partnerID=40&amp;md5=d816a1d140203dadcd0e144c53b8aec5</t>
  </si>
  <si>
    <t xml:space="preserve">Facultad de Ingeniería Biomédica, Universidad CES, Medellín, Colombia; Instituto Colombiano de Medicina Tropical-Universidad CES, Medellín, Colombia; Centro de Investigaciones en Dermatología (CIDERM), Facultad de Medicina, Universidad de Antioquia, Clínica Vida, Medellín, Colombia</t>
  </si>
  <si>
    <t xml:space="preserve">Vargas-Clavijo M., Facultad de Ingeniería Biomédica, Universidad CES, Medellín, Colombia; Cardona-Castro N., Instituto Colombiano de Medicina Tropical-Universidad CES, Medellín, Colombia; Ospina-Gómez J.P., Centro de Investigaciones en Dermatología (CIDERM), Facultad de Medicina, Universidad de Antioquia, Clínica Vida, Medellín, Colombia; Serrano-Coll H., Instituto Colombiano de Medicina Tropical-Universidad CES, Medellín, Colombia</t>
  </si>
  <si>
    <t xml:space="preserve">algorithms; artificial intelligence; leprosy; Mycobacterium; pathology</t>
  </si>
  <si>
    <t xml:space="preserve">World Health Organization, WHO; Ministry of Health of Colombia; Pan American Health Organization, PAHO, (008430); Pan American Health Organization, PAHO</t>
  </si>
  <si>
    <t xml:space="preserve">This research was conducted following the international ethical standards given by the World Health Organization and the Pan American Health Organization, supported by the Declaration of Helsinki, promulgated in 1964, and the statutes given at the national level by resolution number 008430 of 1993 of the Ministry of Health of Colombia, which regulates health studies. In addition, it was endorsed by the Instituto Colombiano de Medicina Tropical- Universidad CES, Human Research Ethics Board (act No 90 of March 14, 2024). </t>
  </si>
  <si>
    <t xml:space="preserve">Serrano-Coll H., Salazar-Pelaez L., Acevedo-Saenz L., Et al., Mycobacterium leprae-induced nerve damage: direct and indirect mechanisms, Pathog Dis, 76, (2018); Romero-Montoya M., Beltran-Alzate J.C., Cardona-Castro N., Evaluation and monitoring of Mycobacterium leprae transmission in household contacts of patients with Hansen’s Disease in Colombia, PLoS Negl Trop Dis, 11, (2017); Serrano-Coll H., Mora H.R., Beltran J.C., Et al., Social and environmental conditions related to Mycobacterium leprae infection in children and adolescents from three leprosy endemic regions of Colombia, BMC Infect Dis, 19, (2019); Krishnan G., Singh S., Pathania M., Et al., Artificial intelligence in clinical medicine: catalyzing a sustainable global healthcare paradigm, Front Artif Intell, 6, (2023); Semwal S., Joshi D., Goel G., Et al., Clinico-histological correlation in Hansen’s disease: three-year experience at a Newly Established Tertiary Care Center in Central India, Indian J Dermatol, 63, pp. 465-468, (2018); Nunzi E., Massone C., Portaels F., Leprosy and Buruly Ulcer-A Pracical Guide, (2020); Studer S., Bui T.B., Drescher C., Et al., Towards CRISP-ML(Q): a machine learning process model with quality assurance methodology, Mach Learn Knowl Extr, 3, pp. 392-413, (2021); Métricas de ML.NET-ML; Park H., Kim K., An artificial neural network approach to predicting stroke in postmenopausal women, Iran J Public Health, 51, pp. 964-966, (2022); Bradley A.P., The use of the area under the ROC curve in the evaluation of machine learning algorithms, Pattern Recognit, 30, pp. 1145-1159, (1997); Brause R.W., Medical analysis and diagnosis by neural networks, Medical Data Analysis, pp. 1-13, (2001); Mijwil M.M., Artificial neural networks advantages and disadvantages, Mesopotamian J Big Data, 2021, pp. 29-31, (2021); Jartarkar S.R., Cockerell C.J., Patil A., Et al., Artificial intelligence in dermatopathology, J Cosmet Dermatol, 22, pp. 1163-1167, (2023); Sasidharanpillai S., Govindan A., Dominic S., Et al., Hypopigmented skin lesions with doubtful/minimal sensory impairment: a histopathologybased analysis, Indian Dermatol Online J, 13, pp. 765-770, (2022); Atram M.A., Ghongade P.V., Gangane N.M., A clinicohistopathological correlation of hansen’s disease in a rural tertiary care hospital of Central India, J Glob Infect Dis, 12, pp. 191-196, (2020)</t>
  </si>
  <si>
    <t xml:space="preserve">H. Serrano-Coll; Instituto Colombiano de Medicina Tropical-Universidad CES, Medellín, Carrera 43A #52sur-99, 055450, Colombia; email: hserrano@ces.edu.co</t>
  </si>
  <si>
    <t xml:space="preserve">AJDOD</t>
  </si>
  <si>
    <t xml:space="preserve">Am. J. Dermatopathol.</t>
  </si>
  <si>
    <t xml:space="preserve">2-s2.0-85209150673</t>
  </si>
  <si>
    <t xml:space="preserve">Rehmann C.T.; Ralph P.L.; Kern A.D.</t>
  </si>
  <si>
    <t xml:space="preserve">Rehmann, Clara T. (58555843500); Ralph, Peter L. (35424624800); Kern, Andrew D. (7103061601)</t>
  </si>
  <si>
    <t xml:space="preserve">58555843500; 35424624800; 7103061601</t>
  </si>
  <si>
    <t xml:space="preserve">Evaluating evidence for co-geography in the Anopheles–Plasmodium host–parasite system</t>
  </si>
  <si>
    <t xml:space="preserve">The often tight association between parasites and their hosts means that under certain scenarios, the evolutionary histories of the two species can become closely coupled both through time and across space. Using spatial genetic inference, we identify a potential signal of common dispersal patterns in the Anopheles gambiae and Plasmodium falciparum host–parasite system as seen through a between-species correlation of the differences between geographic sampling location and geographic location predicted from the genome. This correlation may be due to coupled dispersal dynamics between host and parasite but may also reflect statistical artifacts due to uneven spatial distribution of sampling locations. Using continuous-space population genetics simulations, we investigate the degree to which uneven distribution of sampling locations leads to bias in prediction of spatial location from genetic data and implement methods to counter this effect. We demonstrate that while algorithmic bias presents a problem in inference from spatio-genetic data, the correlation structure between A. gambiae and P. falciparum predictions cannot be attributed to spatial bias alone and is thus likely a genetic signal of co-dispersal in a host–parasite system. © 2024 Genetics Society of America. All rights reserved.</t>
  </si>
  <si>
    <t xml:space="preserve">G3: Genes, Genomes, Genetics</t>
  </si>
  <si>
    <t xml:space="preserve">Genetics Society of America</t>
  </si>
  <si>
    <t xml:space="preserve">jkae008</t>
  </si>
  <si>
    <t xml:space="preserve">10.1093/g3journal/jkae008</t>
  </si>
  <si>
    <t xml:space="preserve">https://www.scopus.com/inward/record.uri?eid=2-s2.0-85187207591&amp;doi=10.1093%2fg3journal%2fjkae008&amp;partnerID=40&amp;md5=57be9f07c71b08c2c2eb1edc80a3307f</t>
  </si>
  <si>
    <t xml:space="preserve">Institute of Ecology and Evolution, Department of Biology, University of Oregon, Eugene, 97403, United States; Department of Mathematics, University of Oregon, Eugene, 97403, United States</t>
  </si>
  <si>
    <t xml:space="preserve">Rehmann C.T., Institute of Ecology and Evolution, Department of Biology, University of Oregon, Eugene, 97403, United States; Ralph P.L., Institute of Ecology and Evolution, Department of Biology, University of Oregon, Eugene, 97403, United States, Department of Mathematics, University of Oregon, Eugene, 97403, United States; Kern A.D., Institute of Ecology and Evolution, Department of Biology, University of Oregon, Eugene, 97403, United States</t>
  </si>
  <si>
    <t xml:space="preserve">gene flow; geography; host–parasite; machine learning</t>
  </si>
  <si>
    <t xml:space="preserve">Animals; Anopheles; Geography; Host-Parasite Interactions; Malaria, Falciparum; Parasites; Plasmodium; Plasmodium falciparum; algorithm bias; Anopheles; Anopheles gambiae; article; controlled study; diagnosis; gene flow; geography; machine learning; nonhuman; parasite; Plasmodium; Plasmodium falciparum; population genetics; prediction; simulation; animal; genetics; geography; host parasite interaction; malaria falciparum; parasitology</t>
  </si>
  <si>
    <t xml:space="preserve">National Institutes of Health, NIH, (R35GM148253, R01HG010774); National Institutes of Health, NIH</t>
  </si>
  <si>
    <t xml:space="preserve">This research was supported by National Institutes of Health awards R35GM148253 and R01HG010774 to ADK.</t>
  </si>
  <si>
    <t xml:space="preserve">Althoff DM, Segraves KA, Johnson MT., Testing for coevolutionary diversification: linking pattern with process, Trends Ecol Evol, 29, 2, pp. 82-89, (2014); Angst P, Ebert D, Fields PD., Demographic history shapes genomic variation in an intracellular parasite with a wide geographical distribution, Mol Ecol, 31, 9, pp. 2528-2544, (2022); Genetic diversity of the African malaria vector Anopheles gambiae, Nature, 552, pp. 96-100, (2017); Barton N., The evolutionary consequences of gene flow and local adaptation: future approaches, (2001); Battey C, Ralph PL, Kern AD., Predicting geographic location from genetic variation with deep neural networks, eLife, 9, (2020); Battey C, Ralph PL, Kern AD., Space is the place: effects of continuous spatial structure on analysis of population genetic data, Genetics, 215, 1, pp. 193-214, (2020); Bradburd GS, Ralph PL., Spatial population genetics: it’s about time, Annu Rev Ecol Evol Syst, 50, 1, pp. 427-449, (2019); Bradburd GS, Ralph PL, Coop GM., Disentangling the effects of geographic and ecological isolation on genetic differentiation, Evolution, 67, 11, pp. 3258-3273, (2013); Buolamwini J, Gebru T., Gender shades: intersectional accuracy disparities in commercial gender classification, Proc Mach Learn Res, 81, (2018); Clarkson CS, Miles A, Harding NJ, Lucas ER, Battey CJ, Amaya-Romero JE, Kern AD, Fontaine MC, Donnelly MJ, Lawniczak MK, Et al., Genome variation and population structure among 1142 mosquitoes of the African malaria vector species Anopheles gambiae and Anopheles coluzzii, Genome Res, 30, pp. 1533-1546, (2020); Clayton DH, Bush SE, Goates BM, Johnson KP., Host defense reinforces host–parasite cospeciation, Proc Natl Acad Sci USA, 100, 26, pp. 15694-15699, (2003); Crosby DS, Breaker LC, Gemmill WH., A proposed definition for vector correlation in geophysics: theory and application, J Atmos Ocean Technol, 10, pp. 355-367, (1993); Doyle SR, Soe MJ, Nejsum P, Betson M, Cooper PJ, Peng L, Zhu XQ, Sanchez A, Matamoros G, Sandoval GAF, Et al., Population genomics of ancient and modern Trichuris trichiura, Nat Commun, 13, 1, (2022); Finch KN, Cronn RC, Ayala Richter MC, Blanc-Jolivet C, Correa Guerrero MC, De Stefano Beltran L, Garcia-Davila CR, Honorio Coronado EN, Palacios-Ramos S, Paredes-Villanueva K., Et al., Predicting the geographic origin of Spanish Cedar (Cedrela odorata L.) based on DNA variation, Conserv Genet, 21, 4, pp. 625-639, (2020); Guillot G, Jonsson H, Hinge A, Manchih N, Orlando L., Accurate continuous geographic assignment from low- to high-density SNP data, Bioinformatics, 32, 7, pp. 1106-1108, (2015); Hafner MS, Nadler SA., Phylogenetic trees support the co-evolution of parasites and their hosts, Nature, 332, 6161, pp. 258-259, (1988); Hall N, Karras M, Raine JD, Carlton JM, Kooij TWA, Berriman M, Florens L, Janssen CS, Pain A, Christophides GK, Et al., A comprehensive survey of the plasmodium life cycle by genomic, transcriptomic, and proteomic analyses, Science, 307, 5706, pp. 82-86, (2005); Haller BC, Messer PW., SLiM 3: forward genetic simulations beyond the Wright-Fisher model, Mol Biol Evol, 36, 3, pp. 632-637, (2019); Huelsenbeck JP, Rannala B, Larget B., A Bayesian framework for the analysis of cospeciation, Evolution, 54, pp. 352-364, (2000); Huelsenbeck JP, Rannala B, Yang Z., Statistical tests of host-parasite cospeciation, Evolution, 51, 2, pp. 410-419, (1997); Jousselin E, Van Noort S, Berry V, Rasplus JY, Ronsted N, Erasmus JC, Greeff JM., One fig to bind them all: host conservatism in a fig wasp community unraveled by cospeciation analyses among pollinating and nonpollinating fig wasps, Evol: Int J Org Evol, 62, 7, pp. 1777-1797, (2008); Kramer-Schadt S, Niedballa J, Pilgrim JD, Schroder B, Lindenborn J, Reinfelder V, Stillfried M, Heckmann I, Scharf AK, Augeri DM, Et al., The importance of correcting for sampling bias in MaxEnt species distribution models, Divers Distrib, 19, 11, pp. 1366-1379, (2013); Marcus J, Ha W, Barber RF, Novembre J., Fast and flexible estimation of effective migration surfaces, Elife, 10, (2021); Mathieson I, McVean G., Differential confounding of rare and common variants in spatially structured populations, Nat Genet, 44, 3, pp. 243-246, (2012); Mehrabi N, Morstatter F, Saxena N, Lerman K, Galstyan A., A survey on bias and fairness in machine learning, ACM Comput Surv (CSUR), 54, 6, pp. 1-35, (2021); Moran N, Baumann P., Phylogenetics of cytoplasmically inherited microorganisms of arthropods, Trends Ecol Evol, 9, pp. 115-120, (1994); Pearson RD, Amato R, Kwiatkowski DP., An open dataset of Plasmodium falciparum genome variation in 7,000 worldwide samples, (2019); Pedregosa F, Varoquaux G, Gramfort A, Michel V, Thirion B, Grisel O, Blondel M, Prettenhofer P, Weiss R, Dubourg V, Et al., Scikit-learn: machine learning in Python, J Mach Learn Res, 12, pp. 2825-2830, (2011); Rousset F., Genetic differentiation and estimation of gene flow from F-statistics under isolation by distance, Genetics, 145, 4, pp. 1219-1228, (1997); Small ST, Labbe F, Coulibaly YI, Nutman TB, King CL, Serre D, Zimmerman PA., Human migration and the spread of the nematode parasite Wuchereria bancrofti, Mol Biol Evol, 36, 9, pp. 1931-1941, (2019); Smith CC, Tittes S, Ralph PL, Kern AD., Dispersal inference from population genetic variation using a convolutional neural network, Genetics, 224, 2, (2023); Stevens DL, Olsen AR., Spatially balanced sampling of natural resources, J Am Stat Assoc, 99, 465, pp. 262-278, (2004); Wasser SK, Shedlock AM, Comstock K, Ostrander EA, Mutayoba B, Stephens M., Assigning African elephant DNA to geographic region of origin: applications to the ivory trade, Proc Natl Acad Sci USA, 101, 41, pp. 14847-14852, (2004); Wesolowski A, Buckee CO, Bengtsson L, Wetter E, Lu X, Tatem AJ., Commentary: containing the Ebola outbreak-the potential and challenge of mobile network data, PLoS Curr, 6, (2014); Wesolowski A, Eagle N, Tatem AJ, Smith DL, Noor AM, Snow RW, Buckee CO., Quantifying the impact of human mobility on malaria, Science, 338, 6104, pp. 267-270, (2012); Whitlock MC, McCauley DE., Indirect measures of gene flow and migration: f&lt;sub&gt;ST&lt;/sub&gt; ≠ 1/(4nm + 1), Heredity, 82, 2, pp. 117-125, (1999); Wright S., Isolation by distance, Genetics, 28, 2, pp. 114-138, (1943)</t>
  </si>
  <si>
    <t xml:space="preserve">C.T. Rehmann; Institute of Ecology and Evolution, Department of Biology, University of Oregon, Eugene, 97403, United States; email: crehmann@uoregon.edu</t>
  </si>
  <si>
    <t xml:space="preserve">G3 Genes Genome Genet.</t>
  </si>
  <si>
    <t xml:space="preserve">2-s2.0-85187207591</t>
  </si>
  <si>
    <t xml:space="preserve">Acherar A.; Tannier X.; Tantaoui I.; Brossas J.-Y.; Thellier M.; Piarroux R.</t>
  </si>
  <si>
    <t xml:space="preserve">Acherar, Aniss (57434494600); Tannier, Xavier (8979357900); Tantaoui, Ilhame (57208274043); Brossas, Jean-Yves (7003405364); Thellier, Marc (7005253567); Piarroux, Renaud (7003681059)</t>
  </si>
  <si>
    <t xml:space="preserve">57434494600; 8979357900; 57208274043; 7003405364; 7005253567; 7003681059</t>
  </si>
  <si>
    <t xml:space="preserve">Evaluating Plasmodium falciparum automatic detection and parasitemia estimation: A comparative study on thin blood smear images</t>
  </si>
  <si>
    <t xml:space="preserve">Malaria is a deadly disease that is transmitted through mosquito bites. Microscopists use a microscope to examine thin blood smears at high magnification (1000x) to identify parasites in red blood cells (RBCs). Estimating parasitemia is essential in determining the severity of the Plasmodium falciparum infection and guiding treatment. However, this process is time-consuming, labor-intensive, and subject to variation, which can directly affect patient outcomes. In this retrospective study, we compared three methods for measuring parasitemia from a collection of anonymized thin blood smears of patients with Plasmodium falciparum obtained from the Clinical Department of Parasitology-Mycology, National Reference Center (NRC) for Malaria in Paris, France. We first analyzed the impact of the number of field images on parasitemia count using our framework, MALARIS, which features a top-classifier convolutional neural network (CNN). Additionally, we studied the variation between different microscopists using two manual techniques to demonstrate the need for a reliable and reproducible automated system. Finally, we included thin blood smear images from an additional 102 patients to compare the performance and correlation of our system with manual microscopy and flow cytometry. Our results showed strong correlations between the three methods, with a coefficient of determination between 0.87 and 0.92. © 2024 Acherar et al. This is an open access article distributed under the terms of the Creative Commons Attribution License, which permits unrestricted use, distribution, and reproduction in any medium, provided the original author and source are credited.</t>
  </si>
  <si>
    <t xml:space="preserve">e0304789</t>
  </si>
  <si>
    <t xml:space="preserve">10.1371/journal.pone.0304789</t>
  </si>
  <si>
    <t xml:space="preserve">https://www.scopus.com/inward/record.uri?eid=2-s2.0-85195012560&amp;doi=10.1371%2fjournal.pone.0304789&amp;partnerID=40&amp;md5=3437d9fdc18431c820e955fa4b9d9aaf</t>
  </si>
  <si>
    <t xml:space="preserve">Inserm, Institut Pierre-Louis d’Épidémiologie et de Santé Publique, IPLESP, Sorbonne Université, Paris, France; SCAI (Sorbonne Center for Artificial Intelligence), Sorbonne Université, Paris, France; Sorbonne Université, Inserm, Laboratoire d’Informatique Médicale et d’Ingénierie des Connaissances pour la e-Santé, LIMICS, Université Sorbonne Paris Nord, Paris, France; AP-HP, Service de Parasitologie-Mycologie, CNR du Paludisme, Groupe Hospitalier Pitié-Salpêtrière, Paris, France</t>
  </si>
  <si>
    <t xml:space="preserve">Acherar A., Inserm, Institut Pierre-Louis d’Épidémiologie et de Santé Publique, IPLESP, Sorbonne Université, Paris, France, SCAI (Sorbonne Center for Artificial Intelligence), Sorbonne Université, Paris, France; Tannier X., Sorbonne Université, Inserm, Laboratoire d’Informatique Médicale et d’Ingénierie des Connaissances pour la e-Santé, LIMICS, Université Sorbonne Paris Nord, Paris, France; Tantaoui I., AP-HP, Service de Parasitologie-Mycologie, CNR du Paludisme, Groupe Hospitalier Pitié-Salpêtrière, Paris, France; Brossas J.-Y., AP-HP, Service de Parasitologie-Mycologie, CNR du Paludisme, Groupe Hospitalier Pitié-Salpêtrière, Paris, France; Thellier M., Inserm, Institut Pierre-Louis d’Épidémiologie et de Santé Publique, IPLESP, Sorbonne Université, Paris, France, AP-HP, Service de Parasitologie-Mycologie, CNR du Paludisme, Groupe Hospitalier Pitié-Salpêtrière, Paris, France; Piarroux R., Inserm, Institut Pierre-Louis d’Épidémiologie et de Santé Publique, IPLESP, Sorbonne Université, Paris, France, AP-HP, Service de Parasitologie-Mycologie, CNR du Paludisme, Groupe Hospitalier Pitié-Salpêtrière, Paris, France</t>
  </si>
  <si>
    <t xml:space="preserve">Erythrocytes; Flow Cytometry; Humans; Image Processing, Computer-Assisted; Malaria, Falciparum; Microscopy; Neural Networks, Computer; Parasitemia; Plasmodium falciparum; Retrospective Studies; Article; blood smear; classifier; comparative study; convolutional neural network; DNA extraction; erythrocyte; flow cytometry; human; image quality; immunofluorescence; measurement accuracy; parasitemia; parasitemia estimation; Plasmodium falciparum; reliability; sensitivity and specificity; visual system; artificial neural network; blood; comparative study; diagnosis; image processing; isolation and purification; malaria falciparum; microscopy; parasitology; procedures; retrospective study</t>
  </si>
  <si>
    <t xml:space="preserve">CytoFlex, Beckman Coulter, United States; Olympus BX51 and BX41 light microscope, Olympus; Olympus UPlanSApo, Olympus</t>
  </si>
  <si>
    <t xml:space="preserve">Beckman Coulter, United States; Olympus; Olympus</t>
  </si>
  <si>
    <t xml:space="preserve">World malaria report 2021; Guidelines for the treatment of malaria, (2015); Mathison BA, Pritt BS., Update on Malaria Diagnostics and Test Utilization, Journal of clinical microbiology, 55, 7, (2017); Rypien C, Chow B, Chan WW, Church DL, Pillai DR., Detection of Plasmodium Infection by the illumigene Malaria Assay Compared to Reference Microscopy and Real-Time PCR, J Clin Microbiol, 55, 10, pp. 3037-3045, (2017); Bouchaud O, Bruneel F, Caumes E, Houze S, Imbert P, Pradines B, Et al., Management and prevention of imported malaria. 2018 update of the 2007. French clinical guidelines, Med Mal Infect, 50, 2, pp. 161-193, (2020); Malaria microscopy quality assurance manual, Version 2, (2016); O'Meara WP, Barcus M, Wongsrichanalai C, Muth S, Maguire JD, Jordan RG, Et al., Reader technique as a source of variability in determining malaria parasite density by microscopy, Malaria Journal, 5, 1, (2006); Zhao OS, Kolluri N, Anand A, Chu N, Bhavaraju R, Ojha A, Et al., Convolutional neural networks to automate the screening of malaria in low-resource countries, PeerJ, 8, (2020); Li S, Du Z, Meng X, Zhang Y., Multi-stage malaria parasite recognition by deep learning, GigaScience, 10, 6, (2021); Kuo PC, Cheng HY, Chen PF, Liu YL, Kang M, Kuo MC, Et al., Assessment of Expert-Level Automated Detection of Plasmodium falciparum in Digitized Thin Blood Smear Images, JAMA Network Open, 3, 2, (2020); Torres K, Bachman CM, Delahunt CB, Baldeon JA, Alava F, Vilela DG, Et al., Automated microscopy for routine malaria diagnosis: a field comparison on Giemsa-stained blood films in Peru, Malaria Journal, 17, 1, (2018); Manescu P, Shaw MJ, Elmi M, Neary-Zajiczek L, Claveau R, Pawar V, Et al., Expert-level automated malaria diagnosis on routine blood films with deep neural networks, American Journal of Hematology, 95, 8, pp. 883-891, (2020); Mehanian C, Jaiswal M, Delahunt C, Thompson C, Horning M, Hu L, Et al., Computer-Automated Malaria Diagnosis and Quantitation Using Convolutional Neural Networks, IEEE International Conference on Computer Vision Workshops (ICCVW), pp. 116-125, (2017); Das D, Vongpromek R, Assawariyathipat T, Srinamon K, Kennon K, Stepniewska K, Et al., Field evaluation of the diagnostic performance of EasyScan GO: a digital malaria microscopy device based on machine-learning, Malar J, 21, (2022); Le MT, Bretschneider TR, Kuss C, Preiser PR., A novel semi-automatic image processing approach to determine Plasmodium falciparum parasitemia in Giemsa-stained thin blood smears, BMC Cell Biol, 9, (2008); Linder N, Turkki R, Walliander M, Martensson A, Diwan V, Rahtu E, Et al., A Malaria Diagnostic Tool Based on Computer Vision Screening and Visualization of Plasmodium falciparum Candidate Areas in Digitized Blood Smears, PLoS ONE, 9, 8, (2014); Poostchi M, Ersoy I, McMenamin K, Gordon E, Palaniappan N, Pierce S, Et al., Malaria parasite detection and cell counting for human and mouse using thin blood smear microscopy, J Med Imaging (Belling-ham), 5, 4, (2018); Acherar A, Tantaoui I, Thellier M, Lampros A, Piarroux R, Tannier X., Real-life evaluation of deep learning models trained on two datasets for Plasmodium falciparum detection with thin blood smear images at 500x magnification, Informatics in Medicine Unlocked, 35, (2022); Giemsa staining of malaria blood films, (2016); Simonyan K, Zisserman A., Very Deep Convolutional Networks for Large-Scale Image Recognition, (2015); He K, Zhang X, Ren S, Sun J., Deep Residual Learning for Image Recognition, IEEE Conference on Computer Vision and Pattern Recognition (CVPR), pp. 770-778, (2016); Tan M, Le Q., EfficientNet: Rethinking Model Scaling for Convolutional Neural Networks, Proceedings of the 36th International Conference on Machine Learning, pp. 6105-6114, (2019); Malaria Microscopy Standard Operating Procedure—MM-SOP-09; Nazi KM., The Miller Disk: An Improvement in the Performance of Manual Reticulocyte Counts, Laboratory Medicine, 17, pp. 742-744, (1986); Sjostrand E, Jonsson J, Morell A, Strahlen K., Color Normalization of Blood Cell Images, Image Analysis. SCIA 2019. Lecture Notes in Computer Science, 11482; Malleret B, Claser C, Ong ASM, Suwanarusk R, Sriprawat K, Howland SW, Et al., A rapid and robust tricolor flow cytometry assay for monitoring malaria parasite development, Sci Rep, 1, (2011)</t>
  </si>
  <si>
    <t xml:space="preserve">A. Acherar; Inserm, Institut Pierre-Louis d’Épidémiologie et de Santé Publique, IPLESP, Sorbonne Université, Paris, France; email: aniss.acherar@gmail.com</t>
  </si>
  <si>
    <t xml:space="preserve">2-s2.0-85195012560</t>
  </si>
  <si>
    <t xml:space="preserve">Pantaleo V.; Furlanello T.; Carli E.; Ventura L.; Solano-Gallego L.</t>
  </si>
  <si>
    <t xml:space="preserve">Pantaleo, Valeria (8786453100); Furlanello, Tommaso (12807513100); Carli, Erika (16836000900); Ventura, Laura (7005400616); Solano-Gallego, Laia (6602971847)</t>
  </si>
  <si>
    <t xml:space="preserve">8786453100; 12807513100; 16836000900; 7005400616; 6602971847</t>
  </si>
  <si>
    <t xml:space="preserve">Evaluation of urinary podocin and nephrin as markers of podocyturia in dogs with leishmaniosis</t>
  </si>
  <si>
    <t xml:space="preserve">Background: Renal disease is the main cause of death in canine leishmaniosis. Detection of an active glomerular injury is important to identify early renal damage and to prevent the development of chronic kidney disease. Podocyturia can indicate renal injury, and podocyte-associated molecules such as podocin and nephrin can be used to identify podocyturia. The purpose of the study was to evaluate urinary podocin and nephrin concentrations in dogs with leishmaniosis as markers of podocyturia. Methods: A total of 35 healthy dogs and 37 dogs with leishmaniosis were enrolled in the study. Dogs with leishmaniosis were classified according to the staging of the International Renal Interest Society (IRIS). Urinary podocin and nephrin concentrations were measured in all dogs with a validated enzyme-linked immunosorbent assay test and normalized to creatinine (uPoC and uNeC, respectively). The demographic, clinical, and laboratory data from both groups were analyzed and compared. Subsequently, the laboratory results were analyzed and compared according to IRIS staging in dogs in IRIS stage I and dogs in IRIS stage II + III + IV. The Pearson’s correlation test evaluated the relationship between urinary markers of podocyturia. Results: Compared with healthy dogs, lower urinary podocin [median values (IQR): 15.10 (11.75–17.87) ng/ml versus 8.63 (7.08–13.56) ng/ml; P &lt; 0.01] and nephrin [median values (IQR): 3.2 (3.62–5.43) ng/ml versus 2.67 (2.06–3.44) ng/ml; P &lt; 0.01] were found in infected sick dogs. No significant differences were observed in the uPoC and uNeC between the two groups. Urinary nephrin and podocin concentrations were higher in healthy dogs and in dogs in IRIS stage I (both P &lt; 0.05) compared with dogs in IRIS stages II + III + IV. No significant differences were found for uPoC and uNeC between healthy dogs and dogs with leishmaniosis in different IRIS clinical stages. Conclusions: Dogs with leishmaniosis had a low concentration of podocin and nephrin in more advanced IRIS clinical stages, when kidney disease was more severe compared with healthy dogs and dogs in IRIS stage I with mild disease. Urinary nephrin was detectable for the first time in healthy non-infected dogs. Graphical Abstract: (Figure presented.) © The Author(s) 2024.</t>
  </si>
  <si>
    <t xml:space="preserve">10.1186/s13071-024-06510-3</t>
  </si>
  <si>
    <t xml:space="preserve">https://www.scopus.com/inward/record.uri?eid=2-s2.0-85206002891&amp;doi=10.1186%2fs13071-024-06510-3&amp;partnerID=40&amp;md5=1bf01b7476d4adda0b461558301893d5</t>
  </si>
  <si>
    <t xml:space="preserve">San Marco Veterinary Clinic and Laboratory, Veggiano, Padua, Italy; Department of Statistical Sciences, University of Padova, Padua, Italy; Departament de Medicina i Cirurgia Animals, Universitat Autònoma de Barcelona, Bellaterra, Barcelona, Spain</t>
  </si>
  <si>
    <t xml:space="preserve">Pantaleo V., San Marco Veterinary Clinic and Laboratory, Veggiano, Padua, Italy, Departament de Medicina i Cirurgia Animals, Universitat Autònoma de Barcelona, Bellaterra, Barcelona, Spain; Furlanello T., San Marco Veterinary Clinic and Laboratory, Veggiano, Padua, Italy; Carli E., San Marco Veterinary Clinic and Laboratory, Veggiano, Padua, Italy; Ventura L., Department of Statistical Sciences, University of Padova, Padua, Italy; Solano-Gallego L., Departament de Medicina i Cirurgia Animals, Universitat Autònoma de Barcelona, Bellaterra, Barcelona, Spain</t>
  </si>
  <si>
    <t xml:space="preserve">Canine; Glomerular disease; Leishmania infantum; Renal markers</t>
  </si>
  <si>
    <t xml:space="preserve">Animals; Biomarkers; Dog Diseases; Dogs; Enzyme-Linked Immunosorbent Assay; Female; Intracellular Signaling Peptides and Proteins; Leishmaniasis; Male; Membrane Proteins; Podocytes; 6 n,n' dimethylarginine; albumin; amylase; aryldialkylphosphatase 1; creatinine; gamma glutamyltransferase; haptoglobin; nephrin; podocin; sodium; urea; biological marker; membrane protein; nephrin; podocin; signal peptide; animal experiment; Article; blood cell count; controlled study; cross-sectional study; diagnostic test accuracy study; dog; enzyme linked immunosorbent assay; evaluation study; immunofluorescence; kidney disease; leishmaniasis; nonhuman; real time polymerase chain reaction; receiver operating characteristic; systolic blood pressure; urinalysis; animal; dog disease; female; male; parasitology; pathology; podocyte; urine; veterinary medicine</t>
  </si>
  <si>
    <t xml:space="preserve">6 n,n' dimethylarginine, 30344-00-4; amylase, 9000-90-2, 9000-92-4, 9001-19-8; creatinine, 19230-81-0, 60-27-5; gamma glutamyltransferase, 85876-02-4; haptoglobin, 9087-69-8; nephrin, 255039-20-4; podocin, 273720-08-4; sodium, 7440-23-5; urea, 57-13-6; Biomarkers, ; Intracellular Signaling Peptides and Proteins, ; Membrane Proteins, ; nephrin, ; NPHS2 protein, </t>
  </si>
  <si>
    <t xml:space="preserve">ADVIA  2120i, Siemens, Germany; Atellica, Siemens, Germany; CLINITEK Novus, Siemens, Germany; LightCycler FastStart DNA  MasterPLUS Hybridization Probe, Hoffmann La Roche, Germany; Pure PCR  Template Preparation Kit, Hoffmann La Roche; SunTech Vet 20, Suntech, United States; VetLine Leishmania, Novatech, Germany</t>
  </si>
  <si>
    <t xml:space="preserve">Hoffmann La Roche; Hoffmann La Roche, Germany; Novatech, Germany; Siemens, Germany; Siemens, Germany; Siemens, Germany; Suntech, United States</t>
  </si>
  <si>
    <t xml:space="preserve">Elanco Animal Health; San Marco Laboratory</t>
  </si>
  <si>
    <t xml:space="preserve">The paper has been sponsored by Elanco Animal Health in the framework of the CVBD\u00AE World Forum Symposium. The authors thank Ms. Alessia Bombasaro, a laboratory technician at San Marco Laboratory, for her laboratory work and doctors Stefana Uccheddu, Alissa Mazzei, and Matteo Petini for their technical support.</t>
  </si>
  <si>
    <t xml:space="preserve">Solano-Gallego L., Koutinas A., Miro G., Cardoso L., Pennisi M.G., Ferrer L., Bourdeau P., Oliva G., Baneth G., Et al., Directions for the diagnosis, clinical staging, treatment and prevention of canine leishmaniosis, Vet Parasitol, 165, pp. 1-18, (2009); Leishvet Guidelines for the Practical Management of Canine leishmaniosis—LeishVet.; Solano-Gallego L., Cardoso L., Pennisi M.G., Petersen C., Bourdeau P., Oliva G., Miro' G., Ferrer L., Baneth G., Et al., Diagnostic challenges in the Era of canine Leishmania infantum vaccines, Trends Parasitol, 33, pp. 706-717, (2017); Solano-Gallego L., Miro G., Koutinas A., Cardoso L., Pennisi M.G., Ferrer L., Bourdeau P., Oliva G., Baneth G., Et al., LeishVet guidelines for the practical management of canine leishmaniosis, Parasit Vectors, 4, (2011); Koutinas A.F., Polizopoulou Z.S., Saridomichelakis M.N., Argyriadis D., Fytianou A., Plevraki K.G., Clinical considerations on canine visceral leishmaniasis in Greece: a retrospective study of 158 cases (1989–1996), J Am Anim Hosp Assoc, 35, pp. 376-383, (1999); Costa F.A.L., Goto H., Saldanha L.C.B., Silva S.M.M.S., Sinhorini I.L., Silva T.C., Guerra J.L., Et al., Histopathologic patterns of nephropathy in naturally acquired canine visceral leishmaniasis, Vet Pathol, 40, pp. 677-684, (2003); Zatelli A., Borgarelli M., Santilli R., Bonfanti U., Nigrisoli E., Zanatta R., Tarducci A., Guarraci A., Et al., Glomerular lesions in dogs infected with Leishmania organisms, Am J Vet Res, 64, pp. 558-561, (2003); Melendez-Lazo A., Ordeix L., Planellas M., Pastor J., Solano-Gallego L., Clinicopathological findings in sick dogs naturally infected with Leishmania infantum: comparison of five different clinical classification systems, Res Vet Sci, 117, pp. 18-27, (2018); Cortadellas O., del Palacio M.J.F., Bayon A., Albert A., Talavera J., Systemic hypertension in dogs with leishmaniasis: prevalence and clinical consequences, J Vet Intern Med, 20, pp. 941-947, (2006); Koutinas A.F., Koutinas C.K., Pathologic mechanisms underlying the clinical findings in canine leishmaniosis due to Leishmania infantum/chagasi, Vet Pathol, 51, pp. 527-538, (2014); Oliva G., Roura X., Crotti A., Maroli M., Castagnaro M., Gradoni L., Lubas G., Paltrinieri S., Zatelli A., Zini E., Et al., Guidelines for treatment of leishmaniasis in dogs, J Am Vet Med Assoc, 236, pp. 1192-1198, (2010); Roura X., Fondati A., Lubas G., Gradoni L., Maroli M., Oliva G., Paltrinieri S., Zatelli A., Zini E., Et al., Prognosis and monitoring of leishmaniasis in dogs: a working group report, Vet J, 198, pp. 43-47, (2013); Torres M., Bardagi M., Roura X., Zanna G., Ravera I., Ferrer L., Long term follow-up of dogs diagnosed with leishmaniosis (clinical stage II) and treated with meglumine antimoniate and allopurinol, Vet J, 188, pp. 346-351, (2011); Pierantozzi M., Roura X., Paltrinieri S., Poggi M., Zatelli A., Variation of proteinuria in dogs with leishmaniasis treated with meglumine antimoniate and allopurinol: a retrospective study, J Am Anim Hosp Assoc, 49, pp. 231-236, (2013); Cortadellas O., Talavera J., Fernandez del Palacio M.J., Evaluation of the effects of a therapeutic renal diet to control proteinuria in proteinuric non-azotemic dogs treated with benazepril, J Vet Intern Med, 28, pp. 30-37, (2014); Proverbio D., Spada E., de Giorgi G.B., Perego A.R., Proteinuria reduction after treatment with miltefosine and allopurinol in dogs naturally infected with leishmaniasis, Vet World, 9, (2016); Zatelli A., Roura X., D'Ippolito P., Berlanda M., Zini E., The effect of renal diet in association with enalapril or benazepril on proteinuria in dogs with proteinuric chronic kidney disease, Open Vet J, 6, pp. 121-127, (2016); Paltrinieri S., Mangiagalli G., Ibba F., Use of urinary γ-glutamyl transferase (GGT) to monitor the pattern of proteinuria in dogs with leishmaniasis treated with N-methylglucamine antimoniate, Res Vet Sci, 119, pp. 52-55, (2018); Pardo-Marin L., Martinez-Subiela S., Pastor J., Tvarijonaviciute A., Garcia-Martinez J.D., Segarra S., Ceron J.J., Et al., Evaluation of various biomarkers for kidney monitoring during canine leishmaniosis treatment, BMC Vet Res, 13, (2017); Paltrinieri S., Gradoni L., Roura X., Zatelli A., Zini E., Laboratory tests for diagnosing and monitoring canine leishmaniasis, Vet Clin Pathol, 45, pp. 552-578, (2016); Szczepankiewicz B., Paslawska U., Nowak M., Bachor R., Czyzewska-Buczynska A., Paslawski R., Szewczuk Z., Et al., Early detection of active glomerular lesions in dogs and cats using podocin, J Vet Res, 63, (2019); Vogelmann S.U., Nelson W.J., Myers B.D., Lemley K.V., Urinary excretion of viable podocytes in health and renal disease, Am J Physiol Renal Physiol, 285, pp. 40-48, (2003); Szczepankiewicz B., Paslawska U., Paslawski R., Gebarowski T., Zasada W., Michalek M., The urine podocin/creatinine ratio as a novel biomarker of cardiorenal syndrome in dogs due to degenerative mitral valve disease, J Physiol Pharmacol. 2019;70.; de Souza C., Coelho M., Antonelo D.S., Passarelli D., Rochetti A.L., Fukumasu H., Leite-Dellova D.C.A., Et al., Nephrin and podocin mRNA detection in urine sediment of dogs with chronic kidney disease: preliminary observations, J Vet Res, 66, pp. 281-288, (2022); Siwinska N., Paslawska U., Bachor R., Szczepankiewicz B., Zak A., Grocholska P., Szewczuk Z., Et al., Evaluation of podocin in urine in horses using qualitative and quantitative methods, PLoS ONE, 15, (2020); Guo Y., Pace J., Li Z., Ma'ayan A., Wang Z., Revelo M.P., Chen E., Gu X., Attalah A., Yang Y., Estrada C., Yang V.W., He J.C., Mallipattu S.K., Et al., Podocyte-specific induction of krüppel-like factor 15 restores differentiation markers and attenuates kidney injury in proteinuric kidney disease, J Am Soc Nephrol, 29, pp. 2529-2545, (2018); Wagner N., Wagner K.D., Xing Y., Scholz H., Schedl A., The major podocyte protein nephrin is transcriptionally activated by the Wilms’ tumor suppressor WT1, J Am Soc Nephrol, 15, pp. 3044-3051, (2004); Lajdova I., Oksa A., Horvathova M., Spustova V., Expression of puninergic P2X7 receptors in subpopulations of peripheral blood mononuclear cells in early-stage of chronic kidney disease, J Physiol Pharmacol, 68, pp. 779-785, (2017); Kasztan M., Jankowski M., Involvement of P2 receptors in regulation of glomerular permeability to albumin by extracellular nucleotides of intra-/extra-glomerular origins, J Physiol Pharmacol, 67, pp. 177-183, (2016); Trimarchi H., Podocyturia: what is in a name?, J Transl Int Med, 3, pp. 51-56, (2015); de Torres M.M., Chitarra C.S., Nakazato L., de Almeida A.B.P.F., Sousa V.R.F., Nephrin gene expression in chronic kidney disease of dogs with Leishmania (Leishmania) infantum chagasi, Braz J Infect Dis, 20, (2016); IRIS Staging of CKD (Modified 2019). International Renal Interest Society, Cambridge, 2019; Chang J.H., Paik S.Y., Mao L., Eisner W., Flannery P.J., Wang L., Tang Y., Mattocks N., Hadjadi S., Goujon J.M., Ruiz P., Gurley S.B., Spurney R.F., Et al., Diabetic kidney disease in FVB/NJ Akita mice: temporal pattern of kidney injury and urinary nephrin excretion, PLoS ONE, 7, (2012); O'Brien S.P., Smith M., Ling H., Phillips L., Weber W., Lydon J., Maloney C., Ledbetter S., Arbeeny C., Wawersik S., Et al., Glomerulopathy in the KK.Cg-A(y)/J mouse reflects the pathology of diabetic nephropathy, J Diabetes Res, 2013, (2013); Jim B., Ghanta M., Qipo A., Fan Y., Chuang P.Y., Cohen H.W., Abadi M., Thomas D.B., He J.C., Et al., Dysregulated nephrin in diabetic nephropathy of type 2 diabetes: a cross-sectional study, PLoS ONE, 7, (2012); Wang Y., Zhao S., Loyd S., Groome L.J., Increased urinary excretion of nephrin, podocalyxin, and βig-h3 in women with preeclampsia, Am J Physiol Renal Physiol, 302, pp. F1084-F1089, (2012); Jim B., Mehta S., Qipo A., Kim K., Cohen H.W., Moore R.M., He J.C., Sharma S., Et al., A comparison of podocyturia, albuminuria and nephrinuria in predicting the development of preeclampsia: a prospective study, PLoS ONE, 9, (2014); Bragato N., Borges N.C., Fioravanti M.C.S., B-mode and Doppler ultrasound of chronic kidney disease in dogs and cats, Vet Res Commun, 41, pp. 307-315, (2017); Perondi F., Lippi I., Marchetti V., Bruno B., Borrelli A., Citi S., How ltrasound can be useful for staging chronic kidney disease in dogs: ultrasound findings in 855 cases, Vet Sci, 7, pp. 1-8, (2020); Behr S., Trumel C., Palanche F., Braun J.P., Assessment of a pyrogallol red technique for total protein measurement in the cerebrospinal fluid of dogs, J Small Anim Pract, 44, pp. 530-533, (2003); Rossi G., Bertazzolo W., Binnella M., Scarpa P., Paltrinieri S., Measurement of proteinuria in dogs: analytic and diagnostic differences using 2 laboratory methods, Vet Clin Pathol, 45, pp. 450-458, (2016); Brown N., Segev G., Francey T., Kass P., Cowgill L.D., Glomerular filtration rate, urine production, and fractional clearance of electrolytes in acute kidney injury in dogs and their association with survival, J Vet Intern Med, 29, (2015); Wang P., Li M., Liu Q., Chen B., Ji Z., Detection of urinary podocytes and nephrin as markers for children with glomerular diseases, Exp Biol Med (Maywood), 240, pp. 169-174, (2015); Sato S., Yanagihara T., Ghazizadeh M., Ishizaki M., Adachi A., Sasaki Y., Igarashi T., Fukunaga Y., Et al., Correlation of autophagy type in podocytes with histopathological diagnosis of IgA nephropathy, Pathobiology, 76, pp. 221-226, (2009); Paparcone R., Fiorentino E., Cappiello S., Gizzarelli M., Gradoni L., Oliva G., Foglia Manzillo V., Et al., Sternal aspiration of bone marrow in dogs: a practical approach for canine leishmaniasis diagnosis and monitoring, J Vet Med, 2013, pp. 1-4, (2013); Solano-Gallego L., Rodriguez-Cortes A., Trotta M., Zampieron C., Razia L., Furlanello T., Caldin M., Roura X., Alberola J., Et al., Detection of Leishmania infantum DNA by fret-based real-time PCR in urine from dogs with natural clinical leishmaniosis, Vet Parasitol, 147, pp. 315-319, (2007); Gilbert A., Changjuan A., Guixue C., Jianhua L., Xiaosong Q., Urinary matrix metalloproteinase-9 and nephrin in idiopathic membranous nephropathy: a cross-sectional study, Dis Markers, 2021, (2021); Szczepankiewicz B., Bachor R., Paslawski R., Siwinska N., Paslawska U., Konieczny A., Szewczuk Z., Et al., Evaluation of tryptic podocin peptide in urine sediment using LC–MS-MRM method as a potential biomarker of glomerular injury in dogs with clinical signs of renal and cardiac disorders, Molecules, 24, (2019); Ichii O., Yabuki A., Sasaki N., Otsuka S., Ohta H., Yamasaki M., Takiguchi M., Namiki Y., Hashimoto Y., Endoh D., Kon Y., Et al., Pathological correlations between podocyte injuries and renal functions in canine and feline chronic kidney diseases, Histol Histopathol, 26, pp. 1243-1255, (2011); Lees G.E., Brown S.A., Elliott J., Grauer G.F., Vaden S.L., Assessment and management of proteinuria in dogs and cats: 2004 ACVIM Forum Consensus Statement (small animal), J Vet Intern Med, 19, pp. 377-385, (2005); Aresu L., Benali S., Ferro S., Vittone V., Gallo E., Brovida C., Castagnaro M., Et al., Light and electron microscopic analysis of consecutive renal biopsy specimens from Leishmania -seropositive dogs, Vet Pathol, 50, pp. 753-760, (2013); Suzuki T., Matsusaka T., Nakayama M., Asano T., Watanabe T., Ichikawa I., Nagata M., Et al., Genetic podocyte lineage reveals progressive podocytopenia with parietal cell hyperplasia in a murine model of cellular/collapsing focal segmental glomerulosclerosis, Am J Pathol, 174, pp. 1675-1682, (2009); Hara M., Yanagihara T., Hirayama Y., Ogasawara S., Kurosawa H., Sekine S., Kihara I., Et al., Podocyte membrane vesicles in urine originate from tip vesiculation of podocyte microvilli, Hum Pathol, 41, pp. 1265-1275, (2010); Nakamura T., Ushiyama C., Suzuki S., Hara M., Shimada N., Ebihara I., Koide H., Et al., The urinary podocyte as a marker for the differential diagnosis of idiopathic focal glomerulosclerosis and minimal-change nephrotic syndrome, Am J Nephrol, 20, pp. 175-179, (2000); Jacob F., Polzin D.J., Osborne C.A., Neaton J.D., Kirk C.A., Allen T.A., Swanson L.L., Et al., Evaluation of the association between initial proteinuria and morbidity rate or death in dogs with naturally occurring chronic renal failure, J Am Vet Med Assoc, 226, pp. 393-400, (2005); Lioudaki E., Stylianou K.G., Petrakis I., Kokologiannakis G., Passam A., Mikhailidis D.P., Daphnis E.K., Ganotakis E.S., Et al., Increased urinary excretion of podocyte markers in normoalbuminuric patients with diabetes, Nephron, 131, pp. 34-42, (2015); Schwarz K., Simons M., Reiser J., Saleem M.A., Faul C., Kriz W., Shaw A.S., Holzman L.B., Mundel P., Et al., Podocin, a raft-associated component of the glomerular slit diaphragm, interacts with CD2AP and nephrin, J Clin Invest, 108, pp. 1621-1629, (2001); Huber T.B., Kottgen M., Schilling B., Walz G., Benzing T., Interaction with podocin facilitates nephrin signaling, J Biol Chem, 276, pp. 41543-41546, (2001); Wickman L., Afshinnia F., Wang S.Q., Yang Y., Wang F., Chowdhury M., Graham D., Hawkins J., Nishizono R., Tanzer M., Wiggins J., Escobar G.A., Rovin B., Song P., Gipson D., Kershaw D., Wiggins R.C., Et al., Urine podocyte mRNAs, proteinuria, and progression in human glomerular diseases, J Am Soc Nephrol, 24, (2013); Martinez-Subiela S., Tecles F., Eckersall P.D., Ceron J.J., Serum concentrations of acute phase proteins in dogs with leishmaniasis, Vet Rec, 150, pp. 241-244, (2002); Martinez-Subiela S., Ceron J.J., Strauss-Ayali D., Garcia-Martinez J.D., Tecles F., Tvarijonaviciute A., Caldin M., Baneth G., Et al., Serum ferritin and paraoxonase-1 in canine leishmaniosis, Comp Immunol Microbiol Infect Dis, 37, pp. 23-29, (2014); Silvestrini P., Zoia A., Planellas M., Roura X., Pastor J., Ceron J.J., Caldin M., Et al., Iron status and C-reactive protein in canine leishmaniasis, J Small Anim Pract, 55, pp. 95-101, (2014); Braun J.P., Lefebvre H.P., Watson A.D.J., Creatinine in the dog: a review, Vet Clin Pathol, 32, pp. 162-179, (2003); Hall J.A., Yerramilli M., Obare E., Yerramilli M., Melendez L.D., Jewell D.E., Relationship between lean body mass and serum renal biomarkers in healthy dogs, J Vet Intern Med, 29, pp. 808-814, (2015); Kopke M.A., Burchell R.K., Ruaux C.G., Burton S.E., Lopez-Villalobos N., Gal A., Variability of symmetric dimethylarginine in apparently healthy dogs, J Vet Intern Med, 32, pp. 736-742, (2018); Palacio J., Liste F., Gascon M., Enzymuria as an index of renal damage in canine leishmaniasis, Vet Rec, 140, pp. 477-480, (1997); Ibba F., Mangiagalli G., Paltrinieri S., Urinary gamma-glutamyl transferase (GGT) as a marker of tubular proteinuria in dogs with canine leishmaniasis, using sodium dodecylsulphate (SDS) electrophoresis as a reference method, Vet J, 210, pp. 89-91, (2016); Hudson E.B., Strombeck D.R., Effects of functional nephrectomy on the disappearance rates of canine serum amylase and lipase, Am J Vet Res, 39, pp. 1316-1321, (1978); Carne T., Scheele G., Amino acid sequences of transport peptides associated with canine exocrine pancreatic proteins, J Biol Chem, 257, pp. 4133-4140, (1982); de Schepper J., Capiau E., van Bree H., de Cock I., The diagnostic significance of increased urinary and serum amylase activity in bitches with pyometra, Zentralbl Veterinarmed A, 36, pp. 431-437, (1989); Li C., Szeto C.-C., Urinary podocyte markers in diabetic kidney disease, Kidney Res Clin Pract, 43, pp. 274-286, (2024); Zeng L., Szeto C.C., Urinary podocyte markers in kidney diseases, Clin Chim Acta, 523, pp. 315-324, (2021); Mesfine B.B., Vojisavljevic D., Kapoor R., Watson D., Kandasamy Y., Rudd D., Urinary nephrin—a potential marker of early glomerular injury: a systematic review and meta-analysis, J Nephrol, 37, pp. 39-51, (2023)</t>
  </si>
  <si>
    <t xml:space="preserve">L. Solano-Gallego; Departament de Medicina i Cirurgia Animals, Universitat Autònoma de Barcelona, Barcelona, Bellaterra, Spain; email: laia.solano@uab.cat</t>
  </si>
  <si>
    <t xml:space="preserve">2-s2.0-85206002891</t>
  </si>
  <si>
    <t xml:space="preserve">Min K.-D.; Baek Y.J.; Hwang K.; Shin N.-R.; Lee S.-D.; Kan H.; Yeom J.-S.</t>
  </si>
  <si>
    <t xml:space="preserve">Min, Kyung-Duk (57218662067); Baek, Yae Jee (57216363310); Hwang, Kyungwon (58336425100); Shin, Na-Ri (58499128500); Lee, So-dam (37056968200); Kan, Hyesu (57218210086); Yeom, Joon-Sup (7004196941)</t>
  </si>
  <si>
    <t xml:space="preserve">57218662067; 57216363310; 58336425100; 58499128500; 37056968200; 57218210086; 7004196941</t>
  </si>
  <si>
    <t xml:space="preserve">Fine-Scale Spatial Prediction on the Risk of Plasmodium vivax Infection in the Republic of Korea</t>
  </si>
  <si>
    <t xml:space="preserve">Background: Malaria elimination strategies in the Republic of Korea (ROK) have decreased malaria incidence but face challenges due to delayed case detection and response. To improve this, machine learning models for predicting malaria, focusing on high-risk areas, have been developed. Methods: The study targeted the northern region of ROK, near the demilitarized zone, using a 1-km grid to identify areas for prediction. Grid cells without residential buildings were excluded, leaving 8,425 cells. The prediction was based on whether at least one malaria case was reported in each grid cell per month, using spatial data of patient locations. Four algorithms were used: gradient boosted (GBM), generalized linear (GLM), extreme gradient boosted (XGB), and ensemble models, incorporating environmental, sociodemographic, and meteorological data as predictors. The models were trained with data from May to October (2019–2021) and tested with data from May to October 2022. Model performance was evaluated using the area under the receiver operating characteristic curve (AUROC). Results: The AUROC of the prediction models performed excellently (GBM = 0.9243, GLM = 0.9060, XGB = 0.9180, and ensemble model = 0.9301). Previous malaria risk, population size, and meteorological factors influenced the model most in GBM and XGB. Conclusion: Machine-learning models with properly preprocessed malaria case data can provide reliable predictions. Additional predictors, such as mosquito density, should be included in future studies to improve the performance of models. © (2024), (The Korean Academy of Medical Sciences). All Rights Reserved.</t>
  </si>
  <si>
    <t xml:space="preserve">outbreak monitoring</t>
  </si>
  <si>
    <t xml:space="preserve">Journal of Korean Medical Science</t>
  </si>
  <si>
    <t xml:space="preserve">Korean Academy of Medical Science</t>
  </si>
  <si>
    <t xml:space="preserve">10.3346/jkms.2024.39.e176</t>
  </si>
  <si>
    <t xml:space="preserve">https://www.scopus.com/inward/record.uri?eid=2-s2.0-85195623826&amp;doi=10.3346%2fjkms.2024.39.e176&amp;partnerID=40&amp;md5=412b4ea552dad1565d40e1e746ef6907</t>
  </si>
  <si>
    <t xml:space="preserve">College of Veterinary Medicine, Chungbuk National University, Cheongju, South Korea; Division of Infectious Diseases, Department of Internal Medicine, College of Medicine, Soonchunhyang University, Asan, South Korea; Division of Control for Zoonotic and Vector Borne Disease, Korea Disease Control and Prevention Agency, Cheongju, South Korea; Division of Infectious Disease, Department of Internal Medicine, Yonsei University College of Medicine, Seoul, South Korea</t>
  </si>
  <si>
    <t xml:space="preserve">Min K.-D., College of Veterinary Medicine, Chungbuk National University, Cheongju, South Korea; Baek Y.J., Division of Infectious Diseases, Department of Internal Medicine, College of Medicine, Soonchunhyang University, Asan, South Korea; Hwang K., Division of Control for Zoonotic and Vector Borne Disease, Korea Disease Control and Prevention Agency, Cheongju, South Korea; Shin N.-R., Division of Control for Zoonotic and Vector Borne Disease, Korea Disease Control and Prevention Agency, Cheongju, South Korea; Lee S.-D., Division of Control for Zoonotic and Vector Borne Disease, Korea Disease Control and Prevention Agency, Cheongju, South Korea; Kan H., Division of Control for Zoonotic and Vector Borne Disease, Korea Disease Control and Prevention Agency, Cheongju, South Korea; Yeom J.-S., Division of Infectious Disease, Department of Internal Medicine, Yonsei University College of Medicine, Seoul, South Korea</t>
  </si>
  <si>
    <t xml:space="preserve">Extreme Gradient Boosting; Generalized Linear Model; Gradient Boosted Model; Machine Learning; Malaria; Predictor Model</t>
  </si>
  <si>
    <t xml:space="preserve">Algorithms; Area Under Curve; Humans; Incidence; Machine Learning; Malaria, Vivax; Plasmodium vivax; Republic of Korea; Risk Factors; ROC Curve; algorithm; area under the curve; epidemiology; human; incidence; isolation and purification; machine learning; Plasmodium vivax; Plasmodium vivax malaria; receiver operating characteristic; risk factor; South Korea</t>
  </si>
  <si>
    <t xml:space="preserve">Korea Disease Control and Prevention Agency, KDCA, (2021-07-013, 2022-07-004); Korea Disease Control and Prevention Agency, KDCA</t>
  </si>
  <si>
    <t xml:space="preserve">This study was supported by grants from the Korea Disease Control and Prevention Agency (2021-07-013 and 2022-07-004), South Korea.</t>
  </si>
  <si>
    <t xml:space="preserve">Im JH, Kim TS, Chung MH, Baek JH, Kwon HY, Lee JS., Current status and a perspective of mosquito- borne diseases in the Republic of Korea, Vector Borne Zoonotic Dis, 21, 2, pp. 69-77, (2021); Kim HC, Pacha LA, Lee WJ, Lee JK, Gaydos JC, Sames WJ, Et al., Malaria in the Republic of Korea, 19932007. Variables related to re-emergence and persistence of Plasmodium vivax among Korean populations and U.S. forces in Korea, Mil Med, 174, 7, pp. 762-769, (2009); Chai JY., History and current status of malaria in Korea, InfectChemother\2020, 52, 3, pp. 441-452; Bahk YY, Cho SH, Kim KN, Shin EH, Jeon BH, Kim JH, Et al., An epidemiological analysis of 28 vivax malaria cases in Gimpo-si, Korea, 2020, Korean J Parasitol2021, 59, 5, pp. 507-512; Global Technical Strategy for Malaria, 2016-2030, 2021 Update, (2021); Fu C, Lopes S, Mellor S, Aryal S, Sovannaroth S, Roca-Feltrer A., Experiences from developing and upgrading a web-based surveillance system for malaria elimination in Cambodia, JMIR Public Health Surveill, 3, 2, (2017); Saldanha R, Mosnier E, Barcellos C, Carbunar A, Charron C, Desconnets JC, Et al., Contributing to elimination of cross-border malaria through a standardized solution for case surveillance, data sharing, and data interpretation: development of a cross-border monitoring system, JMIR Public Health Surveill, 6, 3, (2020); Kan H, Kwon J, Park S, Kim H, Park S., Characteristics of reported malaria cases, 2020, Public Health Wkly Rep, 14, 17, pp. 1023-1035, (2021); Han B, Shin H, Lee H., Monitoring of malaria vector mosquitoes and Plasmodium vivax infection in the Republic of Korea, 2020, Public Health Wkly Rep, 15, 17, pp. 1131-1141, (2022); Jeon B, Park K, Kwon J, Jo E., Epidemiological characteristics of malaria patients in 2018, Public Health Wkly Rep, 12, 19, pp. 599-605, (2019); Ministry of the Interior and Safety (KR); Epidemiological Investigation of Malaria, (2023); KMA weather data service; Banerjee S, Carlin BP, Gelfand AE., Hierarchical Modeling and Analysis for Spatial Data, (2003); Ribeiro PJ, Diggle PJ, Ribeiro MP, Imports M., Package ‘geoR’, (2022); MODIS: Moderate Resolution Imaging Spectroradiometer; Busetto L, Ranghetti L., MODIStsp: an R package for automatic preprocessing of MODIS Land Products time series, Comput Geosci, 97, pp. 40-48, (2016); Hart T, Zandbergen P., Kernel density estimation and hotspot mapping: examining the influence of interpolation method, grid cell size, and bandwidth on crime forecasting, Policing, 37, 2, pp. 305-323, (2014); Caha J., SpatialKDE: Kernel Density Estimationfor Spatial Data (Version 0.8.2), (2022); Statistics Korea. SGIS: Statistical Geographic Information Service; Earth Observatory; Jarvis A, Reuter HI, Nelson A, Guevara E., Hole-filled SRTM for the globe Version 4, (2008); Hijmans RJ, Van Etten J, Cheng J, Mattiuzzi M, Sumner M, Greenberg JA, Et al., Package ‘raster'. R Package, (2022); Elith J, Leathwick JR, Hastie T., A working guide to boosted regression trees, J AnimEcol, 77, 4, pp. 802-813, (2008); Ridgeway G, Southworth MH, RUnit S., Package ‘gbm’, (2022); Li W, Yin Y, Quan X, Zhang H., Gene expression value prediction based on XGBoost algorithm, Front Genet, 10, (2019); Chen T, He T, Benesty M, Khotilovich V, Tang Y, Cho H, Et al., Xgboost: Extreme Gradient Boosting, (2022); Rembold CM., Number needed to screen: development of a statistic for disease screening, BMJ, 317, 7154, pp. 307-312, (1998); Kim Y, Ratnam JV, Doi T, Morioka Y, Behera S, Tsuzuki A, Et al., Malaria predictions based on seasonal climate forecasts in South Africa: a time series distributed lag nonlinear model, Sci Rep, 9, 1, (2019); Nkiruka O, Prasad R, Clement O., Prediction of malaria incidence using climate variability and machine learning, Inform Med Unlocked, 22, (2021); Wang M, Wang H, Wang J, Liu H, Lu R, Duan T, Et al., A novel model for malaria prediction based on ensemble algorithms, PLoS One, 14, 12, (2019); Cleary E, Hetzel MW, Siba PM, Lau CL, Clements AC., Spatial prediction of malaria prevalence in Papua New Guinea: a comparison of Bayesian decision network and multivariate regression modelling approaches for improved accuracy in prevalence prediction, Malar\J, 20, 1, (2021); Haque U, Magalhaes RJ, Reid HL, Clements AC, Ahmed SM, Islam A, Et al., Spatial prediction of malaria prevalence in an endemic area of Bangladesh, Malar\J, 9, 1, (2010); Zinszer K, Verma AD, Charland K, Brewer TF, Brownstein JS, Sun Z, Et al., A scoping review of malaria forecasting: past work and future directions, BMJ Open, 2, 6, (2012); Han ET, Lee DH, Park KD, Seok WS, Kim YS, Tsuboi T, Et al., Reemerging vivax malaria: changing patterns of annual incidence and control programs in the Republic of Korea, Korean J Parasitol, 44, 4, pp. 285-294, (2006); Linthicum KJ, Anyamba A, Killenbeck B, Lee WJ, Lee HC, Klein TA, Et al., Association of temperature and historical dynamics of malaria in the Republic of Korea, including reemergence in 1993, Mil Med, 179, 7, pp. 806-814, (2014); Kim YM, Park JW, Cheong HK., Estimated effect of climatic variables on the transmission of Plasmodium vivax malaria in the Republic of Korea, Environ Health Perspect, 120, 9, pp. 1314-1319, (2012); Ree HI., Studies on Anopheles sinensis, the vector species of vivax malaria in Korea, Korean J Parasitol, 43, 3, pp. 75-92, (2005); Donnelly B, Berrang-Ford L, Ross NA, Michel P., A systematic, realist review of zooprophylaxis for malaria control, MalarJ2015, 14, 1; Foley DH, Klein TA, Kim HC, Brown T, Wilkerson RC, Rueda LM., Validation of ecological niche models for potential malaria vectors in the Republic of Korea, J Am Mosq Control Assoc, 26, 2, pp. 210-213, (2010); Janko MM, Irish SR, Reich BJ, Peterson M, Doctor SM, Mwandagalirwa MK, Et al., The links between agriculture, Anopheles mosquitoes, and malaria risk in children younger than 5 years in the Democratic Republic of the Congo: a population-based, cross-sectional, spatial study, Lancet Planet Health, 2, 2, pp. e74-e82, (2018); Shah HA, Carrasco LR, Hamlet A, Murray KA., Exploring agricultural land-use and childhood malaria associations in sub-Saharan Africa, Sci Rep, 12, 1, (2022)</t>
  </si>
  <si>
    <t xml:space="preserve">J.-S. Yeom; Division of Infectious Disease, Department of Internal Medicine, Yonsei University College of Medicine, Seoul, South Korea; email: joonsup.yeom@yuhs.ac</t>
  </si>
  <si>
    <t xml:space="preserve">JKMSE</t>
  </si>
  <si>
    <t xml:space="preserve">J. Korean Med. Sci.</t>
  </si>
  <si>
    <t xml:space="preserve">2-s2.0-85195623826</t>
  </si>
  <si>
    <t xml:space="preserve">Neha A.S.; Chaturvedi V.; Shafique M.</t>
  </si>
  <si>
    <t xml:space="preserve">Neha, A.S. (57211534052); Chaturvedi, Vivek (36349164500); Shafique, Muhammad (17435669500)</t>
  </si>
  <si>
    <t xml:space="preserve">57211534052; 36349164500; 17435669500</t>
  </si>
  <si>
    <t xml:space="preserve">FRNet: A Feature-Rich CNN Architecture to Defend Against Adversarial Attacks</t>
  </si>
  <si>
    <t xml:space="preserve">Adversarial attacks that are possible in natural images are also transferable to medical images, paralyzing the diagnostic process and threatening the robustness of underlying Convolutional Neural Network (CNN) based classifiers. In this work, we have first demonstrated the effectiveness of well-known natural image adversarial attacks such as FGSM and PGD on Malaria cell images. Afterwards, we propose a novel defense methodology, namely FRNet, that leverages well-established features such as HOG, LBP, KAZE, and SIFT that are able to detect edges and objects while they remain robust against imperceptible adversarial perturbations. The method utilizes an MLP to efficiently concatenate the features to FRNet making it convenient and resulting in an architecturally neural and attack generic methodology. Our experimental results demonstrate that when applying FRNet on different CNN architectures such as simple CNN, EfficientNet, and MobileNet, it decreases the impact of adversarial attacks by as much as 67% compared to the corresponding base models. © 2013 IEEE.</t>
  </si>
  <si>
    <t xml:space="preserve">10.1109/ACCESS.2024.3364818</t>
  </si>
  <si>
    <t xml:space="preserve">https://www.scopus.com/inward/record.uri?eid=2-s2.0-85186168419&amp;doi=10.1109%2fACCESS.2024.3364818&amp;partnerID=40&amp;md5=1d4e8f517ad17468de8e0507f61de97e</t>
  </si>
  <si>
    <t xml:space="preserve">Indian Institute of Technology Palakkad, Palakkad, 678623, India; New York University Abu Dhabi, Department of Computer Engineering, Abu Dhabi, United Arab Emirates</t>
  </si>
  <si>
    <t xml:space="preserve">Neha A.S., Indian Institute of Technology Palakkad, Palakkad, 678623, India; Chaturvedi V., Indian Institute of Technology Palakkad, Palakkad, 678623, India; Shafique M., New York University Abu Dhabi, Department of Computer Engineering, Abu Dhabi, United Arab Emirates</t>
  </si>
  <si>
    <t xml:space="preserve">Adversarial attack; defense mechanism; malaria cell images; medical images; neural network</t>
  </si>
  <si>
    <t xml:space="preserve">Cells; Diagnosis; Diseases; Medical imaging; Network architecture; Network security; Object detection; Adversarial attack; Cell images; Convolutional neural network; Defence mechanisms; Diagnostic process; Malaria cell image; Medical image; Natural images; Neural network architecture; Neural-networks; Neural networks</t>
  </si>
  <si>
    <t xml:space="preserve">Bai X., Yan C., Yang H., Bai L., Zhou J., Hancock E.R., Adaptive hash retrieval with kernel based similarity, Pattern Recognit, 75, pp. 136-148, (2018); He K., Zhang X., Ren S., Sun J., Deep residual learning for image recognition, Proc. IEEE Conf. Comput. Vis. Pattern Recognit. (CVPR), pp. 770-778, (2016); Wang C., Bai X., Wang S., Zhou J., Ren P., Multiscale visual attention networks for object detection in VHR remote sensing images, IEEE Geosci. Remote Sens. Lett, 16, 2, pp. 310-314, (2019); Kermany D.S., Goldbaum M., Cai W., Valentim C.C., Liang H., Baxter S.L., McKeown A., Yang G., Wu X., Yan F., Identifying medical diagnoses and treatable diseases by image-based deep learning, Cell, 172, 5, pp. 1122-1131, (2018); Esteva A., Kuprel B., Novoa R.A., Ko J., Swetter S.M., Blau H.M., Thrun S., Dermatologist-level classification of skin cancer with deep neural networks, Nature, 542, 7639, pp. 115-118, (2017); Roth H.R., Lu L., Farag A., Shin H.-C., Liu J., Turkbey E.B., Summers R.M., DeepOrgan: Multi-level deep convolutional networks for automated pancreas segmentation, Medical Image Computing and Computer-Assisted Intervention-MICCAI 2015. Cham, Switzerland: Springer, pp. 556-564, (2015); Goodfellow I.J., Shlens J., Szegedy C., Explaining and harnessing adversarial examples, (2014); Midry A., Makelov A., Schmidt L., Tsipras D., Vladu A., Towards deep learning models resistant to adversarial attacks, Stat, 1050, (2017); Zhang H., Yu Y., Jiao J., Xing E., Ghaoui L.E., Jordan M., Theoretically principled trade-off between robustness and accuracy, Proc. Int. Conf. Mach. Learn, pp. 7472-7482, (2019); Xie C., Wang J., Zhang Z., Ren Z., Yuille A., Mitigating adversarial effects through randomization, (2017); Finlayson S.G., Won Chung H., Kohane I.S., Beam A.L., Adversarial attacks against medical deep learning systems, (2018); Liu S., Setio A.A.A., Ghesu F.C., Gibson E., Grbic S., Georgescu B., Comaniciu D., No surprises: Training robust lung nodule detection for low-dose CT scans by augmenting with adversarial attacks, IEEE Trans. Med. Imag, 40, 1, pp. 335-345, (2021); Levy M., Amit G., Elovici Y., Mirsky Y., The security of deep learning defences for medical imaging, (2022); Li Y., Zhang H., Bermudez C., Chen Y., Landman B.A., Vorobeychik Y., Anatomical context protects deep learning from adversarial perturbations in medical imaging, Neurocomputing, 379, pp. 370-378, (2020); Kumar S., Janet B., Neelakantan S., Identification of malware families using stacking of textural features and machine learning, Expert Syst. Appl, 208, (2022); Uwimana A., Senanayake R., Out of distribution detection and adversarial attacks on deep neural networks for robust medical image analysis, (2021); Jia X., Wei X., Cao X., Foroosh H., ComDefend: An efficient image compression model to defend adversarial examples, Proc. IEEE/CVF Conf. Comput. Vis. Pattern Recognit. (CVPR), pp. 6084-6092, (2019); Kurakin A., Goodfellow I.J., Bengio S., Adversarial examples in the physical world, Proc. Artif. Intell. Saf. Secur, pp. 99-112, (2018); Wang Y., Zou D., Yi J., Bailey J., Ma X., Gu Q., Improving adversarial robustness requires revisiting misclassified examples, Proc. Int. Conf. Learn. Represent, (2020); Liang Z., Powell A., Ersoy I., Poostchi M., Silamut K., Palaniappan K., Guo P., Hossain M.A., Sameer A., Maude R.J., CNN-based image analysis for malaria diagnosis, Proc. IEEE Int. Conf. Bioinf. Biomed. (BIBM), pp. 493-496, (2016); Dong Y., Jiang Z., Shen H., Pan W.D., Williams L.A., Reddy V.V., Benjamin W.H., Bryan A.W., Evaluations of deep convolutional neural networks for automatic identification of malaria infected cells, Proc. IEEE EMBS Int. Conf. Biomed. Health Inform. (BHI), pp. 101-104, (2017); Ananda Kumar K.S., Prasad A.Y., Metan J., A hybrid deep CNNCov-19-Res-Net transfer learning architype for an enhanced brain tumor detection and classification scheme in medical image processing, Biomed. Signal Process. Control, 76, (2022); Tiwari P., Pant B., Elarabawy M.M., Abd-Elnaby M., Mohd N., Dhiman G., Sharma S., CNN based multiclass brain tumor detection using medical imaging, Comput. Intell. Neurosci, 2022, pp. 1-8, (2022); Hebbale S., Marndi A., Achyutha P.N., Manjula G., Mohan B.R., Jagadeesh B.N., Automated medical image classification using deep learning, Int. J. Health Sci, 6, 5, pp. 1650-1667, (2022); Aytac U.C., Gune A., Ajlouni N., A novel adaptive momentum method for medical image classification using convolutional neural network, BMC Med. Imag, 22, 1, pp. 1-12, (2022); Srikantamurthy M.M., Rallabandi V.P.S., Dudekula D.B., Natarajan S., Park J., Classification of benign and malignant subtypes of breast cancer histopathology imaging using hybrid CNN-LSTM based transfer learning, BMC Med. Imag, 23, 1, pp. 1-15, (2023); Chehade A.H., Abdallah N., Marion J.-M., Oueidat M., Chauvet P., Lung and colon cancer classification using medical imaging: A feature engineering approach, Phys. Eng. Sci. Med, 45, 3, pp. 729-746, (2022); Jiwani N., Gupta K., Afreen N., A convolutional neural network approach for diabetic retinopathy classification, Proc. IEEE 11th Int. Conf. Commun. Syst. Netw. Technol. (CSNT), pp. 357-361, (2022); Ju L., Wang X., Wang L., Mahapatra D., Zhao X., Zhou Q., Liu T., Ge Z., Improving medical images classification with label noise using dual-uncertainty estimation, IEEE Trans. Med. Imag, 41, 6, pp. 1533-1546, (2022); Ma X., Niu Y., Gu L., Wang Y., Zhao Y., Bailey J., Lu F., Understanding adversarial attacks on deep learning based medical image analysis systems, Pattern Recognit, 110, (2021); Paschali M., Conjeti S., Navarro F., Navab N., Generalizability vs. robustness: Investigating medical imaging networks using adversarial examples, Proc. Medical Image Computing and Computer-Assisted Intervention-MICCAI 2018, Granada, Spain. Cham, Switzerland: Springer, pp. 493-501, (2018); Xu M., Zhang T., Li Z., Liu M., Zhang D., Towards evaluating the robustness of deep diagnostic models by adversarial attack, Med. Image Anal, 69, (2021); Pervin M.T., Huq A., A study of adversarial attacks on malaria cell image classification, Proc. IEEE Int. Women Eng. (WIE) Conf. Electr. Comput. Eng. (WIECON-ECE), pp. 79-82, (2021); Roh J., Impact of adversarial training on the robustness of deep neural networks, Proc. IEEE 5th Int. Conf. Inf. Syst. Comput. Aided Educ. (ICISCAE), pp. 560-566, (2022); Hu L., Zhou D.-W., Guo X.-Y., Xu W.-H., Wei L.-M., Zhao J.-G., Adversarial training for prostate cancer classification using magnetic resonance imaging, Quant. Imag. Med. Surgery, 12, 6, pp. 3276-3287, (2022); Hickling T., Aouf N., Spencer P., Robust adversarial attacks detection based on explainable deep reinforcement learning for UAV guidance and planning, IEEE Trans. Intell. Vehicles, 8, 10, pp. 4381-4394, (2023); Qin C., Chen Y., Chen K., Dong X., Zhang W., Mao X., He Y., Yu N., Feature fusion based adversarial example detection against second-round adversarial attacks, IEEE Trans. Artif. Intell, 4, pp. 1029-1040, (2022); Michel A., Ewetz R., Gradient-based adversarial attack detection via deep feature extraction, Proc. SoutheastCon, pp. 213-220, (2022); Wu K., Tian B., Wen Y., Wang X., Detecting adversarial examples using rich residual models to improve data security in CNN models, Proc. 7th Int. Conf. Commun., Image Signal Process. (CCISP), pp. 514-518, (2022); Huq A., Pervin M.T., Robust deep neural network model for identification of malaria parasites in cell images, Proc. IEEE Region 10 Symp. (TENSYMP), pp. 1456-1459, (2020); Rajaraman S., Jaeger S., Antani S.K., Performance evaluation of deep neural ensembles toward malaria parasite detection in thin-blood smear images, PeerJ, 7, (2019); Dalal N., Triggs B., Histograms of oriented gradients for human detection, Proc. IEEE Comput. Soc. Conf. Comput. Vis. Pattern Recognit. (CVPR), San Diego, CA, USA, pp. 886-893, (2005); Ojala T., Pietikainen M., Harwood D., A comparative study of texture measures with classification based on featured distributions, Pattern Recognit, 29, 1, pp. 51-59, (1996); Alcantarilla P.F., Bartoli A., Davison A.J., KAZE features, Proc. 12th Eur. Conf. Comput. Vis. (ECCV), Florence, Italy. Cham, Switzerland: Springer, pp. 214-227, (2012); Lowe D.G., Distinctive image features from scale-invariant keypoints, Int. J. Comput. Vis, 60, 2, pp. 91-110, (2004); Tan M., Le Q., EfficientNet: Rethinking model scaling for convolutional neural networks, Proc. 36th Int. Conf. Mach. Learn, pp. 6105-6114, (2019); Howard A.G., Zhu M., Chen B., Kalenichenko D., Wang W., Weyand T., Andreetto M., Adam H., MobileNets: Efficient convolutional neural networks for mobile vision applications, (2017); Karolina Dziugaite G., Ghahramani Z., Roy D.M., A study of the effect of JPG compression on adversarial images, (2016)</t>
  </si>
  <si>
    <t xml:space="preserve">A.S. Neha; Indian Institute of Technology Palakkad, Palakkad, 678623, India; email: 111914005@smail.iitpkd.ac.in</t>
  </si>
  <si>
    <t xml:space="preserve">2-s2.0-85186168419</t>
  </si>
  <si>
    <t xml:space="preserve">Nivedita; Garg R.; Agrawal S.; Sharma A.; Sharma M.K.</t>
  </si>
  <si>
    <t xml:space="preserve">Nivedita (57470745700); Garg, Riddhi (59395754800); Agrawal, Seema (57210538099); Sharma, Ajendra (58931489500); Sharma, M.K. (35472644600)</t>
  </si>
  <si>
    <t xml:space="preserve">57470745700; 59395754800; 57210538099; 58931489500; 35472644600</t>
  </si>
  <si>
    <t xml:space="preserve">Fuzzy hybrid approach for advanced teaching learning technique with particle swarm optimization in the diagnostic of dengue disease</t>
  </si>
  <si>
    <t xml:space="preserve">Dengue fever is a serious public health issue worldwide, particularly in tropical and subtropical areas. Early detection and accurate diagnosis are essential for effective management and control of the disease. In this study, we present a fuzzy hybrid approach (F-TLBO-APSO) for the detection and diagnosis of dengue disease using an advanced teaching-learning technique with adaptive particle swarm optimization. The proposed method combines the strengths of fuzzy logic, teaching learning-based optimization (TLBO), and adaptive particle swarm optimization (APSO) to improve the accuracy and efficiency of dengue detection based on symptoms. A key challenge addressed is the management of uncertain information existing in the problem. To validate the proposed technique, we applied it to a case study, demonstrating its robustness. The results indicate the versatility of the F-TLBO-APSO algorithm and highlight its value in detecting dengue based on symptoms. Our numerical computations reveal the advantages of the F-TLBO-APSO algorithm compared to TLBO and APSO. © 2024 The Author(s)</t>
  </si>
  <si>
    <t xml:space="preserve">Systems and Soft Computing</t>
  </si>
  <si>
    <t xml:space="preserve">Academic Press</t>
  </si>
  <si>
    <t xml:space="preserve">10.1016/j.sasc.2024.200160</t>
  </si>
  <si>
    <t xml:space="preserve">https://www.scopus.com/inward/record.uri?eid=2-s2.0-85208182819&amp;doi=10.1016%2fj.sasc.2024.200160&amp;partnerID=40&amp;md5=605e80ce7978009dd8d76dfcd2390299</t>
  </si>
  <si>
    <t xml:space="preserve">Department of Mathematics, SSV (PG) College, Hapur, Chaudhary Charan Singh University, Meerut, India; Department of Mathematics (SOS) IFTM University, Lodhipur Rajput, Delhi Road, Meerut, Moradabad, 244102, India; Department of Mathematics, NAS College, Meerut, Chaudhary Charan Singh University, Meerut, India; Department of Mathematics, Chaudhary Charan Singh University, Meerut, 250004, India</t>
  </si>
  <si>
    <t xml:space="preserve">Nivedita, Department of Mathematics, SSV (PG) College, Hapur, Chaudhary Charan Singh University, Meerut, India; Garg R., Department of Mathematics (SOS) IFTM University, Lodhipur Rajput, Delhi Road, Meerut, Moradabad, 244102, India; Agrawal S., Department of Mathematics, SSV (PG) College, Hapur, Chaudhary Charan Singh University, Meerut, India; Sharma A., Department of Mathematics, NAS College, Meerut, Chaudhary Charan Singh University, Meerut, India; Sharma M.K., Department of Mathematics, Chaudhary Charan Singh University, Meerut, 250004, India</t>
  </si>
  <si>
    <t xml:space="preserve">Adaptive particle swarm optimization; Dengue disease; Fuzzy hybrid approach; Teaching learning technique</t>
  </si>
  <si>
    <t xml:space="preserve">Adversarial machine learning; Diseases; Federated learning; Particle swarm optimization (PSO); Adaptive particle swarm optimization algorithm; Adaptive particle swarm optimizations; Dengue disease; Fuzzy hybrid approach; Hybrid approach; Learning techniques; Particle swarm; Teaching learning technique; Teaching-learning; Teaching-learning-based optimizations; Contrastive Learning</t>
  </si>
  <si>
    <t xml:space="preserve">Rao R.V., Savsani V.J., Vakharia D.P., Teaching–learning-based optimization: A novel method for constrained mechanical design optimization problems, Computer-Aided Design, 43, pp. 303-315, (2011); Zeron E.M., Fernandez M.A., Hurtado E.G., Olmedo A.S., JM Method to improve airborne pollution forecasting by using ant colony optimization and neuro-fuzzy algorithms, Int. J. Intell. Sci., 4, 4, (2014); Eusuff M., Lansey E., Optimization of water distribution network design using the shuffled frog leaping algorithm, J. Water. Resour. Plan. Manage, 129, pp. 210-225, (2003); Geem Z.W., Kim J.H., Loganathan G.V., A new heuristic optimization algorithm: harmony search, Simulation., 76, pp. 60-65, (2001); Rao R.V., Savsani V.J., Vakharia D.P., Teaching–Learning-Based Optimization: An optimization method for continuous non-linear large-scale problems, Information Sciences, 183, pp. 1-15, (2012); Rao R.V., Savsani V.J., Balic J., Teaching–learning-based optimization algorithm for unconstrained and constrained real-parameter optimization problems, Engineering Optimization, 44, 12, pp. 1447-1462, (2012); Rao R.V., Waghmare G.G., Solving Composite Test Functions Using Teaching-Learning Based Optimization Algorithm, Proceedings of the International Conference on Frontiers of Intelligent Computing: Theory and Applications (FICTA), 199, pp. 395-403, (2013); Rao R.V., Savsani V.J., Multi-objective design optimization of a robot gripper using TLBO technique, Proceedings of the Second Indo-Russian Joint Workshop on Computational Intelligence. Modern Heuristics in Automation and Robotics, pp. 184-188, (2011); Zexuan S., Qingyong Z., Shangyang H., New Teaching-Learning-Based Optimization Algorithm with Course Selection, In 2018 Chinese Automation Congress (CAC), pp. 858-863, (2018); Nayak J., Naik B., Behera H.S., Abraham A., Elitist teaching–learning-based optimization (ETLBO) with higher-order Jordan Pi-sigma neural network: a comparative performance analysis, Neural Computing and Applications, 30, 5, pp. 1445-1468, (2018); Baykasoglu A., Hamzadayi K.S., Testing the performance of teaching-learning based optimization (TLBO) algorithm on combinatorial problems: Flow shop and job shop scheduling cases, Information Sciences, 276, pp. 204-218, (2014); Kennedy J., Eberhart R., Particle swarm optimization, Proceedings of ICNN'95-international conference on neural networks, 4, pp. 1942-1948, (1995); Wang H., Liu Y., Li C., Zeng S., (2007); Han L., He X., A novel opposition-based particle swarm optimization for noisy problems, Third International Conference on Natural Computation (ICNC 2007), 3, pp. 624-629, (2007); Engelbrecht A.P., Computational swarm intelligence, Computational Intelligence: An Introduction, pp. 285-412, (2007); Shi Y., Eberhart R., A modified particle swarm optimizer, In 1998 IEEE international conference on evolutionary computation proceedings, IEEE world congress on computational intelligence (Cat. No. 98TH8360), pp. 69-73, (1998); Weidong J., Songyu Z., A Filtering Mechanism Based Optimization for Particle Swarm Optimization Algorithm, International Journal of u-and e-Service Science and Technology, 9, 1, pp. 179-186, (2016); Belohlavek R., Dauben J.W., Klir G.J., Fuzzy Logic and Mathematics: A Historical Perspective, (2017); Nguyen H.T., Walker E.A., A First Course in Fuzzy Logic, (2005); Ross T.J., (2016); Zadeh L.A., Fuzzy logic and approximate reasoning, Synthese, 30, 3, pp. 407-428, (1975); Zadeh L.A., Fuzzy sets, Information and Control, 8, pp. 338-353, (1965); Zhang W., Liu Y., Multi-objective reactive power and voltage control based on fuzzy optimization strategy and fuzzy adaptive particle swarm, Int J Electric Power Energy Syst, 30, pp. 525-532, (2008); Niknam T., Fard A.K., A Distribution feeder reconfiguration considering fuel cell/wind/photovoltaic power plants, J Renew Energy, 37, pp. 213-225, (2012); Ayan K., Kilic U., Artificial bee colony algorithm solution for optimal reactive power flow, Appl. Soft. Comput., 12, pp. 1477-1482, (2012); Mandal B., Roy P.K., Optimal reactive power dispatch using quasi-oppositional teaching learning-based optimization, Int J Electric Power Energy Syst, 53, pp. 123-134, (2013); Moghadam A., Seifi A.R., Fuzzy-TLBO optimal reactive power control variables planning for energy loss minimization, Energy Convers. Manage, 77, pp. 208-215, (2014); Feng H.M., Chen C.Y., Ye F., Evolutionary fuzzy particle swarm optimization vector quantization learning scheme in image compression, Expert. Syst. Appl., 32, 1, pp. 213-222, (2007); Unler A., Murat A., A discrete particle swarm optimization method for feature selection in binary classification problems, European Journal of Operational Research, 206, 3, pp. 528-539, (2010); Silva Filho T.M., Pimentel B.A., Souza R.M., Oliveira A.L., Hybrid methods for fuzzy clustering based on fuzzy c-means and improved particle swarm optimization, Expert. Syst. Appl., 42, 17-18, pp. 6315-6328, (2015); da Silva G.L.F., Valente T.L.A., Silva A.C., de Paiva A.C., Gattass M., Convolutional neural network-based PSO for lung nodule false positive reduction on CT images, Comput. Methods Programs Biomed., 162, pp. 109-118, (2018); Verma H., Verma D., Tiwari P.K., A population based hybrid FCM-PSO algorithm for clustering analysis and segmentation of brain image, Expert. Syst. Appl., 167, (2021); Rostami M., Forouzandeh S., Berahmand K., Soltani M., Integration of multi-objective PSO based feature selection and node centrality for medical datasets, Genomics, 112, 6, pp. 4370-4384, (2020); Sugeno M., Industrial Applications of Fuzzy Control, (1985); Sharma M.K., Dhiman N., Verma S., Mishra V.N., Mediative neuro fuzzy inference and mediative fuzzy expert system for the identification of severity diagnosis of the dengue patients, AIP Conference Proceedings, (2021); Abdul Gafoor S.H., Theagarajan P., Intelligent approach of score-based artificial fish swarm algorithm (SAFSA) for Parkinson's disease diagnosis, International Journal of Intelligent Computing and Cybernetics, 15, 4, pp. 540-561, (2022); Kaur S., Chahal K.K., Prediction of Chikungunya disease using PSO-based adaptive neuro-fuzzy inference system model, International Journal of Computers and Applications, 44, 7, pp. 641-649, (2022); Nasir M.H., Khan S.A., Khan M.M., Fatima M., Swarm intelligence inspired intrusion detection systems—A systematic literature review, Comput. Netw., 205, (2022); Singh J., A Comprehensive Survey of PSO-ACO Optimization and Swarm Intelligence in Healthcare: Implications for Medical Image Analysis and Disease Surveillance, In 2023 3rd Asian Conference on Innovation in Technology (ASIANCON), pp. 1-6, (2023); Molaei S., Cirillo S., Solimando G., Cancer Detection Using a New Hybrid Method Based on Pattern Recognition in MicroRNAs Combining Particle Swarm Optimization Algorithm and Artificial Neural Network, Big. Data Cogn. Comput., 8, 3, (2024); Subasi A., Classification of EMG signals using PSO optimized SVM for diagnosis of neuromuscular disorders, Comput. Biol. Med., 43, 5, pp. 576-586, (2013); Gambhir S., Malik S.K., Kumar Y., PSO-ANN based diagnostic model for the early detection of dengue disease, New. Horiz. Transl. Med., 4, 1-4, pp. 1-8, (2017); Samuel O.W., Asogbon G.M., Sangaiah A.K., Fang P., Li G., An integrated decision support system based on ANN and Fuzzy_AHP for heart failure risk prediction, Expert. Syst. Appl., 68, pp. 163-172, (2017)</t>
  </si>
  <si>
    <t xml:space="preserve">M.K. Sharma; Department of Mathematics, Chaudhary Charan Singh University, Meerut, 250004, India; email: drmukeshsharma@gmail.com</t>
  </si>
  <si>
    <t xml:space="preserve">Syst. Soft. Comput.</t>
  </si>
  <si>
    <t xml:space="preserve">2-s2.0-85208182819</t>
  </si>
  <si>
    <t xml:space="preserve">Lin L.; Spreng R.L.; Seaton K.E.; Moses Dennison S.; Dahora L.C.; Schuster D.J.; Sawant S.; Gilbert P.B.; Fong Y.; Kisalu N.; Pollard A.J.; Tomaras G.D.; Li J.</t>
  </si>
  <si>
    <t xml:space="preserve">Lin, Lin (37052417100); Spreng, Rachel L. (57211977342); Seaton, Kelly E. (35084249700); Moses Dennison, S. (6503892504); Dahora, Lindsay C. (57211978853); Schuster, Daniel J. (57965391600); Sawant, Sheetal (56665202100); Gilbert, Peter B. (57203077901); Fong, Youyi (52063251000); Kisalu, Neville (16444807500); Pollard, Andrew J. (7103193821); Tomaras, Georgia D. (6507517468); Li, Jia (56029052900)</t>
  </si>
  <si>
    <t xml:space="preserve">37052417100; 57211977342; 35084249700; 6503892504; 57211978853; 57965391600; 56665202100; 57203077901; 52063251000; 16444807500; 7103193821; 6507517468; 56029052900</t>
  </si>
  <si>
    <t xml:space="preserve">GeM-LR: Discovering predictive biomarkers for small datasets in vaccine studies</t>
  </si>
  <si>
    <t xml:space="preserve">Despite significant progress in vaccine research, the level of protection provided by vaccination can vary significantly across individuals. As a result, understanding immunologic variation across individuals in response to vaccination is important for developing next-generation efficacious vaccines. Accurate outcome prediction and identification of predictive biomarkers would represent a significant step towards this goal. Moreover, in early phase vaccine clinical trials, small datasets are prevalent, raising the need and challenge of building a robust and explainable prediction model that can reveal heterogeneity in small datasets. We propose a new model named Generative Mixture of Logistic Regression (GeM-LR), which combines characteristics of both a generative and a discriminative model. In addition, we propose a set of model selection strategies to enhance the robustness and interpretability of the model. GeM-LR extends a linear classifier to a non-linear classifier without losing interpretability and empowers the notion of predictive clustering for characterizing data heterogeneity in connection with the outcome variable. We demonstrate the strengths and utility of GeM-LR by applying it to data from several studies. GeM-LR achieves better prediction results than other popular methods while providing interpretations at different levels. Copyright: © 2024 Lin et al. This is an open access article distributed under the terms of the Creative Commons Attribution License, which permits unrestricted use, distribution, and reproduction in any medium, provided the original author and source are credited.</t>
  </si>
  <si>
    <t xml:space="preserve">e1012581</t>
  </si>
  <si>
    <t xml:space="preserve">10.1371/journal.pcbi.1012581</t>
  </si>
  <si>
    <t xml:space="preserve">https://www.scopus.com/inward/record.uri?eid=2-s2.0-85209902762&amp;doi=10.1371%2fjournal.pcbi.1012581&amp;partnerID=40&amp;md5=c943802a3321c2e407fb9412670f3038</t>
  </si>
  <si>
    <t xml:space="preserve">Department of Biostatistics and Bioinformatics, Duke University, Durham, NC, United States; Center for Human Systems Immunology, Duke University, Durham, NC, United States; Duke Human Vaccine Institute, Duke University, Durham, NC, United States; Department of Surgery, Duke University, Durham, NC, United States; Department of Integrative Immunobiology, Duke University, Durham, NC, United States; Vaccine and Infectious Disease Division, Fred Hutchinson Cancer Center, Seattle, WA, United States; Center for Vaccine Innovation and Access, PATH, Washington, DC, United States; Pandemic Sciences Institute, University of Oxford, Oxford, United Kingdom; Department of Pediatrics, Children’s Hospital, University of Oxford, Oxford, United Kingdom; Department of Molecular Genetics and Microbiology, Duke University, Durham, NC, United States; Department of Statistics, The Pennsylvania State University, PA, United States</t>
  </si>
  <si>
    <t xml:space="preserve">Lin L., Department of Biostatistics and Bioinformatics, Duke University, Durham, NC, United States, Center for Human Systems Immunology, Duke University, Durham, NC, United States; Spreng R.L., Center for Human Systems Immunology, Duke University, Durham, NC, United States, Duke Human Vaccine Institute, Duke University, Durham, NC, United States; Seaton K.E., Center for Human Systems Immunology, Duke University, Durham, NC, United States, Department of Surgery, Duke University, Durham, NC, United States; Moses Dennison S., Center for Human Systems Immunology, Duke University, Durham, NC, United States, Department of Surgery, Duke University, Durham, NC, United States; Dahora L.C., Center for Human Systems Immunology, Duke University, Durham, NC, United States, Duke Human Vaccine Institute, Duke University, Durham, NC, United States, Department of Integrative Immunobiology, Duke University, Durham, NC, United States; Schuster D.J., Center for Human Systems Immunology, Duke University, Durham, NC, United States, Department of Surgery, Duke University, Durham, NC, United States, Department of Integrative Immunobiology, Duke University, Durham, NC, United States; Sawant S., Center for Human Systems Immunology, Duke University, Durham, NC, United States, Department of Surgery, Duke University, Durham, NC, United States; Gilbert P.B., Vaccine and Infectious Disease Division, Fred Hutchinson Cancer Center, Seattle, WA, United States; Fong Y., Vaccine and Infectious Disease Division, Fred Hutchinson Cancer Center, Seattle, WA, United States; Kisalu N., Center for Vaccine Innovation and Access, PATH, Washington, DC, United States; Pollard A.J., Pandemic Sciences Institute, University of Oxford, Oxford, United Kingdom, Department of Pediatrics, Children’s Hospital, University of Oxford, Oxford, United Kingdom; Tomaras G.D., Center for Human Systems Immunology, Duke University, Durham, NC, United States, Duke Human Vaccine Institute, Duke University, Durham, NC, United States, Department of Surgery, Duke University, Durham, NC, United States, Department of Integrative Immunobiology, Duke University, Durham, NC, United States, Department of Molecular Genetics and Microbiology, Duke University, Durham, NC, United States; Li J., Department of Statistics, The Pennsylvania State University, PA, United States</t>
  </si>
  <si>
    <t xml:space="preserve">Algorithms; Biomarkers; Computational Biology; Humans; Logistic Models; Vaccination; Vaccines; Logistic regression; Prediction models; BCG vaccine; biological marker; Human immunodeficiency virus vaccine; malaria vaccine; tetanus toxoid; biological marker; vaccine; Clinical trial; Discriminative models; Interpretability; Levels of protections; Linear classifiers; Logistics regressions; Model Selection; Outcome prediction; Prediction modelling; Small data set; Article; bootstrap cross validation; bootstrapping; clinical trial (topic); expectation-maximization algorithm; generative mixture of logistic regression analysis; human; Human immunodeficiency virus infection; immune response; immune system; immunization; interferometry; k nearest neighbor; logistic regression analysis; machine learning; malaria; mathematical phenomena; proof of concept; random forest; Salmonella enterica serovar Typhi; time series analysis; typhoid fever; vaccination; algorithm; bioinformatics; immunology; procedures; statistical model; vaccination; Biomarkers</t>
  </si>
  <si>
    <t xml:space="preserve">tetanus toxoid, 57425-69-1, 93384-51-1; Biomarkers, ; Vaccines, </t>
  </si>
  <si>
    <t xml:space="preserve">MATLAB; R package, R Foundation, United States</t>
  </si>
  <si>
    <t xml:space="preserve">R Foundation, United States</t>
  </si>
  <si>
    <t xml:space="preserve">GlaxoSmithKline Biologicals, GSK; PATH’s Center for Vaccine Innovation and Access; CVIA; National Science Foundation, NSF, (MAL071, MAL092, NCT03162614, EudraCT2014-002978-36, CCF-2205004, MAL068, NCT01857869, HVTN 505, NCT00865566, NCT01366534); National Science Foundation, NSF; Bill and Melinda Gates Foundation, BMGF, (INV-008612); Bill and Melinda Gates Foundation, BMGF</t>
  </si>
  <si>
    <t xml:space="preserve">This study was supported by grants for the Antibody Dynamics platform of the Global Health\u2014Discovery Collaboratory (GHDC) from the Bill and Melinda Gates Foundation (Grant INV-008612 to GDT). JL is supported by the National Science Foundation (NSF) via grant CCF-2205004. The funders had no role in the study design, data collection and analysis, decision to publish, or preparation of the manuscript. We thank the participants, clinical staff and study teams of HVTN 505 (NCT00865566), Vaccines against Salmonella Typhi (VAST; EudraCT2014-002978-36), MAL068 (NCT01366534), MAL071 (NCT01857869), and MAL092 (NCT03162614) vaccine clinical trials. We thank PATH\u2019s Center for Vaccine Innovation and Access (CVIA) and GSK (Belgium) for providing CHMI data. We thank Nicole Yates, Caroline Brackett, Sir\u2019Tauria Hilliard, Gillian Q. Horn, Milite Abraha, Richard H. C. Huntwork, Matthew Reichartz, Michelle Rojas, Frederick Feely, Aaron Deal, Kan Li, Alex Carnacchi, Elizabeth Feeney, Siam Shabbir, Martina Wesley, Valerie Bekker, S. Munir Alam, Sheetij Dutta, Scott Gregory, Ulrike Wille-Reece for their contributions in generating the serological datasets for primary studies. We also thank Sarah V. Mudrak and M. Umar Qureshi for program support.</t>
  </si>
  <si>
    <t xml:space="preserve">Le DH., Machine learning-based approaches for disease gene prediction, Brief Funct Genomics, 19, 5–6, pp. 350-363, (2020); Ye J, Wang S, Yang X, Tang X., Gene prediction of aging-related diseases based on DNN and Mashup, BMC Bioinformatics, 22, 1, (2021); Ma T, Zhang H, Ong H, Vora A, Nguyen TD, Gupta A, Et al., Ensembling Low Precision Models for Binary Biomedical Image Segmentation; De Souza FSH, Hojo-Souza NS, Dos Santos EB, Da Silva CM, Guidoni DL., Predicting the Disease Outcome in COVID-19 Positive Patients Through Machine Learning: A Retrospective Cohort Study With Brazilian Data, Front Artif Intell, 4, (2021); Qian X, Li Y, Zhang X, Guo H, He J, Wang X, Et al., A Cardiovascular Disease Prediction Model Based on Routine Physical Examination Indicators Using Machine Learning Methods: A Cohort Study, Front Cardiovasc Med, 9, (2022); Rasmy L, Nigo M, Kannadath BS, Xie Z, Mao B, Patel K, Et al., Recurrent neural network models (CovRNN) for predicting outcomes of patients with COVID-19 on admission to hospital: model development and validation using electronic health record data, Lancet Digit Health, 4, 6, pp. e415-e25, (2022); Shipp MA, Ross KN, Tamayo P, Weng AP, Kutok JL, Aguiar RC, Et al., Diffuse large B-cell lymphoma outcome prediction by gene-expression profiling and supervised machine learning, Nat Med, 8, 1, pp. 68-74, (2002); Collier DA, Ferreira I, Kotagiri P, Datir RP, Lim EY, Touizer E, Et al., Age-related immune response heterogeneity to SARS-CoV-2 vaccine BNT162b2, Nature, 596, 7872, pp. 417-422, (2021); Kerneis S, Launay O, Turbelin C, Batteux F, Hanslik T, Boelle PY., Long-term immune responses to vaccination in HIV-infected patients: a systematic review and meta-analysis, Clin Infect Dis, 58, 8, pp. 1130-1139, (2014); Yap XZ, McCall MBB, Sauerwein RW., Fast and fierce versus slow and smooth: Heterogeneity in immune responses to Plasmodium in the controlled human malaria infection model, Immunol Rev, 293, 1, pp. 253-269, (2020); Yates NL, deCamp AC, Korber BT, Liao HX, Irene C, Pinter A, Et al., HIV-1 Envelope Glycoproteins from Diverse Clades Differentiate Antibody Responses and Durability among Vaccinees, J Virol, 92, 8, (2018); Lin LY, Carapito R, Su B, Moog C., Fc receptors and the diversity of antibody responses to HIV infection and vaccination, Genes Immun, 23, 5, pp. 149-156, (2022); Plotkin SA., Recent updates on correlates of vaccine-induced protection, Front Immunol, 13, (2022); Alter G, Barouch D., Immune Correlate-Guided HIV Vaccine Design, Cell Host Microbe, 24, 1, pp. 25-33, (2018); Lopez Angel CJ, Tomaras GD., Bringing the path toward an HIV-1 vaccine into focus, PLoS Pathog, 16, 9, (2020); Pantaleo G, Koup RA., Correlates of immune protection in HIV-1 infection: what we know, what we don’t know, what we should know, Nat Med, 10, 8, pp. 806-810, (2004); Tibshirani R., Regression Shrinkage and Selection via the Lasso, Journal of the Royal Statistical Society Series B (Methodological), 58, 1, pp. 267-288, (1996); Zou H, Hastie T., Regularization and variable selection via the elastic net (vol B 67, pg 301, 2005), J R Stat Soc B, 67, (2005); Cover TM, Hart PE., Nearest Neighbor Pattern Classification, Ieee T Inform Theory, 13, 1, (1967); Breiman L., Random forests, Mach Learn, 45, 1, pp. 5-32, (2001); Medvedovic M, Yeung KY, Bumgarner RE., Bayesian mixture model based clustering of replicated microarray data, Bioinformatics, 20, 8, pp. 1222-1232, (2004); Permuter H, Francos J, Jermyn I., A study of Gaussian mixture models of color and texture features for image classification and segmentation, Pattern Recogn, 39, 4, pp. 695-706, (2006); Fraley C, Raftery AE., Bayesian regularization for normal mixture estimation and model-based clustering, J Classif, 24, 2, pp. 155-181, (2007); McNicholas PD, Murphy TB., Model-based clustering of microarray expression data via latent Gaussian mixture models, Bioinformatics, 26, 21, pp. 2705-2712, (2010); Kumari RSS, Nidhyananthan SS, Anand G., Fused Mel Feature sets based Text-Independent Speaker Identification using Gaussian Mixture Model, Procedia Engineer, 30, pp. 319-326, (2012); Li W, Lin L, Malhotra R, Yang L, Acharya R, Poss M., A computational framework to assess genome-wide distribution of polymorphic human endogenous retrovirus-K In human populations, PLoS Comput Biol, 15, 3, (2019); Lin L, Shi W, Ye J, Li J., Multisource single-cell data integration by MAW barycenter for Gaussian mixture models, Biometrics, (2022); Fraley CaR, Adrian E., MCLUST version 3: an R package for normal mixture modeling and model-based clustering, (2006); Seo B, Lin L, Li J., Mixture of Linear Models Co-supervised by Deep Neural Networks, J Comput Graph Stat, 31, 4, pp. 1303-1317, (2022); Scrucca L, Fop M, Murphy TB, Raftery AE., mclust 5: Clustering, Classification and Density Estimation Using Gaussian Finite Mixture Models, R J, 8, 1, pp. 289-317, (2016); Zhang L, Lin L, Li J., CPS analysis: self-contained validation of biomedical data clustering, Bioinformatics, 36, 11, pp. 3516-3521, (2020); Lin L, Chan C, West M., Discriminative variable subsets in Bayesian classification with mixture models, with application in flow cytometry studies, Biostatistics, 17, 1, pp. 40-53, (2016); Lee S, Zhu J, Xing E., Adaptive Multi-Task Lasso: with Application to eQTL Detection, Advances in Neural Information Processing Systems, pp. 1306-1314, (2010); Chen X, He J, Lawrence R, Carbonell JG., Adaptive Multi-task Sparse Learning with an Application to fMRI Study, Proceedings of the 2012 SIAM International Conference on Data Mining (SDM), pp. 212-223; Forman G, Scholz M., Apples-to-apples in cross-validation studies: pitfalls in classifier performance measurement, SIGKDD Explor Newsl, 12, 1, pp. 49-57, (2010); Vabalas A, Gowen E, Poliakoff E, Casson AJ., Machine learning algorithm validation with a limited sample size, PLoS One, 14, 11, (2019); Hammer SM, Sobieszczyk ME, Janes H, Karuna ST, Mulligan MJ, Grove D, Et al., Efficacy trial of a DNA/rAd5 HIV-1 preventive vaccine, N Engl J Med, 369, 22, pp. 2083-2092, (2013); Fong Y, Shen X, Ashley VC, Deal A, Seaton KE, Yu C, Et al., Modification of the Association Between T-Cell Immune Responses and Human Immunodeficiency Virus Type 1 Infection Risk by Vaccine-Induced Antibody Responses in the HVTN 505 Trial, J Infect Dis, 217, 8, pp. 1280-1288, (2018); Janes HE, Cohen KW, Frahm N, De Rosa SC, Sanchez B, Hural J, Et al., Higher T-Cell Responses Induced by DNA/rAd5 HIV-1 Preventive Vaccine Are Associated With Lower HIV-1 Infection Risk in an Efficacy Trial, J Infect Dis, 215, 9, pp. 1376-1385, (2017); Neidich SD, Fong Y, Li SS, Geraghty DE, Williamson BD, Young WC, Et al., Antibody Fc effector functions and IgG3 associate with decreased HIV-1 risk, J Clin Invest, 129, 11, pp. 4838-4849, (2019); Krautenbacher N, Theis FJ, Fuchs C., Correcting Classifiers for Sample Selection Bias in Two-Phase Case-Control Studies, Comput Math Methods Med, 2017, (2017); Anwar E, Goldberg E, Fraser A, Acosta CJ, Paul M, Leibovici L., Vaccines for preventing typhoid fever, Cochrane Database of Systematic Reviews, 1, (2014); Rijkers GT, Sanders EAM, Breukels MA, Zegers BJM., Infant B cell responses to polysaccharide determinants, Vaccine, 16, 14, pp. 1396-1400, (1998); Jin C, Gibani MM, Moore M, Juel HB, Jones E, Meiring J, Et al., Efficacy and immunogenicity of a Vi-tetanus toxoid conjugate vaccine in the prevention of typhoid fever using a controlled human infection model of Salmonella Typhi: a randomised controlled, phase 2b trial, Lancet, 390, 10111, pp. 2472-2480, (2017); Tomic A, Tomic I, Waldron L, Geistlinger L, Kuhn M, Spreng RL, Et al., SIMON: Open-Source Knowledge Discovery Platform, Patterns (N Y), 2, 1, (2021); van Buuren S, Groothuis-Oudshoorn K., mice: Multivariate Imputation by Chained Equations in R, Journal of Statistical Software, 45, 3, pp. 1-67, (2011); van der Maaten L, Hinton G., Visualizing Data using t-SNE, J Mach Learn Res, 9, pp. 2579-2605, (2008); McInnes L, Healy J, Saul N, Grossberger L., UMAP: Uniform Manifold Approximation and Projection, Journal of Open Source Software, 3, 29, (2018); LeDell E, Petersen M, van der Laan M., Computationally efficient confidence intervals for cross-validated area under the ROC curve estimates, Electron J Stat, 9, 1, pp. 1583-1607, (2015); Regules JA, Cicatelli SB, Bennett JW, Paolino KM, Twomey PS, Moon JE, Et al., Fractional Third and Fourth Dose of RTS,S/AS01 Malaria Candidate Vaccine: A Phase 2a Controlled Human Malaria Parasite Infection and Immunogenicity Study, J Infect Dis, 214, 5, pp. 762-771, (2016); Rts SCTP., Efficacy and safety of RTS,S/AS01 malaria vaccine with or without a booster dose in infants and children in Africa: final results of a phase 3, individually randomised, controlled trial, Lancet, 386, 9988, pp. 31-45, (2015); Dahora LC, Jin C, Spreng RL, Feely F, Mathura R, Seaton KE, Et al., IgA and IgG1 Specific to Vi Polysaccharide of Salmonella Typhi Correlate With Protection Status in a Typhoid Fever Controlled Human Infection Model, Front Immunol, 10, (2019); Jin C, Hill J, Gunn BM, Yu WH, Dahora LC, Jones E, Et al., Vi-specific serological correlates of protection for typhoid fever, J Exp Med, 218, 2, (2021); Seaton KE, Spreng RL, Abraha M, Reichartz M, Rojas M, Feely F, Et al., Subclass and avidity of circumsporozoite protein specific antibodies associate with protection status against malaria infection, NPJ Vaccines, 6, 1, (2021); Young WC, Carpp LN, Chaudhury S, Regules JA, Bergmann-Leitner ES, Ockenhouse C, Et al., Comprehensive Data Integration Approach to Assess Immune Responses and Correlates of RTS,S/AS01-Mediated Protection From Malaria Infection in Controlled Human Malaria Infection Trials, Front Big Data, 4, (2021); Dennison SM, Reichartz M, Abraha M, Spreng RL, Wille-Reece U, Dutta S, Et al., Magnitude, Specificity, and Avidity of Sporozoite-Specific Antibodies Associate With Protection Status and Distinguish Among RTS,S/AS01 Dose Regimens, Open Forum Infectious Diseases, 8, 2, (2020); Spreng RL, Seaton KE, Lin L, Hilliard S, Horn GQ, Abraha M, Et al., Identification of RTS,S/AS01 vaccine-induced humoral biomarkers predictive of protection against controlled human malaria infection, JCI Insight, 9, 19, (2024); Zhang L, Lin L, Li J., VtNet: A neural network with variable importance assessment, Stat, 10, 1, (2021); Zhang L, Lin L, Li J., Multi-view clustering by CPS-merge analysis with application to multimodal single-cell data, PLoS Comput Biol, 19, 4, (2023)</t>
  </si>
  <si>
    <t xml:space="preserve">L. Lin; Department of Biostatistics and Bioinformatics, Duke University, Durham, United States; email: l.lin@duke.edu; G.D. Tomaras; Center for Human Systems Immunology, Duke University, Durham, United States; email: gdt@duke.edu; J. Li; Department of Statistics, The Pennsylvania State University, United States; email: jiali@psu.edu</t>
  </si>
  <si>
    <t xml:space="preserve">2-s2.0-85209902762</t>
  </si>
  <si>
    <t xml:space="preserve">Chen V.Y.-J.; Yang Y.-C.</t>
  </si>
  <si>
    <t xml:space="preserve">Chen, Vivian Yi-Ju (59471495100); Yang, Yun-Ciao (59471573200)</t>
  </si>
  <si>
    <t xml:space="preserve">59471495100; 59471573200</t>
  </si>
  <si>
    <t xml:space="preserve">Geographically weighted regression analysis for nonnegative continuous outcomes: An application to Taiwan dengue data</t>
  </si>
  <si>
    <t xml:space="preserve">Geographically Weighted Regression (GWR) has gained widespread popularity across various disciplines for investigating spatial heterogeneity with respect to data relationships in georeferenced datasets. However, GWR is typically limited to the analysis of continuous dependent variables, which are assumed to follow a symmetric normal distribution. In many fields, nonnegative continuous data are often observed and may contain substantial amounts of zeros followed by a right-skewed distribution of positive values. When dealing with such type of outcomes, GWR may not provide adequate insights into spatially varying regression relationships. This study intends to extend the GWR based on a compound Poisson distribution. Such an extension not only allows for exploration of relationship heterogeneity but also accommodates nonnegative continuous response variables. We provide a detailed specification of the proposed model and discuss related modeling issues. Through simulation experiments, we assess the performance of this novel approach. Finally, we present an empirical case study using a dataset on dengue fever in Tainan, Taiwan, to demonstrate the practical applicability and utility of our proposed methodology. © 2024 Chen, Yang. This is an open access article distributed under the terms of the Creative Commons Attribution License, which permits unrestricted use, distribution, and reproduction in any medium, provided the original author and source are credited.</t>
  </si>
  <si>
    <t xml:space="preserve">disease surveillance</t>
  </si>
  <si>
    <t xml:space="preserve">e0315327</t>
  </si>
  <si>
    <t xml:space="preserve">10.1371/journal.pone.0315327</t>
  </si>
  <si>
    <t xml:space="preserve">https://www.scopus.com/inward/record.uri?eid=2-s2.0-85211968289&amp;doi=10.1371%2fjournal.pone.0315327&amp;partnerID=40&amp;md5=1e7ebed92162893d0db6b38c56e9c0c1</t>
  </si>
  <si>
    <t xml:space="preserve">Department of Statistics, National Chengchi University, Taipei, Taiwan; Department of Statistics, Tamkang University, Tamsui, Taipei, Taiwan</t>
  </si>
  <si>
    <t xml:space="preserve">Chen V.Y.-J., Department of Statistics, National Chengchi University, Taipei, Taiwan; Yang Y.-C., Department of Statistics, Tamkang University, Tamsui, Taipei, Taiwan</t>
  </si>
  <si>
    <t xml:space="preserve">Computer Simulation; Dengue; Humans; Poisson Distribution; Spatial Regression; Taiwan; algorithm; Article; clinical outcome; dengue; disease transmission; geographic distribution; geographically weighted regression; machine learning; mathematical model; nonhuman; normal distribution; population density; regression analysis; response variable; risk factor; sea surface temperature; Taiwan; computer simulation; epidemiology; human; Poisson distribution; spatial regression</t>
  </si>
  <si>
    <t xml:space="preserve">National Science and Technology Council, NSTC, (NSTC 110-2121-M-004-002, NSTC 112-2121-M-004-001); National Science and Technology Council, NSTC</t>
  </si>
  <si>
    <t xml:space="preserve">This work was partly supported from the National Science and Technology Council of Taiwan (NSTC 110-2121-M-004-002, NSTC 112-2121-M-004-001). The funder had no role in the study design, data collection, analysis, or preparation of the manuscript.</t>
  </si>
  <si>
    <t xml:space="preserve">Fotheringham AS, Brunsdon C, Charlton M., Geographically Weighted Regression: The Analysis of Spatially Varying Relationships, (2002); Harris P., A simulation study on specifying a regression model for spatial data: choosing between autocorrelation and heterogeneity effects, Geographical Analysis, 51, 2, pp. 151-181, (2019); Chen VYJ, Yang TC, Matthews SA., Exploring heterogeneities with geographically weighted quantile regression: An enhancement based on the bootstrap approach, Geographical Analysis, 52, pp. 642-661, (2020); Brunsdon C, Fotheringham AS, Charlton M., Geographically weighted regression-modelling spatial nonstationarity, Journal of the Royal Statistical Society Series D (The Statistician), 47, 3, pp. 431-443, (1998); Huang B, Wu B, Barry M., Geographically and temporally weighted regression for modeling spatio-temporal variation in house prices, International Journal of Geographical Information Science, 24, 3, pp. 383-401, (2010); Fotheringham AS, Crespo R, Yao J., Geographical and temporal weighted regression (GTWR), Geographical Analysis, 47, 4, pp. 431-452, (2015); Nakaya T, Fotheringham AS, Brunsdon C, Charlton M., Geographically weighted Poisson regression for disease association mapping, Statistics in Medicine, 24, pp. 2625-2717, (2005); Silva AR, Rodrigues TCV., Geographically Weighted Negative Binomial Regression—incorporating overdispersion, Statistics and Computing, 24, pp. 769-783, (2014); Shoff C, Chen VYJ, Yang TC., When homogeneity meets heterogeneity: the geographically weighted regression with spatial lag approach to prenatal care utilization, Geospatial health, 8, 2, pp. 557-568, (2014); Geniaux G, Martinetti D., A new method for dealing simultaneously with spatial autocorrelation and spatial heterogeneity in regression models, Regional Science and Urban Economics, 72, pp. 74-85, (2018); Chen VYJ, Deng WS, Yang TC, Matthews SA., Geographically weighted quantile regression (GWQR): An application to US mortality data, Geographical Analysis, 44, 2, pp. 134-150, (2012); Chen VYJ, Yang TC, Jian HL., Geographically weighted regression modeling for multiple outcomes, Annals of the Association of American Geographers, 112, 5, pp. 1278-1295, (2022); Li L., Geographically weighted machine learning and downscaling for high-resolution spatiotemporal estimations of wind speed, Remote Sensing, 11, 11, (2019); Kalogirou S., Destination choice of athenians: An application of geographically weighted versions of standard and zero inflated poisson spatial interaction models, Geographical Analysis, 48, 2, pp. 191-230, (2016); Du Z, Wang Z, Wu S, Zhang F, Liu R., Geographically neural network weighted regression for the accurate estimation of spatial non-stationarity, International Journal of Geographical Information Science, 34, 7, pp. 1353-1377, (2020); Reich BJ, Fuentes M, Herring AH, Evenson KR., Bayesian variable selection for multivariate spatially varying coefficient regression, Biometrics, 66, 3, pp. 772-782, (2010); Neelon B, O'Malley AJ, Smith VA., Modeling zero-modified count and semicontinuous data in health services research, part 1: Background and overview, Statistics in Medicine, 35, pp. 5070-5093, (2016); Neelon B, O'Malley AJ, Smith VA., Modeling zero-modified count and semicontinuous data in health services research, part 2: Case studies, Statistics in Medicine, 35, pp. 5094-5111, (2016); Swallow B, Buckland ST, King R, Toms MP., Bayesian hierarchical modelling of continuous non-negative longitudinal data with a spike at zero: An application to a study of birds visiting gardens in winter, Biometrical Journal, 58, 2, pp. 357-371, (2016); Dreassi E, Petrucci A, Rocco E., Small area estimation for semicontinuous skewed spatial data: an application to the grape wine production in tuscany, Biometrical Journal, 56, 1, pp. 141-156, (2014); Neelon B, Zhu L, Neelon SEB., Bayesian two-part spatial models for semicontinuous data with application to emergency department expenditures, Biostatistics, 16, pp. 465-479, (2015); Paradinas I, Conesa D, Lopez-Quilez A, Bellido JM., Spatio-temporal model structures with shared components for semi-continuous species distribution modelling, Spatial Statistics, 22, pp. 434-450, (2017); Liu L, Strawderman RL, Johnson BA, O'Quigley JM., Analyzing repeated measures semi-continuous data, with application to an alcohol dependence study, Statistical methods in medical research, 25, 1, pp. 133-152, (2012); Jorgensen B., The Theory of Dispersion Models, (1997); Bonat WH, Jorgensen B., Multivariate covariance generalized linear models, Journal of the Royal Statistical Society: Series C (Applied Statistics), 65, 5, pp. 649-675, (2016); Bonat WH, Kokonendji CC., Flexible Tweedie regression models for continuous data, Journal of Statistical Computation and Simulation, 87, 11, pp. 2138-2152, (2017); Kurz CF., Tweedie distributions for fitting semicontinuous health care utilization cost data, BMC Medical Research Methodology, 17, 1, (2017); Arcuti S, Pollice A, Ribecco N, D'Onghia G., Bayesian spatiotemporal analysis of zero-inflated biological population density data by a delta-normal spatiotemporal additive model, Biometrical Journal, 58, 2, pp. 372-386, (2016); Lin CH, Wen TH., Using geographically weighted regression (GWR) to explore spatial varying relationships of immature mosquitoes and human densities with the incidence of dengue, International journal of environmental research and public health, 8, 7, pp. 2798-2815, (2011); Dunn PK, Smyth G., Series evaluation of Tweedie exponential dispersion model densities, Statistics and Computing, 15, 4, pp. 267-280, (2005); Dunn PK, Smyth G., Evaluation of Tweedie exponential dispersion model densities by Fourier inversion, Statistics and Computing, 18, 1, pp. 73-86, (2008); Dunn PK., tweedie: Tweedie exponential family models, (2013); Mei CL, Xu M, Wang N., A bootstrap test for constant coefficients in geographically weighted regression models, International Journal of Geographical Information Science, 30, 8, pp. 1622-1643, (2016); Li D, Mei C., A two-stage estimation method with bootstrap inference for semi-parametric geographically weighted generalized linear models, International Journal of Geographical Information Science, 32, 9, pp. 1860-1883, (2018); Paez A, Farber S, Wheeler D., A simulation-based study of geographically weighted regression as a method for investigating spatially varying relationships, Environment and Planning A, 43, 12, pp. 2992-3010, (2011); Zhang Y., Likelihood-based and Bayesian methods for Tweedie compound Poisson linear mixed models, Statistics and Computing, 23, pp. 743-757, (2013); Wen TH, Lin NH, Lin CH, King CC, Su MD., Spatial mapping of temporal risk characteristics to improve environmental health risk identification: a case study of a dengue epidemic in Taiwan, Sci Total Environ, 367, pp. 631-640, (2006); Wen TH, Lin NH, Chao DY, Hwang KP, Kan CC, Lin KCM, Et al., Spatial-temporal patterns of dengue in areas at risk of dengue hemorrhagic fever in Kaohsiung, Taiwan, 2002, International Journal of Infectious Diseases, 14, 4, pp. 334-343, (2010); Chen THK, Chen VYJ, Wen TH., Revisiting the role of rainfall variability and its interactive effects with the built environment in urban dengue outbreaks, Applied Geography, 101, pp. 14-22, (2018); Enki DG, Noufaily A, Farrington P, Garthwaite P, Andrews N, Charlett A., Taylor’s power law and the statistical modelling of infectious disease surveillance data, Journal of the Royal Statistical Society Series A: Statistics in Society, 180, 1, pp. 45-72, (2017); Watts M, Kotsilla P, Mortyn PG, Monteys VSi, Brancati CU., Influence of socio-economic, demographic and climate factors on the regional distribution of dengue in the United States and Mexico, International Journal of Health Geographics, 19, (2020); Dunn KP, Smyth GK., Randomized Quantile Residuals, Journal of Computational and Graphical Statistics, 5, pp. 1-10, (1996); Frees EW, Meyers G, Cummings DA., Summarizing insurance scores using a Gini index, Journal of the American Statistical Association, 495, pp. 1085-1098, (2011); Matthews SA, Yang T-C., Mapping the results of local statistics: Using geographically weighted regression, Demographic research, 26, (2012); Jiang L, Lai Y, Guo R, Li X, Hong W, Tang X., Measuring the impact of government intervention on the spatial variation of market-oriented urban redevelopment activities in Shenzhen, China, Cities, 147, (2024); Yu B, Zhou X., Land finance and urban Sprawl: Evidence from prefecture-level cities in China, Habitat International, 148, (2024); He Q, Xia P, Hu C, Li B., Public information, actual intervention and inflation expectations, Transformations in Business &amp; Economics, 21, 57C, pp. 644-666, (2022); Gong X, Hou Z, Wan Y, Zhong Y, Zhan M, Lv K., Multispectral and SAR image fusion for multi-scale decomposition based on least squares optimization rolling guidance filtering, IEEE Transactions on Geoscience and Remote Sensing, 62, (2024); Efron B., Bootstrap methods: another look at the jackknife, The Annals of Statistics, 7, 1, pp. 1-26, (1997); Harris P, Brunsdon C, Lu B, Nakaya T, Charlton M., Introducing bootstrap methods to investigate coefficient non-stationarity in spatial regression models, Spatial Statistics, 21, pp. 241-261, (2017)</t>
  </si>
  <si>
    <t xml:space="preserve">V.Y.-J. Chen; Department of Statistics, National Chengchi University, Taipei, Taiwan; email: viyjchen@nccu.edu.tw</t>
  </si>
  <si>
    <t xml:space="preserve">2-s2.0-85211968289</t>
  </si>
  <si>
    <t xml:space="preserve">Berta D.M.; Gelaw Y.; Shiferaw E.; Melkamu A.; Legese G.L.; Adane T.; Mandefro B.</t>
  </si>
  <si>
    <t xml:space="preserve">Berta, Dereje Mengesha (58241873700); Gelaw, Yemataw (57212487298); Shiferaw, Elias (57194763598); Melkamu, Abateneh (58184017600); Legese, Gebrehiwot Lema (58112135400); Adane, Tiruneh (57205654355); Mandefro, Befikad (58971455500)</t>
  </si>
  <si>
    <t xml:space="preserve">58241873700; 57212487298; 57194763598; 58184017600; 58112135400; 57205654355; 58971455500</t>
  </si>
  <si>
    <t xml:space="preserve">Hematological Abnormalities and Associated Factors Among Patients with Hypothyroidism at the University of Gondar Comprehensive Specialized Hospital</t>
  </si>
  <si>
    <t xml:space="preserve">Objective: Abnormalities in blood cells are frequently associated with thyroid hormone disorders as a result of their involvement in the proliferation and production of blood cells. This study aimed to determine the magnitude and associated factors of hematological abnormalities in patients with hypothyroidism. Methods: A cross-sectional study was conducted from January 1 to June 30, 2023, at the University of Gondar Comprehensive Specialized Hospital. The present study included a total of 300 patients with hypothyroidism prospectively using the systematic random sampling technique. The hematological parameter data were collected using data extraction sheets, whereas the associated factor data were collected using both structured questionnaires and data extraction sheets. For complete blood cell counts, 4 mL of anticoagulated venous blood was collected and analyzed. The data were entered into Epi-data version 3.1 and analyzed with Stata version 14. Both bivariate and multivariate logistic regressions were performed to identify factors associated with hematological abnormalities. A P value &lt; 0.05 was considered to indicate statistical significance. Results: The median value of red blood cell, hemoglobin, mean cell volume, white blood cell, and platelet were 4.63 x1012/µL, 14 g/ dL, 84.3fl, 5.3 x103/µL, and 228, respectively. The overall incidences of anemia, leucopoenia, and thrombocytopenia in patients with hypothyroidism were 26.3% (95% confidence interval (CI): 21–32), 15.7% (95% CI: 14.2–17.2), and 9% (95% CI: 7.5–10.5), respectively. Lymphopenia was detected in 9% (95% CI: 8.6–10.1) of the patients, and neutropenia was detected in 6% (95% CI: 4.4–7.6) of the patients. Only three factors, female sex (adjusted odds ratio (AOR) =2.1, 95% CI=1.3–3.1), alcohol consumption (AOR= 3.8, CI=1.7–8.9), and febrile illness (AOR=2.7, 95% CI=1.3–5.4), were found to be significantly associated factors for anemia. Conclusion: The present study revealed heterogeneous hematological abnormalities in patients with hypothyroidism. Thus, early diagnosis and monitoring strategies are required to minimize complications in patients. © 2024 Berta et al.</t>
  </si>
  <si>
    <t xml:space="preserve">Journal of Blood Medicine</t>
  </si>
  <si>
    <t xml:space="preserve">Dove Medical Press Ltd</t>
  </si>
  <si>
    <t xml:space="preserve">10.2147/JBM.S453015</t>
  </si>
  <si>
    <t xml:space="preserve">https://www.scopus.com/inward/record.uri?eid=2-s2.0-85189562203&amp;doi=10.2147%2fJBM.S453015&amp;partnerID=40&amp;md5=f5f9c116bf731ad3eb9567f5a48a5415</t>
  </si>
  <si>
    <t xml:space="preserve">Department of Hematology and Immunohematology, School of Biomedical and Laboratory Sciences, College of Medicine and Health Sciences, University of Gondar, Gondar, Ethiopia; Department of Medical Laboratory Science, College of Medicine and Health Sciences, Debre Markos University, Debre Markos, Ethiopia; Department of Internal Medicine, School of Medicine, College of Medicine and Health Sciences, University of Gondar, Gondar, Ethiopia; Department of Medical Laboratory Science, College of Medicine and Health Sciences, Arba Minch University, Arba Minch, Ethiopia</t>
  </si>
  <si>
    <t xml:space="preserve">Berta D.M., Department of Hematology and Immunohematology, School of Biomedical and Laboratory Sciences, College of Medicine and Health Sciences, University of Gondar, Gondar, Ethiopia; Gelaw Y., Department of Hematology and Immunohematology, School of Biomedical and Laboratory Sciences, College of Medicine and Health Sciences, University of Gondar, Gondar, Ethiopia; Shiferaw E., Department of Hematology and Immunohematology, School of Biomedical and Laboratory Sciences, College of Medicine and Health Sciences, University of Gondar, Gondar, Ethiopia; Melkamu A., Department of Medical Laboratory Science, College of Medicine and Health Sciences, Debre Markos University, Debre Markos, Ethiopia; Legese G.L., Department of Internal Medicine, School of Medicine, College of Medicine and Health Sciences, University of Gondar, Gondar, Ethiopia; Adane T., Department of Hematology and Immunohematology, School of Biomedical and Laboratory Sciences, College of Medicine and Health Sciences, University of Gondar, Gondar, Ethiopia; Mandefro B., Department of Medical Laboratory Science, College of Medicine and Health Sciences, Arba Minch University, Arba Minch, Ethiopia</t>
  </si>
  <si>
    <t xml:space="preserve">anemia; hematological abnormalities; leucopenia; thrombocytopenia; thyroid dysfunction</t>
  </si>
  <si>
    <t xml:space="preserve">thyrotropin; adult; aged; anemia; Article; blood cell count; cross-sectional study; female; hematologic disease; human; hypothyroidism; leukocyte count; leukopenia; lymphocytopenia; major clinical study; malaria; male; mean corpuscular hemoglobin; mean corpuscular volume; mean platelet volume; middle aged; neutropenia; parasitosis; physician; platelet count; prevalence; quality control; red blood cell distribution width; spectrophotometry; structured questionnaire; thrombocytopenia; thrombocytosis; thyroid disease; thyroid function test; venous blood</t>
  </si>
  <si>
    <t xml:space="preserve">thyrotropin, 9002-71-5</t>
  </si>
  <si>
    <t xml:space="preserve">Beckman Coulter UniCel DxH 800, Beckman Coulter, United States; Epidata version 3.1; Stata version 14</t>
  </si>
  <si>
    <t xml:space="preserve">Beckman Coulter, United States</t>
  </si>
  <si>
    <t xml:space="preserve">University of Gondar, UoG, (10124)</t>
  </si>
  <si>
    <t xml:space="preserve">The authors declare that the University of Gondar provided financial support for this work with funding number of 10124. Funder has no other role in this study.</t>
  </si>
  <si>
    <t xml:space="preserve">Khan YS., Histology, Thyroid Gland, (2022); Garmendia Madariaga A, Santos Palacios S, Guillen-Grima F, Galofre JC., The incidence and prevalence of thyroid dysfunction in Europe: a meta-analysis, J Clin Endocrinol Metab, 99, 3, pp. 923-931, (2014); Asmelash D, Tesfa K, Biadgo B., Thyroid dysfunction and cytological patterns among patients requested for thyroid function test in an endemic goiter area of Gondar, North West Ethiopia, Int J Endocrinol, 2019, 10, (2019); Kh SD., Some physiological and biochemical changes in women with hyperthyroidism, Tikrit J Pure Sci, 21, 2, pp. 37-40, (2016); Altomare M, La Vignera S, Asero P, Et al., High prevalence of thyroid dysfunction in pregnant women, J Endocrinol Invest, 36, 6, pp. 407-411, (2013); Bashir H, Bhat MH, Farooq R, Et al., Comparison of hematological parameters in untreated and treated subclinical hypothyroidism and primary hypothyroidism patients, Med J Islamic Republic Iran, 26, 4, (2012); Golde D, Bersch N, Chopra I, Cline M., Thyroid hormones stimulate erythropoiesis in vitro, Br J Hematol, 37, 2, pp. 173-177, (1977); Kawa MP, Machalinski B., Hematopoiesis dysfunction associated with abnormal thyroid hormones production, Thyroid Disorder Focus Hyperthyr, 3, pp. 181-205, (2014); Iddah M, Macharia B, Ng'wena A, Keter A, Ofulla A., Thyroid hormones and hematological indices levels in thyroid disorders patients at moi teaching and referral hospital, Western Kenya, Int Scholarly Res Notices, 2013, (2013); Tata JR., The road to nuclear receptors of thyroid hormone, BBA, 1830, 7, pp. 3860-3866, (2013); Pushparaj T., Correlation of thyroid stimulating hormone levels and hematological parameters among euthyroids, hypothyroids and hyperthyroids, Univ J Pre Paraclin Sci, 7, 1, pp. 197-280, (2021); Maggio M, De Vita F, Fisichella A, Et al., The role of the multiple hormonal dysregulation in the onset of “anemia of aging”: focus on testosterone, IGF-1, and thyroid hormones, Int J Endocrinol, 2015, pp. 1-22, (2015); Dorgalaleh A, Mahmoodi M, Varmaghani B, Et al., Effect of thyroid dysfunctions on blood cell count and red blood cell indice, Iran J Pedia Hematol Oncol, 3, 2, pp. 73-77, (2013); Chiovato L, Magri F, Carle A., Hypothyroidism in context: where we’ve been and where we’re going, Adv Ther, 36, S2, pp. 47-58, (2019); Alqahtani SAM., Prevalence and Characteristics of Thyroid Abnormalities and Its Association with Anemia in ASIR Region of Saudi Arabia: a Cross-Sectional Study, Clin Pract, 11, 3, pp. 494-504, (2021); Das C, Sahana PK, Sengupta N, Giri D, Roy M, Mukhopadhyay P., Etiology of anemia in primary hypothyroid subjects in a tertiary care center in Eastern India, Indian J Endocrinol Metab, 16, (2012); Erikci AA, Karagoz B, Ozturk A, Et al., The effect of subclinical hypothyroidism on platelet parameters, Hematology, 14, 2, pp. 115-117, (2009); Ford H, Toomath R, Carter J, Delahunt J, Fagerstrom J., Mean platelet volume is increased in hyperthyroidism, Am J Hematol, 27, 3, pp. 190-193, (1988); Administrative Information From University of Gondar Comprehensive Specialized Hospital, (2022); Ahmed SS, Mohammed AA., Effects of thyroid dysfunction on hematological parameters: case controlled study, Ann Med Surg, 57, 10, pp. 52-55, (2020); Enawgaw B, Birhan W, Abebe M, Et al., Hematological and immunological reference intervals for adult population in the state of Amhara, Ethiopia, Trop Med Int Health, 23, 7, pp. 765-773, (2018); University of Gondar Clinical chemistry laboratory thyroid hormone reference range 2022 (Unpublished data); Park S, Han CR, Park JW, Et al., Defective erythropoiesis caused by mutations of the thyroid hormone receptor α gene, PLoS genetics, 13, 9, (2017); Kawa MP, Grymula K, Paczkowska E, Et al., Clinical relevance of thyroid dysfunction in human hematopoiesis: biochemical and molecular studies, Euro J Endocrinol, 162, 2, (2010); Davis FB, Cody V, Davis PJ, Borzynski L, Blas SD., Stimulation by thyroid hormone analogs of red blood cell Ca2+-ATPase activity in vitro. Correlations between hormone structure and biological activity in a human cell system, J Biol Chem, 258, 20, pp. 12373-12377, (1983); Chulilla JAM, Colas MSR, Martin MG., Classification of anemia for gastroenterologists, World J Gastroenterol, 15, 37, (2009); Alemu T, Umeta M., Prevalence and predictors of” small size” babies in Ethiopia: in-depth analysis of the Ethiopian demographic and health survey, 2011, Ethiopian J Health Sci, 26, 3, pp. 243-250, (2016); Lima CS, Wittmann DEZ, Castro V, Et al., Pancytopenia in untreated patients with Graves’ disease, Thyroid, 16, 4, pp. 403-409, (2006); Fein HG, Rivlin RS., Anemia in thyroid diseases, Med Clin North Am, 59, 5, pp. 1133-1145, (1975); Floriani C, Feller M, Aubert CE, Et al., Thyroid dysfunction and anemia: a prospective cohort study and a systematic review, Thyroid, 28, 5, pp. 575-582, (2018); M'Rabet-Bensalah K, Aubert CE, Coslovsky M, Et al., Thyroid dysfunction and anemia in a large population-based study, Clin Endocrinol, 84, 4, pp. 627-631, (2016); Jafarzadeh A, Poorgholami M, Izadi N, Nemati M, Rezayati M., Immunological and hematological changes in patients with hyperthyroidism or hypothyroidism, Clin Invest Med, 33, 5, pp. 271-279, (2010); Sibilla R, Santaguida MG, Virili C, Et al., Chronic unexplained anemia in isolated autoimmune thyroid disease or associated with autoimmune related disorders, Clin Endocrinol, 68, 4, pp. 640-645, (2008); Velarde-Mayol C, de la Hoz-Garcia B, Del Canizo-Fernandez-Roldan C, Hernandez-Lopez AM, Loza-Candia I, Cardona-Hernandez A., Pernicious anemia and autoimmune thyroid diseases in elderly people, Revista Espanola de Geriatria y Gerontol, 50, 3, pp. 126-128, (2015); van Vliet NA, Kamphuis AE, den Elzen WP, Et al., Thyroid function and risk of anemia: a multivariable-adjusted and Mendelian randomization analysis in the UK biobank, J Clin Endocrinol Metab, 107, 2, pp. e643-e52, (2022); Refaat B., Prevalence and characteristics of anemia associated with thyroid disorders in non-pregnant Saudi women during the childbearing age: a cross-sectional study, Biomed J, 38, 4, pp. 307-316, (2015); Suhail N, Alsel BTA, Batool S., Prevalence and association of thyroid dysfunction with anemia/body iron status among northern Border Saudi population, Int J Med Res Health Sci, 9, 3, pp. 1-7, (2020); Mehmet E, Aybike K, Ganidagli S, Mustafa K., Characteristics of anemia in subclinical and overt hypothyroid patients, Endocr J, 59, 3, pp. 213-220, (2012); Omar S, Kanoun F, Hammami M, Et al., Erythrocyte abnormalities in thyroid dysfunction, Tunis Med, 88, 11, pp. 783-788, (2010); Mishra AK, Anand R, Verma SP, Gupta KK., Study of impact of subclinical hypothyroidism on iron status and hematological profile, Int J Adv Med, 5, 2, pp. 446-451, (2018); Gautam SK, Sharma A, Sharma K., Iron Deficiency Anemia And Its Association With Thyroid Dysfunction In School Going Adolescent Girls Of Scheduled Tribes In Udaipur, Int J Med Sci Educ, 5, 1, pp. 71-76, (2018); Balarajan Y, Ramakrishnan U, Ozaltin E, Shankar AH, Subramanian S., Anemia in low-income and middle-income countries, Lancet, 378, 9809, pp. 2123-2135, (2011); Shi Z, Hu X, Yuan B, Pan X, Dai Y, Holmboe-Ottesen G., Association between dietary patterns and anemia in adults from Jiangsu Province in Eastern China, Br J Nutr, 96, 5, pp. 906-912, (2006); Hasan MM, Magalhaes RJS, Garnett SP, Et al., Anemia in women of reproductive age in low-and middle-income countries: progress toward the 2025 global nutrition target, Bull World Health Organ, 100, 3, (2022); Olsen A, Magnussen P, Ouma J, Andreassen J, Friis H., The contribution of hookworm and other parasitic infections to hemoglobin and iron status among children and adults in western Kenya, Trans Royal Soc Trop Med Hyg, 92, 6, pp. 643-649, (1998); Szczepanek-Parulska E, Hernik A, Ruchala M., Anemia in thyroid diseases, Pol Arch Intern Med, 127, 5, pp. 352-360, (2017); Stadler J, Ade J, Ritzmann M, Hoelzle K, Hoelzle LE., Detection of a novel hemoplasma species in fattening pigs with skin alterations, fever and anemia, Vet Rec, 187, 2, (2020); Fenta DA, Nuru MM, Yemane T, Asres Y, Wube TB., Anemia and related factors among highly active antiretroviral therapy experienced children in Hawassa comprehensive specialized hospital, southern Ethiopia: emphasis on patient management, Drug Healthc Patient Safe, 12, (2020); Milman NT., A review of nutrients and compounds, which promote or inhibit intestinal iron absorption: making a platform for dietary measures that can reduce iron uptake in patients with genetic hemochromatosis, J Nutri Metabol, 2020, pp. 1-15, (2020); Ioannou GN, Dominitz JA, Weiss NS, Heagerty PJ, Kowdley KV., The effect of alcohol consumption on the prevalence of iron overload, iron deficiency, and iron deficiency anemia, Gastroenterology, 126, 5, pp. 1293-1301, (2004); Lewis G, Wise MP, Poynton C, Godkin A., A case of persistent anemia and alcohol abuse, Nat Clin Pract Gastroenterol Hepatol, 4, 9, pp. 521-526, (2007); Yokoyama A, Yokoyama T, Brooks PJ, Et al., Macrocytosis, macrocytic anemia, and genetic polymorphisms of alcohol dehydrogenase-1 B and aldehyde dehydrogenase-2 in J apanese alcoholic men, Alcoholism, 38, 5, pp. 1237-1246, (2014); Geissler C, Singh M., Iron, meat and health, Nutrients, 3, 3, pp. 283-316, (2011); Nemeth E, Valore EV, Territo M, Schiller G, Lichtenstein A, Ganz T., Hepcidin, a putative mediator of anemia of inflammation, is a type II acute-phase protein, Blood J Am Soc Hematol, 101, 7, pp. 2461-2463, (2003); Weiss G, Schett G., Anemia in inflammatory rheumatic diseases, Nat Rev Rheumatol, 9, 4, pp. 205-215, (2013); Volpe R., The immunomodulatory effects of anti-thyroid drugs are mediated via actions on thyroid cells, affecting thyrocyte-immunocyte signaling: a review, Curr Pharm Des, 7, 6, pp. 451-460, (2001); Nechyporuk V, Korda M, Pentiuk L, Kovalchuk O, Andriichuk V., Implementation of programmed cell death in circulating neutrophils and its special characteristics in experimentally induced hyperhomocysteinemia in a setting of thyroid dysfunction, Polski Merkuriusz Lekarski, 48, 288, pp. 437-442, (2020); Lacka K, Maciejewski A., The role of apoptosis in the etiopathogenesis of autoimmune thyroiditis, Polski merkuriusz lekarski, 32, 188, pp. 87-92, (2012); Ito S, Fujiwara S-I, Murahashi R, Et al., Clinical association between thyroid disease and immune thrombocytopenia, Ann Hematol, 100, 2, pp. 345-352, (2021); Szczepanek-Parulska E, Adamska M, Korda O, Et al., Changes in complete blood count parameters influenced by endocrine disorders, Endokrynologia Polska, 72, 3, pp. 261-270, (2021); Marta GN, de Campos FP., Immune thrombocytopenia and autoimmune thyroid disease: a controversial overlap, Autopsy and Case Reports, 5, 2, pp. 45-48, (2015); Cheung E, Liebman HA., Thyroid disease in patients with immune thrombocytopenia, Hematology, 23, 6, pp. 1251-1260, (2009)</t>
  </si>
  <si>
    <t xml:space="preserve">D.M. Berta; Department of Hematology and Immunohematology, School of Biomedical and Laboratory Sciences, College of Medicine and Health Sciences, University of Gondar, Gondar, Ethiopia; email: mengeshad826@gmail.com</t>
  </si>
  <si>
    <t xml:space="preserve">J. Blood Med.</t>
  </si>
  <si>
    <t xml:space="preserve">2-s2.0-85189562203</t>
  </si>
  <si>
    <t xml:space="preserve">Jitendra R.; Simha J.B.; Abhi S.; Chadha V.K.</t>
  </si>
  <si>
    <t xml:space="preserve">Jitendra, R. (23973148600); Simha, Jay B (22981615100); Abhi, Shinu (56891784400); Chadha, Vineet K (57208775362)</t>
  </si>
  <si>
    <t xml:space="preserve">23973148600; 22981615100; 56891784400; 57208775362</t>
  </si>
  <si>
    <t xml:space="preserve">Heuristic Segmentation Assisted Deep-Spatial Feature Learning Model for Leprosy Detection</t>
  </si>
  <si>
    <t xml:space="preserve">The high pace of rising leprosy cases and resulting socio-stigma has alarmed academia-industries to achieve non-invasive, touchless, and vision-based computer aided diagnosis (CAD) solution for leprosy detection and classification. Unlike classical CAD systems, leprosy detection and classification has remained a least explored research area. Invasive and chemical assay-based leprosy detection approaches are often found time-consuming, complex, and limited to cope-up with real-world’s demand. Though, in the last few years every effort has been made towards vision-based leprosy detection and classification; however, limited data, inferior feature, high-annotation demands, and importantly low accuracy limit their suitability. Considering these facts as motivation, in this paper a highly robust Heuristic Driven Segmentation assisted hybrid deep-spatio-textural feature learning for leprosy detection and classification is developed. It emphasizes on both region of interest segmentation and its optimization, as well as feature improvement to achieve higher accuracy and reliability. Here, firefly heuristic driven Fuzzy C-Means clustering (FFCM) was developed to perform ROI specific segmentation, which was followed by a hybrid deep spatio-textural feature extraction process. Noticeably, FFCM at one hand enabled automatic and accurate ROI-segmentation. On the contrary, the use of hybrid features including descriptive spatio-textural textural statistics (i.e., Gray-level co-occurrence metrics) and 4096-dimensional AlexNet features provided an intrinsic feature rich vector to perform accurate leprosy classification. The ROI-specific hybrid features (i.e., GLCM and AlexNet features) were processed for two-class classification using ensemble random forest classifier that labelled each input skin lesion as the normal image or the leprosy detected. The proposed leprosy detection method exhibited superior performance (accuracy = 96.6%, precision = 99.7%, recall = 95.8%, F-score = 0.9771) over other state-of-art methods like GLCM (accuracy = 88.51%) and Convolutional Neural Network based methods (91%). It affirms its suitability of the proposed CAD model towards automated and touchless real-time leprosy diagnosis. © The Author(s), under exclusive licence to Springer Nature Singapore Pte Ltd. 2024.</t>
  </si>
  <si>
    <t xml:space="preserve">SN Computer Science</t>
  </si>
  <si>
    <t xml:space="preserve">10.1007/s42979-024-03053-3</t>
  </si>
  <si>
    <t xml:space="preserve">https://www.scopus.com/inward/record.uri?eid=2-s2.0-85200024676&amp;doi=10.1007%2fs42979-024-03053-3&amp;partnerID=40&amp;md5=decc6273c2294a8ea23afc4fcb3899c3</t>
  </si>
  <si>
    <t xml:space="preserve">REVA University, Karnataka, Banaglore, India; Central Leprosy Teaching and Research Institute, Tamil Nadu, Chengalpattu, India</t>
  </si>
  <si>
    <t xml:space="preserve">Jitendra R., REVA University, Karnataka, Banaglore, India; Simha J.B., REVA University, Karnataka, Banaglore, India; Abhi S., REVA University, Karnataka, Banaglore, India; Chadha V.K., Central Leprosy Teaching and Research Institute, Tamil Nadu, Chengalpattu, India</t>
  </si>
  <si>
    <t xml:space="preserve">AlexNet; Ensemble classification; GLCM; Heuristic-based lesion segmentation; Hybrid spatio-textural deep features; Leprosy detection and classification</t>
  </si>
  <si>
    <t xml:space="preserve">REVA University; Central Leprosy Teaching and Research Institute</t>
  </si>
  <si>
    <t xml:space="preserve">The research work was made possible with the support of REVA University, Bengaluru, Karnataka, India and Central Leprosy Teaching and Research Institute, Chengalpattu, Tamil Nadu, India which provided the necessary facilities.</t>
  </si>
  <si>
    <t xml:space="preserve">Henkle E., Winthrop K.L., Nontuberculous mycobacteria infections in immunosuppressed hosts, Clin Chest Med, 36, pp. 91-99, (2015); Marfatia Y.S., Surani A., Shah D., Delay in Leprosy diagnosis, Indian J Lepr, 92, pp. 19-29, (2020); Geetharani G., Pavithra G., Satheesh P., -epidemiological study of untreated multibacillary leprosy patients visiting a tertiary care hospital in Madurai, Indian Journal of Leprosy, 90, pp. 197-206, (2018); Strategy 2016–2020: Accelerating towards a leprosy free world, (2016); Leprosy in India; Sheshadri D., Khaitan B., Khanna N., Sagar R., Dehabilitation in the era of Elimination and Rehabilitation: a study of 100 Leprosy patients from a Tertiary Care Hospital in India, Lepr Rev, 86, pp. 62-74, (2015); Muthuvel T., Et al., ‘I Wasted 3 Years, Thinking It’s Not a Problem’: Patient and Health System Delays in Diagnosis of Leprosy in India: A Mixed-Methods Study, Plosnegl. Trop. Dis., 11, 1, (2017); Higgins C., Applications and challenges of digital pathology and whole slide imaging, Biotech Histochem, 90, pp. 341-347, (2015); Brandsma J.W., Van Brakel W.H., Operational definitions. A five-year retrospective study, Indian J Dermatology, 60, (2003); Korotkov K., Garcia R., Computerized analysis of pigmented skin lesions: a review, Artif Intell Med vol, 56, 2, pp. 69-90, (2012); Silver Spring M., FDA Allows Marketing of First Whole Slide Imaging System for Digital Pathology [News Release].; Betta G., Di Leo G.E., Automated application of the 7-point checklist diagnosis method for skin lesions: Estimation of chromatic and shape parameters, Proc. IEEE Inst. Meas. Tech. Conf, pp. 1818-1822, (2005); Griffin J., Treanor D., Digital pathology in clinical use: where are we now and what is holding us back?, Histopathology, 70, pp. 134-145, (2017); Abbas Q., Celebi M.E., Fondon I., Computer-aided pattern classification system for dermoscopy images, Skin Res Technol, 18, 3, pp. 278-289, (2011); Wighton P., Sadeghi M., Lee T.K., Atkins M.S., A fully automatic random walker segmentation for skin lesions in a supervised setting, In Proc. MICCAI, pp. 1108-1115, (2009); Das N., Pal A., Mazumder S., Sarkar S., Gangopadhyay D., Nasipuri M., An SVM based skin disease identification using local binary patterns, Proc - 2013 3Rd Int Conf Adv Comput Commun ICACC, 2013, pp. 208-211, (2013); Kent M.N., Olsen T.G., Feeser T.A., Tesno K.C., Moad J.C., Conroy M.P., Kendrick M.J., Stephenson S.R., Murchland M.R., Khan A.U., Et al., Diagnostic Accuracy of Virtual Pathology vs Traditional Microscopy in a large Dermatopathology Study, JAMA Dermatol, 153, (2017); Hoo-Chang S., Roth H.R., Gao M., Lu L., Xu Z., Nogues I., Yao J., Mollura D., Summers R.M., Deep convolutional neural networks for computer-aided detection: CNN architectures, dataset characteristics and transfer learning, IEEE Trans Med Imaging, 35, (2016); Haenssle H., Fink C., Schneiderbauer R., Toberer F., Buhl T., Blum A., Kalloo A., Hassen A., Thomas L., Enk A., Man against machine: diagnostic performance of a deep learning convolutional neural network for dermoscopic melanoma recognition in comparison to 58 dermatologists, Ann Oncol, 29, pp. 1836-1842, (2018); Nguyen L.D., Lin D., Lin Z., Cao J., Deep CNNs for microscopic image classification by exploiting transfer learning and feature concatenation, In Proceedings of the 2018 IEEE International Symposium on Circuits and Systems (ISCAS, pp. 1-5, (2013); Ming Lo C., Wu Y.H., Li Y.C., Lee C.C., Computer-aided Bacillus detection in whole-slide pathological images using a deep convolutional neural network, Applied Sciences, 10, pp. 1-12, (2020); Litjens G., Sanchez C.I., Timofeeva N., Hermsen M., Nagtegaal I., Kovacs I., Hulsbergen-van de Kaa C., Bult P., van Ginneken B., van der Laak J., Deep learning as a tool for increased accuracy and efficiency of histopathological diagnosis, Sci Rep, 6, (2016); Shen D., Wu G., Suk H.-I., Deep learning in Medical Image Analysis, Annu Rev Biomed Eng, 19, pp. 221-248, (2017); Deps P.D., Et al., Delay in the diagnosis of leprosy in the Metropolitan Region of Vitoria, Brazil Lepr Rev, 77, 1, pp. 41-47, (2006); Kumar A., Girdhar. Nerve thickening in leprosy patients and risk of paralytic deformities: a&lt;sup&gt;®&lt;/sup&gt; eld based study in Agra, India, Lepr Rev, 75, pp. 135-142, (2004); Vivekanandan S., Emmanuel D.S., Propagation of Action potential for Hansen’s disease affected nerve model using Fitzhugh Nagumo like Excitation, Theoretical Appl Inform Technol, 49, 2, (2013); Baweja H.S., Parhar T., Leprosy lesion recognition using convolutional neural networks, International Conference on Machine Learning And, Cybernetics. (ICMLC), Jeju, 2016, pp. 141-145, (2016); Jain H., Eshwa S.C., Kumar N., Leprosy detection using image processing and deep learning, Jou Global Pharma Tech, 9, pp. 8-14, (2017); Mondal B., Das N., Santosh K.C., Member I.S., Nasipuri M., Improved Skin Disease Classification Using Generative Adversarial Network, pp. 520-525, (2020); Lo C.M., Wu Y.H., Li Y.C.J., Lee C.C., Computer-aided Bacillus detection in whole-slide pathological images using a deep convolutional neural network, Appl Sci, 10, pp. 1-12, (2020); Maglogiannis I., Charalampos N., Doukas, Overview of advanced computer vision systems for skin lesions characterization. Information Technology in Biomedicine, IEEE Trans on, 13, 5, pp. 721-733, (2009); Vivekanandan S., Et al., Classification of Myoelectric Signals to Diagnose Hansen’s Disease; Pal A., Das N., Sarkar S., Gangopadhyay D., Nasipuri M., A new rotation invariant weber local descriptor for recognition of skin diseases, Lecture Notes in Computer Science (Including Subseries Lecture Notes in Artificial Intelligence and Lecture Notes in Bioinformatics), 8251, pp. 355-360, (2013); Hari S., Subramanian S., Sharma R., Magnetic resonance imaging of ulnar nerve abscess in leprosy: a case report, Lepr Rev, 78, 2, pp. 155-159, (2007); Maglogiannis I., Doukas C.N., Overview of advanced computer vision systems for skin lesions characterization, IEEE Trans Inf Technol Biomed, 13, 5, pp. 721-733, (2009); Wong A., Scharcanski J., Fieguth P., Automatic skin lesion segmentation via iterative stochastic region merging, IEEE Trans Inf Technol Biomed, 15, 6, pp. 929-936, (2011); Sadeghi M., Lee T.K., McLean D., Lui H., Atkins M.S., Detection and analysis of irregular streaks in dermoscopic images of skin lesions, IEEE Trans Med Imaging, 32, 5, pp. 849-861, (2013); Kumar V.B., Kumar S.S., Saboo V., Dermatological Disease Detection Using Image Processing and Machine Learning, 2016 3Rd Int. Conf. Artif. Intell. Pattern Recognition, AIPR 2016, pp. 88-93, (2016); Pal A., Garain U., Chandra A., Chatterjee R., Senapati S., Psoriasis skin biopsy image segmentation using deep convolutional neural network, Comp Methods Programs Biomed, 159, pp. 59-69, (2018); Zhang X., Pan W., Xiao P., In-Vivo Skin Capacitive Image Classification Using AlexNet Convolution Neural Network, 2018 3Rd IEEE Int. Conf. Image, Vis. Comput. ICIVC 2018, pp. 439-443, (2018); Polevaya T., Ravodin R., Filchenkov A., Skin Lesion Primary Morphology Classification with End-To-End Deep Learning Network, 1st, Int. Conf. Artif. Intell. Inf. Commun. ICAIIC, 2019, pp. 247-250, (2019); Bhattacharya S.N., Sehgal V.N., Leprosy in India, Clinics in Dermatology, 17, 2, pp. 159-170, (1999); Kumar B., Response to ‘Elimination of leprosy in India: an analysis’, Indian J Dermatol Venereol Leprol, 84, 4, pp. 443-444, (2018); Shukla L., Patel R., Patel S., Baxi R., Evaluation of the effect of Block Level Awareness campaign on performance indicators of National Leprosy Elimination Program in Vadodara district, Gujarat, India, Indian J Dermatol Venereol Leprol, 81, 3, pp. 257-262, (2015); Forum on Elimination of Leprosy as a Public Health Problem, World Health Organization, (2006)</t>
  </si>
  <si>
    <t xml:space="preserve">R. Jitendra; REVA University, Banaglore, Karnataka, India; email: jitendra.res@reva.edu.in</t>
  </si>
  <si>
    <t xml:space="preserve">2662995X</t>
  </si>
  <si>
    <t xml:space="preserve">SN COMPUT. SCI.</t>
  </si>
  <si>
    <t xml:space="preserve">2-s2.0-85200024676</t>
  </si>
  <si>
    <t xml:space="preserve">Silva N.I.; Souza P.F.L.; Silva B.F.; Fonseca S.G.; Gardinassi L.G.</t>
  </si>
  <si>
    <t xml:space="preserve">Silva, Nágila Isleide (58252585900); Souza, Pedro Felipe Loyola (59265453800); Silva, Bárbara Fernandes (59264346200); Fonseca, Simone Gonçalves (7005476554); Gardinassi, Luiz Gustavo (39861214300)</t>
  </si>
  <si>
    <t xml:space="preserve">58252585900; 59265453800; 59264346200; 7005476554; 39861214300</t>
  </si>
  <si>
    <t xml:space="preserve">Host Transcriptional Meta-signatures Reveal Diagnostic Biomarkers for Plasmodium falciparum Malaria</t>
  </si>
  <si>
    <t xml:space="preserve">Background. Transcriptomics has been used to evaluate immune responses during malaria in diverse cohorts worldwide. However, the high heterogeneity of cohorts and poor generalization of transcriptional signatures reported in each study limit their potential clinical applications. Methods. We compiled 28 public data sets containing 1556 whole-blood or peripheral blood mononuclear cell transcriptome samples. We estimated effect sizes with Hedge’s g value and the DerSimonian-Laird random-effects model for meta-analyses of uncomplicated malaria. Random forest models identified gene signatures that discriminate malaria from bacterial infections or malaria severity. Parasitological, hematological, immunological, and metabolomics data were used for validation. Results. We identified 3 gene signatures: the uncomplicated Malaria Meta-Signature, which discriminates Plasmodium falciparum malaria from uninfected controls; the Malaria or Bacteria Signature, which distinguishes malaria from sepsis and enteric fever; and the cerebral Malaria Meta-Signature, which characterizes individuals with cerebral malaria. These signatures correlate with clinical hallmark features of malaria. Blood transcription modules indicate immune regulation by glucocorticoids, whereas cell development and adhesion are associated with cerebral malaria. Conclusions. Transcriptional meta-signatures reflecting immune cell responses provide potential biomarkers for translational innovation and suggest critical roles for metabolic regulators of inflammation during malaria. © The Author(s) 2024.</t>
  </si>
  <si>
    <t xml:space="preserve">Journal of Infectious Diseases</t>
  </si>
  <si>
    <t xml:space="preserve">e474</t>
  </si>
  <si>
    <t xml:space="preserve">e485</t>
  </si>
  <si>
    <t xml:space="preserve">10.1093/infdis/jiae041</t>
  </si>
  <si>
    <t xml:space="preserve">https://www.scopus.com/inward/record.uri?eid=2-s2.0-85201438414&amp;doi=10.1093%2finfdis%2fjiae041&amp;partnerID=40&amp;md5=82961e38e2a135c3ea2fb21abf33a227</t>
  </si>
  <si>
    <t xml:space="preserve">Departamento de Biociências e Tecnologia, Instituto de Patologia Tropical e Saúde Pública, Universidade Federal de Goiás, Goiânia, Brazil; Departamento de Enfermagem Materno-Infantil e Saúde Pública, Escola de Enfermagem de Ribeirão Preto, Universidade de São Paulo, Ribeirão Preto, Brazil</t>
  </si>
  <si>
    <t xml:space="preserve">Silva N.I., Departamento de Biociências e Tecnologia, Instituto de Patologia Tropical e Saúde Pública, Universidade Federal de Goiás, Goiânia, Brazil; Souza P.F.L., Departamento de Biociências e Tecnologia, Instituto de Patologia Tropical e Saúde Pública, Universidade Federal de Goiás, Goiânia, Brazil; Silva B.F., Departamento de Biociências e Tecnologia, Instituto de Patologia Tropical e Saúde Pública, Universidade Federal de Goiás, Goiânia, Brazil; Fonseca S.G., Departamento de Biociências e Tecnologia, Instituto de Patologia Tropical e Saúde Pública, Universidade Federal de Goiás, Goiânia, Brazil; Gardinassi L.G., Departamento de Biociências e Tecnologia, Instituto de Patologia Tropical e Saúde Pública, Universidade Federal de Goiás, Goiânia, Brazil, Departamento de Enfermagem Materno-Infantil e Saúde Pública, Escola de Enfermagem de Ribeirão Preto, Universidade de São Paulo, Ribeirão Preto, Brazil</t>
  </si>
  <si>
    <t xml:space="preserve">bacterial infection; biomarker; cerebral malaria; gene expression; immune response</t>
  </si>
  <si>
    <t xml:space="preserve">Biomarkers; Gene Expression Profiling; Humans; Leukocytes, Mononuclear; Malaria, Cerebral; Malaria, Falciparum; Plasmodium falciparum; Transcriptome; biological marker; biological marker; transcriptome; accuracy; Article; bacterial infection; bioinformatics; controlled study; diagnostic test accuracy study; enzymatic assay; flow cytometry; gene expression; gene interaction; hematological parameters; human; human cell; immune response; immunocompetent cell; immunoregulation; innate immunity; machine learning; mean corpuscular volume; meta analysis; metabolomics; nerve cell plasticity; nuclear pore complex; nucleus accumbens; olfactory discrimination; peripheral blood mononuclear cell; Plasmodium falciparum; Plasmodium vivax; Plasmodium vivax malaria; principal component analysis; receiver operating characteristic; RNA sequence; sensitivity and specificity; steady state; transcriptomics; blood; cerebral malaria; diagnosis; gene expression profiling; genetics; immunology; malaria falciparum; metabolism; mononuclear cell; parasitology; Plasmodium falciparum</t>
  </si>
  <si>
    <t xml:space="preserve">Biomarkers, </t>
  </si>
  <si>
    <t xml:space="preserve">R package v. 2.1.3, R Foundation; ggplot2 R package v. 3.4.4, R Foundation</t>
  </si>
  <si>
    <t xml:space="preserve">R Foundation; R Foundation</t>
  </si>
  <si>
    <t xml:space="preserve">Conselho Nacional de Desenvolvimento Científico e Tecnológico, CNPq; Fundação de Apoio à Pesquisa, Universidade Federal de Goiás, FUNAPE-UFG; Instituto Serrapilheira, (R-2011–37433)</t>
  </si>
  <si>
    <t xml:space="preserve">Funding text 1: The authors thank all participants and researchers involved in previous studies that generated and shared the data used in the current study. This work was supported by the Serrapilheira Institute (grant Serra\u2014R-2011\u201337433), Funda\u00E7\u00E3o de Apoio \u00E0 Pesquisa (FUNAPE), and Conselho Nacional de Desenvolvimento Cient\u00EDfico e Tecnol\u00F3gico (CNPq; research fellowship to S. G. F. and L G. G.).; Funding text 2: Financial support. This work was supported by the Serrapilheira Institute (grant Serra\u2014R-2011\u201337433), Funda\u00E7\u00E3o de Apoio \u00E0 Pesquisa (FUNAPE), and Conselho Nacional de Desenvolvimento Cient\u00EDfico e Tecnol\u00F3gico (CNPq; research fellowship to S. G. F. and L G. G.).</t>
  </si>
  <si>
    <t xml:space="preserve">Lee HJ, Georgiadou A, Otto TD, Et al., Transcriptomic studies of malaria: a paradigm for investigation of systemic host-pathogen interactions, Microbiol Mol Biol Rev, 82, pp. e00071-17, (2018); Ockenhouse CF, Hu W, Kester KE, Et al., Common and divergent immune response signaling pathways discovered in peripheral blood mononuclear cell gene expression patterns in presymptomatic and clinically apparent malaria, Infect Immun, 74, pp. 5561-5573, (2006); Franklin BS, Parroche P, Ataide MA, Et al., Malaria primes the innate immune response due to interferon-gamma induced enhancement of Toll-like receptor expression and function, Proc Natl Acad Sci U S A, 106, pp. 5789-5794, (2009); Idaghdour Y, Quinlan J, Goulet JP, Et al., Evidence for additive and interaction effects of host genotype and infection in malaria, Proc Natl Acad Sci U S A, 109, pp. 16786-16793, (2012); Subramaniam KS, Spaulding E, Ivan E, Et al., The T-cell inhibitory molecule butyrophilin-like 2 is up-regulated in mild Plasmodium falciparum infection and is protective during experimental cerebral malaria, J Infect Dis, 212, pp. 1322-1331, (2015); Rojas-Pena ML, Vallejo A, Herrera S, Gibson G, Arevalo-Herrera M., Transcription profiling of malaria-naïve and semi-immune Colombian volunteers in a Plasmodium vivax sporozoite challenge, PLoS Negl Trop Dis, 9, (2015); Tran TM, Jones MB, Ongoiba A, Et al., Transcriptomic evidence for modulation of host inflammatory responses during febrile Plasmodium falciparum malaria, Sci Rep, 6, (2016); Nallandhighal S, Park GS, Ho YY, Opoka RO, John CC, Tran TM., Whole-blood transcriptional signatures composed of erythropoietic and NRF2-regulated genes differ between cerebral malaria and severe malarial anemia, J Infect Dis, 219, pp. 154-164, (2019); Li JJ, Huang MJ, Li Z, Et al., Identification of potential whole blood microRNA biomarkers for the blood stage of adult imported falciparum malaria through integrated mRNA and miRNA expression profiling, Biochem Biophys Res Commun, 506, pp. 471-477, (2018); Boldt ABW, van Tong H, Grobusch MP, Et al., The blood transcriptome of childhood malaria, EBioMedicine, 40, pp. 614-625, (2019); Tran TM, Guha R, Portugal S, Et al., A molecular signature in blood reveals a role for p53 in regulating malaria-induced inflammation, Immunity, 51, pp. 750-765, (2019); Bertrams W, Griss K, Han M, Et al., Transcriptional analysis identifies potential biomarkers and molecular regulators in acute malaria infection, Life Sci, 270, (2021); Milne K, Ivens A, Reid AJ, Et al., Mapping immune variation and var gene switching in naive hosts infected with Plasmodium falciparum, Elife, 10, (2021); Studniberg SI, Ioannidis LJ, Utami RAS, Et al., Molecular profiling reveals features of clinical immunity and immunosuppression in asymptomatic P. falciparum malaria, Mol Syst Biol, 18, (2022); Hodgson SH, Muller J, Lockstone HE, Et al., Use of gene expression studies to investigate the human immunological response to malaria infection, Malar J, 18, (2019); Blohmke CJ, Muller J, Gibani MM, Et al., Diagnostic host gene signature for distinguishing enteric fever from other febrile diseases, EMBO Mol Med, 11, (2019); Liu YE, Saul S, Rao AM, Et al., An 8-gene machine learning model improves clinical prediction of severe dengue progression, Genome Med, 14, (2022); Thompson LJ, Dunstan SJ, Dolecek C, Et al., Transcriptional response in the peripheral blood of patients infected with Salmonella enterica serovar Typhi, Proc Natl Acad Sci U S A, 106, pp. 22433-22438, (2009); Abdrabou W, Dieng MM, Diawara A, Et al., Metabolome modulation of the host adaptive immunity in human malaria, Nat Metab, 3, pp. 1001-1016, (2021); Prah DA, Dunican C, Amoah LE, Et al., Asymptomatic Plasmodium falciparum infection evades triggering a host transcriptomic response, J Infect, 87, pp. 259-262, (2023); Rothen J, Murie C, Carnes J, Et al., Whole blood transcriptome changes following controlled human malaria infection in malaria pre-exposed volunteers correlate with parasite prepatent period, PLoS One, 13, (2018); Sandoval DM, Bach F, Nahrendorf W, Et al., Adaptive T cells regulate disease tolerance in human malaria, (2021); Easton AV, Raciny-Aleman M, Liu V, Et al., Immune response and microbiota profiles during coinfection with Plasmodium vivax and soil-transmitted helminths, mBio, 11, pp. e01705-e01720, (2020); Dickinson P, Smith CL, Forster T, Et al., Whole blood gene expression profiling of neonates with confirmed bacterial sepsis, Genom Data, 3, pp. 41-48, (2015); Ahn SH, Tsalik EL, Cyr DD, Et al., Gene expression-based classifiers identify Staphylococcus aureus infection in mice and humans, PLoS One, 8, (2013); Thiam A, Sanka M, Ndiaye Diallo R, Et al., Gene expression profiling in blood from cerebral malaria patients and mild malaria patients living in Senegal, BMC Med Genomics, 12, (2019); Feintuch CM, Saidi A, Seydel K, Et al., Activated neutrophils are associated with pediatric cerebral malaria vasculopathy in Malawian children, mBio, 7, pp. e01300-e01315, (2016); Krupka M, Seydel K, Feintuch CM, Et al., Mild Plasmodium falciparum malaria following an episode of severe malaria is associated with induction of the interferon pathway in Malawian children, Infect Immun, 80, pp. 1150-1155, (2012); Lee HJ, Georgiadou A, Walther M, Et al., Integrated pathogen load and dual transcriptome analysis of systemic host-pathogen interactions in severe malaria, Sci Transl Med, 10, (2018); Durinck S, Moreau Y, Kasprzyk A, Et al., BioMart and Bioconductor: a powerful link between biological databases and microarray data analysis, Bioinformatics, 21, pp. 3439-3440, (2005); Liao Y, Smyth GK, Shi W., The R package Rsubread is easier, faster, cheaper and better for alignment and quantification of RNA sequencing reads, Nucleic Acids Res, 47, (2019); Robinson MD, McCarthy DJ, Smyth GK., edgeR: a Bioconductor package for differential expression analysis of digital gene expression data, Bioinformatics, 26, pp. 139-140, (2010); Haynes WA, Vallania F, Liu C, Et al., Empowering multicohort gene expression analysis to increase reproducibility, Pac Symp Biocomput, 22, pp. 144-153, (2016); Pang Z, Chong J, Zhou G, Et al., MetaboAnalyst 5.0: narrowing the gap between raw spectra and functional insights, Nucleic Acids Res, 49, W1, pp. W388-W396, (2021); Li S, Rouphael N, Duraisingham S, Et al., Molecular signatures of antibody responses derived from a systems biology study of five human vaccines, Nat Immunol, 15, pp. 195-204, (2014); Zyla J, Marczyk M, Domaszewska T, Kaufmann SHE, Polanska J., Weiner J 3rd. Gene set enrichment for reproducible science: comparison of CERNO and eight other algorithms, Bioinformatics, 35, pp. 5146-5154, (2019); Traini M, Quinn CM, Sandoval C, Et al., Sphingomyelin phosphodiesterase acid-like 3A (SMPDL3A) is a novel nucleotide phosphodiesterase regulated by cholesterol in human macrophages, J Biol Chem, 289, pp. 32895-32913, (2014); Oakley RH, Cidlowski JA., The biology of the glucocorticoid receptor: new signaling mechanisms in health and disease, J Allergy Clin Immunol, 132, pp. 1033-1044, (2013); Plucinski MM, Herman C, Jones S, Et al., Screening for pfhrp2/3-deleted Plasmodium falciparum, non-falciparum, and low-density malaria infections by a multiplex antigen assay, J Infect Dis, 219, pp. 437-447, (2019); Casals-Pascual C, Idro R, Gicheru N, Et al., High levels of erythropoietin are associated with protection against neurological sequelae in African children with cerebral malaria, Proc Natl Acad Sci U S A, 105, pp. 2634-2639, (2008); Eltzschig HK, Sitkovsky MV, Robson SC., Purinergic signaling during inflammation, N Engl J Med, 367, pp. 2322-2333, (2012); Hou Y, Wang Z, Liu P, Et al., SMPDL3A is a cGAMP-degrading enzyme induced by LXR-mediated lipid metabolism to restrict cGAS-STING DNA sensing, Immunity, 56, pp. 2492-2507, (2023); Gallego-Marin C, Schrum JE, Andrade WA, Et al., Cyclic GMP-AMP synthase is the cytosolic sensor of Plasmodium falciparum genomic DNA and activates type I IFN in malaria, J Immunol, 200, pp. 768-774, (2018); Dooley NL, Chabikwa TG, Pava Z, Et al., Single cell transcriptomics shows that malaria promotes unique regulatory responses across multiple immune cell subsets, Nat Commun, 14, (2023); Nacer A, Movila A, Sohet F, Et al., Experimental cerebral malaria pathogenesis—hemodynamics at the blood brain barrier, PLoS Pathog, 10, (2014); Milner DA, Whitten RO, Kamiza S, Et al., The systemic pathology of cerebral malaria in African children, Front Cell Infect Microbiol, 4, (2014)</t>
  </si>
  <si>
    <t xml:space="preserve">L.G. Gardinassi; Departamento de Biociências e Tecnologia, Instituto de Patologia Tropical e Saúde Pública, Universidade Federal de Goiás, Goiânia, Brazil; email: gardinassi@eerp.usp.br</t>
  </si>
  <si>
    <t xml:space="preserve">JIDIA</t>
  </si>
  <si>
    <t xml:space="preserve">J. Infect. Dis.</t>
  </si>
  <si>
    <t xml:space="preserve">2-s2.0-85201438414</t>
  </si>
  <si>
    <t xml:space="preserve">Shaikh S.G.; Kumar B.S.; Narang G.; Pachpor N.N.</t>
  </si>
  <si>
    <t xml:space="preserve">Shaikh, Salim Gulab (57671794000); Kumar, Billakurthi Suresh (58946787000); Narang, Geetika (14829403500); Pachpor, Nishant Nilkanth (56543535100)</t>
  </si>
  <si>
    <t xml:space="preserve">57671794000; 58946787000; 14829403500; 56543535100</t>
  </si>
  <si>
    <t xml:space="preserve">Hybrid machine learning method for classification and recommendation of vector-borne disease</t>
  </si>
  <si>
    <t xml:space="preserve">Vector-borne diseases (VBD) are a class of infectious illnesses that are transmitted to humans and animals through the bites of arthropod vectors, such as mosquitoes, ticks, and fleas. These diseases are caused by a variety of pathogens, including bacteria, viruses, and parasites, and are a significant global public health concern. Vector-borne diseases are prevalent in many parts of the world, particularly in tropical and subtropical regions, where the vectors thrive. This research has contributed by constructing a hybrid machine learning based prediction model, which helps to discover patients who are infected by vector-borne disease at an earlier stage and also helps with the categorization and diagnosis of severe vector-borne disease. The model that has been proposed is made up of units: data conversion, data preprocessing, normalization, extraction of feature, splitting of dataset, and classification and prediction unit. The fact that the suggested prediction model is capable of identifying vector-borne disease in its early phases as well as categorizing the kind of disease using the medical report of a sufferer is one of the innovative aspects of the model. The 7 distinct conventional machine learning and single hybrid machine learning (HML) are applied for classification and Recurrent Neural Network (RNN) based reinforcement learning are utilized for recommendation. In order to evaluate the effectiveness of the system that’s been proposed, a number of tests were carried out. A dataset consisting of 1539 different cases of a disease transmitted by vectors has been collected. The 11 common vector-borne diseases namely malaria, dengue, Japanese encephalitis, kala-azar and chikungunya were taken for experimental evaluation. The performance accuracy of the proposed prediction model has been measured at 98.76%, which assists the healthcare team in making decisions on a timely basis and ultimately helps to save the patient’s lives. The final phase system provides the recommendation for those classifiers resulting in four different classes such as normal, mild, moderate and severe respectively. The recommendation is also demonstrating future direction for cure of vector borne disease. © 2023 by author(s).</t>
  </si>
  <si>
    <t xml:space="preserve">Journal of Autonomous Intelligence</t>
  </si>
  <si>
    <t xml:space="preserve">Frontier Scientific Publishing</t>
  </si>
  <si>
    <t xml:space="preserve">10.32629/jai.v7i2.797</t>
  </si>
  <si>
    <t xml:space="preserve">https://www.scopus.com/inward/record.uri?eid=2-s2.0-85181201258&amp;doi=10.32629%2fjai.v7i2.797&amp;partnerID=40&amp;md5=c3abbfdaa4e3e7cf522cd2611cbfc74e</t>
  </si>
  <si>
    <t xml:space="preserve">Department of Computer Engineering, Amity School of Engineering and Technology, Amity University, Rajasthan, Jaipur, 302006, India; Department of Computer Engineering, AIKTC, Kalsekar Technical Campus, New Panvel, Mumbai, 410206, India; Department of Computer Science and Engineering, School of Computer Science and Engineering, Sanjay Ghodawat University, Kolhapur, 416118, India; Department of Computer Science and Engineering, Trinity College of Engineering and Research, Savitribai Phule Pune University, Pune, 411048, India; Department of Computer Science, Indian Institutes of Management and Studies, Savitribai Phule Pune University, Pune, 411048, India</t>
  </si>
  <si>
    <t xml:space="preserve">Shaikh S.G., Department of Computer Engineering, Amity School of Engineering and Technology, Amity University, Rajasthan, Jaipur, 302006, India, Department of Computer Engineering, AIKTC, Kalsekar Technical Campus, New Panvel, Mumbai, 410206, India; Kumar B.S., Department of Computer Science and Engineering, School of Computer Science and Engineering, Sanjay Ghodawat University, Kolhapur, 416118, India; Narang G., Department of Computer Science and Engineering, Trinity College of Engineering and Research, Savitribai Phule Pune University, Pune, 411048, India; Pachpor N.N., Department of Computer Science, Indian Institutes of Management and Studies, Savitribai Phule Pune University, Pune, 411048, India</t>
  </si>
  <si>
    <t xml:space="preserve">feature extraction and selection; hybrid machine learning; machine learning; natural language processing; vector-borne disease prediction</t>
  </si>
  <si>
    <t xml:space="preserve">Karn S, Sangole S, Gawde A, Joshi J., Prediction and classification of vector-borne and communicable diseases through artificial neural networks, Proceedings of the 2019 International Conference on Intelligent Computing and Control Systems (ICCS), pp. 1011-1015, (2019); Kaur I, Sandhu AK, Kumar Y., Analyzing and minimizing the effects of vector-borne diseases using machine and deep learning techniques: A systematic review, Proceedings of the 2021 Sixth International Conference on Image Information Processing (ICIIP), pp. 69-74, (2021); Raizada S, Mala S, Shankar A., Vector-borne disease outbreak prediction by machine learning, Proceedings of the 2020 International Conference on Smart Technologies in Computing, Electrical and Electronics (ICSTCEE), pp. 213-218, (2020); Davi C, Pastor A, Oliveira T, Et al., Severe dengue prognosis using human genome data and machine learning, IEEE Transactions on Biomedical Engineering, 66, 10, pp. 2861-2868, (2019); Singh KD., Particle swarm optimization assisted support vector machine based diagnostic system for dengue prediction at the early stage, Proceedings of the 2021 3rd International Conference on Advances in Computing, Communication Control and Networking (ICAC3N), pp. 844-848, (2021); Saturi S., Development of prediction and forecasting model for dengue disease using machine learning algorithms, Proceedings of the 2020 IEEE International Conference on Distributed Computing, VLSI, Electrical Circuits and Robotics (DISCOVER), pp. 6-11, (2020); Sarder F, Akter S, Akter S., Predicting dengue outbreak from climate data using machine learning algorithms, Proceedings of the 2022 IEEE International Conference on Data Science and Information System (ICDSIS), pp. 1-6, (2022); Ghaffari M, Srinivasan A, Mubayi A, Et al., Next-generation high-resolution vector-borne disease risk assessment, Proceedings of the 2019 IEEE/ACM International Conference on Advances in Social Networks Analysis and Mining (ASONAM), pp. 621-624, (2019); Siddiq A, Shukla N, Pradhan B., Predicting dengue fever transmission using machine learning methods, Proceedings of the 2021 IEEE International Conference on Industrial Engineering and Engineering Management (IEEM), pp. 21-26, (2021); Akramin Kamarudin AN, Zainol Z, Abu Kassim NF., Forecasting the dengue outbreak using machine learning algorithm: A review, Proceedings of the 2021 International Conference of Women in Data Science at Taif University (WiDSTaif), pp. 1-5, (2021); Ahmed MS, Rahman R, Arefeen ZR, Et al., Effort to mitigate malaria via early detection using hybrid machine learning architectures, pp. 155-159; Dhaka A, Singh P., Comparative analysis of epidemic alert system using machine learning for dengue and chikungunya, Proceedings of the 2020 10th International Conference on Cloud Computing, Data Science &amp; Engineering (Confluence), pp. 798-804, (2020); Ganapathi Raju NV, Krishna PG, Manognya K, Et al., Evolution of predictive model for dengue incidence by using machine learning algorithms, Proceedings of the 2019 International Conference on Communication and Electronics Systems (ICCES), pp. 51-59, (2019); Devarajan JP, Sreedharan VR, Narayanamurthy G., Decision making in health care diagnosis: evidence from Parkinson’s disease via hybrid machine learning, IEEE Transactions on Engineering Management, 70, 8, pp. 2719-2731, (2023); Nalini C, Shanthakumari R, Venkata PR, Et al., Prediction of dengue infection using machine learning, Proceedings of the 2022 International Conference on Computer Communication and Informatics (ICCCI), pp. 1-5, (2022); Jayampathi KTK, Jananjaya MAC, Fernando EPC, Et al., Mobile medical assistant and analytical system for dengue patients, Proceedings of the 2021 3rd International Conference on Advancements in Computing (ICAC), pp. 371-376; Feng C, Wu J, Wei H, Et al., CRCF: A method of identifying secretory proteins of malaria parasites, IEEE/ACM Transactions on Computational Biology and Bioinformatics, 19, 4, pp. 2149-2157, (2022); Umer M, Sadiq S, Ahmad M, Et al., A novel stacked CNN for malarial parasite detection in thin blood smear images, IEEE Access, 8, pp. 93782-93792, (2020); Prakash N, Balaji VR., Detection of plant disease using swarm intelligence optimization algorithm, Proceedings of the 2021 International Conference on Advancements in Electrical, Electronics, Communication, Computing and Automation (ICAECA), pp. 1-5, (2021); Mathur N, Asirvadam VS, Dass SC., Spatial-temporal visualization of dengue incidences using gaussian kernel, Proceedings of the 2018 International Conference on Intelligent and Advanced System (ICIAS), pp. 1-6, (2018); Huang LP, Hong MH, Luo CH, Et al., A vector mosquitoes classification system based on edge computing and deep learning, Proceedings of the 2018 Conference on Technologies and Applications of Artificial Intelligence (TAAI), pp. 24-27; Varshini TH, Samatha B., Deep learning technology to identify arboviral disease-dengue prediction, Proceedings of the 2022 International Conference on Edge Computing and Applications (ICECAA), pp. 1317-1323, (2022); Shamim MAR, Anas ABM, Erfan M., Identification of vector and non-vector mosquito species using deep convolutional neural networks with ensemble model, Proceedings of the 2022 International Conference on Advancement in Electrical and Electronic Engineering (ICAEEE), pp. 1-6, (2022); Lad S., Tabular-Vector-Borne-Disease-dataset</t>
  </si>
  <si>
    <t xml:space="preserve">S.G. Shaikh; Department of Computer Engineering, Amity School of Engineering and Technology, Amity University, Jaipur, Rajasthan, 302006, India; email: shaikhsg2@gmail.com</t>
  </si>
  <si>
    <t xml:space="preserve">J. Auton. Intell.</t>
  </si>
  <si>
    <t xml:space="preserve">2-s2.0-85181201258</t>
  </si>
  <si>
    <t xml:space="preserve">Jiang X.; Luo Y.; Li Z.; Zhang H.; Xu Z.; Wang D.</t>
  </si>
  <si>
    <t xml:space="preserve">Jiang, Xinyi (57438514500); Luo, Yuanxi (58575766100); Li, Zeshi (57236812200); Zhang, He (57221295645); Xu, Zhenjun (57198998560); Wang, Dongjin (55713239000)</t>
  </si>
  <si>
    <t xml:space="preserve">57438514500; 58575766100; 57236812200; 57221295645; 57198998560; 55713239000</t>
  </si>
  <si>
    <t xml:space="preserve">Identification of diagnostic biomarkers and immune cell infiltration in coronary artery disease by machine learning, nomogram, and molecular docking</t>
  </si>
  <si>
    <t xml:space="preserve">Background: Coronary artery disease (CAD) is still a lethal disease worldwide. This study aims to identify clinically relevant diagnostic biomarker in CAD and explore the potential medications on CAD. Methods: GSE42148, GSE180081, and GSE12288 were downloaded as the training and validation cohorts to identify the candidate genes by constructing the weighted gene co-expression network analysis. Functional enrichment analysis was utilized to determine the functional roles of these genes. Machine learning algorithms determined the candidate biomarkers. Hub genes were then selected and validated by nomogram and the receiver operating curve. Using CIBERSORTx, the hub genes were further discovered in relation to immune cell infiltrability, and molecules associated with immune active families were analyzed by correlation analysis. Drug screening and molecular docking were used to determine medications that target the four genes. Results: There were 191 and 230 key genes respectively identified by the weighted gene co-expression network analysis in two modules. A total of 421 key genes found enriched pathways by functional enrichment analysis. Candidate immune-related genes were then screened and identified by the random forest model and the eXtreme Gradient Boosting algorithm. Finally, four hub genes, namely, CSF3R, EED, HSPA1B, and IL17RA, were obtained and used to establish the nomogram model. The receiver operating curve, the area under curve, and the calibration curve were all used to validate the accuracy and usefulness of the diagnostic model. Immune cell infiltrating was examined, and CAD patients were then divided into high- and low-expression groups for further gene set enrichment analysis. Through targeting the hub genes, we also found potential drugs for anti-CAD treatment by using the molecular docking method. Conclusions: CSF3R, EED, HSPA1B, and IL17RA are potential diagnostic biomarkers for CAD. CAD pathogenesis is greatly influenced by patterns of immune cell infiltration. Promising drugs offers new prospects for the development of CAD therapy. Copyright © 2024 Jiang, Luo, Li, Zhang, Xu and Wang.</t>
  </si>
  <si>
    <t xml:space="preserve">Frontiers in Immunology</t>
  </si>
  <si>
    <t xml:space="preserve">Frontiers Media SA</t>
  </si>
  <si>
    <t xml:space="preserve">10.3389/fimmu.2024.1368904</t>
  </si>
  <si>
    <t xml:space="preserve">https://www.scopus.com/inward/record.uri?eid=2-s2.0-85190450918&amp;doi=10.3389%2ffimmu.2024.1368904&amp;partnerID=40&amp;md5=aad2106c9db78a707758b45708c3783a</t>
  </si>
  <si>
    <t xml:space="preserve">Department of Cardio-Thoracic surgery, Nanjing Drum Tower Hospital, Chinese Academy of Medical Sciences, Peking Union Medical College, Peking Union Medical College Graduate School, Nanjing, China; Peking Union Medical College Hospital, Chinese Academy of Medical Sciences &amp; Peking Union Medical College, Beijing, China; Department of Cardio-Thoracic Surgery, Nanjing Drum Tower Hospital, The Affiliated Hospital of Nanjing University Medical School, Nanjing, China</t>
  </si>
  <si>
    <t xml:space="preserve">Jiang X., Department of Cardio-Thoracic surgery, Nanjing Drum Tower Hospital, Chinese Academy of Medical Sciences, Peking Union Medical College, Peking Union Medical College Graduate School, Nanjing, China, Peking Union Medical College Hospital, Chinese Academy of Medical Sciences &amp; Peking Union Medical College, Beijing, China, Department of Cardio-Thoracic Surgery, Nanjing Drum Tower Hospital, The Affiliated Hospital of Nanjing University Medical School, Nanjing, China; Luo Y., Department of Cardio-Thoracic surgery, Nanjing Drum Tower Hospital, Chinese Academy of Medical Sciences, Peking Union Medical College, Peking Union Medical College Graduate School, Nanjing, China, Peking Union Medical College Hospital, Chinese Academy of Medical Sciences &amp; Peking Union Medical College, Beijing, China, Department of Cardio-Thoracic Surgery, Nanjing Drum Tower Hospital, The Affiliated Hospital of Nanjing University Medical School, Nanjing, China; Li Z., Department of Cardio-Thoracic surgery, Nanjing Drum Tower Hospital, Chinese Academy of Medical Sciences, Peking Union Medical College, Peking Union Medical College Graduate School, Nanjing, China, Peking Union Medical College Hospital, Chinese Academy of Medical Sciences &amp; Peking Union Medical College, Beijing, China, Department of Cardio-Thoracic Surgery, Nanjing Drum Tower Hospital, The Affiliated Hospital of Nanjing University Medical School, Nanjing, China; Zhang H., Department of Cardio-Thoracic surgery, Nanjing Drum Tower Hospital, Chinese Academy of Medical Sciences, Peking Union Medical College, Peking Union Medical College Graduate School, Nanjing, China, Peking Union Medical College Hospital, Chinese Academy of Medical Sciences &amp; Peking Union Medical College, Beijing, China, Department of Cardio-Thoracic Surgery, Nanjing Drum Tower Hospital, The Affiliated Hospital of Nanjing University Medical School, Nanjing, China; Xu Z., Department of Cardio-Thoracic Surgery, Nanjing Drum Tower Hospital, The Affiliated Hospital of Nanjing University Medical School, Nanjing, China; Wang D., Department of Cardio-Thoracic surgery, Nanjing Drum Tower Hospital, Chinese Academy of Medical Sciences, Peking Union Medical College, Peking Union Medical College Graduate School, Nanjing, China, Peking Union Medical College Hospital, Chinese Academy of Medical Sciences &amp; Peking Union Medical College, Beijing, China, Department of Cardio-Thoracic Surgery, Nanjing Drum Tower Hospital, The Affiliated Hospital of Nanjing University Medical School, Nanjing, China</t>
  </si>
  <si>
    <t xml:space="preserve">coronary artery disease; diagnostic biomarkers; immune cell infiltration; machine learning; molecular docking; nomogram</t>
  </si>
  <si>
    <t xml:space="preserve">Algorithms; Coronary Artery Disease; Humans; Machine Learning; Molecular Docking Simulation; Nomograms; amiodarone; cefaloridine; chemokine receptor CCR1; chemokine receptor CCR2; chemokine receptor CCR5; CXCL2 chemokine; doxorubicin; fat droplet; Fc receptor; granulocyte macrophage colony stimulating factor; HLA antibody; HLA E antigen; HLA F antigen; insulin receptor; interleukin 17; interleukin 3; interleukin 5; mammalian target of rapamycin; phosphatidylinositol 3 kinase; phosphotyrosine; protein p53; tumor necrosis factor; ubiquitin protein ligase; algorithm; area under the curve; Article; CD4+ T lymphocyte; CD8+ T lymphocyte; cell infiltration; cohort analysis; controlled study; coronary artery disease; correlation analysis; correlation coefficient; decision tree; degranulation; dendritic cell; diagnostic test accuracy study; drug screening; functional enrichment analysis; gene expression; gene ontology; gene set enrichment analysis; human; hypoxia; immune system; immune-related gene; immunocompetent cell; immunotherapy; learning algorithm; Leishmania; leishmaniasis; machine learning; memory B lymphocyte; molecular docking; natural killer cell; nomogram; pathogenesis; peroxisome; phagocytosis; prediction; predictive value; random forest; receiver operating characteristic; RNA sequencing; signal transduction; training; upregulation; validation process; weighted gene co expression network analysis; coronary artery disease; genetics; machine learning; molecular docking; nomogram</t>
  </si>
  <si>
    <t xml:space="preserve">amiodarone, 1951-25-3, 19774-82-4, 62067-87-2; cefaloridine, 50-59-9; chemokine receptor CCR1, 265970-50-1; doxorubicin, 23214-92-8, 25316-40-9; phosphatidylinositol 3 kinase, 115926-52-8; phosphotyrosine, 21820-51-9; ubiquitin protein ligase, 134549-57-8</t>
  </si>
  <si>
    <t xml:space="preserve">National Natural Science Foundation of China, NSFC, (82241212, 82270346); National Natural Science Foundation of China, NSFC</t>
  </si>
  <si>
    <t xml:space="preserve">The author(s) declare that financial support was received for the research, authorship, and/or publication of this article. This work was supported by grants from the National Natural Science Foundation of China (grants 82241212, 82270346). </t>
  </si>
  <si>
    <t xml:space="preserve">Libby P., Theroux P., Pathophysiology of coronary artery disease, Circulation, 111, (2005); Meng H., Ruan J., Yan Z., Chen Y., Liu J., Li X., Et al., New progress in early diagnosis of atherosclerosis, Int J Mol Sci, 23, (2022); Glagov S., Weisenberg E., Zarins C.K., Stankunavicius R., Kolettis G.J., Compensatory enlargement of human atherosclerotic coronary arteries, New Engl J Med, 316, (1987); Pena-Duque M.A., Romero-Ibarra J.L., Gaxiola-Macias M.B.A., Arias-Sanchez E.A., Coronary atherosclerosis and interventional cardiology, Arch Med Res, 46, (2015); Koskinas K.C., Windecker S., Raber L., Regression of coronary atherosclerosis: Current evidence and future perspectives, Trends Cardiovasc Med, 26, (2016); Gistera A., Hansson G.K., The immunology of atherosclerosis, Nat Rev Nephrol, 13, (2017); Dweck M.R., Doris M.K., Motwani M., Adamson P.D., Slomka P., Dey D., Et al., Imaging of coronary atherosclerosis — evolution towards new treatment strategies, Nat Rev Cardiol, 13, (2016); Goldstein J.A., Mehta N.K., Extent of coronary atherosclerosis and ischemic myocardium foment sudden cardiac death, Catheterization Cardiovasc Interventions, 99, (2022); Damluji A.A., Forman D.E., Wang T.Y., Chikwe J., Kunadian V., Rich M.W., Et al., Management of acute coronary syndrome in the older adult population: A scientific statement from the american heart association, Circulation, 147, (2023); Roberts R., Stewart A.F.R., Genes and coronary artery disease, J Am Coll Cardiol, 60, (2012); Li Y., Wang H., Wu J., Kim H.J., Yang X., Geng H., Et al., ALDH2 gene G487A polymorphism and coronary artery disease: a meta-analysis including 5644 participants, J Cell Mol Med, 22, (2018); Wu X., Qin K., Iroegbu C.D., Xiang K., Peng J., Guo J., Et al., Genetic analysis of potential biomarkers and therapeutic targets in ferroptosis from coronary artery disease, J Cell Mol Med, 26, (2022); Yu R., Yu Q., Li Z., Li J., Yang J., Hu Y., Et al., Transcriptome-wide map of N6-methyladenosine (m6A) profiling in coronary artery disease (CAD) with clopidogrel resistance, Clin Epigenet, 15, (2023); Zhang B., He M., Identification of potential biomarkers for coronary artery disease based on cuproptosis, Cardiovasc Ther, 2023, (2023); Dai Y., Sun Z., Zheng Y., Ge J., Recent advances in the gut microbiome and microbial metabolites alterations of coronary artery disease, Sci Bull, 68, (2023); Hay S.I., Abajobir A.A., Abate K.H., Abbafati C., Abbas K.M., Abd-Allah F., Et al., Global, regional, and national disability-adjusted life-years (DALYs) for 333 diseases and injuries and healthy life expectancy (HALE) for 195 countries and territories 1990–2016: a systematic analysis for the Global Burden of Disease Study 2016, Lancet, 390, (2017); Khera A.V., Kathiresan S., Genetics of coronary artery disease: discovery, biology and clinical translation, Nat Rev Genet, 18, (2017); Deloukas P., Et al., Large-scale association analysis identifies new risk loci for coronary artery disease, Nat Genet, 45, pp. 25-33, (2013); Buniello A., MacArthur J.A.L., Cerezo M., Harris L.W., Hayhurst J., Malangone C., Et al., The NHGRI-EBI GWAS Catalog of published genome-wide association studies, targeted arrays and summary statistics 2019, Nucleic Acids Res, 47, (2019); Thygesen K., Alpert J.S., White H.D., Biomarker Group Jaffe A.S., Et al., Universal definition of myocardial infarction: Kristian Thygesen, Joseph S. Alpert and Harvey D. White on behalf of the Joint ESC/ACCF/AHA/WHF Task Force for the Redefinition of Myocardial Infarction, Eur Heart J, 28, (2007); Boudoulas K.D., Triposkiadis F., Geleris P., Boudoulas H., Coronary atherosclerosis: pathophysiologic basis for diagnosis and management, Prog Cardiovasc Dis, 58, (2016); Zhao H., Deininger M.W., CSF3R and SETBP1 getting high on LSD1, Blood, 140, (2022); Maxson J.E., Gotlib J., Pollyea D.A., Fleischman A.G., Agarwal A., Eide C.A., Et al., Oncogenic CSF3R mutations in chronic neutrophilic leukemia and atypical CML, New Engl J Med, 368, (2013); Shah A.D., Denaxas S., Nicholas O., Hingorani A.D., Hemingway H., Neutrophil counts and initial presentation of 12 cardiovascular diseases: A CALIBER cohort study, J Am Coll Cardiol, 69, (2017); Adamstein N.H., MacFadyen J.G., Rose L.M., Glynn R.J., Dey A.K., Libby P., Et al., The neutrophil–lymphocyte ratio and incident atherosclerotic events: analyses from five contemporary randomized trials, Eur Heart J, 42, pp. 896-903, (2021); Luo J., Thomassen J.Q., Nordestgaard B.G., Tybjaerg-Hansen A., Frikke-Schmidt R., Neutrophil counts and cardiovascular disease, Eur Heart J, 44, (2023); Sijilmassi O., Folic acid deficiency and vision: a review, Graefe’s Arch Clin Exp Ophthalmol, 257, (2019); Ratajczak A.E., Szymczak-Tomczak A., Rychter A.M., Zawada A., Dobrowolska A., Krela-Kazmierczak I., Does folic acid protect patients with inflammatory bowel disease from complications, Nutrients, 13, (2021); McNulty H., Pentieva K., Hoey L., Ward M., Homocysteine, B-vitamins and CVD: symposium on “Diet and CVD”, Proc Nutr Soc, 67, (2008); Dudman N.P.B., Temple S.E., Guo X.W., Fu W., Perry M.A., Homocysteine enhances neutrophil-endothelial interactions in both cultured human cells and rats in vivo, Circ Res, 84, (1999); Stanhewicz A.E., Kenney W.L., Role of folic acid in nitric oxide bioavailability and vascular endothelial function, Nutr Rev, 75, pp. 61-70, (2017); Jing Y., Niu S., Chen Y., Folic Acid Protects Against Kidney Damage in Mice with Diabetic Nephropathy by Inhibiting M1 Macrophage Polarization via Nuclear Factor- k-gene Binding Pathway, Altern Ther Health Med, 29, 6, (2023); Samblas M., Martinez J.A., Milagro F., Folic acid improves the inflammatory response in LPS-activated THP-1 macrophages, Mediators Inflammation, 2018, pp. 1-8, (2018); Liu K.-L., Zhu K., Zhang H., An overview of the development of EED inhibitors to disable the PRC2 function, RSC Medicinal Chem, 13, pp. 39-53, (2022); Ai S., Peng Y., Li C., Gu F., Yu X., Yue Y., Et al., EED orchestration of heart maturation through interaction with HDACs is H3K27me3-independent, eLife, 6, (2017); Yan J., Li B., Lin B., Lee P.T., Chung T.H., Tan J., Et al., EZH2 phosphorylation by JAK3 mediates a switch to noncanonical function in natural killer/T-cell lymphoma, Blood, 128, (2016); Li W., Lidebjer C., Yuan X.M., Szymanowski A., Backteman K., Ernerudh J., Et al., NK cell apoptosis in coronary artery disease, Atherosclerosis, 199, pp. 65-72, (2008); Hamilton D., Nandkeolyar S., Lan H., Desai P., Evans J., Hauschild C., Et al., Amiodarone: A comprehensive guide for clinicians, Am J Cardiovasc Drugs, 20, (2020); Kay G.N., Pryor D.B., Lee K.L., Harrell F.E., Pressley J.C., Gilbert M.R., Et al., Comparison of survival of amiodarone-treated patients with coronary artery disease and Malignant ventricular arrhythmias with that of a control group with coronary artery disease, J Am Coll Cardiol, 9, (1987); Han Y., Miller A., Mangada J., Liu Y., Swistowski A., Zhan M., Et al., Identification by Automated Screening of a Small Molecule that Selectively Eliminates Neural Stem Cells Derived from hESCs but Not Dopamine Neurons, PLoS One, 4, (2009); Guan Y., Zhu X., Liang J., Wei M., Huang S., Pan X., Upregulation of HSPA1A/HSPA1B/HSPA7 and downregulation of HSPA9 were related to poor survival in colon cancer, Front Oncol, 11, (2021); Shao Q., Chen D., Chen S., Ru X., Ye Q., Escherichia coli infection sepsis: an analysis of specifically expressed genes and clinical indicators, Diagnostics, 13, (2023); Chu Y., Dai E., Li Y., Han G., Pei G., Ingram D.R., Et al., Pan-cancer T cell atlas links a cellular stress response state to immunotherapy resistance, Nat Med, 29, (2023); Rokushima M., Fujisawa K., Furukawa N., Itoh F., Yanagimoto T., Fukushima R., Et al., Transcriptomic analysis of nephrotoxicity induced by cephaloridine, a representative cephalosporin antibiotic, Chem Res Toxicol, 21, (2008); Goldstein R.S., Smith P.F., Tarloff J.B., Contardi L., Rush G.F., Hook J.B., Biochemical mechanisms of cephaloridine nephrotoxicity, Life Sci, 42, (1988); Mills K.H.G., IL-17 and IL-17-producing cells in protection versus pathology, Nat Rev Immunol, 23, pp. 38-54, (2023); Fan X., Shu P., Wang Y., Ji N., Zhang D., Interactions between neutrophils and T-helper 17 cells, Front Immunol, 14, (2023); Majumder S., McGeachy M.J., IL-17 in the pathogenesis of disease: good intentions gone awry, Annu Rev Immunol, 39, (2021); Muller I., Jenner A., Bruchelt G., Niethammer D., Halliwell B., Effect of concentration on the cytotoxic mechanism of doxorubicin—Apoptosis and oxidative DNA damage, Biochem Biophys Res Commun, 230, (1997); Zuo S., Kong D., Wang C., Liu J., Wang Y., Wan Q., Et al., CRTH2 promotes endoplasmic reticulum stress-induced cardiomyocyte apoptosis through m-calpain, EMBO Mol Med, 10, (2018); Kaymak E., Akin A.T., Ozturk E., Karabulut D., Kuloglu N., Yakan B., Thymoquinone has a neuroprotective effect against inflammation, oxidative stress, and endoplasmic reticulum stress in the brain cortex, medulla, and hippocampus due to doxorubicin, J Biochem Mol Toxicol, 35, (2021)</t>
  </si>
  <si>
    <t xml:space="preserve">D. Wang; Department of Cardio-Thoracic surgery, Nanjing Drum Tower Hospital, Chinese Academy of Medical Sciences, Peking Union Medical College, Peking Union Medical College Graduate School, Nanjing, China; email: wangdongjin@njglyy.com; Z. Xu; Department of Cardio-Thoracic Surgery, Nanjing Drum Tower Hospital, The Affiliated Hospital of Nanjing University Medical School, Nanjing, China; email: xzj881225@163.com</t>
  </si>
  <si>
    <t xml:space="preserve">Front. Immunol.</t>
  </si>
  <si>
    <t xml:space="preserve">2-s2.0-85190450918</t>
  </si>
  <si>
    <t xml:space="preserve">Hao Q.; Gao W.; Zhang P.; Yan P.</t>
  </si>
  <si>
    <t xml:space="preserve">Hao, Qiaoxin (58508716100); Gao, Wei (59468512400); Zhang, Pei (58509946900); Yan, Peng (57206697898)</t>
  </si>
  <si>
    <t xml:space="preserve">58508716100; 59468512400; 58509946900; 57206697898</t>
  </si>
  <si>
    <t xml:space="preserve">Identification of PANoptosis-Related Genes in Community-Acquired Pneumonia Diagnosis</t>
  </si>
  <si>
    <t xml:space="preserve">Background: This study aimed to identify and characterize novel PANoptosis biomarkers for community-acquired pneumonia (CAP) diagnosis. Methods: Transcriptomic data from training set GSE196399 and validation sets GSE94916 and GSE202947 were utilized. A PANoptosis gene set was identified by intersecting DEGs linked to CAP, WGCNA hub genes, and PANoptosis-related genes. GO and KEGG analyses were conducted for enrichment analysis. PANoptosis scores were calculated via ssGSEA. Feature genes were identified using SVM-RFE, LASSO regression, and RF methods. Diagnostic performance was assessed via ROC analysis. Immune cell infiltration was evaluated using CIBERSORT. A PPI network was constructed, and a nomogram was developed for CAP prediction. Drug-gene interactions were investigated. qRT-PCR was conducted to confirm feature gene alterations in clinical samples. Results: We identified 7555 DEGs associated with CAP from the GSE196399 dataset. Through WGCNA, a PANoptosis gene set of 39 genes was found, showing significant enrichment in pathways related to apoptosis and inflammation. CAP patients exhibited significantly reduced PANoptosis scores compared to healthy controls, with a marked upregulation in the majority of the PANoptosis gene set in high-score individuals. Four feature genes (ZNF304, AKT3, MAPK8, and ARHGAP10) were identified as potential biomarkers, exhibiting high diagnostic accuracy with AUCs generally above 0.8. These genes also showed significant correlations with M0 macrophages and neutrophils. Drug-gene interaction analysis revealed potential therapeutic agents targeting MAPK8 and AKT3. Validation in clinical samples confirmed gene expression alterations in CAP patients. Conclusion: The identified PANoptosis feature genes demonstrate high diagnostic accuracy for CAP, serving as potential biomarkers and therapeutic targets for CAP. © 2024 Hao et al.</t>
  </si>
  <si>
    <t xml:space="preserve">diagnostics, treatment monitoring</t>
  </si>
  <si>
    <t xml:space="preserve">Journal of Inflammation Research </t>
  </si>
  <si>
    <t xml:space="preserve">10.2147/JIR.S491315</t>
  </si>
  <si>
    <t xml:space="preserve">https://www.scopus.com/inward/record.uri?eid=2-s2.0-85211821653&amp;doi=10.2147%2fJIR.S491315&amp;partnerID=40&amp;md5=2fa3665621a5d4ce3c86a51f59a2f1b2</t>
  </si>
  <si>
    <t xml:space="preserve">Department of Clinical Laboratory, China Aerospace Science &amp; Industry Corporation, 731 hospital, Beijing, 100074, China; Pulmonary and Critical Care Medicine, China Aerospace Science &amp; Industry Corporation, 731 hospital, Beijing, 100074, China</t>
  </si>
  <si>
    <t xml:space="preserve">Hao Q., Department of Clinical Laboratory, China Aerospace Science &amp; Industry Corporation, 731 hospital, Beijing, 100074, China; Gao W., Pulmonary and Critical Care Medicine, China Aerospace Science &amp; Industry Corporation, 731 hospital, Beijing, 100074, China; Zhang P., Department of Clinical Laboratory, China Aerospace Science &amp; Industry Corporation, 731 hospital, Beijing, 100074, China; Yan P., Pulmonary and Critical Care Medicine, China Aerospace Science &amp; Industry Corporation, 731 hospital, Beijing, 100074, China</t>
  </si>
  <si>
    <t xml:space="preserve">biomarkers; community-acquired pneumonia; diagnosis; machine learning; neutrophil infiltration; PANoptosis</t>
  </si>
  <si>
    <t xml:space="preserve">alpha tocopherol; bleomycin; doxycycline; everolimus; oxytocin; pazopanib; akt3 gene; algorithm; area under the curve; arhgap10 gene; Article; bronchitis; cell infiltration; cell proliferation; Chlamydia psittaci; cibersort; clinical decision making; community acquired pneumonia; controlled study; diagnostic accuracy; diagnostic test accuracy study; differential expression analysis; drug interaction; functional enrichment analysis; gene; gene expression; gene interaction; gene ontology; gene set enrichment analysis; human; immunocompetent cell; KEGG; least absolute shrinkage and selection operator; major clinical study; malaria; mapk8 gene; mutation; panoptosis; pathogenesis; pharmacogenetic testing; pneumonia; principal component analysis; protein protein interaction; random forest; real time polymerase chain reaction; receiver operating characteristic; regulated cell death; RNA isolation; single sample gene set enrichment analysis; support vector machine; support vector machine recursive feature elimination; weighted gene co expression network analysis; znf304 gene</t>
  </si>
  <si>
    <t xml:space="preserve">alpha tocopherol, 1406-18-4, 1406-70-8, 52225-20-4, 58-95-7, 59-02-9; bleomycin, 11056-06-7, 9041-93-4; doxycycline, 10592-13-9, 17086-28-1, 564-25-0, 94088-85-4; everolimus, 159351-69-6; oxytocin, 50-56-6, 54577-94-5; pazopanib, 444731-52-6, 635702-64-6</t>
  </si>
  <si>
    <t xml:space="preserve">Axygen</t>
  </si>
  <si>
    <t xml:space="preserve">Nowicki J, Murray MT., Bronchitis and pneumonia, Textbook Nat Med. Textbook of Natural Medicine, (2020); Dandachi D, Rodriguez-Barradas MC., Viral pneumonia: etiologies and treatment, J Invest Med, 66, 6, pp. 957-965, (2018); Shah A, Shah M., Advancement of deep learning in pneumonia/COVID-19 classification and localization: a systematic review with qualitative and quantitative analysis, Chronic Dis Transl Med, 8, 3, pp. 154-171, (2022); Ferreira-Coimbra J, Sarda C, Rello J., Burden of community-acquired pneumonia and unmet clinical needs, Adv Ther, 37, pp. 1302-1318, (2020); Metlay JP, Waterer GW, Long AC, Et al., Diagnosis and treatment of adults with community-acquired pneumonia. An official clinical practice guideline of the American Thoracic Society and Infectious Diseases Society of America, Am J Respir Crit Care Med, 200, 7, pp. e45-e67, (2019); Aliberti S, Cruz CSD, Amati F, Sotgiu G, Restrepo MI., Community-acquired pneumonia, The Lancet, 398, 10303, pp. 906-919, (2021); Wang Y, Wang Y, Chen Y, Qin Q., Unique epidemiological and clinical features of the emerging 2019 novel coronavirus pneumonia (COVID-19) implicate special control measures, J Med Virol, 92, 6, pp. 568-576, (2020); Ito A, Ishida T., Diagnostic markers for community-acquired pneumonia, Ann Translat Med, 8, 9, (2020); Chen S, Jiang J, Li T, Huang L., PANoptosis: mechanism and role in pulmonary diseases, Int J Mol Sci, 24, 20, (2023); Malireddi RKS, Kesavardhana S, Karki R, Kancharana B, Burton AR, Kanneganti TD., RIPK1 distinctly regulates Yersinia-induced inflammatory cell death, PANoptosis, Immunohorizons, 4, 12, pp. 789-796, (2020); Lee S, Karki R, Wang Y, Nguyen LN, Kalathur RC, Kanneganti T-D., AIM2 forms a complex with pyrin and ZBP1 to drive PANoptosis and host defence, Nature, 597, 7876, pp. 415-419, (2021); Nizet V., Bacteria and phagocytes: mortal enemies, J Innate Immun, 2, 6, (2010); Underhill DM, Goodridge HS., Information processing during phagocytosis, Nat Rev Immunol, 12, 7, pp. 492-502, (2012); Wolf AJ, Arruda A, Reyes CN, Et al., Phagosomal degradation increases TLR access to bacterial ligands and enhances macrophage sensitivity to bacteria, J Immunol, 187, 11, pp. 6002-6010, (2011); Wang C, Guan Y, Lv M, Et al., Manganese increases the sensitivity of the cGAS-STING pathway for double-stranded DNA and is required for the host defense against DNA viruses, Immunity, 48, 4, pp. 675-687, (2018); Messaoud-Nacer Y, Culerier E, Rose S, Et al., STING agonist diABZI induces PANoptosis and DNA mediated acute respiratory distress syndrome (ARDS), Cell Death Dis, 13, 3, (2022); Liu Y, Zhang L, Wu F, Liu Y, Li Y, Chen Y., Identification and validation of a pyroptosis-related signature in identifying active tuberculosis via a deep learning algorithm, Front Cell Infect Microbiol, 13, (2023); Peleman C, Van Coillie S, Ligthart S, Et al., Ferroptosis and pyroptosis signatures in critical COVID-19 patients, Cell Death Differ, 30, 9, pp. 2066-2077, (2023); Song F, Wang C-G, Mao J-Z, Et al., PANoptosis-based molecular subtyping and HPAN-index predicts therapeutic response and survival in hepatocellular carcinoma, Front Immunol, 14, (2023); Cotto KC, Wagner AH, Feng -Y-Y, Et al., DGIdb 3.0: a redesign and expansion of the drug–gene interaction database, Nucleic Acids Res, 46, D1, pp. D1068-D1073, (2018); Song Q, Ruiz J, Xing F, Et al., Single-cell sequencing reveals the landscape of the human brain metastatic microenvironment, Commun Biol, 6, 1, (2023); Bouch RJ, Zhang J, Miller BC, Et al., Distinct inflammatory Th17 subsets emerge in autoimmunity and infection, J Exp Med, 220, 10, (2023); Chen W, Gullett JM, Tweedell RE, Kanneganti TD., Innate immune inflammatory cell death: PANoptosis and PANoptosomes in host defense and disease, Eur J Immunol, 53, (2023); Place DE, Lee S, Kanneganti T-D., PANoptosis in microbial infection, Curr Opin Microbiol, 59, pp. 42-49, (2021); Aslan B, Monroig P, Hsu M-C, Et al., The ZNF304-integrin axis protects against anoikis in cancer, Nat Commun, 6, 1, (2015); Krasnopolsky S, Kuzmina A, Taube R, Bangham CRM., Genome-wide CRISPR knockout screen identifies ZNF304 as a silencer of HIV transcription that promotes viral latency, PLoS Pathogens, 16, 9, (2020); Sekiguchi M, Sobue A, Kushima I, Et al., ARHGAP10, which encodes Rho GTPase-activating protein 10, is a novel gene for schizophrenia risk, Transl Psychiatry, 10, 1, (2020); Basseres DS, Tizzei EV, Duarte AA, Costa FF, Saad STO., ARHGAP10, a novel human gene coding for a potentially cytoskeletal Rho-GTPase activating protein, Biochem Biophys Res Commun, 294, 3, pp. 579-585, (2002); DuBois JC, Ray AK, Gruber RC, Et al., Akt3-mediated protection against inflammatory demyelinating disease, Front Immunol, 10, (2019); Tsiperson V, Gruber RC, Goldberg MF, Et al., Suppression of inflammatory responses during myelin oligodendrocyte glycoprotein–induced experimental autoimmune encephalomyelitis is regulated by AKT3 signaling, J Immunol, 190, 4, pp. 1528-1539, (2013); Zhu Y, Chen Y, Xie D, Et al., Macrophages depletion alleviates lung injury by modulating AKT3/GXP4 following ventilator associated pneumonia, Front Immunol, 14, (2023); Xu P, Zhang G, Hou S, L-g S., MAPK8 mediates resistance to temozolomide and apoptosis of glioblastoma cells through MAPK signaling pathway, Biomed Pharmacother, 106, pp. 1419-1427, (2018); Gu M, Liu K, Xiong H, You Q., MiR-130a-3p inhibits endothelial inflammation by regulating the expression of MAPK8 in endothelial cells, Heliyon, 10, 2, (2024); Liu Y, Wei P, Qiu Z, Shen X, Gao L, Chen L, Study on mechanism of Shufeng Jiedu granules in treating novel coronavirus pneumonia based on network pharmacology, AIP Conference Proceedings, (2020); Guo S, Zhou W, Wu J, Et al., Network pharmacology-based study on the mechanism of “Jiu Wei Zhu Huang San” in respiratory tract infections treatment, Eur J Int Med, 32, (2019); Lu NaNa LN, Liu Qi LQ, Gu LiGang GL, Et al., Regulatory effects of shufeng xuanfei formula and jiebiao qingli formula on expression of TLR3, P38 and JNK in lung of mice with influenza viral, pneumonia, 2015, pp. 3563-3566, (2015); Yang F-S, Cao F, Kong Y-B, Xu Y, Wang Z-T, Sun L-P., Molecular mechanism of treatment of pneumonia in children with Mori cortex-Lycii cortex based on network pharmacology, J Hainan Med College, 28, 4, (2022); Craig A, Mai J, Cai S, Jeyaseelan S., Neutrophil recruitment to the lungs during bacterial pneumonia, Infect Immun, 77, 2, pp. 568-575, (2009); Droemann D, Aries SP, Hansen F, Et al., Decreased apoptosis and increased activation of alveolar neutrophils in bacterial pneumonia, Chest, 117, 6, pp. 1679-1684, (2000); Yan S, Li M, Liu B, Ma Z, Yang Q., Neutrophil extracellular traps and pulmonary fibrosis: an update, J Inflam, 20, 1, (2023); Vergadi E, Ieronymaki E, Lyroni K, Vaporidi K, Tsatsanis C., Akt signaling pathway in macrophage activation and M1/M2 polarization, J Immunol, 198, 3, pp. 1006-1014, (2017); Weston CR, Davis RJ., The JNK signal transduction pathway, Curr Opin Genet Dev, 12, 1, pp. 14-21, (2002); Liu H, Zhou K, Liao L, Zhang T, Yang M, Sun C., Lipoxin A4 receptor agonist BML-111 induces autophagy in alveolar macrophages and protects from acute lung injury by activating MAPK signaling, Respir Res, 19, pp. 1-11, (2018)</t>
  </si>
  <si>
    <t xml:space="preserve">P. Yan; Pulmonary and Critical Care Medicine, China Aerospace Science &amp; Industry Corporation, 731 hospital, Beijing, 100074, China; email: yanpeng301@163.com</t>
  </si>
  <si>
    <t xml:space="preserve">J. Inflamm. Res.</t>
  </si>
  <si>
    <t xml:space="preserve">2-s2.0-85211821653</t>
  </si>
  <si>
    <t xml:space="preserve">Jiang H.; Liu M.; Deng Y.; Zhang C.; Dai L.; Zhu B.; Ou Y.; Zhu Y.; Hu C.; Yang L.; Li J.; Bai Y.; Yang D.</t>
  </si>
  <si>
    <t xml:space="preserve">Jiang, Haiyang (57219895160); Liu, Mingcheng (57204470886); Deng, Yingfei (59245952100); Zhang, Chongjian (58645432600); Dai, Longguo (57815457100); Zhu, Bingyu (58645432500); Ou, Yitian (57425354900); Zhu, Yong (58025447000); Hu, Chen (57201819736); Yang, Libo (55540311200); Li, Jun (59245330500); Bai, Yu (57193256046); Yang, Delin (55574394000)</t>
  </si>
  <si>
    <t xml:space="preserve">57219895160; 57204470886; 59245952100; 58645432600; 57815457100; 58645432500; 57425354900; 58025447000; 57201819736; 55540311200; 59245330500; 57193256046; 55574394000</t>
  </si>
  <si>
    <t xml:space="preserve">Identification of prostate cancer bone metastasis related genes and potential therapy targets by bioinformatics and in vitro experiments</t>
  </si>
  <si>
    <t xml:space="preserve">The aetiology of bone metastasis in prostate cancer (PCa) remains unclear. This study aims to identify hub genes involved in this process. We utilized machine learning, GO, KEGG, GSEA, Single-cell analysis, ROC methods to identify hub genes for bone metastasis in PCa using the TCGA and GEO databases. Potential drugs targeting these genes were identified. We validated these results using 16 specimens from patients with PCa and analysed the relationship between the hub genes and clinical features. The impact of APOC1 on PCa was assessed through in vitro experiments. Seven hub genes with AUC values of 0.727–0.926 were identified. APOC1, CFH, NUSAP1 and LGALS1 were highly expressed in bone metastasis tissues, while NR4A2, ADRB2 and ZNF331 exhibited an opposite trend. Immunohistochemistry further confirmed these results. The oxidative phosphorylation pathway was significantly enriched by the identified genes. Aflatoxin B1, benzo(a)pyrene, cyclosporine were identified as potential drugs. APOC1 expression was correlated with clinical features of PCa metastasis. Silencing APOC1 significantly inhibited PCa cell proliferation, clonality, and migration in vitro. This study identified 7 hub genes that potentially facilitate bone metastasis in PCa through mitochondrial metabolic reprogramming. APOC1 emerged as a promising therapeutic target and prognostic marker for PCa with bone metastasis. © 2024 The Author(s). Journal of Cellular and Molecular Medicine published by Foundation for Cellular and Molecular Medicine and John Wiley &amp; Sons Ltd.</t>
  </si>
  <si>
    <t xml:space="preserve">Journal of Cellular and Molecular Medicine</t>
  </si>
  <si>
    <t xml:space="preserve">e18511</t>
  </si>
  <si>
    <t xml:space="preserve">10.1111/jcmm.18511</t>
  </si>
  <si>
    <t xml:space="preserve">https://www.scopus.com/inward/record.uri?eid=2-s2.0-85200392219&amp;doi=10.1111%2fjcmm.18511&amp;partnerID=40&amp;md5=3a5cd6e1c04619a77928bd0da2383ef1</t>
  </si>
  <si>
    <t xml:space="preserve">Department of Urology I, The Third Affiliated Hospital of Kunming Medical University (Peking University Cancer Hospital Yunnan, Yunnan Cancer Hospital, Cancer Center of Yunnan Province), Yunnan, Kunming, China; Department of Urology II, The second Affiliated Hospital of Kunming Medical University, Yunnan, Kunming, China; Department of Human Cell Biology and Genetics, School of Medicine, Southern University of Science and Technology, Shenzhen, China; Pathology-Department, The Third Affiliated Hospital of Kunming Medical University (Peking University Cancer Hospital Yunnan, Yunnan Cancer Hospital, Cancer Center of Yunnan Province), Yunnan, Kunming, China</t>
  </si>
  <si>
    <t xml:space="preserve">Jiang H., Department of Urology I, The Third Affiliated Hospital of Kunming Medical University (Peking University Cancer Hospital Yunnan, Yunnan Cancer Hospital, Cancer Center of Yunnan Province), Yunnan, Kunming, China, Department of Urology II, The second Affiliated Hospital of Kunming Medical University, Yunnan, Kunming, China; Liu M., Department of Human Cell Biology and Genetics, School of Medicine, Southern University of Science and Technology, Shenzhen, China; Deng Y., Pathology-Department, The Third Affiliated Hospital of Kunming Medical University (Peking University Cancer Hospital Yunnan, Yunnan Cancer Hospital, Cancer Center of Yunnan Province), Yunnan, Kunming, China; Zhang C., Department of Urology I, The Third Affiliated Hospital of Kunming Medical University (Peking University Cancer Hospital Yunnan, Yunnan Cancer Hospital, Cancer Center of Yunnan Province), Yunnan, Kunming, China; Dai L., Department of Urology I, The Third Affiliated Hospital of Kunming Medical University (Peking University Cancer Hospital Yunnan, Yunnan Cancer Hospital, Cancer Center of Yunnan Province), Yunnan, Kunming, China; Zhu B., Department of Urology I, The Third Affiliated Hospital of Kunming Medical University (Peking University Cancer Hospital Yunnan, Yunnan Cancer Hospital, Cancer Center of Yunnan Province), Yunnan, Kunming, China; Ou Y., Department of Urology II, The second Affiliated Hospital of Kunming Medical University, Yunnan, Kunming, China; Zhu Y., Department of Urology I, The Third Affiliated Hospital of Kunming Medical University (Peking University Cancer Hospital Yunnan, Yunnan Cancer Hospital, Cancer Center of Yunnan Province), Yunnan, Kunming, China; Hu C., Department of Urology I, The Third Affiliated Hospital of Kunming Medical University (Peking University Cancer Hospital Yunnan, Yunnan Cancer Hospital, Cancer Center of Yunnan Province), Yunnan, Kunming, China; Yang L., Department of Urology I, The Third Affiliated Hospital of Kunming Medical University (Peking University Cancer Hospital Yunnan, Yunnan Cancer Hospital, Cancer Center of Yunnan Province), Yunnan, Kunming, China; Li J., Department of Urology I, The Third Affiliated Hospital of Kunming Medical University (Peking University Cancer Hospital Yunnan, Yunnan Cancer Hospital, Cancer Center of Yunnan Province), Yunnan, Kunming, China; Bai Y., Department of Urology I, The Third Affiliated Hospital of Kunming Medical University (Peking University Cancer Hospital Yunnan, Yunnan Cancer Hospital, Cancer Center of Yunnan Province), Yunnan, Kunming, China; Yang D., Department of Urology II, The second Affiliated Hospital of Kunming Medical University, Yunnan, Kunming, China</t>
  </si>
  <si>
    <t xml:space="preserve">bone metastasis; cell communication; hub genes; machine learning; prostate cancer; single cell analysis</t>
  </si>
  <si>
    <t xml:space="preserve">Biomarkers, Tumor; Bone Neoplasms; Cell Line, Tumor; Cell Movement; Cell Proliferation; Computational Biology; Gene Expression Profiling; Gene Expression Regulation, Neoplastic; Gene Regulatory Networks; Humans; Male; Prognosis; Prostatic Neoplasms; aflatoxin B1; androgen receptor; benzo[a]pyrene; biological marker; crystal violet; cyclin dependent kinase 1; cyclosporine; gelatinase B; glutaraldehyde; hydrogen peroxide; long untranslated RNA; microRNA; nuclear receptor related factor 1; paclitaxel; paraformaldehyde; phosphate buffered saline; reagent; sipuleucel T; small interfering RNA; tumor marker; adipogenesis; amebiasis; angiogenesis; apoptosis; area under the curve; article; Article; artificial intelligence; bioinformatics; bone cancer; bone metabolism; bone metastasis; bone pain; breast cancer; castration resistant prostate cancer; CD8+ T lymphocyte; cell communication; cell growth; cell infiltration; cell proliferation; cell viability; clinical feature; clonal variation; colony formation; Cucurbitaceae; data analysis; data base; data collection method; disease free survival; down regulation; enzyme linked immunosorbent assay; epigenetics; epithelial mesenchymal transition; exosome; flow cytometry; gene; gene expression; gene interaction; gene ontology; gene set enrichment analysis; gene silencing; genetic transfection; Gleason score; glioblastoma; glycolysis; human; human cell; Huntington chorea; immune response; immunohistochemistry; in vitro study; inflammatory bowel disease; information processing; KEGG; leishmaniasis; lipid metabolism; LNCaP C4-2B cell line; lymph node metastasis; machine learning; macrophage; major clinical study; malaria; male; melanoma; metabolic reprogramming; metabolomics; metastasis; microarray analysis; mitochondrial respiration; natural killer cell; non small cell lung cancer; osteoporosis; overall survival; oxidative phosphorylation; paraplegia; PC-3 ML cell line; predictive value; principal component analysis; prostate cancer; protein expression; proteomics; real time polymerase chain reaction; regulatory T lymphocyte; reverse transcription polymerase chain reaction; risk factor; RNA sequence; room temperature; signal transduction; single cell analysis; statistical analysis; statistically significant result; transcriptomics; tumor associated leukocyte; tumor microenvironment; upregulation; wound healing assay; bone tumor; cell motion; cell proliferation; gene expression profiling; gene expression regulation; gene regulatory network; genetics; metabolism; pathology; procedures; prognosis; prostate tumor; tumor cell line</t>
  </si>
  <si>
    <t xml:space="preserve">aflatoxin B1, 1162-65-8; benzo[a]pyrene, 50-32-8; crystal violet, 467-63-0, 548-62-9; cyclosporine, 59865-13-3, 63798-73-2, 79217-60-0; gelatinase B, 146480-36-6; glutaraldehyde, 111-30-8, 37245-61-7; hydrogen peroxide, 7722-84-1; paclitaxel, 33069-62-4; paraformaldehyde, 30525-89-4; sipuleucel T, 917381-47-6; Biomarkers, Tumor, </t>
  </si>
  <si>
    <t xml:space="preserve">R Software</t>
  </si>
  <si>
    <t xml:space="preserve">The Cancer Genome Atlas; Gene Expression Omnibus; National Natural Science Foundation of China, NSFC, (82160511); National Natural Science Foundation of China, NSFC; National Cancer Center Climbing Fund, (NCC201925B01); applied basic research project of Yunnan province‐Kunming Medical University, (202101AY070001‐160); Scientific Research Fund of Education Department of Yunnan Province, (2022J0246)</t>
  </si>
  <si>
    <t xml:space="preserve">Funding text 1: We thank the Gene Expression Omnibus (GEO) and The Cancer Genome Atlas (TCGA) Database for sharing a large amount of data.; Funding text 2: This research was supported by the funding of the National Natural Science Foundation of China (No 82160511); National Cancer Center Climbing Fund (No NCC201925B01); The applied basic research project of Yunnan province\u2010Kunming Medical University joint fund (202101AY070001\u2010160); Scientific Research Fund of Education Department of Yunnan Province (2022J0246). </t>
  </si>
  <si>
    <t xml:space="preserve">Siegel R.L., Miller K.D., Wagle N.S., Jemal A., Cancer statistics, 2023, CA Cancer J Clin, 73, 1, pp. 17-48, (2023); James N.D., Tannock I., N'Dow J., Et al., The lancet commission on prostate cancer: planning for the surge in cases, Lancet, 403, 10437, pp. 1683-1722, (2024); Lang C., Yin C., Lin K., Et al., m&lt;sup&gt;6&lt;/sup&gt; A modification of lncRNA PCAT6 promotes bone metastasis in prostate cancer through IGF2BP2-mediated IGF1R mRNA stabilization, Clin Transl Med, 11, 6, (2021); Body J.J., Casimiro S., Costa L., Targeting bone metastases in prostate cancer: improving clinical outcome, Nat Rev Urol, 12, 6, pp. 340-356, (2015); Wen Y.C., Lin C.Y., Ho K.H., Et al., Functional variants of the chitinase 3-like 1 gene are associated with clinicopathologic outcomes and progression of prostate cancer, J Cell Mol Med, 27, 24, pp. 4202-4214, (2023); Mahal B.A., Kwak L., Xie W., Et al., Mortality risk for docetaxel-treated, high-grade prostate cancer with low PSA levels: a meta-analysis, JAMA Netw Open, 6, 11, (2023); Formenti A.M., Dalla Volta A., di Filippo L., Berruti A., Giustina A., Effects of medical treatment of prostate cancer on bone health, Trends Endocrinol Metab, 32, 3, pp. 135-158, (2021); Kang J., La Manna F., Bonollo F., Et al., Tumor microenvironment mechanisms and bone metastatic disease progression of prostate cancer, Cancer Lett, 530, pp. 156-169, (2022); Ye Z., Deng X., Zhang J., Et al., Causal relationship between immune cells and prostate cancer: a Mendelian randomization study, Front Cell Dev Biol, 12, (2024); Zhou Z., Qin J., Song C., Et al., circROBO1 promotes prostate cancer growth and enzalutamide resistance via accelerating glycolysis, J Cancer, 14, 13, pp. 2574-2584, (2023); Li F.X., Liu J.J., Xu F., Et al., Role of tumor-derived exosomes in bone metastasis, Oncol Lett, 18, 4, pp. 3935-3945, (2019); Huang L., Zhang L., Chen X., Updated review of advances in microRNAs and complex diseases: experimental results, databases, webservers and data fusion, Brief Bioinform, 23, 6, (2022); Song H., Weinstein H.N.W., Allegakoen P., Et al., Single-cell analysis of human primary prostate cancer reveals the heterogeneity of tumor-associated epithelial cell states, Nat Commun, 13, 1, (2022); Zhang P., Gao H., Yan R., Yu L., Xia C., Yang D., has_circ_0070512 promotes prostate cancer progression by regulating the miR-338-3p/hedgehog signaling pathway, Cancer Sci, 114, 4, pp. 1491-1506, (2023); Hong W., Zhang Y., Wang S., Et al., Deciphering the immune modulation through deep transcriptomic profiling and therapeutic implications of DNA damage repair pattern in hepatocellular carcinoma, Cancer Lett, 582, (2024); Huang L., Zhang L., Chen X., Updated review of advances in microRNAs and complex diseases: towards systematic evaluation of computational models, Brief Bioinform, 23, 6, (2022); Liao Y., Yang Y., Zhou G., Et al., Anoikis and SPP1 in idiopathic pulmonary fibrosis: integrating bioinformatics, cell, and animal studies to explore prognostic biomarkers and PI3K/AKT signaling regulation, Expert Rev Clin Immunol, 20, 6, pp. 679-693, (2024); Shakeri F., Mohamadynejad P., Moghanibashi M., Identification of autophagy and angiogenesis modulators in colorectal cancer based on bioinformatics analysis, Nucleosides Nucleotides Nucleic Acids, 43, 4, pp. 340-355, (2024); Yang Y., Cao Y., Han X., Et al., Revealing EXPH5 as a potential diagnostic gene biomarker of the late stage of COPD based on machine learning analysis, Comput Biol Med, 154, (2023); Love M.I., Huber W., Anders S., Moderated estimation of fold change and dispersion for RNA-seq data with DESeq2, Genome Biol, 15, 12, (2014); Xu M., Zhou H., Hu P., Et al., Identification and validation of immune and oxidative stress-related diagnostic markers for diabetic nephropathy by WGCNA and machine learning, Front Immunol, 14, (2023); Wu T., Hu E., Xu S., Et al., clusterProfiler 4.0: a universal enrichment tool for interpreting omics data, Innovation (Camb), 2, 3, (2021); Jiang J., Feng J., Song X., Et al., Hsa_circ_0015278 regulates FLT3-ITD AML progression via ferroptosis-related genes, Cancers (Basel), 15, 1, (2022); Zhang Z., Wang C., Exploring key genes and pathways of cardiac hypertrophy based on bioinformatics, Dis Markers, 2022, (2022); Wang K., Ding Y., Liu Y., Et al., CPA4 as a biomarker promotes the proliferation, migration and metastasis of clear cell renal cell carcinoma cells, J Cell Mol Med, 28, 7, (2024); Jin Z., Song M., Wang J., Et al., Integrative multiomics evaluation reveals the importance of pseudouridine synthases in hepatocellular carcinoma, Front Genet, 13, (2022); Feng J., Hu Y., Peng P., Li J., Ge S., Potential biomarkers of aortic dissection based on expression network analysis, Bone metastasisC Cardiovasc Disord, 23, 1, (2023); Lu Y., Tan L., Xie J., Cheng L., Wang X., Distinct microglia alternative splicing in Alzheimer's disease, Aging (Albany NY), 14, 16, pp. 6554-6566, (2022); Shannon P., Markiel A., Ozier O., Et al., Cytoscape: a software environment for integrated models of biomolecular interaction networks, Genome Res, 13, 11, pp. 2498-2504, (2003); Chen L., Zhang X., Zhang Q., Et al., A necroptosis related prognostic model of pancreatic cancer based on single cell sequencing analysis and transcriptome analysis, Front Immunol, 13, (2022); Zhao X.F., Huffman L.D., Hafner H., Et al., The injured sciatic nerve atlas (iSNAT), insights into the cellular and molecular basis of neural tissue degeneration and regeneration, elife, 14, 11, (2022); Chen J., Xu D., Wang T., Et al., HMGB1 promotes the development of castration-resistant prostate cancer by regulating androgen receptor activation, Oncol Rep, 48, 5, (2022); Yamamoto-Ishikawa K., Suzuki H., Nezu M., Et al., The isolation and identification of apolipoprotein C-I in hormone-refractory prostate cancer using surface-enhanced laser desorption/ionization time-of-flight mass spectrometry, Asian J Androl, 11, 3, pp. 299-307, (2009); Su W.P., Sun L.N., Yang S.L., Et al., Apolipoprotein C1 promotes prostate cancer cell proliferation in vitro, J Biochem Mol Toxicol, 32, 7, (2018); Orr B., Riddick A.C., Stewart G.D., Et al., Identification of stromally expressed molecules in the prostate by tag-profiling of cancer-associated fibroblasts, normal fibroblasts and fetal prostate, Oncogene, 31, 9, pp. 1130-1142, (2012); Gordon C.A., Gong X., Ganesh D., Brooks J.D., NUSAP1 promotes invasion and metastasis of prostate cancer, Oncotarget, 8, 18, pp. 29935-29950, (2017); Kwon D.H., Zhang L., Quigley D.A., Et al., Down-regulation of ADRB2 expression is associated with small cell neuroendocrine prostate cancer and adverse clinical outcomes in castration-resistant prostate cancer, Urol Oncol, 38, 12, pp. 931.e9-931.e16, (2020); Shih T.C., Liu R., Wu C.T., Et al., Targeting Galectin-1 impairs castration-resistant prostate cancer progression and invasion, Clin Cancer Res, 24, 17, pp. 4319-4331, (2018); Ye Z., Ai X., Yang K., Et al., Targeting microglial metabolic rewiring synergizes with immune-checkpoint blockade therapy for glioblastoma, Cancer Discov, 13, 4, pp. 974-1001, (2023); Yu J., Liang Q.Y., Wang J., Et al., Zinc-finger protein 331, a novel putative tumor suppressor, suppresses growth and invasiveness of gastric cancer, Oncogene, 32, 3, pp. 307-317, (2013); Wang Y., He T., Herman J.G., Et al., Methylation of ZNF331 is an independent prognostic marker of colorectal cancer and promotes colorectal cancer growth, Clin Epigenetics, 9, (2017); Nie C., Han X., Wei R., Et al., Association of ZNF331 and WIF1 methylation in peripheral blood leukocytes with the risk and prognosis of gastric cancer, BMC Cancer, 21, 1, (2021); Lasorsa F., di Meo N.A., Rutigliano M., Et al., Emerging hallmarks of metabolic reprogramming in prostate cancer, Int J Mol Sci, 24, 2, (2023); Schopf B., Weissensteiner H., Schafer G., Et al., OXPHOS remodeling in high-grade prostate cancer involves mtDNA mutations and increased succinate oxidation, Nat Commun, 11, 1, (2020); Basu H.S., Wilganowski N., Robertson S., Et al., Prostate cancer cells survive anti-androgen and mitochondrial metabolic inhibitors by modulating glycolysis and mitochondrial metabolic activities, Prostate, 81, 12, pp. 799-811, (2021); Lindholm P.F., Sivapurapu N., Jovanovic B., Kajdacsy-Balla A., Monocyte-induced prostate cancer cell invasion is mediated by chemokine ligand 2 and nuclear factor-κB activity, J Clin Cell Immunol, 6, 2, (2015); Handy C.E., Antonarakis E.S., Sipuleucel-T for the treatment of prostate cancer: novel insights and future directions, Future Oncol, 14, 10, pp. 907-917, (2018); Williams D.E., Indoles derived from Glucobrassicin: cancer chemoprevention by Indole-3-Carbinol and 3,3'-Diindolylmethane, Front Nutr, 8, (2021); Bakam B.Y., Pambe J.C.N., Grey T., Et al., Cucumis sativus (Cucurbitaceae) seed oil prevents benzo(a)pyrene-induced prostate cancer in vitro and in vivo, Environ Toxicol, 38, 9, pp. 2069-2083, (2023); Kawahara T., Kashiwagi E., Ide H., Et al., The role of NFATc1 in prostate cancer progression: cyclosporine A and tacrolimus inhibit cell proliferation, migration, and invasion, Prostate, 75, 6, pp. 573-584, (2015); Hirz T., Mei S., Sarkar H., Et al., Dissecting the immune suppressive human prostate tumor microenvironment via integrated single-cell and spatial transcriptomic analyses, Nat Commun, 14, 1, (2023); Guo Z., Li J., Tan J., Sun S., Yan Q., Qin H., Exosomal miR-214-3p from senescent osteoblasts accelerates endothelial cell senescence, J Orthop Surg Res, 18, 1, (2023); Huang L., Zhang L., Chen X., Updated review of advances in microRNAs and complex diseases: taxonomy, trends and challenges of computational models, Brief Bioinform, 23, 5, (2022); He X., Liu X., Zuo F., Shi H., Jing J., Artificial intelligence-based multi-omics analysis fuels cancer precision medicine, Semin Cancer Biol, 88, pp. 187-200, (2023)</t>
  </si>
  <si>
    <t xml:space="preserve">J. Li; Department of Urology I, The Third Affiliated Hospital of Kunming Medical University(Peking University Cancer Hospital Yunnan, Yunnan Cancer Hospital, Cancer Center of Yunnan Province), Kunming, 519 Kunzhou Road, Yunnan, 650199, China; email: lijun@kmmu.edu.cn; Y. Bai; Department of Urology I, The Third Affiliated Hospital of Kunming Medical University (Peking University Cancer Hospital Yunnan, Yunnan Cancer Hospital, Cancer Center of Yunnan Province), Kunming, Yunnan, China; email: baiyu@kmmu.edu.cn; D. Yang; Department of Urology II, The second Affiliated Hospital of Kunming Medical University, Kunming, 374 Dianmian Blvd, Yunnan, 650033, China; email: ydelin@163.com</t>
  </si>
  <si>
    <t xml:space="preserve">J. Cell. Mol. Med.</t>
  </si>
  <si>
    <t xml:space="preserve">2-s2.0-85200392219</t>
  </si>
  <si>
    <t xml:space="preserve">Longbottom J.; Esterhuizen J.; Hope A.; Lehane M.J.; Mangwiro T.N.C.; Mugenyi A.; Dunkley S.; Selby R.; Tirados I.; Torr S.J.; Stanton M.C.</t>
  </si>
  <si>
    <t xml:space="preserve">Longbottom, Joshua (56785671300); Esterhuizen, Johan (55898728100); Hope, Andrew (56606815000); Lehane, Michael J (7005720726); Mangwiro, TN Clement (6506126428); Mugenyi, Albert (57188847778); Dunkley, Sophie (56725372700); Selby, Richard (55864320000); Tirados, Inaki (15726845700); Torr, Steve J (7004101045); Stanton, Michelle C (55551946800)</t>
  </si>
  <si>
    <t xml:space="preserve">56785671300; 55898728100; 56606815000; 7005720726; 6506126428; 57188847778; 56725372700; 55864320000; 15726845700; 7004101045; 55551946800</t>
  </si>
  <si>
    <t xml:space="preserve">Impact of a national tsetse control programme to eliminate Gambian sleeping sickness in Uganda: a spatiotemporal modelling study</t>
  </si>
  <si>
    <t xml:space="preserve">Introduction Tsetse flies (Glossina) transmit Trypanosoma brucei gambiense, which causes gambiense human African trypanosomiasis (gHAT). As part of national efforts to eliminate gHAT as a public health problem, Uganda implemented a large-scale programme of deploying Tiny Targets, which comprise panels of insecticide-treated material which attract and kill tsetse. At its peak, the programme was the largest tsetse control operation in Africa. Here, we quantify the impact of Tiny Targets and environmental changes on the spatial and temporal patterns of tsetse abundance across North-Western Uganda. Methods We leverage a 100-month longitudinal dataset detailing Glossina fuscipes fuscipes catches from monitoring traps between October 2010 and December 2019 within seven districts in North-Western Uganda. We fitted a boosted regression tree (BRT) model assessing environmental suitability, which was used alongside Tiny Target data to fit a spatiotemporal geostatistical model predicting tsetse abundance across our study area (∼16 000 km 2). We used the spatiotemporal model to quantify the impact of Tiny Targets and environmental changes on the distribution of tsetse, alongside metrics of uncertainty. Results Environmental suitability across the study area remained relatively constant over time, with suitability being driven largely by elevation and distance to rivers. By performing a counterfactual analysis using the fitted spatiotemporal geostatistical model, we show that deployment of Tiny Targets across an area of 4000 km 2 reduced the overall abundance of tsetse to low levels (median daily catch=1.1 tsetse/trap, IQR=0.85-1.28). No spatial-temporal locations had high (&gt;10 tsetse/trap/day) numbers of tsetse compared with 18% of locations for the counterfactual. Conclusions In Uganda, Tiny Targets reduced the abundance of G. f. fuscipes and maintained tsetse populations at low levels. Our model represents the first spatiotemporal geostatistical model investigating the effects of a national tsetse control programme. The outputs provide important data for informing next steps for vector control and surveillance. © Author(s) (or their employer(s)) 2024. Re-use permitted under CC BY. Published by BMJ.</t>
  </si>
  <si>
    <t xml:space="preserve">outbrfeak monitoring</t>
  </si>
  <si>
    <t xml:space="preserve">BMJ Global Health</t>
  </si>
  <si>
    <t xml:space="preserve">BMJ Publishing Group</t>
  </si>
  <si>
    <t xml:space="preserve">e015374</t>
  </si>
  <si>
    <t xml:space="preserve">10.1136/bmjgh-2024-015374</t>
  </si>
  <si>
    <t xml:space="preserve">https://www.scopus.com/inward/record.uri?eid=2-s2.0-85214003679&amp;doi=10.1136%2fbmjgh-2024-015374&amp;partnerID=40&amp;md5=90bd8c57d3547d5ea335a26251835819</t>
  </si>
  <si>
    <t xml:space="preserve">Department of Vector Biology, Liverpool School of Tropical Medicine, Liverpool, United Kingdom; ARC-Onderstepoort Veterinary Research, Private bag x5, Pretoria, South Africa; Bindura University of Science Education, Bindura, Zimbabwe; Coordinating Office for Control of Trypanosomiasis in Uganda, Kampala, Uganda</t>
  </si>
  <si>
    <t xml:space="preserve">Longbottom J., Department of Vector Biology, Liverpool School of Tropical Medicine, Liverpool, United Kingdom; Esterhuizen J., ARC-Onderstepoort Veterinary Research, Private bag x5, Pretoria, South Africa; Hope A., Department of Vector Biology, Liverpool School of Tropical Medicine, Liverpool, United Kingdom; Lehane M.J., Department of Vector Biology, Liverpool School of Tropical Medicine, Liverpool, United Kingdom; Mangwiro T.N.C., Bindura University of Science Education, Bindura, Zimbabwe; Mugenyi A., Coordinating Office for Control of Trypanosomiasis in Uganda, Kampala, Uganda; Dunkley S., Department of Vector Biology, Liverpool School of Tropical Medicine, Liverpool, United Kingdom; Selby R., Department of Vector Biology, Liverpool School of Tropical Medicine, Liverpool, United Kingdom; Tirados I., Department of Vector Biology, Liverpool School of Tropical Medicine, Liverpool, United Kingdom; Torr S.J., Department of Vector Biology, Liverpool School of Tropical Medicine, Liverpool, United Kingdom; Stanton M.C., Department of Vector Biology, Liverpool School of Tropical Medicine, Liverpool, United Kingdom</t>
  </si>
  <si>
    <t xml:space="preserve">Geographic information systems; Human African Trypanosomiasis</t>
  </si>
  <si>
    <t xml:space="preserve">Africa; African trypanosomiasis; Article; autocorrelation; benchmarking; binomial distribution; controlled study; environmental change; explanatory variable; geographic information system; geography; Glossina; Glossinidae; longitudinal study; machine learning; nonhuman; public health problem; river; sensitivity and specificity; spatiotemporal analysis; species distribution; Trypanosoma brucei gambiense; Uganda; vector control</t>
  </si>
  <si>
    <t xml:space="preserve">Simarro P.P., Cecchi G., Paone M., Et al., The Atlas of human African trypanosomiasis: A contribution to global mapping of neglected tropical diseases, Int J Health Geogr, 9, (2010); The global health observatory: human african trypanosomiasis (sleeping sickness), (2021); Ndung'U J.M., Boulange A., Picado A., Et al., Trypa-NO! contributes to the elimination of gambiense human African trypanosomiasis by combining tsetse control with "screen, diagnose and treat" using innovative tools and strategies, PLoS Negl Trop Dis, 14, (2020); Welburn S.C., Coleman P.G., Maudlin I., Et al., Crisis, what crisis? Control of Rhodesian sleeping sickness, Trends Parasitol, 22, pp. 123-128, (2006); Benin, uganda and rwanda eliminate human african trypanosomiasis as a public health problem, (2022); Ending the Neglect to Attain the Sustainable Development Goals: A Road Map for Neglected Tropical Diseases 2021-2030, Ntuli MM Ed, (2021); Tirados I., Esterhuizen J., Kovacic V., Et al., Tsetse Control and Gambian Sleeping Sickness; Implications for Control Strategy, PLoS Negl Trop Dis, 9, (2015); Hope A., Mugenyi A., Esterhuizen J., Et al., Scaling up of tsetse control to eliminate Gambian sleeping sickness in northern Uganda, PLoS Negl Trop Dis, 16, (2022); Kaba D., Djohan V., Berte D., Et al., Use of vector control to protect people from sleeping sickness in the focus of Bonon (Cote d'Ivoire), PLoS Negl Trop Dis, 15, (2021); Mahamat M.H., Peka M., Rayaisse J.-B., Et al., Adding tsetse control to medical activities contributes to decreasing transmission of sleeping sickness in the Mandoul focus (Chad), PLoS Negl Trop Dis, 11, (2017); Courtin F., Camara M., Rayaisse J.-B., Et al., Reducing Human-Tsetse Contact Significantly Enhances the Efficacy of Sleeping Sickness Active Screening Campaigns: A Promising Result in the Context of Elimination, PLoS Negl Trop Dis, 9, (2015); Rock K.S., Torr S.J., Lumbala C., Et al., Predicting the Impact of Intervention Strategies for Sleeping Sickness in Two High-Endemicity Health Zones of the Democratic Republic of Congo, PLoS Negl Trop Dis, 11, (2017); Rock K.S., Torr S.J., Lumbala C., Et al., Quantitative evaluation of the strategy to eliminate human African trypanosomiasis in the Democratic Republic of Congo, Parasites Vectors, 8, (2015); Bessell P.R., Esterhuizen J., Lehane M.J., Et al., Estimating the impact of Tiny Targets in reducing the incidence of Gambian sleeping sickness in the North-west Uganda focus, Parasites Vectors, 14, (2021); Tirados I., Hope A., Selby R., Et al., Impact of tiny targets on Glossina fuscipes quanzensis, the primary vector of human African trypanosomiasis in the Democratic Republic of the Congo, PLoS Negl Trop Dis, 14, (2020); Stanton M.C., Esterhuizen J., Tirados I., Et al., The development of high resolution maps of tsetse abundance to guide interventions against human African trypanosomiasis in northern Uganda, Parasites Vectors, 11, (2018); Gouteux J.P., Lancien J., The pyramidal trap for collecting and controlling tsetse flies (Diptera: Glossinidae). Comparative trials and description of new collecting technics, Trop Med Parasitol, 37, pp. 61-66, (1986); Lindh J.M., Goswami P., Blackburn R.S., Et al., Optimizing the colour and fabric of targets for the control of the tsetse fly Glossina fuscipes fuscipes, PLoS Negl Trop Dis, 6, (2012); Cunningham L.J., Lingley J.K., Tirados I., Et al., Evidence of the absence of human African trypanosomiasis in two northern districts of Uganda: Analyses of cattle, pigs and tsetse flies for the presence of Trypanosoma brucei gambiense, PLoS Negl Trop Dis, 14, (2020); Are E.B., Hargrove J.W., Extinction probabilities as a function of temperature for populations of tsetse (Glossina spp.), PLoS Negl Trop Dis, 14, (2020); Phelps R.J., Burrows P.M., Puparial duration in Glossina morsitans orientalis under conditions of constant temperature, Entomol Exp Applic, 12, pp. 33-43, (1969); Rogers D.J., Robinson T.P., Tsetse distribution, The Trypanosomiases. CABI, pp. 139-180, (2004); Albert M., Wardrop N.A., Atkinson P.M., Et al., Tsetse fly (G. f. fuscipes) distribution in the Lake Victoria basin of Uganda, PLoS Negl Trop Dis, 9, (2015); Esterhuizen J., Njiru B., Vale G.A., Et al., Vegetation and the Importance of Insecticide-Treated Target Siting for Control of Glossina fuscipes fuscipes, PLoS Negl Trop Dis, 5, (2011); Rogers D., Study of a Natural Population of Glossina fuscipes fuscipes Newstead and a Model of Fly Movement, J Anim Ecol, 46, (1977); Elith J., Leathwick J.R., Species Distribution Models: Ecological Explanation and Prediction Across Space and Time, Annu Rev Ecol Evol Syst, 40, pp. 677-697, (2009); Barry S., Elith J., Error and uncertainty in habitat models, J Appl Ecol, 43, pp. 413-423, (2006); Kuhn M., Caret: Classification and Regression Training, R package version 6. 0-86., (2020); R version 3. 5. 1 (2018-07-02)-"feather spray", (2020); Elith J., Leathwick J.R., Hastie T., A working guide to boosted regression trees, J Anim Ecol, 77, pp. 802-813, (2008); Longbottom J., Browne A.J., Pigott D.M., Et al., Mapping the spatial distribution of the Japanese encephalitis vector, Culex tritaeniorhynchus Giles, 1901 (Diptera: Culicidae) within areas of Japanese encephalitis risk, Parasites Vectors, 10, (2017); Wiebe A., Longbottom J., Gleave K., Et al., Geographical distributions of African malaria vector sibling species and evidence for insecticide resistance, Malar J, 16, (2017); Mylne A.Q.N., Pigott D.M., Longbottom J., Et al., Mapping the zoonotic niche of Lassa fever in Africa, Trans R Soc Trop Med Hyg, 109, pp. 483-492, (2015); Phillips S.J., Dudik M., Elith J., Et al., Sample selection bias and presence-only distribution models: Implications for background and pseudo-absence data, Ecol Appl, 19, pp. 181-197, (2009); Giorgi E., Diggle P., PrevMap: An R Package for Prevalence Mapping, J Stat Softw, 78, (2017); Hilbe J., Robinson A., Msme: Functions and datasets for "methods of statistical model estimation" version 0. 5. 3. p. Functions and datasets from hilbe, Methods of statistical model estimation, (2018); Linden A., Mantyniemi S., Using the negative binomial distribution to model overdispersion in ecological count data, Ecology, 92, pp. 1414-1421, (2011); Arab A., Spatial and Spatio-Temporal Models for Modeling Epidemiological Data with Excess Zeros, Int J Environ Res Public Health, 12, pp. 10536-10548, (2015); Lindgren F., Rue H., Bayesian Spatial Modelling with R-INLA, J Stat Softw, 63, (2015); Wamwiri F.N., Changasi R.E., Tsetse Flies (Glossina) as Vectors of Human African Trypanosomiasis: A Review, Biomed Res Int, 2016, (2016); Spiegelhalter D.J., Best N.G., Carlin B.P., Et al., Bayesian Measures of Model Complexity and Fit, J R Stat Soc Ser B, 64, pp. 583-639, (2002); Liang D., Predictions for zeroinflated models: R INLA discussion group, (2015); Le Rest K., Pinaud D., Monestiez P., Et al., Spatial leave-one-out cross-validation for variable selection in the presence of spatial autocorrelation, Glob Ecol Biogeogr, 23, pp. 811-820, (2014); Lucas T., Python A., Redding D., Graphical outputs and Spatial Cross-validation for the R-INLA package using INLAutils, arXiv, (2020); Chai T., Draxler R.R., Root mean square error (RMSE) or mean absolute error (MAE)?-Arguments against avoiding RMSE in the literature, Geosci Model Dev, 7, pp. 1247-1250, (2014); Lowe R., Coelho C.A., Barcellos C., Et al., Evaluating probabilistic dengue risk forecasts from a prototype early warning system for Brazil, Elife, 5, (2016); Khan M.R.A., Brandenburger T., ROCit: performance assessment of binary classifier with visualization. p. R package version 2. 1. 1., (2020); Jupp T.E., Lowe R., Coelho C.A.S., Et al., On the visualization, verification and recalibration of ternary probabilistic forecasts, Phil Trans R Soc A, 370, pp. 1100-1120, (2012); Scholey J., Kashnitsky I., Tricolore: A flexible color scale for ternary compositions, Version: 1. 2. 2. p. A flexible color scale for ternary compositions with options for discretization, centering and scaling., (2020); Shaw A.P.M., Tirados I., Mangwiro C.T.N., Et al., Costs of using "tiny targets" to control Glossina fuscipes fuscipes, a vector of gambiense sleeping sickness in Arua District of Uganda, PLoS Negl Trop Dis, 9, (2015); Rayaisse J.-B., Courtin F., Mahamat M.H., Et al., Delivering "tiny targets" in a remote region of southern Chad: A cost analysis of tsetse control in the Mandoul sleeping sickness focus, Parasit Vectors, 13, (2020); Vale G.A., Hargrove J.W., Hope A., Et al., Modelled impact of Tiny Targets on the distribution and abundance of riverine tsetse, PLoS Negl Trop Dis, 18, (2024); Rock K.S., Pandey A., Ndeffo-Mbah M.L., Et al., Data-driven models to predict the elimination of sleeping sickness in former Equateur province of DRC, Epidemics, 18, pp. 101-112, (2017); Mwanakasale V., Songolo P., Disappearance of some human African trypanosomiasis transmission foci in Zambia in the absence of a tsetse fly and trypanosomiasis control program over a period of forty years, Trans R Soc Trop Med Hyg, 105, pp. 167-172, (2011); Reid R.S., Kruska R.L., Deichmann U., Et al., Human population growth and the extinction of the tsetse fly, Agric Ecosyst Environ, 77, pp. 227-236, (2000); Bernard B., Aron M., Loy T., Et al., The impact of refugee settlements on land use changes and vegetation degradation in West Nile Sub-region, Uganda, Geocarto Int, 37, pp. 16-34, (2022); Rapid assessment of natural resource degradation in refugee impacted areas in Northern Uganda: Technical report, (2019); Population growth (annual %)-Uganda, (2021); Opiro R., Opoke R., Angwech H., Et al., Apparent density, trypanosome infection rates and host preference of tsetse flies in the sleeping sickness endemic focus of northwestern Uganda, BMC Vet Res, 17, (2021); Solano P., Need of entomological criteria to assess zero transmission of gambiense HAT, PLoS Negl Trop Dis, 15, (2021); Longbottom J., Krause A., Torr S.J., Et al., Quantifying geographic accessibility to improve efficiency of entomological monitoring, PLoS Negl Trop Dis, 14, (2020); QGIS geographic information system., (2021); U. S. Geological Survey. USGS eros archive-digital elevation-shuttle radar topography mission (SRTM) 1 Arc-second global., (2000); U. S. Geological Survey. Landsat-5 imagery courtesy of the U. S. Geological survey; U. S. Geological Survey. Landsat-8 imagery courtesy of the U. S. Geological survey</t>
  </si>
  <si>
    <t xml:space="preserve">J. Longbottom; Department of Vector Biology, Liverpool School of Tropical Medicine, Liverpool, United Kingdom; email: joshua.longbottom@gmail.com</t>
  </si>
  <si>
    <t xml:space="preserve">BMJ Glob. Health</t>
  </si>
  <si>
    <t xml:space="preserve">2-s2.0-85214003679</t>
  </si>
  <si>
    <t xml:space="preserve">Luo L.; He W.; Guo Q.; Wang C.Y.</t>
  </si>
  <si>
    <t xml:space="preserve">Luo, L. (59507057600); He, W. (57198465504); Guo, Q. (57200282955); Wang, C.Y. (55802332100)</t>
  </si>
  <si>
    <t xml:space="preserve">59507057600; 57198465504; 57200282955; 55802332100</t>
  </si>
  <si>
    <t xml:space="preserve">Impact of neoadjuvant chemotherapy and cytoreductive surgery on patients with advanced ovarian cancer based on bioinformatics analysis</t>
  </si>
  <si>
    <t xml:space="preserve">Background: surgery (CRS) and neoadjuvant chemotherapy (NACT) are recommended for advanced ovarian cancer (aOC) treatment. This study aimed to investigate the therapy-induced genomic changes and immune microenvironment alteration in patients with aOC. Materials and methods: The microarray data of ovarian cancer samples from naïve or treated patients were collected from the Gene Expression Omnibus (GEO) database, and the differentially expressed genes (DEGs) between samples were screened. Consensus clustering was conducted to explore the molecular subtypes of ovarian cancer samples. The correlation between tertiary lymphoid structure (TLS) signatures with the molecular subtypes was subject to Gene set variation analysis (GSVA). The prognostic signature of aOC was constructed using machine learning based on lasso-cox regression. Finally, immune infiltration analysis was performed for immune landscape evaluation in aOC. Results: Totally 28 DEGs were found between the control and treatment groups. Enrichment analysis indicated the association of these genes with the immune changes. Moreover, the cluster 1/2 (C1/C2) of ovarian cancer were identified, and the C1 subtype had higher enrichment of TLS-related biomarkers. Moreover, 15 genes were revealed as independent factors for the prediction of ovarian cancer prognosis. Immune infiltration levels were significantly higher in the C1 subtype, which indicated the distinct immune landscape between the two molecular subtypes of ovarian cancer. Conclusion: The NACT and CRS induced genomic changes were related to immune response in aOC. The findings of our study might deepen our understanding of the TLS-related signature and immune pattern in aOC patients. © 2024 Novin Medical Radiation Institute. All rights reserved.</t>
  </si>
  <si>
    <t xml:space="preserve">International Journal of Radiation Research</t>
  </si>
  <si>
    <t xml:space="preserve">Novin Medical Radiation Institute</t>
  </si>
  <si>
    <t xml:space="preserve">10.61186/ijrr.22.4.109</t>
  </si>
  <si>
    <t xml:space="preserve">https://www.scopus.com/inward/record.uri?eid=2-s2.0-85214508608&amp;doi=10.61186%2fijrr.22.4.109&amp;partnerID=40&amp;md5=fe023cfd6539979c6c9d9164bdea921e</t>
  </si>
  <si>
    <t xml:space="preserve">Department of Gynaecology, Affiliated Hospital of Southwest Medical University, Sichuan Provincial Center for Gynaecology &amp; Breast Disease, China</t>
  </si>
  <si>
    <t xml:space="preserve">Luo L., Department of Gynaecology, Affiliated Hospital of Southwest Medical University, Sichuan Provincial Center for Gynaecology &amp; Breast Disease, China; He W., Department of Gynaecology, Affiliated Hospital of Southwest Medical University, Sichuan Provincial Center for Gynaecology &amp; Breast Disease, China; Guo Q., Department of Gynaecology, Affiliated Hospital of Southwest Medical University, Sichuan Provincial Center for Gynaecology &amp; Breast Disease, China; Wang C.Y., Department of Gynaecology, Affiliated Hospital of Southwest Medical University, Sichuan Provincial Center for Gynaecology &amp; Breast Disease, China</t>
  </si>
  <si>
    <t xml:space="preserve">cytoreductive surgery; differentially expressed genes; immune infiltration; neoadjuvant chemotherapy; Ovarian cancer; tertiary lymphoid structure</t>
  </si>
  <si>
    <t xml:space="preserve">biological marker; African trypanosomiasis; Article; bioinformatics; bladder cancer; cancer staging; cell infiltration; cross validation; cytoreductive surgery; data collection method; gene expression; gene ontology; human; immune response; infiltration basin; information processing; KEGG; lung adenocarcinoma; machine learning; morphogenesis; neoadjuvant chemotherapy; ovary cancer; patient; phagocytosis; predictive value; principal component analysis; regression model; statistical analysis; transcriptomics; tumor microenvironment; Wilcoxon signed ranks test</t>
  </si>
  <si>
    <t xml:space="preserve">R software version: 4.2.1</t>
  </si>
  <si>
    <t xml:space="preserve">Sung H, Ferlay J, Siegel RL, Et al., Global cancer statistics 2020: GLOBOCAN estimates of incidence and mortality worldwide for 36 cancers in 185 countries, CA Cancer J Clin, 71, 3, pp. 209-249, (2021); Ray-Coquard I, Pautier P, Pignata S, Et al., Olaparib plus bevacizumab as first-line maintenance in ovarian cancer, N Engl J Med, 381, 25, pp. 2416-2428, (2019); Gogineni V, Morand S, Staats H, Et al., Current ovarian cancer maintenance strategies and promising new developments, J Cancer, 12, 1, pp. 38-53, (2021); Armstrong DK, Alvarez RD, Bakkum-Gamez JN, Et al., Ovarian cancer, version 2.2020, NCCNclinical practice guidelines in oncology, J Natl Compr Canc Netw, 19, 2, pp. 191-226, (2021); Vergote I, Coens C, Nankivell M, Et al., Neoadjuvant chemotherapy versus debulking surgery in advanced tubo-ovarian cancers: pooled analysis of individual patient data from the EORTC 55971 and CHORUS trials, Lancet Oncol, 19, 12, pp. 1680-1687, (2018); Coleridge SL, Bryant A, Kehoe S, Morrison J, Neoadjuvant chemotherapy before surgery versus surgery followed by chemotherapy for initial treatment in advanced ovarian epithelial cancer, Cochrane Database Syst Rev, 7, 7, (2021); Eshaghi M, The effect of pain management on pain reduction in women with breast cancer, Sjmshm, 2, 2, pp. 1-5, (2020); Merlo LM, Pepper JW, Reid BJ, Maley CC, Cancer as an evolutionary and ecological process, Nat Rev Cancer, 6, 12, pp. 924-935, (2006); Xiao Y, Yu D, Tumor microenvironment as a therapeutic target in cancer, Pharmacol Ther, 221, (2021); Schumacher TN, Thommen DS, Tertiary lymphoid structures in cancer, Science, 375, 6576, (2022); Munoz-Erazo L, Rhodes JL, Marion VC, Kemp RA, Tertiary lymphoid structures in cancer - considerations for patient prognosis, Cell Mol Immunol, 17, 6, pp. 570-575, (2020); Cottrell TR, Thompson ED, Forde PM, Et al., Pathologic features of response to neoadjuvant anti-PD-1 in resected non-small-cell lung carcinoma: a proposal for quantitative immune-related pathologic response criteria (irPRC), Ann Oncol, 29, 8, pp. 1853-1860, (2018); Vanhersecke L, Brunet M, Guegan JP, Et al., Mature tertiary lymphoid structures predict immune checkpoint inhibitor efficacy in solid tumors independently of PD-L1 expression, Nat Cancer, 2, 8, pp. 794-802, (2021); Yang M, Lu J, Zhang G, Et al., CXCL13 shapes immunoactive tumor microenvironment and enhances the efficacy of PD-1 checkpoint blockade in high-grade serous ovarian cancer, J Immunother Cancer, 9, 1, (2021); Amini J, Hasanramezani A, AAK1 circular regulates neuronal development by interacting with miR-132, miR-146a and miR484, Alkhass, 4, 4, pp. 1-4, (2022); Sautes-Fridman C, Petitprez F, Calderaro J, Fridman WH, Tertiary lymphoid structures in the era of cancer immunotherapy, Nat Rev Cancer, 19, 6, pp. 307-325, (2019); Lu H, Lou H, Wengert G, Et al., Tumor and local lymphoid tissue interaction determines prognosis in high-grade serous ovarian cancer, Cell Rep Med, 4, 7, (2023); Taminau J, Meganck S, Lazar C, Et al., Unlocking the potential of publicly available microarray data using inSilicoDb and inSilicoMerging R/Bioconductor packages, BMC Bioinformatics, 13, (2012); Johnson WE, Li C, Rabinovic A, Adjusting batch effects in microarray expression data using empirical Bayes methods, Biostatistics, 8, 1, pp. 118-127, (2007); McEligot AJ, Poynor V, Sharma R, Panangadan A, Logistic LASSO Regression for Dietary Intakes and Breast Cancer, Nutrients, 12, 9, (2020); Becht E, Giraldo NA, Lacroix L, Et al., Estimating the population abundance of tissue-infiltrating immune and stromal cell populations using gene expression, Genome Biol, 17, 1, (2016); Elies A, Riviere S, Pouget N, Et al., The role of neoadjuvant chemotherapy in ovarian cancer, Expert Rev Anticancer Ther, 18, 6, pp. 555-566, (2018); Javellana M, Eckert MA, Heide J, Et al., Neoadjuvant chemotherapy induces genomic and transcriptomic changes in ovarian cancer, Cancer Res, 82, 1, pp. 169-176, (2022); Dieu-Nosjean MC, Giraldo NA, Kaplon H, Et al., Tertiary lymphoid structures, drivers of the anti-tumor responses in human cancers, Immunol Rev, 271, 1, pp. 260-275, (2016); Feng H, Yang F, Qiao L, Et al., Prognostic significance of gene signature of tertiary lymphoid structures in patients with lung adenocarcinoma, Front Oncol, 11, (2021); An Y, Sun JX, Xu MY, Et al., Tertiary lymphoid structure patterns aid in identification of tumor microenvironment infiltration and selection of therapeutic agents in bladder cancer, Front Immunol, 13, (2022); Swanson K, Wu E, Zhang A, Alizadeh AA, Zou J, From patterns to patients: Advances in clinical machine learning for cancer diagnosis, prognosis, and treatment, Cell, 186, 8, pp. 1772-1791, (2023); Zhang L, Wu X, Fan X, Ai H, MUM1L1 as a tumor suppressor and potential biomarker in ovarian cancer: Evidence from bioinformatics analysis and basic experiments, Comb Chem High Throughput Screen, 26, 14, pp. 2487-2501, (2023); Zhao E, Gao K, Xiong J, Et al., The roles of FXYD family members in ovarian cancer: an integrated analysis by mining TCGA and GEO databases and functional validations, J Cancer Res Clin Oncol, (2023); Zeng B, Yuan C, Yang X, Atkin SL, Xu SZ, TRPC channels and their splice variants are essential for promoting human ovarian cancer cell proliferation and tumorigenesis, Curr Cancer Drug Targets, 13, 1, pp. 103-116, (2013); Chetry M, Li S, Liu H, Hu X, Zhu X, Prognostic values of aquaporins mRNA expression in human ovarian cancer, Biosci Rep, 38, 2, (2018); Bijsmans IT, Smits KM, de Graeff P, Et al., Loss of serpinA5 protein expression is associated with advanced-stage serous ovarian tumors, Mod Pathol, 24, 3, pp. 463-470, (2011); Liang L, Li J, Yu J, Et al., Establishment and validation of a novel invasion-related gene signature for predicting the prognosis of ovarian cancer, Cancer Cell Int, 22, 1, (2022); Kandalaft LE, Dangaj Laniti D, Coukos G, Immunobiology of high-grade serous ovarian cancer: lessons for clinical translation, Nat Rev Cancer, 22, 11, pp. 640-656, (2022); Hornburg M, Desbois M, Lu S, Et al., Single-cell dissection of cellular components and interactions shaping the tumor immune phenotypes in ovarian cancer, Cancer Cell, 39, 7, pp. 928-944, (2021); Li X, Liang W, Zhao H, Et al., Immune cell infiltration landscape of ovarian cancer to identify prognosis and immunotherapy-related genes to aid immunotherapy, Front Cell Dev Biol, 9, (2021)</t>
  </si>
  <si>
    <t xml:space="preserve">C.Y. Wang; Department of Gynaecology, Affiliated Hospital of Southwest Medical University, Sichuan Provincial Center for Gynaecology &amp; Breast Disease, China; email: wangchunyan0215@126.com</t>
  </si>
  <si>
    <t xml:space="preserve">Intl. J. Radiat. Res.</t>
  </si>
  <si>
    <t xml:space="preserve">2-s2.0-85214508608</t>
  </si>
  <si>
    <t xml:space="preserve">Abdulhamza H.M.; Farhan M.S.; Hassan S.S.; Aqeel Al-Hussainy H.; Oriabi A.I.</t>
  </si>
  <si>
    <t xml:space="preserve">Abdulhamza, Hayder M (57221337306); Farhan, Muthanna S. (56549721700); Hassan, Sara. S (59013692200); Aqeel Al-Hussainy, Hany (57407538400); Oriabi, Amjad Ibrahim (57207888842)</t>
  </si>
  <si>
    <t xml:space="preserve">57221337306; 56549721700; 59013692200; 57407538400; 57207888842</t>
  </si>
  <si>
    <t xml:space="preserve">In silico identification of antiviral compounds for the treatment of chikungunya virus infection: qsar modelling and md simulation analysis</t>
  </si>
  <si>
    <t xml:space="preserve">Chikungunya virus (CHIKV), transmitted by arthropods, has gained global recognition for its impact on public health. It has expanded globally, including Africa, Asia, and the Indian subcontinent, and has a helicase protein in its genome that is crucial for its replication. Thus, the study targeted the helicase protein of CHIKV with 745 antiviral compounds using an ML-based QSAR model and molecular docking. Top binders (5279172, 78161839, 6474310, and 5330286) were selected for MD simulation based on the control (Silvestrol). All compounds had the highest binding scores, with 78161839 showing the most consistent RMSD and the least conformational variation, indicating high stability. It also showed the lowest binding free energy (ΔG ​= ​−31.31 ​kcal/mol), indicating energetically favourable binding. PCA and FEL also depicted the stable complex confirmation of the protein and 78161839 complex during the 100 ns simulation. Overall, this study aimed to identify helicase function antiviral binders that could be experimentally tested for treating CHIKV. © 2024 The Authors</t>
  </si>
  <si>
    <t xml:space="preserve">Medicine in Novel Technology and Devices</t>
  </si>
  <si>
    <t xml:space="preserve">10.1016/j.medntd.2024.100304</t>
  </si>
  <si>
    <t xml:space="preserve">https://www.scopus.com/inward/record.uri?eid=2-s2.0-85192055431&amp;doi=10.1016%2fj.medntd.2024.100304&amp;partnerID=40&amp;md5=0d4470b1c4e7fd68a8380c943bf4c171</t>
  </si>
  <si>
    <t xml:space="preserve">Department of Pharmacy, Kut University College, Wasit, Alkut, 52001, Iraq; Department of Pharmaceutical Chemistry, College of Pharmacy, University of Baghdad, Baghdad, Iraq; Al-Manara College for Medical Sciences, Department of Pharmacy, Iraq; Department of Pharmacy, Hilla University College, Babylon, Iraq; Dr Hany Akeel Institute, Iraqi Medical Research Center, Baghdad, 10001, Iraq</t>
  </si>
  <si>
    <t xml:space="preserve">Abdulhamza H.M., Department of Pharmacy, Kut University College, Wasit, Alkut, 52001, Iraq; Farhan M.S., Department of Pharmaceutical Chemistry, College of Pharmacy, University of Baghdad, Baghdad, Iraq; Hassan S.S., Department of Pharmacy, Hilla University College, Babylon, Iraq; Aqeel Al-Hussainy H., Dr Hany Akeel Institute, Iraqi Medical Research Center, Baghdad, 10001, Iraq; Oriabi A.I., Al-Manara College for Medical Sciences, Department of Pharmacy, Iraq</t>
  </si>
  <si>
    <t xml:space="preserve">Chikungunya virus; Helicase; Machine learning based QSAR; Molecular dynamic solution</t>
  </si>
  <si>
    <t xml:space="preserve">antivirus agent; helicase; Article; chikungunya; computer model; controlled study; drug identification; drug protein binding; drug targeting; machine learning; molecular docking; molecular dynamics; protein targeting; quantitative structure activity relation</t>
  </si>
  <si>
    <t xml:space="preserve">helicase, 42613-29-6</t>
  </si>
  <si>
    <t xml:space="preserve">Al-Manara College for Medical Sciences; Hilla University College, Dr Hany Akeel institute</t>
  </si>
  <si>
    <t xml:space="preserve">This work is supported by the Al-Manara College for Medical Sciences, Department of Pharmacy, Kut University College, Department of Pharmaceutical Chemistry, College of Pharmacy, University of Baghdad, Department of pharmacy, Hilla University College, Dr Hany Akeel institute, Iraqi Medical Research center.</t>
  </si>
  <si>
    <t xml:space="preserve">Caglioti C., Lalle E., Castilletti C., Carletti F., Capobianchi M.R., Bordi L., Chikungunya virus infection: an overview, New Microbiol, 36, pp. 211-227, (2013); Petersen L.R., Powers A.M., Chikungunya: epidemiology, F1000Research, 5, (2016); Simon F., Javelle E., Oliver M., Leparc-Goffart I., Marimoutou C., Chikungunya virus infection, Curr Infect Dis Rep, 13, pp. 218-228, (2011); Ngwe Tun M.M., Moriuchi M., Toizumi M., Luvai E., Raini S., Kitamura N., Et al., Congenital zika virus infection in a birth cohort in vietnam, 2017–2018, Am J Trop Med Hyg, 103, pp. 2059-2064, (2020); Khongwichit S., Chansaenroj J., Chirathaworn C., Poovorawan Y., Chikungunya virus infection: molecular biology, clinical characteristics, and epidemiology in Asian countries, J Biomed Sci, 28, (2021); Das P.K., Merits A., Lulla A., Functional cross-talk between distant domains of chikungunya virus non-structural protein 2 is decisive for its RNA-modulating activity, J Biol Chem, 289, pp. 5635-5653, (2014); Law Y.-S., Utt A., Tan Y.B., Zheng J., Wang S., Chen M.W., Et al., Structural insights into RNA recognition by the Chikungunya virus nsP2 helicase, Proc Natl Acad Sci USA, 116, pp. 9558-9567, (2019); Rose Y., Duarte J.M., Lowe R., Segura J., Bi C., Bhikadiya C., Et al., RCSB protein Data Bank: architectural advances towards integrated searching and efficient access to macromolecular structure data from the PDB archive, J Mol Biol, 433, (2021); Law Y.-S., Utt A., Tan Y.B., Zheng J., Wang S., Chen M.W., Et al., Structural insights into RNA recognition by the Chikungunya virus nsP2 helicase, Proc Natl Acad Sci U S A, 116, pp. 9558-9567, (2019); Schwede T., Kopp J., Guex N., Peitsch M.C., SWISS-MODEL: an automated protein homology-modeling server, Nucleic Acids Res, 31, pp. 3381-3385, (2003); Kim S., Chen J., Cheng T., Gindulyte A., He J., He S., Et al., PubChem 2023 update, Nucleic Acids Res, 51, pp. D1373-D1380, (2023); Parihar A., Khan R., Kumar A., Kaushik A.K., Gohel H., Computational approaches for novel therapeutic and diagnostic designing to mitigate SARS-CoV2 infection: revolutionary strategies to combat pandemics, (2022); Landrum G., Rdkit: open-source cheminformatics, (2014); Scikit-learn F., Machine learning in Python, J Mach Learn Res, pp. 2825-2830, (2011); Davies M., Nowotka M., Papadatos G., Dedman N., Gaulton A., Atkinson F., Et al., ChEMBL web services: streamlining access to drug discovery data and utilities, Nucleic Acids Res, 43, pp. W612-W620, (2015); Chen Z., Bertin R., Froldi G., EC50 estimation of antioxidant activity in DPPH assay using several statistical programs, Food Chem, 138, pp. 414-420, (2013); Morris G.M., Huey R., Lindstrom W., Sanner M.F., Belew R.K., Goodsell D.S., Et al., AutoDock4 and AutoDockTools4: automated docking with selective receptor flexibility, J Comput Chem, 30, pp. 2785-2791, (2009); Eberhardt J., Santos-Martins D., Tillack A.F., Forli S., AutoDock Vina 1.2.0: new docking methods, expanded force field, and Python bindings, J Chem Inf Model, 61, pp. 3891-3898, (2021); Hollingsworth S.A., Dror R.O., Molecular dynamics simulation for all, Neuron, 99, pp. 1129-1143, (2018); Hess B., Kutzner C., van der Spoel D., Lindahl E., Gromacs 4: algorithms for highly efficient, load-balanced, and scalable molecular simulation, J Chem Theor Comput, 4, pp. 435-447, (2008); Berendsen H.J.C., van der Spoel D., van Drunen R., GROMACS: a message-passing parallel molecular dynamics implementation, Comput Phys Commun, 91, pp. 43-56, (1995); Zoete V., Cuendet M.A., Grosdidier A., Michielin O., SwissParam: a fast force field generation tool for small organic molecules, J Comput Chem, 32, pp. 2359-2368, (2011); Darden T., York D., Pedersen L., Particle mesh Ewald: an N⋅log(N) method for Ewald sums in large systems, J Chem Phys, 98, pp. 10089-10092, (1993); Izadi S., Anandakrishnan R., Onufriev A.V., Building water models: a different approach, J Phys Chem Lett, 5, pp. 3863-3871, (2014); Hess B., Bekker H., Berendsen H.J.C., Fraaije J.G.E.M., LINCS: a linear constraint solver for molecular simulations, J Comput Chem, 18, pp. 1463-1472, (1997); Parrinello M., Rahman A., Polymorphic transitions in single crystals: a new molecular dynamics method, J Appl Phys, 52, pp. 7182-7190, (1981); Bussi G., Donadio D., Parrinello M., Canonical sampling through velocity rescaling, J Chem Phys, 126, (2007); Berendsen H.J.C., van der Spoel D., van Drunen R., GROMACS: a message-passing parallel molecular dynamics implementation, Comput Phys Commun, 91, pp. 43-56, (1995); Rai P., Arya H., Saha S., Kumar D., Bhatt T.K., Drug repurposing based novel anti-leishmanial drug screening using in-silico and in-vitro approaches, J Biomol Struct Dyn, 40, pp. 10812-10820, (2022); Valdes-Tresanco M.S., Valdes-Tresanco M.E., Valiente P.A., Moreno E., gmx_MMPBSA: a new tool to perform end-state free energy calculations with GROMACS, J Chem Theor Comput, 17, pp. 6281-6291, (2021); Miller B.R.I., McGee T.D., Swails J.M., Homeyer N., Gohlke H., Roitberg A.E., MMPBSA.py: an efficient program for end-state free energy calculations, J Chem Theor Comput, 8, pp. 3314-3321, (2012); Wang E., Sun H., Wang J., Wang Z., Liu H., Zhang J.Z.H., Et al., End-point binding free energy calculation with MM/PBSA and MM/GBSA: strategies and applications in drug design, Chem Rev, 119, pp. 9478-9508, (2019); Tian W., Chen C., Lei X., Zhao J., Liang J., CASTp 3.0: computed atlas of surface topography of proteins, Nucleic Acids Res, 46, pp. W363-W367, (2018); Halgren T.A., MMFF VI. MMFF94s option for energy minimization studies, J Comput Chem, 20, pp. 720-729, (1999); Henss L., Scholz T., Grunweller A., Schnierle B.S., Silvestrol inhibits chikungunya virus replication, Viruses, 10, (2018); Chatterjee S., Kumar S., Mamidi P., Datey A., Sengupta S., Mahish C., Et al., DNA Damage Response Signaling Is Crucial for Effective Chikungunya Virus Replication, J Virol, 96</t>
  </si>
  <si>
    <t xml:space="preserve">A.I. Oriabi; Al-Manara College for Medical Sciences, Department of Pharmacy, Iraq; email: amjadibrahim@uomanra.edu.iq</t>
  </si>
  <si>
    <t xml:space="preserve">Med. Novel Tech. Dev.</t>
  </si>
  <si>
    <t xml:space="preserve">2-s2.0-85192055431</t>
  </si>
  <si>
    <t xml:space="preserve">Dash Y.; Ramawat D.; Gupta A.; Parashar S.; Jain A.; Sarangi S.C.; Abraham A.</t>
  </si>
  <si>
    <t xml:space="preserve">Dash, Yajnaseni (57190798985); Ramawat, Devesh (59286667500); Gupta, Abhinav (59285150800); Parashar, Shreyanshi (59288196300); Jain, Akshat (59255914600); Sarangi, Sudhir C. (36461758900); Abraham, Ajith (7202760099)</t>
  </si>
  <si>
    <t xml:space="preserve">57190798985; 59286667500; 59285150800; 59288196300; 59255914600; 36461758900; 7202760099</t>
  </si>
  <si>
    <t xml:space="preserve">Insights into Dermatological Disorders: Understanding Skin Diseases through Medical Image Analysis</t>
  </si>
  <si>
    <t xml:space="preserve">Skin disease, from a common disease to a larger problem similar to skin cancers and leprosy, presents significant diagnostic challenges. Easy, accurate, and timely diagnosis is important to successful therapy. This research explores a unique combination of smart computational algorithms to improve the categorization of skin problems. Traditional methods to catch these diseases are very time-consuming as they depend on pathological study, biopsy, and visual inspection resulting in delayed therapy. This study works on developing novel diagnostic techniques by utilizing insights from analysis, which could find out the differences between healthy and unhealthy skin. Furthermore, employing transfer learning involving leveraging pre-trained models like VGG16 and other deep learning models like CNNs, the study handles the complex and diverse nature of skin disease identified in earlier dermatological research. It aims to construct robust automated diagnostic systems, amalgamating findings from existing studies and prior CNN-based models. This paper aims to close the gap between traditional methods and cutting-edge computational techniques to improve the accuracy and speed of skin issues by combining deep learning methods, which may provide good results for the dermatological diagnostic process. © Cerebration Science Publishing.</t>
  </si>
  <si>
    <t xml:space="preserve">International Journal of Computer Information Systems and Industrial Management Applications</t>
  </si>
  <si>
    <t xml:space="preserve">Cerebration Science Publishing</t>
  </si>
  <si>
    <t xml:space="preserve">https://www.scopus.com/inward/record.uri?eid=2-s2.0-85201697496&amp;partnerID=40&amp;md5=af7cb8a3d6a2551b9b6ede439ad1f450</t>
  </si>
  <si>
    <t xml:space="preserve">School of Artificial Intelligence, Bennett University, Greater Noida, 201310, India; SCSET, Bennett University, Greater Noida, 201310, India; Department of Pharmacology, All India Institute of Medical Sciences Delhi, New Delhi, 110029, India</t>
  </si>
  <si>
    <t xml:space="preserve">Dash Y., School of Artificial Intelligence, Bennett University, Greater Noida, 201310, India; Ramawat D., SCSET, Bennett University, Greater Noida, 201310, India; Gupta A., SCSET, Bennett University, Greater Noida, 201310, India; Parashar S., SCSET, Bennett University, Greater Noida, 201310, India; Jain A., SCSET, Bennett University, Greater Noida, 201310, India; Sarangi S.C., Department of Pharmacology, All India Institute of Medical Sciences Delhi, New Delhi, 110029, India; Abraham A., School of Artificial Intelligence, Bennett University, Greater Noida, 201310, India</t>
  </si>
  <si>
    <t xml:space="preserve">Convolutional Neural Networks (CNNs); skin diseases; transfer learning; VGG16</t>
  </si>
  <si>
    <t xml:space="preserve">Manoorkar P. B., Kamat D. K., Patil P. M., Analysis and classification of human skin diseases, Proceedings of the 2016 International Conference on Automatic Control and Dynamic Optimization Techniques (ICACDOT), pp. 1067-1071, (2016); Ahmad B., Usama M., Huang C.-M., Hwang K., Hossain M. S., Muhammad G., Discriminative Feature Learning for Skin Disease Classification Using Deep Convolutional Neural Network, IEEE Access, 8, pp. 39025-39033, (2020); Hosny K. M., Kassem M. A., Foaud M. M., Classification of skin lesions using transfer learning and augmentation with Alex-net, PLoS ONE, 14, 5, (2019); Allugunti V., A machine learning model for skin disease classification using convolution neural network, International Journal of Computing, Programming and Database Management, 3, 1, pp. 141-147, (2021); Sun X., Yang J., Sun M., Wang K., A Benchmark for Automatic Visual Classification of Clinical Skin Disease Images, Proceedings of the Computer Vision–ECCV 2016: 14th European Conference, pp. 206-222, (2016); Sharma S. D., Sharma S., Pathak A. K., Mohamed N., Real-time Skin Disease Prediction System using Deep Learning Approach, Proceedings of the 2023 2nd Edition of IEEE Delhi Section Flagship Conference (DELCON), pp. 1-6, (2023); Murugan S., Srividhya S. R., Kumar S. P., Rubini B., A Machine Learning Approach to Predict Skin Diseases and Treatment Recommendation System, Proceedings of the 2023 5th International Conference on Smart Systems and Inventive Technology (ICSSIT), pp. 1157-1163, (2023); Navarro M. C. R., Bustillos E., Barfeh D. P. Y., Skin Disease Analysis using Digital Image processing, Proceedings of the 2019 International Conference on Computational Intelligence and Knowledge Economy (ICCIKE), pp. 311-316, (2019); Li W., Zhuang J., Wang R., Zhang J., Zheng W.-S., Fusing Metadata and Dermoscopy Images for Skin Disease Diagnosis, Proceedings of the 2020 IEEE 17th International Symposium on Biomedical Imaging (ISBI), pp. 1996-2000, (2020); Shetty S. B., Nishith N., Kamath C. S., Nishani, Skin disease classification using inceptionV3 model, Proceedings of the 2022 International Conference on Artificial Intelligence and Data Engineering (AIDE), pp. 312-315, (2022); Nivedita V., Subramaniam K., Ramya M., Parameshachari B. D., Machine Learning Based Skin Disease Analyzer with Image Processing, Proceedings of the 2022 IEEE North Karnataka Subsection Flagship International Conference (NKCon), pp. 1-6, (2022); Fikile Gasa Z. N., Owolawi P. A., Mapayi T., Odeyemi K., MobileNet Neural Network skin disease detector with Raspberry Pi Integrated to Telegram, Proceedings of the 2020 International Conference on Artificial Intelligence, Big Data, Computing and Data Communication Systems (icABCD), pp. 1-5, (2020); Shaik R., Bodhapati S. K., Uddandam A., Krupal L., Sengupta J., A Deep Learning Model that Diagnosis Skin Diseases and Recommends Medication, Proceedings of the 2022 1st International Conference on the Paradigm Shifts in Communication, Embedded Systems, Machine Learning and Signal Processing (PCEMS), pp. 7-10, (2022); Pal M., Roy B. R., Evaluating and Enhancing the Performance of Skin Disease Classification Based on Ensemble Methods, Proceedings of the 2020 2nd International Conference on Advanced Information and Communication Technology (ICAICT), pp. 439-443, (2020); Olatunji K. A., Oguntimilehin A., Adeyemo O. A., Aweh O. M., Abiodun A. I., Bello O. A., Skin Disease Classification using Deep Learning Methods, Proceedings of the 2022 5th Information Technology for Education and Development (ITED), pp. 1-8, (2022); Li Z., Liu F., Yang W., Peng S., Zhou J., A Survey of Convolutional Neural Networks: Analysis, Applications, and Prospects, IEEE Transactions on Neural Networks and Learning Systems, 33, 12, pp. 6999-7019, (2022); El Saleh R., Bakhshi S., Nait-Ali A., Deep convolutional neural network for face skin diseases identification, Proceedings of the 2019 Fifth International Conference on Advances in Biomedical Engineering (ICABME), pp. 1-4, (2019); Srinivasu P. N., SivaSai J. G., Ijaz M. F., Bhoi A. K., Kim W., Kang J. J., Classification of skin disease using deep learning neural networks with MobileNet V2 and LSTM, Sensors, 21, 8, (2021); Gupta M., Pushpad V., Dash Y., Abraham A., Skin-Deep AI: Convolutional Neural Networks for Predicting Dermatological Conditions, Proceedings of the 14th International Conference on Innovations in Bio-Inspired Computing and Applications (IBICA), (2023); Nigat T. D., Sitote T. M., Gedefaw B. M., Fungal Skin Disease Classification Using the Convolutional Neural Network, Journal of Healthcare Engineering, 2023; Velasco J. S., Catipon J. V., Monilar E. G., Amon V. M., Virrey G. C., Tolentino L. K. S., Classification of Skin Disease Using Transfer Learning in Convolutional Neural Networks, (2023); Bala D., Et al., MonkeyNet: A robust deep convolutional neural network for monkeypox disease detection and classification, Neural Networks, 161, pp. 757-775, (2023)</t>
  </si>
  <si>
    <t xml:space="preserve">Int.  J.  Comput.  Inf.  Sys. Ind.  Manage.  Appl.</t>
  </si>
  <si>
    <t xml:space="preserve">2-s2.0-85201697496</t>
  </si>
  <si>
    <t xml:space="preserve">Zhu Y.; Liu J.; Wang B.</t>
  </si>
  <si>
    <t xml:space="preserve">Zhu, Yidong (57994878600); Liu, Jun (58115673900); Wang, Bo (57199068745)</t>
  </si>
  <si>
    <t xml:space="preserve">57994878600; 58115673900; 57199068745</t>
  </si>
  <si>
    <t xml:space="preserve">Integrated approach of machine learning, Mendelian randomization and experimental validation for biomarker discovery in diabetic nephropathy</t>
  </si>
  <si>
    <t xml:space="preserve">Aim: To identify potential biomarkers and explore the mechanisms underlying diabetic nephropathy (DN) by integrating machine learning, Mendelian randomization (MR) and experimental validation. Methods: Microarray and RNA-sequencing datasets (GSE47184, GSE96804, GSE104948, GSE104954, GSE142025 and GSE175759) were obtained from the Gene Expression Omnibus database. Differential expression analysis identified the differentially expressed genes (DEGs) between patients with DN and controls. Diverse machine learning algorithms, including least absolute shrinkage and selection operator, support vector machine-recursive feature elimination, and random forest, were used to enhance gene selection accuracy and predictive power. We integrated summary-level data from genome-wide association studies on DN with expression quantitative trait loci data to identify genes with potential causal relationships to DN. The predictive performance of the biomarker gene was validated using receiver operating characteristic (ROC) curves. Gene set enrichment and correlation analyses were conducted to investigate potential mechanisms. Finally, the biomarker gene was validated using quantitative real-time polymerase chain reaction in clinical samples from patients with DN and controls. Results: Based on identified 314 DEGs, seven characteristic genes with high predictive performance were identified using three integrated machine learning algorithms. MR analysis revealed 219 genes with significant causal effects on DN, ultimately identifying one co-expressed gene, carbonic anhydrase II (CA2), as a key biomarker for DN. The ROC curves demonstrated the excellent predictive performance of CA2, with area under the curve values consistently above 0.878 across all datasets. Additionally, our analysis indicated a significant association between CA2 and infiltrating immune cells in DN, providing potential mechanistic insights. This biomarker was validated using clinical samples, confirming the reliability of our findings in clinical practice. Conclusion: By integrating machine learning, MR and experimental validation, we successfully identified and validated CA2 as a promising biomarker for DN with excellent predictive performance. The biomarker may play a role in the pathogenesis and progression of DN via immune-related pathways. These findings provide important insights into the molecular mechanisms underlying DN and may inform the development of personalized treatment strategies for this disease. © 2024 John Wiley &amp; Sons Ltd.</t>
  </si>
  <si>
    <t xml:space="preserve">Diabetes, Obesity and Metabolism</t>
  </si>
  <si>
    <t xml:space="preserve">10.1111/dom.15933</t>
  </si>
  <si>
    <t xml:space="preserve">https://www.scopus.com/inward/record.uri?eid=2-s2.0-85205916087&amp;doi=10.1111%2fdom.15933&amp;partnerID=40&amp;md5=92e3de53f56043a3045d2ae890ed1df2</t>
  </si>
  <si>
    <t xml:space="preserve">Department of Traditional Chinese Medicine, Shanghai Tenth People's Hospital, Tongji University School of Medicine, Shanghai, China; Department of Endocrinology, Yangpu Hospital, Tongji University School of Medicine, Shanghai, China</t>
  </si>
  <si>
    <t xml:space="preserve">Zhu Y., Department of Traditional Chinese Medicine, Shanghai Tenth People's Hospital, Tongji University School of Medicine, Shanghai, China; Liu J., Department of Traditional Chinese Medicine, Shanghai Tenth People's Hospital, Tongji University School of Medicine, Shanghai, China; Wang B., Department of Endocrinology, Yangpu Hospital, Tongji University School of Medicine, Shanghai, China</t>
  </si>
  <si>
    <t xml:space="preserve">biomarker; carbonic anhydrase II; diabetic nephropathy; machine learning; Mendelian randomization</t>
  </si>
  <si>
    <t xml:space="preserve">Biomarkers; Diabetic Nephropathies; Gene Expression Profiling; Genome-Wide Association Study; Humans; Machine Learning; Mendelian Randomization Analysis; Quantitative Trait Loci; Reproducibility of Results; biological marker; carbonate dehydratase II; biological marker; Akt signaling; algorithm; Article; cell infiltration; clinical article; clinical practice; cohort analysis; controlled study; data base; diabetes mellitus; diabetic nephropathy; diagnostic accuracy; differential gene expression; down regulation; gene expression profiling; gene ontology; gene set enrichment analysis; genome-wide association study; human; immune response; KEGG; learning algorithm; Leishmania; leishmaniasis; machine learning; Mendelian randomization analysis; phenotype; polymerase chain reaction; protein protein interaction; quantitative trait locus; random forest; real time polymerase chain reaction; receiver operating characteristic; reverse transcription polymerase chain reaction; risk factor; RNA extraction; sensitivity and specificity; signal transduction; Staphylococcus aureus; support vector machine; systemic lupus erythematosus; upregulation; virus myocarditis; diagnosis; genetics; genome-wide association study; reproducibility</t>
  </si>
  <si>
    <t xml:space="preserve">Applied Biosystems 7900HT Fast Real-Time PCR, Thermo, United States; GraphPad Prism version 8.0.1, Graphpad; RevertAid First Strand cDNA Synthesis Kit, Thermo, United States; SYBR Green PCR Master Mix, KAPA Biosystems, Japan</t>
  </si>
  <si>
    <t xml:space="preserve">Graphpad; KAPA Biosystems, Japan; Thermo, United States; Thermo, United States</t>
  </si>
  <si>
    <t xml:space="preserve">Shanghai Municipal Health Commission, (202340004); Shanghai Municipal Health Commission</t>
  </si>
  <si>
    <t xml:space="preserve">This study was supported by the Shanghai Municipal Health Commission (202340004). </t>
  </si>
  <si>
    <t xml:space="preserve">Li X., Lu L., Hou W., Et al., Epigenetics in the pathogenesis of diabetic nephropathy, Acta Biochim Biophys Sin, 54, 2, pp. 163-172, (2022); Selby N.M., Taal M.W., An updated overview of diabetic nephropathy: diagnosis, prognosis, treatment goals, and latest guidelines, Diabetes Obes Metab, 22, pp. 3-15, (2020); Kanwar Y.S., Sun L., Xie P., Liu F.Y., Chen S., A glimpse into various pathogenic mechanisms of diabetic nephropathy, Annu Rev Pathol, 6, pp. 395-423, (2011); Dagar N., Das P., Bisht P., Velayutham R., Et al., Diabetic nephropathy: a twisted thread to unravel, Life sci, 278, (2021); Gross J.L., de Azevedo M.J., Silveiro S.P., Canani L.H., Diabetic nephropathy: diagnosis, prevention, and treatment, Diabetes Care, 28, 1, pp. 164-176, (2005); Kikkawa R., Koya D., Haneda M., Progression of diabetic nephropathy, Am J Kidney Dis, 41, 3, pp. S19-S21, (2003); Flyvbjerg A., Role of the complement system in diabetic nephropathy, Nat Rev Nephrol, 13, 5, pp. 311-318, (2017); Alicic R.Z., Rooney M.T., Tuttle K.R., Diabetic kidney disease: challenges, Progress, and possibilities, Clin J Am Soc Nephrol, 12, 12, pp. 2032-2045, (2017); Gupta S., Dominguez M., Golestaneh L., Diabetic kidney disease: an update, Med Clin North Am, 107, 4, pp. 689-705, (2023); Yang X., Huang K., Yang D., Zhao W., Zhou X., Biomedical big data technologies, applications, and challenges for precision medicine: a review, Global Challenges (Hoboken, NJ), 8, 1, (2024); Greener J.G., Kandathil S.M., Moffat L., Jones D.T., Guide for machine learning for biologists, Nat Rev Mol Cell Biol, 23, 1, pp. 40-55, (2022); Krishnan R., Rajpurkar P., Topol E.J., Self-supervised learning in medicine and healthcare, Nat Biomed Eng, 6, 12, pp. 1346-1352, (2022); Stahlschmidt S.R., Ulfenborg B., Synnergren J., Multimodal deep learning for biomedical data fusion, Briefings Bioinformatics, 23, 2, (2022); Haug C.J., Drazen J.M., Artificial intelligence and machine learning in clinical medicine, 2023, N Engl J Med, 388, 13, pp. 1201-1208, (2023); Xu M., Zhou H., Hu P., Et al., Identification and validation of immune and oxidative stress-related diagnostic markers for diabetic using WGCNA and machine learning, Front Immunol, 14, (2023); Abedi M., Marateb H.R., Mohebian M.R., Aghaee-Bakhtiari S.H., Nassiri S.M., Gheisari Y., Systems biology and machine learning approaches identify drug targets in diabetic nephropathy, Sci Rep, 11, 1, (2021); Su J., Peng J., Wang L., Et al., Identification of endoplasmic reticulum stress-related diabetic nephropathy biomarkers based on bioinformatics and machine learning, Front Endocrinol, 14, (2023); Chen Y., Liao L., Wang B., Wu Z., Identification and validation of immune and cuproptose-related genes for diabetic nephropathy by WGCNA and machine learning, Front Immunol, 15, (2024); Zou Y., Zhao L., Zhang J., Et al., Development and internal validation of machine learning algorithms for end-stage renal disease risk prediction models for patients with type 2 diabetes mellitus and diabetic kidney disease, Ren Fail, 44, 1, pp. 562-570, (2022); Chan L., Nadkarni G.N., Fleming F., Et al., Derivation and validation of a machine learning risk score using biomarker and electronic patient data to predict progression of diabetic kidney disease, Diabetologia, 64, 7, pp. 1504-1515, (2021); Emdin C., Khera A., Kathiresan S., Mendelian randomization, Jama, 318, 19, pp. 1925-1926, (2017); de Leeuw C., Savage J., Bucur I., Heskes T., Et al., Understanding the assumptions underlying mendelian randomization, Eur J Hum Genet: EJHG, 30, 6, pp. 653-660, (2022); Richmond R.C., Davey S.G., Mendelian randomization: concepts and scope, Cold Spring Harb Perspect Med, 12, 1, (2022); Zhang H., Pros and cons of mendelian randomization, Fertil Steril, 119, 6, pp. 913-916, (2023); Rasooly D., Peloso G.M., Two-sample multivariate mendelian randomization analysis was performed using R, Curr Protocols, 1, 12, (2021); McNeish D.M., Using LASSO for predictor selection and asset overfitting: a method long overlooked in the behavioral sciences, Multivar Behav Res, 50, 5, pp. 471-484, (2015); Tibshirani R., LASSO method for variable selection in the cox model, Stat Med, 16, 4, pp. 385-395, (1997); Noble W.S., What is a support vector machine?, Nat Biotechnol, 24, 12, pp. 1565-1567, (2006); Huang S., Cai N., Pacheco P.P., Narrandes S., Wang Y., Et al., Applications of support vector machine (SVM) learning in cancer genomics, Cancer Genomics Proteomics, 15, 1, pp. 41-51, (2018); Rigatti S.J., Random Forest, J Insurance Med (New York, NY), 47, 1, pp. 31-39, (2017); Vosa U., Claringbould A., Westra H.J., Et al., Large-scale cis- and trans-eQTL analyses have identified thousands of genetic loci and polygenic scores that regulate blood gene expression, Nat Genet, 53, 9, pp. 1300-1310, (2021); Burgess S., Dudbridge F., Thompson S., Combining information on multiple instrumental variables in mendelian randomization: comparison of allele score and summarized data methods, Stat Med, 35, 11, pp. 1880-1906, (2016); Burgess S., Butterworth A., Thompson S.G., Et al., Mendelian randomization analysis of multiple genetic variants using summarized data, Genet Epidemiol, 37, 7, pp. 658-665, (2013); Bowden J., Dave-Smith G., Burgess S., Mendelian randomization with invalid instruments: effect estimation and bias detection through egger regression, Int J Epidemiol, 44, 2, pp. 512-525, (2015); Bowden J., Dave-Smith G., Haycock P.C., Burgess S., Consistent estimation in mendelian randomization with invalid instruments, using a weighted median estimator, Genet Epidemiol, 40, 4, pp. 304-314, (2016); Ong J.S., MacGregor S., Implementing MR-PRESSO and GCTA-GSMR for pleiotropy assessment in mendelian randomization studies from a practitioner's perspective, Genet Epidemiol, 43, 6, pp. 609-616, (2019); Magee C., Grieve D.J., Watson C.J., Brazil D.P., Diabetic nephropathy: a tangled web to unweave, Cardiovasc Drugs Ther, 31, 5-6, pp. 579-592, (2017); Bloomgarden Z.T., Diabetic nephropathy, Diabetes Care, 28, 3, pp. 745-751, (2005); Kushwaha K., Kabra U., Dubey R., Gupta J., Diabetic nephropathy: pathogenesis to cure, Curr Drug Targets, 23, 15, pp. 1418-1429, (2022); Vunikili R., Glicksberg B.S., Dudley J.T., Et al., Predictive modelling of susceptibility to substance abuse, mortality and drug-drug interactions in opioid patients, Front Artif Intell, 4, (2021); Site A., Vasudevan S., Afolaranmi S.O., Lastra J.L.M., Nurmi J., Lohan E.S., Machine-learning-based analysis of the relationship between loneliness metrics and mobility patterns in the elderly, Sensors (Basel, Switzerland), 22, 13, (2022); Zhao Z., He S., Yu X., Et al., Analysis and experimental validation of rheumatoid arthritis innate immunity gene CYFIP2 and pan-cancer, Front Immunol, 13, (2022); Dong J., Feng T., Thapa-Chhetry B., Et al., Machine learning model for early prediction of acute kidney injury (AKI) in pediatric critical care, Crit Care, 25, 1, (2021); Bomrah S., Uddin M., Upadhyay U., Et al., A scoping review of machine learning for sepsis prediction-feature engineering strategies and model performance: a step towards explainability, Crit Care, 28, 1, (2024); Supuran C.T., Di Fiore A., Alterio V., Et al., Recent advances in structural studies of the carbonic anhydrase family: the crystal structure of human CA IX and CA XIII, Curr Pharm des, 16, 29, pp. 3246-3254, (2010); Lionetto M.G., Carbonic anhydrase and biomarker research: new insights, Int J Mol sci, 24, 11, (2023); Supuran C.T., Carbonic anhydrases, Bioorg Med Chem, 21, 6, pp. 1377-1378, (2013); Purkerson J.M., Schwartz G.J., The role of carbonic anhydrases in renal physiology, Kidney Int, 71, 2, pp. 103-115, (2007); Jin Y.B., Dai Y.J., Chen J.L., Et al., Anti-carbonic anhydrase II antibody reflects urinary acidification defects, especially in the proximal renal tubules of patients with primary Sjögren's syndrome, Medicine, 102, 2, (2023); Hains D.S., Chen X., Saxena V., Et al., Carbonic anhydrase 2 deficiency increases susceptibility to pyelonephritis. American journal of physiology and renal, Phys Ther, 307, 7, pp. F869-F880, (2014); Tang S.C.W., Yiu W.H., Innate immunity in diabetic kidney disease, Nat Rev Nephrol, 16, 4, pp. 206-222, (2020); Tesch G.H., Diabetic nephropathy - is an immune disorder, Clin Sci (London, England, 1979), 131, 16, pp. 2183-2199, (2017); Li H.D., You Y.K., Shao B.Y., Et al., Roles and crosstalks of macrophages in diabetic nephropathy, Front Immunol, 13, (2022); Calle P., Hotter G., Macrophage phenotype and fibrosis in diabetic nephropathy, Int J Mol sci, 21, 8, (2020); Tesch G.H., Macrophages and diabetic nephropathy, Semin Nephrol, 30, 3, pp. 290-301, (2010); Moon J.Y., Jeong K.H., Lee T.W., Ihm C.G., Lim S.J., Lee S.H., Aberrant recruitment and activation of T-cells in diabetic nephropathy, Am J Nephrol, 35, 2, pp. 164-174, (2012); Smith M.J., Simmons K.M., Cambier J.C., B-cells in patients with type 1 diabetes mellitus and diabetic kidney disease, Nat Rev Nephrol, 13, 11, pp. 712-720, (2017); Wu C.C., Sytwu H.K., Lu K.C., Lin Y.F., Role of T cells in type 2 diabetic nephropathy, Exp Res Diabetes, 2011, (2011); Mosmann T.R., Sad S., The expanding universe of T cell subsets: Th1, Th2, and others, Immunol Today, 17, 3, pp. 138-146, (1996); Chen J., Liu Q., He J., Li Y., Immune responses in diabetic nephropathy: pathogenic mechanisms and therapeutic targets, Front Immunol, 13, (2022); Mora C., Navarro J.F., Inflammation and diabetic nephropathy, Curr Diab Rep, 6, 6, pp. 463-468, (2006); Gurley S.B., Ghosh S., Johnson S.A., Et al., Inflammatory and immune pathways regulate genetic susceptibility to diabetic nephropathy, Diabetes, 67, 10, pp. 2096-2106, (2018); Zheng Z., Zheng F., Immune cells and inflammation in diabetic nephropathy, J Diabetes Res, 2016, (2016); Schwartz G.J., Physiological and molecular biology of renal carbonic anhydrase, J Nephrol, 15, pp. S61-S74, (2002)</t>
  </si>
  <si>
    <t xml:space="preserve">J. Liu; Department of Traditional Chinese Medicine, Shanghai Tenth People's Hospital, Tongji University School of Medicine, Shanghai, China; email: liujune2011@163.com; B. Wang; Department of Endocrinology, Yangpu Hospital, Tongji University School of Medicine, Shanghai, China; email: bowang13241@163.com</t>
  </si>
  <si>
    <t xml:space="preserve">DOMEF</t>
  </si>
  <si>
    <t xml:space="preserve">Diabetes Obes. Metab.</t>
  </si>
  <si>
    <t xml:space="preserve">2-s2.0-85205916087</t>
  </si>
  <si>
    <t xml:space="preserve">Bashar S.J.; Zheng Z.; Mergaert A.M.; Adyniec R.R.; Gupta S.; Amjadi M.F.; McCoy S.S.; Newton M.A.; Shelef M.A.</t>
  </si>
  <si>
    <t xml:space="preserve">Bashar, S. Janna (57211285114); Zheng, Zihao (57212273648); Mergaert, Aisha M. (57209848977); Adyniec, Ryan R. (57382564400); Gupta, Srishti (57383009400); Amjadi, Maya F. (57222068828); McCoy, Sara S. (55211391000); Newton, Michael A. (35303458500); Shelef, Miriam A. (55385739500)</t>
  </si>
  <si>
    <t xml:space="preserve">57211285114; 57212273648; 57209848977; 57382564400; 57383009400; 57222068828; 55211391000; 35303458500; 55385739500</t>
  </si>
  <si>
    <t xml:space="preserve">Limited Biomarker Potential for IgG Autoantibodies Reactive to Linear Epitopes in Systemic Lupus Erythematosus or Spondyloarthropathy</t>
  </si>
  <si>
    <t xml:space="preserve">Background: Autoantibodies are commonly used as biomarkers in autoimmune diseases, but there are limitations. For example, autoantibody biomarkers have poor sensitivity or specificity in systemic lupus erythematosus and do not exist in the spondyloarthropathies, impairing diagnosis and treatment. While autoantibodies suitable for strong biomarkers may not exist in these conditions, another possibility is that technology has limited their discovery. The purpose of this study was to use a novel high-density peptide array that enables the evaluation of IgG binding to every possible linear antigen in the entire human peptidome, as well as a novel machine learning approach that incorporates ELISA validation predictability in order to discover autoantibodies that could be developed into sensitive and specific markers of lupus or spondyloarthropathy. Methods: We used a peptide array containing the human peptidome, several viral peptidomes, and key post-translational modifications (6 million peptides) to quantify IgG binding in lupus, spondyloarthropathy, rheumatoid arthritis, Sjögren’s disease, and control sera. Using ELISA data for 70 peptides, we performed a random forest analysis that evaluated multiple array features to predict which peptides might be good biomarkers, as confirmed by ELISA. We validated the peptide prediction methodology in rheumatoid arthritis and COVID-19, conditions for which the antibody repertoire is well-understood, and then evaluated IgG binding by ELISA to peptides that we predicted would be highly bound specifically in lupus or spondyloarthropathy. Results: Our methodology performed well in validation studies, but peptides predicted to be highly and specifically bound in lupus or spondyloarthropathy could not be confirmed by ELISA. Conclusions: In a comprehensive evaluation of the entire human peptidome, highly sensitive and specific IgG autoantibodies were not identified in lupus or spondyloarthropathy. Thus, the pathogenesis of lupus and spondyloarthropathy may not depend upon unique autoantigens, and other types of molecules should be sought as optimal biomarkers in these conditions. © 2024 by the authors.</t>
  </si>
  <si>
    <t xml:space="preserve">Antibodies</t>
  </si>
  <si>
    <t xml:space="preserve">10.3390/antib13040087</t>
  </si>
  <si>
    <t xml:space="preserve">https://www.scopus.com/inward/record.uri?eid=2-s2.0-85213545048&amp;doi=10.3390%2fantib13040087&amp;partnerID=40&amp;md5=f0070c022fce64622aed951c3d60be6f</t>
  </si>
  <si>
    <t xml:space="preserve">Department of Medicine, University of Wisconsin-Madison, Madison, 53705, WI, United States; Department of Statistics, University of Wisconsin-Madison, Madison, 53706, WI, United States; Department of Pathology and Laboratory Medicine, University of Wisconsin-Madison, Madison, 53705, WI, United States; Department of Biostatistics and Medical Informatics, University of Wisconsin-Madison, Madison, 53726, WI, United States; William S. Middleton Memorial Veterans Hospital, Madison, 53705, WI, United States</t>
  </si>
  <si>
    <t xml:space="preserve">Bashar S.J., Department of Medicine, University of Wisconsin-Madison, Madison, 53705, WI, United States; Zheng Z., Department of Medicine, University of Wisconsin-Madison, Madison, 53705, WI, United States, Department of Statistics, University of Wisconsin-Madison, Madison, 53706, WI, United States; Mergaert A.M., Department of Medicine, University of Wisconsin-Madison, Madison, 53705, WI, United States, Department of Pathology and Laboratory Medicine, University of Wisconsin-Madison, Madison, 53705, WI, United States; Adyniec R.R., Department of Medicine, University of Wisconsin-Madison, Madison, 53705, WI, United States; Gupta S., Department of Medicine, University of Wisconsin-Madison, Madison, 53705, WI, United States; Amjadi M.F., Department of Medicine, University of Wisconsin-Madison, Madison, 53705, WI, United States; McCoy S.S., Department of Medicine, University of Wisconsin-Madison, Madison, 53705, WI, United States; Newton M.A., Department of Statistics, University of Wisconsin-Madison, Madison, 53706, WI, United States, Department of Biostatistics and Medical Informatics, University of Wisconsin-Madison, Madison, 53726, WI, United States; Shelef M.A., Department of Medicine, University of Wisconsin-Madison, Madison, 53705, WI, United States, William S. Middleton Memorial Veterans Hospital, Madison, 53705, WI, United States</t>
  </si>
  <si>
    <t xml:space="preserve">antibody; autoantibody; biomarker; peptide array; spondyloarthropathy; systemic lupus erythematosus</t>
  </si>
  <si>
    <t xml:space="preserve">autoantibody; autoantigen; biological marker; epitope; immunoglobulin G; ankylosing spondylitis; arthritis; Article; Chikungunya virus; clinical article; controlled study; coronavirus disease 2019; enzyme linked immunosorbent assay; Epstein Barr virus; human; Human alphaherpesvirus 1; inflammatory bowel disease; lupus erythematosus nephritis; machine learning; Mayaro virus; Parvoviridae; peptide microarray; protein processing; psoriatic arthritis; random forest; reproducibility; rheumatoid arthritis; Ross River virus; Sindbis virus; Sjoegren syndrome; spondyloarthropathy; systemic lupus erythematosus; Zaire ebolavirus</t>
  </si>
  <si>
    <t xml:space="preserve">immunoglobulin G, 97794-27-9, 308067-58-5</t>
  </si>
  <si>
    <t xml:space="preserve">Prism, Graphpad, United States</t>
  </si>
  <si>
    <t xml:space="preserve">Graphpad, United States</t>
  </si>
  <si>
    <t xml:space="preserve">University of Wisconsin-Madison, UW; U.S. Army Medical Research Acquisition Activity, USAMRAA; Wisconsin Alumni Research Foundation, WARF; National Institutes of Health, NIH; Congressionally Directed Medical Research Programs, CDMRP, (W81XWH-18-1-0717); Congressionally Directed Medical Research Programs, CDMRP; MSTP, (T32 GM140935); National Center for Advancing Translational Sciences, NCATS, (UL1TR002373, KL2TR002374); National Center for Advancing Translational Sciences, NCATS; National Heart, Lung, and Blood Institute, NHLBI, (T32 HL007899); National Heart, Lung, and Blood Institute, NHLBI; National Institute on Aging, NIA, (T32 AG000213); National Institute on Aging, NIA</t>
  </si>
  <si>
    <t xml:space="preserve">This research was funded by the U.S. Army Medical Research Acquisition Activity through the Congressionally Directed Medical Research Program [W81XWH-18-1-0717] and the University of Wisconsin-Madison Office of the Vice Chancellor for Research and Graduate Education with funding from the Wisconsin Alumni Research Foundation to M.A.S. Additional support was provided by the National Institutes of Health\u2019s (NIH) National Heart, Lung, and Blood Institute [T32 HL007899] to A.M.M, the NIH\u2019s National Institute on Aging [T32 AG000213] and MSTP funding [T32 GM140935] to M.F.A., and the Clinical and Translational Science Award program through the NIH\u2019s National Center for Advancing Translational Sciences (UL1TR002373 and KL2TR002374) to S.S.M.</t>
  </si>
  <si>
    <t xml:space="preserve">Schellekens G.A., de Jong B.A., van den Hoogen F.H., van de Putte L.B., van Venrooij W.J., Citrulline is an essential constituent of antigenic determinants recognized by rheumatoid arthritis-specific autoantibodies, J. Clin. Investig, 101, pp. 273-281, (1998); Barra L., Pope J.E., Orav J.E., Boire G., Haraoui B., Hitchon C., Keystone E.C., Thorne J.C., Tin D., Bykerk V.P., Et al., Prognosis of seronegative patients in a large prospective cohort of patients with early inflammatory arthritis, J. Rheumatol, 41, pp. 2361-2369, (2014); Deodhar A., Mittal M., Reilly P., Bao Y., Manthena S., Anderson J., Joshi A., Ankylosing spondylitis diagnosis in US patients with back pain: Identifying providers involved and factors associated with rheumatology referral delay, Clin. Rheumatol, 35, pp. 1769-1776, (2016); Pratt A.G., Lendrem D., Hargreaves B., Aslam O., Galloway J.B., Isaacs J.D., Components of treatment delay in rheumatoid arthritis differ according to autoantibody status: Validation of a single-centre observation using national audit data, Rheumatology, 55, pp. 1843-1848, (2016); Seo M.R., Baek H.L., Yoon H.H., Ryu H.J., Choi H.J., Baek H.J., Ko K.P., Delayed diagnosis is linked to worse outcomes and unfavourable treatment responses in patients with axial spondyloarthritis, Clin. Rheumatol, 34, pp. 1397-1405, (2015); Ward D.J., Johnson G.D., Holborow E.J., Antinuclear Factor in Rheumatoid Arthritis, Its Incidence and Clinical Significance, Ann. Rheum. Dis, 23, pp. 306-310, (1964); Beck J.S., Anderson J.R., Bloch K.J., Buchanan W.W., Bunim J.J., Antinuclear and Precipitating Auto-Antibodies in Sjoegren’s Syndrome, Ann. Rheum. Dis, 24, pp. 16-22, (1965); Selmi C., Ceribelli A., Generali E., Scire C.A., Alborghetti F., Colloredo G., Porrati L., Achenza M.I., De Santis M., Cavaciocchi F., Et al., Serum antinuclear and extractable nuclear antigen antibody prevalence and associated morbidity and mortality in the general population over 15 years, Autoimmun. Rev, 15, pp. 162-166, (2016); van Beers J., Schreurs M.W.J., Anti-Sm antibodies in the classification criteria of systemic lupus erythematosus, J. Transl. Autoimmun, 5, (2022); Isenberg D.A., Manson J.J., Ehrenstein M.R., Rahman A., Fifty years of anti-ds DNA antibodies: Are we approaching journey’s end?, Rheumatology, 46, pp. 1052-1056, (2007); Engmark M., Andersen M.R., Laustsen A.H., Patel J., Sullivan E., de Masi F., Hansen C.S., Kringelum J.V., Lomonte B., Gutierrez J.M., Et al., High-throughput immuno-profiling of mamba (Dendroaspis) venom toxin epitopes using high-density peptide microarrays, Sci. Rep, 6, (2016); Hansen C.S., Dufva M., Bogh K.L., Sullivan E., Patel J., Eiwegger T., Szepfalusi Z., Nielsen M., Christiansen A., Linear epitope mapping of peanut allergens demonstrates individualized and persistent antibody-binding patterns, J. Allergy Clin. Immunol, 138, pp. 1728-1730, (2016); Duarte J.G., Blackburn J.M., Advances in the development of human protein microarrays, Expert. Rev. Proteom, 14, pp. 627-641, (2017); Benjamini Y., Hochberg Y., Controlling the false discovery rate: A practical and powerful approach to multiple testing, J. R. Stat. Soc. Ser. B Methodol, 57, pp. 289-300, (1995); Storey J.D., A direct approach to false discovery rates, J. R. Stat. Soc. Ser. B Stat. Methodol, 78, pp. 781-804, (2002); Stephens M., False discovery rates: A new deal, Biostatistics, 18, pp. 275-294, (2017); Zheng Z., Mergaert A.M., Ong I.M., Shelef M.A., Newton M.A., MixTwice: Large-scale hypothesis testing for peptide arrays by variance mixing, Bioinformatics, 37, pp. 2637-2643, (2021); Mergaert A.M., Zheng Z.H., Denny M.F., Amjadi M.F., Bashar S.J., Newton M.A., Malmstrom V., Gronwall C., McCoy S.S., Shelef M.A., Rheumatoid Factor and Anti-Modified Protein Antibody Reactivities Converge on IgG Epitopes, Arthritis Rheumatol, 74, pp. 984-991, (2022); Petri M., Orbai A.M., Alarcon G.S., Gordon C., Merrill J.T., Fortin P.R., Bruce I.N., Isenberg D., Wallace D.J., Nived O., Et al., Derivation and validation of the Systemic Lupus International Collaborating Clinics classification criteria for systemic lupus erythematosus, Arthritis Rheum, 64, pp. 2677-2686, (2012); Aletaha D., Neogi T., Silman A.J., Funovits J., Felson D.T., Bingham C.O., Birnbaum N.S., Burmester G.R., Bykerk V.P., Cohen M.D., Et al., 2010 Rheumatoid arthritis classification criteria: An American College of Rheumatology/European League Against Rheumatism collaborative initiative, Arthritis Rheum, 62, pp. 2569-2581, (2010); Shiboski S.C., Shiboski C.H., Criswell L., Baer A., Challacombe S., Lanfranchi H., Schiodt M., Umehara H., Vivino F., Zhao Y., Et al., American College of Rheumatology classification criteria for Sjogren’s syndrome: A data-driven, expert consensus approach in the Sjogren’s International Collaborative Clinical Alliance cohort, Arthritis Care Res, 64, pp. 475-487, (2012); Parker M., Zheng Z., Lasarev M.R., Larsen M.C., Vande Loo A., Alexandridis R.A., Newton M.A., Shelef M.A., McCoy S.S., Novel autoantibodies help diagnose anti-SSA antibody negative Sjogren disease and predict abnormal labial salivary gland pathology, Ann. Rheum. Dis, 83, pp. 1169-1180, (2024); Zheng Z., Mergaert A.M., Fahmy L.M., Bawadekar M., Holmes C.L., Ong I.M., Bridges A.J., Newton M.A., Shelef M.A., Disordered Antigens and Epitope Overlap Between Anti-Citrullinated Protein Antibodies and Rheumatoid Factor in Rheumatoid Arthritis, Arthritis Rheumatol, 72, pp. 262-272, (2020); Zandian A., Forsstrom B., Haggmark-Manberg A., Schwenk J.M., Uhlen M., Nilsson P., Ayoglu B., Whole-Proteome Peptide Microarrays for Profiling Autoantibody Repertoires within Multiple Sclerosis and Narcolepsy, J. Proteome Res, 16, pp. 1300-1314, (2017); Steen J., Forsstrom B., Sahlstrom P., Odowd V., Israelsson L., Krishnamurthy A., Badreh S., Mathsson Alm L., Compson J., Ramskold D., Et al., Human plasma cell derived monoclonal antibodies to post-translationally modified proteins recognize amino acid motifs rather than specific proteins, Arthritis Rheumatol, 71, pp. 196-209, (2018); Steffen W., Ko F.C., Patel J., Lyamichev V., Albert T., Benz J., Rudolph M.G., Bergmann F., Streidl T., Kratzsch P., Et al., Discovery of a microbial transglutaminase enabling highly site-specific labeling of proteins, J. Biol. Chem, 292, pp. 15622-15635, (2017); Breiman L., Random Forests, Mach. Learn, 45, pp. 5-32, (2001); Liaw A., Wiener M., Classification and regression by randomforest, R News, 2, pp. 18-22, (2002); Henderson N.C., Newton M.A., Making the cut: Improved ranking and selection for large-scale inference, J. R. Stat. Soc. Ser. B Stat. Methodol, 78, pp. 781-804, (2016); Bailey T.L., Johnson J., Grant C.E., Noble W.S., The MEME Suite, Nucleic Acids Res, 43, pp. W39-W49, (2015); Sahlstrom P., Hansson M., Steen J., Amara K., Titcombe P.J., Forsstrom B., Stalesen R., Israelsson L., Piccoli L., Lundberg K., Et al., Different hierarchies of anti-modified protein autoantibody reactivities in rheumatoid arthritis, Arthritis Rheumatol, 72, pp. 1643-1657, (2020); Heffron A.S., McIlwain S.J., Amjadi M.F., Baker D.A., Khullar S., Armbrust T., Halfmann P.J., Kawaoka Y., Sethi A.K., Palmenberg A.C., Et al., The landscape of antibody binding in SARS-CoV-2 infection, PLoS Biol, 19, (2021); Amjadi M.F., Adyniec R.R., Gupta S., Bashar S.J., Mergaert A.M., Braun K.M., Moreno G.K., O'Connor D.H., Friedrich T.C., Safdar N., Et al., Anti-membrane Antibodies Persist at Least One Year and Discriminate Between Past Coronavirus Disease 2019 Infection and Vaccination, J. Infect. Dis, 226, pp. 1897-1902, (2022); Koussiouris J., Chandran V., Autoantibodies in psoriatic disease, Adv. Clin. Chem, 115, pp. 135-174, (2023); Kim Y.G., Sohn D.H., Zhao X., Sokolove J., Lindstrom T.M., Yoo B., Lee C.K., Reveille J.D., Taurog J.D., Robinson W.H., Role of PPM1A and anti-PPM1A Autoantibodies in Ankylosing Spondylitis, Arthritis Rheumatol, 66, (2014); Wright C., Sibani S., Trudgian D., Fischer R., Kessler B., LaBaer J., Bowness P., Detection of multiple autoantibodies in patients with ankylosing spondylitis using nucleic acid programmable protein arrays, Mol. Cell Proteom, 11, (2012); Lee J.S., Lee E.J., Lee J.H., Hong S.C., Lee C.K., Yoo B., Oh J.S., Lee S.H., Kim T.J., Lee S.H., Et al., Autoantibodies against Protein Phosphatase Magnesium-Dependent 1A as a Biomarker for Predicting Radiographic Progression in Ankylosing Spondylitis Treated with Anti-Tumor Necrosis Factor Agents, J. Clin. Med, 9, (2020); Chang M.H., Nigrovic P.A., Antibody-dependent and -independent mechanisms of inflammatory arthritis, JCI Insight, 4, (2019); De Stefano L., Bugatti S., Mazzucchelli I., Rossi S., Xoxi B., Bozzalla Cassione E., Luvaro T., Montecucco C., Manzo A., Synovial and serum B-cell signature of autoantibody-negative rheumatoid arthritis versus autoantibody-positive rheumatoid arthritis and psoriatic arthritis, Rheumatology, 63, pp. 1322-1331, (2023); Wu F.L., Lai D.Y., Ding H.H., Tang Y.J., Xu Z.W., Ma M.L., Guo S.J., Wang J.F., Shen N., Zhao X.D., Et al., Identification of Serum Biomarkers for Systemic Lupus Erythematosus Using a Library of Phage Displayed Random Peptides and Deep Sequencing, Mol. Cell Proteom, 18, pp. 1851-1863, (2019); Li X., Wang H.X., Yin X., Li X., Li H., Zhang X., Wang Z., Qiu Y.R., Screening epitope peptides based on a phage-displayed random peptide and peptide microarrays to contribute to improving the diagnostic efficiency of systemic lupus erythematosus, Immunol. Lett, 259, pp. 30-36, (2023); Stafford P., Sherma N.D., Peterson M., Diehnelt C.W., A Peptide Microarray Platform Approach for Discovery of Immunodominant Antibody Epitopes, Anal. Chem, 96, pp. 14524-14530, (2024); Focosi D., Spezia P.G., Maggi F., Subsequent Waves of Convergent Evolution in SARS-CoV-2 Genes and Proteins, Vaccines, 12, (2024); Peng M., Dou X., Zhang X., Yan M., Xiong D., Jiang R., Ou T., Tang A., Yu X., Zhu F., Et al., Protective antigenic epitopes revealed by immunosignatures after three doses of inactivated SARS-CoV-2 vaccine, Front. Immunol, 13, (2022)</t>
  </si>
  <si>
    <t xml:space="preserve">M.A. Shelef; Department of Medicine, University of Wisconsin-Madison, Madison, 53705, United States; email: mshelef@medicine.wisc.edu</t>
  </si>
  <si>
    <t xml:space="preserve">2-s2.0-85213545048</t>
  </si>
  <si>
    <t xml:space="preserve">Hien A.S.; Bayili K.; Maiga S.; Oumbouke W.; Birba J.; Soma D.D.; Ouattara A.Y.; Karama D.O.; Coleman M.; Snetselaar J.; Small G.; Niimi S.; Ayumi K.; Kompaoré S.; Tsuchiya K.; Dabiré R.K.; Diabaté A.</t>
  </si>
  <si>
    <t xml:space="preserve">Hien, Aristide Sawdetuo (57193500788); Bayili, Koama (57194040244); Maiga, Samina (57301988900); Oumbouke, Welbeck (57189102463); Birba, Jean (58072571300); Soma, Dieudonné Diloma (55921400700); Ouattara, Adissa Ya (59366740900); Karama, Delphine Ouissamien (59420766500); Coleman, Marlize (57196613480); Snetselaar, Janneke (56124806900); Small, Graham (7202142296); Niimi, Shinya (59366629900); Ayumi, Kawase (59367054400); Kompaoré, Sidzabda (58547499200); Tsuchiya, Katsutoshi (59366525700); Dabiré, Roch Kounbobr (8530495000); Diabaté, Abdoulaye (6602721021)</t>
  </si>
  <si>
    <t xml:space="preserve">57193500788; 57194040244; 57301988900; 57189102463; 58072571300; 55921400700; 59366740900; 59420766500; 57196613480; 56124806900; 7202142296; 59366629900; 59367054400; 58547499200; 59366525700; 8530495000; 6602721021</t>
  </si>
  <si>
    <t xml:space="preserve">Long-lasting residual efficacy of a new indoor residual spraying product, VECTRON™ T500 (broflanilide), against pyrethroid-resistant malaria vectors and its acceptance in a community trial in Burkina Faso</t>
  </si>
  <si>
    <t xml:space="preserve">Background: The WHO Global Malaria Programme advocates for a comprehensive, strategic approach to managing insecticide resistance, highlighting the importance of using multiple insecticides with different modes of action through rotations and combinations. To slow the spread of resistance, it is essential to develop and evaluate new formulations that feature unique modes of action and extended residual effects. Addressing this need, Mitsui Chemicals Crop &amp; Life Solutions, Inc., developed VECTRON™ T500, a new indoor residual spraying (IRS) formulation using broflanilide, applied at a dosage of 100 mg AI/m2. This formulation was tested in a Phase III community trial, alongside Actellic® 300CS, a commonly used IRS product containing pirimiphos-methyl, applied at the recommended dosage of 1000 mg AI/m2. Methods: Monthly WHO wall cone bioassays were performed to assess the efficacy of the interventions using three mosquito strains: the laboratory-bred, insecticide-susceptible Anopheles gambiae s.s. Kisumu strain, the insecticide-resistant Anopheles coluzzii VKPer strain, and wild Anopheles gambiae s.l. mosquitoes from the Vallée du Kou, where the study was conducted. Vector surveillance was carried out to compare the results between sites treated with VECTRON™ T500, Actellic® 300CS, and an untreated control site. In addition, any reported adverse effects were closely monitored to evaluate the community’s acceptance of VECTRON™ T500. Results: VECTRON™ T500 consistently achieved 100% mortality across all wall types for both susceptible and resistant mosquito strains over the 12-month period. In comparison, Actellic® 300CS induced &lt; 80% mortality for both strains, irrespective of the wall substrate. When assessing delayed mortality in An. gambiae s.l. mosquitoes collected from sites treated with Actellic® 300CS (VK1) and VECTRON™ T500 (VK3), a statistically significant difference was noted after a 72-h holding period compared to the control site (RR = 0.51, CI95% = [0.31–0.6], P = 0.0026). Additionally, no adverse events were reported in households sprayed with VECTRON™ T500. Conclusions: The residual efficacy of VECTRON™ T500 extended for 12 months post-spraying, effectively covering the full malaria transmission season while maintaining high mortality rates in pyrethroid-resistant malaria vectors. VECTRON™ T500 demonstrated non-inferiority in performance compared to Actellic® 300CS, the standard reference product. This new IRS formulation has the potential to play a crucial role in managing insecticide resistance by being integrated into a rotational strategy alongside other IRS products containing insecticides with different modes of action. Graphical Abstract: (Figure presented.) © The Author(s) 2024.</t>
  </si>
  <si>
    <t xml:space="preserve">surveillance and outbreak monitoring</t>
  </si>
  <si>
    <t xml:space="preserve">10.1186/s13071-024-06577-y</t>
  </si>
  <si>
    <t xml:space="preserve">https://www.scopus.com/inward/record.uri?eid=2-s2.0-85209927190&amp;doi=10.1186%2fs13071-024-06577-y&amp;partnerID=40&amp;md5=9193b9ed7c8f147fcecac99e9e10ecc3</t>
  </si>
  <si>
    <t xml:space="preserve">Institut de Recherches en Sciences de la Santé, Centre National de la Recherche Scientifique et Technologique, Ouagadougou, Burkina Faso; Innovative Vector Control Consortium (IVCC), Liverpool, United Kingdom; Mitsui Chemicals Crop &amp; amp; Life Solutions, Inc., Tokyo, Japan; Permanent Secretariat for Malaria Elimination, Ouagadougou, Burkina Faso</t>
  </si>
  <si>
    <t xml:space="preserve">Hien A.S., Institut de Recherches en Sciences de la Santé, Centre National de la Recherche Scientifique et Technologique, Ouagadougou, Burkina Faso; Bayili K., Institut de Recherches en Sciences de la Santé, Centre National de la Recherche Scientifique et Technologique, Ouagadougou, Burkina Faso; Maiga S., Institut de Recherches en Sciences de la Santé, Centre National de la Recherche Scientifique et Technologique, Ouagadougou, Burkina Faso; Oumbouke W., Innovative Vector Control Consortium (IVCC), Liverpool, United Kingdom; Birba J., Institut de Recherches en Sciences de la Santé, Centre National de la Recherche Scientifique et Technologique, Ouagadougou, Burkina Faso; Soma D.D., Institut de Recherches en Sciences de la Santé, Centre National de la Recherche Scientifique et Technologique, Ouagadougou, Burkina Faso; Ouattara A.Y., Institut de Recherches en Sciences de la Santé, Centre National de la Recherche Scientifique et Technologique, Ouagadougou, Burkina Faso; Karama D.O., Institut de Recherches en Sciences de la Santé, Centre National de la Recherche Scientifique et Technologique, Ouagadougou, Burkina Faso; Coleman M., Innovative Vector Control Consortium (IVCC), Liverpool, United Kingdom; Snetselaar J., Innovative Vector Control Consortium (IVCC), Liverpool, United Kingdom; Small G., Innovative Vector Control Consortium (IVCC), Liverpool, United Kingdom; Niimi S., Mitsui Chemicals Crop &amp; amp; Life Solutions, Inc., Tokyo, Japan; Ayumi K., Mitsui Chemicals Crop &amp; amp; Life Solutions, Inc., Tokyo, Japan; Kompaoré S., Permanent Secretariat for Malaria Elimination, Ouagadougou, Burkina Faso; Tsuchiya K., Mitsui Chemicals Crop &amp; amp; Life Solutions, Inc., Tokyo, Japan; Dabiré R.K., Institut de Recherches en Sciences de la Santé, Centre National de la Recherche Scientifique et Technologique, Ouagadougou, Burkina Faso; Diabaté A., Institut de Recherches en Sciences de la Santé, Centre National de la Recherche Scientifique et Technologique, Ouagadougou, Burkina Faso</t>
  </si>
  <si>
    <t xml:space="preserve">Actellic&lt;sup&gt;®&lt;/sup&gt; 300CS; Anopheles gambiaes.l; Burkina Faso; Efficacy; Indoor residual spraying; VECTRON&lt;sup&gt;™&lt;/sup&gt; T500</t>
  </si>
  <si>
    <t xml:space="preserve">Animals; Anopheles; Burkina Faso; Female; Humans; Insecticide Resistance; Insecticides; Malaria; Mosquito Control; Mosquito Vectors; Pyrethrins; broflanilide; cypermethrin; deltamethrin; diamide; insecticide; pyrethroid; unclassified drug; vectron t500; insecticide; pyrethroid; Anopheles gambiae; Article; bacterium identification; blood donor; community dwelling person; community trial; controlled study; coughing; disease surveillance; dizziness; enzyme linked immunosorbent assay; female; fever; headache; health care facility; human; indoor residual spraying; insomnia; LC50; malaria; malaria control; morbidity; mortality; nonhuman; Plasmodium falciparum; quality control; risk factor; skin irritation; vector control; virus transmission; vomiting; water availability; animal; Anopheles; Burkina Faso; clinical trial; drug effect; insecticide resistance; mosquito control; mosquito vector; phase 3 clinical trial; prevention and control; procedures</t>
  </si>
  <si>
    <t xml:space="preserve">cypermethrin, 52315-07-8, 65731-84-2, 66841-24-5, 67375-30-8; deltamethrin, 52918-63-5; diamide, 10465-78-8; Insecticides, ; Pyrethrins, </t>
  </si>
  <si>
    <t xml:space="preserve">Stata version 16 0 software, StataCorp, United States; vectron t500</t>
  </si>
  <si>
    <t xml:space="preserve">StataCorp, United States</t>
  </si>
  <si>
    <t xml:space="preserve">Mitsui Chemicals Crop &amp; Life Solutions, Inc</t>
  </si>
  <si>
    <t xml:space="preserve">This study was supported by Mitsui Chemicals Crop &amp; Life Solutions, Inc (MCCLS, Tokyo, Japan) through the Innovative Vector Control Consortium. The funders had no role in study design, data collection and analysis, decision to publish, or preparation of the manuscript. </t>
  </si>
  <si>
    <t xml:space="preserve">WHO Malaria Policy Advisory Group (MPAG) meeting, October 2022, (2022); Global plan for insecticide resistance management in malaria vectors, (2012); Oxborough R.M., Trends in US President’s Malaria Initiative-funded indoor residual spray coverage and insecticide choice in sub-Saharan Africa (2008–2015): urgent need for affordable, long-lasting insecticides, Malar J, 15, pp. 1-9, (2016); Tangena J.A.A., Hendriks C.M., Devine M., Tammaro M., Trett A.E., Williams I., Et al., Indoor residual spraying for malaria control in sub-Saharan Africa 1997 to 2017: an adjusted retrospective analysis, Malar J, 19, pp. 1-15, (2020); Antonio-Nkondjio C., Sonhafouo-Chiana N., Ngadjeu C.S., Doumbe-Belisse P., Talipouo A., Djamouko-Djonkam L., Et al., Review of the evolution of insecticide resistance in main malaria vectors in Cameroon from 1990 to 2017, Parasit Vectors, 10, pp. 1-14, (2017); Karunamoorthi K., Sabesan S., Insecticide resistance in insect vectors of disease with special reference to mosquitoes: a potential threat to global public health, Health Scope, 2, pp. 4-18, (2013); Elanga-Ndille E., Nouage L., Ndo C., Binyang A., Assatse T., Nguiffo-Nguete D., Et al., The G119S acetylcholinesterase (Ace-1) target site mutation confers carbamate resistance in the major malaria vector Anopheles gambiae from Cameroon: a challenge for the coming IRS Implementation, Genes, 10, (2019); Oxborough R.M., Kitau J., Jones R., Feston E., Matowo J., Mosha F.W., Et al., Long-lasting control of Anopheles arabiensis by a single spray application of micro-encapsulated pirimiphos-methyl (Actellic® 300 CS), Malar J, 13, pp. 1-16, (2014); Review of Pirimiphos-Methyl 300 CS, Chlorfenapyr 240, (2013); WHO prequalification vector control, (2020); Katsuta H., Nomura M., Wakita T., Daido H., Kobayashi Y., Kawahara A., Et al., Discovery of broflanilide, a novel insecticide, J Pestic Sci, 44, pp. 120-128, (2019); Lees R.S., Ambrose P., Williams J., Morgan J., Praulins G., Ingham V.A., Et al., Tenebenal: a meta-diamide with potential for use as a novel mode of action insecticide for public health, Malar J, 19, pp. 1-17, (2020); Mode of Action Classification Scheme, IRAC, 2019.Version 9.32019 January; Version 9.3.; Nakao T., Banba S., Broflanilide: a meta-diamide insecticide with a novel mode of action, Bioorg Med Chem, 24, pp. 372-377, (2016); Ngufor C., Govoetchan R., Fongnikin A., Vigninou E., Syme T., Akogbeto M., Et al., Efficacy of broflanilide (VECTRON T500), a new meta-diamide insecticide, for indoor residual spraying against pyrethroid-resistant malaria vectors, Sci Rep, 11, (2021); Bayili K., Ki H.D., Bayili B., Sow B., Ouattara A., Small G., Et al., Laboratory and experimental hut trial evaluation of VECTRON™ T500 for indoor residual spraying (IRS) against insecticide resistant malaria vectors in Burkina Faso, Gates Open Res, 6, (2022); Snetselaar J., Rowland M.W., Manunda B.J., Kisengwa E.M., Small G.J., Malone D.J., Et al., Efficacy of indoor residual spraying with broflanilide (TENEBENAL), a novel meta-diamide insecticide, against pyrethroid-resistant anopheline vectors in northern Tanzania: an experimental hut trial, PLoS ONE, 16, (2021); List of WHO prequalified vector control products, (2023); Govoetchan R., Odjo A., Todjinou D., Small G., Fongnikin A., Ngufor C., Investigating discriminating concentrations for monitoring susceptibility to broflanilide and cross resistance to other insecticide classes in Anopheles gambiae sensu lato, using the new WHO bottle bioassay method, PLoS ONE, 18, (2023); Portwood N.M., Shayo M.F., Tungu P.K., Mbewe N.J., Mlay G., Small G., Et al., multi-centre discriminating concentration determination of broflanilide and potential for cross-resistance to other public health insecticides in Anopheles vector populations, Sci Rep, 12, (2022); Ngufor C., Govoetchan R., Fongnikin A., Hueha C., Ahoga J., Syme T., Et al., Community evaluation of VECTRON™ T500, a broflanilide insecticide, for indoor residual spraying for malaria vector control in central Benin; a two arm non-inferiority cluster randomised trial, Sci Rep, 13, (2023); Cherileila T., Aristide H.S., Nadege K., Bazoma B., Abdoulaye O., Patrice T., Et al., Cholinesterase activity as an indicator of health risks among Kou Valley farmers, J Biosci Med, 12, pp. 71-86, (2024); Diabate A., Chandre F., Rowland M., Nguessan R., Duchon S., Dabire K.R., Et al., The indoor use of plastic sheeting pre-impregnated with insecticide for control of malaria vectors, Trop Med Int Health, 11, pp. 597-603, (2006); Dabire K.R., Diabate A., Djogbenou L., Ouari A., N'Guessan R., Ouedraogo J.B., Et al., Dynamics of multiple insecticide resistance in the malaria vector Anopheles gambiae in a rice growing area in South-Western Burkina Faso, Malar J, 7, pp. 1-9, (2008); Dabire K.R., Diabate A., Namountougou M., Toe K.H., Ouari A., Kengne P., Et al., Distribution of pyrethroid and DDT resistance and the L1014F kdr mutation in Anopheles gambiae sl from Burkina Faso (West Africa), Trans R Soc Trop Med Hyg, 103, pp. 1113-1120, (2009); Dabire K.R., Diabate A., Namontougou M., Djogbenou L., Kengne P., Simard F., Bass C., Et al., Distribution of insensitive acetylcholinesterase (ace-1R) in Anopheles gambiae sl populations from Burkina Faso (West Africa), Trop Med Int Health, 14, pp. 396-403, (2009); Namountougou M., Simard F., Baldet T., Diabate A., Ouedraogo J.B., Martin T., Et al., Multiple insecticide resistance in Anopheles gambiae sl populations from Burkina Faso, West Africa, PLoS ONE, 7, (2012); Soma D.D., Zogo B., Hien D.F.D.S., Hien A.S., Kabore D.A., Kientega M., Et al., Insecticide resistance status of malaria vectors Anopheles gambiae (sl) of southwest Burkina Faso and residual efficacy of indoor residual spraying with microencapsulated pirimiphos-methyl insecticide, Parasit Vectors, 14, pp. 1-9, (2021); Sumishield 50WG: World Health Organization., (2018); List of WHO Prequalified Vector Control Products, (2020); Gillies M.T., Coetzee M., A supplement to the Anophelinae of Africa South of the Sahara, Publ S Afr Inst Med Res, 55, pp. 1-143, (1987); Beier J.C., Perkins P.V., Wirtz R.A., Korus J., Diggs D., Et al., Bloodmeal identification by direct enzyme-linked immunosorbent assay (ELISA), tested on Anopheles (Diptera: Culicidae) in Kenya, J Med Entomol, 25, pp. 9-16, (1988); Santolamazza F., Mancini E., Simard F., Qi Y., Tu Z., Torre della A., Insertion polymorphisms of SINE200 retrotransposons within speciation islands of Anopheles gambiae molecular forms, Malar J, 7, pp. 1-10, (2008); Guidelines for testing mosquito adulticides for indoor residual spraying and treatment of mosquito nets (No. WHO/CDS/NTD/WHOPES/GCDPP/2006.3), World Health Organization, (2006); Brogdon W., Chan A., Guideline for evaluating insecticide resistance in vectors using the CDC bottle bioassay., (2010); Global manual for Evaluating Insecticide resistance in vectors using the CDC bottle bioassay, (2011); Global Plan for Insecticide Resistance Management in Malaria Vectors., (2012); World malaria report, (2022); Test procedures for insecticide resistance monitoring in malaria vector mosquitoes, (2016); Mnzava A.P., Knox T.B., Temu E.A., Trett A., Fornadel C., Hemingway J., Et al., Implementation of the global plan for insecticide resistance management in malaria vectors: progress, challenges and the way forward, Malar J, 14, pp. 1-9, (2015)</t>
  </si>
  <si>
    <t xml:space="preserve">A.S. Hien; Institut de Recherches en Sciences de la Santé, Centre National de la Recherche Scientifique et Technologique, Ouagadougou, Burkina Faso; email: aristide.hien@yahoo.fr</t>
  </si>
  <si>
    <t xml:space="preserve">2-s2.0-85209927190</t>
  </si>
  <si>
    <t xml:space="preserve">Zeba A.; Rajalingam A.; Sekar K.; Ganjiwale A.</t>
  </si>
  <si>
    <t xml:space="preserve">Zeba, Ayesha (57413685600); Rajalingam, Aruna (57221160444); Sekar, Kanagaraj (7006325915); Ganjiwale, Anjali (26633766000)</t>
  </si>
  <si>
    <t xml:space="preserve">57413685600; 57221160444; 7006325915; 26633766000</t>
  </si>
  <si>
    <t xml:space="preserve">Machine learning-based gene expression biomarkers to distinguish Zika and Dengue virus infections: implications for diagnosis</t>
  </si>
  <si>
    <t xml:space="preserve">Zika virus (ZIKV) and Dengue virus (DENV) infections cause severe disease in humans and are significant socio-economic burden worldwide. These flavivirus infections are difficult to diagnose serologically due to antigenic overlap. The phylogenetic analysis shows that ZIKV clusters with DENVs at a higher node of the phylogenetic tree with significant genomic and structural similarity. Our study aims to identify gene biomarkers for the classification of Dengue and Zika viral infections using machine learning algorithms and bioinformatics analysis. The gene expression count matrix for single-cell RNA sequencing dataset GSE110496 was analyzed using binary classifiers, namely Logistic regression, Support Vector Machines, Random Forest, and Decision trees. The GSE110496 dataset represents a unique study of the transcriptional and translational dynamics of DENV and ZIKV infections at 4-, 12-, 24-, and 48-h time points for human hepatoma (Huh7) cells. Out of which 24-h time point has been analyzed in this study, at the optimal threshold of viral molecules. Feature selection was performed using two different approaches Random Forest Classifier (RFC) for gene ranking and Recursive Feature Elimination (RFE). Out of which RFE, showed more accuracy and precision. The classification accuracy of 89.4% and the precision of 90% were obtained using selected 10 gene features. SCY1 Like Pseudokinase 3 (SCYL3), Chromosome 1 Open Reading Frame 112 (C1orf112), Complement factor H (CFH), Heme-binding protein 1 (HEBP1), Cadherin 1 (CDH1), Nibrin (NBN), Histone deacetylase 5 (HDAC5), nuclear receptor subfamily 0, group B, member 2 (NR0B2), Annexin A9 (ANXA9) and Alcohol dehydrogenase 6 (ADH6) are the proposed gene biomarkers in this study. The functional analysis of the reported biomarkers was performed using KEGG and GO with the WEB-based Gene SeT AnaLysis Toolkit (WebGestalt). The relationship of the selected biomarkers with DENV and ZIKV infections analyzed using a gene–gene interaction network showed important interactions for viral entry, replication, translation, and metabolic pathways. These biomarkers are potential diagnostic markers for DENV and ZIKV infections based on machine learning analysis and need further experimental validation. Graphical abstract: (Figure presented.). © The Author(s), under exclusive licence to Indian Virological Society 2024.</t>
  </si>
  <si>
    <t xml:space="preserve">VirusDisease</t>
  </si>
  <si>
    <t xml:space="preserve">10.1007/s13337-024-00885-8</t>
  </si>
  <si>
    <t xml:space="preserve">https://www.scopus.com/inward/record.uri?eid=2-s2.0-85200837273&amp;doi=10.1007%2fs13337-024-00885-8&amp;partnerID=40&amp;md5=517917577046e7c8c962b2c53b62808e</t>
  </si>
  <si>
    <t xml:space="preserve">Department of Life Science, Bangalore University, Karnataka, Bangalore, 560056, India; Laboratory for Structural Biology and Bio-Computing, Department of Computational and Data Sciences, Indian Institute of Science, Karnataka, Bangalore, 560012, India</t>
  </si>
  <si>
    <t xml:space="preserve">Zeba A., Department of Life Science, Bangalore University, Karnataka, Bangalore, 560056, India; Rajalingam A., Department of Life Science, Bangalore University, Karnataka, Bangalore, 560056, India; Sekar K., Laboratory for Structural Biology and Bio-Computing, Department of Computational and Data Sciences, Indian Institute of Science, Karnataka, Bangalore, 560012, India; Ganjiwale A., Department of Life Science, Bangalore University, Karnataka, Bangalore, 560056, India</t>
  </si>
  <si>
    <t xml:space="preserve">Biomarkers; Dengue; Machine learning; Single cell RNA sequencing; Zika</t>
  </si>
  <si>
    <t xml:space="preserve">alcohol dehydrogenase 6; annexin A9; biological marker; cadherin 1; chromosome 1 open reading frame 112; complement factor H; heme binding protein 1; histone deacetylase 5; nibrin; nuclear receptor subfamily 0 group B member 2; protein; scy1 like pseudokinase 3; unclassified drug; Article; binary classification; bioinformatics; controlled study; decision tree; dengue; feature selection; functional enrichment analysis; gene expression; gene interaction; gene ontology; gene set analysis; Huh-7 cell line; human; human cell; KEGG; liver cell carcinoma; logistic regression analysis; machine learning; metabolism; nonhuman; random forest; recursive feature elimination; single cell RNA seq; support vector machine; virus cell interaction; virus entry; virus replication; Zika fever</t>
  </si>
  <si>
    <t xml:space="preserve">complement factor H, 80295-65-4; protein, 67254-75-5</t>
  </si>
  <si>
    <t xml:space="preserve">University Grants Commission, UGC; Science and Engineering Research Board, SERB; Department of Science and Technology, Ministry of Science and Technology, India, DST; Minority Welfare Department; DST-TARE, (TAR/2022/000483); DST-KSTePS, (-15:2022-23/ 1011)</t>
  </si>
  <si>
    <t xml:space="preserve">Funding text 1: Anjali Ganjiwale acknowledges support from UGC Faculty Recharge Program, Govt. of India.; Funding text 2: Anjali Ganjiwale acknowledges research funding from SERB, Department of Science and Technology (DST-TARE) grant, TAR/2022/000483, Govt. of India. Ayesha Zeba acknowledges fellowship support from the Minority Welfare Department, Govt. of Karnataka, India. Aruna Rajalingam acknowledges fellowship support from DST-KSTePS (Award letter No.: DST/KSTePS/Ph.D. Fellowship/LIF-15:2022-23/ 1011), Govt. of Karnataka, India. </t>
  </si>
  <si>
    <t xml:space="preserve">Alvarado M.G., Schwartz D.A., Zika virus infection in pregnancy, microcephaly, and maternal and fetal health: what we think, what we know, and what we think we know, Arch Pathol Lab Med, 141, 1, pp. 26-32, (2017); Avirutnan P., Mehlhop E., Diamond M.S., Complement and its role in protection and pathogenesis of flavivirus infections, Vaccine, 30, 26 Suppl 8, pp. I100-I107, (2008); Baker A., Rohleder K.J., Hanakahi L.A., Ketner G., Adenovirus E4 34k and E1b 55k oncoproteins target host DNA ligase IV for proteasomal degradation, J Virol, 81, 13, pp. 7034-7040, (2007); Baldi P., Brunak S., Chauvin Y., Andersen C.A., Nielsen H., Assessing the accuracy of prediction algorithms for classification: an overview, Bioinformatics, 16, 5, pp. 412-424, (2000); Behura S.K., Gomez-Machorro C., Harker B.W., de Bruyn B., Lovin D.D., Hemme R.R., Et al., Global cross-talk of genes of the mosquito Aedes aegypti in response to Dengue virus infection, PLoS Negl Trop Dis, 5, 11, (2011); Boon C.J., van de Kar N.C., Klevering B.J., Keunen J.E., Cremers F.P., Klaver C.C., Et al., The spectrum of phenotypes caused by variants in the CFH gene, Mol Immunol, 46, 8-9, pp. 1573-1594, (2009); Bradley A.P., The use of the area under the ROC curve in the evaluation of machine learning algorithms, Pattern Recognit, 30, 7, pp. 1145-1159, (1997); Carney J.P., Maser R.S., Olivares H., Davis E.M., Le Beau M., Yates J.R., Hays L., Morgan W.F., Petrini J.H., The hMre11/hRad50 protein complex and Nijmegen breakage syndrome: linkage of double-strand break repair to the cellular DNA damage response, Cell, 93, 3, pp. 477-486, (1998); Carod-Artal F.J., Neurological complications of Zika virus infection, Expert Rev Anti Infect Ther, 16, 5, pp. 399-410, (2018); Chen T., Zhang B., Ziegenhals T., Prusty A.B., Frohler S., Grimm C., Et al., A missense mutation in SNRPE linked to non-syndromal microcephaly interferes with U snRNP assembly and pre-mRNA splicing, PLoS Genet, 15, 10, (2019); Chiu H.C., Huang W.R., Liao T.L., Wu H.Y., Munir M., Shih W.L., Et al., Suppression of vimentin phosphorylation by the avian reovirus p17 through inhibition of CDK1 and Plk1 impacting the G2/M phase of the cell cycle, PLoS ONE, 11, 9, (2016); Chua J.J.E., HEBP1 - an early trigger for neuronal cell death and circuit dysfunction in Alzheimer’s disease, Semin Cell Dev Biol, 139, pp. 102-110, (2023); Dachert C., Gladilin E., Binder M., Gene expression profiling of different huh7 variants reveals novel hepatitis C Virus Host Factors, Viruses, 12, 1, (2019); van Dijk D., Sharma R., Nainys J., Yim K., Kathail P., Carr A.J., Et al., Recovering gene interactions from single-cell data using data diffusion, Cell, 174, 3, pp. 716-729, (2018); Edogbanya J., Tejada-Martinez D., Jones N.J., Jaiswal A., Bell S., Cordeiro R., Et al., Evolution, structure and emerging roles of C1ORF112 in DNA replication, DNA damage responses, and cancer, Cell Mol Life Sci, 78, 9, pp. 4365-4376, (2021); Farfan-Morales C.N., Cordero-Rivera C.D., Reyes-Ruiz J.M., Hurtado-Monzon A.M., Osuna-Ramos J.F., Gonzalez-Gonzalez A.M., Et al., Anti-flavivirus properties of lipid-lowering drugs, Front Physiol, 7, 12, (2021); Gall T.M., Frampton A.E., Gene of the month: E-cadherin (CDH1), J Clin Pathol, 66, 11, pp. 928-932, (2013); Goebeler V., Ruhe D., Gerke V., Rescher U., Atypical properties displayed by annexin A9, a novel member of the annexin family of Ca(2+) and lipid binding proteins, FEBS Lett, 546, 2-3, pp. 359-364, (2003); Goodfellow B.J., Freire F., Carvalho A.L., Aveiro S.S., Charbonnier P., Moulis J.M., Et al., The SOUL family of heme-binding proteins: structure and function 15 years later, Coord Chem Rev, 1, 448, (2021); Gubler D.J., Dengue and Dengue hemorrhagic fever, Clin Microbiol Rev, 11, 3, pp. 480-496, (1998); Herbein G., Wendling D., Histone deacetylases in viral infections, Clin Epigenet, 1, 1-2, pp. 13-24, (2010); Jung G.S., Jeon J.H., Choi Y.K., Jang S.Y., Park S.Y., Kim M.K., Et al., Small heterodimer partner attenuates profibrogenic features of hepatitis C virus-infected cells, Liver Int, 35, 10, pp. 2233-2245, (2015); Keating J.A., Striker R., Phosphorylation events during viral infections provide potential therapeutic targets, Rev Med Virol, 22, 3, pp. 166-181, (2012); Khan M.B., Yang Z.S., Lin C.Y., Hsu M.C., Urbina A.N., Assavalapsakul W., Et al., Dengue overview: an updated systemic review, J Infect Public Health, 16, 10, pp. 1625-1642, (2023); Kuliyev E., Gingras S., Guy C.S., Howell S., Vogel P., Pelletier S., Overlapping role of SCYL1 and SCYL3 in maintaining motor neuron viability, J Neurosci, 38, 10, pp. 2615-2630, (2018); Lee H.K., Lee Y.K., Park S.H., Kim Y.S., Park S.H., Lee J.W., Et al., Structure and expression of the orphan nuclear receptor SHP gene, J Biol Chem, 273, 23, pp. 14398-14402, (1998); Li G.H., Ning Z.J., Liu Y.M., Li X.H., Neurological manifestations of Dengue infection, Front Cell Infect Microbiol, 25, 7, (2017); Liao Y., Wang J., Jaehnig E.J., Shi Z., Zhang B., WebGestalt 2019: gene set analysis toolkit with revamped UIs and APIs, Nucleic Acids Res, 47, W1, pp. W199-W205, (2019); Lin M.V., King L.Y., Chung R.T., Hepatitis C virus-associated cancer, Annu Rev Pathol, 10, pp. 345-370, (2015); Lin D.C., Weng S.C., Tsao P.N., Chu J.J.H., Shiao S.H., Co-infection of Dengue and Zika viruses mutually enhances viral replication in the mosquito Aedes aegypti, Parasit Vectors, 16, 1, (2023); Loeffler F.F., Viana I.F.T., Fischer N., Coelho D.F., Silva C.S., Purificacao A.F., Et al., Identification of a Zika NS2B epitope as a biomarker for severe clinical phenotypes, RSC Med Chem, 12, 9, pp. 1525-1539, (2021); Lucchese G., Kanduc D., Zika virus and autoimmunity: from microcephaly to Guillain-Barré syndrome, and beyond, Autoimmun Rev, 15, 8, pp. 801-808, (2016); McKinsey T.A., Zhang C.L., Olson E.N., Activation of the myocyte enhancer factor-2 transcription factor by calcium/calmodulin-dependent protein kinase-stimulated binding of 14–3-3 to histone deacetylase 5, Proc Natl Acad Sci U S A, 97, 26, pp. 14400-14405, (2000); Moni M.A., Lio' P., Genetic profiling and comorbidities of Zika infection, J Infect Dis, 216, 6, pp. 703-712, (2017); Morgan R.O., Fernandez M.P., Annexin gene structures and molecular evolutionary genetics, Cell Mol Life Sci, 53, 6, pp. 508-515, (1997); Mukhopadhyay S., Kuhn R.J., Rossmann M.G., A structural perspective of the flavivirus life cycle, Nat Rev Microbiol, 3, 1, pp. 13-22, (2005); Musso D., Gubler D.J., Zika virus, Clin Microbiol Rev, 29, 3, pp. 487-524, (2016); Nascimento E.J., Silva A.M., Cordeiro M.T., Brito C.A., Gil L.H., Braga-Neto U., Et al., Alternative complement pathway deregulation is correlated with Dengue severity, PLoS ONE, 4, 8, (2009); Olais H., Ruiz Jimenez F., Del Angel R., Histone Deacetylase inhibition impairs Dengue virus replication, In: 35Th Annual Meeting of American Society for Virology, (2016); Pastor A.F., Rodrigues Moura L., Neto J.W., Nascimento E.J., Calzavara-Silva C.E., Gomes A.L., Et al., Complement factor H gene (CFH) polymorphisms C-257T, G257A and haplotypes are associated with protection against severe Dengue phenotype, possible related with high CFH expression, Hum Immunol, 74, 9, pp. 1225-1230, (2013); Pedregosa F., Varoquaux G., Gramfort A., Michel V., Thirion B., Grisel O., Et al., Scikit-learn: machine learning in python, J Mach Learn Res, 12, pp. 2825-2830, (2011); Pinedo-Carpio E., Dessapt J., Villot R., Sacre L., Malina A., Boulais J., Et al., C1orf112 is a novel regulator of interstrand crosslink that decreases FIGNL1-RAD51 interaction, bioRxiv, 82, (2022); Pombo J.P., Sanyal S., Perturbation of intracellular cholesterol and fatty acid homeostasis during flavivirus infections, Front Immunol, 4, 9, (2018); Puerta-Guardo H., Raya-Sandino A., Gonzalez-Mariscal L., Rosales V.H., Ayala-Davila J., Chavez-Mungia B., Et al., The cytokine response of U937-derived macrophages infected through antibody-dependent enhancement of Dengue virus disrupts cell apical-junction complexes and increases vascular permeability, J Virol, 87, 13, pp. 7486-7501, (2013); Puerta-Guardo H., Tabata T., Petitt M., Dimitrova M., Glasner D.R., Pereira L., Et al., Zika virus nonstructural protein 1 disrupts glycosaminoglycans and causes permeability in developing human placentas, J Infect Dis, 221, 2, pp. 313-324, (2020); Quicke K.M., Bowen J.R., Johnson E.L., McDonald C.E., Ma H., O'Neal J.T., Et al., Zika virus infects human placental macrophages, Cell Host Microbe, 20, 1, pp. 83-90, (2016); Rajalingam A., Mallasandra Krishnappa C., Shanker G., Ganjiwale A., Identification of autoantigen markers for SARS CoV-2 infection with machine learning-based feature selection: an insight into COVID symptoms, Coronaviruses, (2024); Rolfe A.J., Bosco D.B., Wang J., Nowakowski R.S., Fan J., Ren Y., Bioinformatic analysis reveals the expression of unique transcriptomic signatures in Zika virus infected human neural stem cells, Cell Biosci, 10, 6, (2016); Rosa-Fernandes L., Bedrat A., Dos Santos M.L.B., Pinto A.M.V., Lucena E., Silva T.P., Et al., Global RNAseq of ocular cells reveals gene dysregulation in both asymptomatic and with Congenital Zika Syndrome infants exposed prenatally to Zika virus, Exp Cell Res, 414, 2, (2022); Schator D., Gomez-Valero L., Buchrieser C., Rolando M., Patho-epigenetics: histone deacetylases as targets of pathogens and therapeutics, microLife, (2021); Scholkopf B., Smola A.J., Williamson R.C., Bartlett P.L., New support vector algorithms, Neural Comput, 12, 5, pp. 1207-1245, (2000); Sekaran S.D., Ismail A.A., Thergarajan G., Chandramathi S., Rahman S.K.H., Mani R.R., Et al., Host immune response against DENV and ZIKV infections, Front Cell Infect Microbiol, 8, 12, (2022); Seo Y., Kang Y., Ham Y., Kim M.H., Kim S.J., Yoon S.K., Jang S.K., Park J.B., Cho S., Kim J.H., PLK1-ELAVL1/HuR-miR-122 signaling facilitates hepatitis C virus proliferation, Proc Natl Acad Sci U S A, 119, 51, (2022); Shakespear M.R., Halili M.A., Irvine K.M., Fairlie D.P., Sweet M.J., Histone deacetylases as regulators of inflammation and immunity, Trends Immunol, 32, 7, pp. 335-343, (2011); Sherman K.E., Rouster S.D., Kong L.X., Aliota M.T., Blackard J.T., Dean G.E., Zika virus replication and cytopathic effects in liver cells, PLoS ONE, 14, 3, (2019); Silva M.M., Gil L.H., Marques E.T., Calzavara-Silva C.E., Potential biomarkers for the clinical prognosis of severe Dengue, Mem Inst Oswaldo Cruz, 108, 6, pp. 755-762, (2013); Slot F., Localization and Activity of Metalloendopeptidase EC3. 4.24. 15 (THOP1, (2003); Le Sommer C., Barrows N.J., Bradrick S.S., Pearson J.L., Garcia-Blanco M.A., G protein-coupled receptor kinase 2 promotes flaviviridae entry and replication, PLoS Negl Trop Dis, 6, 9, (2012); Sullivan A., Uff C.R., Isacke C.M., Thorne R.F., PACE-1, a novel protein that interacts with the C-terminal domain of ezrin, Exp Cell Res, 284, 2, pp. 224-238, (2003); Suwanprinya L., Morales N.P., Sanvarinda P., Dieng H., Okabayashi T., Morales Vargas R.E., Dengue virus-induced reactive oxygen species production in rat microglial cells, Jpn J Infect Dis, 70, 4, pp. 383-387, (2017); Trammell C.E., Goodman A.G., Host factors that control mosquito-borne viral infections in humans and their vector, Viruses, 13, 5, (2021); Varon R., Vissinga C., Platzer M., Cerosaletti K.M., Chrzanowska K.H., Saar K., Et al., Nibrin, a novel DNA double-strand break repair protein, is mutated in Nijmegen breakage syndrome, Cell, 93, 3, pp. 467-476, (1998); Vetter M.L., Rodgers M.A., Patricelli M.P., Yang P.L., Chemoproteomic profiling identifies changes in DNA-PK as markers of early Dengue virus infection, ACS Chem Biol, 7, 12, pp. 2019-2026, (2012); Virshup I., Rybakov S., Theis F.J., Wolf FA anndata: annotated data, bioRxiv, (2021); Warde-Farley D., Donaldson S.L., Comes O., Zuberi K., Badrawi R., Chao P., Et al., The GeneMANIA prediction server: biological network integration for gene prioritization and predicting gene function, Nucleic Acids Res, 38, suppl_2, pp. W214-W220, (2010); Wolf F.A., Angerer P., Theis F.J., SCANPY: large-scale single-cell gene expression data analysis, Genome Biol, 19, 1, (2018); Wu J., Nagy L.E., Wang L., The long and the small collide: LncRNAs and small heterodimer partner (SHP) in liver disease, Mol Cell Endocrinol, 15, 528, (2021); Xu L., Ali M., Duan W., Yuan X., Garba F., Mullen M., Et al., Feedback control of PLK1 by Apolo1 ensures accurate chromosome segregation, Cell Rep, 36, 2, (2021); Yasunami M., Chen C.S., Yoshida A., A human alcohol dehydrogenase gene (ADH6) encoding an additional class of isozyme, Proc Natl Acad Sci U S A, 88, 17, pp. 7610-7614, (1991); Yuk J.M., Shin D.M., Lee H.M., Kim J.J., Kim S.W., Jin H.S., Et al., The orphan nuclear receptor SHP acts as a negative regulator in inflammatory signaling triggered by Toll-like receptors, Nat Immunol, 12, 8, pp. 742-751, (2011); Zanini F., Pu S.Y., Bekerman E., Einav S., Quake S.R., Single-cell transcriptional dynamics of flavivirus infection, Elife, 16, 7, (2018); Zhang Y., Hagedorn C.H., Wang L., Role of nuclear receptor SHP in metabolism and cancer, Biochim Biophys Acta, 1812, 8, pp. 893-908, (2011); Zhu X.D., Kuster B., Mann M., Petrini J.H., de Lange T., Cell-cycle-regulated association of RAD50/MRE11/NBS1 with TRF2 and human telomeres, Nat Genet, 25, 3, pp. 347-352, (2000)</t>
  </si>
  <si>
    <t xml:space="preserve">A. Ganjiwale; Department of Life Science, Bangalore University, Bangalore, Karnataka, 560056, India; email: anjalig@bub.ernet.in</t>
  </si>
  <si>
    <t xml:space="preserve">2-s2.0-85200837273</t>
  </si>
  <si>
    <t xml:space="preserve">Zhang X.</t>
  </si>
  <si>
    <t xml:space="preserve">Zhang, Xinren (59146523100)</t>
  </si>
  <si>
    <t xml:space="preserve">Machine-learning-based analysis of biomedical time-series data: The monitoring and prediction of disease progression</t>
  </si>
  <si>
    <t xml:space="preserve">This study examines the spatial and temporal patterns of influenza and malaria incidence using an ARMA-BP combination model. The approach employs the dynamic series method to identify epidemic patterns of these diseases while assessing serial autocorrelation coefficients, performing randomness tests, and establishing a forecasting model. Additionally, it evaluates the impact of seasonal and meteorological factors on the epidemiology of influenza and malaria to ascertain the model's efficacy in predicting incidence rates and trends. The findings indicate that the peak period for influenza incidence typically occurs during the transition from winter to spring, specifically between weeks 2 and 14. The correlation coefficients between temperature variables and malaria incidence generally ranged from 0.7 to 0.9. The ARMA-BP model demonstrated robust short-term predictive capabilities for influenza, showing a high degree of concordance in predictions for 2021 and 2022, though it performed less satisfactorily for 2023. For malaria, the predicted and actual incidence trends were largely consistent, with prediction errors consistently below 0.01. Consequently, this underscores the need for enhanced data collection on factors influencing disease dynamics. This research provides valuable decision-making support, scientific insights, and theoretical guidance for enhancing disease monitoring and prediction strategies. © 2024 Xinren Zhang, published by Sciendo.</t>
  </si>
  <si>
    <t xml:space="preserve">Applied Mathematics and Nonlinear Sciences</t>
  </si>
  <si>
    <t xml:space="preserve">Sciendo</t>
  </si>
  <si>
    <t xml:space="preserve">10.2478/amns-2024-1223</t>
  </si>
  <si>
    <t xml:space="preserve">https://www.scopus.com/inward/record.uri?eid=2-s2.0-85194383917&amp;doi=10.2478%2famns-2024-1223&amp;partnerID=40&amp;md5=eeaf5687d6339670414b00a6c86a1366</t>
  </si>
  <si>
    <t xml:space="preserve">Shandong University of Finance and Economics, Shandong, Ji'nan, 250002, China</t>
  </si>
  <si>
    <t xml:space="preserve">Zhang X., Shandong University of Finance and Economics, Shandong, Ji'nan, 250002, China</t>
  </si>
  <si>
    <t xml:space="preserve">ARMA-BP model; Predicted incidence rate; Randomness test; Seasonal factors; Spatiotemporal distribution</t>
  </si>
  <si>
    <t xml:space="preserve">Decision making; Diseases; Machine learning; Random processes; Time series analysis; ARMA-BP model; BP model; Disease progression; Incidence rate; Machine-learning; Predicted incidence rate; Randomness test; Seasonal factors; Spatiotemporal distributions; Time-series data; Forecasting</t>
  </si>
  <si>
    <t xml:space="preserve">Gyurkovics, Mate, Balota, David A., Jackson, Et al., Mind-wandering in healthy aging and early stage alzheimer's disease, Neuropsychology, (2018); Jardim T.V., Witham M.D., Abrahams-Gessel S., Xavier G.F., Tollman S., Berkman L., Et al., Cardiovascular disease profile of the oldest adults in rural south africa: Data from the haalsi study (health and aging in africa: Longitudinal studies of indepth communities), Journal of the American Geriatrics Society, 66, (2018); Yang W., Tan B., Si Y., Lou B., Vivian W.Q.C., Zhuo A., Fletcher X., Rupertcarrino J., Hu L., Zhang B., Hu A., Yixiao M., Understanding health and social challenges for aging and long-term care in china, Research on Aging, 43, 3, (2021); Kijowski R., Liu F., Caliva F., Pedoia V., Deep learning for lesion detection, progression, and prediction of musculoskeletal disease, Journal of Magnetic Resonance Imaging, (2019); Huang C., Wang J., Applicable artificial intelligence for brain disease: A survey, Neurocomputing, (2022); Allan S., Olaiya R., Burhan R., Reviewing the use and quality of machine learning in developing clinical prediction models for cardiovascular disease, Postgraduate Medical Journal, postgradmedj-2020-139352, (2021); Sun R., Xia X., Wang M.H., Polygenic risk scores and epistatic components for alzheimer's disease prediction, Genetic Epidemiology., 7, (2019); Thangavelu G., Selvarajan S., Ovarian cancer disease prediction and categorization its level using hybrid classification approach, Research Journal of Biotechnology, 2017, 2, pp. 220-228, (2017); Phillips Aled O.F., David A.P., Soharainer S., Timothy H., Derivation of a prediction model for emergency department acute kidney injury, The American Journal of Emergency Medicine, 40, 1, (2021); Li D., Li Y., Ye Z., Ibrahim M., Jeong S.P., An effective risk factor detection and disease prediction (rfd-dp) model applied to hypertension, Journal of Universal Computer Science, 24, 9, pp. 1192-1216, (2018); Siddiqui S., Ahmad A., Fatima N., Iot-based disease prediction using machine learning, Computers &amp; Electrical Engineering, 108, (2023); Yuan X., Chen J., Zhang K., Wu Y., Yang T., A stable ai-based binary and multiple class heart disease prediction model for iomt, IEEE Transactions on Industrial Informatics, 18, 3, (2022); Shivakumar N., Chandrashekar A., Handa A.I., Lee R., Use of deep learning for detection, characterisation and prediction of metastatic disease from computerised tomography: A systematic review, Postgraduate Medical Journal, postgradmedj-2020-139620, (2021); Masud M., Alhumyani H., Alshamrani S.S., Cheikhrouhou O., Shorfuzzaman M., Leveraging deep learning techniques for malaria parasite detection using mobile application, Wireless Communications and Mobile Computing, 2020, 2, pp. 1-15, (2020); Deng C., Perkowski M., A general data mining methodology based on a weighted hierarchical adaptive voting ensemble (whave) machine learning method, Journal of Multiple-valued Logic and Soft Computing, 28, 4-5, pp. 409-427, (2017); Jiang Q., Zhou X., Wang R., Ding W., Chu Y., Tang S., Et al., Intelligent monitoring for infectious diseases with fuzzy systems and edge computing: A survey, Applied Soft Computing(123-), 123, (2022); Wang X., Chang Y., Sugumaran V., Luo X., Zhang H., Implicit emotion relationship mining based on optimal and majority synthesis from multimodal data prediction, IEEE Multimedia, PP(99), (2021)</t>
  </si>
  <si>
    <t xml:space="preserve">X. Zhang; Shandong University of Finance and Economics, Ji'nan, Shandong, 250002, China; email: 18661550008@163.com</t>
  </si>
  <si>
    <t xml:space="preserve">Appl. Math. Nonlinear Sci.</t>
  </si>
  <si>
    <t xml:space="preserve">2-s2.0-85194383917</t>
  </si>
  <si>
    <t xml:space="preserve">Kebede R.A.; Yemane T.; Berihun G.A.; Lamesa T.A.; Regasa D.A.</t>
  </si>
  <si>
    <t xml:space="preserve">Kebede, Regassa Alemu (58616759200); Yemane, Tilahun (6506295322); Berihun, Gebeyaw Arega (56748045400); Lamesa, Tolera Ambisa (58617839200); Regasa, Dereje Abebe (58910180800)</t>
  </si>
  <si>
    <t xml:space="preserve">58616759200; 6506295322; 56748045400; 58617839200; 58910180800</t>
  </si>
  <si>
    <t xml:space="preserve">Magnitude, Associated Factors and Morphological Types of Anemia Among Hospitalized 6–59 Months Age Children at Jimma Medical Center, Southwest Ethiopia – A Hospital-Based Cross-Sectional Study</t>
  </si>
  <si>
    <t xml:space="preserve">Background: Anemia is among the major public health problems that cause significant morbidity and mortality among children around the world. Anemia in children of age 6 months to 5 years is a major health problem in most developing world countries with estimated prevalence of about 43%. Objective: To determine the magnitude, associated factors and morphological types of anemia among hospitalized 6–59 months age children from June 15 to October 15, 2022 at Jimma Medical Center, southwest Ethiopia. Methodology: Hospital-based cross-sectional study design was conducted from June 15 to October 15, 2022 at Jimma Medical Center, involving 383 hospitalized children aged 6–59 months by employing convenient sampling technique. Data of sociodemographic characteristics and other associated factors of the study individuals waere collected using a pre-structured questionnaire. Clinical data were collected by physical examination and from history of client by medical interns and nurses. Then 3 mL venous blood was collected and analyzed for complete blood count. Data were coded, cleared and entered into EpiData version 4.6 and exported to SPSS version 25 for analysis. Bivariable and multivariable binary logistic regression was used to identify associated factors. Results: The overall prevalence of anemia among hospitalized 6–59 months age children was 57.2%; out of them 30.82% were moderate. In the present study children with malaria infection, AOR = 1.15 (95% CI: 0.017, 0.781), Cchildren with severe malnutrition, AOR = 2.046 (95% CI: 0.306, 1.366), and children with low family income, AOR = 2.6 (95% CI 0.475, 0.894) were independent variables associated with anemia. Conclusion and Recommendation: Anemia among study participants is found to be a severe public health problem. Based on this finding, more intervention is needed with health education on nutrition and child feeding. © 2024 Kebede et al.</t>
  </si>
  <si>
    <t xml:space="preserve">10.2147/JBM.S442240</t>
  </si>
  <si>
    <t xml:space="preserve">https://www.scopus.com/inward/record.uri?eid=2-s2.0-85186237930&amp;doi=10.2147%2fJBM.S442240&amp;partnerID=40&amp;md5=e7081afec7807fcd4e9d9ab1c30bfbe1</t>
  </si>
  <si>
    <t xml:space="preserve">Department of Medical Laboratory, Institute of Health Science, Jimma University, South West, Jimma, Ethiopia; Department of Medical Laboratory, College of Health Science, Wolkite University, Central Part of Ethiopia, Wolkite, Ethiopia</t>
  </si>
  <si>
    <t xml:space="preserve">Kebede R.A., Department of Medical Laboratory, Institute of Health Science, Jimma University, South West, Jimma, Ethiopia; Yemane T., Department of Medical Laboratory, Institute of Health Science, Jimma University, South West, Jimma, Ethiopia; Berihun G.A., Department of Medical Laboratory, Institute of Health Science, Jimma University, South West, Jimma, Ethiopia; Lamesa T.A., Department of Medical Laboratory, Institute of Health Science, Jimma University, South West, Jimma, Ethiopia; Regasa D.A., Department of Medical Laboratory, College of Health Science, Wolkite University, Central Part of Ethiopia, Wolkite, Ethiopia</t>
  </si>
  <si>
    <t xml:space="preserve">6–59 months; anemia; magnitude; morphological types; southwest Ethiopia</t>
  </si>
  <si>
    <t xml:space="preserve">hemoglobin; anemia; anthropometry; arm circumference; Article; bivariate analysis; blood cell count; child; child nutrition; chronic disease; clinical study; cross-sectional study; data analysis; data quality; disease severity; Ethiopia; family income; female; food insecurity; gastroenteritis; health education; health status; hematology; hospital; hospitalized child; human; independent variable; infant; intestine parasite; Kolmogorov Smirnov test; laboratory test; logistic regression analysis; major clinical study; malaria; male; malnutrition; mean corpuscular volume; medical history; meningitis; multivariate logistic regression analysis; normochromic normocytic anemia; parasite examination; parasitemia; parasitosis; physical examination; Plasmodium vivax; pneumonia; prevalence; quality control; questionnaire; rural area; sample size; septicemia; sociodemographics; structured questionnaire; urban area; urinary tract infection; venous blood</t>
  </si>
  <si>
    <t xml:space="preserve">hemoglobin, 9008-02-0</t>
  </si>
  <si>
    <t xml:space="preserve">SPSS version 25</t>
  </si>
  <si>
    <t xml:space="preserve">Lanzkowsky P, Lipton J, Fish JD., Lanzkowsky’s Manual of Pediatric Hematology and Oncology, (2016); Pasricha SR, Black J, Muthayya S, Et al., Determinants of anemia among young children in rural India, Pediatrics, 126, 1, pp. e140-e149, (2010); Breiman RF, Olack B, Shultz A, Et al., Healthcare-use for major infectious disease syndromes in an informal settlement in Nairobi, Kenya, J Heal Popul Nutr, 29, 2, pp. 123-133, (2011); Ferry H, Virginia W., Evaluation of Anemia in Children, (2016); Cheesbrough M., District Laboratory Practice in Tropical Countries Part 2, (2006); Alamneh YM, Akalu TY, Shiferaw AA, Atnaf A., Magnitude of anemia and associated factors among children aged 6–59 months at Debre Markos referral hospital, Northwest Ethiopia: a hospital-based cross-sectional study, Ital J Pediatr, 47, 1, (2021); Clements ACA, Magalha RJS., Mapping the Risk of Anaemia in Preschool-Age Children: the Contribution of Malnutrition, Malaria, and Helminth Infections in West Africa, PLoS Med, 8, 6, (2011); Muoneke UV., Pediatrics &amp; Therapeutics Prevalence and Aetiology of Severe Anaemia, (2011); The global prevalence of anaemia in 2011, pp. 1-48, (2011); Chatterjee A, Bosch RJ, Kupka R, Hunter DJ, Msamanga GI, Fawzi WW., Predictors and consequences of anaemia among antiretroviral-naive HIV-infected and HIV-uninfected children in Tanzania, Public Health Nutr, 13, 2, pp. 289-296, (2010); Brabin BJ, Premji Z, Verhoeff F., An analysis of anemia and child mortality, J Nutr, 131, 2, (2001); Hasan M, Magalhaes RJS, Ahmed S, Pervin S, Fatima Y, Mamun AA., Geographical variation and temporal trend in anemia among children aged 6 – 59 months in low-and middle-income countries during 2000 – 2018: forecasting the 2030 SDG target, Pub Health Nutr, 24, 18, pp. 6236-6246, (2021); Neumann CG, Bwibo NO, Murphy SP, Et al., Animal source foods to improve micronutrient nutrition and human function in developing countries animal source foods improve dietary quality, micronutrient status, growth and cognitive function in Kenyan school children, J Nutr, 133, pp. 3941-3949, (2003); Maiga F, Hall A, Roschnik N, Et al., A randomised trial in Mali of the effectiveness of weekly iron supplements given by teachers on the haemoglobin concentrations of schoolchildren, Pub Health Nutr, 5, 3, pp. 413-418, (2002); Tatala SR, Kihamia CM., Risk factors for anemia in schoolchildren in Tanga region, Tanzania J Health Res, 10, (2008); Survey H., Ethiopia Demographic and Health survey 2016, (2016); Kebede D, Getaneh F, Endalamaw K, Belay T, Fenta A., Prevalence of anemia and its associated factors among under-five age children in Shanan gibe hospital, Southwest Ethiopia, BMC Pediatr, 21, 1, pp. 1-9, (2021); Nutrition Assessment, Counseling, and Support (NACS): a User’s Guide—Module 2: nutrition Assessment and Classification, Version 2, Nutr Assessment Couns Support, 2, pp. 1-12, (2016); Miers SL., Rodaks hematology 5th edition clinical and laboratory automated blood cell analysis, (2019); Paramastri R, Hsu CY, Lee HA, Lin LY, Kurniawan AL, Chao JCJ., Association between dietary pattern, lifestyle, anthropometric status, and anemia-related biomarkers among adults: a population-based study from 2001 to 2015, Int J Environ Res Public Health, 18, 7, pp. 1-15, (2021); Chan M., Haemoglobin concentrations for the diagnosis of anaemia and assessment of severity, pp. 1-6, (2011); Dos Santos RF, Gonzalez ESC, De albuquerque EC, Et al., Prevalence of anemia in under five-year-old children in a children’s hospital in Recife, Brazil, Rev Bras Hematol Hemoter, 33, 2, pp. 100-104, (2011); Narayan R, Singh S., Severity and frequency of anemia in different age group in 6 months to 5 years children: a prospective study at a teaching hospital in rural Haryana, India, Highlights Med Med Res, pp. 26-31, (2021); Poornima S, Balaji PR, Varne SR, Jayashree K, Saba F., Anemia among hospitalized children at a multispecialty hospital, Bangalore (Karnataka, India J Fam Med Prim Care, 3, 1, (2014); Simbauranga RH, Kamugisha E, Hokororo A, Kidenya BR, Makani J., Prevalence and factors associated with severe anaemia amongst under-five children hospitalized at Bugando Medical Centre, Mwanza, Tanzania, BMC Hematol, 15, 1, pp. 1-9, (2015); Mghanga FP, Genge CM, Yeyeye L, Et al., Magnitude, severity, and morphological types of anemia in hospitalized children under the age of five in Southern Tanzania, Cureus, 9, 7, (2017); Leal LP, Filho MB, de Lira PIC, Figueiroa JN, Osorio MM., Prevalence of anemia and associated factors in children aged 6–59 months in Pernambuco, Northeastern Brazil, Rev Saude Publica, 45, 3, pp. 457-466, (2011); Djokic D, Radojicic Z, Rakic L, Et al., Risk factors associated with anemia among Serbian school-age children 7–14 years old: results of the first national health survey, Hippokratia, 14, pp. 252-260, (2010); Ocan A, Oyet C, Webbo F, Mwambi B, Taremwa IM., Prevalence, morphological characterization, and associated factors of anemia among children below 5 years of age attending St. Mary’s hospital Lacor, Gulu district, northern Uganda, J Blood Med, 9, pp. 195-201, (2018); Gebereselassie Y, Birhanselassie M, Menjetta T, Alemu J, Tsegaye A., Magnitude, severity, and associated factors of anemia among under-five children attending hawassa university teaching and referral hospital, Hawassa, Southern Ethiopia, 2016, Anemia, 2020, (2020); Alemu GM, Ayalneh ST, Waye BG., Prevalence of anemia and associated risk factor among under-five children in ASELLA TEACHING AND REFERRAL HOSPITAL, ARSI UNIversity, Asella, Ethiopia, Res Sq, 10, 21, pp. 1-8, (2020); Adu-Amankwaah J, Allotey EA, Kwasie DA, Et al., Prevalence and morphological types of anaemia among children under-five years in the volta regional hospital of Ghana, OALib, pp. 1-10, (2018); Assefa S, Mossie A, Hamza L., Prevalence and severity of anemia among school children in Jimma Town, Southwest Ethiopia, BMC Hematol, 14, 1, (2014); Enawgaw B, Workineh Y, Tadesse S, Mekuria E, Addisu A, Genetu M., Prevalence of anemia and associated factors among hospitalized children attending the University of Gondar Hospital, Northwest Ethiopia, Electron J Int Fed Clin Chem Lab Med, 30, 1, pp. 35-47, (2019); Salami A, Bahmad HF, Ghssein G, Salloum L, Fakih H, De Re V., Prevalence of anemia among Lebanese hospitalized children: risk and protective factors, PLoS One, 13, 8, pp. 1-11, (2018); Batra J, Sood A., Iron deficiency anemia effect cognitive development of children: a review Jyoti Batra and Archana Sood Iron deficiency evolves slowly through several stages. Early iron deficiency caused a depletion in Author f, Indian J Clin Biochem, 20, 2, pp. 119-125, (2005); Awuor SO, Eric OO, Musyoki S, Et al., Morphological patterns of anemia among under five children on Prevention of Mother-To-Child Transmission (PMTCT) programmes in Masogo sub-county hospital, Kisumu county, Kenya, J Clin Images Med Case Rep, 2, 2, (2021); Alemu Y, Atomsa A., Hematology, (2006); Elmardi KA, Adam I, Malik EM, Et al., Anaemia prevalence and determinants in under 5 years children: findings of a cross-sectional population-based study in Sudan, BMC Pediatr, 20, 1, pp. 1-14, (2020)</t>
  </si>
  <si>
    <t xml:space="preserve">R.A. Kebede; Department of Medical Laboratory, Institute of Health Science, Jimma University, Jimma, South West, Ethiopia; email: regassa2007@gmail.com</t>
  </si>
  <si>
    <t xml:space="preserve">2-s2.0-85186237930</t>
  </si>
  <si>
    <t xml:space="preserve">Shashikiran S.; Sunitha H.D.</t>
  </si>
  <si>
    <t xml:space="preserve">Shashikiran, S. (58996290300); Sunitha, H.D. (58753383000)</t>
  </si>
  <si>
    <t xml:space="preserve">58996290300; 58753383000</t>
  </si>
  <si>
    <t xml:space="preserve">Malaria cell identification using improved machine learning and modified deep learning architecture</t>
  </si>
  <si>
    <t xml:space="preserve">Malaria continues to be a serious problem for public health because of its occurrence in tropical and subtropical areas with inadequate healthcare systems and few resources. For prompt intervention and treatment of malaria, effective and precise diagnosis is essential. Professional pathologists examine blood smear films by hand to get a microscopic diagnosis and another way they will do a rapid antigen malaria test which produces the result of 50% accuracy. Convolutional neural network (CNN) is a type of deep learning (DL) model that has been effectively used for a variety of image recognition applications. Our suggested approach uses, improved machine learning (IML) methods like support vector machine (SVM)+principal component analysis (PCA) fit, SVM+t-distributed stochastic neighbor embedding (t-SNE) fit, and CNN architecture with an accuracy of 86.23%, 88.27%, and 97.16% accuracy respectively, to combine feature extraction, data augmentation, and modify the layers by including the SVM algorithm in the final layer of the CNN architecture. The proposed method will significantly reduce pathologists' burden by automating the identification of malaria and improving diagnosis accuracy in resource-constrained contexts. © 2024 Institute of Advanced Engineering and Science. All rights reserved.</t>
  </si>
  <si>
    <t xml:space="preserve">Indonesian Journal of Electrical Engineering and Computer Science</t>
  </si>
  <si>
    <t xml:space="preserve">10.11591/ijeecs.v34.i3.pp2078-2086</t>
  </si>
  <si>
    <t xml:space="preserve">https://www.scopus.com/inward/record.uri?eid=2-s2.0-85191017733&amp;doi=10.11591%2fijeecs.v34.i3.pp2078-2086&amp;partnerID=40&amp;md5=3953cd3ffe1b4fae5f4cdb34f5c614ab</t>
  </si>
  <si>
    <t xml:space="preserve">Department of Electronics and Communication Engineering (ECE), R.R. Institute of Technology, Bangalore (RRIT Bangalore), Affiliated to Visvesveraya Technological University, Belagavi, India; Faculty at Department of ECE, New Horizon College of Engineering (NHCE), Bangalore, India</t>
  </si>
  <si>
    <t xml:space="preserve">Shashikiran S., Department of Electronics and Communication Engineering (ECE), R.R. Institute of Technology, Bangalore (RRIT Bangalore), Affiliated to Visvesveraya Technological University, Belagavi, India, Faculty at Department of ECE, New Horizon College of Engineering (NHCE), Bangalore, India; Sunitha H.D., Department of Electronics and Communication Engineering (ECE), R.R. Institute of Technology, Bangalore (RRIT Bangalore), Affiliated to Visvesveraya Technological University, Belagavi, India</t>
  </si>
  <si>
    <t xml:space="preserve">CNN; Data augmentation; Feature extraction; PCA; t-SNE</t>
  </si>
  <si>
    <t xml:space="preserve">World malaria report 2022, (2023); Agnandji S. T., Et al., Prostration and the prognosis of death in African children with severe malaria, International Journal of Infectious Diseases, 134, pp. 240-247, (2023); Jdey I., Hcini G., Ltifi H., Deep learning and machine learning for malaria detection: overview, challenges and future directions, International Journal of Information Technology &amp; Decision Making, pp. 1-32, (2023); Lee Y. W., Choi J. W., Shin E. H., Machine learning model for predicting malaria using clinical information, Computers in Biology and Medicine, 129, (2021); Poostchi M., Silamut K., Maude R. J., Jaeger S., Thoma G., Image analysis and machine learning for detecting malaria, Translational Research, 194, pp. 36-55, (2018); Maqsood A., Farid M. S., Khan M. H., Grzegorzek M., Deep malaria parasite detection in thin blood smear microscopic images, Applied Sciences (Switzerland), 11, 5, pp. 1-19, (2021); Rahman A., Et al., Improving malaria parasite detection from red blood cell using deep convolutional neural networks, (2019); Shal A., Gupta R., A comparative study on malaria cell detection using computer vision, Proceedings of the Confluence 2022 - 12th International Conference on Cloud Computing, Data Science and Engineering, pp. 548-552, (2022); Saleem S., Amin J., Sharif M., Mallah G. A., Kadry S., Gandomi A. H., Leukemia segmentation and classification: a comprehensive survey, Computers in Biology and Medicine, 150, (2022); Abdullah S. H., Abedi W. M. S., Hadi R. M., Enhanced feature selection algorithm for pneumonia detection, Periodicals of Engineering and Natural Sciences, 10, 6, pp. 168-180, (2022); Alharbi A. H., Aravinda C. V., Lin M., Ashwini B., Jabarulla M. Y., Shah M. A., Detection of peripheral malarial parasites in blood smears using deep learning models, Computational Intelligence and Neuroscience, 2022, pp. 1-11, (2022); Jabbar M. A. A., Radhi A. M., Diagnosis of malaria infected blood cell digital images using deep convolutional neural networks, Iraqi Journal of Science, 63, 1, pp. 380-396, (2022); Aljuaid A., Anwar M., Survey of supervised learning for medical image processing, SN Computer Science, 3, 4, (2022); Alshutbi M., Li Z., Alrifaey M., Ahmadipour M., Othman M. M., A hybrid classifier based on support vector machine and jaya algorithm for breast cancer classification, Neural Computing and Applications, 34, 19, pp. 16669-16681, (2022); Chinnamadha N., Ahmed R. Z., Kalegowda K., Development of health monitoring system using smart intelligent device, Indonesian Journal of Electrical Engineering and Computer Science, 28, 3, pp. 1381-1387, (2022); Mishra S., Kumar R., Tiwari S. K., Ranjan P., Machine learning approaches in the diagnosis of infectious diseases: a review, Bulletin of Electrical Engineering and Informatics, 11, 6, pp. 3509-3520, (2022); Magotra V., Rohil M. K., Malaria diagnosis using a lightweight deep convolutional neural network, International Journal of Telemedicine and Applications, 2022, pp. 1-8, (2022); Pattanaik P. A., Mittal M., Khan M. Z., Panda S. N., Malaria detection using deep residual networks with mobile microscopy, Journal of King Saud University - Computer and Information Sciences, 34, 5, pp. 1700-1705, (2022); Balaram A., Silparaj M., Gajula R., Detection of malaria parasite in thick blood smears using deep learning, Materials Today: Proceedings, 64, pp. 511-516, (2022); Kumari N. V., Garimella M., Bhan M., Image labeling using convolutional neural network, 2023 International Conference on Network, Multimedia and Information Technology, NMITCON 2023, pp. 1-5, (2023); Loh D. R., Yong W. X., Yapeter J., Subburaj K., Chandramohanadas R., A deep learning approach to the screening of malaria infection: automated and rapid cell counting, object detection and instance segmentation using Mask R-CNN, Computerized Medical Imaging and Graphics, 88, (2021); Chaganti S. Y., Nanda I., Pandi K. R., Prudhvith T. G., Kumar N., Image classification using SVM and CNN, 2020 International Conference on Computer Science, Engineering and Applications, ICCSEA 2020, pp. 1-5, (2020); Masud M., Et al., Leveraging deep learning techniques for malaria parasite detection using mobile application, Wireless Communications and Mobile Computing, 2020, pp. 1-15, (2020); Rajaraman S., Jaeger S., Antani S. K., Performance evaluation of deep neural ensembles toward malaria parasite detection in thin-blood smear images, PeerJ, 7, (2019); Kumar S., Priya S., Kumar A., Malaria detection using deep convolution neural network, (2023); Shewajo F. A., Fante K. A., Tile-based microscopic image processing for malaria screening using a deep learning approach, BMC Medical Imaging, 23, 1, (2023); Kotwal J. G., Kashyap R., Shafi P. M., Artificial driving based efficientnet for automatic plant leaf disease classification, Multimedia Tools and Applications, (2023); Jasti V. D. P., Et al., Computational technique based on machine learning and image processing for medical image analysis of breast cancer diagnosis, Security and Communication Networks, 2022, pp. 1-7, (2022); Alnussairi M. H. D., Ibrahim A. A., Malaria parasite detection using deep learning algorithms based on (CNNs) technique, Computers and Electrical Engineering, 103, (2022); Yu H., Et al., Patient-level performance evaluation of a smartphone-based malaria diagnostic application, Malaria Journal, 22, 1, (2023); NIH malaria dataset</t>
  </si>
  <si>
    <t xml:space="preserve">S. Shashikiran; Department of Electronics and Communication Engineering (ECE), R.R. Institute of Technology Bangalore (RRIT Bangalore), Affiliated to Visvesveraya Technological University, Belagavi, India; email: shashikiran067@gmail.com</t>
  </si>
  <si>
    <t xml:space="preserve">Indones. J. Electrical Eng. Comput. Sci.</t>
  </si>
  <si>
    <t xml:space="preserve">2-s2.0-85191017733</t>
  </si>
  <si>
    <t xml:space="preserve">Hong X.-G.; Zhu Y.; Wang T.; Chen J.-J.; Tang F.; Jiang R.-R.; Ma X.-F.; Xu Q.; Li H.; Wang L.-P.; Sun Y.; Fang L.-Q.; Liu W.</t>
  </si>
  <si>
    <t xml:space="preserve">Hong, Xue-Geng (58453578000); Zhu, Ying (56580640900); Wang, Tao (57768865300); Chen, Jin-Jin (57218117370); Tang, Fang (57203842605); Jiang, Rui-Ruo (56120698700); Ma, Xiao-Fang (58924985000); Xu, Qiang (57354874000); Li, Hao (57194160966); Wang, Li-Ping (18635889000); Sun, Yi (55737806700); Fang, Li-Qun (57215374511); Liu, Wei (57207220871)</t>
  </si>
  <si>
    <t xml:space="preserve">58453578000; 56580640900; 57768865300; 57218117370; 57203842605; 56120698700; 58924985000; 57354874000; 57194160966; 18635889000; 55737806700; 57215374511; 57207220871</t>
  </si>
  <si>
    <t xml:space="preserve">Mapping the distribution of sandflies and sandfly-associated pathogens in China</t>
  </si>
  <si>
    <t xml:space="preserve">Background Understanding and mapping the distribution of sandflies and sandfly-associated pathogens (SAPs) is crucial for guiding the surveillance and control effort. However, their distribution and the related risk burden in China remain poorly understood. Methods We mapped the distribution of sandflies and SAPs using literature data from 1940 to 2022. We also mapped the human visceral leishmaniasis (VL) cases using surveillance data from 2014 to 2018. The ecological drivers of 12 main sandfly species and VL were identified by applying machine learning, and their distribution and risk were predicted in three time periods (2021–2040, 2041–2060, and 2061–2080) under three scenarios of climate and socioeconomic changes. Results In the mainland of China, a total of 47 sandfly species have been reported, with the main 12 species classified into three clusters according to their ecological niches. Additionally, 6 SAPs have been identified, which include two protozoa, two bacteria, and two viruses. The incidence risk of different VL subtypes was closely associated with the distribution risk of specific vectors. The model predictions also revealed a substantial underestimation of the current sandfly distribution and VL risk. The predicted areas affected by the 12 major species of sandflies and the high-risk areas for VL were found to be 37.9–1121.0% and 136.6% larger, respectively, than the observed range in the areas. The future global changes were projected to decrease the risk of mountain-type zoonotic VL (MT-ZVL), but anthroponotic VL (AVL) and desert-type zoonotic VL (DT-ZVL) could remain stable or slightly increase. Conclusions Current field observations underestimate the spatial distributions of main sandfly species and VL in China. More active surveillance and field investigations are needed where high risks are predicted, especially in areas where the future risk of VL is projected to remain high or increase. © 2024 Hong et al.</t>
  </si>
  <si>
    <t xml:space="preserve">e0012291</t>
  </si>
  <si>
    <t xml:space="preserve">10.1371/journal.pntd.0012291</t>
  </si>
  <si>
    <t xml:space="preserve">https://www.scopus.com/inward/record.uri?eid=2-s2.0-85199015343&amp;doi=10.1371%2fjournal.pntd.0012291&amp;partnerID=40&amp;md5=e8385191067e37ac9d9b585d4acfce0b</t>
  </si>
  <si>
    <t xml:space="preserve">State Key Laboratory of Pathogen and Biosecurity, Academy of Military Medical Science, Beijing, China; Department of Epidemiology and Biostatistics, School of Public Health, Wuhan University, Wuhan, China; The 949th Chinese PLA Hospital, Altay, China; Center for Disease Control and Prevention of Chinese People’s Armed Police Forces, Beijing, China; Institute of NBC Defense, PLA Army, Beijing, China; Qingdao Municipal Center for Disease Control and Prevention, Qingdao, China; Center for Public Health Surveillance and Information Service, Chinese Center for Disease Control and Prevention, Beijing, China</t>
  </si>
  <si>
    <t xml:space="preserve">Hong X.-G., State Key Laboratory of Pathogen and Biosecurity, Academy of Military Medical Science, Beijing, China; Zhu Y., Department of Epidemiology and Biostatistics, School of Public Health, Wuhan University, Wuhan, China; Wang T., The 949th Chinese PLA Hospital, Altay, China; Chen J.-J., State Key Laboratory of Pathogen and Biosecurity, Academy of Military Medical Science, Beijing, China; Tang F., Center for Disease Control and Prevention of Chinese People’s Armed Police Forces, Beijing, China; Jiang R.-R., Institute of NBC Defense, PLA Army, Beijing, China; Ma X.-F., Qingdao Municipal Center for Disease Control and Prevention, Qingdao, China; Xu Q., State Key Laboratory of Pathogen and Biosecurity, Academy of Military Medical Science, Beijing, China; Li H., State Key Laboratory of Pathogen and Biosecurity, Academy of Military Medical Science, Beijing, China, Department of Epidemiology and Biostatistics, School of Public Health, Wuhan University, Wuhan, China; Wang L.-P., Center for Public Health Surveillance and Information Service, Chinese Center for Disease Control and Prevention, Beijing, China; Sun Y., State Key Laboratory of Pathogen and Biosecurity, Academy of Military Medical Science, Beijing, China; Fang L.-Q., State Key Laboratory of Pathogen and Biosecurity, Academy of Military Medical Science, Beijing, China; Liu W., State Key Laboratory of Pathogen and Biosecurity, Academy of Military Medical Science, Beijing, China</t>
  </si>
  <si>
    <t xml:space="preserve">Animal Distribution; Animals; China; Humans; Insect Vectors; Leishmaniasis, Visceral; Psychodidae; area under the curve; Article; China; controlled study; diagnostic test accuracy study; geographic distribution; geographic mapping; global change; infectious agent; Leishmania; machine learning; nonhuman; Phlebotominae; phylogenetic tree; population density; prediction; protozoon; Psychodidae; receiver operating characteristic; Rickettsia; risk factor; seasonal variation; sensitivity and specificity; Sergentomyia; socioeconomics; visceral leishmaniasis; zoonosis; animal; animal dispersal; epidemiology; human; insect vector; parasitology; Psychodidae</t>
  </si>
  <si>
    <t xml:space="preserve">China National Funds for Distinguished Young Scientists, (81825019); China National Funds for Distinguished Young Scientists; National Key Research and Development Program of China, NKRDPC, (2021YFC2302004); National Key Research and Development Program of China, NKRDPC</t>
  </si>
  <si>
    <t xml:space="preserve">This work was supported by the National Science Foundation for Distinguished Young Scholars of China (81825019 to WL) and National Key Research and Development Program of China (2021YFC2302004 to LQF). The funders had no role in study design, data collection and analysis, decision to publish, or preparation of the manuscript.</t>
  </si>
  <si>
    <t xml:space="preserve">Fact Sheet: Vector-Borne Diseases, (2020); Hotez PJ, Aksoy S, Brindley PJ, Kamhawi S., What constitutes a neglected tropical disease?, PLoS Negl Trop Dis, 14, 1, (2020); Kraemer MUG, Reiner RC, Brady OJ, Messina JP, Gilbert M, Pigott DM, Et al., Past and future spread of the arbovirus vectors Aedes aegypti and Aedes albopictus, Nat Microbiol, 4, 5, pp. 854-863, (2019); Wang T, Fan ZW, Ji Y, Chen JJ, Zhao GP, Zhang WH, Et al., Mapping the Distributions of Mosquitoes and Mosquito-Borne Arboviruses in China, Viruses, 14, 4, (2022); Cecilio P, Cordeiro-da-Silva A, Oliveira F., Sand flies: Basic information on the vectors of leishmaniasis and their interactions with Leishmania parasites, Commun Biol, 5, 1, (2022); Minnick MF, Anderson BE, Lima A, Battisti JM, Lawyer PG, Birtles RJ., Oroya fever and verruga peruana: bartonelloses unique to South America, PLoS Negl Trop Dis, 8, 7, (2014); Moriconi M, Rugna G, Calzolari M, Bellini R, Albieri A, Angelini P, Et al., Phlebotomine sand fly-borne pathogens in the Mediterranean Basin: Human leishmaniasis and phlebovirus infections, PLoS Negl Trop Dis, 11, 8, (2017); Alkan C, Bichaud L, de Lamballerie X, Alten B, Gould EA, Charrel RN., Sandfly-borne phleboviruses of Eurasia and Africa: epidemiology, genetic diversity, geographic range, control measures, Antiviral Res, 100, 1, pp. 54-74, (2013); Alvarez-Hernandez D-A, Rivero-Zambrano L, Martinez-Juarez L-A, Garcia-Rodriguez-Arana R., Overcoming the global burden of neglected tropical diseases, Ther Adv Infect Dis, 7, (2020); Lun ZR, Wu MS, Chen YF, Wang JY, Zhou XN, Liao LF, Et al., Visceral Leishmaniasis in China: an Endemic Disease under Control, Clin Microbiol Rev, 28, 4, pp. 987-1004, (2015); Zhou Z, Lyu S, Zhang Y, Li Y, Li S, Zhou XN., Visceral Leishmaniasis—China, 2015–2019, China CDC Wkly, 2, 33, pp. 625-628, (2020); Eyring V, Bony S, Meehl GA, Senior CA, Stevens B, Stouffer RJ, Et al., Overview of the Coupled Model Intercomparison Project Phase 6 (CMIP6) experimental design and organization, Geosci Model Dev, 9, 5, pp. 1937-1958, (2016); O'Neill BC, Kriegler E, Riahi K, Ebi KL, Hallegatte S, Carter TR, Et al., A new scenario framework for climate change research: the concept of shared socioeconomic pathways, Clim Change, 122, 3, pp. 387-400, (2014); Xiong GH, Jin CF, Guan LR., Chinese Sandflies, (2016); Jiang D, Ma T, Hao M, Qian Y, Chen S, Meng Z, Et al., Spatiotemporal patterns and spatial risk factors for visceral leishmaniasis from 2007 to 2017 in Western and Central China: A modelling analysis, Sci Total Environ, 764, (2021); Erguler K, Pontiki I, Zittis G, Proestos Y, Christodoulou V, Tsirigotakis N, Et al., A climate-driven and field data-assimilated population dynamics model of sand flies, Sci Rep, 9, 1, (2019); Guan LR, Zhou ZB, Jin CF, Fu Q, Chai JJ., Phlebotomine sand flies (Diptera: Psychodidae) transmitting visceral leishmaniasis and their geographical distribution in China: a review, Infect Dis Poverty, 5, (2016); Schisterman EF, Perkins NJ, Liu A, Bondell H., Optimal cut-point and its corresponding Youden Index to discriminate individuals using pooled blood samples, Epidemiology, 16, 1, pp. 73-81, (2005); Ruopp MD, Perkins NJ, Whitcomb BW, Schisterman EF., Youden Index and optimal cut-point estimated from observations affected by a lower limit of detection, Biom J, 50, 3, pp. 419-430, (2008); Hamilton LC., Statistics with Stata, (2009); Chen T, Guestrin C, XGBoost: A Scalable Tree Boosting System, Proceedings of the 22nd ACM SIGKDD International Conference on Knowledge Discovery and Data Mining, (2016); El Baidouri F, Diancourt L, Berry V, Chevenet F, Pratlong F, Marty P, Et al., Genetic structure and evolution of the Leishmania genus in Africa and Eurasia: what does MLSA tell us, PLoS Negl Trop Dis, 7, 6, (2013); Feng L., The Rôle of the Peritrophie Membrane in Leishmania and Trypanosome Infections of Sandflies, Peking Natural History Bulletin, 19, pp. 327-334, (1950); Li K, Chen H, Jiang J, Li X, Xu J, Ma Y., Diversity of bacteriome associated with Phlebotomus chinensis (Diptera: Psychodidae) sand flies in two wild populations from China, Sci Rep, 6, (2016); Wang J, Gou QY, Luo GY, Hou X, Liang G, Shi M., Total RNA sequencing of Phlebotomus chinensis sandflies in China revealed viral, bacterial, and eukaryotic microbes potentially pathogenic to humans, Emerging Microbes Infect, 11, 1, pp. 2080-2092, (2022); Wang J, Fu S, Xu Z, Cheng J, Shi M, Fan N, Et al., Emerging Sand Fly-Borne Phlebovirus in China, Emerg Infect Dis, 26, 10, pp. 2435-2438, (2020); Wang J, Fan N, Fu S, Cheng J, Wu B, Xu Z, Et al., Isolation and Characterization of Wuxiang Virus from Sandflies Collected in Yangquan County, Shanxi Province, China, Vector Borne Zoonotic Dis, 21, 6, pp. 446-457, (2021); Xu Z, Fan N, Hou X, Wang J, Fu S, Song J, Et al., Isolation and Identification of a Novel Phlebovirus, Hedi Virus, from Sandflies Collected in China, Viruses, 13, 5, (2021); Xu X, Cheng J, Fu S, Wang Q, Wang J, Lu X, Et al., Wuxiang Virus Is a Virus Circulated Naturally in Wuxiang County, China, Vector Borne Zoonotic Dis, 21, 4, pp. 289-300, (2021); Volf P, Volfova V., Establishment and maintenance of sand fly colonies, J Vector Ecol, 36, pp. S1-S9, (2011); Depaquit J, Grandadam M, Fouque F, Andry PE, Peyrefitte C., Arthropod-borne viruses transmitted by Phlebotomine sandflies in Europe: a review, Euro Surveill, 15, 10, (2010); Tesh RB., The genus Phlebovirus and its vectors, Annu Rev Entomol, 33, pp. 169-181, (1988); Wang Q, Fu S, Cheng J, Xu X, Wang J, Wu B, Et al., Re-isolation of Wuxiang Virus from Wild Sandflies Collected from Yangquan County, China, Virol Sin, 36, 5, pp. 1177-1186, (2021); Elith J, Leathwick JR, Hastie T., A working guide to boosted regression trees, J Anim Ecol, 77, 4, pp. 802-813, (2008); Ransom KM, Nolan BT, J AT, Faunt CC, Bell AM, Gronberg JAM, Et al., A hybrid machine learning model to predict and visualize nitrate concentration throughout the Central Valley aquifer, California, USA, Sci Total Environ, pp. 1160-602, (2017)</t>
  </si>
  <si>
    <t xml:space="preserve">2-s2.0-85199015343</t>
  </si>
  <si>
    <t xml:space="preserve">Islam M.S.; Shahrear P.; Saha G.; Ataullha M.; Rahman M.S.</t>
  </si>
  <si>
    <t xml:space="preserve">Islam, Md Shahidul (58617314900); Shahrear, Pabel (23036715300); Saha, Goutam (25636318600); Ataullha, Md (58612385600); Rahman, M. Shahidur (57212184271)</t>
  </si>
  <si>
    <t xml:space="preserve">58617314900; 23036715300; 25636318600; 58612385600; 57212184271</t>
  </si>
  <si>
    <t xml:space="preserve">Mathematical analysis and prediction of future outbreak of dengue on time-varying contact rate using machine learning approach</t>
  </si>
  <si>
    <t xml:space="preserve">This article introduces a novel mathematical model analyzing the dynamics of Dengue in the recent past, specifically focusing on the 2023 outbreak of this disease. The model explores the patterns and behaviors of dengue fever in Bangladesh. Incorporating a sinusoidal function reveals significant mid-May to Late October outbreak predictions, aligning with the government's exposed data in our simulation. For different amplitudes (A) within a sequence of values (A = 0.1 to 0.5), the highest number of infected mosquitoes occurs in July. However, simulations project that when βM = 0.5 and A = 0.1, the peak of human infections occurs in late September. Not only the next-generation matrix approach along with the stability of disease-free and endemic equilibrium points are observed, but also a cutting-edge Machine learning (ML) approach such as the Prophet model is explored for forecasting future Dengue outbreaks in Bangladesh. Remarkably, we have fitted our solution curve of infection with the reported data by the government of Bangladesh. We can predict the outcome of 2024 based on the ML Prophet model situation of Dengue will be detrimental and proliferate 25 % compared to 2023. Finally, the study marks a significant milestone in understanding and managing Dengue outbreaks in Bangladesh. © 2024</t>
  </si>
  <si>
    <t xml:space="preserve">10.1016/j.compbiomed.2024.108707</t>
  </si>
  <si>
    <t xml:space="preserve">https://www.scopus.com/inward/record.uri?eid=2-s2.0-85195695760&amp;doi=10.1016%2fj.compbiomed.2024.108707&amp;partnerID=40&amp;md5=71f3af58390062bd8d24444ee1c98874</t>
  </si>
  <si>
    <t xml:space="preserve">Department of Computer Science and Engineering, Green University of Bangladesh, Kanchon, 1460, Bangladesh; Department of Mathematics, Shahjalal University of Science and Technology, Sylhet, 3114, Bangladesh; Department of Mathematics, University of Dhaka, Dhaka, 1000, Bangladesh; Department of Computer Science and Engineering, Shahjalal University of Science and Technology, Sylhet, 3114, Bangladesh</t>
  </si>
  <si>
    <t xml:space="preserve">Islam M.S., Department of Computer Science and Engineering, Green University of Bangladesh, Kanchon, 1460, Bangladesh, Department of Mathematics, Shahjalal University of Science and Technology, Sylhet, 3114, Bangladesh, Department of Computer Science and Engineering, Shahjalal University of Science and Technology, Sylhet, 3114, Bangladesh; Shahrear P., Department of Mathematics, Shahjalal University of Science and Technology, Sylhet, 3114, Bangladesh; Saha G., Department of Mathematics, University of Dhaka, Dhaka, 1000, Bangladesh; Ataullha M., Department of Computer Science and Engineering, Shahjalal University of Science and Technology, Sylhet, 3114, Bangladesh; Rahman M.S., Department of Computer Science and Engineering, Shahjalal University of Science and Technology, Sylhet, 3114, Bangladesh</t>
  </si>
  <si>
    <t xml:space="preserve">Awareness; Basic reproduction number; Dengue; Machine learning; Prophet model; Time-series forecasting</t>
  </si>
  <si>
    <t xml:space="preserve">Animals; Bangladesh; Dengue; Disease Outbreaks; Epidemiological Models; Humans; Machine Learning; Cell proliferation; Epidemiology; Forecasting; Time series analysis; Awareness; Bangladesh; Basic reproduction number; Dengue; Machine learning approaches; Machine-learning; Mathematical analysis; Prophet model; Time series forecasting; Time varying; Article; Bangladesh; basic reproduction number; dengue; disease transmission; epidemic; human; machine learning; mathematical analysis; mathematical model; nonhuman; prediction; predictive model; prophet model; prophylaxis; sensitivity analysis; animal; dengue; epidemiological model; epidemiology; machine learning; Machine learning</t>
  </si>
  <si>
    <t xml:space="preserve">World Health Organization, WHO</t>
  </si>
  <si>
    <t xml:space="preserve">These visualizations serve as pivotal tools for comprehending the inherent trends and patterns within the collected data, providing invaluable insights that inform our modeling approach. The visualization shows that the number of dengue cases begins to rise from June to July in Bangladesh, coinciding with the onset of the rainy season, which supports the findings of WHO [38]. The findings also indicate that the dengue rate in Bangladesh starts to increase from June to July due to the monsoon season. The direct correlation between rainwater and the breeding of Dengue or Aedes mosquitoes [40] becomes apparent during this period. The peak of dengue cases occurs between August and October each year, according to this visualization. Although not exactly similar, it mostly aligns with the findings from (Hossain et al., 2023) [41], where they found that dengue in Bangladesh historically peaked during the monsoon and post-monsoon seasons. Previously, the peak was from August to September, but in recent times, especially from 2022, the peak is also observed in October, and the peak is shifting day by day due to climate change [41]. Furthermore, according to our visualization, a notable decline is observed, from 0 to 100 cases, in November and December, corresponding to the conclusion of the monsoon seasons and the commencement of winter, similar to the findings from (Islam et al., 2021) [42]. They showed a correlation between the rainy season and the dengue outbreak as the major factor for the dengue outbreak and a decrease in the dry winter season of the same year [42].</t>
  </si>
  <si>
    <t xml:space="preserve">Hoffmann A., Incompatible mosquitoes, Nature, 436, (2005); Sangkaew S., Ming D., Boonyasiri A., Honeyford K., Kalayanarooj S., Yacoub S., Et al., Risk predictors of progression to severe disease during the febrile phase of dengue: a systematic review and meta-analysis, Lancet Infect. Dis., 21, 7, pp. 1014-1026, (2021); Hsan K., Hossain M.M., Sarwar M.S., Wilder-Smith A., Gozal D., Unprecedented rise in Dengue outbreaks in Bangladesh, Lancet Infect. Dis., 19, 12, (2019); Wilder-Smith A., Gubler D.J., Weaver S.C., Monath T.P., Heymann D.L., Scott T.W., Epidemic arboviral diseases: priorities for research and public health, Lancet Infect. Dis., 17, 3, pp. e101-e106, (2017); Wilder-Smith A., Ooi E.E., Horstick O., Wills B., Dengue, Lancet, 393, 10169, pp. 350-363, (2019); Wilder-Smith A., Hombach J., Ferguson N., Selgelid M., O'Brien K., Vannice K., Et al., Deliberations of the strategic advisory group of experts on immunization on the use of CYD-TDV dengue vaccine, Lancet Infect. Dis., 19, 1, pp. e31-e38, (2019); Banu S., Hu W., Guo Y., Hurst C., Tong S., Projecting the impact of climate change on dengue transmission in Dhaka, Bangladesh, Environ. Int., 63, pp. 137-142, (2014); Sharmin S., Glass K., Viennet E., Harley D., Interaction of mean temperature and daily fluctuation influences dengue incidence in Dhaka, Bangladesh, PLoS Neglected Trop. Dis., 9, 7, (2015); Muurlink O.T., Stephenson P., Islam M., Taylor-Robinson A., Long-term predictors of Dengue outbreaks in Bangladesh: a data mining approach, Infect. Disease Model., 3, pp. 322-330, (2018); Dyer O., Dengue: Philippines declares national epidemic as cases surge across South East Asia, BMJ (Online), 366, (2019); Kong L., Xu C., Mu P., Li J., Qiu S., Wu H., Risk factors spatial-temporal detection for dengue fever in Guangzhou, Epidemiol. Infect., 147, (2019); Hossain M.S., Siddiqee M.H., Siddiqi U.R., Raheem E., Akter R., Hu W., Dengue in a crowded megacity: lessons learnt from 2019 outbreak in Dhaka, Bangladesh, PLoS Neglected Trop. Dis., 14, 8, pp. 1-5, (2020); Islam S., Haque C.E., Hossain S., Hanesiak J., Climate variability, Dengue vector abundance and Dengue fever cases in Dhaka, Bangladesh: a time-series study, Atmosphere, 12, 7, (2021); Xavier L.L., Honorio N.A., Pessanha J.F.M., Peiter P.C., Analysis of climate factors and dengue incidence in the metropolitan region of Rio de Janeiro, Brazil, PLoS One, 16, 5, (2021); Manna S., Satapathy P., Bora I., Padhi B.K., Dengue outbreaks in South Asia amid Covid-19: epidemiology, transmission, and mitigation strategies, Front. Public Health, 10, (2022); Naher S., Rabbi F., Hossain M.M., Banik R., Pervez S., Boitchi A.B., Forecasting the incidence of Dengue in Bangladesh—application of time series model, Health Sci. Rep., 5, 4, (2022); Aldila D., Ndii M.Z., Anggriani N.W., Tasman H., Handari B.D., Impact of social awareness, case detection, and hospital capacity on dengue eradication in Jakarta: a mathematical model approach, Alex. Eng. J., 64, pp. 691-707, (2023); Hossain S., Islam M.M., Hasan M.A., Chowdhury P.B., Easty I.A., Tusar M.K., Et al., Association of climate factors with Dengue incidence in Bangladesh, Dhaka City: a count regression approach, Heliyon, 9, 5, (2023); Islam M.A., Hasan M.N., Tiwari A., Raju M.A.W., Jannat F., Sangkham S., Et al., Correlation of dengue and meteorological factors in Bangladesh: a public health concern, Int. J. Environ. Res. Publ. Health, 20, 6, (2023); Jafaruddin, Indratno S.W., Nuraini N., Supriatna A.K., Soewono E., Estimation of the basic reproductive ratio for dengue fever at the take-off period of dengue infection, Comput. Math. Methods Med., (2015); Brauer F., Castillo-Chavez C., Mubayi A., Towers S., Some models for epidemics of vector-transmitted diseases, Infect. Disease Model., 1, 1, pp. 79-87, (2016); Mordecai E.A., Caldwell J.M., Grossman M.K., Lippi C.A., Johnson L.R., Neira M., Rohr J.R., Ryan S.J., Savage V., Shocket M.S., Sippy R., Stewart Ibarra A.M., Thomas M.B., Villena O., Thermal biology of mosquito-borne disease, Ecol. Lett., 22, 10, pp. 1690-1708, (2019); Delamater P.L., Street E.J., Leslie T.F., Yang Y.T., Jacobsen K.H., Complexity of the basic reproduction number (R0), Emerg. Infect. Dis., 25, 1, pp. 1-4, (2019); O'Reilly K.M., Hendrickx E., Kharisma D.D., Wilastonegoro N.N., Carrington L.B., Elyazar I.R.F., Kucharski A.J., Lowe R., Flasche S., Pigott D.M., Reiner R.C., Edmunds W.J., Hay S.I., Yakob L., Shepard D.S., Brady O.J., Estimating the burden of dengue and the impact of release of wMel Wolbachia-infected mosquitoes in Indonesia: a modeling study, BMC Med., 17, 1, pp. 1-14, (2019); Liu Y., Lillepold K., Semenza J.C., Tozan Y., Quam M.B.M., Rocklov J., Reviewing estimates of the basic reproduction number for dengue, Zika and chikungunya across global climate zones, Environ. Res., 182, January, (2020); Pereira F.M.M., Schimit P.H.T., Spatial dynamics of dengue fever spreading for the coexistence of two serotypes with an application to the city of São Paulo, Brazil, Comput. Methods Progr. Biomed., 219, (2022); Sun W., Xue L., Yan X., Stability of a dengue epidemic model with independent stochastic perturbations, J. Math. Anal. Appl., 468, 2, pp. 998-1017, (2018); Hamdan N.'., Kilicman A., The development of a deterministic dengue epidemic model with the influence of temperature: a case study in Malaysia, Appl. Math. Model., 90, pp. 547-567, (2021); Saha P., Sikdar G.C., Ghosh U., Transmission dynamics and control strategy of single-strain dengue disease, Int. J. Dynamic. Control, 11, 3, pp. 1396-1414, (2023); Van den Driessche P., Watmough J., Reproduction numbers and sub-threshold endemic equilibria for compartmental models of disease transmission, Math. Biosci., 180, 1-2, pp. 29-48, (2002); Shahrear P., Rahman S.M.S., Nahid M.M.H., Prediction and mathematical analysis of the outbreak of coronavirus (COVID-19) in Bangladesh, Result. Appl. Math., 10, (2021); Das K., Srinivas M.N., Shahrear P., Rahman P.S.M., Nahid M.M.H., Murthy B.S.N., Et al., Transmission dynamics and control of COVID-19: a mathematical modelling study, J. Appl. Nonlinear Dynamic., 12, 2, pp. 405-425, (2023); Bodson M., Explaining the Routh-Hurwitz Criterion. A tutorial presentation, IEEE Control Syst. Mag., 45, (2020); Sharma N., Singh R., Singh J., Castillo O., Modeling assumptions, optimal control strategies and mitigation through vaccination to Zika virus, Chaos, Solit. Fractals, 150, (2021); Syafruddin S., Noorani M.S.M., Lyapunov function of SIR and SEIR model for transmission of dengue fever disease, Int. J. Simulat. Proc. Model., 8, 2-3, pp. 177-184, (2013); Dengue Outbreak in Bangladesh, (2023); Disease Outbreak News; Dengue in Bangladesh, (2023); Zhao D., Zhang R., Zhang H., Et al., Prediction of global omicron pandemic using ARIMA, MLR, and Prophet models, Sci. Rep., 12, (2022); Chen T.-H.K., Chen V.Y.-J., Wen T.-H., Revisiting the role of rainfall variability and its interactive effects with the built environment in urban dengue outbreaks, Appl. Geogr., 101, pp. 14-22, (2018); Hossain M.S., Noman A.A., Mamun S.A.A., Et al., Twenty-two years of dengue outbreaks in Bangladesh: epidemiology, clinical spectrum, serotypes, and future disease risks, Trop. Med. Health, 51, (2023); Islam S., Haque C.E., Hossain S., Hanesiak J., Climate variability, dengue vector abundance and dengue fever cases in Dhaka, Bangladesh: a time-series study, Atmosphere, 12, 7, (2021); Lindemann B., Muller T., Vietz H., Jazdi N., Weyrich M., A survey on long short- term memory networks for time series prediction, 2021. 14th CIRP Conference on Intelligent Computation in Manufacturing Engineering, 99, pp. 650-655, (2020); Taylor S.J., Letham B., Forecasting at scale, Am. Statistician, 72, 1, pp. 37-45, (2018); Box G.E., Jenkins G.M., Reinsel G.C., Ljung G.M., Time Series Analysis: Forecasting and Control, (2015); Harvey A.C., Peters S., Estimation procedures for structural time series models, J. Forecast., 9, pp. 89-108, (1990); Faiyaz C.A., Shahrear P., Shamim R.A., Strauss T., Khan T., Comparison of different radial basis function networks for the electrical impedance tomography (EIT) inverse problem, Algorithms, 16, 10, (2023); Chaturvedi S., Rajasekar E., Natarajan S., McCullen N., A comparative assessment of sarima, lstm rnn and fb prophet models to forecast total and peak monthly energy demand for India, Energy Pol., 168, (2022); Shahrear P., Glass L., DelBuono N., Analysis of Piecewise Linear Equations with Bizarre Dynamics (Doctoral Dissertation, Ph. D. Thesis, (2015); Othman M., Indawati R., Suleiman A.A., Qomaruddin M.B., Sokkalingam R., Model forecasting development for dengue fever incidence in surabaya city using time series analysis, Processes, 10, 11, (2022); Saha G., Saha M., Saha M., Dengue: the enduring endemic challenge in Bangladesh, J. Med., 25, 1, pp. 78-82, (2024); Ariful Kabir K.M., Shahidul Islam M.D., Ullah M.S., Understanding the impact of vaccination and Self-Defense measures on epidemic dynamics using an embedded optimization and evolutionary game theory methodology, Vaccines, 11, 9, (2023); Ariful Kabir K.M., Shahidul Islam M.D., Nijhum S., Exploring the performance of volatile mutations on evolutionary game dynamics in complex networks, Heliyon, 9, (2023); Chan M., Johansson M.A., The incubation periods of Dengue viruses, PLoS One, 7, 11, (2012)</t>
  </si>
  <si>
    <t xml:space="preserve">P. Shahrear; Department of Mathematics, Shahjalal University of Science and Technology, Sylhet, 3114, Bangladesh; email: shahrear-mat@sust.edu</t>
  </si>
  <si>
    <t xml:space="preserve">2-s2.0-85195695760</t>
  </si>
  <si>
    <t xml:space="preserve">Amin J.; Anjum M.A.; Ahmad A.; Sharif M.I.; Kadry S.; Kim J.</t>
  </si>
  <si>
    <t xml:space="preserve">Amin, Javeria (57192939275); Anjum, Muhammad Almas (16021202900); Ahmad, Abraz (58951503600); Sharif, Muhammad Irfan (57549289700); Kadry, Seifedine (55906598300); Kim, Jungeun (56600264800)</t>
  </si>
  <si>
    <t xml:space="preserve">57192939275; 16021202900; 58951503600; 57549289700; 55906598300; 56600264800</t>
  </si>
  <si>
    <t xml:space="preserve">Microscopic parasite malaria classification using best feature selection based on generalized normal distribution optimization</t>
  </si>
  <si>
    <t xml:space="preserve">Malaria disease can indeed be fatal if not identified and treated promptly. Due to advancements in the malaria diagnostic process, microscopy techniques are employed for blood cell analysis. Unfortunately, the diagnostic process of malaria via microscopy depends on microscopic skills. To overcome such issues, machine/deep learning algorithms can be proposed for more accurate and efficient detection of malaria. Therefore, a method is proposed for classifying malaria parasites that consist of three phases. The bilateral filter is applied to enhance image quality. After that shape-based and deep features are extracted. In shape-based pyramid histograms of oriented gradients (PHOG) features are derived with the dimension of N × 300. Deep features are derived from the residual network (ResNet)-50, and ResNet-18 at fully connected layers having the dimension of N × 1, 000 respectively. The features obtained are fused serially, resulting in a dimensionality of N × 2, 300. From this set, N × 498 features are chosen using the generalized normal distribution optimization (GNDO) method. The proposed method is accessed on a microscopic malarial parasite imaging dataset providing 99% classification accuracy which is better than as compared to recently published work. Copyright 2024 Amin et al.</t>
  </si>
  <si>
    <t xml:space="preserve">PeerJ Computer Science</t>
  </si>
  <si>
    <t xml:space="preserve">PeerJ Inc.</t>
  </si>
  <si>
    <t xml:space="preserve">10.7717/peerj-cs.1744</t>
  </si>
  <si>
    <t xml:space="preserve">https://www.scopus.com/inward/record.uri?eid=2-s2.0-85188461604&amp;doi=10.7717%2fpeerj-cs.1744&amp;partnerID=40&amp;md5=ed79e5ea8b30cb24733013122f64c445</t>
  </si>
  <si>
    <t xml:space="preserve">University of Wah, Department of Computer Science, Wah Cantt, Pakistan; National University of Technology (NUTECH), Islamabad, Pakistan; Department of Information Sciences, University of Education Lahore, Jauharabad Campus, Jauharabad, Pakistan; Noroff University College, Kristiansand, Norway; Artificial Intelligence Research Center (AIRC), Ajman University, Ajman, United Arab Emirates; MEU Research Unit, Middle East University, Amman, Jordan; Department of Electrical and Computer Engineering, Lebanese American University, Byblos, Lebanon; Department of Software, Kongju National University, Cheonan, South Korea</t>
  </si>
  <si>
    <t xml:space="preserve">Amin J., University of Wah, Department of Computer Science, Wah Cantt, Pakistan; Anjum M.A., National University of Technology (NUTECH), Islamabad, Pakistan; Ahmad A., University of Wah, Department of Computer Science, Wah Cantt, Pakistan; Sharif M.I., Department of Information Sciences, University of Education Lahore, Jauharabad Campus, Jauharabad, Pakistan; Kadry S., Noroff University College, Kristiansand, Norway, Artificial Intelligence Research Center (AIRC), Ajman University, Ajman, United Arab Emirates, MEU Research Unit, Middle East University, Amman, Jordan, Department of Electrical and Computer Engineering, Lebanese American University, Byblos, Lebanon; Kim J., Department of Software, Kongju National University, Cheonan, South Korea</t>
  </si>
  <si>
    <t xml:space="preserve">Ensemble; GNDO; KNN; Malaria; PHOG; SVM</t>
  </si>
  <si>
    <t xml:space="preserve">Blood; Classification (of information); Diagnosis; Feature Selection; Image enhancement; Learning algorithms; Normal distribution; Support vector machines; Diagnostic process; Distribution optimization; Ensemble; Generalized normal distribution; Generalized normal distribution optimization; Histogram of oriented gradients; KNN; Malaria; Pyramid histogram of oriented gradient; SVM; Diseases</t>
  </si>
  <si>
    <t xml:space="preserve">Abdurahman F, Fante KA, Aliy M., Malaria parasite detection in thick blood smear microscopic images using modified YOLOV3 and YOLOV4 models, BMC Bioinformatics, 22, 1, pp. 1-17, (2021); Almurayziq TS, Senan EM, Mohammed BA, Al-Mekhlafi ZG, Alshammari G, Alshammari A, Alturki M, Albaker A., Deep and hybrid learning techniques for diagnosing microscopic blood samples for early detection of white blood cell diseases, Electronics, 12, 8, pp. 1-18, (2023); Alqudah A, Alqudah AM, Qazan S., Lightweight deep learning for malaria parasite detection using cell-image of blood smear images, Revue d’Intelligence Artificielle, 34, 5, pp. 571-576, (2020); Amin J, Sharif M, Anjum MA, Siddiqa A, Kadry S, Nam Y, Raza M., 3d semantic deep learning networks for leukemia detection, Computers, Materials &amp; Continua, 69, 1, pp. 785-799, (2021); Amin J, Sharif M, Anjum MA, Yasmin M, Khattak KI, Kadry S, Seo S., An integrated design based on dual thresholding and features optimization for white blood cells detection, IEEE Access, 9, pp. 151421-151433, (2021); Amin J, Anjum MA, Gul N, Sharif M., A secure two-qubit quantum model for segmentation and classification of brain tumor using MRI images based on blockchain, Neural Computing and Applications, 34, 20, pp. 1-14, (2022); Amin J, Anjum MA, Krivic S, Sharif MI., Segmentation and classification of lymphoblastic leukaemia using quantum neural network, Expert Systems, 2, 3, pp. 1-13, (2022); Amin J, Anjum MA, Sharif M, Jabeen S, Kadry S, Moreno Ger P., A new model for brain tumor detection using ensemble transfer learning and quantum variational classifier, Computational Intelligence and Neuroscience, 2022, 1, pp. 1-13, (2022); Amin J, Anjum MA, Sharif A, Raza M, Kadry S, Nam Y., Malaria parasite detection using a quantum-convolutional network, Computers Materials &amp; Continua, 70, 3, pp. 6023-6039, (2022); Amin J, Sharif M, Anjum MA, Nam Y, Kadry S, Taniar D., Diagnosis of COVID-19 infection using three-dimensional semantic segmentation and classification of computed tomography images, Computers, Materials and Continua, 68, 2, pp. 2451-2467, (2021); Amin J, Sharif M, Fernandes SL, Wang SH, Saba T, Khan AR., Breast microscopic cancer segmentation and classification using unique 4-qubit-quantum model, Microscopy Research and Technique, 85, 5, pp. 1926-1936, (2022); Anggraini D, Nugroho AS, Pratama C, Rozi IE, Iskandar AA, Hartono RN., Automated status identification of microscopic images obtained from malaria thin blood smears, Proceedings of the 2011 International Conference on Electrical Engineering and Informatics, pp. 1-6, (2011); Arowolo MO, Adebiyi M, Adebiyi A, Okesola J., PCA model for RNA-Seq malaria vector data classification using KNN and decision tree algorithm, 2020 International Conference in Mathematics, Computer Engineering and Computer Science (ICMCECS), (2020); Arowolo MO, Adebiyi MO, Adebiyi AA, Olugbara O., Optimized hybrid investigative based dimensionality reduction methods for malaria vector using KNN classifier, Journal of Big Data, 8, 1, pp. 1-14, (2021); Beulah A, Divya Bharathi B., Lumbar spine classification using pyramidal histogram of oriented gradients, Indian Journal of Science and Technology, 9, 32, pp. 1-5, (2016); Bhuiyan M, Islam MS., A new ensemble learning approach to detect malaria from microscopic red blood cell images, Sensors International, 4, pp. 1-11, (2023); Chavan SN, Sutkar AM., Malaria disease identification and analysis using image processing, International Journal of Latest Trends in Engineering and Technology, 3, 3, pp. 218-223, (2014); Das D, Maiti A, Chakraborty C., Automated system for characterization and classification of malaria-infected stages using light microscopic images of thin blood smears, Journal of Microscopy, 257, 3, pp. 238-252, (2015); Das DK, Mukherjee R, Chakraborty C., Computational microscopic imaging for malaria parasite detection: a systematic review, Journal of Microscopy, 260, 1, pp. 1-19, (2015); Elangovan P, Nath MK., A novel shallow ConvNet-18 for Malaria parasite detection in thin blood smear images, SN Computer Science, 2, 5, pp. 1-11, (2021); Gour N, Khanna P., Automated glaucoma detection using GIST and pyramid histogram of oriented gradients (PHOG) descriptors, Pattern Recognition Letters, 137, 5, pp. 3-11, (2020); Guo M, Du Y., Classification of thyroid ultrasound standard plane images using ResNet-18 networks, IEEE 13th International Conference on Anti-counterfeiting, Security, and Identification (ASID), pp. 324-328, (2019); Hemachandran K, Alasiry A, Marzougui M, Ganie SM, Pise AA, Alouane MT-H, Chola C., Performance analysis of deep learning algorithms in diagnosis of malaria disease, Diagnostics, 13, 3, (2023); Islam MR, Nahiduzzaman M, Goni MOF, Sayeed A, Anower MS, Ahsan M, Haider J., Explainable transformer-based deep learning model for the detection of malaria parasites from blood cell images, Sensors, 22, 12, (2022); Khot S, Prasad R., Optimal computer based analysis for detecting malarial parasites, Proceedings of the 3rd International Conference on Frontiers of Intelligent Computing: Theory and Applications (FICTA) 2014, pp. 69-80, (2015); Loddo A, Ruberto CDi, Kocher M, Prod'Hom G., MP-IDB: the malaria parasite image database for image processing and analysis, Sipaim–Miccai Biomedical Workshop, pp. 57-65, (2018); Loh DR, Yong WX, Yapeter J, Subburaj K, Chandramohanadas R., A deep learning approach to the screening of malaria infection: automated and rapid cell counting, object detection and instance segmentation using Mask R-CNN, Computerized Medical Imaging and Graphics, 88, (2021); Majid A, Khan MA, Yasmin M, Rehman A, Yousafzai A, Tariq U., Classification of stomach infections: a paradigm of convolutional neural network along with classical features fusion and selection, Microscopy Research and Technique, 83, 5, pp. 562-576, (2020); Malihi L, Ansari-Asl K, Behbahani A., Malaria parasite detection in giemsa-stained blood cell images, 8th Iranian Conference on Machine Vision and Image Processing (MVIP), pp. 360-365, (2013); Mandal S, Kumar A, Chatterjee J, Manjunatha M, Ray AK., Segmentation of blood smear images using normalized cuts for detection of malarial parasites, Annual IEEE India Conference (INDICON), pp. 1-4, (2010); Maqsood A, Farid MS, Khan MH, Grzegorzek M., Deep malaria parasite detection in thin blood smear microscopic images, Applied Sciences, 11, 5, (2021); Mariki M, Mkoba E, Mduma N., Combining clinical symptoms and patient features for malaria diagnosis: machine learning approach, Applied Artificial Intelligence, 36, 1, (2022); Molina A, Alferez S, Boldu L, Acevedo A, Rodellar J, Merino A., Sequential classification system for recognition of malaria infection using peripheral blood cell images, Journal of Clinical Pathology, 73, 10, pp. 665-670, (2020); Narayanan BN, Ali R, Hardie RC., Performance analysis of machine learning and deep learning architectures for malaria detection on cell images, Proceeding SPIE 11139, Applications of Machine Learning, (2019); Oyewola DO, Dada EG, Misra S, Damasevicius R., A novel data augmentation convolutional neural network for detecting malaria parasite in blood smear images, Applied Artificial Intelligence, 36, 1, (2022); Pimple KM, Likhitkar PP, Pande S., Convolutional neural networks for malaria image classification, Proceedings of Data Analytics and Management, pp. 459-470, (2022); Poostchi M, Silamut K, Maude RJ, Jaeger S, Thoma G., Image analysis and machine learning for detecting malaria, Translational Research, 194, pp. 36-55, (2018); Rad MJG, Ohadi S, Jafari-Asl J, Vatani A, Ahmadabadi SA, Correia JA., GNDO-SVR: an efficient surrogate modeling approach for reliability-based design optimization of concrete dams, Structures, 35, pp. 722-733, (2022); Rajaraman S., Pre-trained convolutional neural networks as feature extractors toward improved malaria parasite detection in thin blood smear images, PeerJ, 6, 1, (2018); Reddy ASB, Juliet DS., Transfer learning with ResNet-50 for malaria cell-image classification, International Conference on Communication and Signal Processing (ICCSP), pp. 945-949, (2019); Rosado L, Correia da Costa JM, Elias D, Cardoso JS., A review of automatic malaria parasites detection and segmentation in microscopic images, Anti-Infective Agents, 14, 1, pp. 11-22, (2016); Sadafi A, Sans LMM, Makhro A, Livshits L, Navab N, Bogdanova A, Albarqouni S, Marr C., Fourier transform of percoll gradients boosts CNN classification of hereditary hemolytic anemias, 2021 IEEE 18th International Symposium on Biomedical Imaging (ISBI), pp. 966-970, (2021); Selvaraju RR, Cogswell M, Das A, Vedantam R, Parikh D, Batra D., Grad-cam: Visual explanations from deep networks via gradient-based localization, Proceedings of the IEEE International Conference on Computer Vision, pp. 618-626, (2017); Setyawan D, Wardoyo R, Wibowo ME, Murhandarwati EEH, Jamilah J., Malaria classification using convolutional neural network: a review, Sixth International Conference on Informatics and Computing (ICIC), pp. 1-9, (2021); Sharif M, Amin J, Yasmin M, Rehman A., Efficient hybrid approach to segment and classify exudates for DR prediction, Multimedia Tools and Applications, 79, 15–16, pp. 11107-11123, (2020); Shewajo FA, Fante KA., Tile-based microscopic image processing for malaria screening using a deep learning approach, BMC Medical Imaging, 23, 1, pp. 1-14, (2023); Springl V., Automatic malaria diagnosis through microscopy imaging, pp. 1-129, (2009); Tavakoli S, Ghaffari A, Kouzehkanan ZM, Hosseini R., New segmentation and feature extraction algorithm for classification of white blood cells in peripheral smear images, Scientific Reports, 11, 1, pp. 1-13, (2021); Tomasi C, Manduchi R., Bilateral filtering for gray and color images, Sixth International Conference on Computer Vision (IEEE Cat. No. 98CH36271), pp. 839-846, (1998); Vijayalakshmi A., Deep learning approach to detect malaria from microscopic images, Multimedia Tools and Applications, 79, 21, pp. 15297-15317, (2020); Yunda L, Ramirez AA, Millan J., Automated image analysis method for p-vivax malaria parasite detection in thick film blood images, Sistemas &amp; Telemática, 10, 20, pp. 9-25, (2012); Zafar M, Amin J, Sharif M, Anjum MA, Mallah GA, Kadry S., DeepLabv3+-based segmentation and best features selection using slime mould algorithm for multi-class skin lesion classification, Mathematics, 11, 2, pp. 1-18, (2023); Zamli K., Classification of malaria parasite species based on thin blood smears using multilayer perceptron network, International Journal of Computer Integrated Manufacturing, 16, 1, pp. 46-52, (2008)</t>
  </si>
  <si>
    <t xml:space="preserve">M.I. Sharif; Department of Information Sciences, University of Education Lahore, Jauharabad Campus, Jauharabad, Pakistan; email: irfan.sharif@ue.edu.pk; J. Kim; Department of Software, Kongju National University, Cheonan, South Korea; email: jekim@kongju.ac.kr</t>
  </si>
  <si>
    <t xml:space="preserve">PeerJ Comput. Sci.</t>
  </si>
  <si>
    <t xml:space="preserve">2-s2.0-85188461604</t>
  </si>
  <si>
    <t xml:space="preserve">Patil A.R.; Schug J.; Liu C.; Lahori D.; Descamps H.C.; Naji A.; Kaestner K.H.; Faryabi R.B.; Vahedi G.</t>
  </si>
  <si>
    <t xml:space="preserve">Patil, Abhijeet R. (57215215101); Schug, Jonathan (58998710300); Liu, Chengyang (7409787635); Lahori, Deeksha (58548611100); Descamps, Hélène C. (57208910002); Naji, Ali (57662768800); Kaestner, Klaus H. (58141133800); Faryabi, Robert B. (57209266191); Vahedi, Golnaz (24399757400)</t>
  </si>
  <si>
    <t xml:space="preserve">57215215101; 58998710300; 7409787635; 58548611100; 57208910002; 57662768800; 58141133800; 57209266191; 24399757400</t>
  </si>
  <si>
    <t xml:space="preserve">Modeling type 1 diabetes progression using machine learning and single-cell transcriptomic measurements in human islets</t>
  </si>
  <si>
    <t xml:space="preserve">Type 1 diabetes (T1D) is a chronic condition in which beta cells are destroyed by immune cells. Despite progress in immunotherapies that could delay T1D onset, early detection of autoimmunity remains challenging. Here, we evaluate the utility of machine learning for early prediction of T1D using single-cell analysis of islets. Using gradient-boosting algorithms, we model changes in gene expression of single cells from pancreatic tissues in T1D and non-diabetic organ donors. We assess if mathematical modeling could predict the likelihood of T1D development in non-diabetic autoantibody-positive donors. While most autoantibody-positive donors are predicted to be non-diabetic, select donors with unique gene signatures are classified as T1D. Our strategy also reveals a shared gene signature in distinct T1D-associated models across cell types, suggesting a common effect of the disease on transcriptional outputs of these cells. Our study establishes a precedent for using machine learning in early detection of T1D. © 2024 The Author(s)</t>
  </si>
  <si>
    <t xml:space="preserve">pronostics</t>
  </si>
  <si>
    <t xml:space="preserve">Cell Reports Medicine</t>
  </si>
  <si>
    <t xml:space="preserve">Cell Press</t>
  </si>
  <si>
    <t xml:space="preserve">10.1016/j.xcrm.2024.101535</t>
  </si>
  <si>
    <t xml:space="preserve">https://www.scopus.com/inward/record.uri?eid=2-s2.0-85192481693&amp;doi=10.1016%2fj.xcrm.2024.101535&amp;partnerID=40&amp;md5=f203e1a9c5ef7bc225980704aee3ca3c</t>
  </si>
  <si>
    <t xml:space="preserve">Department of Genetics, University of Pennsylvania Perelman School of Medicine, Philadelphia, 19104, PA, United States; Institute for Immunology and Immune Health, University of Pennsylvania Perelman School of Medicine, Philadelphia, 19104, PA, United States; Epigenetics Institute, University of Pennsylvania Perelman School of Medicine, Philadelphia, 19104, PA, United States; Institute for Diabetes, Obesity and Metabolism, University of Pennsylvania Perelman School of Medicine, Philadelphia, 19104, PA, United States; Department of Surgery, University of Pennsylvania Perelman School of Medicine, Philadelphia, 19104, PA, United States; Department of Pathology and Laboratory Medicine, University of Pennsylvania Perelman School of Medicine, Philadelphia, 19104, PA, United States; Abramson Family Cancer Research Institute, University of Pennsylvania Perelman School of Medicine, Philadelphia, 19104, PA, United States</t>
  </si>
  <si>
    <t xml:space="preserve">Patil A.R., Department of Genetics, University of Pennsylvania Perelman School of Medicine, Philadelphia, 19104, PA, United States, Institute for Immunology and Immune Health, University of Pennsylvania Perelman School of Medicine, Philadelphia, 19104, PA, United States, Epigenetics Institute, University of Pennsylvania Perelman School of Medicine, Philadelphia, 19104, PA, United States, Institute for Diabetes, Obesity and Metabolism, University of Pennsylvania Perelman School of Medicine, Philadelphia, 19104, PA, United States; Schug J., Department of Genetics, University of Pennsylvania Perelman School of Medicine, Philadelphia, 19104, PA, United States, Epigenetics Institute, University of Pennsylvania Perelman School of Medicine, Philadelphia, 19104, PA, United States, Institute for Diabetes, Obesity and Metabolism, University of Pennsylvania Perelman School of Medicine, Philadelphia, 19104, PA, United States; Liu C., Institute for Immunology and Immune Health, University of Pennsylvania Perelman School of Medicine, Philadelphia, 19104, PA, United States, Department of Surgery, University of Pennsylvania Perelman School of Medicine, Philadelphia, 19104, PA, United States; Lahori D., Department of Genetics, University of Pennsylvania Perelman School of Medicine, Philadelphia, 19104, PA, United States, Epigenetics Institute, University of Pennsylvania Perelman School of Medicine, Philadelphia, 19104, PA, United States, Institute for Diabetes, Obesity and Metabolism, University of Pennsylvania Perelman School of Medicine, Philadelphia, 19104, PA, United States; Descamps H.C., Department of Genetics, University of Pennsylvania Perelman School of Medicine, Philadelphia, 19104, PA, United States, Epigenetics Institute, University of Pennsylvania Perelman School of Medicine, Philadelphia, 19104, PA, United States, Institute for Diabetes, Obesity and Metabolism, University of Pennsylvania Perelman School of Medicine, Philadelphia, 19104, PA, United States; Naji A., Institute for Immunology and Immune Health, University of Pennsylvania Perelman School of Medicine, Philadelphia, 19104, PA, United States, Institute for Diabetes, Obesity and Metabolism, University of Pennsylvania Perelman School of Medicine, Philadelphia, 19104, PA, United States, Department of Surgery, University of Pennsylvania Perelman School of Medicine, Philadelphia, 19104, PA, United States; Kaestner K.H., Department of Genetics, University of Pennsylvania Perelman School of Medicine, Philadelphia, 19104, PA, United States, Epigenetics Institute, University of Pennsylvania Perelman School of Medicine, Philadelphia, 19104, PA, United States, Institute for Diabetes, Obesity and Metabolism, University of Pennsylvania Perelman School of Medicine, Philadelphia, 19104, PA, United States; Faryabi R.B., Institute for Immunology and Immune Health, University of Pennsylvania Perelman School of Medicine, Philadelphia, 19104, PA, United States, Epigenetics Institute, University of Pennsylvania Perelman School of Medicine, Philadelphia, 19104, PA, United States, Department of Pathology and Laboratory Medicine, University of Pennsylvania Perelman School of Medicine, Philadelphia, 19104, PA, United States, Abramson Family Cancer Research Institute, University of Pennsylvania Perelman School of Medicine, Philadelphia, 19104, PA, United States; Vahedi G., Department of Genetics, University of Pennsylvania Perelman School of Medicine, Philadelphia, 19104, PA, United States, Institute for Immunology and Immune Health, University of Pennsylvania Perelman School of Medicine, Philadelphia, 19104, PA, United States, Epigenetics Institute, University of Pennsylvania Perelman School of Medicine, Philadelphia, 19104, PA, United States, Institute for Diabetes, Obesity and Metabolism, University of Pennsylvania Perelman School of Medicine, Philadelphia, 19104, PA, United States, Abramson Family Cancer Research Institute, University of Pennsylvania Perelman School of Medicine, Philadelphia, 19104, PA, United States</t>
  </si>
  <si>
    <t xml:space="preserve">autoantibody-positive; human islets; machine learning; single-cell RNA-seq; type 1 diabetes</t>
  </si>
  <si>
    <t xml:space="preserve">HLA DQB1 antigen; HLA DRB1 antigen; messenger RNA; transcriptome; tumor necrosis factor; algorithm; Article; artificial neural network; atherosclerosis; autoimmune disease; autoimmunity; bioinformatics; CD4+ T lymphocyte; computer simulation; controlled study; data analysis; data integration; data interpretation; data mining; data science; data visualization; decision tree; diabetes mellitus; disease exacerbation; dispersity; down regulation; ecosystem resilience; engineering; feature extraction; feature selection; gene cluster; gene control; gene expression; gene expression profiling; gene function; gene ontology; genome-wide association study; glucose transport; human; humoral immunity; immune response; immunocompetent cell; immunology; insulin dependent diabetes mellitus; learning; Leishmania; leishmaniasis; machine learning; medical research; MIN6 cell line; molecular biology; network analysis; ontogeny; Parkinson disease; personalized medicine; pipeline; principal component analysis; quality control; random forest; regulatory T lymphocyte; reproducibility; sensitivity and specificity; shear stress; signal transduction; single cell analysis; statistical analysis; supervised machine learning; support vector machine; transcriptomics; unsupervised machine learning; wound healing</t>
  </si>
  <si>
    <t xml:space="preserve">Chan Zuckerberg Initiative, CZI; W. W. Smith Charitable Trust; Alfred P. Sloan Foundation, APSF; Burroughs Wellcome Fund, BWF; National Institutes of Health, NIH, (U01DK112217, R01HL145754, U01DK127768); National Institutes of Health, NIH</t>
  </si>
  <si>
    <t xml:space="preserve">Funding text 1: We thank the Vahedi, Faryabi, Naji, and Kaestner lab members for discussions. This work was supported by National Institutes of Health grants UC4 DK112217, U01DK112217 (A.N. K.H.K. R.B.F. and G.V.), R01HL145754, and U01DK127768 and awards from the Burroughs Wellcome Fund, the Chan Zuckerberg Initiative, the W.W. Smith Charitable Trust, and the Sloan Foundation (G.V.). A.N. and C.L. performed organ procurement; D.L. and H.C.D. generated scRNA-seq libraries in the K.H.K. lab; all computational analyses in this work were performed by A.R.P. with some help from R.B.F. J.S. and G.V.; the original draft was prepared by A.R.P.; and G.V. and A.R.P. edited and revised drafts. All authors have read and agreed to the published version of the manuscript. The authors declare no competing interests.; Funding text 2: We thank the Vahedi, Faryabi, Naji, and Kaestner lab members for discussions. This work was supported by National Institutes of Health grants UC4 DK112217 , U01DK112217 (A.N., K.H.K., R.B.F., and G.V.), R01HL145754 , and U01DK127768 and awards from the Burroughs Wellcome Fund , the Chan Zuckerberg Initiative , the W.W. Smith Charitable Trust , and the Sloan Foundation (G.V.). </t>
  </si>
  <si>
    <t xml:space="preserve">Ziegler A.-G., Kick K., Bonifacio E., Haupt F., Hippich M., Dunstheimer D., Lang M., Laub O., Warncke K., Lange K., Et al., Yield of a Public Health Screening of Children for Islet Autoantibodies in Bavaria, Germany, JAMA, 323, pp. 339-351, (2020); Bluestone J.A., Buckner J.H., Herold K.C., Immunotherapy: Building a bridge to a cure for type 1 diabetes, Science, 373, pp. 510-516, (2021); Herold K.C., Bundy B.N., Long S.A., Bluestone J.A., DiMeglio L.A., Dufort M.J., Gitelman S.E., Gottlieb P.A., Krischer J.P., Linsley P.S., Et al., An Anti-CD3 Antibody, Teplizumab, in Relatives at Risk for Type 1 Diabetes, N. Engl. J. Med., 381, pp. 603-613, (2019); Quattrin T., Haller M.J., Steck A.K., Felner E.I., Li Y., Xia Y., Leu J.H., Zoka R., Hedrick J.A., Rigby M.R., Et al., Golimumab and Beta-Cell Function in Youth with New-Onset Type 1 Diabetes, N. Engl. J. Med., 383, pp. 2007-2017, (2020); Rigby M.R., Hayes B., Li Y., Vercruysse F., Hedrick J.A., Quattrin T., Two-Year Follow-up From the T1GER Study: Continued Off-Therapy Metabolic Improvements in Children and Young Adults With New-Onset T1D Treated With Golimumab and Characterization of Responders, Diabetes Care, 46, pp. 561-569, (2023); Bettini M., Bettini M.L., Function, Failure, and the Future Potential of Tregs in Type 1 Diabetes, Diabetes, 70, pp. 1211-1219, (2021); Perry D.J., Shapiro M.R., Chamberlain S.W., Kusmartseva I., Chamala S., Balzano-Nogueira L., Yang M., Brant J.O., Brusko M., Williams M.D., Et al., A genomic data archive from the Network for Pancreatic Organ donors with Diabetes, Sci. Data, 10, (2023); Kaestner K.H., Powers A.C., Naji A., Atkinson M.A., NIH Initiative to Improve Understanding of the Pancreas, Islet, and Autoimmunity in Type 1 Diabetes: The Human Pancreas Analysis Program (HPAP), Diabetes, 68, pp. 1394-1402, (2019); Shapira S.N., Naji A., Atkinson M.A., Powers A.C., Kaestner K.H., Understanding islet dysfunction in type 2 diabetes through multidimensional pancreatic phenotyping: The Human Pancreas Analysis Program, Cell Metab., 34, pp. 1906-1913, (2022); Fasolino M., Schwartz G.W., Patil A.R., Mongia A., Golson M.L., Wang Y.J., Morgan A., Liu C., Schug J., Liu J., Et al., Single-cell multi-omics analysis of human pancreatic islets reveals novel cellular states in type 1 diabetes, Nat. Metab., 4, pp. 284-299, (2022); Chiou J., Geusz R.J., Okino M.L., Han J.Y., Miller M., Melton R., Beebe E., Benaglio P., Huang S., Korgaonkar K., Et al., Interpreting type 1 diabetes risk with genetics and single-cell epigenomics, Nature, 594, pp. 398-402, (2021); Wang T., Li B., Nelson C.E., Nabavi S., Comparative analysis of differential gene expression analysis tools for single-cell RNA sequencing data, BMC Bioinf., 20, (2019); He L., Davila-Velderrain J., Sumida T.S., Hafler D.A., Kellis M., Kulminski A.M., NEBULA is a fast negative binomial mixed model for differential or co-expression analysis of large-scale multi-subject single-cell data, Commun. Biol., 4, (2021); Kharchenko P.V., Silberstein L., Scadden D.T., Bayesian approach to single-cell differential expression analysis, Nat. Methods, 11, pp. 740-742, (2014); Miao Z., Deng K., Wang X., Zhang X., DEsingle for detecting three types of differential expression in single-cell RNA-seq data, Bioinformatics, 34, pp. 3223-3224, (2018); Robinson M.D., McCarthy D.J., Smyth G.K., edgeR: a Bioconductor package for differential expression analysis of digital gene expression data, Bioinformatics, 26, pp. 139-140, (2010); Squair J.W., Gautier M., Kathe C., Anderson M.A., James N.D., Hutson T.H., Hudelle R., Qaiser T., Matson K.J.E., Barraud Q., Et al., Confronting false discoveries in single-cell differential expression, Nat. Commun., 12, (2021); Thurman A.L., Ratcliff J.A., Chimenti M.S., Pezzulo A.A., Differential gene expression analysis for multi-subject single cell RNA sequencing studies with aggregateBioVar, Bioinformatics, 37, pp. 3243-3251, (2021); Chen T., Guestrin C., pp. 785-794; Patil A.R., Schug J., Naji A., Kaestner K.H., Faryabi R.B., Vahedi G., Single-cell expression profiling of islets generated by the Human Pancreas Analysis Program, Nat. Metab., 5, pp. 713-715, (2023); Patil A.R., Schug J., Naji A., Kaestner K.H., Faryabi R.B., Vahedi G., Computational workflow and interactive analysis of single-cell expression profiling of islets generated by the Human Pancreas Analysis Program, bioRxiv, (2023); Guo H., Li J., scSorter: assigning cells to known cell types according to marker genes, Genome Biol., 22, (2021); Swanson K., Wu E., Zhang A., Alizadeh A.A., Zou J., From patterns to patients: Advances in clinical machine learning for cancer diagnosis, prognosis, and treatment, Cell, 186, pp. 1772-1791, (2023); Kolde R., Laur S., Adler P., Vilo J., Robust rank aggregation for gene list integration and meta-analysis, Bioinformatics, 28, pp. 573-580, (2012); Bader G.D., Hogue C.W.V., An automated method for finding molecular complexes in large protein interaction networks, BMC Bioinf., 4, (2003); Richardson S.J., Rodriguez-Calvo T., Gerling I.C., Mathews C.E., Kaddis J.S., Russell M.A., Zeissler M., Leete P., Krogvold L., Dahl-Jorgensen K., Et al., Islet cell hyperexpression of HLA class I antigens: a defining feature in type 1 diabetes, Diabetologia, 59, pp. 2448-2458, (2016); Gromada J., Chabosseau P., Rutter G.A., The alpha-cell in diabetes mellitus, Nat. Rev. Endocrinol., 14, pp. 694-704, (2018); Doliba N.M., Rozo A.V., Roman J., Qin W., Traum D., Gao L., Liu J., Manduchi E., Liu C., Golson M.L., Et al., alpha Cell dysfunction in islets from nondiabetic, glutamic acid decarboxylase autoantibody-positive individuals, J. Clin. Invest., 132, (2022); Brissova M., Haliyur R., Saunders D., Shrestha S., Dai C., Blodgett D.M., Bottino R., Campbell-Thompson M., Aramandla R., Poffenberger G., Et al., α Cell Function and Gene Expression Are Compromised in Type 1 Diabetes, Cell Rep., 22, pp. 2667-2676, (2018); Benkahla M.A., Sabouri S., Kiosses W.B., Rajendran S., Quesada-Masachs E., von Herrath M.G., HLA class I hyper-expression unmasks beta cells but not alpha cells to the immune system in pre-diabetes, J. Autoimmun., 119, (2021); Redondo M.J., Steck A.K., Pugliese A., Genetics of type 1 diabetes, Pediatr. Diabetes, 19, pp. 346-353, (2018); Klak M., Gomolka M., Kowalska P., Cichon J., Ambrozkiewicz F., Serwanska-Swietek M., Berman A., Wszola M., Et al., Type 1 diabetes: genes associated with disease development, Cent. Eur. J. Immunol., 45, pp. 439-453, (2020); Pociot F., McDermott M.F., Genetics of type 1 diabetes mellitus, Genes Immun., 3, pp. 235-249, (2002); Russell M.A., Redick S.D., Blodgett D.M., Richardson S.J., Leete P., Krogvold L., Dahl-Jorgensen K., Bottino R., Brissova M., Spaeth J.M., Et al., HLA Class II Antigen Processing and Presentation Pathway Components Demonstrated by Transcriptome and Protein Analyses of Islet β-Cells From Donors With Type 1 Diabetes, Diabetes, 68, pp. 988-1001, (2019); Fung E.Y.M.G., Smyth D.J., Howson J.M.M., Cooper J.D., Walker N.M., Stevens H., Wicker L.S., Todd J.A., Analysis of 17 autoimmune disease-associated variants in type 1 diabetes identifies 6q23/TNFAIP3 as a susceptibility locus, Genes Immun., 10, pp. 188-191, (2009); Bradfield J.P., Qu H.Q., Wang K., Zhang H., Sleiman P.M., Kim C.E., Mentch F.D., Qiu H., Glessner J.T., Thomas K.A., Et al., A Genome-Wide Meta-Analysis of Six Type 1 Diabetes Cohorts Identifies Multiple Associated Loci, PLoS Genet., 7, (2011); de Albuquerque R., Komsi E., Starskaia I., Ullah U., Lahesmaa R., The role of Interleukin-32 in autoimmunity, Scand. J. Immunol., 93, (2021); Kiselev V.Y., Andrews T.S., Hemberg M., Challenges in unsupervised clustering of single-cell RNA-seq data, Nat. Rev. Genet., 20, pp. 273-282, (2019); Chen G., Ning B., Shi T., Single-Cell RNA-Seq Technologies and Related Computational Data Analysis, Front. Genet., 10, (2019); Crowell H.L., Soneson C., Germain P.L., Calini D., Collin L., Raposo C., Malhotra D., Robinson M.D., muscat detects subpopulation-specific state transitions from multi-sample multi-condition single-cell transcriptomics data, Nat. Commun., 11, (2020); Zimmerman K.D., Espeland M.A., Langefeld C.D., A practical solution to pseudoreplication bias in single-cell studies, Nat. Commun., 12, (2021); Li W., Yin Y., Quan X., Zhang H., Gene Expression Value Prediction Based on XGBoost Algorithm, Front. Genet., 10, (2019); Li Q., Yang H., Wang P., Liu X., Lv K., Ye M., XGBoost-based and tumor-immune characterized gene signature for the prediction of metastatic status in breast cancer, J. Transl. Med., 20, (2022); Shen C., Li H., Li M., Niu Y., Liu J., Zhu L., Gui H., Han W., Wang H., Zhang W., Et al., DLRAPom: a hybrid pipeline of Optimized XGBoost-guided integrative multiomics analysis for identifying targetable disease-related lncRNA-miRNA-mRNA regulatory axes, Brief. Bioinform., 23, (2022); Li Y., Kang K., Krahn J.M., Croutwater N., Lee K., Umbach D.M., Li L., A comprehensive genomic pan-cancer classification using The Cancer Genome Atlas gene expression data, BMC Genom., 18, (2017); Galdos F.X., Xu S., Goodyer W.R., Duan L., Huang Y.V., Lee S., Zhu H., Lee C., Wei N., Lee D., Wu S.M., devCellPy is a machine learning-enabled pipeline for automated annotation of complex multilayered single-cell transcriptomic data, Nat. Commun., 13, (2022); Lieberman Y., Rokach L., Shay T., CaSTLe – Classification of single cells by transfer learning: Harnessing the power of publicly available single cell RNA sequencing experiments to annotate new experiments, PLoS One, 13, (2018); Le H., Peng B., Uy J., Carrillo D., Zhang Y., Aevermann B.D., Scheuermann R.H., Machine learning for cell type classification from single nucleus RNA sequencing data, PLoS One, 17, (2022); Chen Y., Zhang S., Automatic Cell Type Annotation Using Marker Genes for Single-Cell RNA Sequencing Data, Biomolecules, 12, (2022); Kohler N.D., Buttner M., Andriamanga N., Theis F.J., Deep learning does not outperform classical machine learning for cell-type annotation, bioRxiv, (2021); Hamilton-Williams E.E., Palmer S.E., Charlton B., Slattery R.M., Beta cell MHC class I is a late requirement for diabetes, Proc. Natl. Acad. Sci. USA, 100, pp. 6688-6693, (2003); Richardson S.J., Willcox A., Bone A.J., Foulis A.K., Morgan N.G., The prevalence of enteroviral capsid protein vp1 immunostaining in pancreatic islets in human type 1 diabetes, Diabetologia, 52, pp. 1143-1151, (2009); Nejentsev S., Howson J.M.M., Walker N.M., Szeszko J., Field S.F., Stevens H.E., Reynolds P., Hardy M., King E., Masters J., Et al., Localization of type 1 diabetes susceptibility to the MHC class I genes HLA-B and HLA-A, Nature, 450, pp. 887-892, (2007); Skog O., Korsgren S., Wiberg A., Danielsson A., Edwin B., Buanes T., Krogvold L., Korsgren O., Dahl-Jorgensen K., Expression of Human Leukocyte Antigen Class I in Endocrine and Exocrine Pancreatic Tissue at Onset of Type 1 Diabetes, Am. J. Pathol., 185, pp. 129-138, (2015); Wang Y.J., Traum D., Schug J., Gao L., Liu C., Atkinson M.A., Powers A.C., Feldman M.D., Naji A., Et al., Multiplexed In Situ Imaging Mass Cytometry Analysis of the Human Endocrine Pancreas and Immune System in Type 1 Diabetes, Cell Metab., 29, pp. 769-783.e4, (2019); ALHAMAR G., FALLUCCA S., PIERALICE S., VALENTE L., POZZILLI P., 1492-P: IL-8/CXCL8 May Identify a New Type 1 Diabetes Endotype, Diabetes, 72, (2023); Cimini F.A., Barchetta I., Porzia A., Mainiero F., Costantino C., Bertoccini L., Ceccarelli V., Morini S., Baroni M.G., Lenzi A., Cavallo M.G., Circulating IL-8 levels are increased in patients with type 2 diabetes and associated with worse inflammatory and cardiometabolic profile, Acta Diabetol., 54, pp. 961-967, (2017); Hao Y., Hao S., Andersen-Nissen E., Mauck W.M., Zheng S., Butler A., Lee M.J., Wilk A.J., Darby C., Zager M., Et al., Integrated analysis of multimodal single-cell data, Cell, 184, pp. 3573-3587.e29, (2021); Germain P.-L., Lun A., Garcia Meixide C., Macnair W., Robinson M.D., Doublet identification in single-cell sequencing data using scDblFinder, F1000Res., 10, (2021); Amezquita R.A., Lun A.T.L., Becht E., Carey V.J., Carpp L.N., Geistlinger L., Marini F., Rue-Albrecht K., Risso D., Soneson C., Et al., Orchestrating single-cell analysis with Bioconductor, Nat. Methods, 17, pp. 137-145, (2020); Hafemeister C., Satija R., Normalization and variance stabilization of single-cell RNA-seq data using regularized negative binomial regression, Genome Biol., 20, (2019); R: A Language and Environment for Statistical Computing, (2021); Kuhn M., Building Predictive Models in R Using the caret Package, J. Stat. Softw., 28, pp. 1-26, (2008); Wickham H., Francois R., Henry L., Muller K., A Grammar of Data Manipulation, (2022); Bates D., Maechler M., Matrix: Sparse and Dense Matrix Classes and Methods, (2021); Valero-Mora P.M., ggplot2: Elegant Graphics for Data Analysis, J. Stat. Softw., 35, pp. 1-3, (2010); Kassambara A., ggpubr: 'ggplot2' Based Publication Ready Plots, (2020); Wilke C.O., cowplot: Streamlined Plot Theme and Plot Annotations for 'ggplot2, (2020); Song M., Zhong H., Efficient weighted univariate clustering maps outstanding dysregulated genomic zones in human cancers, Bioinformatics, 36, pp. 5027-5036, (2020); Wang H., Song M., Optimal k-means Clustering in One Dimension by Dynamic Programming, R J., 3, pp. 29-33, (2011); Zheng G.X.Y., Terry J.M., Belgrader P., Ryvkin P., Bent Z.W., Wilson R., Ziraldo S.B., Wheeler T.D., McDermott G.P., Zhu J., Et al., Massively parallel digital transcriptional profiling of single cells, Nat. Commun., 8, (2017); Patil A.R., HPAP scRNA-seq workflow, (2022); Hearst M.A., Dumais S.T., Osuna E., Platt J., Scholkopf B., Support vector machines, IEEE Intell. Syst. Their Appl., 13, pp. 18-28, (1998); Rish I., An Empirical Study of the Naïve Bayes Classifier, IJCAI 2001 Work Empir Methods Artif Intell, 3, (2001); Schapire R.E., Nonlinear Estimation and Classification, Lecture Notes in Statistics, pp. 149-171, (2003); Elith J., Leathwick J.R., Hastie T., A working guide to boosted regression trees, J. Anim. Ecol., 77, pp. 802-813, (2008); Li Y., Umbach D.M., Bingham A., Li Q.J., Zhuang Y., Li L., Putative biomarkers for predicting tumor sample purity based on gene expression data, BMC Genom., 20, (2019); Wu T., Hu E., Xu S., Chen M., Guo P., Dai Z., Feng T., Zhou L., Tang W., Zhan L., Et al., clusterProfiler 4.0: A universal enrichment tool for interpreting omics data, Innovation, 2, (2021); Zhou Y., Zhou B., Pache L., Chang M., Khodabakhshi A.H., Tanaseichuk O., Benner C., Chanda S.K., Metascape provides a biologist-oriented resource for the analysis of systems-level datasets, Nat. Commun., 10, (2019); Sherman B.T., Hao M., Qiu J., Jiao X., Baseler M.W., Lane H.C., Imamichi T., Chang W., DAVID: a web server for functional enrichment analysis and functional annotation of gene lists (2021 update), Nucleic Acids Res., 50, pp. W216-W221, (2022); Ashburner M., Ball C.A., Blake J.A., Botstein D., Butler H., Cherry J.M., Davis A.P., Dolinski K., Dwight S.S., Eppig J.T., Et al., Gene ontology: tool for the unification of biology. The Gene Ontology Consortium, Nat. Genet., 25, pp. 25-29, (2000); The Gene Ontology resource: enriching a GOld mine, Nucleic Acids Res., 49, pp. D325-D334, (2021); Kanehisa M., Toward understanding the origin and evolution of cellular organisms, Protein Sci., 28, pp. 1947-1951, (2019); Kanehisa M., Furumichi M., Sato Y., Kawashima M., Ishiguro-Watanabe M., KEGG for taxonomy-based analysis of pathways and genomes, Nucleic Acids Res., 51, pp. D587-D592, (2023); Kanehisa M., Goto S., KEGG: kyoto encyclopedia of genes and genomes, Nucleic Acids Res., 28, pp. 27-30, (2000); Szklarczyk D., Gable A.L., Lyon D., Junge A., Wyder S., Huerta-Cepas J., Simonovic M., Doncheva N.T., Morris J.H., Bork P., Et al., STRING v11: protein-protein association networks with increased coverage, supporting functional discovery in genome-wide experimental datasets, Nucleic Acids Res., 47, pp. D607-D613, (2019); Doncheva N.T., Morris J.H., Gorodkin J., Jensen L.J., Cytoscape StringApp: Network Analysis and Visualization of Proteomics Data, J. Proteome Res., 18, pp. 623-632, (2019); Shannon P., Markiel A., Ozier O., Baliga N.S., Wang J.T., Ramage D., Amin N., Schwikowski B., Ideker T., Cytoscape: a software environment for integrated models of biomolecular interaction networks, Genome Res., 13, pp. 2498-2504, (2003); Doncheva N.T., Assenov Y., Domingues F.S., Albrecht M., Topological analysis and interactive visualization of biological networks and protein structures, Nat. Protoc., 7, pp. 670-685, (2012); Love M.I., Huber W., Anders S., Moderated estimation of fold change and dispersion for RNA-seq data with DESeq2, Genome Biol., 15, (2014)</t>
  </si>
  <si>
    <t xml:space="preserve">G. Vahedi; Department of Genetics, University of Pennsylvania Perelman School of Medicine, Philadelphia, 19104, United States; email: vahedi@pennmedicine.upenn.edu</t>
  </si>
  <si>
    <t xml:space="preserve">Cell Rep. Med.</t>
  </si>
  <si>
    <t xml:space="preserve">2-s2.0-85192481693</t>
  </si>
  <si>
    <t xml:space="preserve">Vij P.; Prashant P.M.</t>
  </si>
  <si>
    <t xml:space="preserve">Vij, Priya (58859246200); Prashant, Patil Manisha (59241824600)</t>
  </si>
  <si>
    <t xml:space="preserve">58859246200; 59241824600</t>
  </si>
  <si>
    <t xml:space="preserve">Novel AI-driven Malaria Prediction for Optimizing Public Health Management</t>
  </si>
  <si>
    <t xml:space="preserve">Malaria is an unmoving real common well-being apprehension in Asian nations like the Republic of India, where the state characterizes approximately 55% of the session events cutting-edge the infirmaries. They are usually distinguished by the absence of appropriate therapeutic care provision and the often late and error-prone diagnosis of the condition. In particular, commonly used devices such as the Rapid Diagnosis Test (RDT) are not completely dependable. They are primarily notable for their failure to provide adequate medical treatment and their tendency to diagnose the disease late and incorrectly. For example, widely used devices like the RDT are not consistent. To improve public health management actions, this work offers a unique augmented tree with penguin search optimization (AT+PSO) methodology for malaria forecasting. The suggested method combines the PSO algorithm with the augmented tree model, also known as random forest (RF). In the preprocessing stage, raw data samples are subjected to data normalization. Then, we applied the PSO to improve the characteristics of the RF model after successfully predicting malaria with the RF. The Python program is used to implement the suggested technique and analyze performance using a range of measures, including accuracy (0.988), sensitivity (0.987), specificity (0.991), F1-score (0.988), and MCC (0.975). In summary, our suggested approach produced the best results in terms of accuracy as opposed to other current strategies for predicting malaria to improve governance of public health. © 2024, Jacobs Verlag. All rights reserved.</t>
  </si>
  <si>
    <t xml:space="preserve">diagnostics and policy planning</t>
  </si>
  <si>
    <t xml:space="preserve">South Eastern European Journal of Public Health</t>
  </si>
  <si>
    <t xml:space="preserve">Jacobs Verlag</t>
  </si>
  <si>
    <t xml:space="preserve">10.70135/seejph.vi.868</t>
  </si>
  <si>
    <t xml:space="preserve">https://www.scopus.com/inward/record.uri?eid=2-s2.0-85204958059&amp;doi=10.70135%2fseejph.vi.868&amp;partnerID=40&amp;md5=2f4d878ee46aa6189d42b71d38e619c6</t>
  </si>
  <si>
    <t xml:space="preserve">Department of CS &amp; IT, Kalinga University, Raipur, India</t>
  </si>
  <si>
    <t xml:space="preserve">Vij P., Department of CS &amp; IT, Kalinga University, Raipur, India; Prashant P.M., Department of CS &amp; IT, Kalinga University, Raipur, India</t>
  </si>
  <si>
    <t xml:space="preserve">augmented tree with penguin search optimization (AT+PSO); Malaria; management; prediction; public health; random forest (RF)</t>
  </si>
  <si>
    <t xml:space="preserve">Eze P.U., Asogwa andC.O., Deep machine learning model trade-offs for malaria elimination in resource-constrained locations, Bioengineering, 8, 11, (2021); Sherrard-Smith E., Winskill P., Hamlet A., Ngufor C., N'Guessan R., Guelbeogo M.W., Sanou A., Nash R.K., Hill A., Russell E.L., Woodbridge M., Optimizing the deployment of vector control tools against malaria: a data-informed modeling study, The Lancet Planetary Health, 6, 2, pp. e100-e109, (2022); Nkiruka O., Prasad R., Clement andO., Prediction of malaria incidence using climate variability and machine learning, Informatics in medicine Unlocked, 22, (2021); Srinivasa Rao M., Praveen Kumar S., Srinivasa Rao K., Classification of Medical Plants Based on Hybridization of Machine Learning Algorithms, Indian Journal of Information Sources and Services, 13, 2, pp. 14-21, (2023); Onuche-Ojo E.S., Eseyin Joseph B., Dako Apaleokhai D., IzuafaBraimah A., Nigeria andJ., Advancing Malaria Detection: A Comparative Study and Proposal for Web-Based Predictive Application Utilizing Convolutional Neural Network and TensorFlow, International Journal of Research and Innovation in Applied Science, 9, 6, pp. 222-232, (2024); Lubinda J., Bi Y., Haque U., Lubinda M., Hamainza B., Moore A.J., Spatio-temporal monitoring of health facility-level malaria trends in Zambia and adaptive scaling for operational intervention, Communications medicine, 2, 1, (2022); Alamer L., Alqahtani I. M., Shadadi E., Intelligent Health Risk and Disease Prediction Using Optimized Naive Bayes Classifier, Journal of Internet Services and Information Security, 13, 1, pp. 01-10, (2023); Dieng M.D.B., Tompkins A.M., Arnault J., Sie A., Fersch B., Laux P., Schwarz M., Zabre P., Munga S., Khagayi S., Diouf L., Process‐based atmosphere‐hydrology‐malaria modeling: Performance for spatio‐temporal malaria transmission dynamics in Sub‐Saharan Africa, Water Resources Research, 60, 6, (2024); Minakshi M., Bhuiyan T., Kariev S., Kaddumukasa M., Loum D., Stanley N.B., Chellappan S., Habomugisha P., Oguttu D.W., Jacob B.G., High-accuracy detection of malaria mosquito habitats using drone-based multispectral imagery and Artificial Intelligence (AI) algorithms in an agro-village peri-urban pastureland intervention site (Akonyibedo) in UnyamaSubCounty,” Gulu District, Northern Uganda, Journal of Public Health and Epidemiology, 12, 3, pp. 202-217, (2020); Rika R., Bob S.R., Suparni S., Comparative Analysis of Support Vector Machine and Convolutional Neural Network for Malaria Parasite Classification and Feature Extraction, Journal of Wireless Mobile Networks, Ubiquitous Computing, and Dependable Applications, 14, 3, pp. 194-217, (2023); Ravi N, Kulkarni Swanand, Smart Ways to Catch the Abutment DRCs at IP Level, Journal of VLSI Circuits and Systems, 6, 1, pp. 51-54, (2023); Suriya M., Chandran V., Sumithra M.G., Enhanced deep convolutional neural network for malarial parasite classification, International Journal of Computers and Applications, 44, 12, pp. 1113-1122, (2022); Ribeiro M.H.D.M., Mariani V.C., andL. dos Santos Coelho,“Multi-step ahead meningitis case forecasting based on decomposition and multi-objective optimization methods, Journal of Biomedical Informatics, 111, (2020); Awine T., Silal S.P., Accounting for regional transmission variability and the impact of malaria control interventions in Ghana: a population level mathematical modelling approach, Malaria Journal, 19, pp. 1-21, (2020); Sinka M.E., Pironon S., Massey N.C., Longbottom J., Hemingway J., Moyes C.L., Willis K.L., A new malaria vector in Africa: predicting the expansion range of Anopheles stephensi and identifying the urban populations at risk, Proceedings of the National Academy of Sciences, 117, 40, pp. 24900-24908, (2020)</t>
  </si>
  <si>
    <t xml:space="preserve">South East. Euro. J. Publ. Heal.</t>
  </si>
  <si>
    <t xml:space="preserve">2-s2.0-85204958059</t>
  </si>
  <si>
    <t xml:space="preserve">Christakis N.; Drikakis D.</t>
  </si>
  <si>
    <t xml:space="preserve">Christakis, Nicholas (57196571946); Drikakis, Dimitris (56273846200)</t>
  </si>
  <si>
    <t xml:space="preserve">57196571946; 56273846200</t>
  </si>
  <si>
    <t xml:space="preserve">On particle dispersion statistics using unsupervised learning and Gaussian mixture models</t>
  </si>
  <si>
    <t xml:space="preserve">Understanding the dispersion of particles in enclosed spaces is crucial for controlling the spread of infectious diseases. This study introduces an innovative approach that combines an unsupervised learning algorithm with a Gaussian mixture model to analyze the behavior of saliva droplets emitted from a coughing individual. The algorithm effectively clusters data, while the Gaussian mixture model captures the distribution of these clusters, revealing underlying sub-populations and variations in particle dispersion. Using computational fluid dynamics simulation data, this integrated method offers a robust, data-driven perspective on particle dynamics, unveiling intricate patterns and probabilistic distributions previously unattainable. The combined approach significantly enhances the accuracy and interpretability of predictions, providing valuable insights for public health strategies to prevent virus transmission in indoor environments. The practical implications of this study are profound, as it demonstrates the potential of advanced unsupervised learning techniques in addressing complex biomedical and engineering challenges and underscores the importance of coupling sophisticated algorithms with statistical models for comprehensive data analysis. The potential impact of these findings on public health strategies is significant, highlighting the relevance of this research to real-world applications. © 2024 Author(s).</t>
  </si>
  <si>
    <t xml:space="preserve">Physics of Fluids</t>
  </si>
  <si>
    <t xml:space="preserve">American Institute of Physics</t>
  </si>
  <si>
    <t xml:space="preserve">10.1063/5.0229111</t>
  </si>
  <si>
    <t xml:space="preserve">https://www.scopus.com/inward/record.uri?eid=2-s2.0-85203650314&amp;doi=10.1063%2f5.0229111&amp;partnerID=40&amp;md5=50baf63425cc9072ace4853cbbddc8eb</t>
  </si>
  <si>
    <t xml:space="preserve">Institute for Advanced Modeling and Simulation, University of Nicosia, Nicosia, CY-2417, Cyprus; Laboratory of Applied Mathematics, University of Crete, Heraklion, GR-70013, Greece</t>
  </si>
  <si>
    <t xml:space="preserve">Christakis N., Institute for Advanced Modeling and Simulation, University of Nicosia, Nicosia, CY-2417, Cyprus, Laboratory of Applied Mathematics, University of Crete, Heraklion, GR-70013, Greece; Drikakis D., Institute for Advanced Modeling and Simulation, University of Nicosia, Nicosia, CY-2417, Cyprus</t>
  </si>
  <si>
    <t xml:space="preserve">Diseases; Gaussian distribution; Malaria control; Computational fluid dynamics simulations; Enclosed spaces; Gaussian Mixture Model; Infectious disease; Innovative approaches; Integrated method; Particle dispersion; Simulation data; Sub-populations; Unsupervised learning algorithms; Unsupervised learning</t>
  </si>
  <si>
    <t xml:space="preserve">Environment Executive Agency; European Union's Horizon Europe Research and Innovation Actions Programme, (101069937)</t>
  </si>
  <si>
    <t xml:space="preserve">This paper was supported by the European Union's Horizon Europe Research and Innovation Actions Programme under Grant Agreement No. 101069937, project name: HS4U (HEALTHY SHIP 4U). Views and opinions expressed are those of the author(s) only and do not necessarily reflect those of the European Union or the European Climate, Infrastructure, and Environment Executive Agency. Neither the European Union nor the granting authority can be held responsible for them.</t>
  </si>
  <si>
    <t xml:space="preserve">Caldera-Crespo L.A., Paidas M.J., Roy S., Schulman C.I., Kenyon N.S., Daunert S., Jayakumar A.R., Experimental models of COVID-19, Front. Cell. Infect. Microbiol., 11, (2022); Keeling M.J., Rohani P., Modeling Infectious Diseases in Humans and Animals, (2008); Wang J., Mathematical models for covid-19: Applications, limitations, and potentials, J. Public Health Emerg., 4, (2020); Dbouk T., Drikakis D., On coughing and airborne droplet transmission to humans, Phys. Fluids, 32, (2020); Dbouk T., Drikakis D., On respiratory droplets and face masks, Phys. Fluids, 32, (2020); Christakis N., Barbaris V., Spentzos A., A new approach in financial modelling with the aid of artificial neural networks, J. Algorithms Comput. Technol., 5, pp. 513-529, (2011); Christakis N., Tirchas P., Politis M., Achladianakis M., Avgenikou E., Kossioris G., COVID-liberty, a machine learning computational framework for the study of the COVID-19 pandemic in Europe. Part 2: Setting up the framework with ensemble modeling, Int. J. Neural Networks Adv. Appl., 8, pp. 27-42, (2021); Poulinakis K., Drikakis D., Kokkinakis I.W., Spottswood S.M., Machine-learning methods on noisy and sparse data, Mathematics, 11, (2023); Drikakis D., Sofos F., Can artificial intelligence accelerate fluid mechanics research?, Fluids, 8, (2023); Shen X., Jiang C., Wen Y., Li C., Lu Q., A brief review on deep learning applications in genomic studies, Front. Syst. Biol., 2, (2022); Vlachos A., Evaluating unsupervised learning for natural language processing tasks, Proceedings of EMNLP 2011, Conference on Empirical Methods in Natural Language Processing, pp. 35-42, (2011); Matchev K.T., Matcheva K., Roman A., Unsupervised machine learning for exploratory data analysis of exoplanet transmission spectra, Planet. Sci. J., 3, (2022); Alloghani M., Al-Jumeily D., Mustafina J., Hussain A., Aljaaf A.J., A systematic review on supervised and unsupervised machine learning algorithms for data science, Supervised and Unsupervised Learning for Data Science, pp. 3-21, (2020); Christakis N., Drikakis D., Reducing uncertainty and increasing confidence in unsupervised learning, Mathematics, 11, (2023); Christakis N., Drikakis D., Unsupervised learning of particles dispersion, Mathematics, 11, (2023); Christakis N., Drikakis D., Ritos K., Kokkinakis I.W., Unsupervised machine learning of virus dispersion indoors, Phys. Fluids, 36, (2024); Chen T., Morris J., Martin E., Probability density estimation via an infinite gaussian mixture model: Application to statistical process monitoring, J. R. Stat. Soc., Ser. C, 55, pp. 699-715, (2006); Who coronavirus disease (covid-19) dashboard data, (2021); Yan Y., Li X., Fang X., Yan P., Tu J., Transmission of covid-19 virus by cough-induced particles in an airliner cabin section, Eng. Appl. Comput. Fluid Mech., 15, pp. 934-950, (2021); Wang W., Wang F., Lai D., Chen Q., Evaluation of SARS-CoV-2 transmission and infection in airliner cabins, Indoor Air, 32, (2022); Wang F., Zhang T., You R., Chen Q., Evaluation of infection probability of COVID-19 in different types of airliner cabins, Build. Environ., 234, (2023); Dbouk T., Drikakis D., On pollen and airborne virus transmission, Phys. Fluids, 33, 6, (2021); Dbouk T., Drikakis D., Weather impact on airborne coronavirus survival, Phys. Fluids, 32, (2020); Dbouk T., Drikakis D., On airborne virus transmission in elevators and confined spaces, Phys. Fluids, 33, (2021); Bushwick S., Lewis T., Montanez A., Evaluating COVID Risk on Planes, Trains and Automobiles, (2020); Mathai V., Das A., Bailey J., Breuer K., Airflows inside passenger cars and implications for airborne disease transmission, Sci. Adv., 7, (2021); Mathai V., Das A., Breuer K., Aerosol transmission in passenger car cabins: Effects of ventilation configuration and driving speed, Phys. Fluids, 34, (2022); Luo K., Lei Z., Hai Z., Xiao S., Rui J., Yang H., Jing X., Wang H., Xie Z., Luo P., Li W., Li Q., Tan H., Xu Z., Yang Y., Hu S., Chen T., Transmission of SARS-CoV-2 in public transportation vehicles: A case study in Hunan Province, China, Open Forum Infect. Dis., 7, (2020); Shen Y., Li C., Dong H., Wang Z., Martinez L., Sun Z., Handel A., Chen Z., Chen E., Ebell M.H., Wang F., Yi B., Wang H., Wang X., Wang A., Chen B., Qi Y., Liang L., Li Y., Ling F., Chen J., Xu G., Community outbreak investigation of SARS-CoV-2 transmission among bus riders in Eastern China, JAMA Intern. Med., 180, pp. 1665-1671, (2020); Azimi P., Keshavarz Z., Laurent J., Stephens B.R., Allen J.G., Mechanistic transmission modeling of covid-19 on the diamond princess cruise ship demonstrates the importance of aerosol transmission, (2020); Moriarty L., Plucinski M., Marston B.J., Public health responses to covid-19 outbreaks on cruise ships - Worldwide, Morb. Mortal. Wkly. Rep., 69, pp. 347-352, (2020); Rosca E.C., Heneghan C., Spencer E.A., Brassey J., Pluddemann A., Onakpoya I.J., Evans D., Conly J.M., Jefferson T., Transmission of SARS-CoV-2 associated with cruise ship travel: A systematic review, Trop. Med. Infect. Dis., 7, (2022); Huang L., Riyadi I., Utama S., Li M., Sun P., Thomas G., Covid-19 transmission inside a small passenger vessel: Risks and mitigation, Ocean Eng., 255, (2022); Saunders A., Cruise lines change ship ventilation systems as part of overall COVID strategy, (2020); Wiles K., Cruise ship ac systems could promote rapid coronavirus spread, prof says, (2020); Almilaji O., Air recirculation role in the spread of COVID-19 onboard the siamond princess cruise ship during a quarantine period, Aerosol Air Qual. Res., 21, (2021); Zhou J., Chen S.P., Shi W.W., Kanrak M., Ge J., The impacts of COVID-19 on the cruise industry based on an empirical study in china, Mar. Policy, 153, (2023); Bazant M.Z., Bush J.W.M., A guideline to limit indoor airborne transmission of COVID-19, Proc. Natl. Acad. Sci. U. S. A., 118, (2021); COVID-19 Ventilation in Buildings 2023; ANSI/ASHRAE Standard 241-2023, Control of Infectious Aerosols, (2023); ANSI/ASHRAE Standard 62.1-2019, Ventilation and Acceptable Indoor Air Quality, (2019); Roadmap to improve and ensure good indoor ventilation in the context of COVID-19; COVID-19 guidance 4.1, how to operate HVAC and other building service systems to prevent the spread of the coronavirus (SARS-CoV-2) disease (COVID-19) in workplaces; Li Y., Cheng P., Jia W., Poor ventilation worsens short-range airborne transmission of respiratory infection, Indoor Air, 32, (2022); Legal framework regarding indoor air quality; Allen J.G., Macomber J.D., Healthy Buildings: How Indoor Spaces Can Make You Sick-Or Keep You Well, (2022); ANSI/ASHRAE Standard 62.2-2019, Ventilation and Acceptable Indoor Air Quality in Residential Buildings, (2019); Ritos K., Drikakis D., Kokkinakis I., Virus spreading in cruiser cabin, Phys. Fluids, 35, (2023); Zhao X., Liu S., Yin Y., Zhang T.T., Chen Q., Airborne transmission of covid-19 virus in enclosed spaces: An overview of research methods, Indoor Air, 32, (2022); Dhand R., Li J., Coughs and sneezes: Their role in transmission of respiratory viral infections, including SARS-CoV-2, Am. J. Respir. Crit. Care Med., 202, pp. 651-659, (2020); Panic B., Klemenc J., Nagode M., Gaussian mixture model based classification revisited: Application to the bearing fault classification, J. Mech. Eng./Strojniški Vestnik, 66, pp. 251-256, (2020); Jebarani P.E., Umadevi N., Dang H., Pomplun M., A novel hybrid k-means and GMM machine learning model for breast cancer detection, IEEE Access, 9, pp. 146153-146162, (2021); Hajihosseinlou M., Maghsoudi A., Ghezelbash R., A comprehensive evaluation of optics, GMM and K-means clustering methodologies for geochemical anomaly detection connected with sample catchment basins, Geochemistry, 84, (2024); Chan C., Feng F., Ottinger J., Foster D., West M., Kepler T.B., Statistical mixture modeling for cell subtype identification in flow cytometry, Cytometry, Part A, 73, pp. 693-701, (2008); Khansari-Zadeh S.M., Billard A., Learning stable nonlinear dynamical systems with gaussian mixture models, IEEE Trans. Rob., 27, pp. 943-957, (2011); Wiest J., Hoffken M., Kressel U., Dietmayer K., Probabilistic trajectory prediction with Gaussian mixture models, 2012 IEEE Intelligent Vehicles Symposium, pp. 141-146, (2012); Varolgunes Y.B., Bereau T., Rudzinski J.F., Interpretable embeddings from molecular simulations using Gaussian mixture variational autoencoders, Mach. Learn.: Sci. Technol., 1, (2020); Bitaab M., Hashemi S., Hybrid intrusion detection: Combining decision tree and Gaussian mixture model, 2017 14th International ISC (Iranian Society of Cryptology) Conference on Information Security and Cryptology (ISCISC), pp. 8-12, (2017); Wan H., Wang H., Scotney B., Liu J., A novel Gaussian mixture model for classification, 2019 IEEE International Conference on Systems, Man and Cybernetics (SMC), pp. 3298-3303, (2019); Scrucca L., Fop M., Murphy T.B., Raftery A.E., mclust 5: Clustering, classification and density estimation using Gaussian finite mixture models, R J., 8, (2016); Ikotun A.M., Ezugwu A.E., Abualigah L., Abuhaija B., Heming J., K-means clustering algorithms: A comprehensive review, variants analysis, and advances in the era of big data, Inf. Sci., 622, pp. 178-210, (2023); Reynolds D.A., A Gaussian Mixture Modeling Approach to Text-Independent Speaker Identification, (1992); Drossinos Y., Weber T.P., Stilianakis N.I., Droplets and aerosols: An artificial dichotomy in respiratory virus transmission, Health Sci. Rep., 4, (2021); Randall K., Ewing E.T., Marr L.C., Jimenez J.L., Bourouiba L., How did we get here: What are droplets and aerosols and how far do they go? A historical perspective on the transmission of respiratory infectious diseases, Interface Focus, 11, (2021); Pohlker M.L., Pohlker C., Kruger O.O., Forster J.-D., Berkemeier T., Elbert W., Frohlich-Nowoisky J., Poschl U., Bagheri G., Bodenschatz E., Et al., Respiratory aerosols and droplets in the transmission of infectious diseases, Rev. Mod. Phys., 95, (2023); Verma T.N., Sahu A.K., Sinha S.L., Study of particle dispersion on one bed hospital using computational fluid dynamics, Mater. Today: Proc., 4, pp. 10074-10079, (2017); Tan H., Wong K.Y., Othman M.H.D., Kek H.Y., Wahab R.A., Ern G.K.P., Chong W.T., Lee K.Q., Current and potential approaches on assessing airflow and particle dispersion in healthcare facilities: A systematic review, Environ. Sci. Pollut. Res., 29, pp. 80137-80160, (2022)</t>
  </si>
  <si>
    <t xml:space="preserve">D. Drikakis; Institute for Advanced Modeling and Simulation, University of Nicosia, Nicosia, CY-2417, Cyprus; email: drikakis.d@unic.ac.cy</t>
  </si>
  <si>
    <t xml:space="preserve">PHFLE</t>
  </si>
  <si>
    <t xml:space="preserve">Phys. Fluids</t>
  </si>
  <si>
    <t xml:space="preserve">2-s2.0-85203650314</t>
  </si>
  <si>
    <t xml:space="preserve">Gul S.; Azhar E.; Ahmed I.; Jamal M.</t>
  </si>
  <si>
    <t xml:space="preserve">Gul, Saeeda (58891688800); Azhar, Ehtsham (57191033075); Ahmed, Iftikhar (57670455100); Jamal, Muhammad (56176562800)</t>
  </si>
  <si>
    <t xml:space="preserve">58891688800; 57191033075; 57670455100; 56176562800</t>
  </si>
  <si>
    <t xml:space="preserve">Optimizing Chikungunya epidemiology control with Wolbachia using artificial neural network-based evolutionary algorithms</t>
  </si>
  <si>
    <t xml:space="preserve">The increasing incidence of Chikungunya virus (CHIKV) as an important public health issue led to the investigation of novel approaches to disease control. In this study, we analyze Chikungunya epidemic model in the presence of Wolbachia-infected mosquitoes, which is a promising biological approach for controlling vector-borne diseases. The basic reproduction number (R0) of the proposed model is calculated using the next generation matrix approach. In this study, we utilize a hybrid methodology that combines the genetic algorithm (GA) and interior point algorithm (IPA) to numerically solve the proposed Chikungunya epidemic model. Our investigation examines the impact of key parameters, such as biting rate, reproduction rate, mortality rate, and transmission probability, on the complex dynamics of disease classes. This analysis provides valuable insights into the transmission dynamics of Chikungunya and highlights the potential effectiveness of interventions based on Wolbachia. We conclude that the numerical findings produced using the hybrid GA and IPA are in good agreement with those obtained using the traditional fourth-order Runge-Kutta (RK4) approach.  © 2024 World Scientific Publishing Europe Ltd.</t>
  </si>
  <si>
    <t xml:space="preserve">policy planning</t>
  </si>
  <si>
    <t xml:space="preserve">International Journal of Computational Materials Science and Engineering</t>
  </si>
  <si>
    <t xml:space="preserve">World Scientific</t>
  </si>
  <si>
    <t xml:space="preserve">10.1142/S2047684124500027</t>
  </si>
  <si>
    <t xml:space="preserve">https://www.scopus.com/inward/record.uri?eid=2-s2.0-85185278633&amp;doi=10.1142%2fS2047684124500027&amp;partnerID=40&amp;md5=6a9cca49338dbbaac07d73594fc5e4e2</t>
  </si>
  <si>
    <t xml:space="preserve">Department of Mathematics, PMAS Arid Agriculture University, Rawalpindi, 46000, Pakistan; Department of Mathematics, COMSATS University Islamabad, Islamabad Campus, 44000, Pakistan; Department of Mathematics, University of Illinois at Urbana-Champaign, Urbana, IL, United States</t>
  </si>
  <si>
    <t xml:space="preserve">Gul S., Department of Mathematics, PMAS Arid Agriculture University, Rawalpindi, 46000, Pakistan; Azhar E., Department of Mathematics, PMAS Arid Agriculture University, Rawalpindi, 46000, Pakistan; Ahmed I., Department of Mathematics, COMSATS University Islamabad, Islamabad Campus, 44000, Pakistan, Department of Mathematics, University of Illinois at Urbana-Champaign, Urbana, IL, United States; Jamal M., Department of Mathematics, PMAS Arid Agriculture University, Rawalpindi, 46000, Pakistan</t>
  </si>
  <si>
    <t xml:space="preserve">basic reproduction number; Chikungunya; disease-free equilibrium (DFE) points; genetic algorithm (GA); interior point algorithm (IPA); mathematical modeling; neural network; Wolbachia</t>
  </si>
  <si>
    <t xml:space="preserve">Agusto F. B., Et al., Mathematical model of three age-structured transmission dynamics of Chikungunya virus, Comput. Math. Methods Med, (2016); Diekmann O., Heesterbeek J. A. P., Metz J. A. J., On the definition and the computation of the basic reproduction ratio r0 in models for infectious diseases in heterogeneous populations, J. Math. Biol, 28, pp. 365-382, (1990); Dumont Y., Chiroleu F., Domerg C., On a temporal model for the Chikungunya disease: Modeling, theory and numerics, Math. Biosci, 213, 1, pp. 80-91, (2008); Egas M., Vala F., Breeuwer J. A. J., On the evolution of cytoplasmic incompatibility in haplodiploid species, Evolution, 56, 6, pp. 1101-1109, (2002); Hassanat A. B., Surya Prasath V. B., Abbadi M. A., Abu-Qdari S. A., Faris H., An improved genetic algorithm with a new initialization mechanism based on regression techniques, Information, 9, 7, (2018); Hemingway J., Ranson H., Insecticide resistance in insect vectors of human disease, Annu. Rev. Entomol, 45, 1, pp. 371-391, (2000); Hincapie-Palacio D., Ospina J., Mathematical modeling of Chikungunya fever control, Smart Biomedical and Physiological Sensor Technology XII, 9487, pp. 132-141, (2015); Hoffmann A. A., Et al., Successful establishment of Wolbachia in Aedes populations to suppress dengue transmission, Nature, 476, 7361, pp. 454-457, (2011); Holland J. H., Genetic algorithms, Sci. Am, 267, 1, pp. 66-73, (1992); Kuo W., Rajendra Prasad V., An annotated overview of system-reliability optimization, IEEE Trans. Reliab, 49, 2, pp. 176-187, (2000); Langazane S. N., Saha A. K., Effects of particle swarm optimization and genetic algorithm control parameters on overcurrent relay selectivity and speed, IEEE Access, 10, pp. 4550-4567, (2022); Laven H., Cytoplasmic inheritance in culex, Nature, 177, 4499, pp. 141-142, (1956); Mehta N., Brazil releases wolbachia infected mosquitoes to fight dengue." Moulay, D., Aziz-Alaoui, M. A. and Cadivel, M. [2011] "The Chikungunya disease: Modeling, vector and transmission global dynamics, Math. Biosci, 229, 1, pp. 50-63, (2014); Naowarat S., Tang I. M., Transmission model of Chikungunya fever in the presence of two species of Aedes mosquitoes, Am. J. Appl. Sci, 10, 5, (2013); Sabir Z., Wahab H. A., Umar M., Erdogan F., Stochastic numerical approach for solving second order nonlinear singular functional differential equation, Appl. Math. Comput, 363, (2019); Yakob L., Clements A. C. A., A mathematical model of Chikungunya dynamics and control: The major epidemic on Ŕeunion Island, PLoS One, 8, 3, (2013)</t>
  </si>
  <si>
    <t xml:space="preserve">S. Gul; Department of Mathematics, PMAS Arid Agriculture University, Rawalpindi, 46000, Pakistan; email: saeeda.gul.yaseen@gmail.com</t>
  </si>
  <si>
    <t xml:space="preserve">Int. J. Comput. Mater. Sci. Eng.</t>
  </si>
  <si>
    <t xml:space="preserve">2-s2.0-85185278633</t>
  </si>
  <si>
    <t xml:space="preserve">Huang K.-Y.; Lin C.-H.; Chi S.-H.; Hsu Y.-L.; Xu J.-L.</t>
  </si>
  <si>
    <t xml:space="preserve">Huang, Kuo-Yang (57220900897); Lin, Ching-Hsiung (36018426500); Chi, Shu-Hua (58804263800); Hsu, Ying-Lin (35316130800); Xu, Jia-Lang (57248397700)</t>
  </si>
  <si>
    <t xml:space="preserve">57220900897; 36018426500; 58804263800; 35316130800; 57248397700</t>
  </si>
  <si>
    <t xml:space="preserve">Optimizing extubation success: a comparative analysis of time series algorithms and activation functions</t>
  </si>
  <si>
    <t xml:space="preserve">Background: The success and failure of extubation of patients with acute respiratory failure is a very important issue for clinicians, and the failure of the ventilator often leads to possible complications, which in turn leads to a lot of doubts about the medical treatment in the minds of the people, so in order to increase the success of extubation success of the doctors to prevent the possible complications, the present study compared different time series algorithms and different activation functions for the training and prediction of extubation success or failure models. Methods: This study compared different time series algorithms and different activation functions for training and predicting the success or failure of the extubation model. Results: The results of this study using four validation methods show that the GRU model and Tanh’s model have a better predictive model for predicting the success or failure of the extubation and better predictive result of 94.44% can be obtained using Holdout cross-validation validation method. Conclusion: This study proposes a prediction method using GRU on the topic of extubation, and it can provide the doctors with the clinical application of extubation to give advice for reference. Copyright © 2024 Huang, Lin, Chi, Hsu and Xu.</t>
  </si>
  <si>
    <t xml:space="preserve">Frontiers in Computational Neuroscience</t>
  </si>
  <si>
    <t xml:space="preserve">10.3389/fncom.2024.1456771</t>
  </si>
  <si>
    <t xml:space="preserve">https://www.scopus.com/inward/record.uri?eid=2-s2.0-85207032570&amp;doi=10.3389%2ffncom.2024.1456771&amp;partnerID=40&amp;md5=c77abed3d2b8fb7ddb38d15e942a42ec</t>
  </si>
  <si>
    <t xml:space="preserve">Division of Chest Medicine, Department of Internal Medicine, Changhua Christian Hospital, Changhua, Taiwan; Institute of Genomics and Bioinformatics, National Chung Hsing University, Taichung, Taiwan; Ph.D. Program in Medical Biotechnology, National Chung Hsing University, Taichung, Taiwan; Respiratory Therapy Section for Adult, Changhua Christian Hospital, Changhua, Taiwan; Department of Applied Mathematics, Institute of Statistics, National Chung Hsing University, Taichung, Taiwan; Department of Computer Science and Information Engineering, Chaoyang University of Technology, Taichung, Taiwan</t>
  </si>
  <si>
    <t xml:space="preserve">Huang K.-Y., Division of Chest Medicine, Department of Internal Medicine, Changhua Christian Hospital, Changhua, Taiwan, Institute of Genomics and Bioinformatics, National Chung Hsing University, Taichung, Taiwan, Ph.D. Program in Medical Biotechnology, National Chung Hsing University, Taichung, Taiwan; Lin C.-H., Division of Chest Medicine, Department of Internal Medicine, Changhua Christian Hospital, Changhua, Taiwan, Institute of Genomics and Bioinformatics, National Chung Hsing University, Taichung, Taiwan; Chi S.-H., Respiratory Therapy Section for Adult, Changhua Christian Hospital, Changhua, Taiwan; Hsu Y.-L., Department of Applied Mathematics, Institute of Statistics, National Chung Hsing University, Taichung, Taiwan; Xu J.-L., Department of Computer Science and Information Engineering, Chaoyang University of Technology, Taichung, Taiwan</t>
  </si>
  <si>
    <t xml:space="preserve">deep learning; extubation; smart healthcare; time series; weaning</t>
  </si>
  <si>
    <t xml:space="preserve">Deep learning; Medical applications; Activation functions; Comparative analyzes; Deep learning; Extubation; Medical treatment; Respiratory failure; Smart healthcare; Time series algorithms; Times series; Weaning; acute respiratory failure; Article; clinician; comparative study; cross validation; data processing; deep learning; extubation; gated recurrent unit network; hold out cross validation; human; hyperbolic tangent function; information processing; learning algorithm; long short term memory network; machine learning; malaria; mortality; Parkinson disease; predictive model; process optimization; recurrent neural network; respiratory failure; snoring; softsign function; time series analysis; training; weaning; Patient treatment</t>
  </si>
  <si>
    <t xml:space="preserve">Changhua Christian Hospital Research Program, (112-NCHU-CCH-012)</t>
  </si>
  <si>
    <t xml:space="preserve">The authors declare financial support was received for the research, authorship, and/or publication of this article. This research was funded by Changhua Christian Hospital Research Program (No. 112-NCHU-CCH-012). </t>
  </si>
  <si>
    <t xml:space="preserve">Arsenali B., van Dijk J., Ouweltjes O., den Brinker B., Pevernagie D., Krijn R., Et al., Recurrent neural network for classification of snoring and non-snoring sound events, Proceedings of the 2018 40th annual international conference of the IEEE engineering in medicine and biology society (EMBC), pp. 328-331, (2018); Balaji E., Brindha D., Elumalai V.K., Vikrama R., Automatic and non-invasive Parkinson’s disease diagnosis and severity rating using LSTM network, Appl. Soft Comput, 108, (2021); Cheng K.H., Peng M.J., Wu C.L., Outcomes of very elderly patients admitted to a respiratory care center in Taiwan, Int. J. Gerontol, 1, pp. 157-163, (2007); Cheng S.H., Jan I.S., Liu P.C., The soaring mechanic ventilator utilization under a universal health insurance in Taiwan, Health Policy, 86, pp. 288-294, (2008); Cho K., Learning phrase representations using RNN encoder-decoder for statistical machine translation, arXiv, (2014); Chung J., Gulcehre C., Cho K., Bengio Y., Empirical evaluation of gated recurrent neural networks on sequence modeling, arXiv, (2014); Cohen J.N., Gopal A., Roberts K.J., Anderson E., Siegel A.M., Ventilator-dependent patients successfully weaned with cognitive-behavioral therapy: A case series, Psychosomatics, 60, pp. 612-619, (2019); Cooper L.M., Linde-Zwirble W.T., Medicare intensive care unit use: Analysis of incidence, cost, and payment, Crit. Care Med, 32, pp. 2247-2253, (2004); Criner G., Long-term ventilator-dependent patients: New facilities and new models of care. The American perspective, Rev. Portuguesa Pneumol, 18, pp. 214-216, (2012); Gao S., Zheng Y., Guo X., Gated recurrent unit-based heart sound analysis for heart failure screening, Biomed. Eng. Online, 19, pp. 1-17, (2020); Gautam Y., Transfer learning for COVID-19 cases and deaths forecast using LSTM network, ISA Trans, 124, pp. 41-56, (2021); Hagan R., Gillan C.J., Spence I., McAuley D., Shyamsundar M., Comparing regression and neural network techniques for personalized predictive analytics to promote lung protective ventilation in intensive care units, Comput. Biol. Med, 126, (2020); Hai D., Chen C., Yi R., Gou S., Su B.Y., Jiao C., Et al., Heartbeat detection and rate estimation from ballistocardiograms using the gated recurrent unit network, Proceedings of the 2020 42nd annual international conference of the IEEE engineering in medicine &amp; biology society (EMBC) (pp. 451-454), (2020); Hochreiter S., Schmidhuber J., Long short-term memory, Neural Comput, 9, pp. 1735-1780, (1997); Hui C., Lin M.C., Liu T.C., Wu R.G., Mortality and readmission among ventilator-dependent patients after successful weaned discharge from a respiratory care ward, J. Formosan Med. Assoc, 109, pp. 446-455, (2010); Jia Y., Kaul C., Lawton T., Murray-Smith R., Habli I., Prediction of weaning from mechanical ventilation using convolutional neural networks, Artif. Intell. Med, 117, (2021); Kuo P.H., Kuo S.H., Yang P.C., Wu H.D., Lu B.Y., Chen M.T., Predictive value of rapid shallow breathing index measured at initiation and termination of a 2-hour spontaneous breathing trial for weaning outcome in ICU patients, J. Formosan Med. Assoc, 105, pp. 390-398, (2006); Lobo B., Abdel-Rahman E., Brown D., Dunn L., Bowman B., A recurrent neural network approach to predicting hemoglobin trajectories in patients with end-stage renal disease, Artif. Intell. Med, 104, (2020); Nwankpa C., Ijomah W., Gachagan A., Marshall S., Activation functions: Comparison of trends in practice and research for deep learning, arXiv, (2018); Santosh T., Ramesh D., Reddy D., LSTM based prediction of malaria abundances using big data, Comput. Biol. Med, 124, (2020); Scherpf M., Grasser F., Malberg H., Zaunseder S., Predicting sepsis with a recurrent neural network using the MIMIC III database, Comput. Biol. Med, 113, (2019); Tobin M.J., Advances in mechanical ventilation, N. Engl. J. Med, 344, pp. 1986-1996, (2001); Wunsch H., Wagner J., Herlim M., Chong D., Kramer A., Halpern S.D., ICU occupancy and mechanical ventilator use in the United States, Crit. Care Med, 41, pp. 2712-2719, (2013); Zhang S., Abdel-Aty M., Wu Y., Zheng O., Modeling pedestrians’ near-accident events at signalized intersections using gated recurrent unit (GRU), Accident Anal. Prev, 148, (2020)</t>
  </si>
  <si>
    <t xml:space="preserve">J.-L. Xu; Department of Computer Science and Information Engineering, Chaoyang University of Technology, Taichung, Taiwan; email: jlxu@cyut.edu.tw</t>
  </si>
  <si>
    <t xml:space="preserve">Front. Comput. Neurosci.</t>
  </si>
  <si>
    <t xml:space="preserve">2-s2.0-85207032570</t>
  </si>
  <si>
    <t xml:space="preserve">Lotfy N.</t>
  </si>
  <si>
    <t xml:space="preserve">Lotfy, Nesma (57216856749)</t>
  </si>
  <si>
    <t xml:space="preserve">Overall health knowledge in the Philippines, multilevel confirmatory factor analysis of the Philippine National Demography Health Survey 2022 data</t>
  </si>
  <si>
    <t xml:space="preserve">A secondary data analysis of the 2022 Philippine National Demographic and Health Survey (PNDHS) was conducted to explore the underlying structure of knowledge regarding communicable and noncommunicable diseases using multilevel confirmatory factor analysis (CFA). The PNDHS data consist of two levels: level-1 represents within-household data (household questionnaire), and level-2 represents between-household data (primary sampling unit (PSU)). Therefore, a two-level CFA and two-level variance CFA were performed. Furthermore, a multigroup analysis assessed the structural differences between males/females and urban/rural groups. In the PNDHS survey, 30,372 household interviews were completed. Knowledge levels for cancer, heart disease, diabetes, dengue fever, TB, and COVID-19 were 96.7%, 94.9%, 97.8%, 98.4%, 96.7%, and 92.8%, respectively. The two-level CFA indicated that the coefficient loadings of each item for both levels were statistically significant (Z-test, P &lt; 0.001). Regarding two-level variance CFA, the variance at level-1 was higher than that at level-2 (13 and 6.7, respectively). The multigroup analysis revealed that the model was non-invariant (not equal) across gender and residence (likelihood ratio test; P &lt; 0.001, P &lt; 0.001, respectively). In conclusion, level-1 has greater effect than does level-2 because the variance in level-1 is greater than that in level-2, the knowledge of COVID-19 has the lowest loading compared to other items, and rural/urban areas and females/males exhibit different levels of health knowledge. © The Author(s) 2024.</t>
  </si>
  <si>
    <t xml:space="preserve">Scientific Reports</t>
  </si>
  <si>
    <t xml:space="preserve">10.1038/s41598-024-68819-4</t>
  </si>
  <si>
    <t xml:space="preserve">https://www.scopus.com/inward/record.uri?eid=2-s2.0-85201241855&amp;doi=10.1038%2fs41598-024-68819-4&amp;partnerID=40&amp;md5=2deb12a09b4d6d1293bb80e857be295e</t>
  </si>
  <si>
    <t xml:space="preserve">Department of Biostatistics, High Institute of Public Health, Alexandria University, Alexandria, Egypt</t>
  </si>
  <si>
    <t xml:space="preserve">Lotfy N., Department of Biostatistics, High Institute of Public Health, Alexandria University, Alexandria, Egypt</t>
  </si>
  <si>
    <t xml:space="preserve">DHS; Health knowledge; ML-CFA; The Philippines</t>
  </si>
  <si>
    <t xml:space="preserve">Adolescent; Adult; Aged; COVID-19; Demography; Factor Analysis, Statistical; Female; Health Knowledge, Attitudes, Practice; Health Surveys; Humans; Male; Middle Aged; Philippines; Rural Population; Urban Population; Young Adult; adolescent; adult; aged; attitude to health; coronavirus disease 2019; demography; epidemiology; factor analysis; female; health survey; human; male; middle aged; Philippines; rural population; urban population; young adult</t>
  </si>
  <si>
    <t xml:space="preserve">(2022); The Top 10 Causes of Death.; Mapa D.S., 2022 Causes of Deaths in the Philippines (Preliminary as of 31 October 2022).; CDC in Philippines., (2022); Elevated Dengue Fever Activity Reported Nationwide, (2023); Sorensen K., Van den Broucke S., Fullam J., Doyle G., Pelikan J., Slonska Z., Et al., Health literacy and public health: A systematic review and integration of definitions and models, BMC Public Health, 12, 1, (2012); Tsai H.-M., Cheng C.-Y., Chang S.-C., Yang Y.-M., Wang H.-H., Health literacy and health-promoting behaviors among multiethnic groups of women in Taiwan, J. Obstetr. Gynecol. Neonatal Nurs, 43, 1, pp. 117-129, (2014); Berkman N.D., Sheridan S.L., Donahue K.E., Halpern D.J., Crotty K., Low health literacy and health outcomes: An updated systematic review, Ann. Intern. Med, 155, 2, pp. 97-107, (2011); Cho Y.I., Lee S.-Y.D., Arozullah A.M., Crittenden K.S., Effects of health literacy on health status and health service utilization amongst the elderly, Soc. Sci. Med, 66, 8, pp. 1809-1816, (2008); Sorensen K., Brand H., Health literacy—A strategic asset for corporate social responsibility in Europe, J. Health Commun, 16, pp. 322-327, (2011); Tolabing M.C.C., Co K.C.D., Mendoza O.M., Mira N.R.C., Quizon R.R., Tempongko M.S.B., Et al., Prevalence of limited health literacy in the Philippines: First National Survey, Health Literacy Res. Pract, 6, 2, pp. e104-e112, (2022); 2022 Philippine National Demographic and HealthSurvey (NDHS): Final Report, (2023); Dyer N.G., Hanges P.J., Hall R.J., Applying multilevel confirmatory factor analysis techniques to the study of leadership, Leadersh. Q, 16, 1, pp. 149-167, (2005); Tian M., Chen Y., Zhao R., Chen L., Chen X., Feng D., Et al., Chronic disease knowledge and its determinants among chronically ill adults in rural areas of Shanxi Province in China: A cross-sectional study, BMC Public Health, 11, 1, (2011); Press S., Stata Structural Equation Modeling Reference Manual, (2013); Bagheri A., Saadati M., Generalized structural equations approach in the of elderly self-rated health, J. Phys. Conf. Ser, 1863, (2021); Stata: Release 18. Statistical Software, (2023); Tuppal C.P., Ninobla M.M.G., Ruiz M.G.D., Loresco R.D., Tuppal S.M.P., Panes I.I., Et al., Knowledge, attitude, and practice toward COVID-19 among healthy population in the Philippines, Nurse Media J. Nurs, 11, 1, pp. 61-70, (2021); Corpuz J.C., Cardiovascular disease in the Philippines: A new public health emergency?, J. Public Health, 46, 1, pp. e203-e204, (2024); Brindley C., Van Ourti T., Capuno J., Kraft A., Kudymowa J., O'Donnell O., Risk factor contributions to socioeconomic inequality in cardiovascular risk in the Philippines: A cross-sectional study of nationally representative survey data, BMC Public Health, 23, 1, (2023); de Melo Ghisi G.L., Vanzella L.M., Pakosh M., Trani M.R., Bilocura I., Bersabal S., Et al., Patient education for people living with diabetes in the Philippines: A scoping review of information needs, diabetes knowledge and effectiveness of educational interventions, Diabetes Metab. Syndr. Clin. Res. Rev, 16, 5, (2022); Ho F.D.V., Arevalo M.V.P.N., de Claro P.T.S., Jacomina L.E., Germar M.J.V., Dee E.C., Et al., Breast and cervical cancer screening in the Philippines: Challenges and steps forward, Prev. Med. Rep, 29, (2022); Bliese P.D., Hanges P.J., Being both too liberal and too conservative: The perils of treating grouped data as though they were independent, Organ. Res. Methods, 7, 4, pp. 400-417, (2004); Abreha S.K., Walelign S.Z., Zereyesus Y.A., Associations between women’s empowerment and children’s health status in Ethiopia, PLoS ONE, 15, 7, (2020); Ganesh P., Srivastava K.B.L., Application of multilevel confirmatory factor analysis to compositional organizational constructs, Int. J. Organ. Theory Behav, 25, 3-4, pp. 204-220, (2022); DiStefano C., Zhang T., A primer for using multilevel confirmatory factor analysis models in educational research, Methodology for Multilevel Modeling in Educational Research: Concepts and Applications, pp. 11-28, (2022); Barnidge M., de Zuniga H.G., Amos (Software), The International Encyclopedia of Communication Research Methods, pp. 1-3, (2017)</t>
  </si>
  <si>
    <t xml:space="preserve">N. Lotfy; Department of Biostatistics, High Institute of Public Health, Alexandria University, Alexandria, Egypt; email: califora@alexu.edu.eg</t>
  </si>
  <si>
    <t xml:space="preserve">Sci. Rep.</t>
  </si>
  <si>
    <t xml:space="preserve">2-s2.0-85201241855</t>
  </si>
  <si>
    <t xml:space="preserve">Campos M.; Rašić G.; Viegas J.; Cornel A.J.; Pinto J.; Lanzaro G.C.</t>
  </si>
  <si>
    <t xml:space="preserve">Campos, Melina (55968828600); Rašić, Gordana (56252756500); Viegas, João (59442742400); Cornel, Anthony J. (35582237800); Pinto, João (7402584732); Lanzaro, Gregory C. (7004655302)</t>
  </si>
  <si>
    <t xml:space="preserve">55968828600; 56252756500; 59442742400; 35582237800; 7402584732; 7004655302</t>
  </si>
  <si>
    <t xml:space="preserve">Patterns of Gene Flow in Anopheles coluzzii Populations From Two African Oceanic Islands</t>
  </si>
  <si>
    <t xml:space="preserve">The malaria vector Anopheles coluzzii is widespread across West Africa and is the sole vector species on the islands of São Tomé and Príncipe. Our interest in the population genetics of this species on these islands is part of an assessment of their suitability for a field trial involving the release of genetically engineered A. coluzzii. The engineered construct includes two genes that encode anti-Plasmodium peptides, along with a Cas9-based gene drive. We investigated gene flow among A. coluzzii subpopulations on each island to estimate dispersal rates between sites. Sampling covered the known range of A. coluzzii on both islands. Spatial autocorrelation suggests 7 km to be the likely extent of dispersal of this species, whereas estimates based on a convolutional neural network were roughly 3 km. This difference highlights the complexity of dispersal dynamics and the value of using multiple approaches. Our analysis also revealed weak heterogeneity among populations within each island but did identify areas weakly resistant or permissive of gene flow. Overall, A. coluzzii on each of the two islands exist as single Mendelian populations. We expect that a gene construct that includes a low-threshold gene drive and has minimal fitness impact should, once introduced, spread relatively unimpeded across each island. © 2024 The Author(s). Evolutionary Applications published by John Wiley &amp; Sons Ltd.</t>
  </si>
  <si>
    <t xml:space="preserve">Evolutionary Applications </t>
  </si>
  <si>
    <t xml:space="preserve">e70044</t>
  </si>
  <si>
    <t xml:space="preserve">10.1111/eva.70044</t>
  </si>
  <si>
    <t xml:space="preserve">https://www.scopus.com/inward/record.uri?eid=2-s2.0-85210433775&amp;doi=10.1111%2feva.70044&amp;partnerID=40&amp;md5=c162fab8d2a6baee2ddf3aad7bca4f3f</t>
  </si>
  <si>
    <t xml:space="preserve">Vector Genetics Laboratory, Department of Pathology, Microbiology, and Immunology, University of California—Davis, Davis, CA, United States; Mosquito Genomics, QIMR Berghofer Medical Research Institute, Herston, QLD, Australia; Centro Nacional de Endemias, Ministério da Saúde, Trabalho e Assuntos Sociais, São Tomé, Sao Tome and Principe; Mosquito Control Research Laboratory, Department of Entomology and Nematology, University of California, Parlier, CA, United States; Global Health and Tropical Medicine, Instituto de Higiene e Medicina Tropical, Universidade Nova de Lisboa, Lisboa, Portugal</t>
  </si>
  <si>
    <t xml:space="preserve">Campos M., Vector Genetics Laboratory, Department of Pathology, Microbiology, and Immunology, University of California—Davis, Davis, CA, United States; Rašić G., Mosquito Genomics, QIMR Berghofer Medical Research Institute, Herston, QLD, Australia; Viegas J., Centro Nacional de Endemias, Ministério da Saúde, Trabalho e Assuntos Sociais, São Tomé, Sao Tome and Principe; Cornel A.J., Vector Genetics Laboratory, Department of Pathology, Microbiology, and Immunology, University of California—Davis, Davis, CA, United States, Mosquito Control Research Laboratory, Department of Entomology and Nematology, University of California, Parlier, CA, United States; Pinto J., Global Health and Tropical Medicine, Instituto de Higiene e Medicina Tropical, Universidade Nova de Lisboa, Lisboa, Portugal; Lanzaro G.C., Vector Genetics Laboratory, Department of Pathology, Microbiology, and Immunology, University of California—Davis, Davis, CA, United States</t>
  </si>
  <si>
    <t xml:space="preserve">gene flow; genetically engineered mosquito; genomics; malaria; mosquito dispersal</t>
  </si>
  <si>
    <t xml:space="preserve">Ministry of Health, MOH; National Malaria Control Program; University of California Malaria Initiative, UCMI, (A17‐0209); University of California Malaria Initiative, UCMI</t>
  </si>
  <si>
    <t xml:space="preserve">Funding text 1: Funding: This work was supported by Open Philanthropy Project, A20-3521 and A22-2768 and University of California Irvine Malaria Initiative, A17-0209. We thank National Malaria Control Program personnel from S\u00E3o Tom\u00E9 and Pr\u00EDncipe, and the Ministry of Health in S\u00E3o Tom\u00E9 and Pr\u00EDncipe who facilitated field collections in S\u00E3o Tom\u00E9. We thank Yoosook Lee for early suggestions for the study design, and Lisa Chamberland for comments and revision. This work was supported by grants from the University of California Irvine Malaria Initiative and Open Philanthropy.; Funding text 2: This work was supported by Open Philanthropy Project, A20\u20103521 and A22\u20102768 and University of California Irvine Malaria Initiative, A17\u20100209. Funding: </t>
  </si>
  <si>
    <t xml:space="preserve">Alexander D.H., Novembre J., Lange K., Fast Model-Based Estimation of Ancestry in Unrelated Individuals, Genome Research, 19, 9, pp. 1655-1664, (2009); Alistair M., Harding N., “cggh/scikit-allel: v1.2.0 (Version v1.2.0).”, (2017); Atieli H.E., Zhou G., Zhong D., Et al., Wind-Assisted High-Altitude Dispersal of Mosquitoes and Other Insects in East Africa, Journal of Medical Entomology, 60, 4, pp. 698-707, (2023); Balloux F., Lugon-Moulin N., The Estimation of Population Differentiation With Microsatellite Markers, Molecular Ecology, 11, 2, pp. 155-165, (2002); Bolger A.M., Lohse M., Usadel B., Trimmomatic: A Flexible Trimmer for Illumina Sequence Data, Bioinformatics, 30, pp. 2114-2120, (2014); Bomphrey R.J., Nakata T., Phillips N., Walker S.M., Smart Wing Rotation and Trailing-Edge Vortices Enable High Frequency Mosquito Flight, Nature, 544, 7648, pp. 92-95, (2017); Campos M., Hanemaaijer M., Gripkey H., Et al., The Origin of Island Populations of the African Malaria Mosquito, Anopheles coluzzii, Communications Biology, 4, 1, (2021); Carballar-Lejarazu R., Dong Y., Pham T.B., Et al., Dual Effector Population Modification Gene-Drive Strains of the African Malaria Mosquitoes, Anopheles gambiae and Anopheles coluzzii, Proceedings of the National Academy of Sciences of the United States of America, 120, 29, (2023); Carballar-Lejarazu R., Ogaugwu C., Tushar T., Et al., Next-Generation Gene Drive for Population Modification of the Malaria Vector Mosquito, Anopheles gambiae, Proceedings of the National Academy of Sciences, 117, 37, pp. 22805-22814, (2020); Chang C.C., Chow C.C., Tellier L.C., Vattikuti S., Purcell S.M., Lee J.J., Second-Generation PLINK: Rising to the Challenge of Larger and Richer Datasets, GigaScience, 4, (2015); Coluzzi M., Petrarca V., Di Deco M.A., Chromosomal Inversion Intergradation Andincipient Speciation in Anopheles gambiae, Italian Journal of Zoology, 52, pp. 45-63, (1985); Coluzzi M., Sabatini A., Torre A., Di Deco M.A., Petrarca V., A Polytene Chromosome Analysis of the Anopheles gambiae Species Complex, Science, 298, pp. 1415-1418, (2002); Cox F.E.G., History of the Discovery of the Malaria Parasites and Their Vectors, Parasites &amp; Vectors, 3, 1, (2010); Danecek P., Auton A., Abecasis G., Albers C.A., Banks E., DePristo M.A., The Variant Call Format and VCFtools, Bioinformatics, 27, 15, pp. 2156-2158, (2011); Darwin C., On the Origin of Species by Means of Natural Selection, or Preservation of Favoured Races in the Struggle for Life, (1859); Ditter R.E., Campos M., Pinto J., Cornel A.J., Rompao H., Lanzaro G.C., Mitogenome Analyses Reveal Limited Introduction of Anopheles coluzzii Into the Central African Islands of São Tomé and Príncipe, Frontiers in Tropical Diseases, 3, (2022); Epopa P.S., Millogo A.A., Collins C.M., Et al., The Use of Sequential Mark-Release-Recapture Experiments to Estimate Population Size, Survival and Dispersal of Male Mosquitoes of the Anopheles gambiae Complex in Bana, a West African Humid Savannah Village, Parasites &amp; Vectors, 10, 1, (2017); Garrison E., Marth G., “Haplotype-Based Variant Detection From Short-Read Sequencing.”, (2012); Godfray H.C.J., Mosquito Ecology and Control of Malaria, Journal of Animal Ecology, 82, 1, pp. 15-25, (2013); Goslee S.C., Urban D.L., The Ecodist Package for Dissimilarity-Based Analysis of Ecological Data, Journal of Statistical Software, 22, pp. 1-19, (2007); Haller B.C., Messer P.W., SLiM 3: Forward Genetic Simulations Beyond the Wright-Fisher Model, Molecular Biology and Evolution, 36, 3, pp. 632-637, (2019); Hamel M.J., Otieno P., Bayoh N., Et al., The Combination of Indoor Residual Spraying and Insecticide-Treated Nets Provides Added Protection Against Malaria Compared With Insecticide-Treated Nets Alone, American Journal of Tropical Medicine and Hygiene, 85, 6, pp. 1080-1086, (2011); Hammond A., Galizi R., Kyrou K., Et al., A CRISPR-Cas9 Gene Drive System Targeting Female Reproduction in the Malaria Mosquito Vector Anopheles gambiae, Nature Biotechnology, 34, 1, pp. 78-83, (2016); Hartl D., Principles of Population Genetics, (1997); Hoermann A., Habtewold T., Selvaraj P., Et al., Gene Drive Mosquitoes Can Aid Malaria Elimination by Retarding Plasmodium Sporogonic Development, Science Advances, 8, 38, (2022); Holt R.A., Subramanian G.M., Halpern A., Et al., The Genome Sequence of the Malaria Mosquito Anopheles gambiae, Science, 298, pp. 129-149, (2002); Hudson R.R., Slatkin M., Maddison W.P., Estimation of Levels of Gene Flow From DNA Sequence Data, Genetics, 132, pp. 583-589, (1992); James S., Collins F.H., Welkhoff P.A., Et al., Pathway to Deployment of Gene Drive Mosquitoes as a Potential Biocontrol Tool for Elimination of Malaria in Sub-Aharan Africa: Recommendations of a Scientific Working Group, American Journal of Tropical Medicine and Hygiene, 98, pp. 1-49, (2018); Jombart T., Kendall M., Almagro-Garcia J., Colijn C., Treespace: Statistical Exploration of Landscapes of Phylogenetic Trees, Molecular Ecology Resources, 17, 6, pp. 1385-1392, (2017); Kopelman N.M., Mayzel J., Jakobsson M., Rosenberg N.A., Mayrose I., Clumpak: A Program for Identifying Clustering Modes and Packaging Population Structure Inferences Across K, Molecular Ecology Resources, 15, 5, pp. 1179-1191, (2015); Krzywinski J., Nusskern D.R., Kern M.K., Besansky N.J., Isolation and Characterization of Y Chromosome Sequences From the African Malaria Mosquito Anopheles gambiae, Genetics, 166, 3, pp. 1291-1302, (2004); Kyrou K., Hammond A.M., Galizi R., Et al., A CRISPR-Cas9 Gene Drive Targeting Doublesex Causes Complete Population Suppression in Caged Anopheles gambiae Mosquitoes, Nature Biotechnology, 36, 11, pp. 1062-1066, (2018); Lanzaro G.C., Campos M., Crepeau M., Et al., Selection of Sites for Field Trials of Genetically Engineered Mosquitoes With Gene Drive, Evolutionary Applications, 14, 9, pp. 2147-2161, (2021); Lee Y., Marsden C.D., Nieman C., Lanzaro G.C., A New Multiplex SNP Genotyping Assay for Detecting Hybridization and Introgression Between the M and S Molecular Forms of Anopheles gambiae, Molecular Ecology Resources, 14, 2, pp. 297-305, (2014); Li H., “Aligning Sequence Reads, Clone Sequences and Assembly Contigs With BWA-MEM.”, (2013); Manichaikul A., Mychaleckyj J.C., Rich S.S., Daly K., Sale M., Chen W.-M., Robust Relationship Inference in Genome-Wide Association Studies, Bioinformatics, 26, 22, pp. 2867-2873, (2010); Marshall J.C., Pinto J., Charlwood J.D., Et al., Exploring the Origin and Degree of Genetic Isolation of Anopheles gambiae From the Islands of Sao Tome and Principe, Potential Sites for Testing Transgenic-Based Vector Control, Evolutionary Applications, 1, 4, pp. 631-644, (2008); Miles A., Harding N., Botta G., Clarkson C.S., Genetic Diversity of the African Malaria Vector Anopheles gambiae, Nature, 552, pp. 96-100, (2017); Monroe A., Moore S., Olapeju B., Merritt A.P., Okumu F., Unlocking the Human Factor to Increase Effectiveness and Sustainability of Malaria Vector Control, Malaria Journal, 20, 1, (2021); Nieman C.C., Yamasaki Y., Collier T.C., Lee Y., A DNA Extraction Protocol for Improved DNA Yield From Individual Mosquitoes, F1000Res, 4, (2015); Petkova D., Novembre J., Stephens M., Visualizing Spatial Population Structure With Estimated Effective Migration Surfaces, Nature Genetics, 48, 1, pp. 94-100, (2016); Pinto J., Donnelly M.J., Sousa C.A., Et al., Genetic Structure of Anopheles gambiae (Diptera: Culicidae) in São Tomé and Príncipe (West Africa): Implications for Malaria Control, Molecular Ecology, 11, pp. 2183-2187, (2002); Pinto J., Sousa C.A., Gil V., Et al., Malaria in Sao Tome and Prıncipe Parasite Prevalences and Vector Densities, Acta Tropica, 76, pp. 185-193, (2000); R: A Language and Environment for Statistical Computing, (2021); Salgueiro P., Moreno M., Simard F., O'Brochta D., Pinto J., New Insights Into the Population Structure of Anopheles gambiae s.s. in the Gulf of Guinea Islands Revealed by Herves Transposable Elements, PLoS One, 8, 4, (2013); Sharakhova M.V., George P., Brusentsova I.V., Et al., Genome Mapping and Characterization of the Anopheles gambiae Heterochromatin, BMC Genomics, 11, (2010); Sharakhova M.V., Hammond M.P., Lobo N.F., Et al., Update of the Anopheles gambiae PEST Genome Assembly, Genome Biology, 8, 1, (2007); Smith C.C.R., Kern A.D., disperseNN2: A Neural Network for Estimating Dispersal Distance From Georeferenced Polymorphism Data, BMC Bioinformatics, 24, 1, (2023); Smith C.C.R., Tittes S., Ralph P.L., Kern A.D., Dispersal Inference From Population Genetic Variation Using a Convolutional Neural Network, Genetics, 224, 2, (2023); Tajima F., Statistical Method for Testing the Neutral Mutation Hypothesis by DNA Polymorphism, Genetics, 123, 3, pp. 585-595, (1989); Tan A., Abecasis G.R., Kang H.M., Unified Representation of Genetic Variants, Bioinformatics, 31, 13, pp. 2202-2204, (2015); Tarasov A., Vilella A.J., Cuppen E., Nijman I.J., Prins P., Sambamba: Fast Processing of NGS Alignment Formats, Bioinformatics, 31, 12, pp. 2032-2034, (2015); Verdonschot P.F.M., Besse-Lototskaya A.A., Flight Distance of Mosquitoes (Culicidae): A Metadata Analysis to Support the Management of Barrier Zones Around Rewetted and Newly Constructed Wetlands, Limnologica, 45, pp. 69-79, (2014); Whittaker R.J., Fernandez-Palacios J.M., Island Biogeography: Ecology, Evolution, and Conservation 2nd, (2007); Malaria Report, (2022); Wickham H., ggplot2: Elegant Graphics for Data Analysis, (2016); Yamasaki Y.K., Nieman C.C., Chang A.N., Collier T.C., Main B.J., Lee Y., Improved Tools for Genomic DNA Library Construction of Small Insects, F1000Res, 5, (2016); Yao F.A., Millogo A.A., Epopa P.S., Et al., Mark-Release-Recapture Experiment in Burkina Faso Demonstrates Reduced Fitness and Dispersal of Genetically-Modified Sterile Malaria Mosquitoes, Nature Communications, 13, 1, (2022); Zheng X., Levine D., Shen J., Gogarten S.M., Laurie C., Weir B.S., A High-Performance Computing Toolset for Relatedness And Principal Component Analysis of SNP Data, Bioinformatics, 28, pp. 3326-3328, (2012)</t>
  </si>
  <si>
    <t xml:space="preserve">M. Campos; Vector Genetics Laboratory, Department of Pathology, Microbiology, and Immunology, University of California—Davis, Davis, United States; email: mdelima@ucdavis.edu; G.C. Lanzaro; Vector Genetics Laboratory, Department of Pathology, Microbiology, and Immunology, University of California—Davis, Davis, United States; email: gclanzaro@ucdavis.edu</t>
  </si>
  <si>
    <t xml:space="preserve">Evol. Appl.</t>
  </si>
  <si>
    <t xml:space="preserve">2-s2.0-85210433775</t>
  </si>
  <si>
    <t xml:space="preserve">Greco A.; Karki R.; Gadiya Y.; Deecke C.; Zaliani A.; Gul S.</t>
  </si>
  <si>
    <t xml:space="preserve">Greco, Alessandro (57453636800); Karki, Reagon (57193162798); Gadiya, Yojana (57219744038); Deecke, Clara (59394405200); Zaliani, Andrea (6602568524); Gul, Sheraz (7004732121)</t>
  </si>
  <si>
    <t xml:space="preserve">57453636800; 57193162798; 57219744038; 59394405200; 6602568524; 7004732121</t>
  </si>
  <si>
    <t xml:space="preserve">Pharmacological profiles of neglected tropical disease drugs</t>
  </si>
  <si>
    <t xml:space="preserve">According to the World health Organization there are a group of 20 diverse infectious Neglected Tropical Disease (NTD) conditions that primarily affect populations in low-income and developing regions. Despite the limited attention and funding compared to other health concerns, significant efforts to develop drugs for treating and controlling NTDs have been made. However, there is room for developing NTD drugs with improved safety, efficacy and ecotoxicological profiles. In order to facilitate this, we have adapted our existing validated data-driven workflows for understanding disease comorbidity to systematically evaluate the approved drugs that target the major World Health Organization defined NTDs. The foundation for this work comprised assembling the physicochemical, biological and clinical properties of each NTD drug and identifying patterns that reveal the underlying cause of their efficacy and side-effect profiles. Subsequently, computational methods were employed to identify analogs with potentially improved profiles and validated in a case study focusing on the teratogenic antileishmanial drug miltefosine. The wider impact of NTD drugs with regards to a One Health cross-disciplinary perspective at the human-animal-environment interface are also discussed. © 2024</t>
  </si>
  <si>
    <t xml:space="preserve">Artificial Intelligence in the Life Sciences</t>
  </si>
  <si>
    <t xml:space="preserve">10.1016/j.ailsci.2024.100116</t>
  </si>
  <si>
    <t xml:space="preserve">https://www.scopus.com/inward/record.uri?eid=2-s2.0-85208141487&amp;doi=10.1016%2fj.ailsci.2024.100116&amp;partnerID=40&amp;md5=a9be8325ce1a317f0bd0211f860b9261</t>
  </si>
  <si>
    <t xml:space="preserve">Fraunhofer Institute for Translational Medicine and Pharmacology (ITMP), Schnackenburgallee 114, Hamburg, 22525, Germany; Fraunhofer Cluster of Excellence for Immune-Mediated Diseases (CIMD), Schnackenburgallee 114, Hamburg, 22525, Germany; Department of Pharmacy, University of Pisa, Via Bonanno 6, Pisa, 56126, Italy; Bonn-Aachen International Center for Information Technology (B-IT), University of Bonn, Bonn, 53113, Germany</t>
  </si>
  <si>
    <t xml:space="preserve">Greco A., Fraunhofer Institute for Translational Medicine and Pharmacology (ITMP), Schnackenburgallee 114, Hamburg, 22525, Germany, Fraunhofer Cluster of Excellence for Immune-Mediated Diseases (CIMD), Schnackenburgallee 114, Hamburg, 22525, Germany, Department of Pharmacy, University of Pisa, Via Bonanno 6, Pisa, 56126, Italy; Karki R., Fraunhofer Institute for Translational Medicine and Pharmacology (ITMP), Schnackenburgallee 114, Hamburg, 22525, Germany, Fraunhofer Cluster of Excellence for Immune-Mediated Diseases (CIMD), Schnackenburgallee 114, Hamburg, 22525, Germany; Gadiya Y., Fraunhofer Institute for Translational Medicine and Pharmacology (ITMP), Schnackenburgallee 114, Hamburg, 22525, Germany, Fraunhofer Cluster of Excellence for Immune-Mediated Diseases (CIMD), Schnackenburgallee 114, Hamburg, 22525, Germany, Bonn-Aachen International Center for Information Technology (B-IT), University of Bonn, Bonn, 53113, Germany; Deecke C., Fraunhofer Institute for Translational Medicine and Pharmacology (ITMP), Schnackenburgallee 114, Hamburg, 22525, Germany, Fraunhofer Cluster of Excellence for Immune-Mediated Diseases (CIMD), Schnackenburgallee 114, Hamburg, 22525, Germany; Zaliani A., Fraunhofer Institute for Translational Medicine and Pharmacology (ITMP), Schnackenburgallee 114, Hamburg, 22525, Germany, Fraunhofer Cluster of Excellence for Immune-Mediated Diseases (CIMD), Schnackenburgallee 114, Hamburg, 22525, Germany; Gul S., Fraunhofer Institute for Translational Medicine and Pharmacology (ITMP), Schnackenburgallee 114, Hamburg, 22525, Germany, Fraunhofer Cluster of Excellence for Immune-Mediated Diseases (CIMD), Schnackenburgallee 114, Hamburg, 22525, Germany</t>
  </si>
  <si>
    <t xml:space="preserve">Drug discovery; Drug repurposing; Knowledge graph; Neglected tropical diseases (NTDs); One health</t>
  </si>
  <si>
    <t xml:space="preserve">acoziborole; albendazole; amphotericin B; azithromycin; benzathine penicillin; benznidazole; clarithromycin; clofazimine; diethylcarbamazine; eflornithine; fexinidazole; flucytosine; itraconazole; ivermectin; ketoconazole; mebendazole; meglumine antimonate; melarsoprol; miltefosine; moxidectin; niclosamide; nifurtimox; paromomycin; pentamidine; praziquantel; rifampicin; stibogluconate sodium; streptomycin; suramin; terbinafine; triclabendazole; voriconazole; African trypanosomiasis; Article; Buruli ulcer; Chagas disease; chromomycosis; collaborative care team; comorbidity; cutaneous leishmaniasis; cysticercosis; developing country; drug approval; drug efficacy; drug repositioning; drug research; drug safety; drug structure; ecotoxicology; environmental factor; financial management; helminthiasis; human-animal interaction; information processing; leishmaniasis; leprosy; low income country; lymphatic filariasis; machine learning; neglected disease; One Health; physical chemistry; scabies; schistosomiasis; strongyloidiasis; taeniasis; teratogenicity; trachoma; trematodiasis; visceral leishmaniasis; World Health Organization; yaws</t>
  </si>
  <si>
    <t xml:space="preserve">acoziborole, 1266084-51-8; albendazole, 54965-21-8; amphotericin B, 1397-89-3, 30652-87-0; azithromycin, 83905-01-5, 117772-70-0, 121470-24-4; benzathine penicillin, 1538-09-6; benznidazole, 22994-85-0; clarithromycin, 81103-11-9; clofazimine, 2030-63-9; diethylcarbamazine, 1642-54-2, 1851-24-7, 90-89-1; eflornithine, 67037-37-0, 70052-12-9; fexinidazole, 59729-37-2; flucytosine, 2022-85-7; itraconazole, 84625-61-6; ivermectin, 70288-86-7; ketoconazole, 65277-42-1, 83374-59-8; mebendazole, 31431-39-7; meglumine antimonate, 133-51-7; melarsoprol, 494-79-1; miltefosine, 58066-85-6; moxidectin, 113507-06-5; niclosamide, 50-65-7; nifurtimox, 23256-30-6; paromomycin, 11035-13-5, 1263-89-4, 1390-73-4, 51795-47-2, 54597-56-7, 7542-37-2, 84420-34-8; pentamidine, 100-33-4; praziquantel, 55268-74-1; rifampicin, 13292-46-1; stibogluconate sodium, 16037-91-5; streptomycin, 57-92-1; suramin, 129-46-4, 145-63-1; terbinafine, 91161-71-6, 78628-80-5, 176168-78-8, 78628-81-6; triclabendazole, 68786-66-3; voriconazole, 137234-62-9, 188416-29-7</t>
  </si>
  <si>
    <t xml:space="preserve">European Commission, EC; Erasmus+; HORIZON EUROPE Framework Programme, (101046203); HORIZON EUROPE Framework Programme; European Cooperation in Science and Technology, COST, (CA21111); European Cooperation in Science and Technology, COST</t>
  </si>
  <si>
    <t xml:space="preserve">This work was supported by Horizon Europe's BY-COVID project [101046203], the Erasmus+ programme of the European Union and European Cooperation in Science and Technology (CA21111 - One Health drugs against parasitic vector borne diseases in Europe and beyond (One Health drugs)).</t>
  </si>
  <si>
    <t xml:space="preserve">Hotez P.J., Aksoy S., Brindley P.J., Kamhawi S., What constitutes a neglected tropical disease?, PLoS Negl. Trop. Dis., 14, (2020); Folahan F.F., Neglected tropical diseases: progress and expectations, Lancet Microbe, 4, pp. e137-e138, (2023); Hotez P.J., Ten global "hotspots" for the neglected tropical diseases, PLoS Negl. Trop. Dis., 8, (2014); Hotez P., Ottesen E., Fenwick A., Molyneux D., Hotez P., Ottesen E., Fenwick A., Molyneux D., Advances in Experimental Medicine and Biology, Adv Exp Med Biol, 582, pp. 23-33, (2006); Sun N., Amon J.J., Addressing Inequity: Neglected Tropical Diseases and Human Rights, Health Hum Rights, 20, pp. 11-25, (2018); Bangert M., Molyneux D.H., Lindsay S.W., Fitzpatrick C., Engels D., The cross-cutting contribution of the end of neglected tropical diseases to the sustainable development goals, Infect Dis Poverty, 6, (2017); Bertram M.G., Costi M.P., Thore E.S.J., Sabo-Attwood T., Brooks B.W., One Health Curr. Biol., 34, pp. R517-R519, (2024); Charnaud S.C., Moorthy V., Reeder J., Ross A.L., WHO target product profiles to shape global research and development, Bull World Health Organ, 101, pp. 326-330, (2023); Ryu S., Kim B.I., Lim J.S., Tan C.S., Chun B.C., One Health Perspectives on Emerging Public Health Threats, J. Prev. Med. Public Health., 50, pp. 411-414, (2017); Strunz E.C., Addiss D.G., Stocks M.E., Ogden S., Utzinger J., Freeman M.C., Water, sanitation, hygiene, and soil-transmitted helminth infection: a systematic review and meta-analysis, PLoS Med, 11, (2014); Karki R., Madan S., Gadiya Y., Domingo-Fernandez D., Kodamullil A.T., Hofmann-Apitius M., Data-Driven Modeling of Knowledge Assemblies in Understanding Comorbidity Between Type 2 Diabetes Mellitus and Alzheimer's Disease, J. Alzheimers Dis., 78, pp. 87-95, (2020); Dorlo T.P., Balasegaram M., Beijnen J.H., de Vries P.J., Miltefosine: a review of its pharmacology and therapeutic efficacy in the treatment of leishmaniasis, J. Antimicrob. Chemother., 67, pp. 2576-2597, (2012); Krix S., DeLong L.N., Madan S., Domingo-Fernandez D., Ahmad A., Gul S., Zaliani A., Frohlich H.M.M.L., Multimodal graph machine learning for prediction of adverse drug events, Heliyon, 9, (2023); Schultz B., Zaliani A., Ebeling C., Reinshagen J., Bojkova D., Lage-Rupprecht V., Karki R., Lukassen S., Gadiya Y., Ravindra N.G., Das S., Baksi S., Domingo-Fernandez D., Lentzen M., Strivens M., Raschka T., Cinatl J., DeLong L.N., Gribbon P., Geisslinger G., Ciesek S., van Dijk D., Gardner S., Kodamullil A.T., Frohlich H., Peitsch M., Jacobs M., Hoeng J., Eils R., Claussen C., Hofmann-Apitius M., A method for the rational selection of drug repurposing candidates from multimodal knowledge harmonization, Sci Rep, 11, (2021); Karki R., Gadiya Y., Zaliani A., Gribbon P., Mpox Knowledge Graph: a comprehensive representation embedding chemical entities and associated biology of Mpox, Bioinform Adv, 3, (2023); Kim S., Chen J., Cheng T., Gindulyte A., He J., He S., Li Q., Shoemaker B.A., Thiessen P.A., Yu B., Zaslavsky L., Zhang J., Bolton E.E., PubChem in 2021: new data content and improved web interfaces, Nucleic Acids Res, 49, pp. D1388-D1395, (2021); Zdrazil B., Felix E., Hunter F., Manners E.J., Blackshaw J., Corbett S., de Veij M., Ioannidis H., Lopez D.M., Mosquera J.F., Magarinos M.P., Bosc N., Arcila R., Kiziloren T., Gaulton A., Bento A.P., Adasme M.F., Monecke P., Landrum G.A., Leach A.R., The ChEMBL Database in 2023: a drug discovery platform spanning multiple bioactivity data types and time periods, Nucleic Acids Res, 52, pp. D1180-D1192, (2024); Baumann N., How to use the medical subject headings (MeSH), Int J Clin Pract, 70, pp. 171-174, (2016); UniProt: the Universal Protein Knowledgebase in 2023, Nucleic Acids Res, 51, pp. D523-D531, (2023); Grissa D., Junge A., Oprea T.I.; McDonagh E.M., Trynka G., McCarthy M., Holzinger E.R., Khader S., Nakic N., Hu X., Cornu H., Dunham I., Hulcoop D., Human Genetics and Genomics for Drug Target Identification and Prioritization: Open Targets' Perspective, Ann. Rev. Biomed. Data Sci., 7, pp. 59-81, (2024); Kwak H.A., Liu L., Tredup C., Rohm S., Prinos P., Bottcher J., Schapira M., Chemical coverage of human biological pathways, Drug Discov Today, 29, (2024); Bosc N., Atkinson F., Felix E., Gaulton A., Hersey A., Leach A.R., Large scale comparison of QSAR and conformal prediction methods and their applications in drug discovery, J Cheminform, 11, (2019); Hoyt C.T., Konotopez A., Ebeling C., Wren J., PyBEL: a computational framework for Biological Expression Language, Bioinformatics, 34, pp. 703-704, (2018); Pillich R.T., Chen J., Churas C., Liu S., Ono K., Otasek D., NDEx P.D., Accessing Network Models and Streamlining Network Biology Workflows, Curr. Protoc, 1, (2021); Janes J., Young M.E., Chen E., Rogers N.H., Burgstaller-Muehlbacher S., Hughes L.D., Love M.S., Hull M.V., Kuhen K.L., Woods A.K., Joseph S.B., Petrassi H.M., McNamara C.W., Tremblay M.S., Su A.I., Schultz P.G., Chatterjee A.K., The ReFRAME library as a comprehensive drug repurposing library and its application to the treatment of cryptosporidiosis, Proc. Natl. Acad. Sci. USA, 115, pp. 10750-10755, (2018); Sorokina M., Merseburger P., Rajan K., Yirik M.A., Steinbeck C., COCONUT online: Collection of Open Natural Products database, J Cheminform, 13, (2021); Djoumbou Feunang Y., Eisner R., Knox C., Chepelev L., Hastings J., Owen G., Fahy E., Steinbeck C., Subramanian S., Bolton E., Greiner R., Wishart D.S., ClassyFire: automated chemical classification with a comprehensive, computable taxonomy, J Cheminform, 8, (2016); Pedrique B., Strub-Wourgaft N., Some C., Olliaro P., Trouiller P., Ford N., Pecoul B., Bradol J.H., The drug and vaccine landscape for neglected diseases (2000–11): a systematic assessment, Lancet Global Health, 1, pp. E371-E379, (2013); Jha T.K., Sundar S., Thakur C.P., Bachmann P., Karbwang J., Fischer C., Voss A., Berman J.M., an oral agent, for the treatment of Indian visceral leishmaniasis, N Engl J Med, 341, pp. 1795-1800, (1999); Nogueira F.B., Rodrigues J.F., Correa M.M., Ruiz J.C., Romanha A.J., pp. 494-502; Zhang R., Wang Y., Wu A., Wang J., Zhang J., Strategies of targeting CYP51 for IFIs therapy: Emerging prospects, opportunities and challenges, Eur J Med Chem, 259, (2023); Jung E.J., Lee W.J., Bae J.W., Kwon W.S.M., Induces Reproductive Toxicity During Sperm Capacitation by Altering PI3K/AKT Signaling Pathway, Environ Toxicol Pharmacol, (2024); Dix D.J., Houck K.A., Martin M.T., Richard A.M., Setzer R.W., Kavlock R.J., The ToxCast program for prioritizing toxicity testing of environmental chemicals, Toxicol Sci, 95, pp. 5-12, (2007); Chugh M., Sundararaman V., Kumar S., Reddy V.S., Siddiqui W.A., Stuart K.D., Malhotra P., Protein complex directs hemoglobin-to-hemozoin formation in Plasmodium falciparum, Proc. Natl. Acad. Sci. U S A., 110, pp. 5392-5397, (2013); Bais S., Norwillo A., Ruthel G., Herbert D.R., Freedman B.D., Greenberg R.M., Schistosome TRPML channels play a role in neuromuscular activity and tegumental integrity, Biochimie, 194, pp. 108-117, (2022); Ermler S., Scholze M., Kortenkamp A., Seven benzimidazole pesticides combined at sub-threshold levels induce micronuclei in vitro, Mutagenesis, 28, pp. 417-426, (2013); Rastogi N., Labrousse V., Extracellular and intracellular activities of clarithromycin used alone and in association with ethambutol and rifampin against Mycobacterium avium complex, Antimicrob. Agents Chemother., 35, pp. 462-470, (1991); Cristovao-Silva A.C., Brelaz-de-Castro M.C.A., Dionisio da Silva E., Leite A.C.L., Santiago L.B.A.A., Conceicao J.M.D., da Silva Tiburcio R., de Santana D.P., Bedor D.C.G., de Carvalho B.I.V., Ferreira L.F.G., de Freitas E Silva R., Alves Pereira V.R., Hernandes M.Z., Trypanosoma cruzi killing and immune response boosting by novel phenoxyhydrazine-thiazole against Chagas disease, Exp Parasitol, 261, (2024); Liu L.X., Weller P.F., Antiparasitic drugs, N Engl J Med, 334, pp. 1178-1184, (1996); Benaim G., Paniz-Mondolfi A., Unmasking the Mechanism behind Miltefosine: Revealing the Disruption of Intracellular Ca&lt;sup&gt;2+&lt;/sup&gt; Homeostasis as a Rational Therapeutic Target in Leishmaniasis and Chagas Disease, Biomolecules, 14, (2024); Mukhopadhyay D., Das N.K., Roy S., Kundu S., Barbhuiya J.N., Chatterjee M., Miltefosine effectively modulates the cytokine milieu in Indian post kala-azar dermal leishmaniasis, J Infect Dis, 204, pp. 1427-1436, (2011)</t>
  </si>
  <si>
    <t xml:space="preserve">S. Gul; Fraunhofer Institute for Translational Medicine and Pharmacology (ITMP), Hamburg, Schnackenburgallee 114, 22525, Germany; email: sheraz.gul@itmp.fraunhofer.de</t>
  </si>
  <si>
    <t xml:space="preserve">Artif. Intell. Life Sci.</t>
  </si>
  <si>
    <t xml:space="preserve">2-s2.0-85208141487</t>
  </si>
  <si>
    <t xml:space="preserve">Nazir U.; Quddoos M.T.; Uppal M.; Khalid S.</t>
  </si>
  <si>
    <t xml:space="preserve">Nazir, Usman (8935076900); Quddoos, Muhammad Talha (58994261600); Uppal, Momin (23478414000); Khalid, Sara (57198433687)</t>
  </si>
  <si>
    <t xml:space="preserve">8935076900; 58994261600; 23478414000; 57198433687</t>
  </si>
  <si>
    <t xml:space="preserve">Predicting malaria outbreaks using earth observation measurements and spatiotemporal deep learning modelling: a South Asian case study from 2000 to 2017</t>
  </si>
  <si>
    <t xml:space="preserve">BACKGROUND: Malaria remains one the leading communicable causes of death. Approximately half of the world's population is considered at risk of infection, predominantly in African and South Asian countries. Although malaria is preventable, heterogeneity in sociodemographic and environmental risk factors over time and across diverse geographical and climatological regions make outbreak prediction challenging. Data-driven approaches accounting for spatiotemporal variability could offer potential for location-specific early warning tools for malaria. METHODS: In this case study, we developed and internally validated a data fusion approach to predict malaria incidence in Pakistan, India, and Bangladesh using geo-referenced environmental factors. For 2000-17, district-level malaria incidence rates for each country were obtained from the US Agency for International Development's Demographic and Health Survey datasets. Environmental factors included average annual temperature, rainfall, and normalised difference vegetation index, obtained from the Advancing Research on Nutrition and Agriculture (known as AReNA) project conducted by the International Food Policy Research Institute in 2020. Data on night-time light intensity was derived from two satellites of the National Oceanic and Atmospheric Administration Defense Meteorological Satellite Program-Operational Linescan System: Nighttime Lights Time Series Version 4, and VIIRS Nighttime Day/Night Band Composites version 1. A multi-dimensional spatiotemporal long short-term memory (M-LSTM) model was developed using data from 2000-16 and internally validated for the year 2017. The M-LSTM model consisted of four hidden layers, each with 100 LSTM units; a fully connected layer was used, followed by linear regression, to predict the malaria incidence rate for 2017 using spatiotemporal partitioning. Model performance was measured using accuracy and root mean squared error. Country-specific models were produced for Bangladesh, India, and Pakistan. Bivariate geospatial heatmaps were produced for a qualitative comparison of univariate environmental factors with malaria rates. FINDINGS: Malaria incidence was predicted with 80·6% accuracy in districts across Pakistan, 76·7% in districts across India, and 99·1% in districts across Bangladesh. The root mean squared error was 7 × 10-4 for Pakistan, 4·86 × 10-6 for India, and 1·32 × 10-5 for Bangladesh. Bivariate maps showed an inverse relationship between night-time lights and malaria rates; whereas high malaria rates were found in areas with high temperature, rainfall, and vegetation. INTERPRETATION: Malaria outbreaks could be forecasted using remotely measured environmental factors. Modelling techniques that enable simultaneously forecasting ahead in time as well as across large geographical areas might potentially empower regional decision makers to manage outbreaks early. FUNDING: NIHR Oxford Biomedical Research Centre Programme and The Higher Education Commission of Pakistan. Copyright © 2024 The Author(s). Published by Elsevier Ltd. This is an Open Access article under the CC BY 4.0 license. Published by Elsevier Ltd.. All rights reserved.</t>
  </si>
  <si>
    <t xml:space="preserve">The Lancet. Planetary health</t>
  </si>
  <si>
    <t xml:space="preserve">S17</t>
  </si>
  <si>
    <t xml:space="preserve">10.1016/S2542-5196(24)00082-2</t>
  </si>
  <si>
    <t xml:space="preserve">https://www.scopus.com/inward/record.uri?eid=2-s2.0-85190830254&amp;doi=10.1016%2fS2542-5196%2824%2900082-2&amp;partnerID=40&amp;md5=e47559fe39439dcbbe365a30fe94cf78</t>
  </si>
  <si>
    <t xml:space="preserve">Lahore University of Management Sciences, Lahore, Pakistan; Center of Urban Informatics, Technology and Policy, Lahore University of Management Sciences, Lahore, Pakistan; Center for Statistics in Medicine, Botnar Research Center, University of Oxford, Oxford, United Kingdom</t>
  </si>
  <si>
    <t xml:space="preserve">Nazir U., Lahore University of Management Sciences, Lahore, Pakistan; Quddoos M.T., Lahore University of Management Sciences, Lahore, Pakistan; Uppal M., Center of Urban Informatics, Technology and Policy, Lahore University of Management Sciences, Lahore, Pakistan; Khalid S., Center for Statistics in Medicine, Botnar Research Center, University of Oxford, Oxford, United Kingdom</t>
  </si>
  <si>
    <t xml:space="preserve">Deep Learning; Disease Outbreaks; Humans; Incidence; Malaria; Temperature; deep learning; epidemic; human; incidence; malaria; temperature</t>
  </si>
  <si>
    <t xml:space="preserve">Lancet Planet Health</t>
  </si>
  <si>
    <t xml:space="preserve">2-s2.0-85190830254</t>
  </si>
  <si>
    <t xml:space="preserve">Rasouli S.; Dakkali M.S.; Ghazvini A.; Azarbad R.; Asani M.; Mirzaasgari Z.; Arish M.</t>
  </si>
  <si>
    <t xml:space="preserve">Rasouli, Saeid (58993266900); Dakkali, Mohammad Sedigh (57462905800); Ghazvini, Azim (58993602300); Azarbad, Reza (57188740444); Asani, Mahdi (58572207800); Mirzaasgari, Zahra (57214989752); Arish, Mohammed (55792614200)</t>
  </si>
  <si>
    <t xml:space="preserve">58993266900; 57462905800; 58993602300; 57188740444; 58572207800; 57214989752; 55792614200</t>
  </si>
  <si>
    <t xml:space="preserve">Predictive model for converting optic neuritis to multiple sclerosis; decision tree in focus</t>
  </si>
  <si>
    <t xml:space="preserve">Background Optic neuritis (ON) can be an initial clinical presentation of multiple sclerosis This study aims to provide a practical predictive model for identifying at-risk ON patients in developing MS. Method We utilized data from the Optic Neuritis Treatment Trial study, which enrolled 457 patients aged from 18 to 46 years, all diagnosed with acute ON. These patients underwent up to 15 years of neurological and ophthalmologic examinations and imaging. The selection of variables for the developing model was based on clinical importance and statistical significance, and any missing values were appropriately addressed. We developed a Decision Tree (DT) classifier as the primary model and manually tuned its hyperparameters for optimal performance. We employed SHapley Additive exPlanations (SHAP) for feature importance evaluation. All analysis was performed using Python version 3.10.9 and its associated libraries. Results A total of 388 patients completed the study, of which 154 developed clinically definite multiple sclerosis (CDMS). It was observed that 61% of patients with magnetic resonance imaging (MRI) lesions developed CDMS. The final variables selected for analysis were MRI lesions, neurologic history, ON type, gender, and visual field mean deviation. The DT model achieved an accuracy of 70.1% during cross-validation and 69.1% on the test set, with an area under the curve of 74.9% and 71.7%, respectively. Comparative analysis of DT with other models showed similar performance. SHAP analysis revealed that MRI lesions and ON type emerged as the two most significant features, with relative importance of 61% and 18%, respectively. Conclusion The decision tree model, with satisfactory performance, effectively stratifies patients, based on baseline findings and offers valuable insights for informed decision-making by physicians. © 2024 Rasouli et al. This is an open access article distributed under the terms of the Creative Commons Attribution License, which permits unrestricted use, distribution, and reproduction in any medium, provided the original author and source are credited.</t>
  </si>
  <si>
    <t xml:space="preserve">e0309702</t>
  </si>
  <si>
    <t xml:space="preserve">10.1371/journal.pone.0309702</t>
  </si>
  <si>
    <t xml:space="preserve">https://www.scopus.com/inward/record.uri?eid=2-s2.0-85210933641&amp;doi=10.1371%2fjournal.pone.0309702&amp;partnerID=40&amp;md5=52c2d39da7e91f8f62ce9dcc04e572e4</t>
  </si>
  <si>
    <t xml:space="preserve">Five Senses Health Research Institute, School of Medicine, Hazrat-e Rasool General Hospital, Iran University of Medical Sciences, Tehran, Iran; Department of Ophthalmology, School of Medicine, Al Zahra Eye Hospital, Zahedan University of Medical Sciences, Zahedan, Iran; School of Medicine, Iran University of Medical Sciences, Tehran, Iran; Health Research Institute, Cellular and Molecular Biology Research Center, Babol University of Medical Sciences, Babol, Iran; Department of Neurology, Firoozgar Hospital, School of Medicine, Iran University of Medical Science, Tehran, Iran</t>
  </si>
  <si>
    <t xml:space="preserve">Rasouli S., Five Senses Health Research Institute, School of Medicine, Hazrat-e Rasool General Hospital, Iran University of Medical Sciences, Tehran, Iran; Dakkali M.S., Department of Ophthalmology, School of Medicine, Al Zahra Eye Hospital, Zahedan University of Medical Sciences, Zahedan, Iran; Ghazvini A., School of Medicine, Iran University of Medical Sciences, Tehran, Iran; Azarbad R., Health Research Institute, Cellular and Molecular Biology Research Center, Babol University of Medical Sciences, Babol, Iran; Asani M., Department of Ophthalmology, School of Medicine, Al Zahra Eye Hospital, Zahedan University of Medical Sciences, Zahedan, Iran; Mirzaasgari Z., Department of Neurology, Firoozgar Hospital, School of Medicine, Iran University of Medical Science, Tehran, Iran; Arish M., Department of Ophthalmology, School of Medicine, Al Zahra Eye Hospital, Zahedan University of Medical Sciences, Zahedan, Iran</t>
  </si>
  <si>
    <t xml:space="preserve">Adolescent; Adult; Decision Trees; Female; Humans; Magnetic Resonance Imaging; Male; Middle Aged; Multiple Sclerosis; Optic Neuritis; Young Adult; cortisone; methylprednisolone; prednisone; accuracy; adult; aged; Article; clinical article; clinical decision making; clinical significance; controlled study; data mining; decision tree; diagnostic accuracy; diagnostic test accuracy study; eye examination; female; human; machine learning; major clinical study; male; multiple sclerosis; myelooptic neuropathy; neurologic examination; nuclear magnetic resonance imaging; optic neuritis; paucibacillary leprosy; predictive model; predictive value; receiver operating characteristic; Shapley additive explanation; ST segment elevation myocardial infarction; support vector machine; visual acuity; visual field; adolescent; diagnosis; diagnostic imaging; middle aged; nuclear magnetic resonance imaging; pathology; procedures; young adult</t>
  </si>
  <si>
    <t xml:space="preserve">cortisone, 53-06-5; methylprednisolone, 6923-42-8, 83-43-2; prednisone, 53-03-2</t>
  </si>
  <si>
    <t xml:space="preserve">Kale N., Optic neuritis as an early sign of multiple sclerosis, Eye Brain, 8, pp. 195-202, (2016); Kazim SF, Islam M, Khan M, Hameed B, Shafqat S., Risk of multiple sclerosis after idiopathic optic neuritis in a Pakistani population, Can J Neurol Sci, 37, 2, pp. 258-263, (2010); Bennett JL., Optic Neuritis, Continuum (Minneap Minn), 25, 5, pp. 1236-1264, (2019); Multiple sclerosis risk after optic neuritis: final optic neuritis treatment trial follow-up, Arch Neurol, 65, 6, pp. 727-732, (2008); Sorensen TL, Frederiksen JL, Bronnum-Hansen H, Petersen HC., Optic neuritis as onset manifestation of multiple sclerosis: a nationwide, long-term survey, Neurology, 53, 3, pp. 473-478, (1999); Abri Aghdam K, Aghajani A, Kanani F, Soltan Sanjari M, Chaibakhsh S, Shirvaniyan F, Et al., A novel decision tree approach to predict the probability of conversion to multiple sclerosis in Iranian patients with optic neuritis, Mult Scler Relat Disord, 47, (2021); Beck RW, Trobe JD, Moke PS, Gal RL, Xing D, Bhatti MT, Et al., High- and low-risk profiles for the development of multiple sclerosis within 10 years after optic neuritis: experience of the optic neuritis treatment trial, Arch Ophthalmol, 121, 7, pp. 944-949, (2003); Tintore M, Rovira A, Rio J, Otero-Romero S, Arrambide G, Tur C, Et al., Defining high, medium and low impact prognostic factors for developing multiple sclerosis, Brain, 138, pp. 1863-1874, (2015); Luo W, Deng X, Xu X, Song R, Luo M, Moss HE, Et al., Development of a Prognostic Model for Predicting Multiple Sclerosis After Optic Neuritis: A Secondary Analysis of Data From the Optic Neuritis Treatment Trial, J Neuroophthalmol, 42, 1, pp. 88-96, (2022); Olesen MN, Soelberg K, Debrabant B, Nilsson AC, Lillevang ST, Grauslund J, Et al., Cerebrospinal fluid biomarkers for predicting development of multiple sclerosis in acute optic neuritis: a population-based prospective cohort study, J Neuroinflammation, 16, 1, (2019); Rasouli S, Dakkali MS, Azarbad R, Ghazvini A, Asani M, Mirzaasgari Z, Et al., Predicting the conversion from clinically isolated syndrome to multiple sclerosis: An explainable machine learning approach, Mult Scler Relat Disord, 86, (2024); Beck RW, Cleary PA, Anderson MM, Keltner JL, Shults WT, Kaufman DI, Et al., A randomized, controlled trial of corticosteroids in the treatment of acute optic neuritis. The Optic Neuritis Study Group, N Engl J Med, 326, 9, pp. 581-588, (1992); The clinical profile of optic neuritis. Experience of the Optic Neuritis Treatment Trial. Optic Neuritis Study Group, Arch Ophthalmol, 109, 12, pp. 1673-1678, (1991); Ogundimu EO, Altman DG, Collins GS., Adequate sample size for developing prediction models is not simply related to events per variable, J Clin Epidemiol, 76, pp. 175-182, (2016); Vittinghoff E, McCulloch CE., Relaxing the rule of ten events per variable in logistic and Cox regression, Am J Epidemiol, 165, 6, pp. 710-718, (2007); fancyimpute: An Imputation Library for Python, (2016); Nusinovici S, Tham YC, Chak Yan MY, Wei Ting DS, Li J, Sabanayagam C, Et al., Logistic regression was as good as machine learning for predicting major chronic diseases, J Clin Epidemiol, 122, pp. 56-69, (2020); Huang Y, Huang Z, Yang Q, Jin H, Xu T, Fu Y, Et al., Predicting mild cognitive impairment among Chinese older adults: a longitudinal study based on long short-term memory networks and machine learning, Front Aging Neurosci, 15, (2023); Cortes C, Vapnik V., Support-vector networks, Machine Learning, 20, 3, pp. 273-297, (1995); Murtagh F., Multilayer perceptrons for classification and regression, Neurocomputing, 2, 5–6, pp. 183-197, (1991); Pedregosa F, Varoquaux G, Gramfort A, Michel V, Thirion B, Grisel O, Et al., Scikit-learn: Machine learning in Python, the Journal of machine Learning research, 12, pp. 2825-2830, (2011); Refaeilzadeh P, Tang L, Liu H., Cross-Validation, Encyclopedia of Database Systems, pp. 532-538, (2009); Chawla NV, Bowyer KW, Hall LO, Kegelmeyer WP., SMOTE: synthetic minority over-sampling technique, Journal of artificial intelligence research, 16, pp. 321-357, (2002); Lundberg S, Lee S-I., A Unified Approach to Interpreting Model Predictions2017; Henrard S, Speybroeck N, Hermans C., Classification and regression tree analysis vs. multivariable linear and logistic regression methods as statistical tools for studying haemophilia, Haemophilia, 21, 6, pp. 715-722, (2015); Song YY, Lu Y., Decision tree methods: applications for classification and prediction, Shanghai Arch Psychiatry, 27, 2, pp. 130-135, (2015); Marcinkevics R, Vogt JE., Interpretable and explainable machine learning: A methods-centric overview with concrete examples, WIREs Data Mining and Knowledge Discovery, 13, 3, (2023); Veloso M., A web-based decision support tool for prognosis simulation in multiple sclerosis, Mult Scler Relat Disord, 3, 5, pp. 575-583, (2014); Rasouli S, Dakkali MS, Azarbad R, Ghazvini A, Asani M, Mirzaasgari Z, Et al., Predicting the Conversion from Clinically Isolated Syndrome to Multiple Sclerosis: An Explainable Machine Learning Approach, Multiple Sclerosis and Related Disorders; Cruz JA, Wishart DS., Applications of machine learning in cancer prediction and prognosis, Cancer Inform, 2, pp. 59-77, (2007); Morrow SA, Fraser JA, Nicolle D, Kremenchutzky M., Predicting conversion to MS—the role of a history suggestive of demyelination, Can J Neurol Sci, 37, 4, pp. 488-491, (2010); Falcao-Goncalves AB, Bichuetti DB, de Oliveira EML., Recurrent Optic Neuritis as the Initial Symptom in Demyelinating Diseases, J Clin Neurol, 14, 3, pp. 351-358, (2018); Marques IB, Matias F, Silva ED, Cunha L, Sousa L., Risk of multiple sclerosis after optic neuritis in patients with normal baseline brain MRI, J Clin Neurosci, 21, 4, pp. 583-586, (2014); Ro LS, Yang CC, Lyu RK, Lin KP, Tsai TC, Lu SR, Et al., A prospective, observational study on conversion of clinically isolated syndrome to multiple sclerosis during 4-year period (MS NEO study) in Taiwan, PLoS One, 14, 7, (2019); Xing F, Luo R, Liu M, Zhou Z, Xiang Z, Duan X., A New Random Forest Algorithm-Based Prediction Model of Post-operative Mortality in Geriatric Patients With Hip Fractures, Front Med (Lausanne), 9, (2022)</t>
  </si>
  <si>
    <t xml:space="preserve">M. Arish; Department of Ophthalmology, School of Medicine, Al Zahra Eye Hospital, Zahedan University of Medical Sciences, Zahedan, Iran; email: Mohammad.erish@zaums.ac.ir</t>
  </si>
  <si>
    <t xml:space="preserve">2-s2.0-85210933641</t>
  </si>
  <si>
    <t xml:space="preserve">Hoque J.; Islam S.; Khaliluzzaman; Al Muntasir A.; Mohsin M.A.</t>
  </si>
  <si>
    <t xml:space="preserve">Hoque, Jiabul (57214267659); Islam, Saiful (57217238219); Khaliluzzaman (48761432800); Al Muntasir, Abdullah (59161766200); Mohsin, Mohammad Abdullah (59161145800)</t>
  </si>
  <si>
    <t xml:space="preserve">57214267659; 57217238219; 48761432800; 59161766200; 59161145800</t>
  </si>
  <si>
    <t xml:space="preserve">Revolutionizing malaria diagnosis: deep learning-powered detection of parasite-infected red blood cells</t>
  </si>
  <si>
    <t xml:space="preserve">Malaria is a significant global health issue, responsible for the highest rates of morbidity and mortality globally. This paper introduces a very effective and precise convolutional neural network (CNN) method that employs advanced deep learning techniques to automate the detection of malaria in images of red blood cells (RBC). Furthermore, we present an emerging and efficient deep learning method for differentiating between cells infected with malaria and those that are not infected. To thoroughly evaluate the efficiency of our approach, we do a meticulous assessment that involves comparing different deep learning models, such as ResNet-50, MobileNet-v2, and Inception-v3, within the domain of malaria detection. Additionally, we conduct a thorough comparison of our proposed approach with current automated methods for malaria identification. An examination of the most current techniques reveals differences in performance metrics, such as accuracy, specificity, sensitivity, and F1 score, for diagnosing malaria. Moreover, compared to existing models for malaria detection, our method is the most successful, achieving an accurate score of 1.00 in all statistical matrices, confirming its promise as a highly efficient tool for automating malaria detection. © 2024 Institute of Advanced Engineering and Science. All rights reserved.</t>
  </si>
  <si>
    <t xml:space="preserve">International Journal of Electrical and Computer Engineering</t>
  </si>
  <si>
    <t xml:space="preserve">10.11591/ijece.v14i4.pp4518-4530</t>
  </si>
  <si>
    <t xml:space="preserve">https://www.scopus.com/inward/record.uri?eid=2-s2.0-85195314521&amp;doi=10.11591%2fijece.v14i4.pp4518-4530&amp;partnerID=40&amp;md5=a0d391ef85e013ed4d0e4bfa674e6e45</t>
  </si>
  <si>
    <t xml:space="preserve">Department of Computer and Communication Engineering, International Islamic University Chittagong, Chattogram, Bangladesh; Department of Electronics and Telecommunication Engineering, Chittagong University of Engineering and Technology, Chattogram, Bangladesh; Departments of Computer Science and Engineering, International Islamic University Chittagong, Chattogram, Bangladesh</t>
  </si>
  <si>
    <t xml:space="preserve">Hoque J., Department of Computer and Communication Engineering, International Islamic University Chittagong, Chattogram, Bangladesh, Department of Electronics and Telecommunication Engineering, Chittagong University of Engineering and Technology, Chattogram, Bangladesh; Islam S., Department of Electronics and Telecommunication Engineering, Chittagong University of Engineering and Technology, Chattogram, Bangladesh; Khaliluzzaman, Departments of Computer Science and Engineering, International Islamic University Chittagong, Chattogram, Bangladesh; Al Muntasir A., Department of Computer and Communication Engineering, International Islamic University Chittagong, Chattogram, Bangladesh; Mohsin M.A., Department of Computer and Communication Engineering, International Islamic University Chittagong, Chattogram, Bangladesh</t>
  </si>
  <si>
    <t xml:space="preserve">Augmentation; Bilateral filtering; Convolutional neural networks; Malaria detection; Red blood cells; Transfer learning</t>
  </si>
  <si>
    <t xml:space="preserve">Savi M. K., An overview of Malaria transmission mechanisms, control, and modeling, Medical Sciences, 11, 1, (2022); World malaria report 2019, (2019); World malaria report 2022, (2022); Yin J., Li M., Yan H., Zhou S., Xia Z., Laboratory diagnosis for malaria in the elimination phase in China: efforts and challenges, Frontiers of Medicine, 16, 1, pp. 10-16, (2022); Hemachandran K., Et al., Performance analysis of deep learning algorithms in diagnosis of Malaria disease, Diagnostics, 13, 3, (2023); Bibin D., Nair M. S., Punitha P., Malaria parasite detection from peripheral blood smear images using deep belief networks, IEEE Access, 5, pp. 9099-9108, (2017); Manning K., Zhai X., Yu W., Image analysis and machine learning-based malaria assessment system, Digital Communications and Networks, 8, 2, pp. 132-142, (2022); Rajaraman S., Jaeger S., Antani S. K., Performance evaluation of deep neural ensembles toward malaria parasite detection in thin-blood smear images, PeerJ, 7, (2019); Kataria P., Surela N., Chaudhary A., Das J., MiRNA: biological regulator in host-parasite interaction during malaria infection, International Journal of Environmental Research and Public Health, 19, 4, (2022); Maqsood A., Farid M. S., Khan M. H., Grzegorzek M., Deep Malaria parasite detection in thin blood smear microscopic images, Applied Sciences, 11, 5, (2021); Murthy P. N., Hanumanthaiah S. K. Y., A simplified and novel technique to retrieve color images from hand-drawn sketch by human, International Journal of Electrical and Computer Engineering (IJECE), 12, 6, pp. 6140-6148, (2022); Sriporn K., Tsai C.-F., Tsai C.-E., Wang P., Analyzing malaria disease using effective deep learning approach, Diagnostics, 10, 10, (2020); Abubakar A., Ajuji M., Yahya I. U., DeepFMD: computational analysis for malaria detection in blood-smear images using deep-learning features, Applied System Innovation, 4, 4, (2021); Delgado-Ortet M., Molina A., Alferez S., Rodellar J., Merino A., A deep learning approach for segmentation of red blood cell images and Malaria detection, Entropy, 22, 6, (2020); Shedthi S., Siddappa M., Shetty S., Shetty V., Classification of arecanut using machine learning techniques, International Journal of Electrical and Computer Engineering (IJECE), 13, 2, pp. 1914-1921, (2023); Quan Q., Wang J., Liu L., An effective convolutional neural network for classifying red blood cells in malaria diseases, Interdisciplinary Sciences: Computational Life Sciences, 12, 2, pp. 217-225, (2020); Macharla A., Pradeepini G., A novel framework for the diagnosis of Parkinson’s disease using transfer learning with RESNET50 and SVM classifier, Indonesian Journal of Electrical Engineering and Computer Science (IJEECS), 32, 2, pp. 877-886, (2023); Pan W. D., Dong Y., Wu D., Classification of malaria-infected cells using deep convolutional neural networks, Machine Learning - Advanced Techniques and Emerging Applications, (2018); Ge C. X., As'ari M. A., Sufri N. A. J., Multiple face mask wearer detection based on YOLOv3 approach, IAES International Journal of Artificial Intelligence (IJ-AI), 12, 1, pp. 384-393, (2023); Alnussairi M. H. D., Ibrahim A. A., Malaria parasite detection using deep learning algorithms based on (CNNs) technique, Computers and Electrical Engineering, 103, (2022); Samit Hatem A., Altememe M. S., Fadhel M. A., Identifying corn leaves diseases by extensive use of transfer learning: a comparative study, Indonesian Journal of Electrical Engineering and Computer Science (IJEECS), 29, 2, pp. 1030-1038, (2023); Zhu Z., Wang S., Zhang Y., ROENet: a ResNet-based output ensemble for Malaria parasite classification, Electronics, 11, 13, (2022); Dong N., Zhao L., Wu C. H., Chang J. F., Inception v3 based cervical cell classification combined with artificially extracted features, Applied Soft Computing, 93, (2020); Militante S. V, Diamante R. A., Malaria disease diagnosis from a blood smear samples using the deep learning MobileNet models, (2021); Malaria image data, National Library of Medicine; Pattanaik P. A., Mittal M., Khan M. Z., Unsupervised deep learning CAD scheme for the detection of malaria in blood smear microscopic images, IEEE Access, 8, pp. 94936-94946, (2020); Lv Q., Zhang S., Wang Y., Deep learning model of image classification using machine learning, Advances in Multimedia, 2022, pp. 1-12, (2022); Zhu Z., Lu S., Wang S.-H., Gorriz J. M., Zhang Y.-D., BCNet: a novel network for blood cell classification, Frontiers in Cell and Developmental Biology, 9, (2022); Bhuiyan M., Islam M. S., A new ensemble learning approach to detect malaria from microscopic red blood cell images, Sensors International, 4, (2023); Vijayalakshmi A, Rajesh Kanna B, Deep learning approach to detect malaria from microscopic images, Multimedia Tools and Applications, 79, 21–22, pp. 15297-15317, (2019); Reddy A. S. B., Juliet D. S., Transfer learning with ResNet-50 for Malaria cell-image classification, 2019 International Conference on Communication and Signal Processing (ICCSP), pp. 945-0949, (2019); Eze P. U., Asogwa C. O., Deep machine learning model trade-offs for Malaria elimination in resource-constrained locations, Bioengineering, 8, 11, (2021); Jameela T., Athota K., Singh N., Gunjan V. K., Kahali S., Deep learning and transfer learning for Malaria detection, Computational Intelligence and Neuroscience, 2022, pp. 1-14, (2022); Automatic detection of Plasmodium parasites from microscopic blood images, Journal of Parasitic Diseases, 44, 1, pp. 69-78, (2020); Alonso-Ramirez A. A., Et al., Classifying parasitized and uninfected malaria red blood cells using convolutional-recurrent neural networks, IEEE Access, 10, pp. 97348-97359, (2022); Mondal S. K., Islam M., Faruque M. O., Turja M. S., Yusuf M. S. U., Efficient malaria cell image classification using deep convolutional neural network, Studies in Autonomic, Data-driven and Industrial Computing, pp. 435-445, (2023)</t>
  </si>
  <si>
    <t xml:space="preserve">J. Hoque; Department of Computer and Communication Engineering, International Islamic University Chittagong, Chittagong, 4318, Bangladesh; email: jiabul.hoque@iiuc.ac.bd</t>
  </si>
  <si>
    <t xml:space="preserve">Int. J. Electr. Comput. Eng.</t>
  </si>
  <si>
    <t xml:space="preserve">2-s2.0-85195314521</t>
  </si>
  <si>
    <t xml:space="preserve">Deshmukh R.K.; Shrivastav M.</t>
  </si>
  <si>
    <t xml:space="preserve">Deshmukh, Rajesh Keshavrao (57836183000); Shrivastav, Mohit (59241956300)</t>
  </si>
  <si>
    <t xml:space="preserve">57836183000; 59241956300</t>
  </si>
  <si>
    <t xml:space="preserve">Revolutionizing Public Health Surveillance: Computational Solution for Dengue Prediction</t>
  </si>
  <si>
    <t xml:space="preserve">Dengue fever is a rapidly growing vector-borne viral illness that is posing a threat to an increasing number of areas worldwide. Numerous scientists have focused on various strategies to stop and limit the spread of illness. Additionally, the development of a variety of methods for ascertaining and predictive modeling through quantifiable, numerical analysis of machine learning (ML) is investigated. This research introduces a novel cubic-kernelized support vector machine with a bee optimizer (CSVM-BO) approach for dengue identification. The climate data is initially collected and preprocessed utilizing the decimal scale normalization method. In addition, we provide a feature extraction approach for linear discriminant analysis (LDA), which attempts to extract essential information for early identification and risk assessment. The findings demonstrate that the framework suggested in this research has considerable benefits in public health for dengue prediction and that our proposed CSVM-BO technique performs optimally in terms of latency (5 s), time complexity (0.62 s), and accuracy (98.57%). The problems identified by this thorough study offer a helpful foundation for epidemiology and public health research. © 2024, Jacobs Verlag. All rights reserved.</t>
  </si>
  <si>
    <t xml:space="preserve">10.70135/seejph.vi.944</t>
  </si>
  <si>
    <t xml:space="preserve">https://www.scopus.com/inward/record.uri?eid=2-s2.0-85205000200&amp;doi=10.70135%2fseejph.vi.944&amp;partnerID=40&amp;md5=148fdba0c5c8d0c2fc46a1153267361c</t>
  </si>
  <si>
    <t xml:space="preserve">Deshmukh R.K., Department of CS &amp; IT, Kalinga University, Raipur, India; Shrivastav M., Department of CS &amp; IT, Kalinga University, Raipur, India</t>
  </si>
  <si>
    <t xml:space="preserve">climate; Dengue prediction; illness; public health; risk assessment</t>
  </si>
  <si>
    <t xml:space="preserve">Sood S.K., Sood V., Mahajan I., Sahil, An intelligent healthcare system for predicting and preventing dengue virus infection, Computing, 105, 3, pp. 617-655, (2023); Gupta G., Khan S., Guleria V., Almjally A., Abdullah B.I., Siddiqui T., Albahlal B.M., Alajlan S.A., Al-Subaie M., DDPM: A dengue disease prediction and diagnosis model using sentiment analysis and machine learning algorithms, Diagnostics, 13, 6, (2023); Neelima S., Govindaraj Manoj, Subramani K., ALkhayyat Ahmed, Mohan Chippy, Factors Influencing Data Utilization and Performance of Health Management Information Systems: A Case Study, Indian Journal of Information Sources and Services, 14, 2, pp. 146-152, (2024); Amin S., Uddin M.I., Zeb M.A., Alarood A.A., Mahmoud M., Alkinani M.H., Detecting Information on the Spread of Dengue on Twitter Using Artificial Neural Networks, Computers, Materials &amp; Continua, 67, 1; Sharma V., Ghosh S.K., Khare S., A proposed framework for surveillance of dengue disease and prediction, The International Archives of the Photogrammetry, Remote Sensing and Spatial Information Sciences, 48, pp. 317-323, (2023); Kodric Z., Vrhovec S., Jelovcan L., Securing edge-enabled smart healthcare systems with blockchain: A systematic literature review, Journal of Internet Services and Information Security, 11, 4, pp. 19-32, (2021); Rajendran N.M., Karthikeyan M., Karthik Raja B., Pragadishwaran K., Gopalakrishnan E.A., Sowmya V., Communicable Disease Prediction Using Machine Learning and Deep Learning Algorithms, International Conference on Information, Communication and Computing Technology, pp. 979-992, (2023); Corthis P.B., Ramesh G.P., Jayachandra A.B., A Meta heuristic-based deep learning classifier for effective dengue disease prediction in IoT‐Fog system, Expert Systems, (2024); Malathi K., Shruthi S.N., Madhumitha N., Sreelakshmi S., Sathya U., Sangeetha P.M., Medical Data Integration and Interoperability through Remote Monitoring of Healthcare Devices, Journal of Wireless Mobile Networks, Ubiquitous Computing, and Dependable Applications (JoWUA), 15, 2, pp. 60-72, (2024); Manoharan S.N., Kumar K.M., Vadivelan N., A novel CNN-TLSTM approach for dengue disease identification and prevention using IoT-fog cloud architecture, Neural Processing Letters, 55, 2, pp. 1951-1973, (2023); Saturn S., Development of prediction and forecasting model for Dengue disease using machine learning algorithms, 2020 IEEE International Conference on Distributed Computing, VLSI, Electrical Circuits and Robotics (DISCOVER), pp. 6-11, (2020); Yavari Nejad F., Varathan K.D., Identification of significant climatic risk factors and machine learning models in dengue outbreak prediction, BMC Medical Informatics and Decision Making, 21, 1, (2021); Baker Q.B., Faraj D., Alguzo A., Forecasting dengue fever using machine learning regression techniques, 2021 12th International Conference on Information and Communication Systems (ICICS), pp. 157-163, (2021); Bobir A.O., Askariy M., Otabek Y.Y., Nodir R.K., Rakhima A., Zukhra Z.Y., Sherzod A.A., Utilizing Deep Learning and the Internet of Things to Monitor the Health of Aquatic Ecosystems to Conserve Biodiversity, Natural and Engineering Sciences, 9, 1, pp. 72-83, (2024)</t>
  </si>
  <si>
    <t xml:space="preserve">2-s2.0-85205000200</t>
  </si>
  <si>
    <t xml:space="preserve">Kagabo J.; Tabo Z.; Kalinda C.; Nyandwi E.; Rujeni N.</t>
  </si>
  <si>
    <t xml:space="preserve">Kagabo, Joseph (57798596600); Tabo, Zadoki (57644871700); Kalinda, Chester (57202296259); Nyandwi, Elias (37089433900); Rujeni, Nadine (37124846400)</t>
  </si>
  <si>
    <t xml:space="preserve">57798596600; 57644871700; 57202296259; 37089433900; 37124846400</t>
  </si>
  <si>
    <t xml:space="preserve">Schistosomiasis transmission: A machine learning analysis reveals the importance of agrochemicals on snail abundance in Rwanda</t>
  </si>
  <si>
    <t xml:space="preserve">Background Schistosomiasis is an important snail-borne parasitic disease whose transmission is exacerbated by water resource management activities. In Rwanda, meeting the growing population’s demand for food has led to wetlands reclamation for cultivation and increased agrochemical enrichment for crop production. However, the ecological consequences of agrochemical enrichment on schistosomiasis transmission remain unexplored. Methods A malacological survey was conducted in 71 villages selected from 15 schistosomiasis endemic districts. Snail sampling was done in wetlands used for agriculture, along lake Kivu and at constructed multipurpose water dams. Water physico-chemical parameters were collected at all snail sampling sites. Analysis of collected data was performed using Xgboost (gain) and Random Forest (mean decrease in accuracy), machine learning techniques, to construct models that evaluate and categorize the importance of all physico-chemical properties on the presence and abundance of intermediate host snails (IHS). Results Different sets of parameters were relevant for the presence and abundance of Biomphalaria spp. and/or Bulinus spp. snails. Electrical conductivity, elevation, magnesium and lead content were deemed to shape the presence and abundance of Bulinus spp. snails. The impact of phosphate ion concentration, ammonia ions, total nitrogen and total organic carbon levels mirrored their importance towards the presence and abundance of Biomphalaria spp. Factors such as pH, electric conductivity, total nitrogen content and total organic carbon influenced the coexistence of both species. Our study highlights the value of integrating a wide range of predictor variables, enabling effective variable selection to uncover important predictors of snail distribution. Conclusion The results suggest that agrochemical compounds can enhance the abundance of IHS leading to an increased risk of Schistosoma transmission. Snail surveillance could therefore be integrated into agricultural expansion projects in our match towards schistosomiasis elimination. Recognizing the impact of agrochemicals on IHS is crucial for minimizing schistosomiasis transmission among those working in wetlands while meeting the growing need for food. © 2024 Kagabo et al.</t>
  </si>
  <si>
    <t xml:space="preserve">surceillance</t>
  </si>
  <si>
    <t xml:space="preserve">e0012730</t>
  </si>
  <si>
    <t xml:space="preserve">10.1371/journal.pntd.0012730</t>
  </si>
  <si>
    <t xml:space="preserve">https://www.scopus.com/inward/record.uri?eid=2-s2.0-85213596325&amp;doi=10.1371%2fjournal.pntd.0012730&amp;partnerID=40&amp;md5=c75e2212b0a3f02bd926b4e87d2b2bdf</t>
  </si>
  <si>
    <t xml:space="preserve">College of Medicine and Health Sciences, School of Health Sciences, University of Rwanda, Kigali, Rwanda; Centre for International Development and Environmental Research (ZEU), Justus Liebig University Giessen, Germany; University of Global Health Equity (UGHE), Bill and Joyce Cummings Institute of Global Health, Kigali Heights, Kigali, Rwanda; School of Nursing and Public Health, Department of Public Health, College of Health Sciences, Howard College Campus, University of KwaZulu-Natal, Durban, South Africa; College of Science and Technology, Center for GIS, University of Rwanda, Kigali, Rwanda</t>
  </si>
  <si>
    <t xml:space="preserve">Kagabo J., College of Medicine and Health Sciences, School of Health Sciences, University of Rwanda, Kigali, Rwanda; Tabo Z., Centre for International Development and Environmental Research (ZEU), Justus Liebig University Giessen, Germany; Kalinda C., University of Global Health Equity (UGHE), Bill and Joyce Cummings Institute of Global Health, Kigali Heights, Kigali, Rwanda, School of Nursing and Public Health, Department of Public Health, College of Health Sciences, Howard College Campus, University of KwaZulu-Natal, Durban, South Africa; Nyandwi E., College of Science and Technology, Center for GIS, University of Rwanda, Kigali, Rwanda; Rujeni N., College of Medicine and Health Sciences, School of Health Sciences, University of Rwanda, Kigali, Rwanda</t>
  </si>
  <si>
    <t xml:space="preserve">Agrochemicals; Animals; Biomphalaria; Bulinus; Humans; Machine Learning; Rwanda; Schistosomiasis; Snails; Wetlands; agricultural chemical; cadmium; ground water; lead; magnesium; nitrogen; agricultural chemical; agricultural worker; antihelminthic therapy; Article; biofilm; bioremediation; data mining; decision tree; disease surveillance; environmental monitoring; follow up; geographic distribution; health education; learning; life history trait; machine learning; nonhuman; periphyton; population density; risk factor; Rwanda; schistosomiasis; snail; soil erosion; species distribution; water quality; wetland; animal; Biomphalaria; Bulinus; drug effect; epidemiology; human; parasitology; Rwanda; snail; wetland</t>
  </si>
  <si>
    <t xml:space="preserve">cadmium, 22537-48-0, 7440-43-9; lead, 7439-92-1, 13966-28-4; magnesium, 7439-95-4; nitrogen, 7727-37-9; Agrochemicals, </t>
  </si>
  <si>
    <t xml:space="preserve">One health joint plan of action (2022–2026): working together for the health of humans, animals, plants and the environment, (2022); Ending the neglect to attain the sustainable development goals: a road map for neglected tropical diseases 2021–2030: overview, (2020); WHO guideline on control and elimination of human schistosomiasis, (2022); Bergquist R, Zhou X-N, Rollinson D, Reinhard-Rupp J, Klohe K., Elimination of schistosomiasis: the tools required, Infectious diseases of poverty, 6, pp. 1-9, (2017); Kincaid-Smith J, Tracey A, de Carvalho Augusto R, Bulla I, Holroyd N, Rognon A, Et al., Morphological and genomic characterisation of the Schistosoma hybrid infecting humans in Europe reveals admixture between Schistosoma haematobium and Schistosoma bovis, PLoS neglected tropical diseases, 15, 12, (2021); Rey O, Toulza E, Chaparro C, Allienne JF, Kincaid-Smith J, Mathieu-Begne E, Et al., Diverging patterns of introgression from Schistosoma bovis across S. haematobium African lineages, PLoS Pathog, 17, 2, (2021); Disease burden by cause, age, sex, by country and by region, 2000–2019 Geneva: World Health Organization, (2019); Utzinger J, N'goran EK, N'dri A, Lengeler C, Tanner M., Efficacy of praziquantel against Schistosoma mansoni with particular consideration for intensity of infection, Tropical medicine &amp; International health, 5, 11, pp. 771-778, (2000); Erko B, Degarege A, Tadesse K, Mathiwos A, Legesse M., Efficacy and side effects of praziquantel in the treatment of Schistosomiasis mansoni in schoolchildren in Shesha Kekele Elementary School, Wondo Genet, Southern Ethiopia, Asian Pacific journal of tropical biomedicine, 2, 3, pp. 235-239, (2012); Zacharia A, Mushi V, Makene T., A systematic review and meta-analysis on the rate of human schistosomiasis reinfection, PLoS One, 15, 12, (2020); Trippler L, Ame SM, Hattendorf J, Juma S, Abubakar S, Ali SM, Et al., Impact of seven years of mass drug administration and recrudescence of Schistosoma haematobium infections after one year of treatment gap in Zanzibar: Repeated cross-sectional studies, PLoS neglected tropical diseases, 15, 2, (2021); Chen X, Yang S, Zhu B, Zhang M, Zheng N, Hua J, Et al., Effects of environmentally relevant concentrations of niclosamide on lipid metabolism and steroid hormone synthesis in adult female zebrafish, Science of the Total Environment, 910, (2024); Mari L, Ciddio M, Casagrandi R, Perez-Saez J, Bertuzzo E, Rinaldo A, Et al., Heterogeneity in schistosomiasis transmission dynamics, J Theor Biol, 432, pp. 87-99, (2017); Hu H, Gong P, Xu B., Spatially explicit agent-based modelling for schistosomiasis transmission: Human–environment interaction simulation and control strategy assessment, Epidemics, 2, 2, pp. 49-65, (2010); Lund AJ, Rehkopf DH, Sokolow SH, Sam MM, Jouanard N, Schacht A-M, Et al., Land use impacts on parasitic infection: a cross-sectional epidemiological study on the role of irrigated agriculture in schistosome infection in a dammed landscape, Infectious diseases of poverty, 10, pp. 1-10, (2021); Mereta ST, Abaya SW, Tulu FD, Takele K, Ahmednur M, Melka GA, Et al., Effects of land-use and environmental factors on snail distribution and trematode infection in Ethiopia, Tropical Medicine and Infectious Disease, 8, 3, (2023); Steinmann P, Keiser J, Bos R, Tanner M, Utzinger J., Schistosomiasis and water resources development: systematic review, meta-analysis, and estimates of people at risk, The Lancet Infectious Diseases, 6, 7, pp. 411-425, (2006); Halstead NT, Hoover CM, Arakala A, Civitello DJ, De Leo GA, Gambhir M, Et al., Agrochemicals increase risk of human schistosomiasis by supporting higher densities of intermediate hosts, Nature communications, 9, 1, (2018); Ntirenganya E., Transforming Rwanda’s Agricultural Landscape: NST1 Spurs Remarkable Growth in Fertilizer Use and Irrigation Kigali: The Farmer’s Journal, (2024); The Business Case for Investing in the Import and Distribution of Fertilizer in Rwanda, (2012); Lakeshores and Riverbanks are public property, their use can only be authorized by the Minister in charge of Environment, (2021); Wetlands: Natural and Irrigated Kigali, (2021); Water and wetland resources, (2009); Ruberanziza E, Wittmann U, Mbituyumuremyi A, Mutabazi A, Campbell CH, Colley DG, Et al., Nationwide remapping of Schistosoma mansoni infection in Rwanda using circulating cathodic antigen rapid test: taking steps toward elimination, The American Journal of Tropical Medicine and Hygiene, 103, 1, (2020); Rujeni N, Morona D, Ruberanziza E, Mazigo HD., Schistosomiasis and soil-transmitted helminthiasis in Rwanda: an update on their epidemiology and control, Infectious diseases of poverty, 6, pp. 1-11, (2017); Brown D., Freshwater snails of Africa and their medical importance, (1980); Garbarino JR, Steinheimer E, Taylor HE., Water analysis, Analytical Chemistry, 57, 5, pp. 46-88, (1985); Tabo Z, Breuer L, Fabia C, Samuel G, Albrecht C., A machine learning approach for modeling the occurrence of the major intermediate hosts for schistosomiasis in East Africa, Scientific Reports, 14, 1, (2024); Tabo Z, Neubauer TA, Tumwebaze I, Stelbrink B, Breuer L, Hammoud C, Et al., Factors controlling the distribution of intermediate host snails of schistosoma in crater lakes in Uganda: A machine learning approach, Frontiers in Environmental Science, 10, (2022); John R, Ezekiel M, Philbert C, Andrew A., Schistosomiasis transmission at high altitude crater lakes in Western Uganda, BMC infectious Diseases, 8, pp. 1-6, (2008); Stanton MC, Adriko M, Arinaitwe M, Howell A, Davies J, Allison G, Et al., Intestinal schistosomiasis in Uganda at high altitude (&gt; 1400 m): malacological and epidemiological surveys on Mount Elgon and in Fort Portal crater lakes reveal extra preventive chemotherapy needs, Infectious diseases of poverty, 6, pp. 26-35, (2017); R: A language and environment for statistical computing, (2013); Breiman L., Random forests, Machine learning, 45, pp. 5-32, (2001); Quinlan JR., Induction of decision trees, Machine learning, 1, pp. 81-106, (1986); Cover T, Hart P., Nearest neighbor pattern classification, IEEE transactions on information theory, 13, 1, pp. 21-27, (1967); Natekin A, Knoll A., Gradient boosting machines, a tutorial, Frontiers in neurorobotics, 7, (2013); Friedman JH., Multivariate adaptive regression splines, The annals of statistics, 19, 1, pp. 1-67, (1991); Fawcett T., ROC graphs with instance-varying costs, Pattern Recognition Letters, 27, 8, pp. 882-891, (2006); Allouche O, Tsoar A, Kadmon R., Assessing the accuracy of species distribution models: prevalence, kappa and the true skill statistic (TSS), Journal of applied ecology, 43, 6, pp. 1223-1232, (2006); Roy SS, Chopra R, Lee KC, Spampinato C, Mohammadi-ivatlood B., Random forest, gradient boosted machines and deep neural network for stock price forecasting: a comparative analysis on South Korean companies, International Journal of Ad Hoc and Ubiquitous Computing, 33, 1, pp. 62-71, (2020); Valdebenito J, Medina F., Machine learning approaches to study glioblastoma: A review of the last decade of applications, Cancer Reports, 2, 6, (2019); Golden CE, Rothrock MJ, Mishra A., Comparison between random forest and gradient boosting machine methods for predicting Listeria spp. prevalence in the environment of pastured poultry farms, Food research international, 122, pp. 47-55, (2019); Friedman JH., Greedy function approximation: a gradient boosting machine, Annals of statistics, pp. 1189-1232, (2001); Becker JM, Ganatra AA, Kandie F, Muhlbauer L, Ahlheim J, Brack W, Et al., Pesticide pollution in freshwater paves the way for schistosomiasis transmission, Scientific reports, 10, 1, (2020); Kagabo J, Kalinda C, Nshimiyimana P, Mbonigaba JB, Ruberanziza E, Nyandwi E, Et al., Malacological survey and spatial distribution of intermediate host snails in schistosomiasis endemic districts of Rwanda, Tropical Medicine and Infectious Disease, 8, 6, (2023); Arora K, Mickelson SK, Helmers MJ, Baker JL., Review of pesticide retention processes occurring in buffer strips receiving agricultural runoff 1, JAWRA Journal of the American Water Resources Association, 46, 3, pp. 618-647, (2010); Cormier SM, Suter GW, Zheng L, Pond GJ., Assessing causation of the extirpation of stream macroinvertebrates by a mixture of ions, Environmental Toxicology and Chemistry, 32, 2, pp. 277-287, (2013); Dillon RT., The ecology of freshwater molluscs, (2000); Camara I, Bony Y, Diomande D, Edia O, Konan F, Gourene G, Et al., Freshwater snail distribution related to environmental factors in Banco National Park, an urban reserve in the Ivory Coast (West Africa), African Zoology, 47, 1, pp. 160-168, (2012); Garcia-Criado F, Tome A, Vega F, Antolin C., Performance of some diversity and biotic indices in rivers affected by coal mining in northwestern Spain, Hydrobiologia, 394, pp. 209-217, (1999); de Sousa DNR, Mozeto AA, Carneiro RL, Fadini PS., Electrical conductivity and emerging contaminant as markers of surface freshwater contamination by wastewater, Science of the total environment, 484, pp. 19-26, (2014); Kabatereine NB, Brooker S, Tukahebwa EM, Kazibwe F, Onapa AW., Epidemiology and geography of Schistosoma mansoni in Uganda: implications for planning control, Tropical Medicine &amp; International Health, 9, 3, pp. 372-380, (2004); Tumwebaze I, Clewing C, Dusabe MC, Tumusiime J, Kagoro-Rugunda G, Hammoud C, Et al., Molecular identification of Bulinus spp. intermediate host snails of Schistosoma spp. in crater lakes of western Uganda with implications for the transmission of the Schistosoma haematobium group parasites, Parasites &amp; vectors, 12, pp. 1-23, (2019); Olkeba BK, Boets P, Mereta ST, Yeshigeta M, Akessa GM, Ambelu A, Et al., Environmental and biotic factors affecting freshwater snail intermediate hosts in the Ethiopian Rift Valley region, Parasites &amp; vectors, 13, pp. 1-13, (2020); Opisa S, Odiere MR, Jura WG, Karanja DM, Mwinzi PN., Malacological survey and geographical distribution of vector snails for schistosomiasis within informal settlements of Kisumu City, western Kenya, Parasites &amp; vectors, 4, pp. 1-9, (2011); Dixon AB., The hydrological impacts and sustainability of wetland drainage cultivation in Illubabor, Ethiopia, Land Degradation &amp; Development, 13, 1, pp. 17-31, (2002); Nabahungu NL, Cyamweshi AR, Kayumba J, Kokou K, Mukuralinda A, Cirhuza JM, Et al., Lowland rice yield and profit response to fertilizer application in Rwanda, Agronomy Journal, 112, 2, pp. 1423-1432, (2020); Xie K, Cakmak I, Wang S, Zhang F, Guo S., Synergistic and antagonistic interactions between potassium and magnesium in higher plants, The Crop Journal, 9, 2, pp. 249-256, (2021); Ekholm P, Lehtoranta J, Taka M, Sallantaus T, Riihimaki J., Diffuse sources dominate the sulfate load into Finnish surface waters, Science of the Total Environment, 748, (2020); Ndione RA, Bakhoum S, Haggerty C, Jouanard N, Senghor S, Ndao PD, Et al., Intermediate host snails of human Schistosomes in the Senegal River Delta: spatial distribution according to physicochemical parameters, Invertebrates-Ecophysiology and Management, (2019); Nwoko OE, Kalinda C, Chimbari MJ., Systematic review and meta-analysis on the infection rates of schistosome transmitting snails in southern Africa, Tropical Medicine and Infectious Disease, 7, 5, (2022); Waters TF., Stream ecology: structure and function of running waters, Ecology, 77, 6, (1996)</t>
  </si>
  <si>
    <t xml:space="preserve">2-s2.0-85213596325</t>
  </si>
  <si>
    <t xml:space="preserve">Mshani I.H.; Jackson F.M.; Mwanga R.Y.; Kweyamba P.A.; Mwanga E.P.; Tambwe M.M.; Hofer L.M.; Siria D.J.; González-Jiménez M.; Wynne K.; Moore S.J.; Okumu F.; Babayan S.A.; Baldini F.</t>
  </si>
  <si>
    <t xml:space="preserve">Mshani, Issa H. (57287084200); Jackson, Frank M. (58997856200); Mwanga, Rehema Y. (58555564400); Kweyamba, Prisca A. (57208148887); Mwanga, Emmanuel P. (57207927466); Tambwe, Mgeni M. (57189104236); Hofer, Lorenz M. (54879547600); Siria, Doreen J. (57189696287); González-Jiménez, Mario (54386863100); Wynne, Klaas (7005616796); Moore, Sarah J. (35345151900); Okumu, Fredros (23469954500); Babayan, Simon A. (7003733616); Baldini, Francesco (35620058000)</t>
  </si>
  <si>
    <t xml:space="preserve">57287084200; 58997856200; 58555564400; 57208148887; 57207927466; 57189104236; 54879547600; 57189696287; 54386863100; 7005616796; 35345151900; 23469954500; 7003733616; 35620058000</t>
  </si>
  <si>
    <t xml:space="preserve">Screening of malaria infections in human blood samples with varying parasite densities and anaemic conditions using AI-Powered mid-infrared spectroscopy</t>
  </si>
  <si>
    <t xml:space="preserve">Background: Effective testing for malaria, including the detection of infections at very low densities, is vital for the successful elimination of the disease. Unfortunately, existing methods are either inexpensive but poorly sensitive or sensitive but costly. Recent studies have shown that mid-infrared spectroscopy coupled with machine learning (MIRs-ML) has potential for rapidly detecting malaria infections but requires further evaluation on diverse samples representative of natural infections in endemic areas. The aim of this study was, therefore, to demonstrate a simple AI-powered, reagent-free, and user-friendly approach that uses mid-infrared spectra from dried blood spots to accurately detect malaria infections across varying parasite densities and anaemic conditions. Methods: Plasmodium falciparum strains NF54 and FCR3 were cultured and mixed with blood from 70 malaria-free individuals to create various malaria parasitaemia and anaemic conditions. Blood dilutions produced three haematocrit ratios (50%, 25%, 12.5%) and five parasitaemia levels (6%, 0.1%, 0.002%, 0.00003%, 0%). Dried blood spots were prepared on Whatman™ filter papers and scanned using attenuated total reflection-Fourier Transform Infrared (ATR-FTIR) for machine-learning analysis. Three classifiers were trained on an 80%/20% split of 4655 spectra: (I) high contrast (6% parasitaemia vs. negative), (II) low contrast (0.00003% vs. negative) and (III) all concentrations (all positive levels vs. negative). The classifiers were validated with unseen datasets to detect malaria at various parasitaemia levels and anaemic conditions. Additionally, these classifiers were tested on samples from a population survey in malaria-endemic villages of southeastern Tanzania. Results: The AI classifiers attained over 90% accuracy in detecting malaria infections as low as one parasite per microlitre of blood, a sensitivity unattainable by conventional RDTs and microscopy. These laboratory-developed classifiers seamlessly transitioned to field applicability, achieving over 80% accuracy in predicting natural P. falciparum infections in blood samples collected during the field survey. Crucially, the performance remained unaffected by various levels of anaemia, a common complication in malaria patients. Conclusion: These findings suggest that the AI-driven mid-infrared spectroscopy approach holds promise as a simplified, sensitive and cost-effective method for malaria screening, consistently performing well despite variations in parasite densities and anaemic conditions. The technique simply involves scanning dried blood spots with a desktop mid-infrared scanner and analysing the spectra using pre-trained AI classifiers, making it readily adaptable to field conditions in low-resource settings. In this study, the approach was successfully adapted to field use, effectively predicting natural malaria infections in blood samples from a population-level survey in Tanzania. With additional field trials and validation, this technique could significantly enhance malaria surveillance and contribute to accelerating malaria elimination efforts. © The Author(s) 2024.</t>
  </si>
  <si>
    <t xml:space="preserve">10.1186/s12936-024-05011-z</t>
  </si>
  <si>
    <t xml:space="preserve">https://www.scopus.com/inward/record.uri?eid=2-s2.0-85196123992&amp;doi=10.1186%2fs12936-024-05011-z&amp;partnerID=40&amp;md5=c8874128081848fbb3be0f559b206991</t>
  </si>
  <si>
    <t xml:space="preserve">Environmental Health, and Ecological Sciences Department, Ifakara Health Institute, Morogoro, Tanzania; School of Biodiversity, One Health and Veterinary Medicine, The University of Glasgow, Glasgow, United Kingdom; Swiss Tropical and Public Health Institute, Kreuzstrasse 2, Allschwil, 4123, Switzerland; University of Basel, Petersplatz 1, Basel, 4001, Switzerland; School of Chemistry, The University of Glasgow, Glasgow, G128QQ, United Kingdom; School of Life Sciences and Biotechnology, Nelson Mandela African Institution of Science and Technology, Arusha, Tanzania; School of Public Health, The University of the Witwatersrand, Park Town, Johannesburg, South Africa</t>
  </si>
  <si>
    <t xml:space="preserve">Mshani I.H., Environmental Health, and Ecological Sciences Department, Ifakara Health Institute, Morogoro, Tanzania, School of Biodiversity, One Health and Veterinary Medicine, The University of Glasgow, Glasgow, United Kingdom; Jackson F.M., Environmental Health, and Ecological Sciences Department, Ifakara Health Institute, Morogoro, Tanzania; Mwanga R.Y., Environmental Health, and Ecological Sciences Department, Ifakara Health Institute, Morogoro, Tanzania; Kweyamba P.A., Environmental Health, and Ecological Sciences Department, Ifakara Health Institute, Morogoro, Tanzania, Swiss Tropical and Public Health Institute, Kreuzstrasse 2, Allschwil, 4123, Switzerland, University of Basel, Petersplatz 1, Basel, 4001, Switzerland; Mwanga E.P., Environmental Health, and Ecological Sciences Department, Ifakara Health Institute, Morogoro, Tanzania, School of Biodiversity, One Health and Veterinary Medicine, The University of Glasgow, Glasgow, United Kingdom; Tambwe M.M., Environmental Health, and Ecological Sciences Department, Ifakara Health Institute, Morogoro, Tanzania; Hofer L.M., Environmental Health, and Ecological Sciences Department, Ifakara Health Institute, Morogoro, Tanzania, Swiss Tropical and Public Health Institute, Kreuzstrasse 2, Allschwil, 4123, Switzerland, University of Basel, Petersplatz 1, Basel, 4001, Switzerland; Siria D.J., Environmental Health, and Ecological Sciences Department, Ifakara Health Institute, Morogoro, Tanzania, School of Biodiversity, One Health and Veterinary Medicine, The University of Glasgow, Glasgow, United Kingdom; González-Jiménez M., School of Biodiversity, One Health and Veterinary Medicine, The University of Glasgow, Glasgow, United Kingdom, School of Chemistry, The University of Glasgow, Glasgow, G128QQ, United Kingdom; Wynne K., School of Chemistry, The University of Glasgow, Glasgow, G128QQ, United Kingdom; Moore S.J., Environmental Health, and Ecological Sciences Department, Ifakara Health Institute, Morogoro, Tanzania, Swiss Tropical and Public Health Institute, Kreuzstrasse 2, Allschwil, 4123, Switzerland, University of Basel, Petersplatz 1, Basel, 4001, Switzerland, School of Life Sciences and Biotechnology, Nelson Mandela African Institution of Science and Technology, Arusha, Tanzania; Okumu F., Environmental Health, and Ecological Sciences Department, Ifakara Health Institute, Morogoro, Tanzania, School of Biodiversity, One Health and Veterinary Medicine, The University of Glasgow, Glasgow, United Kingdom, School of Life Sciences and Biotechnology, Nelson Mandela African Institution of Science and Technology, Arusha, Tanzania, School of Public Health, The University of the Witwatersrand, Park Town, Johannesburg, South Africa; Babayan S.A., School of Biodiversity, One Health and Veterinary Medicine, The University of Glasgow, Glasgow, United Kingdom; Baldini F., Environmental Health, and Ecological Sciences Department, Ifakara Health Institute, Morogoro, Tanzania, School of Biodiversity, One Health and Veterinary Medicine, The University of Glasgow, Glasgow, United Kingdom</t>
  </si>
  <si>
    <t xml:space="preserve">Adolescent; Adult; Anemia; Artificial Intelligence; Female; Humans; Machine Learning; Malaria, Falciparum; Male; Mass Screening; Middle Aged; Parasite Load; Parasitemia; Plasmodium falciparum; Sensitivity and Specificity; Spectrophotometry, Infrared; Spectroscopy, Fourier Transform Infrared; Young Adult; anemia; Article; artificial intelligence; artificial neural network; classifier; controlled study; hematocrit; human; infrared spectroscopy; machine learning; malaria; nested polymerase chain reaction; parasite; Plasmodium falciparum; point of care testing; quality control; sensitivity and specificity; support vector machine; Tanzania; validation process; adolescent; adult; anemia; artificial intelligence; blood; diagnosis; female; Fourier transform infrared spectroscopy; infrared spectrophotometry; isolation and purification; malaria falciparum; male; mass screening; middle aged; parasite load; parasitemia; parasitology; Plasmodium falciparum; procedures; young adult</t>
  </si>
  <si>
    <t xml:space="preserve">Rudolf Geigy Foundation; Swiss Tropical &amp; Public Health Institute; Howard Hughes Medical Institute, HHMI; Bill and Melinda Gates Foundation, BMGF, (OPP 1217647, OPP1099295); Bill and Melinda Gates Foundation, BMGF; Royal Society, (ICA/R1/191238); Royal Society; Academy of Medical Sciences, (SBF007\100094); Academy of Medical Sciences</t>
  </si>
  <si>
    <t xml:space="preserve">This work was supported in part by the Bill &amp; Melinda Gates Foundation. (Grant number Grant No. OPP 1217647 to Ifakara Health Institute). Under the grant conditions of the Foundation, a Creative Commons Attribution 4.0 Generic License has already been assigned to the Author Accepted Manuscript version that might. arise from this submission. Support was also received from Rudolf Geigy Foundation through Swiss Tropical &amp; Public Health Institute (to Ifakara Health Institute), Howard Hughes Medical Institute (HHMI) and Gates Foundation (Grants: OPP1099295) awarded to FOO and HMF, Royal Society (Grant No ICA/R1/191238 to SAB University of Glasgow and Ifakara Health Institute), Academy Medical Science Springboard Award (ref: SBF007\\100094) to FB. </t>
  </si>
  <si>
    <t xml:space="preserve">World malaria report, (2023); Global technical strategy for malaria 2016–2030, (2015); Moody A., Rapid diagnostic tests for malaria parasites, Clin Microbiol Rev, 15, pp. 66-78, (2002); Cunningham J., Jones S., Gatton M.L., Barnwell J.W., Cheng Q., Chiodini P.L., Et al., A review of the WHO malaria rapid diagnostic test product testing programme (2008–2018): performance, procurement and policy, Malar J, 18, (2019); Ge Y., Liang D., Cao J., Gosling R., Mushi V., Huang J., How socioeconomic status affected the access to health facilities and malaria diagnosis in children under five years: findings from 19 sub-Saharan African countries, Infect Dis Poverty, 12, (2023); Malaria diagnostics landscape update, (2015); Gatton M.L., Chaudhry A., Glenn J., Wilson S., Ah Y., Kong A., Et al., Impact of Plasmodium falciparum gene deletions on malaria rapid diagnostic test performance, Malar J, 19, (2020); False-negative RDT results and P. falciparumhistidine-rich protein 2/3 gene deletions, (2016); Watson O.J., Tran T.N.-A., Zupko R.J., Symons T., Thomson R., Visser T., Et al., Global risk of selection and spread of Plasmodium falciparum histidine-rich protein 2 and 3 gene deletions, MedRxiv, (2023); Abuaku B., Amoah L.E., Peprah N.Y., Asamoah A., Amoako E.O., Donu D., Et al., Malaria parasitaemia and mRDT diagnostic performances among symptomatic individuals in selected health care facilities across Ghana, BMC Public Health, 21, (2021); Milne L.M., Kyi M.S., Chiodini P.L., Warhurst D.C., Accuracy of routine laboratory diagnosis of malaria in the United Kingdom, J Clin Pathol, 47, pp. 740-742, (1994); Murray C.K., Gasser R.A., Magill A.J., Miller R.S., Update on rapid diagnostic testing for malaria, Clin Microbiol Rev, 21, pp. 97-110, (2008); Okell L.C., Bousema T., Griffin J.T., Ouedraogo A.L., Ghani A.C., Drakeley C.J., Factors determining the occurrence of submicroscopic malaria infections and their relevance for control, Nat Commun, 3, (2012); Odhiambo F., Buff A.M., Moranga C., Moseti C.M., Wesongah J.O., Lowther S.A., Et al., Factors associated with malaria microscopy diagnostic performance following a pilot quality-assurance programme in health facilities in malaria low-transmission areas of Kenya, 2014, Malar J, 16, (2017); Mshani I.H., Siria D.J., Mwanga E.P., Sow B.B.D., Sanou R., Opiyo M., Et al., Key considerations, target product profiles, and research gaps in the application of infrared spectroscopy and artificial intelligence for malaria surveillance and diagnosis, Malar J, 22, (2023); Mwanga E.P., Minja E.G., Mrimi E., Jimenez M.G., Swai J.K., Abbasi S., Et al., Detection of malaria parasites in dried human blood spots using mid-infrared spectroscopy and logistic regression analysis, Malar J, 18, (2019); Adegoke J.A., De Paoli A., Afara I.O., Kochan K., Creek D.J., Heraud P., Et al., Ultraviolet/visible and near-infrared dual spectroscopic method for detection and quantification of low-level malaria parasitemia in whole blood, Anal Chem Anal Chem, 93, pp. 13302-13310, (2021); Gonzalez Jimenez M., Babayan S.A., Khazaeli P., Doyle M., Walton F., Reedy E., Et al., Prediction of mosquito species and population age structure using mid-infrared spectroscopy and supervised machine learning, Wellcome Open Res, 4, (2019); Siria D.J., Sanou R., Mitton J., Mwanga E.P., Niang A., Sare I., Et al., Rapid age-grading and species identification of natural mosquitoes for malaria surveillance, Nat Commun, 13, (2022); Goh B., Ching K., Soares Magalhaes R.J., Ciocchetta S., Edstein M.D., Maciel-De-freitas R., Et al., The application of spectroscopy techniques for diagnosis of malaria parasites and arboviruses and surveillance of mosquito vectors: a systematic review and critical appraisal of evidence, PLoS Negl Trop Dis, 15, (2021); Khoshmanesh A., Dixon M.W.A., Kenny S., Tilley L., McNaughton D., Wood B.R., Detection and quantification of early-stage malaria parasites in laboratory infected erythrocytes by attenuated total reflectance infrared spectroscopy and multivariate analysis, Anal Chem, 86, pp. 4379-4386, (2014); Webster G.T., de Villiers K.A., Egan T.J., Deed S., Tilley L., Tobin M.J., Et al., Discriminating the intraerythrocytic lifecycle stages of the malaria parasite using synchrotron FT-IR microspectroscopy and an artificial neural network, Anal Chem, 81, pp. 2516-2524, (2009); Heraud P., Chatchawal P., Wongwattanakul M., Tippayawat P., Doerig C., Jearanaikoon P., Et al., Infrared spectroscopy coupled to cloud-based data management as a tool to diagnose malaria: a pilot study in a malaria-endemic country, Malar J, 18, (2019); White N.J., Anaemia and malaria, Malar J, 17, (2018); Calis J.C.J., Phiri K.S., van Hensbroek M.B., Severe anemia in Malawian children-reply, N Engl J Med, 358, 9, pp. 888-899, (2008); Crawley J., Reducing the burden of anemia in infants and young children in malaria-endemic countries of Africa: from evidence to action, Am J Trop Med Hyg, 71, pp. 25-34, (2004); Trager W., Jensen J.B., Human malaria parasites in continuous culture, J Parasitol, 91, pp. 484-486, (2005); Hitz E., Balestra A.C., Brochet M., Voss T.S., PfMAP-2 is essential for male gametogenesis in the malaria parasite Plasmodium falciparum, Sci Rep, 10, (2020); Lambros C., Vanderberg J.P., Synchronization of Plasmodium falciparum erythrocytic stages in culture, J Parasitol, 65, pp. 418-420, (1979); Treatment and preventive therapies 2020. United Republic of Tanzania, Ministry of Health and Social Welfare, National Malaria Control Programme.; Liu S., Deng Z., Li J., Wang J., Huang N., Cui R., Et al., Measurement of the refractive index of whole blood and its components for a continuous spectral region, J Biomed Opt, 24, pp. 1-5, (2019); Banas A.M., Banas K., Chu T.T.T., Naidu R., Hutchinson P.E., Agrawal R., Et al., Comparing infrared spectroscopic methods for the characterization of Plasmodium falciparum-infected human erythrocytes, Commun Chem, 4, (2021); Payne D., Use and limitations of light microscopy for diagnosing malaria at the primary health care level, Bull World Health Organ, 66, pp. 621-626, (1988); Ranadive N., Kunene S., Darteh S., Ntshalintshali N., Nhlabathi N., Dlamini N., Et al., Limitations of rapid diagnostic testing in patients with suspected malaria: a diagnostic accuracy evaluation from Swaziland, a low-endemicity country aiming for malaria elimination, Clin Infect Dis, 64, pp. 1221-1227, (2017); Nyataya J., Waitumbi J., Mobegi V.A., Noreddin A., El Zowalaty M.E., Plasmodium falciparum histidine-rich protein 2 and 3 gene deletions and their implications in malaria control, Diseases, 8, (2020); Kaaya R.D., Kavishe R.A., Tenu F.F., Matowo J.J., Mosha F.W., Drakeley C., Et al., Deletions of the Plasmodium falciparum histidine-rich protein 2/3 genes are common in field isolates from north-eastern Tanzania, Sci Rep, 12, (2022); Schellenberg D., Menendez C., Kahigwa E., Font F., Galindo C., Acosta C., Et al., African children with malaria in an area of intense Plasmodium falciparum transmission: features on admission to the hospital and risk factors for death, Am J Trop Med Hyg, 61, pp. 431-438, (1999); Kahigwa E., Schellenberg D., Sanz S., Aponte J.J., Wigayi J., Mshinda H., Et al., Risk factors for presentation to hospital with severe anaemia in Tanzanian children: a case–control study, Trop Med Int Heal, 7, pp. 823-830, (2002); Furtado L.F.V., Alves W.P., da Silva V.J., Rabelo E.M.L., Hookworm infection as a model for deepen knowledge of iron metabolism and erythropoiesis in anemia, Cytokine, 177, (2024); Mwanga E.P., Siria D.J., Mitton J., Mshani I.H., Jimenez M.G., Selvaraj P., Et al., Using transfer learning and dimensionality reduction techniques to improve generalisability of machine-learning predictions of mosquito ages from mid-infrared spectra, BMC Bioinform, 24, (2023); Wood B.R., Bambery K.R., Dixon M.W.A., Tilley L., Nasse M.J., Mattson E., Et al., Diagnosing malaria infected cells at the single cell level using focal plane array fourier transform infrared imaging spectroscopy, Analyst, 139, pp. 4769-4774, (2014); Sharma C.P., Sharma S., Singh R., Species discrimination from blood traces using ATR FT-IR spectroscopy and chemometrics: application in wildlife forensics, Forensic Sci Int Anim Environ, 3, (2023); Mistek E., Lednev I.K., FT-IR spectroscopy for identification of biological stains for forensic purposes, Spectroscopy, 33, pp. 8-19, (2018); Mistek E., Halamkova L., Lednev I.K., Phenotype profiling for forensic purposes: nondestructive potentially on scene attenuated total reflection fourier transform-infrared (ATR FT-IR) spectroscopy of bloodstains, Forensic Chem, 16, (2019); Wood B.R., Correction: the importance of hydration and DNA conformation in interpreting infrared spectra of cells and tissues, Chem Soc Rev, 45, pp. 1980-1998, (2016); Paraskevaidi M., Matthew B.J., Holly B.J., Hugh B.J., Thulya C.P.V., Loren C., Et al., Clinical applications of infrared and raman spectroscopy in the fields of cancer and infectious diseases, Appl Spectrosc Rev, 56, pp. 804-868, (2021); Mistek-Morabito E., Lednev I.K., Discrimination between human and animal blood by attenuated total reflection fourier transform-infrared spectroscopy, Commun Chem, 3, (2020); Garcia G.A., Kariyawasam T.N., Lord A.R., da Costa C.F., Chaves L.B., da Lima-Junior J., Et al., Malaria absorption peaks acquired through the skin of patients with infrared light can detect patients with varying parasitemia, PNAS Nexus, (2022); Betancourth M.P., Boldin A., Ochoa-Gutierrez V., Hogg R., Baldini F., Jimenez M.G., Et al., Towards fast quantum cascade laser spectrometers for high-throughput and cost-effective disease surveillance, Optica Open, (2024)</t>
  </si>
  <si>
    <t xml:space="preserve">I.H. Mshani; Environmental Health, and Ecological Sciences Department, Ifakara Health Institute, Morogoro, Tanzania; email: imshani@ihi.or.tz</t>
  </si>
  <si>
    <t xml:space="preserve">2-s2.0-85196123992</t>
  </si>
  <si>
    <t xml:space="preserve">Németh Á.; Tóth G.; Fülöp P.; Paragh G.; Nádró B.; Karányi Z.; Paragh G., Jr; Horváth Z.; Csernák Z.; Pintér E.; Sándor D.; Bagyó G.; Édes I.; Kappelmayer J.; Harangi M.; Daróczy B.</t>
  </si>
  <si>
    <t xml:space="preserve">Németh, Ákos (57225380754); Tóth, Gábor (57214492394); Fülöp, Péter (6507497766); Paragh, György (7003269524); Nádró, Bíborka (57201410042); Karányi, Zsolt (6602305835); Paragh, György (58650270900); Horváth, Zsolt (21740122000); Csernák, Zsolt (59477797000); Pintér, Erzsébet (56992690200); Sándor, Dániel (58159487100); Bagyó, Gábor (59196519600); Édes, István (7003689191); Kappelmayer, János (7004205156); Harangi, Mariann (6602349828); Daróczy, Bálint (36951699400)</t>
  </si>
  <si>
    <t xml:space="preserve">57225380754; 57214492394; 6507497766; 7003269524; 57201410042; 6602305835; 58650270900; 21740122000; 59477797000; 56992690200; 58159487100; 59196519600; 7003689191; 7004205156; 6602349828; 36951699400</t>
  </si>
  <si>
    <t xml:space="preserve">Smart medical report: efficient detection of common and rare diseases on common blood tests</t>
  </si>
  <si>
    <t xml:space="preserve">Introduction: The integration of AI into healthcare is widely anticipated to revolutionize medical diagnostics, enabling earlier, more accurate disease detection and personalized care. Methods: In this study, we developed and validated an AI-assisted diagnostic support tool using only routinely ordered and broadly available blood tests to predict the presence of major chronic and acute diseases as well as rare disorders. Results: Our model was tested on both retrospective and prospective datasets comprising over one million patients. We evaluated the diagnostic performance by (1) implementing ensemble learning (mean ROC-AUC.9293 and mean DOR 63.96); (2) assessing the model's sensitivity via risk scores to simulate its screening effectiveness; (3) analyzing the potential for early disease detection (30–270 days before clinical diagnosis) through creating historical patient timelines and (4) conducting validation on real-world clinical data in collaboration with Synlab Hungary, to assess the tool's performance in clinical setting. Discussion: Uniquely, our model not only considers stable blood values but also tracks changes from baseline across 15 years of patient history. Our AI-driven automated diagnostic tool can significantly enhance clinical practice by recognizing patterns in common and rare diseases, including malignancies. The models' ability to detect diseases 1–9 months earlier than traditional clinical diagnosis could contribute to reduced healthcare costs and improved patient outcomes. The automated evaluation also reduces evaluation time of healthcare providers, which accelerates diagnostic processes. By utilizing only routine blood tests and ensemble methods, the tool demonstrates high efficacy across independent laboratories and hospitals, making it an exceptionally valuable screening resource for primary care physicians. 2024 Németh, Tóth, Fülöp, Paragh, Nádró, Karányi, Paragh, Horváth, Csernák, Pintér, Sándor, Bagyó, Édes, Kappelmayer, Harangi and Daróczy.</t>
  </si>
  <si>
    <t xml:space="preserve">Frontiers in Digital Health</t>
  </si>
  <si>
    <t xml:space="preserve">10.3389/fdgth.2024.1505483</t>
  </si>
  <si>
    <t xml:space="preserve">https://www.scopus.com/inward/record.uri?eid=2-s2.0-85212431835&amp;doi=10.3389%2ffdgth.2024.1505483&amp;partnerID=40&amp;md5=60e1c47f5db35c93074f8d44fe7f67da</t>
  </si>
  <si>
    <t xml:space="preserve">Division of Metabolic Diseases, Department of Internal Medicine, Faculty of Medicine, University of Debrecen, Debrecen, Hungary; Aesculab Medical Solutions, Black Horse Group Ltd., Debrecen, Hungary; Department of Laboratory Medicine, Faculty of Medicine, University of Debrecen, Debrecen, Hungary; Department of Dermatology, Roswell Park Comprehensive Cancer Center, Buffalo, NY, United States; Center of Oncoradiology, Bács-Kiskun County Teaching Hospital, Kecskemét, Hungary; Central Medical Department, Synlab Group (Synlab Hungary Ltd.), Budapest, Hungary; Central Laboratory, St. John’s Hospital, Budapest, Hungary; Laboratory of Immunology, Synlab Budapest Diagnostic Center, Budapest, Hungary; Department of Artificial Intelligence and Systems Engineering, Faculty of Electrical Engineering and Informatics, Budapest University of Technology and Economics, Budapest, Hungary; Evidia MVZ Radiologie, Nürnberg, Germany; Department of Cardiology, Faculty of Medicine, University of Debrecen, Debrecen, Hungary; Artificial Intelligence National Laboratory, Institute for Computer Science and Control (SZTAKI), Hungarian Research Network (HUN-REN), Budapest, Hungary</t>
  </si>
  <si>
    <t xml:space="preserve">Németh Á., Division of Metabolic Diseases, Department of Internal Medicine, Faculty of Medicine, University of Debrecen, Debrecen, Hungary, Aesculab Medical Solutions, Black Horse Group Ltd., Debrecen, Hungary; Tóth G., Department of Laboratory Medicine, Faculty of Medicine, University of Debrecen, Debrecen, Hungary; Fülöp P., Division of Metabolic Diseases, Department of Internal Medicine, Faculty of Medicine, University of Debrecen, Debrecen, Hungary; Paragh G., Division of Metabolic Diseases, Department of Internal Medicine, Faculty of Medicine, University of Debrecen, Debrecen, Hungary; Nádró B., Division of Metabolic Diseases, Department of Internal Medicine, Faculty of Medicine, University of Debrecen, Debrecen, Hungary; Karányi Z., Division of Metabolic Diseases, Department of Internal Medicine, Faculty of Medicine, University of Debrecen, Debrecen, Hungary; Paragh G., Jr, Department of Dermatology, Roswell Park Comprehensive Cancer Center, Buffalo, NY, United States; Horváth Z., Center of Oncoradiology, Bács-Kiskun County Teaching Hospital, Kecskemét, Hungary; Csernák Z., Central Medical Department, Synlab Group (Synlab Hungary Ltd.), Budapest, Hungary, Central Laboratory, St. John’s Hospital, Budapest, Hungary; Pintér E., Central Medical Department, Synlab Group (Synlab Hungary Ltd.), Budapest, Hungary, Laboratory of Immunology, Synlab Budapest Diagnostic Center, Budapest, Hungary; Sándor D., Aesculab Medical Solutions, Black Horse Group Ltd., Debrecen, Hungary, Department of Artificial Intelligence and Systems Engineering, Faculty of Electrical Engineering and Informatics, Budapest University of Technology and Economics, Budapest, Hungary; Bagyó G., Evidia MVZ Radiologie, Nürnberg, Germany; Édes I., Department of Cardiology, Faculty of Medicine, University of Debrecen, Debrecen, Hungary; Kappelmayer J., Department of Laboratory Medicine, Faculty of Medicine, University of Debrecen, Debrecen, Hungary; Harangi M., Division of Metabolic Diseases, Department of Internal Medicine, Faculty of Medicine, University of Debrecen, Debrecen, Hungary; Daróczy B., Aesculab Medical Solutions, Black Horse Group Ltd., Debrecen, Hungary, Artificial Intelligence National Laboratory, Institute for Computer Science and Control (SZTAKI), Hungarian Research Network (HUN-REN), Budapest, Hungary</t>
  </si>
  <si>
    <t xml:space="preserve">blood test analysis; chronic diseases; classification; machine learning; prevention and control; rare diseases</t>
  </si>
  <si>
    <t xml:space="preserve">alanine aminotransferase; alkaline phosphatase; aspartate aminotransferase; bilirubin; C reactive protein; cholesterol; creatinine; ferritin; fructosamine; gamma glutamyltransferase; high density lipoprotein cholesterol; lactate dehydrogenase; low density lipoprotein cholesterol; magnesium; protein; sodium; thyrotropin; transferrin; acute disease; acute leukemia; Addison disease; adult; aged; Alzheimer disease; anemia; area under the curve; Article; artificial intelligence; autoimmune disease; bacterial infection; Bartter syndrome; blood test; cardiovascular disease; Caroli disease; chronic disease; clinical practice; controlled study; cryoglobulinemia; Cushing syndrome; deep learning; diagnostic test; diagnostic test accuracy study; disorders of lipid and lipoprotein metabolism; dyslipidemia; erythrocyte count; erythrocyte sedimentation rate; estimated glomerular filtration rate; familial hypercholesterolemia; female; gallbladder disease; Gaucher disease; Gilbert disease; glycogen storage disease type 2; health care cost; health care personnel; hemochromatosis; human; ICD-10; ICD-9; inflammatory bowel disease; insulin dependent diabetes mellitus; kidney disease; kidney function; leukemia; liver disease; lymphocyte count; lymphoma; machine learning; major clinical study; malaria; male; mean corpuscular hemoglobin; mean corpuscular hemoglobin concentration; mean corpuscular volume; mean platelet volume; middle aged; neutrophil count; non insulin dependent diabetes mellitus; pancreas disease; platelet count; platelet distribution width; primary biliary cirrhosis; prothrombin time; rare disease; receiver operating characteristic; retrospective study; sensitivity and specificity; systemic juvenile idiopathic arthritis; thyroid disease; urea nitrogen blood level; Wilson disease</t>
  </si>
  <si>
    <t xml:space="preserve">alanine aminotransferase, 9000-86-6, 9014-30-6; alkaline phosphatase, 9001-78-9; aspartate aminotransferase, 9000-97-9; bilirubin, 18422-02-1, 635-65-4; C reactive protein, 9007-41-4; cholesterol, 57-88-5; creatinine, 19230-81-0, 60-27-5; ferritin, 9007-73-2; fructosamine, 4429-04-3; gamma glutamyltransferase, 85876-02-4; lactate dehydrogenase, 9001-60-9; lactate dehydrogenase A, ; magnesium, 7439-95-4; protein, 67254-75-5; sodium, 7440-23-5; thyrotropin, 9002-71-5; transferrin, 82030-93-1</t>
  </si>
  <si>
    <t xml:space="preserve">Mesterséges Intelligencia Nemzeti Laboratórium, MILAB; Centre National de la Recherche Scientifique, CNRS; European Commission, EC; National Research, Development and Innovation Office; Gordon and Betty Moore Foundation, GBMF; Nemzeti Kutatási Fejlesztési és Innovációs Hivatal, NKFIH, (K142273); Nemzeti Kutatási Fejlesztési és Innovációs Hivatal, NKFIH</t>
  </si>
  <si>
    <t xml:space="preserve">The author(s) declare financial support was received for the research, authorship, and/or publication of this article. This research was funded by public channels. G. Toth received funding through the Society to Improve Diagnosis in Medicine's fellowship program, which is financially supported by the Gordon and Betty Moore Foundation. B. Dar\u00F3czy received funding from the European Union project RRF-2.3.1-21-2022-00004 within the framework of the Artificial Intelligence National Laboratory and from the C.N.R.S. E.A.I. project \u201CStabilit\u00E9 des algorithmes d\u2019apprentissage pour les r\u00E9seaux de neurones profonds et r\u00E9currents en utilisant la g\u00E9om\u00E9trie et la th\u00E9orie du contr\u00F4le via la compr\u00E9hension du r\u00F4le de la surparam\u00E9trisation\u201D. The study was supported by the National Research, Development, and Innovation Office (NKFIH, grant number: K142273). The funders played no role in the study design, data collection, analysis and interpretation of data, or the writing of this article. Synlab Hungary Ltd. was involved in the clinical testing as a testing partner and facilitator but it neither funded the project nor owns any IP related to it. Synlab Hungary provided validating clinical pathologists in their employment for the testing.</t>
  </si>
  <si>
    <t xml:space="preserve">Barwise A., Leppin A., Dong Y., Huang C., Pinevich Y., Herasevich S., Et al., What contributes to diagnostic error or delay? A qualitative exploration across diverse acute care settings in the US, J Patient Saf, 17, 4, pp. 239-248, (2021); Graber M.L., Franklin N., Gordon R., Diagnostic error in internal medicine, Arch Intern Med, 165, 13, pp. 1493-1499, (2005); Car L.T., Papachristou N., Bull A., Majeed A., Gallagher J., El-Khatib M., Et al., Clinician-identified problems and solutions for delayed diagnosis in primary care: a PRIORITIZE study, BMC Fam Pract, 17, 1, (2016); Carraro P., Plebani M., Errors in a stat laboratory: types and frequencies 10 years later, Clin Chem, 53, 7, pp. 1338-1342, (2007); Hobson-Webb L.D., Kishnani P.S., How common is misdiagnosis in late-onset Pompe disease?, Muscle Nerve, 45, 2, pp. 301-302, (2012); Yu K.H., Beam A.L., Kohane I.S., Artificial intelligence in healthcare, Nat Biomed Eng, 2, 10, pp. 719-731, (2018); Santos-Silva M.A., Sousa N., Sousa J.C., Artificial intelligence in routine blood tests, Front Med Eng, 2, (2024); Rawson T.M., Hernandez B., Moore L.S., Blandy O., Herrero P., Gilchrist M., Et al., Supervised machine learning for the prediction of infection on admission to hospital: a prospective observational cohort study, J Antimicrob Chemother, 74, 4, pp. 1108-1115, (2019); Mooney C., Eogan M., Ni Ainle F., Cleary B., Gallagher J.J., O'Loughlin J., Et al., Predicting bacteraemia in maternity patients using full blood count parameters: a supervised machine learning algorithm approach, Int J Lab Hematol, 43, 4, pp. 609-615, (2021); Morang'a C.M., Amenga-Etego L., Bah S.Y., Appiah V., Amuzu D.S., Amoako N., Et al., Machine learning approaches classify clinical malaria outcomes based on haematological parameters, BMC Med, 18, pp. 1-6, (2020); Lu Z., Morita M., Yeager T.S., Lyu Y., Wang S.Y., Wang Z., Et al., Validation of artificial intelligence (AI)-assisted flow cytometry analysis for immunological disorders, Diagnostics, 14, 4, (2024); Alcazer V., Le Meur G., Roccon M., Barriere S., Le Calvez B., Badaoui B., Et al., Evaluation of a machine-learning model based on laboratory parameters for the prediction of acute leukaemia subtypes: a multicentre model development and validation study in France, The Lancet Digital Health, 6, 5, pp. e323-e333, (2024); Loveleen G., Mohan B., Shikhar B.S., Nz J., Shorfuzzaman M., Masud M., Explanation-driven HCI model to examine the mini-mental state for Alzheimer’s disease, ACM Trans Multimed Comput Commun Appl, 20, 2, pp. 1-6, (2023); Baeza-Yates R., Ribeiro-Neto B., Ribeiro B.A.N., Modern Information Retrieval, (1999); Devlin J., Chang M.W., Lee K., Toutanova K., BERT: pre-training of deep bidirectional transformers for language understanding, pp. 4171-4186, (2019); McInnes L., Healy J., Saul N., Grossberger L., UMAP: uniform manifold approximation and projection, J Open Source Softw, 3, 29, (2018); Tan P.N., Steinbach M., Karpatne A., Kumar V., Introduction to Data Mining, (2019); Glas A.S., Lijmer J.G., Prins M.H., Bonsel G.J., Bossuyt P.M.M., The diagnostic odds ratio: a single indicator of test performance, J Clin Epidemiol, 56, 11, pp. 1129-1135, (2003); Rohr U.P., Binder C., Dieterle T., Giusti F., Messina C.G.M., Toerien E., Et al., The value of in vitro diagnostic testing in medical practice: a Status report, PLoS One, 11, 3, (2016); The value of diagnostic innovation, adoption and diffusion into health care, (2005); Brinati D., Campagner A., Ferrari D., Locatelli M., Banfi G., Cabitza F., Detection of COVID-19 infection from routine blood exams with machine learning: a feasibility study, J Med Syst, 44, 8, (2020); Guncar G., Kukar M., Notar M., Brvar M., Cernelc P., Notar M., Et al., An application of machine learning to haematological diagnosis, Sci Rep, 8, (2018); Alsheref F.K., Gomaa W.H., Blood diseases detection using classical machine learning algorithms, Int J Adv Comput Sci Appl IJACSA, 10, 7, pp. 77-81, (2019); AlJame M., Ahmad I., Imtiaz A., Mohammed A., Ensemble learning model for diagnosing COVID-19 from routine blood tests, Inform Med Unlocked, 21, (2020); Aslan M.F., Celik Y., Sabanci K., Durdu A., Breast cancer diagnosis by different machine learning methods using blood analysis data, Int J Intell Syst Appl Eng, 6, 4, pp. 289-293, (2018); Paragh G., Harangi M., Karanyi Z., Daroczy B., Nemeth A., Fulop P., Identifying patients with familial hypercholesterolemia using data mining methods in the northern great plain region of Hungary, Atherosclerosis, 277, pp. 262-266, (2018); Nemeth A., Harangi M., Daroczy B., Juhasz L., Paragh G., Fulop P., Identifying patients with familial chylomicronemia syndrome using FCS score-based data mining methods, J Clin Med, 11, 15, (2022); Horton S., Fleming K.A., Kuti M., Looi L.M., Pai S.A., Sayed S., Et al., The top 25 laboratory tests by volume and revenue in five different countries, Am J Clin Pathol, 151, 5, pp. 446-451, (2019); Garber J.R., Cobin R.H., Gharib H., Hennessey J.V., Klein I., Mechanick J.I., Et al., Clinical practice guidelines for hypothyroidism in adults: cosponsored by the American Association of Clinical Endocrinologists and the American Thyroid Association, Endocr Pract, 18, 6, pp. 988-1028, (2012); Esfandiari N.H., Papaleontiou M., Biochemical testing in thyroid disorders, Endocrinol Metab Clin North Am, 46, 3, pp. 631-648, (2017); Agrawal S., Dhiman R.K., Limdi J.K., Evaluation of abnormal liver function tests, Postgrad Med J, 92, 1086, pp. 223-234, (2016); Metra B.M., Guglielmo F.F., Halegoua-DeMarzio D.L., Civan J.M., Mitchell D.G., Beyond the liver function tests: a radiologist’s guide to the liver blood tests, RadioGraphics, 42, 1, pp. 125-142, (2022); Soh S.B., Aw T.C., Laboratory testing in thyroid conditions - pitfalls and clinical utility, Ann Lab Med, 39, 1, pp. 3-14, (2019); Sciacovelli L., Aita A., Padoan A., Pelloso M., Antonelli G., Piva E., Et al., Performance criteria and quality indicators for the post-analytical phase, Clin Chem Lab Med, 54, 7, pp. 1169-1176, (2016); Vasikaran S., Sikaris K., Kilpatrick E., French J., Badrick T., Osypiw J., Et al., IFCC WG harmonization of quality assessment of interpretative comments. Assuring the quality of interpretative comments in clinical chemistry, Clin Chem Lab Med, 54, 12, pp. 1901-1911, (2016); Barlow I.M., Are biochemistry interpretative comments helpful? Results of a general practitioner and nurse practitioner survey, Ann Clin Biochem, 45, pp. 88-90, (2008); Read A.J., Waljee A.K., Sussman J.B., Singh H., Chen G.Y., Vijan S., Et al., Testing practices, interpretation, and diagnostic evaluation of iron deficiency anemia by US primary care physicians, JAMA Netw Open, 4, 10, (2021)</t>
  </si>
  <si>
    <t xml:space="preserve">2673253X</t>
  </si>
  <si>
    <t xml:space="preserve">Front. Digit. Health</t>
  </si>
  <si>
    <t xml:space="preserve">2-s2.0-85212431835</t>
  </si>
  <si>
    <t xml:space="preserve">Yu Y.; Yuan H.; Han Q.; Shi J.; Liu X.; Xue Y.; Li Y.</t>
  </si>
  <si>
    <t xml:space="preserve">Yu, Yiding (57220203554); Yuan, Huajing (57811572700); Han, Quancheng (58932123800); Shi, Jingle (58932568700); Liu, Xiujuan (57438538100); Xue, Yitao (55523448600); Li, Yan (55910520300)</t>
  </si>
  <si>
    <t xml:space="preserve">57220203554; 57811572700; 58932123800; 58932568700; 57438538100; 55523448600; 55910520300</t>
  </si>
  <si>
    <t xml:space="preserve">SMOC2, OGN, FCN3, and SERPINA3 could be biomarkers for the evaluation of acute decompensated heart failure caused by venous congestion</t>
  </si>
  <si>
    <t xml:space="preserve">Background: Venous congestion (VC) sets in weeks before visible clinical decompensation, progressively increasing cardiac strain and leading to acute heart failure (HF) decompensation. Currently, the field lacks a universally acknowledged gold standard and early detection methods for VC. Methods: Using data from the GEO database, we identified VC's impact on HF through key genes using Limma and STRING databases. The potential mechanisms of HF exacerbation were explored via GO and KEGG enrichment analyses. Diagnostic genes for acute decompensated HF were discovered using LASSO, RF, and SVM-REF machine learning algorithms, complemented by single-gene GSEA analysis. A nomogram tool was developed for the diagnostic model's evaluation and application, with validation conducted on external datasets. Results: Our findings reveal that VC influences 37 genes impacting HF via 8 genes, primarily affecting oxygen transport, binding, and extracellular matrix stability. Four diagnostic genes for HF's pre-decompensation phase were identified: SMOC2, OGN, FCN3, and SERPINA3. These genes showed high diagnostic potential, with AUCs for each gene exceeding 0.9 and a genomic AUC of 0.942. Conclusions: Our study identifies four critical diagnostic genes for HF's pre-decompensated phase using bioinformatics and machine learning, shedding light on the molecular mechanisms through which VC worsens HF. It offers a novel approach for clinical evaluation of acute decompensated HF patient congestion status, presenting fresh insights into its pathogenesis, diagnosis, and treatment. 2024 Yu, Yuan, Han, Shi, Liu, Xue and Li.</t>
  </si>
  <si>
    <t xml:space="preserve">Frontiers in Cardiovascular Medicine</t>
  </si>
  <si>
    <t xml:space="preserve">10.3389/fcvm.2024.1406662</t>
  </si>
  <si>
    <t xml:space="preserve">https://www.scopus.com/inward/record.uri?eid=2-s2.0-85212688370&amp;doi=10.3389%2ffcvm.2024.1406662&amp;partnerID=40&amp;md5=ba93a2ad518eb899b925aa7188e6b488</t>
  </si>
  <si>
    <t xml:space="preserve">Shandong University of Traditional Chinese Medicine, Jinan, China; Affiliated Hospital of Shandong University of Traditional Chinese Medicine, Jinan, China</t>
  </si>
  <si>
    <t xml:space="preserve">Yu Y., Shandong University of Traditional Chinese Medicine, Jinan, China; Yuan H., Shandong University of Traditional Chinese Medicine, Jinan, China; Han Q., Shandong University of Traditional Chinese Medicine, Jinan, China; Shi J., Shandong University of Traditional Chinese Medicine, Jinan, China; Liu X., Affiliated Hospital of Shandong University of Traditional Chinese Medicine, Jinan, China; Xue Y., Affiliated Hospital of Shandong University of Traditional Chinese Medicine, Jinan, China; Li Y., Affiliated Hospital of Shandong University of Traditional Chinese Medicine, Jinan, China</t>
  </si>
  <si>
    <t xml:space="preserve">bioinformatics; heart failure; machine learning; nomogram; venous congestion</t>
  </si>
  <si>
    <t xml:space="preserve">alpha 1 antichymotrypsin; calcium binding protein; ficolin; haptoglobin; osteoglycin; secreted modular calcium binding protein 2; unclassified drug; acute heart failure; African trypanosomiasis; algorithm; area under the curve; Article; bioinformatics; cell infiltration; clinical evaluation; diagnostic value; differential gene expression; endothelium cell; extracellular matrix; functional enrichment analysis; gene expression; gene ontology; gene set enrichment analysis; gold standard; human; hypertension; learning algorithm; least absolute shrinkage and selection operator; machine learning; microarray analysis; nomogram; oxygen transport; pathogenesis; pathway enrichment analysis; protein protein interaction; receiver operating characteristic; sensitivity and specificity; support vector machine; venous congestion</t>
  </si>
  <si>
    <t xml:space="preserve">haptoglobin, 9087-69-8</t>
  </si>
  <si>
    <t xml:space="preserve">Natural Science Foundation of Shandong Province, (ZR2023MH053); Natural Science Foundation of Shandong Province</t>
  </si>
  <si>
    <t xml:space="preserve">The author(s) declare financial support was received for the research, authorship, and/or publication of this article. Our work was supported by the Natural Science Foundation of Shandong Province (CN) [Grant Nos. ZR2023MH053].</t>
  </si>
  <si>
    <t xml:space="preserve">Yancy C.W., Jessup M., Bozkurt B., Butler J., Jr C.D., Colvin M.M., Et al., 2017 ACC/AHA/HFSA focused update of the 2013 ACCF/AHA guideline for the management of heart failure: a report of the American College of Cardiology/American Heart Association task force on clinical practice guidelines and the heart failure society of America, Circulation, 136, 6, pp. e137-e161, (2017); Cotter G., Metra M., Milo-Cotter O., Dittrich H.C., Gheorghiade M., Fluid overload in acute heart failure–re-distribution and other mechanisms beyond fluid accumulation, Eur J Heart Fail, 10, 2, pp. 165-169, (2008); Felker G.M., Cotter G., Unraveling the pathophysiology of acute heart failure: an inflammatory proposal, Am Heart J, 151, 4, pp. 765-767, (2006); Mullens W., Damman K., Harjola V.P., Mebazaa A., Brunner-La Rocca H.P., Martens P., Et al., The use of diuretics in heart failure with congestion—a position statement from the heart failure association of the European Society of Cardiology, Eur J Heart Fail, 21, 2, pp. 137-155, (2019); Yu C.M., Wang L., Chau E., Chan R.H., Kong S.L., Tang M.O., Et al., Intrathoracic impedance monitoring in patients with heart failure, Circulation, 112, 6, pp. 841-848, (2005); Zhou J., Li Y.S., Chien S., Shear stress-initiated signaling and its regulation of endothelial function, Arterioscler Thromb Vasc Biol, 34, 10, pp. 2191-2198, (2014); Kawai M., Naruse K., Komatsu S., Kobayashi S., Nagino M., Nimura Y., Et al., Mechanical stress-dependent secretion of interleukin 6 by endothelial cells after portal vein embolization: clinical and experimental studies, J Hepatol, 37, 2, pp. 240-246, (2002); Wang B.W., Chang H., Lin S., Kuan P., Shyu K.G., Induction of matrix metalloproteinases-14 and -2 by cyclical mechanical stretch is mediated by tumor necrosis factor-alpha in cultured human umbilical vein endothelial cells, Cardiovasc Res, 59, 2, pp. 460-469, (2003); Colombo P.C., Onat D., Harxhi A., Demmer R.T., Hayashi Y., Jelic S., Et al., Peripheral venous congestion causes inflammation, neurohormonal, and endothelial cell activation, Eur Heart J, 35, 7, pp. 448-454, (2014); Liu Y., Morley M., Brandimarto J., Hannenhalli S., Hu Y., Ashley E.A., Et al., RNA-Seq identifies novel myocardial gene expression signatures of heart failure, Genomics, 105, 2, pp. 83-89, (2015); Kong S.W., Hu Y.W., Ho J.W., Ikeda S., Polster S., John R., Et al., Heart failure-associated changes in RNA splicing of sarcomere genes, Circ Cardiovasc Genet, 3, 2, pp. 138-146, (2010); Smyth G.K., Limma: linear models for microarray data, Bioinformatics and Computational Biology Solutions Using R and Bioconductor, pp. 397-420, (2005); Newman A.M., Liu C.L., Green M.R., Gentles A.J., Feng W., Xu Y., Et al., Robust enumeration of cell subsets from tissue expression profiles, Nat Methods, 12, 5, pp. 453-457, (2015); Szklarczyk D., Gable A.L., Nastou K.C., Lyon D., Kirsch R., Pyysalo S., Et al., The STRING database in 2021: customizable protein–protein networks, and functional characterization of user-uploaded gene/measurement sets, Nucleic Acids Res, 49, D1, pp. D605-D612, (2021); Shannon P., Markiel A., Ozier O., Baliga N.S., Wang J.T., Ramage D., Et al., Cytoscape: a software environment for integrated models of biomolecular interaction networks, Genome Res, 13, 11, pp. 2498-2504, (2003); Yu G., Wang L.G., Han Y., He Q.Y., Clusterprofiler: an R package for comparing biological themes among gene clusters, OMICS, 16, 5, pp. 284-287, (2012); The gene ontology resource: 20 years and still GOing strong, Nucleic Acids Res, 47, D1, pp. D330-D338, (2019); Kanehisa M., Goto S., KEGG: Kyoto encyclopedia of genes and genomes, Nucleic Acids Res, 28, 1, pp. 27-30, (2000); Friedman J., Hastie T., Tibshirani R., Regularization paths for generalized linear models via coordinate descent, J Stat Softw, 33, 1, pp. 1-22, (2010); Petralia F., Wang P., Yang J., Tu Z., Integrative random forest for gene regulatory network inference, Bioinformatics, 31, 12, pp. i197-i205, (2015); Huang S., Cai N., Pacheco P.P., Narrandes S., Wang Y., Xu W., Applications of support vector machine (SVM) learning in cancer genomics, Cancer Genomics Proteomics, 15, 1, pp. 41-51, (2018); Gou M., Qian N., Zhang Y., Wei L., Fan Q., Wang Z., Et al., Construction of a nomogram to predict the survival of metastatic gastric cancer patients that received immunotherapy, Front Immunol, 13, (2022); Ye L., Zhang T., Kang Z., Guo G., Sun Y., Lin K., Et al., Tumor-Infiltrating immune cells act as a marker for prognosis in colorectal cancer, Front Immunol, 10, (2019); Damman K., van Deursen V.M., Navis G., Voors A.A., van Veldhuisen D.J., Hillege H.L., Increased central venous pressure is associated with impaired renal function and mortality in a broad spectrum of patients with cardiovascular disease, J Am Coll Cardiol, 53, 7, pp. 582-588, (2009); Poole D.C., Hirai D.M., Copp S.W., Musch T.I., Muscle oxygen transport and utilization in heart failure: implications for exercise (in)tolerance, Am J Physiol Heart Circ Physiol, 302, 5, pp. H1050-H1063, (2012); Thorup L., Simonsen U., Grimm D., Hedegaard E.R., Ivabradine: current and future treatment of heart failure, Basic Clin Pharmacol Toxicol, 121, 2, pp. 89-97, (2017); Nantasenamat C., Prachayasittikul V., Bulow L., Molecular modeling of the human hemoglobin-haptoglobin complex sheds light on the protective mechanisms of haptoglobin, PLoS One, 8, 4, (2013); Matuschik L., Riabov V., Schmuttermaier C., Sevastyanova T., Weiss C., Kluter H., Et al., Hyperglycemia induces inflammatory response of human macrophages to CD163-mediated scavenging of hemoglobin-haptoglobin complexes, Int J Mol Sci, 23, 3, (2022); Valiente-Alandi I., Schafer A.E., Blaxall B.C., Extracellular matrix-mediated cellular communication in the heart, J Mol Cell Cardiol, 91, pp. 228-237, (2016); Perestrelo A.R., Silva A.C., Oliver-De La Cruz J., Martino F., Horvath V., Caluori G., Et al., Multiscale analysis of extracellular matrix remodeling in the failing heart, Circ Res, 128, 1, pp. 24-38, (2021); Brower G.L., Gardner J.D., Forman M.F., Murray D.B., Voloshenyuk T., Levick S.P., Et al., The relationship between myocardial extracellular matrix remodeling and ventricular function, Eur J Cardiothorac Surg, 30, 4, pp. 604-610, (2006); Fudim M., Kaye D.M., Borlaug B.A., Shah S.J., Rich S., Kapur N.K., Et al., Venous tone and stressed blood volume in heart failure: JACC review topic of the week, J Am Coll Cardiol, 79, 18, pp. 1858-1869, (2022); Galati G., Germanova O., Iozzo R.V., Buraschi S., Shchukin Y.V., Germanov A., Et al., Hemodynamic arterial changes in heart failure: a proposed new paradigm of “heart and vessels failure, Minerva Cardiol Angiol, 70, 3, pp. 310-320, (2022); Miller W.L., Fluid volume overload and congestion in heart failure: time to reconsider pathophysiology and how volume is assessed, Circ Heart Fail, 9, 8, (2016); Hartupee J., Mann D.L., Neurohormonal activation in heart failure with reduced ejection fraction, Nat Rev Cardiol, 14, 1, pp. 30-38, (2017); Colombo P.C., Doran A.C., Onat D., Wong K.Y., Ahmad M., Sabbah H.N., Et al., Venous congestion, endothelial and neurohormonal activation in acute decompensated heart failure: cause or effect?, Curr Heart Fail Rep, 12, 3, pp. 215-222, (2015); Rocnik E.F., Liu P., Sato K., Walsh K., Vaziri C., The novel SPARC family member SMOC-2 potentiates angiogenic growth factor activity, J Biol Chem, 281, 32, pp. 22855-22864, (2006); Ren Y., Wu Y., He W., Tian Y., Zhao X., SMOC2 plays a role in heart failure via regulating TGF-β1/Smad3 pathway-mediated autophagy, Open Med (Wars), 18, 1, (2023); Rui H., Zhao F., Yuhua L., Hong J., Suppression of SMOC2 alleviates myocardial fibrosis via the ILK/p38 pathway, Front Cardiovasc Med, 9, (2023); Wang X., Wang M., Zhou Z., Zou X., Song G., Zhang Q., Et al., SMOC2 promoted vascular smooth muscle cell proliferation, migration, and extracellular matrix degradation by activating BMP/TGF-β1 signaling pathway, J Clin Biochem Nutr, 73, 2, pp. 116-123, (2023); Rienks M., Papageorgiou A., Wouters K., Verhesen W., Leeuwen R.V., Carai P., Et al., A novel 72-kDa leukocyte-derived osteoglycin enhances the activation of toll-like receptor 4 and exacerbates cardiac inflammation during viral myocarditis, Cell Mol Life Sci, 74, 8, pp. 1511-1525, (2017); Fang Y., Chang Z., Xu Z., Hu J., Zhou H., Yu S., Et al., Osteoglycin silencing exerts inhibitory effects on myocardial fibrosis and epithelial/endothelial-mesenchymal transformation in a mouse model of myocarditis, BioFactors, 46, 6, pp. 1018-1030, (2020); Motiwala S.R., Szymonifka J., Belcher A., Weiner R.B., Baggish A.L., Gaggin H.K., Et al., Measurement of novel biomarkers to predict chronic heart failure outcomes and left ventricular remodeling, J Cardiovasc Transl Res, 7, 2, pp. 250-261, (2014); Van Aelst L.N., Voss S., Carai P., Van Leeuwen R., Vanhoutte D., Sanders-van Wijk S., Et al., Osteoglycin prevents cardiac dilatation and dysfunction after myocardial infarction through infarct collagen strengthening, Circ Res, 116, 3, pp. 425-436, (2015); Garred P., Honore C., Ma Y.J., Munthe-Fog L., Hummelshoj T., MBL2, FCN1, FCN2 and FCN3-the genes behind the initiation of the lectin pathway of complement, Mol Immunol, 46, 14, pp. 2737-2744, (2009); Lu J., Li M., Zhang R., Hu C., Wang C., Jiang F., Et al., A common genetic variant of FCN3/CD164L2 is associated with essential hypertension in a Chinese population, Clin Exp Hypertens, 34, 5, pp. 377-382, (2012); Suffritti C., Tobaldini E., Schiavon R., Strada S., Maggioni L., Mehta S., Et al., Complement and contact system activation in acute congestive heart failure patients, Clin Exp Immunol, 190, 2, pp. 251-257, (2017); Trendelenburg M., Stallone F., Pershyna K., Eisenhut T., Twerenbold R., Wildi K., Et al., Complement activation products in acute heart failure: potential role in pathophysiology, responses to treatment and impacts on long-term survival, Eur Heart J Acute Cardiovasc Care, 7, 4, pp. 348-357, (2018); Holt M.F., Michelsen A.E., Shahini N., Bjorkelund E., Bendz C.H., Massey R.J., Et al., The alternative complement pathway is activated without a corresponding terminal pathway activation in patients with heart failure, Front Immunol, 12, (2021); Frangogiannis N.G., The inflammatory response in myocardial injury, repair, and remodelling, Nat Rev Cardiol, 11, 5, pp. 255-265, (2014); de Mezer M., Rogalinski J., Przewozny S., Chojnicki M., Niepolski L., Sobieska M., Et al., SERPINA3: stimulator or inhibitor of pathological changes, Biomedicines, 11, 1, (2023); Gravez B., Tarjus A., Jimenez-Canino R., El Moghrabi S., Messaoudi S., Alvarez de la Rosa D., Et al., The diuretic torasemide does not prevent aldosterone-mediated mineralocorticoid receptor activation in cardiomyocytes, PLoS One, 8, 9, (2013); Delrue L., Vanderheyden M., Beles M., Paolisso P., Di Gioia G., Dierckx R., Et al., Circulating SERPINA3 improves prognostic stratification in patients with a de novo or worsened heart failure, ESC Heart Fail, 8, 6, pp. 4780-4790, (2021); di Salvo T.G., Yang K.C., Brittain E., Absi T., Maltais S., Hemnes A., Right ventricular myocardial biomarkers in human heart failure, J Card Fail, 21, 5, pp. 398-411, (2015); Meijers W.C., Maglione M., Bakker S.J.L., Oberhuber R., Kieneker L.M., de Jong S., Et al., Heart failure stimulates tumor growth by circulating factors, Circulation, 138, 7, pp. 678-691, (2018); Nunez J., de la Espriella R., Rossignol P., Voors A.A., Mullens W., Metra M., Et al., Congestion in heart failure: a circulating biomarker-based perspective. A review from the biomarkers working group of the heart failure association, European society of cardiology, Eur J Heart Fail, 24, 10, pp. 1751-1766, (2022); Lala A., Hamo C.E., Bozkurt B., Fiuzat M., Blumer V., Bukhoff D., Et al., Standardized definitions for evaluation of acute decompensated heart failure therapies, JACC Heart Fail, 12, 1, pp. 1-15, (2024)</t>
  </si>
  <si>
    <t xml:space="preserve">Y. Xue; Affiliated Hospital of Shandong University of Traditional Chinese Medicine, Jinan, China; email: xytsdzydfy@126.com; Y. Li; Affiliated Hospital of Shandong University of Traditional Chinese Medicine, Jinan, China; email: liyan88130@163.com</t>
  </si>
  <si>
    <t xml:space="preserve">2297055X</t>
  </si>
  <si>
    <t xml:space="preserve">Front. Cardiovasc. Med.</t>
  </si>
  <si>
    <t xml:space="preserve">2-s2.0-85212688370</t>
  </si>
  <si>
    <t xml:space="preserve">Scavuzzo C.M.; Campero M.N.; Maidana R.E.; Oberto M.G.; Periago M.V.; Porcasi X.</t>
  </si>
  <si>
    <t xml:space="preserve">Scavuzzo, Carlos Matías (57225062339); Campero, Micaela Natalia (57241281800); Maidana, Rosana Elizabeth (59149218000); Oberto, María Georgina (57340150600); Periago, María Victoria (7003618326); Porcasi, Ximena (8357105400)</t>
  </si>
  <si>
    <t xml:space="preserve">57225062339; 57241281800; 59149218000; 57340150600; 7003618326; 8357105400</t>
  </si>
  <si>
    <t xml:space="preserve">Spatial patterns of intestinal parasite infections among children and adolescents in some indigenous communities in Argentina</t>
  </si>
  <si>
    <t xml:space="preserve">Argentina has a heterogeneous prevalence of infections by intestinal parasites (IPs), with the north in the endemic area, especially for soil-transmitted helminths (STHs). We analyzed the spatial patterns of these infections in the city of Tartagal, Salta province, by an observational, correlational, and cross-sectional study in children and adolescents aged 1 to 15 years from native communities. One fecal sample per individual was collected to detect IPs using various diagnostic techniques: Telemann sedimentation, Baermann culture, and Kato-Katz. Moran’s global and local indices were applied together with SaTScan to assess the spatial distribution, with a focus on cluster detection. The extreme gradient boosting (XGBoost) machine-learning model was used to predict the presence of IPs and their transmission pathways. Based on the analysis of 572 fecal samples, a prevalence of 78.3% was found. The most frequent parasite was Giardia lamblia (30.9%). High-and low-risk clusters were observed for most species, distributed in an east-west direction and polarized in two large foci, one near the city of Tartagal and the other in the km 6 community. Spatial XGBoost models were obtained based on distances with a minimum median accuracy of 0.69. Different spatial patterns reflecting the mechanisms of transmission were noted. The distribution of the majority of the parasites studied was aligned in a westerly direction close to the city, but the STH presence was higher in the km 6 community, toward the east. The purely spatial analysis provides a different and complementary overview for the detection of vulnerable hotspots and strategic intervention. Machine-learning models based on spatial variables explain a large percentage of the variability of the IPs. r. © the Author(s), 2024 Licensee PAGEPress, Italy.</t>
  </si>
  <si>
    <t xml:space="preserve">Geospatial Health</t>
  </si>
  <si>
    <t xml:space="preserve">Page Press Publications</t>
  </si>
  <si>
    <t xml:space="preserve">10.4081/gh.2024.1279</t>
  </si>
  <si>
    <t xml:space="preserve">https://www.scopus.com/inward/record.uri?eid=2-s2.0-85194519768&amp;doi=10.4081%2fgh.2024.1279&amp;partnerID=40&amp;md5=954eba005dbab356edf234657594d7b8</t>
  </si>
  <si>
    <t xml:space="preserve">Human Nutrition Research Center, School of Nutrition, Faculty of Medical Sciences, National University of Córdoba, Córdoba, Argentina; Mario Gulich Institute for Higher Space Studies, National University of Córdoba, National Commission of Space Activities, Falda del Cañete, Córdoba, Argentina; National Council for Scientific and Technical Research, Buenos Aires, Argentina; Mundo Sano Foundation, Buonos Aires, Argentina</t>
  </si>
  <si>
    <t xml:space="preserve">Scavuzzo C.M., Human Nutrition Research Center, School of Nutrition, Faculty of Medical Sciences, National University of Córdoba, Córdoba, Argentina, Mario Gulich Institute for Higher Space Studies, National University of Córdoba, National Commission of Space Activities, Falda del Cañete, Córdoba, Argentina, National Council for Scientific and Technical Research, Buenos Aires, Argentina, Mundo Sano Foundation, Buonos Aires, Argentina; Campero M.N., Human Nutrition Research Center, School of Nutrition, Faculty of Medical Sciences, National University of Córdoba, Córdoba, Argentina, Mario Gulich Institute for Higher Space Studies, National University of Córdoba, National Commission of Space Activities, Falda del Cañete, Córdoba, Argentina, National Council for Scientific and Technical Research, Buenos Aires, Argentina; Maidana R.E., Human Nutrition Research Center, School of Nutrition, Faculty of Medical Sciences, National University of Córdoba, Córdoba, Argentina; Oberto M.G., Human Nutrition Research Center, School of Nutrition, Faculty of Medical Sciences, National University of Córdoba, Córdoba, Argentina; Periago M.V., National Council for Scientific and Technical Research, Buenos Aires, Argentina, Mundo Sano Foundation, Buonos Aires, Argentina; Porcasi X., Mario Gulich Institute for Higher Space Studies, National University of Córdoba, National Commission of Space Activities, Falda del Cañete, Córdoba, Argentina</t>
  </si>
  <si>
    <t xml:space="preserve">Argentina; intestinal parasites; machine learning; spatial analysis</t>
  </si>
  <si>
    <t xml:space="preserve">Adolescent; Animals; Argentina; Child; Child, Preschool; Cross-Sectional Studies; Feces; Female; Humans; Indians, South American; Infant; Intestinal Diseases, Parasitic; Male; Prevalence; Spatial Analysis; adolescent; American Indian; animal; Argentina; child; cross-sectional study; epidemiology; feces; female; human; infant; intestine infection; male; parasitology; preschool child; prevalence; spatial analysis</t>
  </si>
  <si>
    <t xml:space="preserve">Alfonso-Durruty MP, Valeggia CR, Talla, peso e índice de masa corporal en niños y niñas wichí de Formosa, Argentina, Arch Argent Pediatr, 116, pp. 359-364, (2018); Alvarez Di Fino EM, Aplicación de tecnologías geoespaciales para el análisis de la seguridad alimentaria y nutricional en la ciudad de Córdoba, (2020); Alvarez Di Fino EM, Scavuzzo CM, Campero MN, Scavuzzo CM, Defago MD, Explorando el uso de herramientas de sensores remotos y tecnologías geoespaciales aplicadas al problema multidimensional de la seguridad alimentaria, Uniciencia, 36, pp. 1-15, (2022); Anegagrie M, Lanfri S, Aramendia AA, Scavuzzo CM, Herrador Z, Benito A, Periago MV, Environmental characteristics around the household and their association with hookworm infection in rural communities from Bahir Dar, Amhara Region, Ethiopia, PLoS Negl Trop Dis, 15, (2021); Assare RK, Lai YS, Yapi A, Tian-Bi YNT, Ouattara M, Yao PK, Knopp S, Vounatsou P, Utzinger J, N'Goran EK, The spatial distribution of Schistosoma mansoni infection in four regions of western Côte d’Ivoire, Geospat Health, 10, (2015); Ault SK, Catala Pascual L, Grados-Zavala ME, Gonzalvez Garcia G, Castellanos LG, El camino a la eliminación: un panorama de las enfermedades infecciosas desatendidas en América Latina y el Caribe, Rev Peru Med Exp Salud Pública, 31, pp. 319-325, (2014); Azamathulla HM, Ab Ghani A, Fei SY, ANFIS-based approach for predicting sediment transport in clean sewer, Appl Soft Comput J, 12, pp. 1227-1230, (2012); Bates DW, Saria S, Ohno-Machado L, Shah A, Escobar G, Big data in health care: using analytics to identify and manage high-risk and high-cost patients, Health Aff, 33, pp. 1123-1131, (2014); Bouzid M, Kintz E, Hunter PR, Risk factors for Cryptosporidium infection in low and middle income countries: A systematic review and meta-analysis, PLoS Negl Trop Dis, 12, (2018); Brindha J, Balamurali MM, Chanda K, An overview on the therapeutics of neglected infectious diseases—Leishmaniasis and Chagas diseases, Front Chem, 9, (2021); Brown ME, Lary DJ, Vrieling A, Stathakis D, Mussa H, Neural networks as a tool for constructing continuous NDVI time series from AVHRR and MODIS, Int J Remote Sens, 29, pp. 7141-7158, (2008); Candela E, Goizueta C, Sandon L, Munoz-Antoli C, Periago MV., The relationship between soil-transmitted helminth infections and environmental factors in Puerto Iguazú, Argentina: crosssectional study, JMIR Public Health Surveill, 9, (2023); Celemin JP, Mikkelsen C., Velazquez G, La calidad de vida desde una perspectiva geográfica: Integración de indicadores objetivos y subjetivos, Rev Univ Geogr, 24, pp. 63-84, (2015); Celemin JP, Velazquez GA, Spatial analysis of the relationship between a life quality index, hdi and poverty in the province of Buenos Aires and the autonomous city of Buenos Aires, Argentina, Soc Indic Res, 134, pp. 1-21, (2017); Cociancic P, Evaluación del riesgo de infecciones parasitarias intestinales en poblaciones infanto-juveniles de Argentina: el impacto de los factores ambientales y socio-económicos en su distribución geográfica, (2019); Cociancic P, Torrusio SE, Garraza M, Zonta ML, Navone GT, Intestinal parasites in child and youth populations of Argentina: Environmental factors determining geographic distribution, Rev Argent Microbiol, 53, pp. 225-232, (2021); Cociancic P, Torrusio SE, Zonta ML, Navone GT, Sistemas de información geográfica (SIG) y sensores remotos aplicados a la epidemiología de las parasitosis intestinales en Argentina, Rev Argent Parasitol, 44, (2019); Collins GS, Reitsma JB, Altman DG, Moons KGM, Transparent reporting of a multivariable prediction model for individual prognosis or diagnosis (TRIPOD): the TRIPOD statement, BMJ, 350, (2015); Cuenca-Leon K, Sarmiento-Ordonez J, Blandin-Lituma P, Pacheco-Quito EM, Prevalencia de parasitosis intestinal en la población infantil de una zona rural del Ecuador, Bol Malariol Salud Ambient, 61, pp. 596-602, (2021); Del Popolo F, Jaspers D, Cepal N, Los pueblos indígenas en América Latina. Avances en el último decenio y retos pendientes para la garantía de sus derechos, (2014); De Bourmont S, Olmedo S, Rodriguez P, Valeggia C, Therapeutic itineraries of Qom mothers in a peri-urban community of Formosa, Arch Argent Pediatr, 118, pp. 240-244, (2020); Diez Roux AV, Health in cities: is a systems approach needed?, Cad Saude Publica, 31, pp. 9-13, (2015); Duenas AS, Gobel ND, Mota IFM, Aspectos relevantes de las enfermedades infecciosas desatendidas, Panor Cuba Salud, 16, pp. 127-134, (2021); Echague G, Sosa L, Diaz V, Ruiz I, Rivas L, Granado D, Funes P, Zenteno J, Pistilli N, Ramirez M, Enteroparasitosis en niños bajo 5 años de edad, indígenas y no indígenas, de comunidades rurales del Paraguay, Rev Chil Infectol, 32, pp. 649-657, (2015); Engels D, Zhou XN, Neglected tropical diseases: an effective global response to local poverty-related disease priorities, Infect Dis Poverty, 9, (2020); Spatial autocorrelation (global Moran’s I) (spatial statistics), (2023); Optimized outlier analysis (spatial statistics), (2023); Forest-based classification and regression, (2023); Esteban Mendoza MV, Arcila Quiceno VH, Morchon Garcia R, Determinación de la seroprevalencia de Dirofilaria immitis en humanos del Área Metropolitana de Bucaramanga, (2020); Gabrie JA, Rueda MM, Canales M, Sanchez A, Utilidad del método Kato-Katz para diagnóstico de Uncinariasis: experiencia en una zona rural de Honduras, 2011, Rev Med Hondur, 80, (2012); Gamboa MI, Giambelluca LA, Navone GT, Distribución espacial de las parasitosis intestinales en la ciudad de La Plata, Argentina, Medicina (B Aires), 74, pp. 363-370, (2014); Gebreyes WA, Dupouy-Camet J, Newport MJ, Oliveira CJ, Schlesinger LS, Saif YM, King LJ, The global one health paradigm: challenges and opportunities for tackling infectious diseases at the human, animal, and environment interface in low-resource settings, PLoS Negl Trop Dis, 8, (2014); Han BA, Schmidt JP, Bowden SE, Drake JM, Rodent reservoirs of future zoonotic diseases, Proc Natl Acad Sci U S A, 112, pp. 7039-7044, (2015); Hoyos CL, Cajal SP, Juarez M, Acosta NR, Krolewiecki AJ, Torrejon I, Gil JF, Clustering temporal de incidencia de la Leishmaniasis Tegumentaria Americana en el año 2009 y potencial exposición a Leishmania spp. en personas sin manifestaciones clínicas en la Localidad de Hipólito Yrigoyen, (2011); Iomini PA, Parodi JB, Farina JM, Saldarriaga C, Liblik K, Mendoza I, Sosa Liprandi A, Martinez-Selles M, Burgos LM, Baranchuk A, Enfermedades tropicales desatendidas y su impacto sobre la salud cardiovascular (The NET-heart project), Medicina (B. Aires), 81, pp. 808-816, (2021); Juarez MM, Rajala VB, Parasitosis intestinales en Argentina: principales agentes causales encontrados en la población y en el ambiente, Rev Argent Microbiol, 45, pp. 191-204, (2013); Kulldorff M, A spatial scan statistic, Commun Stat Theory Methods, 26, pp. 1481-1496, (1997); Lary DJ, Alavi AH, Gandomi AH, Walker AL, Machine learning in geosciences and remote sensing, Geosci Front, 7, (2016); Longhi F, Cordero ML, Cesani MF, Malnutrición infantil en Río Chico (Tucumán, Argentina). Evolución y manifestaciones actuales en el contexto de la transición nutricional, Rev Univ Geogr, 31, pp. 1-3, (2022); Lundberg SM, Lee S, A unified approach to interpreting model predictions, (2017); Menghi CI, Iuvaro FR, Dellacasa MA, Gatta CL, Investigación de parásitos intestinales en una comunidad aborigen de la provincia de Salta, Medicina (B. Aires), 67, pp. 705-708, (2007); Atención Primaria de la Salud, (2004); Muller I, Gall S, Beyleveld L, Gerber M, Puhse U, Du Randt R, Utzinger J, Shrinking risk profiles after deworming of children in Port Elizabeth, South Africa, with special reference to Ascaris lumbricoides and Trichuris trichiura, Geospat Health, 12, (2017); Rivero MR, De Angelo C, Feliziani C, Liang S, Tiranti K, Salas MM, Salomon OD, Enterobiasis and its risk factors in urban, rural and indigenous children of subtropical Argentina, Parasitology, 149, pp. 396-406, (2022); Romero-Ramirez SC, Caracterización epidemiológica de la parasitosis intestinal, Rev Arbitr Interdiscip Cienc Salud Salud Vida, 6, pp. 35-43, (2022); Roski J, Bo-Linn GW, Andrews TA, Creating value in health care through big data: opportunities and policy implications, Health Aff, 33, pp. 1115-1122, (2014); Scavuzzo CM, Scavuzzo JM, Campero MN, Anegagrie M, Aramendia AA, Benito A, Periago V, Feature importance: opening a soil-transmitted helminth machine learning model via SHAP, Infect Dis Model, 7, pp. 262-276, (2022); Stelling J, Yih WK, Galas M, Kulldorff M, Pichel M, Terragno R, Platt R, Automated use of WHONET and SaTScan to detect outbreaks of Shigella spp. using antimicrobial resistance phenotypes, Epidemiol Infect, 138, pp. 873-883, (2010); Tapia-Veloz E, Gozalbo M, Guillen M, Dashti A, Bailo B, Koster PC, Santin M, Carmena D, Trelis M, Prevalence and associated risk factors of intestinal parasites among schoolchildren in Ecuador, with emphasis on the molecular diversity of Giardia duodenalis, Blastocystis sp. and Enterocytozoon bieneusi, PLoS Negl Trop Dis, 17, (2023); Taranto NJ, Cajal SP, De Marzi MC, Fernandez MM, Frank FM, Bru AM, Minvielle MC, Basualdo JA, Malchiodi EL, Clinical status and parasitic infection in a Wichi Aboriginal community in Salta, Argentina, Trans R Soc Trop Med Hyg, 97, pp. 554-558, (2003); Weatherhead EC, Reinsel GC, Tiao GC, Meng X-L, Choi D, Cheang W-K, Keller T, DeLuisi J, Wuebbles DJ, Kerr JB, Miller AJ, Oltmans SJ, Frederick JE, Factors affecting the detection of trends: Statistical considerations and applications to environmental data, J Geophys Res Atmos, 103, (1998); Wetchayont P, Waiyasusri K, Using Moran’s I for detection and monitoring of the Covid-19 spreading stage in Thailand during the third wave of the pandemic, Geogr Environ Sustain, 14, pp. 155-167, (2021); Working to overcome the global impact of neglected tropical diseases: first WHO report on neglected tropical diseases, (2010); Poner fin a la desatención para alcanzar los objetivos de desarrollo sostenible: hoja de ruta sobre enfermedades tropicales desatendidas 2021-2030, (2021); Soil-transmitted helminth infections, (2023); Wiens J, Shenoy ES, Machine learning for healthcare: on the verge of a major shift in healthcare epidemiology, Clin Infect Dis, 66, pp. 149-153, (2018); Zonta ML, Navone GT, Oyhenart EE, Parasitosis intestinales en niños de edad preescolar y escolar: situación actual en poblaciones urbanas, periurbanas y rurales en Brandsen, Buenos Aires, Argentina, Parasitol Latinoam, 62, pp. 54-60, (2007); Zonta ML, Cociancic P, Oyhenart EE, Navone GT, Intestinal parasitosis, undernutrition and socio-environmental factors in schoolchildren from Clorinda Formosa, Argentina, Rev Salud Pública, 21, pp. 224-231, (2020)</t>
  </si>
  <si>
    <t xml:space="preserve">X. Porcasi; Instituto de Altos Estudios Espaciales Mario Gulich, Comisión Nacional de Actividades Espaciales, Falda del Cañete, Córdoba, Argentina; email: ximena.porcasi@conae.gov.ar</t>
  </si>
  <si>
    <t xml:space="preserve">2-s2.0-85194519768</t>
  </si>
  <si>
    <t xml:space="preserve">Buebos-Esteve D.E.; Dagamac N.H.A.</t>
  </si>
  <si>
    <t xml:space="preserve">Buebos-Esteve, Don Enrico (58042222100); Dagamac, Nikki Heherson A. (54392604000)</t>
  </si>
  <si>
    <t xml:space="preserve">58042222100; 54392604000</t>
  </si>
  <si>
    <t xml:space="preserve">Spatiotemporal models of dengue epidemiology in the Philippines: Integrating remote sensing and interpretable machine learning</t>
  </si>
  <si>
    <t xml:space="preserve">Previous dengue epidemiological analyses have been limited in spatiotemporal extent or covariate dimensions, the latter neglecting the multifactorial nature of dengue. These constraints, caused by rigid and traditional statistical tools which collapse amidst ‘Big Data’, prompt interpretable machine-learning (iML) approaches. Predicting dengue incidence and mortality in the Philippines, a data-limited yet high-burden country, the mlr3 universe of R packages was used to build and optimize ML models based on remotely sensed provincial and dekadal 3 NDVI and 9 rainfall features from 2016 to 2020. Between two tasks, models differ across four random forest-based learners and two clustering strategies. Among 16 candidates, rfsrc-year-case and ranger-year-death significantly perform best for predicting dengue incidence and mortality, respectively. Therefore, temporal clustering yields the best models, reflective of dengue seasonality. The two best models were subjected to tripartite global exploratory model analyses, which encompass model-agnostic post-hoc methods such as Permutation Feature Importance (PFI) and Accumulated Local Effects (ALE). PFI reveals that the models differ in their important explanatory aspect, rainfall for rfsrc-year-case and NDVI for ranger-year-death, among which long-term average (lta) features are most relevant. Trend-wise, ALE reveals that average incidence predictions are positively associated with ‘Rain.lta’, reflective of dengue cases peaking during the wet season. In contrast, those for mortality are negatively associated with ‘NDVI.lta’, reflective of urban spaces driving dengue-related deaths. By technologically addressing the challenges of the human-animal-ecosystem interface, this study adheres to the One Digital Health paradigm operationalized under Sustainable Development Goals (SDGs). Leveraging data digitization and predictive modeling for epidemiological research paves SDG 3, which prioritizes holistic health and well-being. © 2024 Elsevier B.V.</t>
  </si>
  <si>
    <t xml:space="preserve">Acta Tropica</t>
  </si>
  <si>
    <t xml:space="preserve">10.1016/j.actatropica.2024.107225</t>
  </si>
  <si>
    <t xml:space="preserve">https://www.scopus.com/inward/record.uri?eid=2-s2.0-85193031980&amp;doi=10.1016%2fj.actatropica.2024.107225&amp;partnerID=40&amp;md5=d05e18a33ac476b239033261cd61c587</t>
  </si>
  <si>
    <t xml:space="preserve">Initiatives for Conservation, Landscape Ecology, Bioprospecting, and Biomodeling (ICOLABB), Research Center for the Natural and Applied Sciences, University of Santo Tomas, Manila, España, 1008, Philippines; Department of Biological Sciences, College of Science, University of Santo Tomas, Manila, España, 1008, Philippines; The Graduate School, University of Santo Tomas, Manila, España, 1008, Philippines</t>
  </si>
  <si>
    <t xml:space="preserve">Buebos-Esteve D.E., Initiatives for Conservation, Landscape Ecology, Bioprospecting, and Biomodeling (ICOLABB), Research Center for the Natural and Applied Sciences, University of Santo Tomas, Manila, España, 1008, Philippines; Dagamac N.H.A., Initiatives for Conservation, Landscape Ecology, Bioprospecting, and Biomodeling (ICOLABB), Research Center for the Natural and Applied Sciences, University of Santo Tomas, Manila, España, 1008, Philippines, Department of Biological Sciences, College of Science, University of Santo Tomas, Manila, España, 1008, Philippines, The Graduate School, University of Santo Tomas, Manila, España, 1008, Philippines</t>
  </si>
  <si>
    <t xml:space="preserve">Dengue virus (DENV); Explainable artificial intelligence; One health; Spatiotemporal epidemiology; Vector-borne disease</t>
  </si>
  <si>
    <t xml:space="preserve">Dengue; Humans; Incidence; Machine Learning; Philippines; Remote Sensing Technology; Seasons; Spatio-Temporal Analysis; Philippines; dengue fever; disease incidence; epidemiology; machine learning; mortality; numerical model; public health; remote sensing; spatiotemporal analysis; Article; dengue; explainable machine learning; feature selection; incidence; mortality; Philippines; prediction; predictive model; rainy season; random forest; remote sensing; seasonal variation; dengue; epidemiology; human; incidence; machine learning; season; spatiotemporal analysis</t>
  </si>
  <si>
    <t xml:space="preserve">UST-RCNAS; Philippine Council for Agriculture, Aquatic and Natural Resources Research and Development, DOST-PCAARRD</t>
  </si>
  <si>
    <t xml:space="preserve">The authors acknowledge the technical support provided by UST-RCNAS. NHAD acknowledges DOST-PCAARRD as a Balik-Scientist grantee.</t>
  </si>
  <si>
    <t xml:space="preserve">Abaje I.B., Ndabula C., Garba A.H., Is the changing rainfall patterns of Kano State and its adverse impacts an indication of climate change?, Eur. Sci. J., 10, 2, (2014); Agrupis K.A., Ylade M., Aldaba J.G., Lopez A.L., Deen J., Trends in dengue research in the Philippines: a systematic review, PLoS Negl. Trop. Dis., 13, 4, (2019); Ahmad M.A., Eckert C., Teredesai A., Interpretable machine learning in healthcare, Proceedings of the 2018 ACM International Conference on Bioinformatics, Computational Biology, and Health Informatics, (2018); Apley D.W., Zhu J., Visualizing the effects of predictor variables in black box supervised learning models, J. R. Stat. Soc. Ser. B Stat. Methodol., 82, 4, pp. 1059-1086, (2020); Appice A., Gel Y.R., Iliev I.R., Lyubchich V., Malerba D., A Multi-Stage Machine learning approach to predict dengue incidence: a case study in Mexico, IEEe Access, 8, pp. 52713-52725, (2020); Arnaiz-Gonzalez A., Diez-Pastor J.F., Rodriguez J.J., Garcia-Osorio C.I., Instance selection for regression by discretization, Expert. Syst. Appl., 54, pp. 340-350, (2016); Bannick M.S., McGaughey M., Flaxman A.D., Ensemble modelling in descriptive epidemiology: burden of disease estimation, Int. J. Epidemiol., 49, 6, pp. 2065-2073, (2020); Benis A., Tamburis O., Chronaki C., Moen A., One Digital Health: a unified framework for future health ecosystems, J. Med. Internet Res., 23, 2, (2021); Bergstra J., Bengio Y., Random search for hyper-parameter optimization, J. Mach. Learn. Res., 13, 2, (2012); Bi Q., Goodman K.E., Kaminsky J., Lessler J., What is machine learning? A primer for the epidemiologist, Am. J. Epidemiol., (2019); Biecek P., DALEX: explainers for complex predictive models in R, J. Mach. Learn. Res., 19, 1, pp. 3245-3249, (2018); Biecek P., Burzykowski T., Explanatory Model Analysis, (2022); Bischl B., Binder M., Lang M., Pielok T., Richter J., Coors S., Thomas J., Ullmann T., Becker M., Boulesteix A., Deng D., Lindauer M., Hyperparameter optimization: foundations, algorithms, best practices, and open challenges, Wiley Interdiscip. Rev.-Data Min. Knowl. Discov., 13, 2, (2023); Bischl B., Mersmann O., Trautmann H., Weihs C., Resampling Methods for Meta-Model Validation with Recommendations for Evolutionary Computation, Evol. Comput., 20, 2, pp. 249-275, (2012); Bischl B., Sonabend R., Kotthoff L., Lang M., Applied Machine Learning Using mlr3 in R, (2024); Bravo L., Roque V.G., Brett J., Dizon R., L'Azou M., Epidemiology of dengue disease in the Philippines (2000–2011): a systematic literature review, PLoS Negl. Trop. Dis., 8, 11, (2014); Breiman L., Random Forests, Mach. Learn., 45, 1, pp. 5-32, (2001); Bui Q., Nguyen Q.H., Pham V., Pham M., Tran A., Understanding spatial variations of malaria in Vietnam using remotely sensed data integrated into GIS and machine learning classifiers, Geocarto Int., 34, 12, pp. 1300-1314, (2018); Byun H.G., Lee N., Hwang S., A systematic review of spatial and spatio-temporal analyses in public health research in Korea, J. Prev. Med. Public Health, 54, 5, pp. 301-308, (2021); Cabrera M., Leake J., Naranjo-Torres J., Valero N., Cabrera J.C., Rodriguez-Morales A.J., Dengue prediction in latin America using machine learning and the one health perspective: a literature review, Trop. Med. Infect. Dis., 7, 10, (2022); Carvajal T.M., Ogishi K., Yaegeshi S., Hernandez L.F.T., Viacrusis K.M., Ho H.T., Amalin D., Watanabe K., Fine-scale population genetic structure of dengue mosquito vector, aedes aegypti, in metropolitan Manila, Philippines, PLoS Negl. Trop. Dis., 14, 5, (2020); Carvajal T.M., Viacrusis K.M., Hernandez L.F., Ho H.T., Amalin D.M., Watanabe K., Machine learning methods reveal the temporal pattern of dengue incidence using meteorological factors in Metropolitan Manila, Philippines, BMC Infect. Dis., 18, 1, (2018); Casalicchio G., Burk L., Evaluation and benchmarking, Applied Machine Learning Using mlr3 in R, (2023); Chen H., Lin M.-X., Wang L.-P., Huang Y.-X., Feng Y., Fang L.-Q., Wang L., Song H.-B., Wang L.-G., Driving role of climatic and socioenvironmental factors on human brucellosis in China: Machine-learning-based predictive analyses, Infect. Dis. Poverty, 12, 1, (2023); Chicco D., Warrens M.J., Jurman G., The coefficient of determination R-squared is more informative than SMAPE, MAE, MAPE, MSE and RMSE in regression analysis evaluation, PeerJ Comput. Sci., 7, (2021); Cuellar A.C., Kjaer L.J., Baum A., Stockmarr A., Skovgard H., Nielsen S.A., Andersson M.G., Lindstrom A., Chirico J., Luhken R., Steinke S., Kiel E., Gethmann J., Conraths F.J., Larska M., Smreczak M., Orlowska A., Hamnes I., Sviland S., Bodker R., Modelling the monthly abundance of culicoides biting midges in nine European countries using random forests machine learning, Parasit. Vectors, 13, 1, (2020); Cunha M.D., Bohm B.C., Morais M.H.F., Campos N.B.D., Schultes O., Bruhn N.P.C., Bruhn F.R.P., Caiaffa W.T., Temporal trends of dengue cases and deaths from 2007 to 2020 in Belo Horizonte, Brazil, Int. J. Environ. Health Res., pp. 1-16, (2023); Cunha M.D., Ju Y., Morais M.H., Dronova I., Ribeiro S.P., Bruhn F.R., Lima L.L., Sales D.M., Schultes O.L., Rodriguez D.A., Caiaffa W.T., Disentangling associations between vegetation greenness and dengue in a Latin American city: findings and challenges, Landsc. Urban. Plan., 216, (2021); Demsar J., Statistical comparisons of classifiers over multiple data sets, J. Mach. Learn. Res., 7, pp. 1-30, (2006); Dobbin K.K., Simon R.M., Optimally splitting cases for training and testing high dimensional classifiers, BMC Med. Genomics., 4, 1, (2011); Dominguez N., Nerissa M.A., Current DF/DHF Prevention and Control Programme in the Philippines, (1997); Du J., Fu Q., Fang S., Wu J., He P., Quan Z., Effects of rapid urbanization on vegetation cover in the metropolises of China over the last four decades, Ecol. Indic., 107, (2019); Dwyer D.B., Falkai P., Koutsouleris N., Machine learning approaches for clinical psychology and psychiatry, Annu Rev. Clin. Psychol., 14, 1, pp. 91-118, (2018); Esau I., Miles V.V., Davy R., Miles M.W., Kurchatova A., Trends in normalized difference vegetation index (NDVI) associated with urban development in northern West Siberia, Atmos. Chem. Phys., 16, 15, pp. 9563-9577, (2016); Feehan M., Owen L.A., McKinnon I.M., DeAngelis M.M., Artificial intelligence, heuristic biases, and the optimization of health outcomes: cautionary optimism, J. Clin. Med., 10, 22, (2021); Fernandez J.C.F., Salcedo-Sanz S., Gutierrez P.A., Alexandre E., Hervas-Martinez C., Significant wave height and energy flux range forecast with machine learning classifiers, Eng. Appl. Artif. Intell., 43, pp. 44-53, (2015); Fischer S., Lang M., Becker M., Bischl B., Sonabend R., Kotthoff L., Lang M., Large-scale benchmarking, Applied Machine Learning Using mlr3 in R, (2024); Garcia S., Herrera F., An extension on" statistical comparisons of classifiers over multiple data sets" for all pairwise comparisons, J. Mach. Learn. Res., 9, 12, (2008); Geiger R.S., Cope D., Ip J., Lotosh M., Shah A., Weng J., Tang R., Garbage in, garbage out” revisited: what do machine learning application papers report about human-labeled training data?, Quant. Sci. Stud., 2, 3, pp. 795-827, (2021); Guo P., Liu T., Zhang Q., Wang L., Xiao J., Zhang Q., Luo G., Li Z., He J., Zhang Y., Ma W., Developing a dengue forecast model using Machine Learning: a case study in China, PLoS Negl. Trop. Dis., 10, (2017); Hashim H., Abd Latif Z., Adnan N.A., Urban vegetation classification with NDVI threshold value method with very high resolution (VHR) Pleiades imagery, Int. Arch. Photogramm. Remote Sens. Spat. Inf. Sci., 42, pp. 237-240, (2019); Higa Y., Dengue vectors and their spatial distribution, Trop. Med. Health, 39, 4SUPPLEMENT, (2011); Ho C.W., Operationalizing “OnE Health” as “One Digital Health” through a global framework that emphasizes fair and equitable sharing of benefits from the use of artificial intelligence and related digital technologies, Front. Public Health, 10, (2022); Huang C., Tam T.Y.T., Chern Y.R., Lung S.C., Chen N.T., Wu C., Spatial clustering of dengue fever incidence and its association with surrounding greenness, Int. J. Environ. Res. Public Health, 15, 9, (2018); Hubbard A., Trostle J., Cangemi I., Eisenberg J.N.S., Countering the curse of dimensionality, Epidemiology, 30, 4, pp. 609-614, (2019); Ishwaran H., Kogalur U.B., Kogalur M.U.B., Package ‘randomForestSRC, breast, 6, 1, (2022); James G., Witten D., Hastie T., Tibshirani R., An Introduction to Statistical Learning, 112, (2014); Jiang J., Yang S., Wang J., Long M., Transferability in Deep Learning: A survey, (2022); Kernbach J.M., Staartjes V.E., Staartjes V.E., Regli L., Serra C., Foundations of machine learning-based clinical prediction modeling: part II—Generalization and overfitting, Machine Learning in Clinical Neuroscience. Acta Neurochirurgica Supplement, 134, (2022); Lang M., Binder M., Richter J., Schratz P., Pfisterer F., Coors S., Au Q., Casalicchio G., Kotthoff L., Bischl B., mlr3: a modern object-oriented machine learning framework in R, J. Open. Source Softw., 4, 44, (2019); Lebichot B., Borgne Y.L., He-Guelton L., Oble F., Bontempi G., Deep-learning domain adaptation techniques for credit cards fraud detection, Proceedings of the International Neural Networks Society, pp. 78-88, (2019); Li J., Malley J.D., Andrew A.S., Karagas M.R., Moore J.H., Detecting gene-gene interactions using a permutation-based random forest method, BioData Min., 9, 1, (2016); Liu C.H., Tsai C., Sue K.L., Huang M., The feature selection effect on missing value imputation of medical datasets, Appl. Sci., 10, 7, (2020); Liu H., Setiono R., Dimensionality reduction via discretization, Knowl. Based Syst., 9, 1, pp. 67-72, (1996); Makondo C.C., Thomas D.S., Seasonal and intra-seasonal rainfall and drought characteristics as indicators of climate change and variability in Southern Africa: a focus on Kabwe and Livingstone in Zambia, Theor. Appl. Climatol., 140, 1-2, pp. 271-284, (2020); Malhotra V., Kaur P., The community knowledge, attitude and practices regarding dengue fever in field practice area of urban training health centre of Patiala, Int. J. Res. Dev. Health, 2, 1, pp. 19-26, (2014); Maxwell A.E., Warner T.A., Fang F., Implementation of machine-learning classification in remote sensing: an applied review, Int. J. Remote Sens., 39, 9, pp. 2784-2817, (2018); Maxwell S., Generating land cover boundaries from remotely sensed data using object-based image analysis: overview and epidemiological application, Spat. Spatio Temporal Epidemiol., 1, 4, pp. 231-237, (2010); Mehta P., Bukov M., Wang C.H., Day A.G.R., Richardson C., Fisher C.K., Schwab D.J., A high-bias, low-variance introduction to Machine Learning for physicists, Phys. Rep., 810, pp. 1-124, (2019); Meliker J.R., Sloan C.D., Spatio-temporal epidemiology: principles and opportunities, Spat. Spatio Temporal Epidemiol., 2, 1, pp. 1-9, (2011); Meyer S., Held L., Power-law models for infectious disease spread, Ann. Appl. Stat., 8, 3, (2014); Molnar C., Interpretable Machine Learning: A Guide for Making Black Box Models Explainable, (2022); Murdoch W.J., Singh C.D., Kumbier K., Abbasi-Asl R., Yu B., Definitions, methods, and applications in interpretable machine learning, Proc. Natl. Acad. Sci. U. S. A., 116, 44, pp. 22071-22080, (2019); Navalgund R.R., Jayaraman V., Roy P.S., Remote sensing applications : an overview, Curr. Sci., 93, 12, pp. 1747-1766, (2007); Nuckols J.R., Ward M.H., Jarup L., Using geographic information systems for exposure assessment in environmental epidemiology studies, Environ. Health Perspect., 112, 9, pp. 1007-1015, (2004); Obermeyer Z., Emanuel E.J., Predicting the future — Big data, machine learning, and clinical medicine, N. Engl. J. Med., 375, 13, pp. 1216-1219, (2016); Ong E.P., Obeles A.J., Ong B.A., Tantengco O.A., Perspectives and lessons from the Philippines’ decades-long battle with dengue, Lancet Reg. Health, 24, (2022); Pargent F., Schoedel R., Stachl C., Best practices in supervised machine learning: a tutorial for psychologists, Adv. Methods Pract. Psychol. Sci., 6, 3, (2023); Pliego E.P., Velazquez-Castro J., Collar A.F., Seasonality on the life cycle of Aedes aegypti mosquito and its statistical relation with dengue outbreaks, Appl. Math. Model., 50, pp. 484-496, (2017); Pohlert T., The pairwise multiple comparison of mean ranks package (PMCMR), R package, 27, 2019, (2014); Probst P., Boulesteix A., To tune or not to tune the number of trees in random forest, J. Mach. Learn. Res., 18, 181, pp. 1-18, (2017); Probst P., Wright M.N., Boulesteix A., Hyperparameters and tuning strategies for random forest, Wiley Interdiscip. Rev. Data Min. Knowl. Discov., 9, 3, (2019); Rai A., Explainable AI: from black box to glass box, J. Acad. Mark. Sci., 48, 1, pp. 137-141, (2019); Rainham D., McDowell I., Krewski D., Sawada M., Conceptualizing the healthscape: contributions of time geography, location technologies and spatial ecology to place and health research, Soc. Sci. Med., 70, 5, pp. 668-676, (2010); Ramadhan M.M., Sitanggang I.S., Nasution F.R., Ghifari A., Parameter tuning in random forest based on grid search method for gender classification based on voice frequency, DEStech Trans. Comput. Sci. Eng., (2017); Ramanujam R., Zhu F., Fink K., Karrenbauer V.D., Lorscheider J., Benkert P., Kingwell E., Tremlett H., Hillert J., Manouchehrinia A., Accurate classification of secondary progression in multiple sclerosis using a decision tree, Mult. Scler. J., 27, 8, pp. 1240-1249, (2021); Raschka S., Model evaluation, Model selection, and Algorithm Selection in Machine Learning, (2018); Ratti E., Graves M., Explainable machine learning practices: opening another black box for reliable medical AI, AI Ethics, 2, 4, pp. 801-814, (2022); Rose S., Mortality risk score prediction in an elderly population using machine learning, Am. J. Epidemiol., 177, 5, pp. 443-452, (2013); Schwalbe N., Wahl B., Artificial intelligence and the future of global health, Lancet, 395, 10236, pp. 1579-1586, (2020); Senagi K., Jouandeau N., A non-deterministic strategy for searching optimal number of trees hyperparameter in random forest, Proceedings of the 2018 Federated Conference on Computer Science and Information Systems (FedCSIS), pp. 73-80, (2018); Simon R., Dubitzky W., Granzow M., Berrar D., Resampling strategies for model assessment and selection, Fundamentals of Data Mining in Genomics and Proteomics, (2007); Su G.L.S., Correlation of climatic factors and dengue incidence in Metro Manila, Philippines, AMBIO J. Hum. Environ., 37, 4, pp. 292-294, (2008); Sumi A., Telan E.F.O., Chagan-Yasutan H., Piolo M.B., Hattori T., Kobayashi N., Effect of temperature, relative humidity and rainfall on dengue fever and leptospirosis infections in Manila, the Philippines, Epidemiol. Infect., 145, 1, pp. 78-86, (2017); Temenos, Tzortzis I.N., Kaselimi M., Rallis I., Doulamis A., Doulamis N., Novel insights in spatial epidemiology utilizing explainable AI (XAI) and remote sensing, Remote Sens., 14, 13, (2022); Undurraga E.A., Edillo F.E., Erasmo J.N.V., Alera M.T., Yoon I.K., Largo F.M., Shepard D.S., Disease burden of dengue in the Philippines: adjusting for underreporting by comparing active and passive dengue surveillance in Punta Princesa, Cebu City, Am. J. Trop. Med. Hyg., pp. 16-0488, (2017); Uy J., Van V.T.S., Ulep V.G.T., Bayani D.B., Walker D., The impact of COVID-19 on hospital admissions for twelve high-burden diseases and five common procedures in the philippines: a national health insurance database study 2019-2020, Lancet Reg. Health, 18, (2022); Varoquaux G., Colliot O., Evaluating Machine Learning Models and Their Diagnostic Value, Machine Learning for Brain Disorders, Neuromethods, 197, (2023); Vellido A., The importance of interpretability and visualization in machine learning for applications in medicine and health care, Neural Comput. Appl., 32, 24, pp. 18069-18083, (2019); Wang L., Xu T., Stoecker T.H., Stoecker H., Jiang Y., Zhou K., Machine learning spatio-temporal epidemiological model to evaluate Germany-county-level COVID-19 risk, Mach. Learn. Sci. Technol., 2, 3, (2021); Wickham H., Tidy data, J. Stat. Softw., 10, (2014); Wright M.N., Ziegler A., Ranger: a fast implementation of random forests for high dimensional data in C++ and R, J. Stat. Softw., 1, (2017); Wu D., Gao L., Chinazzi M., Xiong X., Vespignani A., Ma Y., Yu R., Quantifying uncertainty in deep spatiotemporal forecasting, Proceedings of the 27th ACM SIGKDD Conference on Knowledge Discovery &amp; Data Mining, (2021); Wujek B., Hall P., Gunes F., Best practices for machine learning applications, (2016); Xu Z., Bambrick H., Yakob L., Devine G.J., Frentiu F.D., Salazar F.V., Bonsato R., Hu W., High relative humidity might trigger the occurrence of the second seasonal peak of dengue in the Philippines, Sci. Total Environ., 708, (2020); Yang L., Shami A., On hyperparameter optimization of machine learning algorithms: theory and practice, Neurocomputing, 415, pp. 295-316, (2020); Young S.Y., Tullis J.A., Cothren J., A remote sensing and GIS-assisted landscape epidemiology approach to West Nile virus, Appl. Geogr., 45, pp. 241-249, (2013); Zhao N., Charland K., Carabali M., Nsoesie E.O., Maheu-Giroux M., Rees E., Yuan M., Garcia Balaguera C., Jaramillo Ramirez G., Zinszer K., Machine learning and dengue forecasting: comparing random forests and artificial neural networks for predicting dengue burden at national and sub-national scales in Colombia, PLoS Negl. Trop. Dis., 14, 9, (2020); Zheng J.X., Xia S., Lv S., Zhang Y., Bergquist R., Zhou X.N., Infestation risk of the intermediate snail host of Schistosoma japonicum in the Yangtze River Basin: improved results by spatial reassessment and a random forest approach, Infect. Dis. Poverty, 10, 3, pp. 34-46, (2021)</t>
  </si>
  <si>
    <t xml:space="preserve">D.E. Buebos-Esteve; Initiatives for Conservation, Landscape Ecology, Bioprospecting, and Biomodeling (ICOLABB), Research Center for the Natural and Applied Sciences, University of Santo Tomas, España, Manila, 1008, Philippines; email: donenrico.esteve@gmail.com</t>
  </si>
  <si>
    <t xml:space="preserve">0001706X</t>
  </si>
  <si>
    <t xml:space="preserve">ACTRA</t>
  </si>
  <si>
    <t xml:space="preserve">Acta Trop.</t>
  </si>
  <si>
    <t xml:space="preserve">2-s2.0-85193031980</t>
  </si>
  <si>
    <t xml:space="preserve">Singleton A.L.; Glidden C.K.; Chamberlin A.J.; Tuan R.; Palasio R.G.S.; Pinter A.; Caldeira R.L.; Mendonça C.L.F.; Carvalho O.S.; Monteiro M.V.; Athni T.S.; Sokolow S.H.; Mordecai E.A.; De Leo G.A.</t>
  </si>
  <si>
    <t xml:space="preserve">Singleton, Alyson L. (57202432112); Glidden, Caroline K. (57200256506); Chamberlin, Andrew J. (57205371637); Tuan, Roseli (7102072676); Palasio, Raquel G.S. (56755348300); Pinter, Adriano (7101797541); Caldeira, Roberta L. (7003731167); Mendonça, Cristiane L.F. (36021426600); Carvalho, Omar S. (35496464400); Monteiro, Miguel V. (58540818900); Athni, Tejas S. (57216940413); Sokolow, Susanne H. (8725138200); Mordecai, Erin A. (24174955700); De Leo, Giulio A. (7006105591)</t>
  </si>
  <si>
    <t xml:space="preserve">57202432112; 57200256506; 57205371637; 7102072676; 56755348300; 7101797541; 7003731167; 36021426600; 35496464400; 58540818900; 57216940413; 8725138200; 24174955700; 7006105591</t>
  </si>
  <si>
    <t xml:space="preserve">Species distribution modeling for disease ecology: A multi-scale case study for schistosomiasis host snails in Brazil</t>
  </si>
  <si>
    <t xml:space="preserve">Species distribution models (SDMs) are increasingly popular tools for profiling disease risk in ecology, particularly for infectious diseases of public health importance that include an obligate non-human host in their transmission cycle. SDMs can create high-resolution maps of host distribution across geographical scales, reflecting baseline risk of disease. However, as SDM computational methods have rapidly expanded, there are many outstanding methodological questions. Here we address key questions about SDM application, using schistosomiasis risk in Brazil as a case study. Schistosomiasis is transmitted to humans through contact with the free-living infectious stage of Schistosoma spp. parasites released from freshwater snails, the parasite’s obligate intermediate hosts. In this study, we compared snail SDM performance across machine learning (ML) approaches (MaxEnt, Random Forest, and Boosted Regression Trees), geographic extents (national, regional, and state), types of presence data (expert-collected and publicly-available), and snail species (Biomphalaria glabrata, B. straminea, and B. tenagophila). We used high-resolution (1km) climate, hydrology, land-use/land-cover (LULC), and soil property data to describe the snails’ ecological niche and evaluated models on multiple criteria. Although all ML approaches produced comparable spatially cross-validated performance metrics, their suitability maps showed major qualitative differences that required validation based on local expert knowledge. Additionally, our findings revealed varying importance of LULC and bioclimatic variables for different snail species at different spatial scales. Finally, we found that models using publicly-available data predicted snail distribution with comparable AUC values to models using expert-collected data. This work serves as an instructional guide to SDM methods that can be applied to a range of vector-borne and zoonotic diseases. In addition, it advances our understanding of the relevant environment and bioclimatic determinants of schistosomiasis risk in Brazil. © 2024 Singleton et al. This is an open access article distributed under the terms of the Creative Commons Attribution License, which permits unrestricted use, distribution, and reproduction in any medium, provided the original author and source are credited.</t>
  </si>
  <si>
    <t xml:space="preserve">PLOS Global Public Health</t>
  </si>
  <si>
    <t xml:space="preserve">e0002224</t>
  </si>
  <si>
    <t xml:space="preserve">10.1371/journal.pgph.0002224</t>
  </si>
  <si>
    <t xml:space="preserve">https://www.scopus.com/inward/record.uri?eid=2-s2.0-85200438977&amp;doi=10.1371%2fjournal.pgph.0002224&amp;partnerID=40&amp;md5=073cb3f915540fbd20c3b002f37dd171</t>
  </si>
  <si>
    <t xml:space="preserve">Emmett Interdisciplinary Program in Environment and Resources, Stanford University, Stanford, CA, United States; Department of Biology, Stanford University, Stanford, CA, United States; Institute for Human-centered Artificial Intelligence, Stanford University, Stanford, CA, United States; Department of Oceans, Hopkins Marine Station, Stanford University, Pacific Grove, CA, United States; Pasteur Institute, São Paulo, Brazil; Fiocruz Minas/Belo Horizonte-Minas Gerais, Belo Horizonte, Brazil; Geoinformation &amp; Earth Observation Division, National Institute for Space Research (INPE), São Paulo, Brazil; Harvard Medical School, Boston, MA, United States; Marine Science Institute, University of California Santa Barbara, Santa Barbara, CA, United States; Woods Institute for the Environment, Stanford University, Stanford, CA, United States</t>
  </si>
  <si>
    <t xml:space="preserve">Singleton A.L., Emmett Interdisciplinary Program in Environment and Resources, Stanford University, Stanford, CA, United States; Glidden C.K., Department of Biology, Stanford University, Stanford, CA, United States, Institute for Human-centered Artificial Intelligence, Stanford University, Stanford, CA, United States; Chamberlin A.J., Department of Oceans, Hopkins Marine Station, Stanford University, Pacific Grove, CA, United States; Tuan R., Pasteur Institute, São Paulo, Brazil; Palasio R.G.S., Pasteur Institute, São Paulo, Brazil; Pinter A., Pasteur Institute, São Paulo, Brazil; Caldeira R.L., Fiocruz Minas/Belo Horizonte-Minas Gerais, Belo Horizonte, Brazil; Mendonça C.L.F., Fiocruz Minas/Belo Horizonte-Minas Gerais, Belo Horizonte, Brazil; Carvalho O.S., Fiocruz Minas/Belo Horizonte-Minas Gerais, Belo Horizonte, Brazil; Monteiro M.V., Geoinformation &amp; Earth Observation Division, National Institute for Space Research (INPE), São Paulo, Brazil; Athni T.S., Department of Biology, Stanford University, Stanford, CA, United States, Harvard Medical School, Boston, MA, United States; Sokolow S.H., Department of Oceans, Hopkins Marine Station, Stanford University, Pacific Grove, CA, United States, Marine Science Institute, University of California Santa Barbara, Santa Barbara, CA, United States; Mordecai E.A., Department of Biology, Stanford University, Stanford, CA, United States, Woods Institute for the Environment, Stanford University, Stanford, CA, United States; De Leo G.A., Department of Oceans, Hopkins Marine Station, Stanford University, Pacific Grove, CA, United States, Woods Institute for the Environment, Stanford University, Stanford, CA, United States</t>
  </si>
  <si>
    <t xml:space="preserve">Woods Institute for the Environment; Fogarty International Center, FIC; Stanford Center for Innovation; National Institutes of Health, NIH, (R01AI102918, R01AI168097, R35GM133439); National Institutes of Health, NIH; NSF-ICER, (2024385, 2024383); National Science Foundation, NSF, (DEB-2011147); National Science Foundation, NSF; National Institute of General Medical Sciences, NIGMS, (2021/10212-1, T32GM144273); National Institute of General Medical Sciences, NIGMS; NSF-DEB, (DEB-2011179); Fundação de Amparo à Pesquisa do Estado de São Paulo, FAPESP, (2019/23593-3); Fundação de Amparo à Pesquisa do Estado de São Paulo, FAPESP</t>
  </si>
  <si>
    <t xml:space="preserve">Funding: This work was supported by the Belmont collaborative Forum on Climate, Environment, and Health (NSF-ICER 2024383 and NSF-ICER 2024385) and by FAPESP (2019/23593-3) in a collaborative research action with Belmont Forum. GDL and EM are also supported by the Stanford Center for Innovation in Global Health. GDL is also partially supported by NSF-DEB DEB-2011179 (EEID). EM is also supported by grants from the National Science Foundation (DEB-2011147, with Fogarty International Center), the National Institutes of Health (R35GM133439, R01AI168097, R01AI102918), and the Woods Institute for the Environment. TA is supported by the National Institute of General Medical Sciences (T32GM144273). RP is supported by FAPESP (2021/10212-1). The authors received no specific funding for this work. The funders had no role in study design, data collection and analysis, decision to publish, or preparation of the manuscript.</t>
  </si>
  <si>
    <t xml:space="preserve">Lippi CA, Mundis SJ, Sippy R, Flenniken JM, Chaudhary A, Hecht G, Et al., Trends in mosquito species distribution modeling: insights for vector surveillance and disease control, Parasit Vectors, 16, 1, (2023); Hollings T, Robinson A, Andel M Andel M, Jewell C, Burgman M., Species distribution models: A comparison of statistical approaches for livestock and disease epidemics, PLOS ONE, 12, 8, (2017); de Almeida TM, Neto IR, Consalter R, Brum FT, Rojas EAG, da Costa-Ribeiro MCV., Predictive modeling of sand fly distribution incriminated in the transmission of Leishmania (Viannia) braziliensis and the incidence of Cutaneous Leishmaniasis in the state of Paraná, Brazil, Acta Trop, 229, (2022); MacDonald AJ, McComb S, Sambado S., Linking Lyme disease ecology and epidemiology: reservoir host identity, not richness, determines tick infection and human disease in California, Environ Res Lett, 17, 11, (2022); de la Vega GJ, Medone P, Ceccarelli S, Rabinovich J, Schilman PE., Geographical distribution, climatic variability and thermo-tolerance of Chagas disease vectors, Ecography, 38, 8, pp. 851-860, (2015); Ayob N, Burger RP, Belelie MD, Nkosi NC, Havenga H, Necker L, Et al., Modelling the historical distribution of schistosomiasis-transmitting snails in South Africa using ecological niche models, PLOS ONE, 18, 11, (2023); Guisan A, Zimmermann NE., Predictive habitat distribution models in ecology, Ecol Model, 135, 2, pp. 147-186, (2000); Jeschke JM, Strayer DL., Usefulness of Bioclimatic Models for Studying Climate Change and Invasive Species, Ann N Y Acad Sci, 1134, 1, pp. 1-24, (2008); Elith J, Leathwick JR., Species Distribution Models: Ecological Explanation and Prediction Across Space and Time, Annu Rev Ecol Evol Syst, 40, 1, pp. 677-697, (2009); Lambin EF, Tran A, Vanwambeke SO, Linard C, Soti V., Pathogenic landscapes: Interactions between land, people, disease vectors, and their animal hosts, Int J Health Geogr, 9, 1, (2010); Childs ML, Nova N, Colvin J, Mordecai EA., Mosquito and primate ecology predict human risk of yellow fever virus spillover in Brazil, Philos Trans R Soc B Biol Sci, 374, 1782, (2019); Martinez-Bello D, Lopez-Quilez A, Prieto AT., Spatiotemporal modeling of relative risk of dengue disease in Colombia, Stoch Environ Res Risk Assess, 32, 6, pp. 1587-1601, (2018); Gosoniu L, Vounatsou P, Sogoba N, Smith T., Bayesian modelling of geostatistical malaria risk data, Geospatial Health, 1, 1, pp. 127-139, (2006); Parviainen M, Luoto M, Ryttari T, Heikkinen RK., Modelling the occurrence of threatened plant species in taiga landscapes: methodological and ecological perspectives, J Biogeogr, 35, 10, pp. 1888-1905, (2008); Gotelli NJ, Anderson MJ, Arita HT, Chao A, Colwell RK, Connolly SR, Et al., Patterns and causes of species richness: a general simulation model for macroecology, Ecol Lett, 12, 9, pp. 873-886, (2009); Elith J, Phillips SJ, Hastie T, Dudik M, Chee YE, Yates CJ., A statistical explanation of MaxEnt for ecologists, Divers Distrib, 17, 1, pp. 43-57, (2011); Barbet-Massin M, Jiguet F, Albert CH, Thuiller W., Selecting pseudo-absences for species distribution models: how, where and how many?, Methods Ecol Evol, 3, 2, pp. 327-338, (2012); Valavi R, Guillera-Arroita G, Lahoz-Monfort JJ, Elith J., Predictive performance of presence-only species distribution models: a benchmark study with reproducible code, Ecol Monogr, 92, 1, (2022); Valavi R, Elith J, Lahoz-Monfort JJ, Guillera-Arroita G., blockCV: An r package for generating spatially or environmentally separated folds for k-fold cross-validation of species distribution models, Methods Ecol Evol, 10, 2, pp. 225-232, (2019); Gorelick N, Hancher M, Dixon M, Ilyushchenko S, Thau D, Moore R., Google Earth Engine: Planetary-scale geospatial analysis for everyone, Remote Sens Environ, 202, pp. 18-27, (2017); Anderson CB., Biodiversity monitoring, earth observations and the ecology of scale, Ecol Lett, 21, 10, pp. 1572-1585, (2018); Lippi CA, Rund SSC, Ryan SJ., Characterizing the Vector Data Ecosystem, J Med Entomol, 60, 2, pp. 247-254, (2023); Phillips SJ, Anderson RP, Schapire RE., Maximum entropy modeling of species geographic distributions, Ecol Model, 190, 3, pp. 231-259, (2006); Elith J, Leathwick JR, Hastie T., A working guide to boosted regression trees, J Anim Ecol, 77, 4, pp. 802-813, (2008); Golding N, Purse BV., Fast and flexible Bayesian species distribution modelling using Gaussian processes, Methods Ecol Evol, 7, 5, pp. 598-608, (2016); Park YS, Cereghino R, Compin A, Lek S., Applications of artificial neural networks for patterning and predicting aquatic insect species richness in running waters, Ecol Model, 160, 3, pp. 265-280, (2003); Hao T, Elith J, Guillera-Arroita G, Lahoz-Monfort JJ., A review of evidence about use and performance of species distribution modelling ensembles like BIOMOD, Divers Distrib, 25, 5, pp. 839-852, (2019); Norberg A, Abrego N, Blanchet FG, Adler FR, Anderson BJ, Anttila J, Et al., A comprehensive evaluation of predictive performance of 33 species distribution models at species and community levels, Ecol Monogr, 89, 3, (2019); Merow C, Smith MJ, Silander JA, A practical guide to MaxEnt for modeling species’ distributions: what it does, and why inputs and settings matter, Ecography, 36, 10, pp. 1058-1069, (2013); Elith J, Graham CH., Do they? How do they? Why do they differ? On finding reasons for differing performances of species distribution models, Ecography, 32, 1, pp. 66-77, (2009); Fourcade Y, Engler JO, Rodder D, Secondi J., Mapping Species Distributions with MAXENT Using a Geographically Biased Sample of Presence Data: A Performance Assessment of Methods for Correcting Sampling Bias, PLOS ONE, 9, 5, (2014); Guisande C, Garcia-Rosello E, Heine J, Gonzalez-Dacosta J, Vilas LG, Garcia Perez BJ, Et al., SPEDInstabR: An algorithm based on a fluctuation index for selecting predictors in species distribution modeling, Ecol Inform, 37, pp. 18-23, (2017); Smith AM, Capinha C, Kramer AM., Predicting species distributions with environmental time series data and deep learning [Internet], (2022); Cohen JM, Civitello DJ, Brace AJ, Feichtinger EM, Ortega CN, Richardson JC, Et al., Spatial scale modulates the strength of ecological processes driving disease distributions, Proc Natl Acad Sci, 113, 24, pp. E3359-E3364, (2016); Bell DM, Schlaepfer DR., On the dangers of model complexity without ecological justification in species distribution modeling, Ecol Model, 330, pp. 50-59, (2016); Johnson EE, Escobar LE, Zambrana-Torrelio C., An ecological framework for modeling the geography of disease transmission, Trends Ecol Evol, 34, 7, pp. 655-668, (2019); Allouche O, Tsoar A, Kadmon R., Assessing the accuracy of species distribution models: prevalence, kappa and the true skill statistic (TSS), J Appl Ecol, 43, 6, pp. 1223-1232, (2006); Feng X, Park DS, Walker C, Peterson AT, Merow C, Papes M., A checklist for maximizing reproducibility of ecological niche models, Nat Ecol Evol, 3, 10, pp. 1382-1395, (2019); Araujo MB, Anderson RP, Marcia Barbosa A, Beale CM, Dormann CF, Early R, Et al., Standards for distribution models in biodiversity assessments, Sci Adv, 5, 1, (2019); . Graham H, Anderson R, Dudik M, Ferrier S, Guisan A, Et al., Novel methods improve prediction of species’ distributions from occurrence data, Ecography, 29, 2, pp. 129-151, (2006); Jimenez-Valverde A, Lobo JM, Hortal J., Not as good as they seem: the importance of concepts in species distribution modelling, Divers Distrib, 14, 6, pp. 885-890, (2008); Boria RA, Olson LE, Goodman SM, Anderson RP., Spatial filtering to reduce sampling bias can improve the performance of ecological niche models, Ecol Model, 275, pp. 73-77, (2014); Brun P, Thuiller W, Chauvier Y, Pellissier L, Wuest RO, Wang Z, Et al., Model complexity affects species distribution projections under climate change, J Biogeogr, 47, 1, pp. 130-142, (2020); Fielding AH, Bell JF., A review of methods for the assessment of prediction errors in conservation presence/absence models, Environ Conserv, 24, 1, pp. 38-49, (1997); Peterson AT, Papes M, Soberon J., Rethinking receiver operating characteristic analysis applications in ecological niche modeling, Ecol Model, 213, 1, pp. 63-72, (2008); Galante PJ, Alade B, Muscarella R, Jansa SA, Goodman SM, Anderson RP., The challenge of modeling niches and distributions for data-poor species: a comprehensive approach to model complexity, Ecography, 41, 5, pp. 726-736, (2018); Jimenez-Valverde A, Acevedo P, Barbosa AM, Lobo JM, Real R., Discrimination capacity in species distribution models depends on the representativeness of the environmental domain, Glob Ecol Biogeogr, 22, 4, pp. 508-516, (2013); Lundberg SM, Lee SI., A unified approach to interpreting model predictions, Advances in Neural Information Processing Systems, (2017); Greenwell BM, Boehmke BC, McCarthy AJ., A simple and effective model-based variable importance measure, (2018); Beck J, Boller M, Erhardt A, Schwanghart W., Spatial bias in the GBIF database and its effect on modeling species’ geographic distributions, Ecol Inform, 19, pp. 10-15, (2014); Daru B, Rodriguez J., Specimens trump field observations in capturing biodiversity trends, Nat Ecol Evol, 7, 6, pp. 802-803, (2023); Morgan J a. T, Dejong RJ, Snyder SD, Mkoji GM, Loker ES., Schistosoma mansoni and Biomphalaria: past history and future trends, Parasitology, 123, 7, pp. 211-228, (2001); Mitchell C., PAHO/WHO | Schistosomiasis, (2014); Kloos H, Correa-Oliveira R, Oliveira Quites HF, Caetano Souza MC, Gazzinelli A., Socioeconomic studies of schistosomiasis in Brazil: A review, Acta Trop, 108, 2, pp. 194-201, (2008); Silva da Paz W, Duthie MS, Ribeiro de Jesus A, Machado de Araujo KCG, Dantas dos Santos A, Bezerra-Santos M., Population-based, spatiotemporal modeling of social risk factors and mortality from schistosomiasis in Brazil between 1999 and 2018, Acta Trop, 218, (2021); Santos IG de A, Bezerra LP, Cirilo TM, Silva LO, Machado JPV, Lima PD, Et al., New epidemiological profile of schistosomiasis from an area of low prevalence in Brazil, Rev Soc Bras Med Trop, 53, (2020); Klohe K, Koudou BG, Fenwick A, Fleming F, Garba A, Gouvras A, Et al., A systematic literature review of schistosomiasis in urban and peri-urban settings, PLoS Negl Trop Dis, 15, 2, (2021); McCreesh N, Booth M., The effect of simulating different intermediate host snail species on the link between water temperature and schistosomiasis risk, PloS One, 9, 7, (2014); Kloos H, Souza C, Gazzinelli A, Soares Filho BS, Temba P da C, Bethony J, Et al., The distribution of Biomphalaria spp. in different habitats in relation to physical, biological, water contact and cognitive factors in a rural area in Minas Gerais, Brazil, Mem Inst Oswaldo Cruz, 96, pp. 57-66, (2001); Gomes E, Leal-Neto OB, Albuquerque J, Silva H, Barbosa CS., Schistosomiasis transmission and environmental change: a spatio-temporal analysis in Porto de Galinhas, Pernambuco—Brazil, Int J Health Geogr, 11, 1, (2012); Rowel C, Fred B, Betson M, Sousa-Figueiredo JC, Kabatereine NB, Stothard JR., Environmental epidemiology of intestinal schistosomiasis in Uganda: population dynamics of biomphalaria (gastropoda: planorbidae) in Lake Albert and Lake Victoria with observations on natural infections with digenetic trematodes, BioMed Res Int, 2015, (2015); Soares Magalhaes RJ, Salamat MS, Leonardo L, Gray DJ, Carabin H, Halton K, Et al., Geographical distribution of human Schistosoma japonicum infection in The Philippines: tools to support disease control and further elimination, Int J Parasitol, 44, 13, pp. 977-984, (2014); Scholte RGC, Carvalho OS, Malone JB, Utzinger J, Vounatsou P., Spatial distribution of Biomphalaria spp., the intermediate host snails of Schistosoma mansoni, in Brazil, Geospatial Health, 6, 3, pp. S95-101, (2012); Scholte RGC, Gosoniu L, Malone JB, Chammartin F, Utzinger J, Vounatsou P., Predictive risk mapping of schistosomiasis in Brazil using Bayesian geostatistical models, Acta Trop, 132, pp. 57-63, (2014); Rumi A, Vogler RE, Beltramino AA., The South-American distribution and southernmost record of Biomphalaria peregrina—a potential intermediate host of schistosomiasis, PeerJ, 5, (2017); Barbosa VS, Guimaraes RJ, de PS, Loyo RM, Barbosa CS., Modelling of the distribution of Biomphalaria glabrata and Biomphalaria straminea in the metropolitan region of Recife, Pernambuco, Brazil, Geospatial Health, 11, 3, (2016); Palasio RGS, de Azevedo TS, Tuan R, Chiaravalloti-Neto F., Modelling the present and future distribution of Biomphalaria species along the watershed of the Middle Paranapanema region, São Paulo, Brazil, Acta Trop, 214, (2021); Guimaraes RJPS, Freitas CC, Dutra LV, Felgueiras CA, Moura ACM, Amaral RS, Et al., Spatial distribution of Biomphalaria mollusks at São Francisco River Basin, Minas Gerais, Brazil, using geostatistical procedures, Acta Trop, 109, 3, pp. 181-186, (2009); Guimaraes RJ de PS, Freitas CC, Dutra LV, Scholte RGC, Martins-Bede FT, Fonseca FR, Et al., A geoprocessing approach for studying and controlling schistosomiasis in the state of Minas Gerais, Brazil, Mem Inst Oswaldo Cruz, 105, pp. 524-531, (2010); Nascimento GL, Pegado HM, Domingues ALC, Ximenes RA de A, Itria A, Cruz LN, Et al., The cost of a disease targeted for elimination in Brazil: the case of schistosomiasis mansoni, Mem Inst Oswaldo Cruz, 114, (2019); Tuan R, Pires F, Sanches Palasio RG, Dalla R, Almeida Guimaraes MCD., Pattern of Genetic Divergence of Mitochondrial DNA Sequences in Biomphalaria tenagophila Complex Species Based on Bar-code and Morphological Analysis, (2012); Oliveira-Junior JF, Correia Filho WLF, Monteiro L da S, Shah M, Hafeez A, Gois G, Et al., Urban rainfall in the Capitals of Brazil: Variability, trend, and wavelet analysis, Atmospheric Res, 267, (2022); Ohlweiler FP, Eduardo JM, Takahashi FY, Holcman MM, Costa CBTL, Gastrópodes dulciaquícolas e helmintos associados, em coleções hídricas de Santo André, São Paulo, Brasil, Rev Biociências, 18, 1, (2012); Palasio RGS, Casotti MO, Rodrigues TC, Menezes RMT, Zanotti-Magalhaes EM, Tuan R., The current distribution pattern of Biomphalaria tenagophila and Biomphalaria straminea in the northern and southern regions of the coastal fluvial plain in the state of São Paulo, Biota Neotropica, 15, (2015); Palasio RGS, Guimaraes MC de A, Ohlweiler FP, Tuan R., Molecular and morphological identification of Biomphalaria species from the state of São Paulo, Brazil, ZooKeys, 668, pp. 11-32, (2017); Palasio RGS, Zanotti-Magalhaes EM, Tuan R., Genetic diversity of the freshwater snail Biomphalaria tenagophila (d’Orbigny, 1835) (Gastropoda: Hygrophila: Planorbidae) across two coastal areas of southeast Brazil, Folia Malacol, 26, 4, pp. 221-229, (2018); Palasio RGS, Xavier IG, Chiaravalotti-Neto F, Tuan R., Diversity of Biomphalaria spp. freshwater snails and associated mollusks in areas with schistosomiasis risk, using molecular and spatial analysis tools, Biota Neotropica, 19, (2019); Palasio RGS, de Jesus Rossignoli T, Di Sessa RCS, Ohlweiler FP, Chiaravalloti-Neto F., Spatial analysis of areas at risk for schistosomiasis in the Alto Tietê Basin, São Paulo, Brazil, Acta Trop, 224, (2021); Pereira RHM, Goncalves CN, Et al., geobr: Loads Shapefiles of Official Spatial Data Sets of Brazil, (2019); IUCN; He H, Garcia EA., Learning from Imbalanced Data, IEEE Trans Knowl Data Eng, 21, 9, pp. 1263-1284, (2009); Valavi R, Elith J, Lahoz-Monfort JJ, Guillera-Arroita G., Modelling species presence-only data with random forests, Ecography, 44, 12, pp. 1731-1742, (2021); Phillips SJ, Dudik M, Elith J, Graham CH, Lehmann A, Leathwick J, Et al., Sample selection bias and presence-only distribution models: implications for background and pseudo-absence data, Ecol Appl, 19, 1, pp. 181-197, (2009); (2020); Yamazaki D, Ikeshima D, Sosa J, Bates PD, Allen GH, Pavelsky TM., MERIT Hydro: A High-Resolution Global Hydrography Map Based on Latest Topography Dataset, Water Resour Res, 55, 6, pp. 5053-5073, (2019); Hengl T, Gupta S., Soil water content (volumetric %) for 33kPa and 1500kPa suctions predicted at 6 standard depths (0, 10, 30, 60, 100 and 200 cm) at 250 m resolution, (2019); Hengl T., Soil pH in H2O at 6 standard depths (0, 10, 30, 60, 100 and 200 cm) at 250 m resolution, (2018); Hengl T., Clay content in % (kg / kg) at 6 standard depths (0, 10, 30, 60, 100 and 200 cm) at 250 m resolution, (2018); Souza CM, . Shimbo Z, Rosa MR, Parente LL, . Alencar A, Rudorff BFT, Et al., Reconstructing three decades of land use and land cover changes in Brazilian biomes with landsat archive and Earth Engine, Remote Sens, 12, 17, (2020); Dijkstra L, Florczyk AJ, Freire S, Kemper T, Melchiorri M, Pesaresi M, Et al., Applying the Degree of Urbanisation to the globe: A new harmonised definition reveals a different picture of global urbanisation, J Urban Econ, 125, (2021); Chaves LF, Gottdenker NL, Runk JV, Bergmann LR., Reifications in disease ecology 2: Towards a decolonized pedagogy enabling science by, and for, the people, Capital Nat Social, pp. 1-18, (2023); Guisan A, Thuiller W, Zimmermann NE., Habitat suitability and distribution models: with applications in R [Internet], (2017); Steen VA, Tingley MW, Paton PWC, Elphick CS., Spatial thinning and class balancing: Key choices lead to variation in the performance of species distribution models with citizen science data, Methods Ecol Evol, 12, 2, pp. 216-226, (2021); Smith AB, Murphy SJ, Henderson D, Erickson KD., Including imprecisely georeferenced specimens improves accuracy of species distribution models and estimates of niche breadth, Glob Ecol Biogeogr, 32, 3, pp. 342-355, (2023); Strobl C, Malley J, Tutz G., An introduction to recursive partitioning: rationale, application, and characteristics of classification and regression trees, bagging, and random forests, Psychol Methods, 14, 4, pp. 323-348, (2009); Hastie T, Friedman J, Tibshirani R., The Elements of Statistical Learning [Internet], (2001); Liaw A, Wiener M., Classification and Regression by randomForest, R News, 2, (2002); Hijmans R, Phillips S, Leathwick J, Elith J., Package “dismo, Circles, pp. 1-68, (2017); Muscarella R, Galante PJ, Soley-Guardia M, Boria RA, Kass JM, Uriarte M, Et al., ENMeval: An R package for conducting spatially independent evaluations and estimating optimal model complexity for Maxent ecological niche models, Methods Ecol Evol, 5, 11, pp. 1198-1205, (2014); Brenning A., Spatial cross-validation and bootstrap for the assessment of prediction rules in remote sensing: The R package sperrorest, 2012 IEEE International Geoscience and Remote Sensing Symposium, pp. 5372-5375, (2012); Jimenez-Valverde A, Lobo JM, Hortal J., The effect of prevalence and its interaction with sample size on the reliability of species distribution models, Community Ecol, 10, 2, pp. 196-205, (2009); Osorio-Olvera L., luismurao/ntbox: From getting biodiversity data to evaluating species distribution models in a friendly GUI environment version 0.7.1 from GitHub; Greenwell BM., pdp: An R package for constructing partial dependence plots, R J, (2017); Greenwell B, Boehmke B, Gray B., Package “vip, Var Importance Plots, 12, 1, pp. 343-366; Strumbelj E, Kononenko I., Explaining prediction models and individual predictions with feature contributions, Knowl Inf Syst, 41, 3, pp. 647-665, (2014); Rhodes CG, Loaiza JR, Romero LM, Gutierrez Alvarado JM, Delgado G, Rojas Salas O, Et al., Anopheles albimanus (Diptera: Culicidae) Ensemble Distribution Modeling: Applications for Malaria Elimination, Insects, 13, 3, (2022); Ren Z, Wang D, Ma A, Hwang J, Bennett A, Sturrock HJW, Et al., Predicting malaria vector distribution under climate change scenarios in China: Challenges for malaria elimination, Sci Rep, 6, 1, (2016); Anderson RP, Araujo M, Guisan A, Lobo JM, Martinez-Meyer E., Final report of the task group of GBIF data fitness for use in distribution modelling, (2016); Merow C, Smith MJ, Edwards TC, Guisan A, McMahon SM, Normand S, Et al., What do we gain from simplicity versus complexity in species distribution models?, Ecography, 37, 12, pp. 1267-1281, (2014)</t>
  </si>
  <si>
    <t xml:space="preserve">A.L. Singleton; Emmett Interdisciplinary Program in Environment and Resources, Stanford University, Stanford, United States; email: asinglet@stanford.edu</t>
  </si>
  <si>
    <t xml:space="preserve">PLOS. Glob. Public Health.</t>
  </si>
  <si>
    <t xml:space="preserve">2-s2.0-85200438977</t>
  </si>
  <si>
    <t xml:space="preserve">Mapundu M.T.; Kabudula C.W.; Musenge E.; Olago V.; Celik T.</t>
  </si>
  <si>
    <t xml:space="preserve">Mapundu, Michael Tonderai (57210804533); Kabudula, Chodziwadziwa Whiteson (55350313500); Musenge, Eustasius (25924528100); Olago, Victor (57208598736); Celik, Turgay (35101499300)</t>
  </si>
  <si>
    <t xml:space="preserve">57210804533; 55350313500; 25924528100; 57208598736; 35101499300</t>
  </si>
  <si>
    <t xml:space="preserve">Text mining of verbal autopsy narratives to extract mortality causes and most prevalent diseases using natural language processing</t>
  </si>
  <si>
    <t xml:space="preserve">Verbal autopsy (VA) narratives play a crucial role in understanding and documenting the causes of mortality, especially in regions lacking robust medical infrastructure. In this study, we propose a comprehensive approach to extract mortality causes and identify prevalent diseases from VA narratives utilizing advanced text mining techniques, so as to better understand the underlying health issues leading to mortality. Our methodology integrates ngram- based language processing, Latent Dirichlet Allocation (LDA), and BERTopic, offering a multi-faceted analysis to enhance the accuracy and depth of information extraction. This is a retrospective study that uses secondary data analysis. We used data from the Agincourt Health and Demographic Surveillance Site (HDSS), which had 16338 observations collected between 1993 and 2015. Our text mining steps entailed data acquisition, pre-processing, feature extraction, topic segmentation, and discovered knowledge. The results suggest that the HDSS population may have died from mortality causes such as vomiting, chest/stomach pain, fever, coughing, loss of weight, low energy, headache. Additionally, we discovered that the most prevalent diseases entailed human immunodeficiency virus (HIV), tuberculosis (TB), diarrhoea, cancer, neurological disorders, malaria, diabetes, high blood pressure, chronic ailments (kidney, heart, lung, liver), maternal and accident related deaths. This study is relevant in that it avails valuable insights regarding mortality causes and most prevalent diseases using novel text mining approaches. These results can be integrated in the diagnosis pipeline for ease of human annotation and interpretation. As such, this will help with effective informed intervention programmes that can improve primary health care systems and chronic based delivery, thus increasing life expectancy.  © 2024 Mapundu et al.This is an open access article distributed under the terms of the Creative Commons Attribution License, which permits unrestricted use, distribution, and reproduction in any medium, provided the original author and source are credited.</t>
  </si>
  <si>
    <t xml:space="preserve">e0308452</t>
  </si>
  <si>
    <t xml:space="preserve">10.1371/journal.pone.0308452</t>
  </si>
  <si>
    <t xml:space="preserve">https://www.scopus.com/inward/record.uri?eid=2-s2.0-85204365199&amp;doi=10.1371%2fjournal.pone.0308452&amp;partnerID=40&amp;md5=68c85e6c11aeac2ff3c2fdf129c27cb3</t>
  </si>
  <si>
    <t xml:space="preserve">Department of Epidemiology and Biostatistics, School of Public Health, University of the Witwatersrand, Johannesburg, South Africa; MRC/Wits Rural Public Health and Health Transitions Research Unit (Agincourt), Johannesburg, South Africa; National Health Laboratory Service (NHLS), National Cancer Registry, Johannesburg, South Africa; Wits Institute of Data Science, University of The Witwatersrand, Johannesburg, South Africa; School of Electrical and Information Engineering, University of The Witwatersrand, Johannesburg, South Africa</t>
  </si>
  <si>
    <t xml:space="preserve">Mapundu M.T., Department of Epidemiology and Biostatistics, School of Public Health, University of the Witwatersrand, Johannesburg, South Africa; Kabudula C.W., Department of Epidemiology and Biostatistics, School of Public Health, University of the Witwatersrand, Johannesburg, South Africa, MRC/Wits Rural Public Health and Health Transitions Research Unit (Agincourt), Johannesburg, South Africa; Musenge E., Department of Epidemiology and Biostatistics, School of Public Health, University of the Witwatersrand, Johannesburg, South Africa; Olago V., National Health Laboratory Service (NHLS), National Cancer Registry, Johannesburg, South Africa; Celik T., Wits Institute of Data Science, University of The Witwatersrand, Johannesburg, South Africa, School of Electrical and Information Engineering, University of The Witwatersrand, Johannesburg, South Africa</t>
  </si>
  <si>
    <t xml:space="preserve">Autopsy; Cause of Death; Data Mining; Humans; Narration; Natural Language Processing; Prevalence; Retrospective Studies; abdominal swelling; adult; Article; autopsy; cancer growth; cause of death; computer language; diabetes mellitus; diarrhea; dizziness; feature extraction; female; headache; health care system; human; hypertension; kernicterus; language; language processing; life expectancy; liver cirrhosis; machine learning; male; metastasis; natural language processing; neurologic disease; primary health care; principal component analysis; questionnaire; retrospective study; secondary data analysis; stomach pain; structured questionnaire; thorax pain; verbal autopsy; cause of death; data mining; prevalence; procedures; verbal communication</t>
  </si>
  <si>
    <t xml:space="preserve">University of the Witwatersrand, Faculty of Health Sciences</t>
  </si>
  <si>
    <t xml:space="preserve">We acknowledge the University of the Witwatersrand, Faculty of Health Sciences for providing high computing infrastructure resources.</t>
  </si>
  <si>
    <t xml:space="preserve">Nichols EK, Byass P, Chandramohan D, Clark SJ, Flaxman AD, Jakob R, Et al., The WHO 2016 verbal autopsy instrument: an international standard suitable for automated analysis by InterVA, InSilicoVA, and Tariff 2.0, PLoS medicine, 15, 1, (2018); Thomas LM, D'Ambruoso L, Balabanova D., Verbal autopsy in health policy and systems: a literature review, BMJ global health, 3, 2, (2018); Jeblee S, Gomes M, Jha P, Rudzicz F, Hirst G., Automatically determining cause of death from verbal autopsy narratives, BMC medical informatics and decision making, 19, 1, (2019); Soleman N, Chandramohan D, Shibuya K., Verbal autopsy: current practices and challenges, Bulletin of the World Health Organization, 84, pp. 239-245, (2006); Mujtaba G, Shuib L, Idris N, Hoo WL, Raj RG, Khowaja K, Et al., Clinical text classification research trends: systematic literature review and open issues, Expert systems with applications, 116, pp. 494-520, (2019); Danso S, Atwell E, Johnson O., A comparative study of machine learning methods for verbal autopsy text classification, (2014); Ahadh A, Binish GV, Srinivasan R., Text mining of accident reports using semi-supervised keyword extraction and topic modeling, Process Safety and Environmental Protection, 155, pp. 455-465, (2021); Lozano R, Lopez AD, Atkinson C, Naghavi M, Flaxman AD, Murray CJ., Performance of physician-certified verbal autopsies: multisite validation study using clinical diagnostic gold standards, Population Health Metrics, 9, 1, pp. 1-13, (2011); Lu HM, Wei CP, Hsiao FY., Modeling healthcare data using multiple-channel latent Dirichlet allocation, Journal of biomedical informatics, 60, pp. 210-223, (2016); Kavvadias S, Drosatos G, Kaldoudi E., Supporting topic modeling and trends analysis in biomedical literature, Journal of Biomedical Informatics, 110, (2020); Nasser N, Karim L, El Ouadrhiri A, Ali A, Khan N., n-Gram based language processing using Twitter dataset to identify COVID-19 patients, Sustainable Cities and Society, 72, (2021); Cassim N, Mapundu M, Olago V, Celik T, George JA, Glencross DK., Using text mining techniques to extract prostate cancer predictive information (Gleason score) from semi-structured narrative laboratory reports in the Gauteng province, South Africa, BMC Medical Informatics and Decision Making, 21, 1, pp. 1-11, (2021); Marrero M, Urbano J, Sanchez-Cuadrado S, Morato J, Gomez-Berbis JM., Named entity recognition: fallacies, challenges and opportunities, Computer Standards &amp; Interfaces, 35, 5, pp. 482-489, (2013); Lucini FR, Fogliatto FS, da Silveira GJ, Neyeloff JL, Anzanello MJ, Kuchenbecker RS, Et al., Text mining approach to predict hospital admissions using early medical records from the emergency department, International journal of medical informatics, 100, pp. 1-8, (2017); Raja U, Mitchell T, Day T, Hardin JM., Text mining in healthcare. Applications and opportunities, J Healthc Inf Manag, 22, 3, pp. 52-56, (2008); Kim JC, Chung K., Associative feature information extraction using text mining from health big data, Wireless Personal Communications, 105, 2, pp. 691-707, (2019); Zaki MJ, MeiraWJr, Data Mining and Machine Learning: Fundamental Concepts and Algorithms, (2019); Mapundu MT, Kabudula CW, Musenge E, Olago V, Celik T., Performance evaluation of machine learning and Computer Coded Verbal Autopsy (CCVA) algorithms for cause of death determination: A comparative analysis of data from rural South Africa, Frontiers in Public Health, (2022); Leskovec J, Rajaraman A, Ullman JD., Mining of massive data sets, (2020); Danso S, Johnson O, Ten Asbroek A, Soromekun S, Edmond K, Hurt C, Et al., A semantically annotated Verbal Autopsy corpus for automatic analysis of cause of death, ICAME Journal, 37, (2013); Danso SO., Text Analytics to Predict Time and Cause of Death from Verbal Autopsies, (2015); Danso S, Atwell E, Johnson O., Linguistic and statistically derived features for cause of death prediction from verbal autopsy text, Language processing and knowledge in the web, pp. 47-60, (2013); Kamath CN, Bukhari SS, Dengel A., Comparative Study between Traditional Machine Learning and Deep Learning Approaches for Text Classification, Proceedings of the ACM Symposium on Document Engineering 2018, pp. 1-11, (2018); Zhu F, Patumcharoenpol P, Zhang C, Yang Y, Chan J, Meechai A, Et al., Biomedical text mining and its applications in cancer research, Journal of biomedical informatics, 46, 2, pp. 200-211, (2013); Senders JT, Cho LD, Calvachi P, McNulty JJ, Ashby JL, Schulte IS, Et al., Automating clinical chart review: an open-source natural language processing pipeline developed on free-text radiology reports from patients with glioblastoma, JCO Clinical Cancer Informatics, 4, pp. 25-34, (2020); Park Y, Park S, Lee M., Analyzing Community Care Research Trends Using Text Mining, Journal of Multidisciplinary Healthcare, pp. 1493-1510, (2022); Luo Y, Riedlinger G, Szolovits P., Text mining in cancer gene and pathway prioritization, Cancer informatics, 13, pp. CIN-S13874, (2014); Vyas R, Bapat S, Jain E, Karthikeyan M, Tambe S, Kulkarni BD., Building and analysis of protein-protein interactions related to diabetes mellitus using support vector machine, biomedical text mining and network analysis, Computational biology and chemistry, 65, pp. 37-44, (2016); Korhonen A, O Seaghdha D, Silins I, Sun L, Hogberg J, Stenius U., Text mining for literature review and knowledge discovery in cancer risk assessment and research, PloS one, 7, 4, (2012); Conceicao SI, Couto FM., Text Mining for Building Biomedical Networks Using Cancer as a Case Study, Biomolecules, 11, 10, (2021); Mujtaba G, Shuib L, Raj RG, Rajandram R, Shaikh K., Prediction of cause of death from forensic autopsy reports using text classification techniques: A comparative study, Journal of forensic and legal medicine, 57, pp. 41-50, (2018); Senders JT, Karhade AV, Cote DJ, Mehrtash A, Lamba N, DiRisio A, Et al., Natural language processing for automated quantification of brain metastases reported in free-text radiology reports, JCO Clinical Cancer Informatics, 3, pp. 1-9, (2019); Marir F, Said H, Al-Obeidat F., Mining the web and literature to discover new knowledge about diabetes, Procedia Computer Science, 83, pp. 1256-1261, (2016); Hacking C, Verbeek H, Hamers JP, Sion K, Aarts S., Text mining in long-term care: Exploring the usefulness of artificial intelligence in a nursing home setting, Plos one, 17, 8, (2022); DIOUF M, THIAM M, ROCHE M., New approach to discover meaningful terms to specify cause of death from narratives verbal autopsy using TF-IDF and the LDA topic model, IEEE EUROCON 2023-20th International Conference on Smart Technologies, pp. 502-507, (2023); Cheng CH, Hung WL., Tea in benefits of health: A literature analysis using text mining and latent Dirichlet allocation, Proceedings of the 2nd International Conference on Medical and Health Informatics, pp. 148-155, (2018); Cheng X, Cao Q, Liao SS., An overview of literature on COVID-19, MERS and SARS: Using text mining and latent Dirichlet allocation, Journal of Information Science, 48, 3, pp. 304-320, (2022); Tran BX, Nghiem S, Sahin O, Vu TM, Ha GH, Vu GT, Et al., Modeling research topics for artificial intelligence applications in medicine: latent Dirichlet allocation application study, Journal of medical Internet research, 21, 11, (2019); Breuninger TA, Wawro N, Breuninger J, Reitmeier S, Clavel T, Six-Merker J, Et al., Associations between habitual diet, metabolic disease, and the gut microbiota using latent Dirichlet allocation, Microbiome, 9, 1, pp. 1-18, (2021); Jeon E, Yoon N, Sohn SY., Exploring new digital therapeutics technologies for psychiatric disorders using BERTopic and PatentSBERTa, Technological Forecasting and Social Change, 186, (2023); Scarpino I, Zucco C, Vallelunga R, Luzza F, Cannataro M., Investigating topic modeling techniques to extract meaningful insights in Italian long COVID narration, BioTech, 11, 3, (2022); Silva RPd, Pollettini JT, Pazin Filho A., Unsupervised natural language processing in the identification of patients with suspected COVID-19 infection, Cadernos de Saúde Pública, 39, (2023); Williams CY, Li RX, Luo MY, Bance M., Exploring patient experiences and concerns in the online Cochlear implant community: A cross-sectional study and validation of automated topic modelling, Clinical Otolaryngology, 48, 3, pp. 442-450, (2023); Unanue IJ, Borzeshi EZ, Piccardi M., Recurrent neural networks with specialized word embeddings for health-domain named-entity recognition, Journal of biomedical informatics, 76, pp. 102-109, (2017); Adewunmi M, Sharma SK, Sharma N, Sushma NS, Mounmo B, Et al., Cancer Health Disparities drivers with BERTopic modelling and PyCaret Evaluation, Cancer Health Disparities, 6, (2022); Green ST, Flaxman AD., Machine Learning Methods for Verbal Autopsy in Developing Countries, AAAI Spring Symposium: Artificial Intelligence for Development, (2010); Inaam ul haq M, Li Q., Revealing the trends in the academic landscape of the health care system using contextual topic modeling, Data Intelligence, 5, 4, pp. 923-946, (2023); Karabacak M, Margetis K., Natural Language Processing Reveals Research Trends and Topics in The Spine Journal Over Two Decades: A Topic Modeling Study, The Spine Journal, (2023); Baird A, Xia Y, Cheng Y., Consumer perceptions of telehealth for mental health or substance abuse: a Twitter-based topic modeling analysis, JAMIA open, 5, 2, (2022); Yang FC, Lee AJ, Kuo SC., Mining health social media with sentiment analysis, Journal of medical systems, 40, 11, pp. 1-8, (2016); Kabudula CW, Tollman S, Mee P, Ngobeni S, Silaule B, Gomez-Olive FX, Et al., Two decades of mortality change in rural northeast South Africa, Global health action, 7, 1, (2014); Watt J, Borhani R, Katsaggelos A., Machine learning refined: foundations, algorithms, and applications, (2020); Buenano-Fernandez D, Gonzalez M, Gil D, Lujan-Mora S., Text mining of open-ended questions in selfassessment of university teachers: An LDA topic modeling approach, IEEE Access, 8, pp. 35318-35330, (2020); Sievert C, Shirley K., LDAvis: A method for visualizing and interpreting topics, Proceedings of the workshop on interactive language learning, visualization, and interfaces, pp. 63-70, (2014); Grootendorst M., BERTopic: Neural topic modeling with a class-based TF-IDF procedure, (2022); Grubbs AE, Sinha N, Garg R, Barber EL., Use of topic modeling to assess research trends in the journal Gynecologic Oncology, Gynecologic Oncology, 172, pp. 41-46, (2023); Mifrah S, Benlahmar E., Topic modeling coherence: A comparative study between LDA and NMF models using COVID'19 corpus, International Journal of Advanced Trends in Computer Science and Engineering, pp. 5756-5761, (2020); Mapundu MT, Kabudula CW, Musenge E, Olago V, Celik T., Explainable Stacked Ensemble Deep Learning (SEDL) Framework to Determine Cause of Death from Verbal Autopsies, Machine Learning and Knowledge Extraction, 5, 4, pp. 1570-1588, (2023); Kabudula CW, Houle B, Collinson MA, Kahn K, Gomez-Olive FX, Clark SJ, Et al., Progression of the epidemiological transition in a rural South African setting: findings from population surveillance in Agincourt, 1993-2013, BMC public health, 17, 1, (2017); Kabudula CW, Houle B, Collinson MA, Kahn K, Tollman S, Clark S., Assessing changes in household socioeconomic status in rural South Africa, 2001-2013: a distributional analysis using household asset indicators, Social indicators research, 133, pp. 1047-1073, (2017); Tollman SM, Kahn K, Sartorius B, Collinson MA, Clark SJ, Garenne ML., Implications of mortality transition for primary health care in rural South Africa: a population-based surveillance study, The Lancet, 372, 9642, pp. 893-901, (2008)</t>
  </si>
  <si>
    <t xml:space="preserve">M.T. Mapundu; Department of Epidemiology and Biostatistics, School of Public Health, University of the Witwatersrand, Johannesburg, South Africa; email: michael.mapundu@wits.ac.za</t>
  </si>
  <si>
    <t xml:space="preserve">2-s2.0-85204365199</t>
  </si>
  <si>
    <t xml:space="preserve">Ngufor C.; Fagbohoun J.; Fongnikin A.; Ahoga J.; Syme T.; Ahogni I.; Accrombessi M.; Protopopoff N.; Cook J.; Dangbenon E.; Sovi A.; Baes M.; Pigeon O.; Todjinou D.; Govoetchan R.; Padonou G.G.; Akogbeto M.</t>
  </si>
  <si>
    <t xml:space="preserve">Ngufor, Corine (15837618100); Fagbohoun, Josias (56125579100); Fongnikin, Augustin (56964504900); Ahoga, Juniace (57202032137); Syme, Thomas (57212620700); Ahogni, Idelphonse (57204447936); Accrombessi, Manfred (55353650500); Protopopoff, Natacha (22980777900); Cook, Jackie (25229589900); Dangbenon, Edouard (57222130638); Sovi, Arthur (55658715300); Baes, Marie (59160534500); Pigeon, Olivier (6506284217); Todjinou, Damien (57191338782); Govoetchan, Renaud (55659150700); Padonou, Germain Gil (35956981400); Akogbeto, Martin (7003365488)</t>
  </si>
  <si>
    <t xml:space="preserve">15837618100; 56125579100; 56964504900; 57202032137; 57212620700; 57204447936; 55353650500; 22980777900; 25229589900; 57222130638; 55658715300; 59160534500; 6506284217; 57191338782; 55659150700; 35956981400; 7003365488</t>
  </si>
  <si>
    <t xml:space="preserve">The attrition, physical and insecticidal durability of two dual active ingredient nets (Interceptor® G2 and Royal Guard®) in Benin, West Africa: results from a durability study embedded in a cluster randomised controlled trial</t>
  </si>
  <si>
    <t xml:space="preserve">Background: Studies evaluating the attrition, physical and insecticidal durability of dual active ingredient (AI) insecticide-treated nets (ITNs) are essential for making programmatic decisions regarding their deployment. We performed a prospective study embedded in a cluster randomised controlled trial (cRCT) to evaluate the attrition, fabric integrity and insecticidal durability of Interceptor® G2 (alpha-cypermethrin-chlorfenapyr) and Royal Guard® (alpha-cypermethrin–pyriproxyfen), compared to Interceptor® (alpha-cypermethrin) in Benin. Methods: A total of 2428 study nets in 1093 randomly selected households in five clusters per arm of the cRCT were monitored for ITN attrition and fabric integrity every 6–12 months post-distribution. Householders were further surveyed to investigate non-study net use and their preference for ITN fabric types used in the study nets. A second cohort of 120 nets per ITN type were withdrawn every 12 months and assessed for chemical content and insecticidal activity in laboratory bioassays. Alpha-cypermethrin bioefficacy was investigated using the susceptible Anopheles gambiae Kisumu strain, and chlorfenapyr and pyriproxyfen bioefficacy were investigated using the pyrethroid-resistant Anopheles coluzzii Akron strain. Net pieces were tested in WHO cone bioassays and tunnel tests for alpha-cypermethrin and in tunnel tests for chlorfenapyr; pyriproxyfen activity was assessed in cone bioassays as the reduction in fertility of blood-fed survivors using ovary dissection. Bioefficacy was expressed as the proportion of ITNs passing predetermined WHO criteria, namely knock-down ≥ 95% or 24/72 h mortality ≥ 80% or reduction in fertility ≥ 50%. Results: Overall ITN survivorship was 52% at 24 months and fell to 15% at 36 months. Median ITN survival time was lower with Royal Guard® relative to Interceptor® [1.6 vs 2.3 years; hazard ratio (HR) 1.49, 95% confidence interval (CI) 1.36–1.66; p &lt; 0.001] and Interceptor® G2 (1.6 vs 2.1 years; HR 1.33, 95% CI 1.20–1.47; p &lt; 0.001). Householders overwhelmingly preferred polyester nets over polyethylene nets (96%), and more Royal Guard® nets were replaced with spare polyester nets from previous campaigns. All Royal Guard® nets passed efficacy criteria for alpha-cypermethrin at all time points (100%) while ITN pass rates after 24 months had fallen to &lt; 40% for pyriproxyfen and chlorfenapyr. The chemical content analysis showed a higher loss rate of the non-pyrethroid insecticides relative to the pyrethroids in each dual ingredient AI ITN; 74% vs 47% for Royal Guard® and 85% vs 63% for Interceptor® G2 at 36 months. Conclusions: The median ITN survival time for Interceptor® G2 (2.1 years) and Royal Guard® (1.6 years) in Benin is substantially lower than 3 years. Royal Guard® nets were discarded more quickly by householders, partly due to their low preference for polyethylene nets. The insecticidal activity of the non-pyrethroid insecticides in both dual AI ITNs was short-lived compared to alpha-cypermethrin. The results corroborate the findings from the cRCT conducted in Benin. Graphical Abstract: (Figure presented.) © The Author(s) 2024.</t>
  </si>
  <si>
    <t xml:space="preserve">10.1186/s13071-024-06504-1</t>
  </si>
  <si>
    <t xml:space="preserve">https://www.scopus.com/inward/record.uri?eid=2-s2.0-85205792970&amp;doi=10.1186%2fs13071-024-06504-1&amp;partnerID=40&amp;md5=b9a710becc39ae8d1933bcaede32d1dc</t>
  </si>
  <si>
    <t xml:space="preserve">London School of Hygiene and Tropical Medicine (LSHTM), London, WC1E 7HT, United Kingdom; Centre de Recherches Entomologiques de Cotonou (CREC), Cotonou, Benin; Panafrican Malaria Vector Research Consortium (PAMVERC), Cotonou, Benin; Centre Wallon de Recherches Agronomiques (CRA-W), Gembloux, Belgium</t>
  </si>
  <si>
    <t xml:space="preserve">Ngufor C., London School of Hygiene and Tropical Medicine (LSHTM), London, WC1E 7HT, United Kingdom, Centre de Recherches Entomologiques de Cotonou (CREC), Cotonou, Benin, Panafrican Malaria Vector Research Consortium (PAMVERC), Cotonou, Benin; Fagbohoun J., Centre de Recherches Entomologiques de Cotonou (CREC), Cotonou, Benin, Panafrican Malaria Vector Research Consortium (PAMVERC), Cotonou, Benin; Fongnikin A., Centre de Recherches Entomologiques de Cotonou (CREC), Cotonou, Benin, Panafrican Malaria Vector Research Consortium (PAMVERC), Cotonou, Benin; Ahoga J., Centre de Recherches Entomologiques de Cotonou (CREC), Cotonou, Benin, Panafrican Malaria Vector Research Consortium (PAMVERC), Cotonou, Benin; Syme T., London School of Hygiene and Tropical Medicine (LSHTM), London, WC1E 7HT, United Kingdom, Centre de Recherches Entomologiques de Cotonou (CREC), Cotonou, Benin, Panafrican Malaria Vector Research Consortium (PAMVERC), Cotonou, Benin; Ahogni I., Centre de Recherches Entomologiques de Cotonou (CREC), Cotonou, Benin, Panafrican Malaria Vector Research Consortium (PAMVERC), Cotonou, Benin; Accrombessi M., London School of Hygiene and Tropical Medicine (LSHTM), London, WC1E 7HT, United Kingdom, Centre de Recherches Entomologiques de Cotonou (CREC), Cotonou, Benin; Protopopoff N., London School of Hygiene and Tropical Medicine (LSHTM), London, WC1E 7HT, United Kingdom; Cook J., London School of Hygiene and Tropical Medicine (LSHTM), London, WC1E 7HT, United Kingdom; Dangbenon E., Centre de Recherches Entomologiques de Cotonou (CREC), Cotonou, Benin; Sovi A., London School of Hygiene and Tropical Medicine (LSHTM), London, WC1E 7HT, United Kingdom, Centre de Recherches Entomologiques de Cotonou (CREC), Cotonou, Benin; Baes M., Centre Wallon de Recherches Agronomiques (CRA-W), Gembloux, Belgium; Pigeon O., Centre Wallon de Recherches Agronomiques (CRA-W), Gembloux, Belgium; Todjinou D., Centre de Recherches Entomologiques de Cotonou (CREC), Cotonou, Benin, Panafrican Malaria Vector Research Consortium (PAMVERC), Cotonou, Benin; Govoetchan R., London School of Hygiene and Tropical Medicine (LSHTM), London, WC1E 7HT, United Kingdom, Centre de Recherches Entomologiques de Cotonou (CREC), Cotonou, Benin, Panafrican Malaria Vector Research Consortium (PAMVERC), Cotonou, Benin; Padonou G.G., Centre de Recherches Entomologiques de Cotonou (CREC), Cotonou, Benin; Akogbeto M., Centre de Recherches Entomologiques de Cotonou (CREC), Cotonou, Benin</t>
  </si>
  <si>
    <t xml:space="preserve">Alpha-cypermethrin; Attrition; Bioefficacy; Chlorfenapyr; Dual active ingredients; Durability; Fabric integrity; Insecticide-treated net; Interceptor®; Interceptor® G2; Pyriproxyfen; Royal Guard®; Survivorship</t>
  </si>
  <si>
    <t xml:space="preserve">Animals; Anopheles; Benin; Female; Humans; Insecticide-Treated Bednets; Insecticides; Malaria; Mosquito Control; Prospective Studies; Pyrethrins; Pyridines; cypermethrin; insecticide; pyrethroid; pyriproxyfen; chlorfenapyr; insecticide; pyrethroid; pyridine derivative; Africa; Anopheles coluzzii; Anopheles gambiae; Article; attrition bias; bioassay; cluster analysis; controlled study; disease surveillance; female; fertility; follow up; high temperature; insecticidal activity; mortality; nonhuman; physical activity; prevalence; prospective study; questionnaire; randomized controlled trial; survival time; animal; Anopheles; Benin; drug effect; human; insecticide treated net; malaria; mosquito control; physiology; prevention and control; procedures</t>
  </si>
  <si>
    <t xml:space="preserve">cypermethrin, 52315-07-8, 65731-84-2, 66841-24-5, 67375-30-8; pyriproxyfen, 95737-68-1; chlorfenapyr, ; cypermethrin, ; Insecticides, ; Pyrethrins, ; Pyridines, ; pyriproxyfen, </t>
  </si>
  <si>
    <t xml:space="preserve">Unitaid; BASF; National Malaria Control Programme of Benin; Net Transition Initiative of the Global Fund; Christen Fornadel of IVCC; Innovative Vector Control Consortium; Deerfield Charitable Trust, DCT</t>
  </si>
  <si>
    <t xml:space="preserve">Funding text 1: This study was supported by a grant to the London School of Hygiene and Tropical Medicine from Unitaid and The Global Fund through the Innovative Vector Control Consortium (IVCC). The third year of the trial was funded by the Net Transition Initiative of the Global Fund. The funders have no role in the study design, data collection and analysis and decision to publish this manuscript. ; Funding text 2: We thank Christen Fornadel of IVCC and Kate Kolaczinski of The Global Fund for project coordination. We also thank BASF and DCT for supplying the study nets and the community leaders and members of the Cove, Zagnanado and Ouinhi districts of the Zou region for their support and collaboration. We acknowledge and thank the National Malaria Control Programme of Benin for distributing the study nets and for their continuous support through the trial.</t>
  </si>
  <si>
    <t xml:space="preserve">Bhatt S., Weiss D., Cameron E., Bisanzio D., Mappin B., Dalrymple U., Et al., The effect of malaria control on Plasmodium falciparum in Africa between 2000 and 2015, Nature, 526, pp. 207-211, (2015); World Malaria Report., (2023); Koenker H., Yukich J., Erskine M., Opoku R., Sternberg E., Kilian A., How many mosquito nets are needed to maintain universal coverage: an update, Malar J, 22, (2023); Bertozzi-Villa A., Bever C.A., Koenker H., Weiss D.J., Vargas-Ruiz C., Nandi A.K., Et al., Maps and metrics of insecticide-treated net access, use, and nets-per-capita in Africa from 2000–2020, Nat Commun, 12, (2021); Kilian A., Obi E., Mansiangi P., Abilio A.P., Haji K.A., Blaufuss S., Et al., Variation of physical durability between LLIN products and net use environments: summary of findings from four African countries, Malar J, 20, (2021); Guidelines for Monitoring the Durability of Long-Lasting Insecticidal Mosquito Nets under Operational Conditions, (2011); Guidelines for Malaria Vector Control, (2024); Mosha J.F., Kulkarni M.A., Lukole E., Matowo N.S., Pitt C., Messenger L.A., Et al., Effectiveness and cost-effectiveness against malaria of three types of dual-active-ingredient long-lasting insecticidal nets (LLINs) compared with pyrethroid-only LLINs in Tanzania: a four-arm, cluster-randomised trial, Lancet, 399, pp. 1227-1241, (2022); Accrombessi M., Cook J., Dangbenon E., Yovogan B., Akpovi H., Sovi A., Et al., Efficacy of pyriproxyfen-pyrethroid long-lasting insecticidal nets (LLINs) and chlorfenapyr-pyrethroid LLINs compared with pyrethroid-only LLINs for malaria control in Benin: a cluster-randomised, superiority trial, Lancet, 401, pp. 435-446, (2023); Mass Campagn Tracker., (2023); Guidelines for laboratory and field testing of long-lasting insecticidal nets., (2013); Oxborough R.M., N'Guessan R., Jones R., Kitau J., Ngufor C., Malone D., Et al., The activity of the pyrrole insecticide chlorfenapyr in mosquito bioassay: towards a more rational testing and screening of non-neurotoxic insecticides for malaria vector control, Malar J, 14, (2015); Ngufor C., Agbevo A., Fagbohoun J., Fongnikin A., Rowland M., Efficacy of Royal Guard, a new alpha-cypermethrin and pyriproxyfen treated mosquito net, against pyrethroid-resistant malaria vectors, Sci Rep, 10, (2020); Ngufor C., N'Guessan R., Fagbohoun J., Todjinou D., Odjo A., Malone D., Et al., Efficacy of the Olyset Duo net against insecticide-resistant mosquito vectors of malaria, Sci Transl Med, 8, (2016); Accrombessi M., Cook J., Ngufor C., Sovi A., Dangbenon E., Yovogan B., Et al., Assessing the efficacy of two dual-active ingredients long-lasting insecticidal nets for the control of malaria transmitted by pyrethroid-resistant vectors in Benin: study protocol for a three-arm, single-blinded, parallel, cluster-randomized controlled trial, BMC Infect Dis, 21, (2021); Ngufor C., Fongnikin A., Fagbohoun J., Agbevo A., Syme T., Ahoga J., Et al., Evaluating the attrition, fabric integrity and insecticidal durability of two dual active ingredient nets (Interceptor® G2 and Royal® Guard): methodology for a prospective study embedded in a cluster randomized controlled trial in Benin, Malar J, 22, (2023); Accrombessi M., Akogbeto M.C., Dangbenon E., Akpovi H., Sovi A., Yovogan B., Et al., Malaria burden and associated risk factors in an area of pyrethroid-resistant vectors in southern Benin, Am J Trop Med Hyg, 107, pp. 681-688, (2022); Yovogan B., Sovi A., Padonou G.G., Adoha C.J., Akinro B., Chitou S., Et al., Pre-intervention characteristics of the mosquito species in Benin in preparation for a randomized controlled trial assessing the efficacy of dual active-ingredient long-lasting insecticidal nets for controlling insecticide-resistant malaria vectors, PLoS ONE, 16, (2021); Mutunga J.M., Anderson T.D., Craft D.T., Gross A.D., Swale D.R., Tong F., Et al., Carbamate and pyrethroid resistance in the akron strain of Anopheles gambiae, Pestic Biochem Physiol, 121, pp. 116-121, (2015); Myers A., Fagbohoun J., Houetohossou G., Ndombidje B., Govoetchan R., Todjinou D., Et al., Identifying suitable methods for evaluating the sterilizing effects of pyriproxyfen on adult malaria vectors: a comparison of the oviposition and ovary dissection methods, Malar J, 23, (2024); Christophers S.R., The development of the egg follicle in anophelines, Paludism, 2, pp. 73-88, (1911); Standard operating procedure for evaluating the sterilizing properties of pyriproxyfen in adult female mosquitoes in WHO bottle bioassays, (2022); Syme T., Ndombidje B., Gbegbo M., Todjinou D., Ariori V., De Vos P., Et al., PermaNet Dual, a new deltamethrin-chlorfenapyr mixture net, shows improved efficacy against pyrethroid-resistant Anopheles gambiae sensu lato in southern Benin, Sci Rep, 13, (2023); Kim S., Piccinini D., Mensah E., Lynch M., Using a human-centered design approach to determine consumer preferences for long-lasting insecticidal nets in Ghana, Glob Health Sci Pract, 7, pp. 160-170, (2019); Gnanguenon V., Azondekon R., Oke-Agbo F., Beach R., Akogbeto M., Durability assessment results suggest a serviceable life of two, rather than three, years for the current long-lasting insecticidal (mosquito) net (LLIN) intervention in Benin, BMC Infect Dis, 14, (2014); Ahogni I., Aikpon R., Osse R., Dagnon J., Govoetchan R., Attolou R., Et al., Field durability of Yorkool® LN nets in the Benin Republic, Adv Entomol, 8, pp. 72-92, (2019); Koenker H., Yukich J.O., Effect of user preferences on ITN use: a review of literature and data, Malaria J, 16, (2017); Lukole E., Cook J., Mosha J.F., Messenger L.A., Rowland M., Kleinschmidt I., Et al., Protective efficacy of holed and aging PBO-pyrethroid synergist-treated nets on malaria infection prevalence in north-western Tanzania, PLOS Glob Public Health, 2, (2022); Gichuki P.M., Kamau L., Njagi K., Karoki S., Muigai N., Matoke-Muhia D., Et al., Bioefficacy and durability of Olyset(®) Plus, a permethrin and piperonyl butoxide-treated insecticidal net in a 3-year long trial in Kenya, Infect Dis Poverty, 10, (2021); Raharinjatovo J., Dabire R.K., Esch K., Soma D.D., Hien A., Camara T., Et al., Physical and insecticidal durability of Interceptor(®), Interceptor(®) G2, and PermaNet(®) 3.0 insecticide-treated nets in Burkina Faso: results of durability monitoring in three sites from 2019 to 2022, Malar J, 23, (2024); Accrombessi M., Cook J., Dangbenon E., Sovi A., Yovogan B., Assongba L., Et al., Effectiveness of pyriproxyfen-pyrethroid and chlorfenapyr-pyrethroid long-lasting insecticidal nets (LLINs) compared with pyrethroid-only LLINs for malaria control in the third year post-distribution: a secondary analysis of a cluster-randomised controlled trial in Benin, Lancet Infect Dis, (2024)</t>
  </si>
  <si>
    <t xml:space="preserve">C. Ngufor; London School of Hygiene and Tropical Medicine (LSHTM), London, WC1E 7HT, United Kingdom; email: corine.ngufor@lshtm.ac.uk</t>
  </si>
  <si>
    <t xml:space="preserve">2-s2.0-85205792970</t>
  </si>
  <si>
    <t xml:space="preserve">Krajewski T.; Hudgens M.</t>
  </si>
  <si>
    <t xml:space="preserve">Krajewski, Taylor (57226191680); Hudgens, Michael (6603567044)</t>
  </si>
  <si>
    <t xml:space="preserve">57226191680; 6603567044</t>
  </si>
  <si>
    <t xml:space="preserve">The augmented synthetic control method in public health and biomedical research</t>
  </si>
  <si>
    <t xml:space="preserve">Estimating treatment (or policy or intervention) effects on a single individual or unit has become increasingly important in health and biomedical sciences. One method to estimate these effects is the synthetic control method, which constructs a synthetic control, a weighted average of control units that best matches the treated unit’s pre-treatment outcomes and other relevant covariates. The intervention’s impact is then estimated by comparing the post-intervention outcomes of the treated unit and its synthetic control, which serves as a proxy for the counterfactual outcome had the treated unit not experienced the intervention. The augmented synthetic control method, a recent adaptation of the synthetic control method, relaxes some of the synthetic control method’s assumptions for broader applicability. While synthetic controls have been used in a variety of fields, their use in public health and biomedical research is more recent, and newer methods such as the augmented synthetic control method are underutilized. This paper briefly describes the synthetic control method and its application, explains the augmented synthetic control method and its differences from the synthetic control method, and estimates the effects of an antimalarial initiative in Mozambique using both the synthetic control method and the augmented synthetic control method to highlight the advantages of using the augmented synthetic control method to analyze the impact of interventions implemented in a single region. © The Author(s) 2024.</t>
  </si>
  <si>
    <t xml:space="preserve">Statistical Methods in Medical Research</t>
  </si>
  <si>
    <t xml:space="preserve">SAGE Publications Ltd</t>
  </si>
  <si>
    <t xml:space="preserve">10.1177/09622802231224638</t>
  </si>
  <si>
    <t xml:space="preserve">https://www.scopus.com/inward/record.uri?eid=2-s2.0-85184426203&amp;doi=10.1177%2f09622802231224638&amp;partnerID=40&amp;md5=9a76dc3ea25b0de42e6afddefa246343</t>
  </si>
  <si>
    <t xml:space="preserve">Department of Biostatistics, Gillings School of Global Public Health, University of North Carolina at Chapel Hill, NC, United States</t>
  </si>
  <si>
    <t xml:space="preserve">Krajewski T., Department of Biostatistics, Gillings School of Global Public Health, University of North Carolina at Chapel Hill, NC, United States; Hudgens M., Department of Biostatistics, Gillings School of Global Public Health, University of North Carolina at Chapel Hill, NC, United States</t>
  </si>
  <si>
    <t xml:space="preserve">Causal inference; comparative case studies; counterfactual; synthetic control; treatment effect</t>
  </si>
  <si>
    <t xml:space="preserve">Biomedical Research; Mozambique; Public Health; Research Design; Article; biomedicine; child; human; machine learning; malaria; malaria control; mass drug administration; medical research; public health; seasonal variation; temperature; therapy effect; treatment outcome; methodology; Mozambique</t>
  </si>
  <si>
    <t xml:space="preserve">National Malaria Control Program; Ministry of Health, MOH; National Institutes of Health, NIH, (R01 AI085073); National Institute of Environmental Health Sciences, NIEHS, (T32 ES007018)</t>
  </si>
  <si>
    <t xml:space="preserve">Funding text 1: The authors would like to thank Ranjeeta Thomas and Laia Cirera for their collaboration on applying synthetic controls to the malaria elimination initiative in southern Mozambique. We also thank the Ministry of Health (MOH) and National Malaria Control Program (NMCP) in Mozambique for providing us access to the BES data. Helpful comments from four anonymous reviewers that improved the quality of this paper are also gratefully acknowledged. The author(s) disclosed receipt of the following financial support for the research, authorship, and/or publication of this article: This work was supported in part by NIH grant R01 AI085073 and by NIEHS grant T32 ES007018.; Funding text 2: The author(s) disclosed receipt of the following financial support for the research, authorship, and/or publication of this article: This work was supported in part by NIH grant R01 AI085073 and by NIEHS grant T32 ES007018. </t>
  </si>
  <si>
    <t xml:space="preserve">Abadie A., Diamond A., Hainmueller J., Synthetic control methods for comparative case studies: estimating the effect of California’s tobacco control program, J Am Stat Assoc, 105, pp. 493-505, (2010); Li Y., Undurraga E.A., Zubizarreta J.R., Effectiveness of localized lockdowns in the COVID-19 pandemic, Am J Epidemiol, 191, pp. 812-824, (2022); Cunningham S., Shah M., Decriminalizing indoor prostitution: implications for sexual violence and public health, Rev Econ Stud, 85, pp. 1683-1715, (2017); Friedman L., Furberg C., DeMets D., Et al., Fundamentals of Clinical Trials; Bernal J.L., Cummins S., Gasparrini A., Interrupted time series regression for the evaluation of public health interventions: a tutorial, Int J Epidemiol, 46, pp. 348-355, (2017); Bernal J.L., Andrews N., Amirthalingam G., The use of quasi-experimental designs for vaccine evaluation, Clin Infect Dis, 68, pp. 1769-1776, (2019); Shadish W.R., Cook T.D., Campbell D., Quasi-Experimentation: Design &amp; Analysis Issues for Field Settings, (2002); Abadie A., Semiparametric difference-in-differences estimators, Rev Econ Stud, 72, pp. 1-19, (2005); Abadie A., Gardeazabal J., The economic costs of conflict: a case study of the Basque country, Am Econ Rev, 93, pp. 113-132, (2003); Abadie A., Diamond A., Hainmueller J., Comparative politics and the synthetic control method, Am J Pol Sci, 59, pp. 495-510, (2015); Athey S., Imbens G.W., The state of applied econometrics: causality and policy evaluation, J Econ Perspect, 31, pp. 3-32, (2017); Ben-Michael E., Feller A., Rothstein J., The augmented synthetic control method, J Am Stat Assoc, 116, pp. 1-27, (2021); Pieters H., Curzi D., Olper A., Et al., Effect of democratic reforms on child mortality: a synthetic control analysis, Lancet Glob Health, 4, (2016); Geloso V., Pavlik J.B., The Cuban revolution and infant mortality: a synthetic control approach, Explor Econ Hist, 80, (2021); Marinello S., Leider J., Pugach O., Et al., The impact of the Philadelphia beverage tax on employment: a synthetic control analysis, Econ Hum Biol, 40, (2021); Dai J., Liu Z., Li R., Improving the subway attraction for the post-COVID-19 era: the role of fare-free public transport policy, Transp Policy (Oxf), 103, pp. 21-30, (2021); Mourtgos S.M., Adams I.T., Nix J., Elevated police turnover following the summer of George Floyd protests: a synthetic control study, Criminol Public Policy, 21, pp. 9-33, (2021); Heersink B., Peterson B.D., Jenkins J.A., Disasters and elections: estimating the net effect of damage and relief in historical perspective, Polit Anal, 25, pp. 260-268, (2017); Donohue J.J., Aneja A., Weber K.D., Right-to-carry laws and violent crime: a comprehensive assessment using panel data and a state-level synthetic control analysis, J Empir Leg Stud, 16, pp. 198-247, (2019); Gutierrez I.A., Weinberger G., Engberg J., Improving Teaching Effectiveness: Impact on Student Outcomes: The Intensive Partnerships for Effective Teaching Through 2013–2014, (2016); Bifulco R., Rubenstein R., Sohn H., Using synthetic controls to evaluate the effect of unique interventions: the case of say yes to education, Eval Rev, 41, pp. 593-619, (2017); Bouttell J., Craig P., Lewsey J., Et al., Synthetic control methodology as a tool for evaluating population-level health interventions, J Epidemiol Commun Health, 72, pp. 673-678, (2018); Cole M.A., Elliott R.J.R., Liu B., The impact of the Wuhan Covid-19 lockdown on air pollution and health: a machine learning and augmented synthetic control approach, Environ Resour Econ (Dordr), 76, pp. 1-28, (2020); Born B., Dietrich A.M., Muller G.J., The lockdown effect: a counterfactual for Sweden, PLoS ONE, 16, pp. 1-13, (2021); Barber A., West J., Conditional cash lotteries increase Covid-19 vaccination rates, J Health Econ, 81, (2022); Brehm M., Brehm P., Saavedra M.H., The Ohio vaccine lottery and starting vaccination rates, Am J Health Econ, 8, pp. 387-411, (2022); Mills M.C., Ruttenauer T., The effect of mandatory Covid-19 certificates on vaccine uptake: synthetic-control modelling of six countries, Lancet Public Health, 7, (2022); Xin M., Shalaby A., Feng S., Et al., Impacts of Covid-19 on urban rail transit ridership using the synthetic control method, Transp Policy (Oxf), 111, pp. 1-16, (2021); Thomas R., Cirera L., Brew J., Et al., The short-term impact of a malaria elimination initiative in southern Mozambique: application of the synthetic control method to routine surveillance data, Health Econ, 30, pp. 2168-2184, (2021); Bonander C., Humphreys D.K., Esposti M.D., Synthetic control methods for the evaluation of single-unit interventions in epidemiology: a tutorial, Am J Epidemiol, 190, pp. 2700-2711, (2021); Abadie A., Using synthetic controls: feasibility, data requirements, and methodological aspects, J Econ Lit, 59, pp. 391-425, (2021); Rubin D.B., Estimating causal effects of treatments in randomized and nonrandomized studies, J Educ Psychol, 66, pp. 688-701, (1974); Chernozhukov V., Wuthrich K., Zhu Y., An exact and robust conformal inference method for counterfactual and synthetic controls, J Am Stat Assoc, 116, pp. 1849-1864, (2021); Bai J., Panel data models with interactive fixed effects, Econometrica, 77, pp. 1229-1279, (2009); Firpo S., Possebom V., Synthetic control method: inference, sensitivity analysis and confidence sets, J Causal Inference, 6, (2018); Li K.T., Statistical inference for average treatment effects estimated by synthetic control methods, J Am Stat Assoc, 115, pp. 2068-2083, (2020); Mcclelland R., Mucciolo L., An update on the synthetic control method as a tool to understand state policy, Tax Policy Center, (2022); Kellogg M., Mogstad M., Pouliot G.A., Et al., Combining matching and synthetic control to tradeoff biases from extrapolation and interpolation, J Am Stat Assoc, 116, pp. 1804-1816, (2021); Abadie A., L'Hour J., A penalized synthetic control estimator for disaggregated data, J Am Stat Assoc, 116, pp. 1817-1834, (2021); Abadie A., Diamond A., Hainmueller J., Synth: an R package for synthetic control methods in comparative case studies, J Stat Softw, 42, pp. 1-17, (2011); Hastie T., Friedman J., Tisbshirani R., The Elements of Statistical Learning: Data Mining, Inference, and Prediction, (2009); Cattaneo M.D., Feng Y., Titiunik R., Prediction intervals for synthetic control methods, J Am Stat Assoc, 116, pp. 1865-1880, (2021); Shaikh A.M., Toulis P., Randomization tests in observational studies with staggered adoption of treatment, J Am Stat Assoc, 116, pp. 1835-1848, (2021); Robbins M.W., Saunders J., Kilmer B., A framework for synthetic control methods with high-dimensional, micro-level data: evaluating a neighborhood-specific crime intervention, J Am Stat Assoc, 112, pp. 109-126, (2017); Cao J., Dowd C.; Di Stefano R., Mellace G., The inclusive synthetic control method. Working Papers 21/20, Sapienza University of Rome, DISS, (2020); Grossi G., Lattarulo P., Mariani M., Et al.; Menchetti F., Bojinov I., Estimating the effectiveness of permanent price reductions for competing products using multivariate Bayesian structural time series models, Ann Appl Stat, 16, pp. 414-435, (2022); Daza E.J., Schneider L.</t>
  </si>
  <si>
    <t xml:space="preserve">T. Krajewski; Department of Biostatistics, Gillings School of Global Public Health, University of North Carolina at Chapel Hill, United States; email: tjk@email.unc.edu</t>
  </si>
  <si>
    <t xml:space="preserve">SMMRF</t>
  </si>
  <si>
    <t xml:space="preserve">Stat. Methods Med. Res.</t>
  </si>
  <si>
    <t xml:space="preserve">2-s2.0-85184426203</t>
  </si>
  <si>
    <t xml:space="preserve">Deps P.D.; Yotsu R.; Furriel B.C.R.S.; de Oliveira B.D.; de Lima S.L.; Loureiro R.M.</t>
  </si>
  <si>
    <t xml:space="preserve">Deps, Patrícia D. (6603150842); Yotsu, Rie (35099776700); Furriel, Brunna C. R. S. (57677886100); de Oliveira, Bruno D. (58951184700); de Lima, Sergio L. (58952184500); Loureiro, Rafael M. (57207205788)</t>
  </si>
  <si>
    <t xml:space="preserve">6603150842; 35099776700; 57677886100; 58951184700; 58952184500; 57207205788</t>
  </si>
  <si>
    <t xml:space="preserve">The potential role of artificial intelligence in the clinical management of Hansen’s disease (leprosy)</t>
  </si>
  <si>
    <t xml:space="preserve">Missed and delayed diagnoses of Hansen’s disease (HD) are making the battle against it even more complex, increasing its transmission and significantly impacting those affected and their families. This strains public health systems and raises the risk of lifelong impairments and disabilities. Worryingly, the three countries most affected by HD witnessed a growth in new cases in 2022, jeopardizing the World Health Organization’s targets to interrupt transmission. Artificial intelligence (AI) can help address these challenges by offering the potential for rapid case detection, customized treatment, and solutions for accessibility challenges—especially in regions with a shortage of trained healthcare professionals. This perspective article explores how AI can significantly impact the clinical management of HD, focusing on therapeutic strategies. AI can help classify cases, ensure multidrug therapy compliance, monitor geographical treatment coverage, and detect adverse drug reactions and antimicrobial resistance. In addition, AI can assist in the early detection of nerve damage, which aids in disability prevention and planning rehabilitation. Incorporating AI into mental health counseling is also a promising contribution to combating the stigma associated with HD. By revolutionizing therapeutic approaches, AI offers a holistic solution to reduce the burden of HD and improve patient outcomes. Copyright © 2024 Deps, Yotsu, Furriel, de Oliveira, de Lima and Loureiro.</t>
  </si>
  <si>
    <t xml:space="preserve">Frontiers in Medicine</t>
  </si>
  <si>
    <t xml:space="preserve">10.3389/fmed.2024.1338598</t>
  </si>
  <si>
    <t xml:space="preserve">https://www.scopus.com/inward/record.uri?eid=2-s2.0-85188453586&amp;doi=10.3389%2ffmed.2024.1338598&amp;partnerID=40&amp;md5=5b3e50813729e4caebaf0c1f34cd95b7</t>
  </si>
  <si>
    <t xml:space="preserve">Department of Social Medicine, Health Sciences Center, Federal University of Espirito Santo, Vitoria, Brazil; Department of Radiology, Hospital Israelita Albert Einstein, São Paulo, Brazil; Department of Tropical Medicine, Tulane University School of Public Health and Tropical Medicine, New Orleans, LA, United States</t>
  </si>
  <si>
    <t xml:space="preserve">Deps P.D., Department of Social Medicine, Health Sciences Center, Federal University of Espirito Santo, Vitoria, Brazil, Department of Radiology, Hospital Israelita Albert Einstein, São Paulo, Brazil; Yotsu R., Department of Tropical Medicine, Tulane University School of Public Health and Tropical Medicine, New Orleans, LA, United States; Furriel B.C.R.S., Department of Radiology, Hospital Israelita Albert Einstein, São Paulo, Brazil; de Oliveira B.D., Department of Radiology, Hospital Israelita Albert Einstein, São Paulo, Brazil; de Lima S.L., Department of Radiology, Hospital Israelita Albert Einstein, São Paulo, Brazil; Loureiro R.M., Department of Radiology, Hospital Israelita Albert Einstein, São Paulo, Brazil</t>
  </si>
  <si>
    <t xml:space="preserve">artificial intelligence; digital health; Hansen’s disease; leprosy; skin neglected tropical diseases</t>
  </si>
  <si>
    <t xml:space="preserve">adverse drug reaction; adverse event; antibiotic resistance; Article; artificial intelligence; clinical outcome; data privacy; delayed diagnosis; digital health; digital technology; disease burden; disease surveillance; early diagnosis; health care access; health care personnel; holistic care; human; leprosy; medical ethics; mental health care; nerve injury; patient care; patient compliance; patient counseling; personalized medicine; polypharmacy; stigma; telemedicine; treatment outcome; tropical disease; underdiagnosis; World Health Organization</t>
  </si>
  <si>
    <t xml:space="preserve">Unified Health System, (01/2020, 25000.161106/2020-61)</t>
  </si>
  <si>
    <t xml:space="preserve">The author(s) declare financial support was received for the research, authorship, and/or publication of this article. This project was supported by the Program of Support for the Institutional Development of the Unified Health System (PROADI-SUS, 01/2020; NUP: 25000.161106/2020-61) and Hospital Israelita Albert Einstein.</t>
  </si>
  <si>
    <t xml:space="preserve">Deps P., Collin S.M., de Andrade V.L.G., Hansen’s disease case detection in Brazil: a backlog of undiagnosed cases due to COVID-19 pandemic, J Eur Acad Dermatol Venereol, 36, pp. e754-e755, (2022); Relevé Épidémiologique Hebd, Wkly Epidemiol Rec, 96, pp. 421-444, (2021); (2023); Deps P., Collin S.M., Mycobacterium lepromatosis as a second agent of Hansen’s disease, Front Microbiol, 12, (2021); White C., Franco-Paredes C., Leprosy in the 21st century, Clin Microbiol Rev, 28, pp. 80-94, (2015); Alemu Belachew W., Naafs B., Position statement: LEPROSY: diagnosis, treatment and follow-up, J Eur Acad Dermatol Venereol, 33, pp. 1205-1213, (2019); (2023); (2023); Deps P.D., Nasser S., Guerra P., Simon M., Birshner R.D.C., Rodrigues L.C., Adverse effects from multi-drug therapy in leprosy: a Brazilian study, Lepr Rev, 78, pp. 216-222, (2007); Smith W.C., van Brakel W., Gillis T., Saunderson P., Richardus J.H., The missing millions: a threat to the elimination of leprosy, PLoS Negl Trop Dis, 9, (2015); Warne G., Mukhier M., Application of digital technologies to leprosy programmes, Lepr Rev, 92, pp. 182-185, (2021); Yang J., Li X., Sun Y., Zhang L., Jin G., Li G., Et al., Global epidemiology of leprosy from 2010 to 2020: a systematic review and meta-analysis of the proportion of sex, type, grade 2 deformity and age, Pathog Glob Health, 116, pp. 467-476; Barbieri R.R., Xu Y., Setian L., Souza-Santos P.T., Trivedi A., Cristofono J., Et al., Reimagining leprosy elimination with AI analysis of a combination of skin lesion images with demographic and clinical data, Lancet Reg Health Am, 9, (2022); Yotsu R.R., Ding Z., Hamm J., Blanton R.E., Deep learning for AI-based diagnosis of skin-related neglected tropical diseases: a pilot study, PLoS Negl Trop Dis, 17, (2023); Beesetty R., Reddy S.A., Modali S., et al Leprosy skin lesion detection: an AI approach using few shot learning in a small clinical dataset, Indian J Lepr, 95, pp. 89-102, (2023); Pai V.V., Pai R.B., Artificial intelligence in dermatology and healthcare: an overview, Indian J Dermatol Venereol Leprol, 87, pp. 457-467, (2021); de Andrade Rodrigues R.S., Heise E.F.J., Hartmann L.F., Rocha G.E., Olandoski M., de Araujo Stefani M.M., Et al., Prediction of the occurrence of leprosy reactions based on Bayesian networks, Front Med, 10, (2023); Portelli S., Myung Y., Furnham N., Vedithi S.C., Pires D.E.V., Ascher D.B., Prediction of rifampicin resistance beyond the RRDR using structure-based machine learning approaches, Sci Rep, 10, (2020); Deps P., Delboni L., Tia O., Collin S.M., Andrade M.A., Eln M., Steps towards eliminating Hansen’s disease stigma, Int Health, 15, pp. iii7-iii9, (2023); Xu L., Sanders L., Li K., Chow J.C.L., Chatbot for health care and oncology applications using artificial intelligence and machine learning: systematic review, JMIR Cancer, 7, (2021); van der Schyff E.L., Ridout B., Amon K.L., Forsyth R., Campbell A.J., Providing self-led mental health support through an artificial intelligence-powered chat bot (Leora) to meet the demand of mental health care, J Med Internet Res, 25, (2023); Babu N.V., Kanaga E.G.M., Sentiment analysis in social media data for depression detection using artificial intelligence: a review, SN Comput Sci, 3, (2022); De Souza M.L.M., Lopes G.A., Branco A.C., Fairley J.K., Fraga L.A.D.O., Leprosy screening based on artificial intelligence: development of a cross-platform app, JMIR Mhealth Uhealth, 9, (2021); Latif S., Qadir J., Farooq S., Imran M., How 5G wireless (and concomitant technologies) will revolutionize healthcare?, Future Internet, 9, (2017); Dahoklory D.F., Haryanto J., Indarwati R., The application of digital health as a nursing solution for leprosy patients during the COVID-19 pandemic: a systematic review, JPMA J Pak Med Assoc, 73, (2023); Saif-Ur-Rahman K.M., Islam M.S., Alaboson J., Ola O., Hasan I., Islam N., Et al., Artificial intelligence and digital health in improving primary health care service delivery in LMICs: a systematic review, J Evid-Based Med, 16, pp. 303-320, (2023); Dananjayan S., Raj G.M., 5G in healthcare: how fast will be the transformation?, Ir J Med Sci, 190, pp. 497-501, (2021); Devi D.H., Duraisamy K., Armghan A., Alsharari M., Aliqab K., Sorathiya V., Et al., 5G Technology in healthcare and wearable devices: a review, Sensors, 23, (2023); Geis J.R., Brady A.P., Wu C.C., Spencer J., Ranschaert E., Jaremko J.L., Et al., Ethics of artificial intelligence in radiology: summary of the joint European and north American multisociety statement, J Am Coll Radiol, 16, pp. 1516-1521, (2019); Keskinbora K.H., Medical ethics considerations on artificial intelligence, J Clin Neurosci, 64, pp. 277-282, (2019)</t>
  </si>
  <si>
    <t xml:space="preserve">P.D. Deps; Department of Social Medicine, Health Sciences Center, Federal University of Espirito Santo, Vitoria, Brazil; email: patricia.deps@ufes.br</t>
  </si>
  <si>
    <t xml:space="preserve">2296858X</t>
  </si>
  <si>
    <t xml:space="preserve">Front. Med.</t>
  </si>
  <si>
    <t xml:space="preserve">2-s2.0-85188453586</t>
  </si>
  <si>
    <t xml:space="preserve">Ong S.-Q.; Ahmad H.</t>
  </si>
  <si>
    <t xml:space="preserve">Ong, Song-Quan (56684128500); Ahmad, Hamdan (7102866714)</t>
  </si>
  <si>
    <t xml:space="preserve">56684128500; 7102866714</t>
  </si>
  <si>
    <t xml:space="preserve">Tracking mosquito-borne diseases via social media: a machine learning approach to topic modelling and sentiment analysis</t>
  </si>
  <si>
    <t xml:space="preserve">Mosquito-borne diseases (MBDs) are a major threat worldwide, and public consultation on these diseases is critical to disease control decision-making. However, traditional public surveys are time-consuming and labor-intensive and do not allow for timely decision-making. Recent studies have explored text analytic approaches to elicit public comments from social media for public health. Therefore, this study aims to demonstrate a text analytics pipeline to identify the MBD topics that were discussed on Twitter and significantly influenced public opinion. A total of 25,000 tweets were retrieved from Twitter, topics were modelled using LDA and sentiment polarities were calculated using the VADER model. After data cleaning, we obtained a total of 6,243 tweets, which we were able to process with the feature selection algorithms. Boruta was used as a feature selection algorithm to determine the importance of topics to public opinion. The result was validated using multinomial logistic regression (MLR) performance and expert judgement. Important issues such as breeding sites, mosquito control, impact/funding, time of year, other diseases with similar symptoms, mosquito-human interaction and biomarkers for diagnosis were identified by both LDA and experts. The MLR result shows that the topics selected by LASSO perform significantly better than the other algorithms, and the experts further justify the topics in the discussion. Copyright 2024 Ong et al.</t>
  </si>
  <si>
    <t xml:space="preserve">PeerJ</t>
  </si>
  <si>
    <t xml:space="preserve">e17045</t>
  </si>
  <si>
    <t xml:space="preserve">10.7717/PEERJ.17045</t>
  </si>
  <si>
    <t xml:space="preserve">https://www.scopus.com/inward/record.uri?eid=2-s2.0-85193803022&amp;doi=10.7717%2fPEERJ.17045&amp;partnerID=40&amp;md5=f56125fe02b7303e9701061f82c79185</t>
  </si>
  <si>
    <t xml:space="preserve">Institute of Tropical and Conservation, Universiti Malaysia Sabah, Sabah, Kota Kinabalu, Malaysia; Department of Ecoscience and Arctic Research Centre, Aarhus University, Aarhus, Denmark; Vector Control Research Unit, Universiti Sains Malaysia, Penang, Bayan Lepas, Malaysia</t>
  </si>
  <si>
    <t xml:space="preserve">Ong S.-Q., Institute of Tropical and Conservation, Universiti Malaysia Sabah, Sabah, Kota Kinabalu, Malaysia, Department of Ecoscience and Arctic Research Centre, Aarhus University, Aarhus, Denmark; Ahmad H., Vector Control Research Unit, Universiti Sains Malaysia, Penang, Bayan Lepas, Malaysia</t>
  </si>
  <si>
    <t xml:space="preserve">Amplification intelligence; Determinants; Infection diseases; Mosquitoes; Text mining</t>
  </si>
  <si>
    <t xml:space="preserve">Article; chikungunya; dehydration; dengue; Ebolavirus; epidemic; fever; government; health care policy; machine learning; maize; malaria; mosquito borne disease; public health; questionnaire; scoring system; sensitivity and specificity; sentiment analysis; social media</t>
  </si>
  <si>
    <t xml:space="preserve">Kementerian Kesihatan Malaysia, KKM; Vector Control Research Unit; Universiti Sains Malaysia, USM</t>
  </si>
  <si>
    <t xml:space="preserve">The authors would like to thank the experts from the Ministry of Health Malaysia, Vector Control Research Unit, Universiti Sains Malaysia, Institute Tropical Biology and Conservation, Universiti Malaysia Sabah and Kasetsart University Thailand for their contributions in commenting and annotating the data.</t>
  </si>
  <si>
    <t xml:space="preserve">Aenishaenslin C, Hongoh V, Cisse HD, Hoen AG, Samoura K, Michel P, Belanger D., Multi-criteria decision analysis as an innovative approach to managing zoonoses: results from a study on Lyme disease in Canada, BMC Public Health, 13, pp. 1-16, (2013); Bazoukis G, Hall J, Loscalzo J, Antman EM, Fuster V, Armoundas AA., The inclusion of augmented intelligence in medicine: a framework for successful implementation, Cell Reports Medicine, 3, 1, (2022); Berendt B, Sammut C, Webb GI., Text mining for news and blogs analysis, Encyclopedia of machine learning, (2016); Bhandari M, Reddiboina M., Augmented intelligence: a synergy between man and the machine, Indian Journal of Urology, 35, (2019); Crigger E, Khoury C., Making policy on augmented intelligence in health care, AMA Journal of Ethics, 21, pp. 188-191, (2019); Crigger E, Reinbold K, Hanson C, Kao A, Blake K, Irons M., Trustworthy augmented intelligence in health care, Journal of Medical Systems, 46, 2, (2022); DeCamp M, Lindvall C., Latent bias and the implementation of artificial intelligence in medicine, Journal of the American Medical Informatics Association, 27, pp. 2020-2023, (2020); Garcia-Diaz JA, Apolinario-Arzube O, Medina-Moreira J, Luna-Aveiga H, Lagos-Ortiz K, Valencia-Garcia R., Sentiment analysis on tweets related to infectious diseases in South America, Proceedings of the Euro American Conference on Telematics and Information Systems, pp. 1-5, (2018); Hossain A, Karimuzzaman M, Hossain MM, Rahman A., Text mining and sentiment analysis of newspaper headlines, Information, 12, (2021); Hutto C, Gilbert E., Vader: a parsimonious rule-based model for sentiment analysis of social media text, Proceedings of the international AAAI conference on web and social media, pp. 216-225, (2014); Jabalameli S, Xu Y, Shetty S., Spatial and sentiment analysis of public opinion toward COVID-19 pandemic using twitter data: at the early stage of vaccination, International Journal of Disaster Risk Reduction, 80, (2022); Kouwaye B, Fonton N, Rossi F., Lasso based feature selection for malaria risk exposure prediction, (2015); Lim S, Tucker CS, Kumara S., An unsupervised machine learning model for discovering latent infectious diseases using social media data, Journal of Biomedical Informatics, 66, pp. 82-94, (2017); Lin H, Liu T, Song T, Lin L, Xiao J, Lin J, Zhang Y., Community involvement in dengue outbreak control: an integrated rigorous intervention strategy, PLOS Neglected Tropical Diseases, 10, (2016); Livingston M., Preventing racial bias in federal AI, Journal of Science Policy &amp; Governance, 16, 2, pp. 1-7, (2020); Long JB, Ehrenfeld JM., The role of augmented intelligence (AI) in detecting and preventing the spread of novel coronavirus, Journal of Medical Systems, 44, pp. 1-2, (2020); Mashudi DN, Ahmad N, Mohd Said S., Level of dengue preventive practices and associated factors in a Malaysian residential area during the COVID-19 pandemic: a cross-sectional study, PLOS ONE, 17, (2022); Moise IK, Ortiz-Whittingham LR, Omachonu V, Clark M, Xue RD., Fighting mosquito bite during a crisis: capabilities of Florida mosquito control districts during the COVID-19 pandemic, BMC Public Health, 21, (2021); Mukherjee S, Sarkar K., Analyzing large news corpus using text mining techniques for recognizing high crime prone areas, 2020 IEEE Calcutta Conference (CAL-CON), pp. 444-450, (2020); Ong SQ, Ahmad H, Mohd Ngesom AM., Implications of the COVID-19 lock-down on dengue transmission in Malaysia, Infectious Disease Reports, 13, pp. 148-160, (2021); Ong SQ, Pauzi MBM, Gan KH., Text mining and determinants of sentiments towards the COVID-19 vaccine booster of twitter users in Malaysia, Healthcare, 10, (2022); Ong SQ, Pauzi MBM, Gan KH., Text mining in mosquito-borne disease: a systematic review, Acta Tropica, 231, (2022); Queiros A, Faria D, Almeida F., Strengths and limitations of qualitative and quantitative research methods, European Journal of Education Studies, 3, 9, pp. 369-387, (2017); R: A language and environment for statistical computing, (2021); Reyes-Menendez A, Saura JR, Alvarez-Alonso C., Understanding# WorldEnvironment Day user opinions in Twitter: a topic-based sentiment analysis approach, International Journal of Environmental Research and Public Health, 15, (2018); RStudio: integrated development for R, (2021); Safdar N, Abbo LM, Knobloch MJ, Seo SK., Research methods in healthcare epidemiology: survey and qualitative research, Infection Control &amp; Hospital Epidemiology, 37, pp. 1272-1277, (2016); Sevakula RK, Au-Yeung WTM, Singh JP, Heist EK, Isselbacher EM, Armoundas AA., State-of-the-art machine learning techniques aiming to improve patient outcomes pertaining to the cardiovascular system, Journal of the American Heart Association, 9, (2020); Triantaphyllou E., Multi-criteria decision making methods, Multi-criteria Decision Making Methods: A Comparative Study, pp. 5-21, (2000); Van Gennip CEG, Hulshof JAM, Lootsma FA., A multi-criteria evaluation of diseases in a study for public-health planning, European Journal of Operational Research, 99, pp. 236-240, (1997); Verma AA, Pasricha SV, Jung HY, Kushnir V, Mak DY, Koppula R, Razak F., Assessing the quality of clinical and administrative data extracted from hospitals: the General Medicine Inpatient Initiative (GEMINI) experience, Journal of the American Medical Informatics Association, 28, pp. 578-587, (2021); Villagra N, Reyes-Menendez A, Clemente-Mediavilla J, Semova DJ., Using algorithms to identify social activism and climate skepticism in user-generated content on Twitter, Profesional De La Información, 32, 3, (2023); Vector-borne diseases, (2020); Xie R, Chu SKW, Chiu DKW, Wang Y., Exploring public response to COVID-19 on Weibo with LDA topic modeling and sentiment analysis, Data and Information Management, 5, pp. 86-99, (2021); Ye X, Li S, Yang X, Qin C., Use of social media for the detection and analysis of infectious diseases in China, ISPRS International Journal of Geo-Information, 5, (2016); Zhu B, Zheng X, Liu H, Li J, Wang P., Analysis of spatiotemporal characteristics of big data on social media sentiment with COVID-19 epidemic topics, Chaos, Solitons &amp; Fractals, 140, (2020)</t>
  </si>
  <si>
    <t xml:space="preserve">S.-Q. Ong; Institute of Tropical and Conservation, Universiti Malaysia Sabah, Kota Kinabalu, Sabah, Malaysia; email: songguan26@gmail.com</t>
  </si>
  <si>
    <t xml:space="preserve">2-s2.0-85193803022</t>
  </si>
  <si>
    <t xml:space="preserve">Trujillano F.; Jimenez G.; Manrique E.; Kahamba N.F.; Okumu F.; Apollinaire N.; Carrasco-Escobar G.; Barrett B.; Fornace K.</t>
  </si>
  <si>
    <t xml:space="preserve">Trujillano, Fedra (57194408960); Jimenez, Gabriel (57200088558); Manrique, Edgar (57205641946); Kahamba, Najat F. (57213672738); Okumu, Fredros (23469954500); Apollinaire, Nombre (57384312100); Carrasco-Escobar, Gabriel (56609339700); Barrett, Brian (35993628500); Fornace, Kimberly (24472918000)</t>
  </si>
  <si>
    <t xml:space="preserve">57194408960; 57200088558; 57205641946; 57213672738; 23469954500; 57384312100; 56609339700; 35993628500; 24472918000</t>
  </si>
  <si>
    <t xml:space="preserve">Using image segmentation models to analyse high-resolution earth observation data: new tools to monitor disease risks in changing environments</t>
  </si>
  <si>
    <t xml:space="preserve">Background: In the near future, the incidence of mosquito-borne diseases may expand to new sites due to changes in temperature and rainfall patterns caused by climate change. Therefore, there is a need to use recent technological advances to improve vector surveillance methodologies. Unoccupied Aerial Vehicles (UAVs), often called drones, have been used to collect high-resolution imagery to map detailed information on mosquito habitats and direct control measures to specific areas. Supervised classification approaches have been largely used to automatically detect vector habitats. However, manual data labelling for model training limits their use for rapid responses. Open-source foundation models such as the Meta AI Segment Anything Model (SAM) can facilitate the manual digitalization of high-resolution images. This pre-trained model can assist in extracting features of interest in a diverse range of images. Here, we evaluated the performance of SAM through the Samgeo package, a Python-based wrapper for geospatial data, as it has not been applied to analyse remote sensing images for epidemiological studies. Results: We tested the identification of two land cover classes of interest: water bodies and human settlements, using different UAV acquired imagery across five malaria-endemic areas in Africa, South America, and Southeast Asia. We employed manually placed point prompts and text prompts associated with specific classes of interest to guide the image segmentation and assessed the performance in the different geographic contexts. An average Dice coefficient value of 0.67 was obtained for buildings segmentation and 0.73 for water bodies using point prompts. Regarding the use of text prompts, the highest Dice coefficient value reached 0.72 for buildings and 0.70 for water bodies. Nevertheless, the performance was closely dependent on each object, landscape characteristics and selected words, resulting in varying performance. Conclusions: Recent models such as SAM can potentially assist manual digitalization of imagery by vector control programs, quickly identifying key features when surveying an area of interest. However, accurate segmentation still requires user-provided manual prompts and corrections to obtain precise segmentation. Further evaluations are necessary, especially for applications in rural areas. © The Author(s) 2024.</t>
  </si>
  <si>
    <t xml:space="preserve">International Journal of Health Geographics</t>
  </si>
  <si>
    <t xml:space="preserve">10.1186/s12942-024-00371-w</t>
  </si>
  <si>
    <t xml:space="preserve">https://www.scopus.com/inward/record.uri?eid=2-s2.0-85193676355&amp;doi=10.1186%2fs12942-024-00371-w&amp;partnerID=40&amp;md5=b28234edbdffdade98b373124186c970</t>
  </si>
  <si>
    <t xml:space="preserve">School of Biodiversity, One Health &amp; amp; Veterinary Medicine, University of Glasgow, Scotland, Glasgow, United Kingdom; School of Geographical &amp; amp; Earth Sciences, University of Glasgow, Scotland, Glasgow, United Kingdom; Sorbonne Université, Institute du Cerveau - ICM, CNRS, Inria, AP-HP, Inserm, Paris, France; Environmental Health and Ecological Sciences Department, Ifakara Health Institute, Ifakara, Tanzania; Centre National de Recherche et de Formation sur le Paludisme, Ouagadougou, Burkina Faso; Health Innovation Laboratory, Institute of Tropical Medicine “Alexander von Humboldt”, Universidad Peruana Cayetano Heredia, Lima, Peru; Saw Swee Hock School of Public Health, National University of Singapore and National University Health System, Singapore, Singapore</t>
  </si>
  <si>
    <t xml:space="preserve">Trujillano F., School of Biodiversity, One Health &amp; amp; Veterinary Medicine, University of Glasgow, Scotland, Glasgow, United Kingdom, School of Geographical &amp; amp; Earth Sciences, University of Glasgow, Scotland, Glasgow, United Kingdom; Jimenez G., Sorbonne Université, Institute du Cerveau - ICM, CNRS, Inria, AP-HP, Inserm, Paris, France; Manrique E., School of Biodiversity, One Health &amp; amp; Veterinary Medicine, University of Glasgow, Scotland, Glasgow, United Kingdom; Kahamba N.F., School of Biodiversity, One Health &amp; amp; Veterinary Medicine, University of Glasgow, Scotland, Glasgow, United Kingdom, Environmental Health and Ecological Sciences Department, Ifakara Health Institute, Ifakara, Tanzania; Okumu F., School of Biodiversity, One Health &amp; amp; Veterinary Medicine, University of Glasgow, Scotland, Glasgow, United Kingdom, Environmental Health and Ecological Sciences Department, Ifakara Health Institute, Ifakara, Tanzania; Apollinaire N., Centre National de Recherche et de Formation sur le Paludisme, Ouagadougou, Burkina Faso; Carrasco-Escobar G., Health Innovation Laboratory, Institute of Tropical Medicine “Alexander von Humboldt”, Universidad Peruana Cayetano Heredia, Lima, Peru; Barrett B., School of Geographical &amp; amp; Earth Sciences, University of Glasgow, Scotland, Glasgow, United Kingdom; Fornace K., School of Biodiversity, One Health &amp; amp; Veterinary Medicine, University of Glasgow, Scotland, Glasgow, United Kingdom, Saw Swee Hock School of Public Health, National University of Singapore and National University Health System, Singapore, Singapore</t>
  </si>
  <si>
    <t xml:space="preserve">Drone; Mosquito-borne diseases; Remote sensing; Segment anything model; UAV</t>
  </si>
  <si>
    <t xml:space="preserve">Animals; Climate Change; Geographic Information Systems; Humans; Image Processing, Computer-Assisted; Malaria; Mosquito Vectors; Remote Sensing Technology; Africa; South America; Southeast Asia; artificial intelligence; classification; digitization; disease vector; epidemiology; image resolution; land cover; malaria; mosquito; remote sensing; segmentation; unmanned vehicle; animal; climate change; epidemiology; geographic information system; human; image processing; malaria; mosquito vector; procedures; remote sensing</t>
  </si>
  <si>
    <t xml:space="preserve">Sir Henry Dale fellowship; Wellcome Trust, WT; Royal Society, (221963/Z/20/Z); Royal Society; Biotechnology and Biological Sciences Research Council, BBSRC, (BB/X511110/1); Biotechnology and Biological Sciences Research Council, BBSRC; Engineering and Physical Sciences Research Council, EPSRC, (EP/X5257161/1); Engineering and Physical Sciences Research Council, EPSRC</t>
  </si>
  <si>
    <t xml:space="preserve">This work was supported by a Sir Henry Dale fellowship awarded to K.M.F. and jointly funded by the Wellcome Trust and Royal Society (Grant No. 221963/Z/20/Z). Additional funding was provided by BBSRC Impact Accelerator (BB/X511110/1) and EPSRC Impact Accelerator Awards (EP/X5257161/1). </t>
  </si>
  <si>
    <t xml:space="preserve">de Souza W.M., Weaver S.C., Effects of climate change and human activities on vector-borne diseases, Nat Rev Microbiol, (2024); Gibb R., Colon-Gonzalez F.J., Lan P.T., Huong P.T., Nam V.S., Duoc V.T., Hung D.T., Dong N.T., Chien V.C., Trang L.T.T., Et al., Interactions between climate change, urban infrastructure and mobility are driving dengue emergence in Vietnam, Nat Commun, 14, 1, (2023); Mondal N., The resurgence of dengue epidemic and climate change in India, Lancet, 401, pp. 727-728, (2023); Xu Y., Zhou J., Liu T., Liu P., Wu Y., Lai Z., Gu J., Chen X., Assessing the risk of spread of Zika virus under current and future climate scenarios, Biosaf Health, 4, 3, pp. 193-204, (2022); Marques R., Kruger R.F., Cunha S.K., Silveira A.S., Alves D., Rodrigues G.D., Peterson A.T., Jimenez-Garcia D., Climate change impacts on Anopheles (K.) cruzii in urban areas of Atlantic Forest of Brazil: challenges for malaria diseases, Acta Trop, 224, (2021); Mora C., McKenzie T., Gaw I.M., Dean J.M., von Hammerstein H., Knudson T.A., Setter R.O., Smith C.Z., Webster K.M., Patz J.A., Et al., Over half of known human pathogenic diseases can be aggravated by climate change, Nat Clim Change, 12, 9, pp. 869-875, (2022); Samarasekera U., Climate change and malaria: predictions becoming reality, Lancet, 402, pp. 361-362, (2023); Sanjeet B., Dengue outbreak in Peru affects adults and children, Lancet Infect Dis, 23, 9, (2023); Fornace K.M., Johnson E., Moreno M., Hardy A., Carrasco-Escobar G., Chap. 11 leveraging Earth observation data for surveillance of vector-borne diseases in changing environments, pp. 319-346, (2023); Malone J.B., Bergquist R., Martins M., Luvall J.C., Use of Geospatial Surveillance and Response systems for Vector-Borne diseases in the Elimination Phase, Trop Med Infect Dis, 4, 1, (2019); Kalluri S., Gilruth P., Rogers D., Szczur M., Surveillance of Arthropod Vector-Borne Infectious diseases using Remote sensing techniques: a review, PLoS Pathog, 3, 10, (2007); Zhao Q., Yu L., Du Z., Peng D., Hao P., Zhang Y., Gong P., An overview of the applications of Earth Observation Satellite Data: Impacts and future trends, Remote Sens, 14, 8, (2022); Wimberly M.C., de Beurs K.M., Loboda T.V., Pan W.K., Satellite observations and Malaria: New opportunities for Research and Applications, Trends Parasitol, 37, 6, pp. 525-537, (2021); Diuk-Wasser M.A.B.M., Sogoba N., Dolo G., Toure M.B., Traore S.F., Taylor C.E., Mapping rice field anopheline breeding habitats in Mali, West Africa, using landsat ETM + sensor data, Int J Remote Sens, 25, 2, pp. 359-376, (2004); Wilson M., Emerging and vector-borne diseases role of high spatial resolution and hyperspectral images in analyses and forecasts, J Geograph Syst, 4, pp. 31-42, (2002); Hoek Spaans R., Drumond B., van Daalen K.R., Rorato Vitor A.C., Derbyshire A., Da Silva A., Lana R.M., Vega M.S., Carrasco-Escobar G., Sobral Escada M.I., Et al., Ethical considerations related to drone use for environment and health research: a scoping review protocol, PLoS ONE, 19, 1, (2024); Carrasco-Escobar G., Manrique E., Ruiz-Cabrejos J., Saavedra M., Alava F., Bickersmith S., Prussing C., Vinetz J.M., Conn J.E., Moreno M., Et al., High-accuracy detection of malaria vector larval habitats using drone-based multispectral imagery, PLoS Negl Trop Dis, 13, 1, (2019); Stanton M.C., Kalonde P., Zembere K., Hoek Spaans R., Jones C.M., The application of drones for mosquito larval habitat identification in rural environments: a practical approach for malaria control?, Malar J, 20, 1, (2021); Hardy A., Makame M., Cross D., Majambere S., Msellem M., Using low-cost drones to map malaria vector habitats, Parasit Vectors, 10, 1, (2017); Zzapp.; Trujillano F., Jimenez Garay G., Alatrista-Salas H., Byrne I., Nunez-Del-prado M., Chan K., Manrique E., Johnson E., Apollinaire N., Kouame Kouakou P., Et al., Mapping Malaria Vector Habitats in West Africa: Drone Imagery and Deep Learning Analysis for Targeted Vector Surveillance, Remote Sensing Vol., 15, (2023); Wang C., Wang P., Ma N., A New Water Detection for Multispectral Images Based on Data Simulation and Random Forest, IGARSS 2022&amp;#x2013;2022 IEEE International Geoscience and Remote Sensing Symposium: 17&amp;#x2013;22 July 2022 2022, 2022, pp. 3191-3194; Luo Y., Feng A., Li H., Li D., Wu X., Liao J., Zhang C., Zheng X., Pu H., New deep learning method for efficient extraction of small water from remote sensing images, PLoS ONE, 17, 8, (2022); Xu X., Zhang H., Ran Y., Tan Z., High-Precision Segmentation of Buildings with Small Sample Sizes Based on Transfer Learning and Multi-Scale Fusion, Remote Sensing, 15, (2023); Zhang G., Roslan SNAb, Wang C., Quan L., Research on land cover classification of multi-source remote sensing data based on improved U-net network, Sci Rep, 13, 1, (2023); Mauricio J., Domingues I., Bernardino J., Comparing Vision Transformers and Convolutional Neural Networks for Image Classification: A Literature Review, Applied Sciences, 13, (2023); Bommasani R., Hudson D.A., Adeli E., Altman R.B., Arora S., von Arx S., Bernstein M.S., Bohg J., Bosselut A., Brunskill E., On the opportunities and Risks of Foundation Models, Corr 2021, Abs/2108.07258.; Kirillov A., Mintun E., Ravi N., Mao H., Rolland C., Gustafson L., Xiao T., Whitehead S., Berg A.C., Lo. W.-Y., Segment Anything, (2023); Wu Q., Prado Osco L., Samgeo: a Python package for segmenting geospatial data with the segment anything model (SAM), J Open Source Softw, 8, 89, (2023); Roshanravan B., Kari E., Gilman R.H., Cabrera L., Lee E., Metcalfe J., Calderon M., Lescano A.G., Montenegro S.H., Calampa C., Et al., Endemic malaria in the Peruvian Amazon region of Iquitos, Am J Trop Med Hyg, 69, 1, pp. 45-52, (2003); Byrne I., Chan K., Manrique E., Lines J., Wolie R.Z., Trujillano F., Garay G.J., Del Prado Cortez M.N., Alatrista-Salas H., Sternberg E., Et al., Technical Workflow Development for Integrating Drone Surveys and Entomological Sampling to Characterise Aquatic Larval Habitats of Anopheles funestus in Agricultural Landscapes in Côte d’Ivoire, J Environ Public Health, 2021, (2021); Kahamba N.F., Okumu F.O., Jumanne M., Kifungo K., Odero J.O., Baldini F., Ferguson H.M., Nelli L., Geospatial modelling of dry season habitats of the malaria vector, Anopheles Funestus, in south-eastern Tanzania, Parasites Vectors, 17, 1, (2024); Byrne I., Aure W., Manin B., Vythilingam I., Ferguson H.M., Drakeley C., Chua T., Fornace K., Environmental and spatial risk factors for the larval habitats of Plasmodium knowlesi vectors in Sabah, Malaysian Borneo, Sci Rep, 11, 1, (2021); Fornace K.M., Drakeley C.J., William T., Espino F., Cox J., Mapping infectious disease landscapes: unmanned aerial vehicles and epidemiology, Trends Parasitol, 30, 11, pp. 514-519, (2014); Liu Y., Zhang Y., Wang Y., Hou F., Yuan J., Tian J., Zhang Y., Shi Z., Fan J., He Z., A Survey of Visual transformers, IEEE Trans Neural Networks Learn Syst, pp. 1-21, (2023); Liu S., Zeng Z., Ren T., Li F., Zhang H., Yang J., Li C., Yang J., Su H., Zhu J., Grounding DINO: Marrying DINO with Grounded Pre-Training for Open-Set Object Detection., (2023); In., 3.32 edn, QGIS Association, (2024); Openai Chatgpt-4, (2024); Osco L.P., Wu Q., de Lemos E.L., Goncalves W.N., Ramos A.P.M., Li J., Marcato J., The segment anything model (SAM) for remote sensing applications: from zero to one shot, Int J Appl Earth Obs Geoinf, 124, (2023); Babu G.J., Bose A., Bootstrap confidence intervals, Stat Probab Lett, 7, 2, pp. 151-160, (1988); Zhang J., Yang X., Jiang R.W.S., L. Z: Rsam-Seg: A Sam-Based Approach with Prior Knowledge Integration for Remote Sensing Image Semantic Segmentation. Arxiv, (2024); Ren S., Luzi F., Lahrichi S., Kassaw K., Collins L.M., Bradbury K., Malof J.M., Segment Anything, From Space?, Proceedings of the IEEE/CVF Winter Conference on Applications of Computer Vision (WACV), pp. 8355-8365, (2024); Kucharczyk M., Hugenholtz C.H., Remote sensing of natural hazard-related disasters with small drones: global trends, biases, and research opportunities, Remote Sens Environ, 264, (2021); Sirko W., Kashubin S., Ritter M., Annkah A., Salah Y., Bouchareb E., Dauphin Y., Keysers D., Neumann M., Cisse M., Et al., Continental-Scale Building Detection from High Resolution Satellite Imagery, Arxiv, (2021); Mayladan A., Nasrallah H., Moughnieh H., Shukor M., Ghandour A.J., Zero-Shot Refinement of Buildings’ Segmentation Models using SAM, Arxiv, (2024); Zhang Y., Shen Z., Jiao R., Segment anything model for medical image segmentation: current applications and future directions, Comput Biol Med, 171, (2024); Carrasco-Escobar G., Moreno M., Fornace K., Herrera-Varela M., Manrique E., Conn J.E., The use of drones for mosquito surveillance and control, Parasit Vectors, 15, 1, (2022); Hardy A., Oakes G., Hassan J., Yussuf Y., Improved use of Drone Imagery for Malaria Vector Control through Technology-assisted Digitizing (TAD), Remote Sens, 14, 2, (2022); Valdez-Delgado K.M., Moo-Llanes D.A., Danis-Lozano R., Cisneros-Vazquez L.A., Flores-Suarez A.E., Ponce-Garcia G., Medina-De La Garza C.E., Diaz-Gonzalez E.E., Fernandez-Salas I., Field effectiveness of drones to identify potential aedes aegypti breeding sites in household environments from tapachula a dengue-endemic city in southern mexico insects., 12, 8, (2021); Passos W.L., Araujo G.M., de Lima A.A., Netto S.L., da Silva E.A., Automatic detection of aedes aegypti breeding grounds based on deep networks with spatio-temporal consistency, Computers Environment and Urban Systems, 93, (2022); Steven M.C., Solomon P.D., Arumugam P., Rasali R., Dominic A.C., Ideris H.M., Marius D.F., Short report: Unmanned aerial vehicle for wide area larvicide spraying (WALS) using Vectobac® WG at Kota Kinabalu Sabah, J Infect Dev Ctries, 18, 2, pp. 299-302, (2024); Muniz-Sanchez V., Valdez-Delgado K.M., Hernandez-Lopez F.J., Moo-Llanes D.A., Gonzalez-Farias G., Danis-Lozano R., Use of Unmanned Aerial vehicles for building a House Risk Index of Mosquito-Borne viral diseases, Machines, 10, 12, (2022); Gupta A., Watson S., Yin H., Deep learning-based aerial image segmentation with open data for disaster impact assessment, Neurocomputing, 439, pp. 22-33, (2021); Wang B., Chen Z., Wu L., Yang X., Zhou Y., SADA-Net: a shape feature optimization and Multiscale Context Information-Based Water body extraction method for high-resolution remote sensing images, IEEE J Sel Top Appl Earth Observations Remote Sens, 15, pp. 1744-1759, (2022); Hardy A., Haji K., Abbas F., Hassan J., Ali A., Yussuf Y., Cook J., Rosu L., Houri-Yafin A., Vigodny A., Et al., Cost and quality of operational larviciding using drones and smartphone technology, Malar J, 22, 1, (2023)</t>
  </si>
  <si>
    <t xml:space="preserve">F. Trujillano; School of Biodiversity, One Health &amp; amp; Veterinary Medicine, University of Glasgow, Glasgow, Scotland, United Kingdom; email: Fedra.Trujillano@glasgow.ac.uk</t>
  </si>
  <si>
    <t xml:space="preserve">1476072X</t>
  </si>
  <si>
    <t xml:space="preserve">Int. J. Health Geogr.</t>
  </si>
  <si>
    <t xml:space="preserve">2-s2.0-85193676355</t>
  </si>
  <si>
    <t xml:space="preserve">Rezaei Z.; Tahmasebi A.; Pourabbas B.</t>
  </si>
  <si>
    <t xml:space="preserve">Rezaei, Zahra (57216939704); Tahmasebi, Ahmad (56363874900); Pourabbas, Bahman (10739127500)</t>
  </si>
  <si>
    <t xml:space="preserve">57216939704; 56363874900; 10739127500</t>
  </si>
  <si>
    <t xml:space="preserve">Using meta-analysis and machine learning to investigate the transcriptional response of immune cells to Leishmania infection</t>
  </si>
  <si>
    <t xml:space="preserve">Background Leishmaniasis is a parasitic disease caused by the Leishmania protozoan affecting millions of people worldwide, especially in tropical and subtropical regions. The immune response involves the activation of various cells to eliminate the infection. Understanding the complex interplay between Leishmania and the host immune system is crucial for developing effective treatments against this disease. Methods This study collected extensive transcriptomic data from macrophages, dendritic, and NK cells exposed to Leishmania spp. Our objective was to determine the Leishmania-responsive genes in immune system cells by applying meta-analysis and feature selection algorithms, followed by co-expression analysis. Results As a result of meta-analysis, we discovered 703 differentially expressed genes (DEGs), primarily associated with the immune system and cellular metabolic processes. In addition, we have substantiated the significance of transcription factor families, such as bZIP and C2H2 ZF, in response to Leishmania infection. Furthermore, the feature selection techniques revealed the potential of two genes, namely G0S2 and CXCL8, as biomarkers and therapeutic targets for Leishmania infection. Lastly, our co-expression analysis has unveiled seven hub genes, including PFKFB3, DIAPH1, BSG, BIRC3, GOT2, EIF3H, and ATF3, chiefly related to signaling pathways. Conclusions These findings provide valuable insights into the molecular mechanisms underlying the response of immune system cells to Leishmania infection and offer novel potential targets for the therapeutic goals. © 2024 Rezaei et al.</t>
  </si>
  <si>
    <t xml:space="preserve">e0011892</t>
  </si>
  <si>
    <t xml:space="preserve">10.1371/journal.pntd.0011892</t>
  </si>
  <si>
    <t xml:space="preserve">https://www.scopus.com/inward/record.uri?eid=2-s2.0-85182954087&amp;doi=10.1371%2fjournal.pntd.0011892&amp;partnerID=40&amp;md5=67ea0779c1acef80d7eeeda89a76ea85</t>
  </si>
  <si>
    <t xml:space="preserve">Alborzi Clinical Microbiology Research Center, Shiraz University of Medical Sciences, Shiraz, Iran; Shiraz Institute for Cancer Research, School of Medicine, Shiraz University of Medical Sciences, Shiraz, Iran</t>
  </si>
  <si>
    <t xml:space="preserve">Rezaei Z., Alborzi Clinical Microbiology Research Center, Shiraz University of Medical Sciences, Shiraz, Iran; Tahmasebi A., Alborzi Clinical Microbiology Research Center, Shiraz University of Medical Sciences, Shiraz, Iran, Shiraz Institute for Cancer Research, School of Medicine, Shiraz University of Medical Sciences, Shiraz, Iran; Pourabbas B., Alborzi Clinical Microbiology Research Center, Shiraz University of Medical Sciences, Shiraz, Iran</t>
  </si>
  <si>
    <t xml:space="preserve">Formins; Gene Expression Profiling; Humans; Leishmania; Leishmaniasis; Machine Learning; Macrophages; biological marker; toll like receptor 3; toll like receptor 4; transcription factor; DIAPH1 protein, human; formin (protein); Article; ATF3 gene; bioinformatics; BIRC3 gene; BSG gene; cytokine production; data mining; DIAPH1 gene; differential gene expression; EIF3H gene; feature selection algorithm; gene expression; gene identification; gene ontology; GOT2 gene; immune response; immunocompetent cell; innate immunity; learning algorithm; Leishmania; Leishmania braziliensis; Leishmania donovani; leishmaniasis; machine learning; meta analysis; microarray analysis; nonhuman; oxidative phosphorylation; PFKFB3 gene; principal component analysis; protein protein interaction; RNA sequence; signal transduction; support vector machine; transcriptomics; upregulation; validation process; gene expression profiling; genetics; human; Leishmania; machine learning; macrophage; metabolism; procedures</t>
  </si>
  <si>
    <t xml:space="preserve">toll like receptor 4, 203811-83-0; DIAPH1 protein, human, ; Formins, </t>
  </si>
  <si>
    <t xml:space="preserve">Ejazi SA, Ghosh S, Saha S, Choudhury ST, Bhattacharyya A, Chatterjee M, Et al., A multicentric evaluation of dipstick test for serodiagnosis of visceral leishmaniasis in India, Nepal, Sri Lanka, Brazil, Ethiopia and Spain, Scientific reports, 9, 1, (2019); Daumerie D, Peters P, Savioli L., Working to overcome the global impact of neglected tropical diseases: first WHO report on neglected tropical diseases, (2010); Daga MK, Rohatgi I, Mishra R., Leishmaniasis, Indian journal of critical care medicine: peer-reviewed, official publication of Indian Society of Critical Care Medicine, 25, pp. S166-s70, (2021); Saha S, Shalova IN, Biswas SK., Metabolic regulation of macrophage phenotype and function, Immunological reviews, 280, 1, pp. 102-111, (2017); Fakiola M, Singh OP, Syn G, Singh T, Singh B, Chakravarty J, Et al., Transcriptional blood signatures for active and amphotericin B treated visceral leishmaniasis in India, PLoS Neglected Tropical Diseases, 13, 8, (2019); Goncalves LO, Pulido AFV, Mathias FAS, Enes AES, Carvalho MGR, de Melo Resende D, Et al., Expression Profile of Genes Related to the Th17 Pathway in Macrophages Infected by Leishmania major and Leishmania amazonensis: The Use of Gene Regulatory Networks in Modeling This Pathway, Frontiers in Cellular and Infection Microbiology, 12, (2022); Bouabid C, Rabhi S, Thedinga K, Barel G, Tnani H, Rabhi I, Et al., Host M-CSF induced gene expression drives changes in susceptible and resistant mice-derived BMdMs upon Leishmania major infection, Frontiers in immunology, 14, (2023); Turnbull AK, Kitchen RR, Larionov AA, Renshaw L, Dixon JM, Sims AH., Direct integration of intensity-level data from Affymetrix and Illumina microarrays improves statistical power for robust reanalysis, BMC medical genomics, 5, 1, (2012); Hong F, Breitling R., A comparison of meta-analysis methods for detecting differentially expressed genes in microarray experiments, Bioinformatics, 24, 3, pp. 374-382, (2008); Pavlou MP, Dimitromanolakis A, Martinez-Morillo E, Smid M, Foekens JA, Diamandis EP., Integrating meta-analysis of microarray data and targeted proteomics for biomarker identification: application in breast cancer, Journal of proteome research, 13, 6, pp. 2897-2909, (2014); Goonesekere NCW, Wang X, Ludwig L, Guda C., A meta analysis of pancreatic microarray datasets yields new targets as cancer genes and biomarkers, PloS one, 9, 4, (2014); Patel H, Dobson RJ, Newhouse SJ., A meta-analysis of Alzheimer’s disease brain transcriptomic data, Journal of Alzheimer’s Disease, 68, 4, pp. 1635-1656, (2019); van IJzendoorn DG, Szuhai K, Briaire-de Bruijn IH, Kostine M, Kuijjer ML, Bovee JV., Machine learning analysis of gene expression data reveals novel diagnostic and prognostic biomarkers and identifies therapeutic targets for soft tissue sarcomas, PLoS computational biology, 15, 2, (2019); Ritchie ME, Phipson B, Wu D, Hu Y, Law CW, Shi W, Et al., limma powers differential expression analyses for RNA-sequencing and microarray studies, Nucleic acids research, 43, 7, (2015); Johnson WE, Li C, Rabinovic A., Adjusting batch effects in microarray expression data using empirical Bayes methods, Biostatistics, 8, 1, pp. 118-127, (2007); Marot G, Foulley J-L, Mayer C-D, Jaffrezic F., Moderated effect size and P-value combinations for microarray meta-analyses, Bioinformatics, 25, 20, pp. 2692-2699, (2009); Reimand J, Arak T, Adler P, Kolberg L, Reisberg S, Peterson H, Et al., g: Profiler—a web server for functional interpretation of gene lists (2016 update), Nucleic acids research, 44, W1, pp. W83-W9, (2016); Supek F, Bosnjak M, Skunca N, Smuc T., REVIGO summarizes and visualizes long lists of gene ontology terms, PloS one, 6, 7, (2011); Yu G, Wang L-G, Han Y, He Q-Y., clusterProfiler: an R package for comparing biological themes among gene clusters, Omics: a journal of integrative biology, 16, 5, pp. 284-287, (2012); Lambert SA, Jolma A, Campitelli LF, Das PK, Yin Y, Albu M, Et al., The human transcription factors, Cell, 172, 4, pp. 650-665, (2018); Langfelder P, Horvath S., WGCNA: an R package for weighted correlation network analysis, BMC bioinformatics, 9, 1, (2008); Ebrahimi M, Aghagolzadeh P, Shamabadi N, Tahmasebi A, Alsharifi M, Adelson DL, Et al., Understanding the underlying mechanism of HA-subtyping in the level of physic-chemical characteristics of protein, PloS one, 9, 5, (2014); Mohammadi-Dehcheshmeh M, Niazi A, Ebrahimi M, Tahsili M, Nurollah Z, Ebrahimi Khaksefid R, Et al., Unified transcriptomic signature of arbuscular mycorrhiza colonization in roots of Medicago truncatula by integration of machine learning, promoter analysis, and direct merging meta-analysis, Frontiers in Plant Science, 9, (2018); Guyon I, Elisseeff A., An introduction to variable and feature selection, Journal of machine learning research, 3, Mar, pp. 1157-1182, (2003); Rosario SF, Thangadurai K., RELIEF: feature selection approach, International journal of innovative research and development, 4, 11, pp. 218-224, (2015); Sharifi S, Pakdel A, Ebrahimi M, Reecy JM, Fazeli Farsani S, Ebrahimie E., Integration of machine learning and meta-analysis identifies the transcriptomic bio-signature of mastitis disease in cattle, PLoS one, 13, 2, (2018); Ebrahimi M, Mohammadi-Dehcheshmeh M, Ebrahimie E, Petrovski KR., Comprehensive analysis of machine learning models for prediction of sub-clinical mastitis: Deep learning and gradient-boosted trees outperform other models, Computers in biology and medicine, 114, (2019); Singh RK, Sivabalakrishnan M., Feature selection of gene expression data for cancer classification: a review, Procedia Computer Science, 50, pp. 52-57, (2015); Yang X, Lu X, Lombes M, Rha GB, Chi Y-I, Guerin TM, Et al., The G0/G1 switch gene 2 regulates adipose lipolysis through association with adipose triglyceride lipase, Cell metabolism, 11, 3, pp. 194-205, (2010); Russell L, Forsdyke D., A human putative lymphocyte G0/G1 switch gene containing a CpG-rich island encodes a small basic protein with the potential to be phosphorylated, DNA and cell biology, 10, 8, pp. 581-591, (1991); Heckmann BL, Zhang X, Xie X, Liu J., The G0/G1 switch gene 2 (G0S2): regulating metabolism and beyond, Biochimica et Biophysica Acta (BBA)-Molecular and Cell Biology of Lipids, 1831, 2, pp. 276-281, (2013); Varela MG, de Oliveira Bezerra M, Santana FV, Gomes MC, de Jesus Almeida PR, Silveira da Cruz G, Et al., Association between Hypertriglyceridemia and Disease Severity in Visceral Leishmaniasis, The American Journal of Tropical Medicine and Hygiene, (2021); Lal C, Verma R, Verma N, Siddiqui N, Rabidas V, Pandey K, Et al., Hypertriglyceridemia: a possible diagnostic marker of disease severity in visceral leishmaniasis, Infection, 44, 1, pp. 39-45, (2016); Faktor J, Pjechova M, Hernychova L, Vojtesek B., Protein Ubiquitination Research in Oncology, Klinicka Onkologie: Casopis Ceske A Slovenske Onkologicke Spolecnosti, 32, pp. 56-64, (2019); Sousa R, Andrade VM, Bair T, Ettinger NA, Guimaraes L, Andrade L, Et al., Early suppression of macrophage gene expression by Leishmania braziliensis, Frontiers in microbiology, 9, (2018); Beltowski J, Jamroz A., Adrenomedullin–what do we know 10 years since its discovery?, Pol J Pharmacol, 56, pp. 5-27, (2004); McLatchie LM, Fraser NJ, Main MJ, Wise A, Brown J, Thompson N, Et al., RAMPs regulate the transport and ligand specificity of the calcitonin-receptor-like receptor, Nature, 393, 6683, pp. 333-339, (1998); Diaz E, Febres A, Giammarresi M, Silva A, Vanegas O, Gomes C, Et al., G Protein-Coupled Receptors as Potential Intercellular Communication Mediators in Trypanosomatidae, Frontiers in Cellular and Infection Microbiology, (2022); Febres A, Vanegas O, Giammarresi M, Gomes C, Diaz E, Ponte-Sucre A., Is the activity of CGRP and Adrenomedullin regulated by RAMP (− 2) and (− 3) in Trypanosomatidae? An in-silico approach, Infection, Genetics and Evolution, 61, pp. 197-206, (2018); Lian Y-F, Yuan J, Cui Q, Feng Q-S, Xu M, Bei J-X, Et al., Upregulation of KLHDC4 predicts a poor prognosis in human nasopharyngeal carcinoma, PLoS One, 11, 3, (2016); Guttery DS, Poulin B, Ferguson DJ, Szoor B, Wickstead B, Carroll PL, Et al., A unique p rotein p hosphatase with k elch-l ike domains (ppkl) in plasmodium modulates ookinete differentiation, motility and invasion, (2012); Harashima T, Anderson S, Yates JR, Heitman J., The kelch proteins Gpb1 and Gpb2 inhibit Ras activity via association with the yeast RasGAP neurofibromin homologs Ira1 and Ira2, Molecular cell, 22, 6, pp. 819-830, (2006); Cummings HE, Tuladhar R, Satoskar AR., Cytokines and their STATs in cutaneous and visceral leishmaniasis, BioMed Research International, 2010, (2010); Singh OP, Sundar S., Immunotherapy and targeted therapies in treatment of visceral leishmaniasis: current status and future prospects, Frontiers in immunology, 5, (2014); Sobirk SK, Morgelin M, Egesten A, Bates P, Shannon O, Collin M., Human chemokines as antimicrobial peptides with direct parasiticidal effect on Leishmania mexicana in vitro, PLoS One, 8, 3, (2013); Giudice A, Vendrame C, Bezerra C, Carvalho LP, Delavechia T, Carvalho EM, Et al., Macrophages participate in host protection and the disease pathology associated with Leishmania braziliensisinfection, BMC infectious diseases, 12, 1, pp. 1-9, (2012); Maspi N, Abdoli A, Ghaffarifar F., Pro-and anti-inflammatory cytokines in cutaneous leishmaniasis: a review, Pathogens and global health, 110, 6, pp. 247-260, (2016); Korner H, McMorran B, Schluter D, Fromm P., The role of TNF in parasitic diseases: still more questions than answers, International journal for parasitology, 40, 8, pp. 879-888, (2010); Fromm PD, Kling JC, Remke A, Bogdan C, Korner H., Fatal leishmaniasis in the absence of TNF despite a strong Th1 response, Frontiers in microbiology, 6, (2016); Sacramento LA, Benevides L, Maruyama SR, Tavares L, Fukutani KF, Francozo M, Et al., TLR4 abrogates the Th1 immune response through IRF1 and IFN-β to prevent immunopathology during L. infantum infection, PLoS Pathogens, 16, 3, (2020); Kong F, Saldarriaga OA, Spratt H, Osorio EY, Travi BL, Luxon BA, Et al., Transcriptional profiling in experimental visceral leishmaniasis reveals a broad splenic inflammatory environment that conditions macrophages toward a disease-promoting phenotype, PLoS pathogens, 13, 1, (2017); Weiner O, Rentel M, Ott A, Brown G, Jedrychowski M., Hem-1 complexes are essential for Rac activation, actin polymerization, and myosin regulation, (2006); Saez PJ, Vargas P, Shoji KF, Harcha PA, Lennon-Dumenil A-M, Saez JC., ATP promotes the fast migration of dendritic cells through the activity of pannexin 1 channels and P2X7 receptors, Science Signaling, 10, 506, (2017); Thorstenberg ML, Rangel Ferreira MV, Amorim N, Canetti C, Morrone FB, Alves Filho JC, Et al., Purinergic cooperation between P2Y2 and P2X7 receptors promote cutaneous leishmaniasis control: involvement of pannexin-1 and leukotrienes, Frontiers in immunology, 9, (2018); Murillo J, Jassal B, Gomez MA, Hermjakob H., Exploring Leishmania-Host Interaction with Reactome, a Database of Biological Pathways and Processes, bioRxiv, (2021); Vogt PK., Fortuitous convergences: the beginnings of JUN, Nature Reviews Cancer, 2, 6, pp. 465-469, (2002); Wisdom R, Johnson RS, Moore C., c-Jun regulates cell cycle progression and apoptosis by distinct mechanisms, The EMBO journal, 18, 1, pp. 188-197, (1999); Salih M, Fakiola M, Lyons P, Younis B, Musa A, Elhassan A, Et al., Expression profiling of Sudanese visceral leishmaniasis patients pre-and post-treatment with sodium stibogluconate, Parasite Immunology, 39, 6, (2017); Kawasaki T, Kawai T., Toll-like receptor signaling pathways, Frontiers in immunology, 5, (2014); Cezario GAG, Oliveira LRCd, Peresi E, Nicolete VC, Polettini J, Lima CRGd, Et al., Analysis of the expression of toll-like receptors 2 and 4 and cytokine production during experimental Leishmania chagasi infection, Memorias do Instituto Oswaldo Cruz, 106, pp. 573-583, (2011); Aoki JI, Muxel SM, Zampieri RA, Muller KE, Nerland AH, Floeter-Winter LM., Differential immune response modulation in early Leishmania amazonensis infection of BALB/c and C57BL/6 macrophages based on transcriptome profiles, Scientific reports, 9, 1, pp. 1-14, (2019); Venugopal G, Bird JT, Washam CL, Roys H, Bowlin A, Byrum SD, Et al., In vivo transcriptional analysis of mice infected with Leishmania major unveils cellular heterogeneity and altered transcriptomic profiling at single-cell resolution, PLOS Neglected Tropical Diseases, 16, 7, (2022); Thalhofer CJ, Chen Y, Sudan B, Love-Homan L, Wilson ME., Leukocytes infiltrate the skin and draining lymph nodes in response to the protozoan Leishmania infantum chagasi, Infection and immunity, 79, 1, pp. 108-117, (2011); McFarlane E, Perez C, Charmoy M, Allenbach C, Carter KC, Alexander J, Et al., Neutrophils contribute to development of a protective immune response during onset of infection with Leishmania donovani, Infection and immunity, 76, 2, pp. 532-541, (2008); Gomes RS, Silva MVT, Oliveira MAP, Joosten LA, Ribeiro-Dias F., Protective immune response mediated by neutrophils in experimental visceral leishmaniasis is enhanced by IL-32γ, Cellular Immunology, 371, (2022); Huang SC-C, Smith AM, Everts B, Colonna M, Pearce EL, Schilling JD, Et al., Metabolic reprogramming mediated by the mTORC2-IRF4 signaling axis is essential for macrophage alternative activation, Immunity, 45, 4, pp. 817-830, (2016); Mehta MM, Weinberg SE, Chandel NS., Mitochondrial control of immunity: beyond ATP, Nature Reviews Immunology, 17, 10, pp. 608-620, (2017); Komander D, Rape M., The ubiquitin code, Annual review of biochemistry, 81, pp. 203-229, (2012); Damianou A, Burge RJ, Catta-Preta CM, Geoghegan V, Nievas YR, Newling K, Et al., Essential roles for deubiquitination in Leishmania life cycle progression, PLoS Pathogens, 16, 6, (2020); Khare S, Nagle AS, Biggart A, Lai YH, Liang F, Davis LC, Et al., Proteasome inhibition for treatment of leishmaniasis, Chagas disease and sleeping sickness, Nature, 537, 7619, pp. 229-233, (2016); Wyllie S, Brand S, Thomas M, De Rycker M, Chung C-w, Pena I, Et al., Preclinical candidate for the treatment of visceral leishmaniasis that acts through proteasome inhibition, Proceedings of the National Academy of Sciences, 116, 19, pp. 9318-9323, (2019); Boer DR, Bijlmakers M-J., Differential inhibition of human and trypanosome ubiquitin E1S by TAK-243 offers possibilities for parasite selective inhibitors, Scientific Reports, 9, 1, pp. 1-14, (2019); Lindenwald DL, Lepenies B., C-Type lectins in veterinary species: recent advancements and applications, International journal of molecular sciences, 21, 14, (2020); Romao PRT, Da Costa Santiago H, Ramos CDL, De Oliveira C, Monteiro MC, De Queiroz Cunha F, Et al., Mast cell degranulation contributes to susceptibility to Leishmania major, Parasite immunology, 31, 3, pp. 140-146, (2009); Caparros E, Serrano D, Puig-Kroger A, Riol L, Lasala F, Martinez I, Et al., Role of the C-type lectins DCSIGN and L-SIGN in Leishmania interaction with host phagocytes, Immunobiology, 210, 2– 4, pp. 185-193, (2005); Mahnke A, Meier RJ, Schatz V, Hofmann J, Castiglione K, Schleicher U, Et al., Hypoxia in Leishmania major skin lesions impairs the NO-dependent leishmanicidal activity of macrophages, Journal of Investigative Dermatology, 134, 9, pp. 2339-2346, (2014); Lin N, Simon MC., Hypoxia-inducible factors: key regulators of myeloid cells during inflammation, The Journal of clinical investigation, 126, 10, pp. 3661-3671, (2016); Schatz V, Strussmann Y, Mahnke A, Schley G, Waldner M, Ritter U, Et al., Myeloid cell–derived HIF-1α promotes control of Leishmania major, The Journal of Immunology, 197, 10, pp. 4034-4041, (2016); Fraga CAdC, Oliveira MVMd, Alves LR, Viana AG, Sousa AAd, Carvalho SFG, Et al., Immunohistochemical profile of HIF-1α, VEGF-A, VEGFR2 and MMP9 proteins in tegumentary leishmaniasis, Anais brasileiros de dermatologia, 87, pp. 709-713, (2012); Rabhi I, Rabhi S, Ben-Othman R, Rasche A, Consortium S, Daskalaki A, Et al., Transcriptomic signature of Leishmania infected mice macrophages: a metabolic point of view, (2012); Kushwaha R, Seth A, Jijumon A, Reshmi P, Dileep D, Datta R, Et al., Leishmania major formins are cytosolic actin bundler play an important role in cell physiology, bioRxiv, (2021); Saha S, Roy S, Dutta A, Jana K, Ukil A., Leishmania donovani targets host transcription factor NRf2 to activate antioxidant enzyme HO-1 and transcriptional repressor ATF3 for establishing infection, Infection and Immunity, 89, 7, pp. e00764-20, (2021)</t>
  </si>
  <si>
    <t xml:space="preserve">B. Pourabbas; Alborzi Clinical Microbiology Research Center, Shiraz University of Medical Sciences, Shiraz, Iran; email: bpourabbas@yahoo.com</t>
  </si>
  <si>
    <t xml:space="preserve">2-s2.0-85182954087</t>
  </si>
  <si>
    <t xml:space="preserve">Lukole E.A.; Cook J.; Mosha J.F.; Mallya E.; Aziz T.; Kulkarni M.A.; Matowo N.S.; Martin J.; Rowland M.; Kleinschmidt I.; Manjurano A.; Mosha F.W.; Protopopoff N.</t>
  </si>
  <si>
    <t xml:space="preserve">Lukole, Eliud Andrea (57201529432); Cook, Jackie (25229589900); Mosha, Jacklin F. (26040885800); Mallya, Elizabeth (57372935400); Aziz, Tatu (57372984600); Kulkarni, Manisha A. (14058187000); Matowo, Nancy S. (55671928500); Martin, Jacklin (58790044500); Rowland, Mark (57208307547); Kleinschmidt, Immo (7004029256); Manjurano, Alphaxard (25635896800); Mosha, Franklin W. (7003834141); Protopopoff, Natacha (22980777900)</t>
  </si>
  <si>
    <t xml:space="preserve">57201529432; 25229589900; 26040885800; 57372935400; 57372984600; 14058187000; 55671928500; 58790044500; 57208307547; 7004029256; 25635896800; 7003834141; 22980777900</t>
  </si>
  <si>
    <t xml:space="preserve">Will a lack of fabric durability be their downfall? Impact of textile durability on the efficacy of three types of dual-active-ingredient long-lasting insecticidal nets: a secondary analysis on malaria prevalence and incidence from a cluster-randomized trial in north-west Tanzania</t>
  </si>
  <si>
    <t xml:space="preserve">Background: The Dual-Active Ingredient long-lasting insecticidal nets (Dual-AI LLIN) have been developed to counteract the reduced efficacy of pyrethroid (PY)-only nets due to widespread pyrethroid insecticide resistance in malaria vector mosquitoes. They constitute half of the nets distributed in sub-Saharan Africa between 2022 and 2024. However, their effectiveness once they develop holes is unclear, particularly in pyrethroid-resistant settings. This study evaluates the textile integrity of three dual- AI LLINs compared to standard PY LLN, over 3 years of use in a community in Tanzania and the associated impact on malaria prevalence and incidence. Methods: A secondary analysis of data from a randomized controlled trial (RCT) in North-western Tanzania was conducted to evaluate the effectiveness of α-cypermethrin only; pyriproxyfen and α-cypermethrin (PPF-PY); chlorfenapyr and α-cypermethrin (chlorfenapyr-PY); and the synergist piperonyl butoxide and permethrin (PBO-PY) LLINs on malaria infection prevalence and case incidence. The association between the net textile condition and 1/malaria prevalence over 3 years of use between 2019 and 2022, and 2/malaria case incidence in a cohort of children over 2 years of follow-up was assessed between 2019 and 2021. Results: There was no significant association between damaged (OR 0.98, 95% CI 0.71–1.37, p-value = 0.655) and too-torn (OR 1.07, 95% CI 0.77–1.47, p-value = 0.694) compared to intact nets on malaria prevalence for all net types. However, there were reduced rates of malaria case incidence in children sleeping under a net in good condition compared to too-torn nets (incidence rate ratio (IRR) 0.76 [95% CI 0.63–0.92], p = 0.005). Malaria incidence was also consistently lower in too-torn PBO-PY LLIN (IRR = 0.37 [95% CI 0.19–0.72], p = 0.003) and chlorfenapyr-PY LLIN (IRR = 0.45 [95% CI 0.33–0.97], p = 0.053) compared to an intact PY-only LLIN during the first year of follow up. In year 2, the incidence was only significantly lower in intact chlorfenapyr-PY LLIN (IRR = 0.49 [95% CI 0.29–0.81], p = 0.006) compared to intact PY LLIN. Conclusion: The study confirmed that sleeping under a chlorfenapyr-PY LLIN or PBO-PY LLIN offered superior protection to pyrethroid-only nets even when torn. Preventing the development of holes is essential as they impact the level of protection offered against malaria infection. Trial registration: ClinicalTrials.gov, number (NCT03554616) © The Author(s) 2024.</t>
  </si>
  <si>
    <t xml:space="preserve">10.1186/s12936-024-05020-y</t>
  </si>
  <si>
    <t xml:space="preserve">https://www.scopus.com/inward/record.uri?eid=2-s2.0-85197179427&amp;doi=10.1186%2fs12936-024-05020-y&amp;partnerID=40&amp;md5=8d49af29239f0a1b414f1557349fc074</t>
  </si>
  <si>
    <t xml:space="preserve">Department of Parasitology, National Institute for Medical Research, Mwanza Medical Research Centre, Mwanza, Tanzania; Department of Infectious Disease Epidemiology, MRC International Statistics and Epidemiology Group, London School of Hygiene and Tropical Medicine, London, United Kingdom; Wits Research Institute for Malaria, School of Pathology, Faculty of Health Sciences, University of the Witwatersrand, Johannesburg, South Africa; Southern African Development Community Malaria Elimination Eight Secretariat, Windhoek, Namibia; Kilimanjaro Christian Medical University College, Moshi, Tanzania; School of Epidemiology and Public Health, University of Ottawa, Ottawa, ON, Canada; Department of Disease Control, London School of Hygiene and Tropical Medicine, London, United Kingdom</t>
  </si>
  <si>
    <t xml:space="preserve">Lukole E.A., Department of Parasitology, National Institute for Medical Research, Mwanza Medical Research Centre, Mwanza, Tanzania, Department of Disease Control, London School of Hygiene and Tropical Medicine, London, United Kingdom; Cook J., Department of Infectious Disease Epidemiology, MRC International Statistics and Epidemiology Group, London School of Hygiene and Tropical Medicine, London, United Kingdom; Mosha J.F., Department of Parasitology, National Institute for Medical Research, Mwanza Medical Research Centre, Mwanza, Tanzania; Mallya E., Kilimanjaro Christian Medical University College, Moshi, Tanzania; Aziz T., Department of Parasitology, National Institute for Medical Research, Mwanza Medical Research Centre, Mwanza, Tanzania; Kulkarni M.A., School of Epidemiology and Public Health, University of Ottawa, Ottawa, ON, Canada; Matowo N.S., Department of Disease Control, London School of Hygiene and Tropical Medicine, London, United Kingdom; Martin J., Kilimanjaro Christian Medical University College, Moshi, Tanzania; Rowland M., Department of Disease Control, London School of Hygiene and Tropical Medicine, London, United Kingdom; Kleinschmidt I., Department of Infectious Disease Epidemiology, MRC International Statistics and Epidemiology Group, London School of Hygiene and Tropical Medicine, London, United Kingdom, Wits Research Institute for Malaria, School of Pathology, Faculty of Health Sciences, University of the Witwatersrand, Johannesburg, South Africa, Southern African Development Community Malaria Elimination Eight Secretariat, Windhoek, Namibia; Manjurano A., Department of Parasitology, National Institute for Medical Research, Mwanza Medical Research Centre, Mwanza, Tanzania; Mosha F.W., Kilimanjaro Christian Medical University College, Moshi, Tanzania; Protopopoff N., Department of Disease Control, London School of Hygiene and Tropical Medicine, London, United Kingdom</t>
  </si>
  <si>
    <t xml:space="preserve">Child, Preschool; Humans; Incidence; Insecticide Resistance; Insecticide-Treated Bednets; Insecticides; Malaria; Mosquito Control; Permethrin; Piperonyl Butoxide; Prevalence; Pyrethrins; Tanzania; Textiles; chlorfenapyr; cypermethrin; permethrin; pesticide; piperonyl butoxide; pyrethroid; pyriproxyfen; unclassified drug; insecticide; permethrin; piperonyl butoxide; pyrethroid; adolescent; Article; child; cluster analysis; compressive strength; controlled study; double blind procedure; fabric durability; health auxiliary; human; infant; malaria; parasitemia; prevalence; principal component analysis; randomized controlled trial; social status; Tanzania; textile durability; World Health Organization; epidemiology; incidence; insecticide resistance; insecticide treated net; mosquito control; preschool child; prevalence; prevention and control; procedures; textile</t>
  </si>
  <si>
    <t xml:space="preserve">cypermethrin, 52315-07-8, 65731-84-2, 66841-24-5, 67375-30-8; permethrin, 51877-74-8, 52645-53-1; piperonyl butoxide, 51-03-6; pyriproxyfen, 95737-68-1; cypermethrin, ; Insecticides, ; Permethrin, ; Piperonyl Butoxide, ; Pyrethrins, </t>
  </si>
  <si>
    <t xml:space="preserve">CareStart malaria HRP2, DiaSys, United Kingdom; Open-Data-Kit software; STATA release 15, StataCorp, United States</t>
  </si>
  <si>
    <t xml:space="preserve">DiaSys, United Kingdom; StataCorp, United States</t>
  </si>
  <si>
    <t xml:space="preserve">Misungwi District council</t>
  </si>
  <si>
    <t xml:space="preserve">The authors would like to thank colleagues and staff at Pan-African Malaria Vector Research Consortium (PAMVERC) in Misungwi-Mwanza who were involved in the project. As well, the authors acknowledge the assistance provided by government leaders at the Misungwi District council (district, ward, village and hamlet level). The authors also thank Hon. Juma Sweda (Former Misungwi District Commissioner) and Dr. Thomas Rutachunzibwa (Mwanza Regional Medical Officer) for their immense support for creating friendly atmosphere for running the project. Finally, the authors are grateful to all the participating households for their cooperation.</t>
  </si>
  <si>
    <t xml:space="preserve">. World Malaria Report 2022, (2022); Specifications and evaluations for public health pesticides: Alpha-cypermethrin +chlorfenapyr., (2019); Geneva, World Health Organization, (2023); Protopopoff N., Mosha J.F., Lukole E., Charlwood J.D., Wright A., Mwalimu C.D., Et al., Effectiveness of a long-lasting piperonyl butoxide-treated insecticidal net and indoor residual spray interventions, separately and together, against malaria transmitted by pyrethroid-resistant mosquitoes: a cluster, randomised controlled, two-by-two factorial design trial, Lancet, 391, pp. 1577-1588, (2018); Rugnao S., Gonahasa S., Maiteki-Sebuguzi C., Opigo J., Yeka A., Katureebe A., Et al., LLIN Evaluation in Uganda Project (LLINEUP): factors associated with childhood parasitaemia and anaemia 3 years after a national long-lasting insecticidal net distribution campaign: a cross-sectional survey, Malar J, 18, (2019); Mosha J.F., Kulkarni M.A., Lukole E., Matowo N.S., Pitt C., Messenger L.A., Et al., Effectiveness and cost-effectiveness against malaria of three types of dual-active-ingredient long-lasting insecticidal nets (LLINs) compared with pyrethroid-only LLINs in Tanzania: a four-arm, cluster-randomised trial, Lancet, 399, pp. 1227-1241, (2022); Accrombessi M., Cook J., Dangbenon E., Yovogan B., Akpovi H., Sovi A., Et al., Efficacy of pyriproxyfen-pyrethroid long-lasting insecticidal nets (LLINs) and chlorfenapyr-pyrethroid LLINs compared with pyrethroid-only LLINs for malaria control in Benin: a cluster-randomised, superiority trial, Lancet, 401, pp. 435-446, (2023); Tiono A.B., Ouedraogo A., Ouattara D., Bougouma E.C., Coulibaly S., Diarra A., Et al., Efficacy of Olyset Duo, a bednet containing pyriproxyfen and permethrin, versus a permethrin-only net against clinical malaria in an area with highly pyrethroid-resistant vectors in rural Burkina Faso: a cluster-randomised controlled trial, Lancet, 392, pp. 569-580, (2018); 2024, (2024); Lukole E., Cook J., Mosha J.F., Messenger L.A., Rowland M., Kleinschmidt I., Et al., Protective efficacy of holed and aging PBO-pyrethroid synergist-treated nets on malaria infection prevalence in north-western Tanzania, PLoS Glob Public Health, 2, (2022); Ochomo E.O., Bayoh N.M., Walker E.D., Abongo B.O., Ombok M.O., Ouma C., Et al., The efficacy of long-lasting nets with declining physical integrity may be compromised in areas with high levels of pyrethroid resistance, Malar J, 12, (2013); Ngufor C., N'Guessan R., Boko P., Odjo A., Vigninou E., Asidi A., Et al., Combining indoor residual spraying with chlorfenapyr and long-lasting insecticidal bed nets for improved control of pyrethroid-resistant Anopheles gambiae: an experimental hut trial in benin, Malar J, 16, 10, (2011); N'Guessan R., Corbel V., Akogbeto M., Rowland M., Reduced efficacy of insecticide-treated nets and indoor residual spraying for malaria control in pyrethroid resistance area Benin, Emerg Infect Dis, 13, pp. 199-206, (2007); Irish S., N'Guessan R., Boko P., Metonnou C., Odjo A., Akogbeto M., Et al., Loss of protection with insecticide-treated nets against pyrethroid-resistant Culex quinquefasciatus mosquitoes once nets become holed: an experimental hut study, Parasit Vectors, 1, (2008); Lindblade K.A., Mwandama D., Mzilahowa T., Steinhardt L., Gimnig J., Shah M., Et al., A cohort study of the effectiveness of insecticide-treated bed nets to prevent malaria in an area of moderate pyrethroid resistance Malawi, Malar J, 14, (2015); Rehman A.M., Coleman M., Schwabe C., Baltazar G., Matias A., Gomes I.R., Et al., How much does malaria vector control quality matter: the epidemiological impact of holed nets and inadequate indoor residual spraying, PLoS ONE, 6, (2011); Bradley J., Ogouyemi-Hounto A., Cornelie S., Fassinou J., de Tove Y.S.S., Adeothy A.A., Et al., Insecticide-treated nets provide protection against malaria to children in an area of insecticide resistance in Southern Benin, Malar J, 16, (2017); Mosha J.F., Kulkarni M.A., Messenger L.A., Rowland M., Matowo N., Pitt C., Et al., Protocol for a four parallel-arm, single-blind, cluster-randomised trial to assess the effectiveness of three types of dual active ingredient treated nets compared to pyrethroid-only long-lasting insecticidal nets to prevent malaria transmitted by pyrethroid insecticide-resistant vector mosquitoes in Tanzania, BMJ Open, 11, (2021); Mosha J.F., Matowo N.S., Kulkarni M.A., Messenger L.A., Lukole E., Mallya E., Et al., Effectiveness of long-lasting insecticidal nets with pyriproxyfen-pyrethroid, chlorfenapyr-pyrethroid, or piperonyl butoxide-pyrethroid versus pyrethroid only against malaria in Tanzania: Final-year results of a four-arm, single-blind, cluster-randomised trial, Lancet Infect Dis, 24, (2024); Guidelines for Laboratory and Field-Testing of Long-Lasting Insecticidal Nets: Control of Neglected Tropical Diseases WHO Pesticide Evaluation Scheme, (2013); Shah M.P., Steinhardt L.C., Mwandama D., Mzilahowa T., Gimnig J.E., Bauleni A., Et al., The effectiveness of older insecticide-treated bed nets (ITNs) to prevent malaria infection in an area of moderate pyrethroid resistance: results from a cohort study in Malawi, Malar J, 19, (2020); Kleinschmidt I., Bradley J., Knox T.B., Mnzava A.P., Kafy H.T., Mbogo C., Et al., Implications of insecticide resistance for malaria vector control with long-lasting insecticidal nets: a WHO-coordinated, prospective, international, observational cohort study, Lancet Infect Dis, 18, pp. 640-649, (2018); Mejia P., Teklehaimanot H.D., Tesfaye Y., Teklehaimanot A., Physical condition of Olyset(R) nets after five years of utilization in rural western Kenya, Malar J, 12, (2013); Minta A.A., Landman K.Z., Mwandama D.A., Shah M.P., Eng J.L.V., Sutcliffe J.F., Et al., The effect of holes in long-lasting insecticidal nets on malaria in Malawi: results from a case-control study, Malar J, 16, (2017); Obala A.A., Mangeni J.N., Platt A., Aswa D., Abel L., Namae J., Et al., What is threatening the effectiveness of insecticide-treated bednets? A case-control study of environmental, behavioral, and physical factors associated with prevention failure, PLoS ONE, 10, (2015); Pulford J., Hetzel M.W., Bryant M., Siba P.M., Mueller I., Reported reasons for not using a mosquito net when one is available: a review of the published literature, Malar J, 10, (2011); Martin J., Lukole E., Messenger L.A., Aziz T., Mallya E., Bernard E., Et al., Monitoring of fabric integrity and attrition rate of dual-active ingredient long-lasting insecticidal nets in tanzania: a prospective cohort study nested in a cluster randomized controlled trial, Insects, 15, (2024); Achieving and Maintaining Universal Coverage with Long-Lasting Insecticidal Nets for Malaria Control: Recommendations, (2017); Lorenz L.M., Bradley J., Yukich J., Massue D.J., Mageni Mboma Z., Pigeon O., Et al., Comparative functional survival and equivalent annual cost of 3 long-lasting insecticidal net (LLIN) products in Tanzania: a randomised trial with 3-year follow up, PLoS Med, 17, (2020); Msellemu D., Shemdoe A., Makungu C., Mlacha Y., Kannady K., Dongus S., Et al., The underlying reasons for very high levels of bed net use, and higher malaria infection prevalence among bed net users than non-users in the Tanzanian city of Dar es Salaam: a qualitative study, Malar J, 16, (2017); Teklemariam Z., Awoke A., Dessie Y., Weldegebreal F., Ownership and utilization of insecticide-treated nets (ITNs) for malaria control in Harari National Regional State, Eastern Ethiopia Pan Afr Med J, 21, (2015); Pooseesod K., Parker D.M., Meemon N., Lawpoolsri S., Singhasivanon P., Sattabongkot J., Et al., Ownership and utilization of bed nets and reasons for use or non-use of bed nets among community members at risk of malaria along the Thai-Myanmar border, Malar J, 20, (2021); Skovmand O., Bosselmann R., Strength of bed nets as function of denier, knitting pattern, texturizing and polymer, Malar J, 10, (2011); Martin J.L., Mosha F.W., Lukole E., Rowland M., Todd J., Charlwood J.D., Et al., Personal protection with PBO-pyrethroid synergist-treated nets after 2 years of household use against pyrethroid-resistant Anopheles in Tanzania, Parasit Vectors, 14, (2021); Okumu F., The fabric of life: what if mosquito nets were durable and widely available but insecticide-free?, Malar J, 19, (2020)</t>
  </si>
  <si>
    <t xml:space="preserve">E.A. Lukole; Department of Parasitology, National Institute for Medical Research, Mwanza Medical Research Centre, Mwanza, Tanzania; email: Eliud.Lukole@lshtm.ac.uk</t>
  </si>
  <si>
    <t xml:space="preserve">2-s2.0-85197179427</t>
  </si>
  <si>
    <t xml:space="preserve">Chen C.; He Z.; Zhao J.; Zhu X.; Li J.; Wu X.; Chen Z.; Chen H.; Jia G.</t>
  </si>
  <si>
    <t xml:space="preserve">Chen, Chunrong (57451368300); He, Zhaoyuan (57267110700); Zhao, Jin (58659859500); Zhu, Xuhui (59349306300); Li, Jiabao (59349306400); Wu, Xinnan (59006763600); Chen, Zhongting (59283729100); Chen, Hailan (36833428800); Jia, Gengjie (58295073300)</t>
  </si>
  <si>
    <t xml:space="preserve">57451368300; 57267110700; 58659859500; 59349306300; 59349306400; 59006763600; 59283729100; 36833428800; 58295073300</t>
  </si>
  <si>
    <t xml:space="preserve">Zoonotic outbreak risk prediction with long short-term memory models: a case study with schistosomiasis, echinococcosis, and leptospirosis</t>
  </si>
  <si>
    <t xml:space="preserve">Background: Zoonotic infections, characterized with huge pathogen diversity, wide affecting area and great society harm, have become a major global public health problem. Early and accurate prediction of their outbreaks is crucial for disease control. The aim of this study was to develop zoonotic diseases risk predictive models based on time-series incidence data and three zoonotic diseases in mainland China were employed as cases. Methods: The incidence data for schistosomiasis, echinococcosis, and leptospirosis were downloaded from the Scientific Data Centre of the National Ministry of Health of China, and were processed by interpolation, dynamic curve reconstruction and time series decomposition. Data were decomposed into three distinct components: the trend component, the seasonal component, and the residual component. The trend component was used as input to construct the Long Short-Term Memory (LSTM) prediction model, while the seasonal component was used in the comparison of the periods and amplitudes. Finaly, the accuracy of the hybrid LSTM prediction model was comprehensive evaluated. Results: This study employed trend series of incidence numbers and incidence rates of three zoonotic diseases for modeling. The prediction results of the model showed that the predicted incidence number and incidence rate were very close to the real incidence data. Model evaluation revealed that the prediction error of the hybrid LSTM model was smaller than that of the single LSTM. Thus, these results demonstrate that using trending sequences as input sequences for the model leads to better-fitting predictive models. Conclusions: Our study successfully developed LSTM hybrid models for disease outbreak risk prediction using three zoonotic diseases as case studies. We demonstrate that the LSTM, when combined with time series decomposition, delivers more accurate results compared to conventional LSTM models using the raw data series. Disease outbreak trends can be predicted more accurately using hybrid models. © The Author(s) 2024.</t>
  </si>
  <si>
    <t xml:space="preserve">BMC Infectious Diseases</t>
  </si>
  <si>
    <t xml:space="preserve">10.1186/s12879-024-09892-y</t>
  </si>
  <si>
    <t xml:space="preserve">https://www.scopus.com/inward/record.uri?eid=2-s2.0-85205336534&amp;doi=10.1186%2fs12879-024-09892-y&amp;partnerID=40&amp;md5=99cd051d955e40a7cd41e8f1ea41e7e3</t>
  </si>
  <si>
    <t xml:space="preserve">College of Animal Science and Technology, Guangxi University, Nanning, 530004, China; Genome Analysis Laboratory of the Ministry of Agriculture and Rural Affairs, Agricultural Genomics Institute at Shenzhen, Chinese Academy of Agricultural Sciences, Shenzhen, 518120, China; College of Data Science, Taiyuan University of Technology, Taiyuan, 030024, China; College of Informatics, Huazhong Agricultural University, Wuhan, 430070, China</t>
  </si>
  <si>
    <t xml:space="preserve">Chen C., College of Animal Science and Technology, Guangxi University, Nanning, 530004, China, Genome Analysis Laboratory of the Ministry of Agriculture and Rural Affairs, Agricultural Genomics Institute at Shenzhen, Chinese Academy of Agricultural Sciences, Shenzhen, 518120, China; He Z., College of Animal Science and Technology, Guangxi University, Nanning, 530004, China; Zhao J., College of Animal Science and Technology, Guangxi University, Nanning, 530004, China, Genome Analysis Laboratory of the Ministry of Agriculture and Rural Affairs, Agricultural Genomics Institute at Shenzhen, Chinese Academy of Agricultural Sciences, Shenzhen, 518120, China; Zhu X., Genome Analysis Laboratory of the Ministry of Agriculture and Rural Affairs, Agricultural Genomics Institute at Shenzhen, Chinese Academy of Agricultural Sciences, Shenzhen, 518120, China, College of Informatics, Huazhong Agricultural University, Wuhan, 430070, China; Li J., Genome Analysis Laboratory of the Ministry of Agriculture and Rural Affairs, Agricultural Genomics Institute at Shenzhen, Chinese Academy of Agricultural Sciences, Shenzhen, 518120, China, College of Data Science, Taiyuan University of Technology, Taiyuan, 030024, China; Wu X., Genome Analysis Laboratory of the Ministry of Agriculture and Rural Affairs, Agricultural Genomics Institute at Shenzhen, Chinese Academy of Agricultural Sciences, Shenzhen, 518120, China, College of Data Science, Taiyuan University of Technology, Taiyuan, 030024, China; Chen Z., College of Animal Science and Technology, Guangxi University, Nanning, 530004, China, Genome Analysis Laboratory of the Ministry of Agriculture and Rural Affairs, Agricultural Genomics Institute at Shenzhen, Chinese Academy of Agricultural Sciences, Shenzhen, 518120, China; Chen H., College of Animal Science and Technology, Guangxi University, Nanning, 530004, China; Jia G., Genome Analysis Laboratory of the Ministry of Agriculture and Rural Affairs, Agricultural Genomics Institute at Shenzhen, Chinese Academy of Agricultural Sciences, Shenzhen, 518120, China</t>
  </si>
  <si>
    <t xml:space="preserve">Echinococcosis; Incidence forecasting; Leptospirosis; LSTM; Schistosomiasis; Time series decomposition; Zoonoses</t>
  </si>
  <si>
    <t xml:space="preserve">Animals; China; Disease Outbreaks; Echinococcosis; Humans; Incidence; Leptospirosis; Risk Assessment; Schistosomiasis; Zoonoses; accuracy; algorithm; Article; decomposition; echinococcosis; forecasting; human; hybrid; incidence; leptospirosis; long short term memory network; machine learning; mortality rate; prediction; prediction error; predictive model; public health; public health problem; schistosomiasis; zoonosis; animal; China; epidemic; epidemiology; risk assessment</t>
  </si>
  <si>
    <t xml:space="preserve">Chinese Academy of Agricultural Sciences and Agricultural Genomics Institute at Shenzhen, Chinese Academy of Agricultural Sciences; earmarked fund for Bama County Program for Talents in Science and Technology, Guangxi, China, (20210034)</t>
  </si>
  <si>
    <t xml:space="preserve">This research is supported by the earmarked fund for Bama County Program for Talents in Science and Technology, Guangxi, China (20210034); Innovation Program of Chinese Academy of Agricultural Sciences and Agricultural Genomics Institute at Shenzhen, Chinese Academy of Agricultural Sciences. </t>
  </si>
  <si>
    <t xml:space="preserve">Morse S.S., Mazet J.A., Woolhouse M., Parrish C.R., Carroll D., Karesh W.B., Et al., Prediction and prevention of the next pandemic zoonosis, Lancet, 380, 9857, pp. 1956-1965, (2012); Safiabadi Tali S.H., LeBlanc J.J., Sadiq Z., Oyewunmi O.D., Camargo C., Nikpour B., Et al., Tools and Techniques for severe acute respiratory syndrome coronavirus 2 (SARS-CoV-2)/COVID-19 detection, Clin Microbiol Rev, 34, 3, pp. e00228-e320, (2021); Myers K.P., Olsen C.W., Gray G.C., Cases of swine influenza in humans: a review of the literature, Cli Infect Dis, 44, 8, pp. 1084-1088, (2007); Chmielewski R., Swayne D.E., Avian influenza: public health and food safety concerns, Annu Rev Food Sci T, 2, pp. 37-57, (2011); Wilder-Smith A., Dengue during the COVID-19 pandemic, J Travel Med, 28, 8, (2021); Brady O.J., Hay S.I., The first local cases of Zika virus in Europe, Lancet, 394, pp. 1991-1992, (2019); Ganaie S.S., Schwarz M.M., McMillen C.M., Price D.A., Feng A.X., Albe J.R., Et al., Lrp1 is a host entry factor for Rift Valley fever virus, Cell, 184, pp. 5163-5178, (2021); York A., The bodily distribution of monkeypox virus, Nat Rev Microbiol, 20, (2022); Jacob S.T., Crozier I., Fischer W.A., Hewlett A., Kraft C.S., de La Vega M.A., Et al., Ebola virus disease, Nat Rev Dis Primers, 6, (2020); Beard R., Wentz E., Scotch M., A systematic review of spatial decision support systems in public health informatics supporting the identification of high risk areas for zoonotic disease outbreaks, Int J Health Geogr, 17, 1, (2018); Shi L., Zhang J.F., Li W., Yang K., Development of new technologies for risk identification of schistosomiasis transmission in China, Pathogens, 11, 2, (2022); Li E.Y., Gurarie D., Lo N.C., Zhu X., King C.H., Improving public health control of schistosomiasis with a modified WHO strategy: a model-based comparison study, Lancet Glob Health, 7, 10, pp. e1414-e1422, (2019); Budke C.M., Deplazes P., Torgerson P.R., Global socioeconomic impact of cystic echinococcosis, Emerg Infect Dis, 12, 2, pp. 296-303, (2006); Torgerson P.R., Macpherson C.N.L., The socioeconomic burden of parasitic zoonoses: global trends, Vet Parasitol, 182, 1, pp. 79-95, (2011); Rajapakse S., Leptospirosis: clinical aspects, Clin Med, 22, 1, pp. 14-17, (2022); Costa F., Hagan J.E., Calcagno J., Kane M., Torgerson P., Martinez-Silveira M.S., Et al., Global morbidity and mortality of leptospirosis: A systematic review, Plos Neglect Trop D, 9, 9, (2015); Wang Y., Zeng L., Yang H., Xu J., Zhang X., Guo X., Et al., High prevalence of pathogenic Leptospira in wild and domesticated animals in an endemic area of China, Asian Pac J Trop Med, 4, 11, pp. 841-845, (2011); Zhang H., Zhang C., Zhu Y., Mehmood K., Liu J., McDonough S.P., Et al., Leptospirosis trends in China, 2007–2018: A retrospective observational study, Transbound Emerg Dis, 67, 3, pp. 1119-1128, (2020); Dhewantara P.W., Mamun A.A., Zhang W.Y., Yin W.W., Ding F., Guo D., Et al., Epidemiological shift and geographical heterogeneity in the burden of leptospirosis in China, Infect Dis Poverty, 7, 3, pp. 10-23, (2018); Shuang K., Li R., Gu M., Loo J., Su S., Major-minor long short-term memory for word-level language model, Ieee T Neur Net Lear, 31, 10, pp. 3932-3946, (2020); Zandavi S.M., Rashidi T.H., Vafaee F., Dynamic hybrid model to forecast the spread of COVID-19 using LSTM and behavioral models under uncertainty, Ieee T Cybernetics, 52, 11, pp. 11977-11989, (2022); Manuel D.G., Tuna M., Bennett C., Hennessy D., Rosella L., Sanmartin C., Et al., Development and validation of a cardiovascular disease risk-prediction model using population health surveys: the Cardiovascular Disease Population Risk Tool (CVDPoRT), Can Med Assoc J, 190, 29, pp. E871-E882, (2018); Anwar M.Y., Lewnard J.A., Parikh S., Pitzer V.E., Time series analysis of malaria in Afghanistan: using ARIMA models to predict future trends in incidence, Malaria J, 15, 1, (2016); Lombardo E., Rabe M., Xiong Y., Nierer L., Cusumano D., Placidi L., Et al., Evaluation of real-time tumor contour prediction using LSTM networks for MR-guided radiotherapy, Radiother Oncol, 182, (2023); Korsakov I., Gusev A., Kuznetsova T., Et al., Deep and machine learning models to improve risk prediction of cardiovascular disease using data extraction from electronic health records, Eur Heart J, 40, (2019); Mehdipour Ghazi M., Nielsen M., Pai A., Et al., Training recurrent neural networks robust to incomplete data: Application to Alzheimer’s disease progression modeling, Med Image Anal, 53, pp. 39-46, (2019); Donatelli R.E., Park J.A., Mathews S.M., Lee S.J., Time series analysis, Am J Orthod Dentofac, 161, 4, pp. 605-608, (2022); Rojo J., Rivero R., Romero-Morte J., Fernandez-Gonzalez F., Perez-Badia R., Modeling pollen time series using seasonal-trend decomposition procedure based on LOESS smoothing, Int J Biometeorol, 61, 2, pp. 335-348, (2017); Brockwell P.J., Davis R.A., Introduction to time series and forecasting, Biometrics, 54, 3, (1998); Currie K.I., Brailsford G., Nichol S., Gomez A., Sparks R., Lassey K.R., Et al., Tropospheric 14CO&lt;sub&gt;2&lt;/sub&gt; at Wellington, New Zealand: the world’s longest record, Biogeochemistry, 104, pp. 5-22, (2011); Petropavlovskikh I., Evans R., McConville G., Manney G.L., Rieder H.E., The influence of the North Atlantic Oscillation and El Niño-Southern Oscillation on mean and extreme values of column ozone over the United States, Atmos Chem Phys, 15, pp. 1585-1598, (2015); Gu J., Liang L., Song H., Kong Y., Ma R., Hou Y., Et al., A method for hand-foot-mouth disease prediction using GeoDetector and LSTM model in Guangxi, China, Sci Rep-UK, 9, 1, (2019); Cao J., Zhao D., Tian C., Jin T., Song F., Adopting improved Adam optimizer to train dendritic neuron model for water quality prediction, Math Biosci Eng, 20, 5, pp. 9489-9510, (2023); Khazraei S.M., Amiri-Simkooei A.R., On the application of monte carlo singular spectrum analysis to GPS position time series, J Geodesy, 93, 9, pp. 1401-1418, (2019); Li S., Sun Y., Han Y., Alfarraj O., Tolba A., Sharma P.K., A novel joint Time-Frequency Spectrum resources sustainable risk prediction algorithm based on TFBRL-network for the electromagnetic environment, Sustainability, 15, 6, (2023); Enevoldsen J., Simpson G.L., Vistisen S.T., Using generalized additive models to decompose time series and waveforms, and dissect heart-lung interaction physiology, J Clin Monit Comput, 37, 1, pp. 165-177, (2023); Tsukiyama S., Hasan M.M., Fujii S., Kurata H., LSTM-PHV: prediction of human-virus protein-protein interactions by LSTM with word2vec, Brief Bioinform, 22, 6, pp. 1-9, (2021); Olsen F., Schillaci C., Ibrahim M., Lipani A., Borough-level COVID-19 forecasting in London using deep learning techniques and a novel MSE-Moran's I loss function, Results Phys, 35, (2022); Zhou Y., Jia E., Shi H., Liu Z., Sheng Y., Pan M., Et al., Prediction of time-series transcriptomic gene expression based on long short-term memory with empirical mode decomposition, Int J Mol Sci, 23, 14, (2022); Wang H., Zhang Y., Liang J., Liu L., DAFA-BiLSTM: Deep Autoregression Feature Augmented Bidirectional LSTM network for time series prediction, Neural Netw, 157, pp. 240-256, (2023); Green M.A., Use of machine learning approaches to compare the contribution of different types of data for predicting an individual’s risk of ill health: an observational study, Lancet, 392, 2, pp. 40-61, (2018); Ali F., El-Sappagh S., Islamd M.S.R., Kwake D., Ali A., Imrang M., Et al., A smart healthcare monitoring system for heart disease prediction based on ensemble deep learning and feature fusion, Inform Fusion, 63, pp. 208-222, (2020); Nie A., Zehnder A., Page R.L., Zhang Y., Pineda A.L., Rivas M.A., Et al., DeepTag: inferring diagnoses from veterinary clinical notes, NPJ Digit Med, 1, (2018)</t>
  </si>
  <si>
    <t xml:space="preserve">H. Chen; College of Animal Science and Technology, Guangxi University, Nanning, 530004, China; email: hlchen319@163.com; G. Jia; Genome Analysis Laboratory of the Ministry of Agriculture and Rural Affairs, Agricultural Genomics Institute at Shenzhen, Chinese Academy of Agricultural Sciences, Shenzhen, 518120, China; email: jiagengjie@caas.cn</t>
  </si>
  <si>
    <t xml:space="preserve">BIDMB</t>
  </si>
  <si>
    <t xml:space="preserve">BMC Infect. Dis.</t>
  </si>
  <si>
    <t xml:space="preserve">2-s2.0-85205336534</t>
  </si>
  <si>
    <t xml:space="preserve">Swaminathan D.; Thanuja R.; Krishna R.V.; Dunna H.R.; Thutte S.G.</t>
  </si>
  <si>
    <t xml:space="preserve">Swaminathan, Dilipkumar (58976891900); Thanuja, R. (55190042100); Krishna, Raavi Vijay (58976892000); Dunna, Harshavardhan Reddy (58976757700); Thutte, Sai Goutham (58976494100)</t>
  </si>
  <si>
    <t xml:space="preserve">58976891900; 55190042100; 58976892000; 58976757700; 58976494100</t>
  </si>
  <si>
    <t xml:space="preserve">A deep learning-based malarial parasite detection using blood smear images for healthcare techniques</t>
  </si>
  <si>
    <t xml:space="preserve">Malaria is a vector-borne infectious disease that spreads through the bites of infected female mosquitoes, namely Anopheles, infected with the Plasmodium parasite. When an infected mosquito bites a person, the parasite increases its count in the affected person's liver and begins to destroy red blood cells. Traditionally, malaria diagnosis involves visually examining blood under a microscope, but this method can vary based on the expertise and experience of the pathologist. Different types of deep learning techniques have been used to detect infected blood cells automatically to improve diagnosis effectively. However, these methods often require expert knowledge to adjust features for detection. The proposed system of tuning the features using deep learning techniques can accurately detect malaria without needing hand-crafted features. This will be tested on a dataset (blood smear images) that can be accessed by the general public from NIH. © 2024, IGI Global. All rights reserved.</t>
  </si>
  <si>
    <t xml:space="preserve">Approaches to Human-Centered AI in Healthcare</t>
  </si>
  <si>
    <t xml:space="preserve">IGI Global</t>
  </si>
  <si>
    <t xml:space="preserve">10.4018/979-8-3693-2238-3.ch009</t>
  </si>
  <si>
    <t xml:space="preserve">https://www.scopus.com/inward/record.uri?eid=2-s2.0-85189798960&amp;doi=10.4018%2f979-8-3693-2238-3.ch009&amp;partnerID=40&amp;md5=aac275c6fcb394de4ed8075391b42d83</t>
  </si>
  <si>
    <t xml:space="preserve">Vellore Institute of Technology, India; SASTRA University, India</t>
  </si>
  <si>
    <t xml:space="preserve">Swaminathan D., Vellore Institute of Technology, India; Thanuja R., SASTRA University, India; Krishna R.V., SASTRA University, India; Dunna H.R., SASTRA University, India; Thutte S.G., SASTRA University, India</t>
  </si>
  <si>
    <t xml:space="preserve">Boray Tek F., Dempster A., Kale I., Parasite detection and identification for automated thin blood film malaria diagnosis, (2009); Das P., Karuna G., Srilakshmi V., Rupa B., An efficient smartphone based Parasite Malaria Detection with Deep Neural Networks, (2013); Iradukunda O., Che H., Uwinezal J., Bayinganal J., Bin-Imaml M., Niyonzima I., Malaria Disease Prediction Based on Machine Learning, (2019); Kalkan S.C., Sahingoz O.K., Deep Learning Based Classification of Malaria from Slide Images, (2009); Khan A., Gupta K.D., Venugopal D., Kumar N., Completely Interpretable Detection of Malaria Parasite in Red Blood Cells using Lower-dimensional Feature Space, (2020); Khan A., Khalil A., Hajjdiab H., Mobile Microscopic device to detect parasitical cell-related diseases using Machine Learning, (2018); Kumar Das K., Ghosha M., Pal M., Maiti A., Chakrabortya C., Machine learning approach for automated malaria parasite screening using light microscopic images, (2012); Poostchi M., Silamut K., Maude R., Jaeger S., Thomas G., Image analysis and machine learning for detecting malaria, (2017); Qin B., Wu Y., Wang Z., Zheng H., Malaria Cell Detection Using Evolutionary Convolutional Deep Networks, (2019); Sankarana S., Quantitation of Malarial parasitemia in Giemsa stained thin blood smears using Six Sigma threshold as preprocessor, (2017); Shah D., Kawale K., Shah M., Randive S., Mapari R., Malaria Parasite Detection Using Deep Learning, (2020)</t>
  </si>
  <si>
    <t xml:space="preserve">979-836932239-0; 979-836932238-3</t>
  </si>
  <si>
    <t xml:space="preserve">Approaches to Human-Centered AI in Healthc.</t>
  </si>
  <si>
    <t xml:space="preserve">2-s2.0-85189798960</t>
  </si>
  <si>
    <t xml:space="preserve">Kumar S.; Meena S.R.; Hirthick S.; Devi B.S.</t>
  </si>
  <si>
    <t xml:space="preserve">Kumar, Saravana (59307840600); Meena, Saraswathi (59307991000); Hirthick, S. (58750802100); Devi, Surya (59307540700)</t>
  </si>
  <si>
    <t xml:space="preserve">59307840600; 59307991000; 58750802100; 59307540700</t>
  </si>
  <si>
    <t xml:space="preserve">Deep learning advancements in malaria diagnosis: A pytorch-based ensemble approach for image classification</t>
  </si>
  <si>
    <t xml:space="preserve">The authors introduce a robust convolutional neural network (CNN) model for malaria-infected cell identification, achieving over 96.5% test accuracy using PyTorch and GPU acceleration. Data augmentation ensures dataset suitability, while this MosquitoNet CNN architecture effectively extracts hierarchical features through three convolutional and fully linked layers. Training over 20 epochs with cross-entropy loss and Adam optimizer yields high accuracy on independent testing subsets, supported by detailed class-wise metrics and a confusion matrix visualization. This approach integrates deep learning, data augmentation, and advanced visualization for comprehensive malaria detection, promising significant advancements in medical diagnostics. Future work may explore hyperparameter tuning and transfer learning for further enhancement. This research contributes to the field with its robust methodology and high accuracy, offering a promising tool for malaria diagnosis and beyond. © 2024 by IGI Global.</t>
  </si>
  <si>
    <t xml:space="preserve">Artificial Intelligence Transformations for Healthcare Applications: Medical Diagnosis, Treatment, and Patient Care</t>
  </si>
  <si>
    <t xml:space="preserve">10.4018/979-8-3693-7462-7.ch010</t>
  </si>
  <si>
    <t xml:space="preserve">https://www.scopus.com/inward/record.uri?eid=2-s2.0-85202749528&amp;doi=10.4018%2f979-8-3693-7462-7.ch010&amp;partnerID=40&amp;md5=8f23300287979241ea5a798abac6c9fe</t>
  </si>
  <si>
    <t xml:space="preserve">Thiagarajar College of Engineering, India</t>
  </si>
  <si>
    <t xml:space="preserve">Kumar S., Thiagarajar College of Engineering, India; Meena S.R., Thiagarajar College of Engineering, India; Hirthick S., Thiagarajar College of Engineering, India; Devi B.S., Thiagarajar College of Engineering, India</t>
  </si>
  <si>
    <t xml:space="preserve">Hoyos K., Hoyos W., Supporting Malaria Diagnosis Using Deep Learning and Data Augmentation, Diagnostics (Basel), 14, 7, (2024); Jameela T., Athota K., Singh N., Gunjan V.K., Kahali S., Deep learning and transfer learning for malaria detection, Computational Intelligence and Neuroscience, (2022); Kaur G., Sharma N., Malhotra S., Devliyal S., Singh S., Malaria Disease Detection using Convolutional Neural Network Architecture, 2024 3rd International Conference for Innovation in Technology (INOCON), pp. 1-6, (2024); Krishnadas P., Chadaga K., Sampathila N., Rao S.S.S., Prabhu S., Classification of malaria using object detection models, Informatics, 9, 4, (2022); Krishnadas P., Sampathila N., Automated detection of malaria implemented by deep learning in PyTorch, 2021 IEEE International Conference on Electronics, Computing and Communication Technologies (CONECCT), pp. 1-5, (2021); Kumar A., Nelson L., Rasher S., Surendran R., MosquitoNet Based Deep Learning Approach for Malaria Parasite Detection Using Cell Images, 2024 International Conference on Automation and Computation (AUTOCOM), pp. 164-169, (2024); Kumar A., Singh S.B., Satapathy S.C., Rout M., MOSQUITO-NET: A deep learning based CADx system for malaria diagnosis along with model interpretation using GradCam and class activation maps, Expert Systems: International Journal of Knowledge Engineering and Neural Networks, 39, 7, (2022); Ma M., Active Machine Learning-driven Experiments on Malaria Cell Classification, 2021 IEEE 3rd International Conference on Frontiers Technology of Information and Computer (ICFTIC), pp. 133-137, (2021); Meena B., Gowri P., Karthikeyan C., Dharshini B., Parameshvar M., Gokul S., Design of Malaria Detection Using Ensemble Techniques-A Combination of Alexnet and Densenet Algorithm, Proceedings of the 1st International Conference on Artificial Intelligence, Communication, IoT, Data Engineering and Security, IACIDS 2023, 23-25 November 2023, Lavasa, Pune, India, (2024); Militante S.V., Malaria disease recognition through adaptive deep learning models of convolutional neural network, 2019 IEEE 6th International Conference on Engineering Technologies and Applied Sciences (ICETAS), pp. 1-6, (2019); Narayanan B.N., Ali R., Hardie R.C., Performance analysis of machine learning and deep learning architectures for malaria detection on cell images, Applications of Machine Learning, pp. 240-247, (2019); Nayak S., Kumar S., Jangid M., Malaria detection using multiple deep learning approaches, 2019 2nd International Conference on Intelligent Communication and Computational Techniques (ICCT), pp. 292-297, (2019); Pattanaik P.A., Mittal M., Khan M.Z., Panda S.N., Malaria detection using deep residual networks with mobile microscopy, Journal of King Saud University. Computer and Information Sciences, 34, 5, pp. 1700-1705, (2022); Rai V., Singhal M., Dwivedy B., Jain P., Malaria and Pneumonia Disease Prediction Using Deep Learning, 2024 2nd International Conference on Disruptive Technologies (ICDT), pp. 1400-1403, (2024); Shal A., Gupta R., A comparative study on malaria cell detection using computer vision, 2022 12th International Conference on Cloud Computing, Data Science &amp; Engineering (Confluence), pp. 548-552, (2022); Sharma H., Jain S., Vasudeva A., Detection of Malarial Parasite in Blood using Image Processing, (2023); Shekar G., Revathy S., Goud E.K., Malaria detection using deep learning, 2020 4th international conference on trends in electronics and informatics (ICOEI), pp. 746-750, (2020); Sriporn K., Tsai C.F., Tsai C.E., Wang P., Analyzing malaria disease using effective deep learning approach, Diagnostics (Basel), 10, 10, (2020); Sriporn K., Tsai C.F., Tsai C.E., Wang P., Analyzing malaria disease using effective deep learning approach, Diagnostics (Basel), 10, 10, (2020); Sukumarran D., Hasikin K., Khairuddin A.S.M., Ngui R., Sulaiman W.Y.W., Vythilingam I., Divis P.C.S., An optimised YOLOv4 deep learning model for efficient malarial cell detection in thin blood smear images, Parasites &amp; Vectors, 17, 1, (2024); Zedda L., Loddo A., Di Ruberto C., A deep architecture based on attention mechanisms for effective end-to-end detection of early and mature malaria parasites, Biomedical Signal Processing and Control, 94, (2024); Box G.E.P., Jenkins G.M., Reinsel G.C., Ljung G.M., Time Series Analysis: Forecasting and Control, (2015); Brownlee J., Long Short-Term Memory Networks with Python, (2017); Chollet F., Deep Learning with Python, (2018); Hyndman R.J., Athanasopoulos G., Forecasting: Principles and Practice, (2018)</t>
  </si>
  <si>
    <t xml:space="preserve">979-836937464-1; 979-836937462-7</t>
  </si>
  <si>
    <t xml:space="preserve">Artif. Intell. Transform. for Healthc. Appl.: Medical Diagn., Treat., and Patient Care</t>
  </si>
  <si>
    <t xml:space="preserve">2-s2.0-85202749528</t>
  </si>
  <si>
    <t xml:space="preserve">Muflikhah L.</t>
  </si>
  <si>
    <t xml:space="preserve">Muflikhah, Lailil (35119270600)</t>
  </si>
  <si>
    <t xml:space="preserve">Detecting drug-artemisinin resistance based on the DNA barcode sequence of plasmodium falciparum using a machine learning algorithm</t>
  </si>
  <si>
    <t xml:space="preserve">Abundant data encourages research using a computational methods approach in solving many problems. Bioinformatics is a blended science between biology and informatics techniques that solving problems with molecular biological analysis. Many problems in health, both for diagnosis and treatment of diseases, use data related to viral or bacterial deoxyribonucleic acid (DNA) sequences. It is also used to avoid drug resistance in overcoming variants or mutations of DNA sequences. Several anti-malaria drugs are designed to reduce or eliminate the Plasmodium virus infection. Artemisinin is an anti-malaria drug intended to reduce or eliminate parasitic viral infections. However, these drugs often do not work effectively because the parasites are already resistant. Plasmodium DNA mutations result in a mistake in the desired target. The DNA barcode sequence is the unique aspect of the whole-genome DNA sequence. Therefore, this study aims to detect anti-malaria drug resistance using machine learning methods based on determining the DNA barcode of Plasmodium falciparum. This study provides an exhaustive assessment of a range of machine learning architectures, such as K-Nearest Neighbor (KNN), Naïve Bayes, decision tree, Support Vector Machine (SVM), and Random Forest Algorithms. The Random Forest algorithm exhibits superior performance in terms of accuracy of 0.97, precision of 0.94, and an f1-score of 0.95 consistently, surpassing its competitors. However, the highest recall of 0.98 is achieved by SVM algorithm and is slightly different if compared to Random Forest. © 2025 selection and editorial matter, Tien Anh Tran, Edeh Michael Onyema and Arij Naser Abougreen. All rights reserved.</t>
  </si>
  <si>
    <t xml:space="preserve">Leveraging the Potential of Artificial Intelligence in the Real World: Smart Cities and Healthcare</t>
  </si>
  <si>
    <t xml:space="preserve">10.1201/9781032667508-3</t>
  </si>
  <si>
    <t xml:space="preserve">https://www.scopus.com/inward/record.uri?eid=2-s2.0-85204445705&amp;doi=10.1201%2f9781032667508-3&amp;partnerID=40&amp;md5=d34db086cfb1cc89cff1185ab0fbe5c5</t>
  </si>
  <si>
    <t xml:space="preserve">Faculty of Computer Science, Brawijaya University, Malang, Indonesia</t>
  </si>
  <si>
    <t xml:space="preserve">Muflikhah L., Faculty of Computer Science, Brawijaya University, Malang, Indonesia</t>
  </si>
  <si>
    <t xml:space="preserve">Patgiri S.J., Et al., Characterization of Drug Resistance and Genetic Diversity of Plasmodium Falciparum Parasites from Tripura, Northeast India,, Sci Rep, 9, 1; Cui L., Mharakurwa S., Ndiaye D., Rathod P.K., Rosenthal P.J., Antimalarial Drug Resistance: Literature Review and Activities and Findings of the ICEMR Network,, Am J Trop Med Hyg, 93, 3, pp. 57-68, (2015); Wilson J.-J., Sing K.-W., Jaturas N., DNA Barcoding: Bioinformatics Workflows for Beginners,, Encyclopedia of Bioinformatics and Computational Biology, pp. 985-995, (2019); Adlung L., Cohen Y., Mor U., Elinav E., Machine Learning in Clinical Decision Making,, Med, 2, 6, pp. 642-665, (2021); Ali N., Neagu D., Trundle P., Evaluation of k-Nearest Neighbour Classifier Performance for Heterogeneous Data Sets,, SN Appl Sci, 1, 12, (2019); Aprilia N.P., Pratiwi D., Ariwibowo A.B., Sentiment Visualization of Covid-19 Vaccine Based on Naive Bayes Analysis,, J Inf Technol Comput Sci, 6, 2; Isnain A.R., Supriyanto J., Kharisma M.P., Implementation of K-Nearest Neighbor (K-NN) Algorithm for Public Sentiment Analysis of Online Learning,, Indonesian J Comput Cybern Sys, 15, 2, (2021); Ullal A.V., Weissleder R., Photocleavable DNA Barcoding Antibodies for Multiplexed Protein Analysis in Single Cells,, Methods Mol Biol, 1346, pp. 47-54, (2015); Mitchell T.M., Machine Learning, McGraw-Hill series in computer science, (1997); Sutton O., "Introduction to k nearest neighbour classification and condensed nearest neighbour data reduction,", 1, (2012); Johan A.W.S.B., Utaminingrum F., Budi A.S., K-Value Effect for Detecting Stairs Descent Using Combination GLCM and KNN,, J Inf Technol Comput Sci, 5, 1, pp. 23-31, (2020); "Naive Bayes Classifier-an overview | ScienceDirect Topics."; Zhang L., Luo L., Hu L., Sun M., An SVM-Based Classification Model for Migration Prediction of Beijing.,, Eng Lett, 28, 4, (2020); Auliya W.F.S., Mahmudy Y.A., Land Clustering for Potato Plants Using Hybrid Particle Swarm Optimization and K-Means Improved by Random Injection,, J Inf Technol Comput Sci, 4, 1, pp. 42-56, (2019); Khaleel A.H., Abduljaleel I.Q., A Novel Technique for Speech Encryption Based on k-Means Clustering and Quantum Chaotic Map,, Bull Electr Eng Inform, 10, 1, pp. 160-170, (2021); Wahyudi M.D.R., Evaluation of TF-IDF Algorithm Weighting Scheme in The Qur'an Translation Clustering with K-Means Algorithm,, J Inf Technol Comput Sci, 6, 2, pp. 117-129, (2021); Vijayakumar S., Wu S., "Sequential Support Vector Classifiers and Regression.,", (1999); Pandya R., Pandya J., C5. 0 Algorithm to Improved Decision Tree with Feature Selection and Reduced Error Pruning,, Int J Comput Appl, 117, 16, pp. 18-21, (2015); Ojha U., Jain M., Jain G., Tiwari R.K., Significance of important attributes for decision making using C5. 0,, 2017 8th International Conference on Computing, pp. 1-4, (2017); Wang Y., Han Q., Li Y., Li Y., Video Smoke Detection Based on Multi-Feature Fusion and Modified Random Forest.,, Eng Lett, 29, 3, (2021); Jiang N., Fu F., Zuo H., Zheng X., Zheng Q., A Municipal PM2. 5 Forecasting Method Based on Random Forest and WRF Model.,, Eng Lett, 28, 2, (2020); Breiman L., Random Forests,, Machine Learning, 45, 1, pp. 5-32, (2001); He H., Ma Y., Imbalanced Learning: Foundations, Algorithms, and Applications, (2013); Loukas S., Multi-class Classification: Extracting Performance Metrics from the Confusion Matrix,, Medium</t>
  </si>
  <si>
    <t xml:space="preserve">978-104011796-5; 978-103266748-5</t>
  </si>
  <si>
    <t xml:space="preserve">Leveraging the Potential of Artif. Intell. in the Real World: Smart Cities and Healthc.</t>
  </si>
  <si>
    <t xml:space="preserve">2-s2.0-85204445705</t>
  </si>
  <si>
    <t xml:space="preserve">Vu T.-D.; Luong D.T.; Ho T.-T.; Nguyen Thi T.-M.; Singh V.; Chu D.-T.</t>
  </si>
  <si>
    <t xml:space="preserve">Vu, Thuy-Duong (58080305800); Luong, Duc Tri (59125696200); Ho, Thuy-Tien (57431773900); Nguyen Thi, Thuy-My (59126413000); Singh, Vijai (57222608334); Chu, Dinh-Toi (56239816300)</t>
  </si>
  <si>
    <t xml:space="preserve">58080305800; 59125696200; 57431773900; 59126413000; 57222608334; 56239816300</t>
  </si>
  <si>
    <t xml:space="preserve">Drug repurposing for regenerative medicine and cosmetics: Scientific, technological and economic issues</t>
  </si>
  <si>
    <t xml:space="preserve">Regenerative medicine and cosmetics are currently two outstanding fields for drug discovery. Although many pharmaceutical products for regenerative medicine and cosmetics have received approval by official agencies, several challenges are still needed to overcome, especially financial and time issues. As a result, drug repositioning, which is the usage of previously approved drugs for new treatment, stands out as a promising approach to tackle these problems. Recently, increasing scientific evidence is collected to demonstrate the applicability of this novel method in the field of regenerative medicine and cosmetics. Experts in drug development have also taken advantage of novel technologies to discover new candidates for repositioning purposes following computational approach, one of two main approaches of drug repositioning. Therefore, numerous repurposed candidates have obtained approval to enter the market and have witnessed financial success such as minoxidil and fingolimod. The benefits of drug repositioning are undeniable for regenerative medicine and cosmetics. However, some aspects still need to be carefully considered regarding this method including actual effectiveness during clinical trials, patent regulations, data integration and analysis, publicly unavailable databases as well as environmental concerns and more effort are required to overcome these obstacles. © 2024</t>
  </si>
  <si>
    <t xml:space="preserve">Progress in Molecular Biology and Translational Science</t>
  </si>
  <si>
    <t xml:space="preserve">10.1016/bs.pmbts.2024.02.005</t>
  </si>
  <si>
    <t xml:space="preserve">https://www.scopus.com/inward/record.uri?eid=2-s2.0-85192992401&amp;doi=10.1016%2fbs.pmbts.2024.02.005&amp;partnerID=40&amp;md5=728e1622e866ebf0be5c36f36e121712</t>
  </si>
  <si>
    <t xml:space="preserve">Center for Biomedicine and Community Health, International School, Vietnam National University, Hanoi, Viet Nam; Department of Biosciences, School of Science, Indrashil University, Rajpur, Mehsana, India; Faculty of Applied Sciences, International School, Vietnam National University, Hanoi, Viet Nam</t>
  </si>
  <si>
    <t xml:space="preserve">Vu T.-D., Center for Biomedicine and Community Health, International School, Vietnam National University, Hanoi, Viet Nam; Luong D.T., Center for Biomedicine and Community Health, International School, Vietnam National University, Hanoi, Viet Nam; Ho T.-T., Center for Biomedicine and Community Health, International School, Vietnam National University, Hanoi, Viet Nam; Nguyen Thi T.-M., Center for Biomedicine and Community Health, International School, Vietnam National University, Hanoi, Viet Nam; Singh V., Department of Biosciences, School of Science, Indrashil University, Rajpur, Mehsana, India; Chu D.-T., Center for Biomedicine and Community Health, International School, Vietnam National University, Hanoi, Viet Nam, Faculty of Applied Sciences, International School, Vietnam National University, Hanoi, Viet Nam</t>
  </si>
  <si>
    <t xml:space="preserve">Computational approach; Cosmetics; Drug repurposing; Economic issues; Environmental concerns; Financial success; Regenerative medicine; Scientific evidence; Technological issues</t>
  </si>
  <si>
    <t xml:space="preserve">Animals; Cosmetics; Drug Repositioning; Humans; Regenerative Medicine; acetylsalicylic acid; adenosine; alitretinoin; amodiaquine; amoxapine; biomaterial; ceftriaxone; clomipramine; cosmetic; dalteparin; diphenhydramine; eumelanin; fingolimod; fludarabine; fosinopril; galantamine; insulin; isophane insulin; lenvatinib; losartan; mefloquine; melanin; melanocortin 1 receptor; metformin; mianserin; minoxidil; modafinil; nanoparticle; new drug; nomifensine; pheomelanin; protamine; rufinamide; rupatadine; simvastatin; sodium glucose cotransporter 2 inhibitor; tocilizumab; cosmetic; allergic rhinitis; allergy; Alzheimer disease; amyotrophic lateral sclerosis; artificial intelligence; bone regeneration; cardiovascular disease; cell transplantation; ChatGPT; chronic lymphatic leukemia; connectome; consumer; cost effectiveness analysis; depression; diabetes mellitus; drug approval; drug indication; drug industry; drug repositioning; drug research; economic aspect; epilepsy; graft rejection; hair loss; hand eczema; healing; heart protection; human; hypertension; malaria; malignant neoplasm; medical technology; molecular docking; molecular dynamics; multiple sclerosis; narcolepsy; non insulin dependent diabetes mellitus; obesity; obsessive compulsive disorder; pain; Parkinson disease; periodontal disease; phase 3 clinical trial (topic); postmarketing surveillance; regenerative medicine; rheumatic disease; risk reduction; skin care; sleep apnea syndromes; stem cell; supraventricular tachycardia; tissue engineering; tooth pulp; urticaria; vein thrombosis; animal; economics</t>
  </si>
  <si>
    <t xml:space="preserve">acetylsalicylic acid, 493-53-8, 50-78-2, 53663-74-4, 53664-49-6, 63781-77-1; adenosine, 58-61-7; alitretinoin, 5300-03-8; amodiaquine, 69-44-3, 86-42-0; amoxapine, 14028-44-5; ceftriaxone, 73384-59-5, 74578-69-1, 104376-79-6; clomipramine, 17321-77-6, 303-49-1; diphenhydramine, 147-24-0, 58-73-1; eumelanin, 12627-86-0; fingolimod, 162359-56-0, 162359-55-9, 1967800-35-6; fludarabine, 21679-14-1; fosinopril, 88889-14-9, 98048-97-6; galantamine, 1953-04-4, 357-70-0; insulin, 9004-10-8; isophane insulin, 9004-17-5; lenvatinib, 417716-92-8, 857890-39-2; losartan, 114798-26-4; mefloquine, 51773-92-3, 53230-10-7; melanin, 8049-97-6; melanocortin 1 receptor, 234764-00-2, 234764-02-4; metformin, 1115-70-4, 657-24-9; mianserin, 21535-47-7, 24219-97-4; minoxidil, 38304-91-5; modafinil, 68693-11-8; nomifensine, 24526-64-5; pheomelanin, 12627-61-1; protamine, 11061-43-1, 9007-31-2, 9012-00-4; rufinamide, 106308-44-5; rupatadine, 158876-82-5; simvastatin, 79902-63-9; tocilizumab, 375823-41-9; Cosmetics, </t>
  </si>
  <si>
    <t xml:space="preserve">Cytoscape; adenocard; gilenya</t>
  </si>
  <si>
    <t xml:space="preserve">Mao A.S., Mooney D.J., Regenerative medicine: current therapies and future directions, Proc Natl Acad Sci U S A, 112, 47, pp. 14452-14459, (2015); Ramadan Q., Zourob M., 3D bioprinting at the frontier of regenerative medicine, pharmaceutical, and food industries, Front. Med. Technol., 2, (2021); Zhang Y., Et al., Stem cell-friendly scaffold biomaterials: applications for bone tissue engineering and regenerative medicine, Front Bioeng Biotechnol, (2020); Astarita C., Arora C.L., Trovato L., Tissue regeneration: an overview from stem cells to micrografts, J Int Med Res, 48, 6, (2020); Rajabzadeh N., Fathi E., Farahzadi R., Stem cell-based regenerative medicine, Stem Cell Invest, 6, (2019); Dabrowska S., Et al., Immunomodulatory and regenerative effects of mesenchymal stem cells and extracellular vesicles: Therapeutic outlook for inflammatory and degenerative diseases, Front Immunol, (2021); Ren X., Et al., Growth factor engineering strategies for regenerative medicine applications, Front. Bioeng. Biotechnol., (2020); Colombo F., Et al., Regenerative medicine: clinical applications and future perspectives, J Microsc Ultrastruct, 5, 1, pp. 1-8, (2017); Deguchi K., Zambaiti E., De Coppi P., Regenerative medicine: current research and perspective in pediatric surgery, Ped Surg Int, 39, 1, (2023); Altyar A.E., Et al., Future regenerative medicine developments and their therapeutic applications, Biomed Pharmacother, 158, (2023); Jarrige M., Et al., The future of regenerative medicine: cell therapy using pluripotent stem cells and acellular therapies based on extracellular vesicles, Cells, 10, 2, (2021); Ashammakhi N., Et al., Highlights on advancing frontiers in tissue engineering, Tissue Eng Part B: Rev, 28, 3, pp. 633-664, (2021); (2020); Sheean A.J., Anz A.W., Bradley J.P., Platelet-rich plasma: fundamentals and clinical applications, Arthroscopy, 37, 9, pp. 2732-2734, (2021); Locatelli F., Et al., Remestemcel-L for the treatment of graft versus host disease, Expert Rev Clin Immunol, 13, 1, pp. 43-56, (2017); Fang R.C., Galiano R.D., A review of becaplermin gel in the treatment of diabetic neuropathic foot ulcers, Biologics, 2, 1, pp. 1-12, (2008); Goyal A., Et al., Bioactive-based cosmeceuticals: an update on emerging trends, Molecules, 27, 3, (2022); Pandey A., Jatana G.K., Sonthalia S., (2023); Milam E.C., Rieder E.A., An approach to cosmeceuticals, J Drugs Dermatol, 15, 4, pp. 452-456, (2016); Pozos-Nonato S., Et al., Novel nanotechnological strategies for skin anti-aging, Curr Pharm Biotechnol, 24, 11, pp. 1397-1419, (2023); Pu S.Y., Et al., Effects of oral collagen for skin anti-aging: a systematic review and meta-analysis, Nutrients, 15, 9, (2023); Kumari S., Et al., Melanogenesis inhibitors, Acta Derm Venereol, 98, 10, pp. 924-931, (2018); Tran B., Et al., Topical scar treatment products for wounds: a systematic review, Dermatol Surg, 46, 12, pp. 1564-1571, (2020); Randolph M., Tosti A., Oral minoxidil treatment for hair loss: a review of efficacy and safety, J Am Acad Dermatol, 84, 3, pp. 737-746, (2021); Purnamawati S., Et al., The role of moisturizers in addressing various kinds of dermatitis: a review, Clin Med Res, 15, 3-4, pp. 75-87, (2017); McDonald K.A., Et al., Review on photoprotection: a clinician's guide to the ingredients, characteristics, adverse effects, and disease-specific benefits of chemical and physical sunscreen compounds, Arch Dermatol Res, 315, 4, pp. 735-749, (2023); Tetali B., Fahs F.M., Mehregan D., Popular over-the-counter cosmeceutical ingredients and their clinical efficacy, Int J Dermatol, 59, 4, pp. 393-405, (2020); Milam E.C., Rieder E.A., An approach to cosmeceuticals, Essential Psychiatry for the Aesthetic Practitioner, pp. 42-48, (2021); Suh K., Et al., Cost effectiveness of allogeneic umbilical cord blood-derived mesenchymal stem cells in patients with knee osteoarthritis, Appl Health Econ Health Policy, 21, 1, pp. 141-152, (2023); Golchin A., Cell-Based therapy for severe COVID-19 patients: clinical trials and cost-utility, Stem Cell Rev Rep, 17, 1, pp. 56-62, (2021); Prinja S., Et al., Cost-effectiveness of autologous stem cell treatment as compared to conventional chemotherapy for treatment of multiple myeloma in India, Indian J Hematol Blood Transfus, 33, 1, pp. 31-40, (2017); Andrade L.F., Et al., A cost-based analysis of anti-aging products across four major United States retailers, Cureus, 15, 10, (2023); Cheng A.D., Et al., Skin-lightening products: consumer preferences and costs, Cureus, 13, 8, (2021); Ordonez L.D., The effect of correlation between price and quality on consumer choice, Organ Behav Hum Decis Process, 75, 3, pp. 258-273, (1998); Knoepfler P.S., Rapid change of a cohort of 570 unproven stem cell clinics in the USA over 3 years, Regen Med, 14, 8, pp. 735-740, (2019); Turner L., The American stem cell sell in 2021: U.S. businesses selling unlicensed and unproven stem cell interventions, Cell Stem Cell, 28, 11, pp. 1891-1895, (2021); Volarevic V., Et al., Ethical and safety issues of stem cell-based therapy, Int J Med Sci, 15, 1, pp. 36-45, (2018); Dixit S., Et al., Immunological challenges associated with artificial skin grafts: available solutions and stem cells in future design of synthetic skin, J Biol Eng, 11, 1, (2017); Gonzalez-Munoz P., Conde-Salazar L., Vano-Galvan S., Allergic contact dermatitis caused by cosmetic products, Actas Dermo-Sifiliogr (Eng. Ed.), 105, 9, pp. 822-832, (2014); Goossens A., Contact-allergic reactions to cosmetics, J Allergy (Cairo), 2011, (2011); Cornell E.M., Janetos T.M., Xu S., Time for a makeover-cosmetics regulation in the United States, J Cosmet Dermatol, 18, 6, pp. 2041-2047, (2019); Jie G.F., Les C., Himadri Roy C., Assessing scientific claims in print ads that promote cosmetics, J Advert Res, 59, 4, (2019); Johnson P.I., Et al., Chemicals of concern in personal care products used by women of color in three communities of California, J Expo Sci Environ Epidemiol, 32, 6, pp. 864-876, (2022); Mithun R., Shubham J.K., Anil G.J., Drug Repurposing (DR): an emerging approach in drug discovery, Drug Repurposing, (2020); Pushpakom S., Et al., Drug repurposing: progress, challenges and recommendations, Nat Rev Drug Discov, 18, 1, pp. 41-58, (2019); Oprea T.I., Et al., Drug repurposing from an academic perspective, Drug Discov Today Ther Strateg, 8, 3-4, pp. 61-69, (2011); Kort E., Jovinge S., Drug repurposing: claiming the full benefit from drug development, Curr Cardiol Rep, 23, 6, (2021); Divya T.C., Et al., Drug repurposing for tooth regeneration: the promising premises, J Pharm Bioallied Sci, 13, pp. S957-S959, (2021); Nemeno J.G., Et al., Applications and implications of heparin and protamine in tissue engineering and regenerative medicine, Biomed Res Int, 2014, (2014); Lu B., Atala A., Chapter 6—Small molecules: controlling cell fate and function, In Situ Tissue Regeneration, pp. 87-110, (2016); Yeo J.E., Et al., Fragmin/protamine microparticle carriers as a drug repositioning strategy for cell transplantation, Transplant Proc, 45, 8, pp. 3122-3126, (2013); Frier B.M., Russell-Jones D., Heise T., A comparison of insulin detemir and neutral protamine Hagedorn (isophane) insulin in the treatment of diabetes: a systematic review, Diabetes Obes Metab, 15, 11, pp. 978-986, (2013); Nakamura S., Et al., Controlled release of FGF-2 using fragmin/protamine microparticles and effect on neovascularization, J Biomed Mater Res A, 91, 3, pp. 814-823, (2009); Sotiropoulou G., Zingkou E., Pampalakis G., Redirecting drug repositioning to discover innovative cosmeceuticals, Exp Dermatol, 30, 5, pp. 628-644, (2021); Headrick J.P., Et al., Adenosine and its receptors in the heart: regulation, retaliation and adaptation, Biochim Biophys Acta, 1808, 5, pp. 1413-1428, (2011); Chan E.S., Et al., Adenosine A(2A) receptors promote collagen production by a Fli1- and CTGF-mediated mechanism., Arthritis Res Ther, 15, 3, (2013); Abella M.L., Evaluation of anti-wrinkle efficacy of adenosine-containing products using the FOITS technique, Int J Cosmet Sci, 28, 6, pp. 447-451, (2006); Tang R., Et al., Fosinopril and losartan regulate klotho gene and nicotinamide adenine dinucleotide phosphate oxidase expression in kidneys of spontaneously hypertensive rats, Kidney Blood Press Res, 34, 5, pp. 350-357, (2011); Yamaguchi Y., Brenner M., Hearing V.J., The regulation of skin pigmentation, J Biol Chem, 282, 38, pp. 27557-27561, (2007); Corbett A., Williams G., Ballard C., Drug repositioning in Alzheimer's disease, Front Biosci (Schol Ed), 7, 1, pp. 184-188, (2015); Motel W.C., Coop A., Cunningham C.W., Cholinergic modulation by opioid receptor ligands: potential application to Alzheimer's disease, Mini Rev Med Chem, 13, 3, pp. 456-466, (2013); Williams G., A searchable cross-platform gene expression database reveals connections between drug treatments and disease, BMC Genomics, 13, (2012); Amadio S., Et al., Repurposing histaminergic drugs in multiple sclerosis, Int J Mol Sci, 23, 11, (2022); AlKadi H.O., Antimalarial drug toxicity: a review, Chemotherapy, 53, 6, pp. 385-391, (2007); Gonzalez-Nunez V., Bachert C., Mullol J., Rupatadine: global safety evaluation in allergic rhinitis and urticaria, Expert Opin Drug Saf, 15, 10, pp. 1439-1448, (2016); Huynh D.A., Abbas M., Dabaja A., (2024); Fiscon G., Et al., Drug repurposing: a network-based approach to amyotrophic lateral sclerosis, Neurotherapeutics, 18, 3, pp. 1678-1691, (2021); Eugene A.R., Association of sleep among 30 antidepressants: a population-wide adverse drug reaction study, 2004–2019, PeerJ, 8, (2020); Wilson M., Tripp J., (2024); Smit M., Dolman K.M., Honig A., Mirtazapine in pregnancy and lactation—a systematic review, Eur Neuropsychopharmacol, 26, 1, pp. 126-135, (2016); Greenblatt K., Adams N., (2024); Wicik Z., Et al., Characterization of the SGLT2 interaction network and its regulation by SGLT2 inhibitors: a bioinformatic analysis, Front Pharmacol, 13, (2022); Herrando-Grabulosa M., Et al., Novel neuroprotective multicomponent therapy for amyotrophic lateral sclerosis designed by networked systems, PLoS One, 11, 1, (2016); Fritz K., Et al., Off-label use of alitretinoin, Hautarzt, 64, 10, pp. 748-751, (2013); Schlagenhauf P., Et al., The position of mefloquine as a 21st century malaria chemoprophylaxis, Malar J, 9, (2010); Costa G., Et al., From homology modeling to the hit identification and drug repurposing: a structure-based approach in the discovery of novel potential anti-obesity compounds, Methods Mol Biol, 2266, pp. 263-277, (2021); Walker S., Et al., Fludarabine phosphate for the first-line treatment of chronic lymphocytic leukaemia, Health Technol Assess, 13, pp. 35-40, (2009); Striano P., Et al., Rufinamide for the treatment of Lennox-Gastaut syndrome: evidence from clinical trials and clinical practice, Epileptic Disord, 20, 1, pp. 13-29, (2018); Keiser M.J., Et al., Predicting new molecular targets for known drugs, Nature, 462, 7270, pp. 175-181, (2009); Hieronymus H., Et al., Gene expression signature-based chemical genomic prediction identifies a novel class of HSP90 pathway modulators, Cancer Cell, 10, 4, pp. 321-330, (2006); Greene C.S., Voight B.F., Pathway and network-based strategies to translate genetic discoveries into effective therapies, Hum Mol Genet, 25, R2, pp. R94-R98, (2016); Fiscon G., Paci P., SAveRUNNER: an R-based tool for drug repurposing, BMC Bioinformatics, 22, 1, (2021); Shannon P., Et al., Cytoscape: a software environment for integrated models of biomolecular interaction networks, Genome Res, 13, 11, pp. 2498-2504, (2003); Valls R., Et al., Anaxomics’ methodologies: understanding the complexity of biological processes Anaxomics, Biotech SL, (2013); Kitchen D.B., Et al., Docking and scoring in virtual screening for drug discovery: methods and applications, Nat Rev Drug Discov, 3, 11, pp. 935-949, (2004); Yin Z., Wong S.T.C., Artificial intelligence unifies knowledge and actions in drug repositioning, Emerg Top Life Sci, 5, 6, pp. 803-813, (2021); Yan C., Et al., Leveraging generative AI to prioritize drug repurposing candidates: validating identified candidates for Alzheimer's disease in real-world clinical datasets, medRxiv, (2023); Eisenstein M., Big data: the power of petabytes, Nature, 527, 7576, pp. S2-S4, (2015); Gligorijevic V., Malod-Dognin N., Przulj N., Integrative methods for analyzing big data in precision medicine, Proteomics, 16, 5, pp. 741-758, (2016); Chen Y., Elenee Argentinis J.D., Weber G., IBM Watson: how cognitive computing can be applied to big data challenges in life sciences research, Clin Ther, 38, 4, pp. 688-701, (2016); Hua Y., Et al., Drug repositioning: progress and challenges in drug discovery for various diseases, Eur J Med Chem, 234, (2022); Mittelman-Smith M.A., Et al., Role for kisspeptin/neurokinin B/dynorphin (KNDy) neurons in cutaneous vasodilatation and the estrogen modulation of body temperature, Proc Natl Acad Sci U S A, 109, 48, pp. 19846-19851, (2012); Brinkmann V., Et al., Fingolimod (FTY720): discovery and development of an oral drug to treat multiple sclerosis, Nat Rev Drug Discov, 9, 11, pp. 883-897, (2010); Cudkowicz M.E., Et al., Safety and efficacy of ceftriaxone for amyotrophic lateral sclerosis: a multi-stage, randomised, double-blind, placebo-controlled trial, Lancet Neurol, 13, 11, pp. 1083-1091, (2014); Foretz M., Guigas B., Viollet B., Metformin: update on mechanisms of action and repurposing potential, Nat Rev Endocrinol, 19, 8, pp. 460-476, (2023); Yang D., Et al., A nationwide wastewater-based assessment of metformin consumption across Australia, Environ Int, 165, (2022); He Y., Zhang Y., Ju F., Metformin contamination in global waters: biotic and abiotic transformation, byproduct generation and toxicity, and evaluation as a pharmaceutical indicator, Environ Sci Technol, 56, 19, pp. 13528-13545, (2022)</t>
  </si>
  <si>
    <t xml:space="preserve">D.-T. Chu; Center for Biomedicine and Community Health, International School, Vietnam National University, Hanoi, Viet Nam; email: toicd@vnu.edu.vn</t>
  </si>
  <si>
    <t xml:space="preserve">Singh V.; Department of Biosciences, School of Science, Indrashil University, Rajpur, Mehsana</t>
  </si>
  <si>
    <t xml:space="preserve">978-044324114-7</t>
  </si>
  <si>
    <t xml:space="preserve">Prog. Mol. Biol. Transl. Sci.</t>
  </si>
  <si>
    <t xml:space="preserve">2-s2.0-85192992401</t>
  </si>
  <si>
    <t xml:space="preserve">Jorwal S.; Ankit; Tibrewal A.; Saurav K.; Agarwal S.</t>
  </si>
  <si>
    <t xml:space="preserve">Jorwal, Sunil (57385056500); Ankit (58140092300); Tibrewal, Aman (59004942600); Saurav, Kumar (59295417200); Agarwal, Smriti (55446546200)</t>
  </si>
  <si>
    <t xml:space="preserve">57385056500; 58140092300; 59004942600; 59295417200; 55446546200</t>
  </si>
  <si>
    <t xml:space="preserve">Malaria Parasite Detection Using Deep Learning</t>
  </si>
  <si>
    <t xml:space="preserve">Malaria is the world’s worst disease and a substantial financial strain on our healthcare system. For the traditional laboratory diagnosis of malaria, distinguishing between healthy and infected red blood cells (RBCs) necessitates the presence of a skilled individual and careful observation. It is very inefficient and prone to human errors. The purpose of this study is to implement a detection system which can detect malaria using blood smear images. Our custom deep learning model detects whether it is infected with malaria parasite or not. The findings demonstrate that the automation of the process is capable of accurately detecting the malaria parasite in blood samples with an accuracy exceeding 98% while presenting a lower level of complexity compared to previous approaches documented in the literature. © The Author(s), under exclusive license to Springer Nature Switzerland AG 2024.</t>
  </si>
  <si>
    <t xml:space="preserve">Signals and Communication Technology</t>
  </si>
  <si>
    <t xml:space="preserve">Part F2556</t>
  </si>
  <si>
    <t xml:space="preserve">10.1007/978-3-031-47942-7_33</t>
  </si>
  <si>
    <t xml:space="preserve">https://www.scopus.com/inward/record.uri?eid=2-s2.0-85191436930&amp;doi=10.1007%2f978-3-031-47942-7_33&amp;partnerID=40&amp;md5=c582ade8d50231077be6c90ab8c347cd</t>
  </si>
  <si>
    <t xml:space="preserve">Department of Electronics &amp; Communication Engineering, Motilal Nehru National Institute of Technology, Allahabad, Prayagraj, India</t>
  </si>
  <si>
    <t xml:space="preserve">Jorwal S., Department of Electronics &amp; Communication Engineering, Motilal Nehru National Institute of Technology, Allahabad, Prayagraj, India; Ankit, Department of Electronics &amp; Communication Engineering, Motilal Nehru National Institute of Technology, Allahabad, Prayagraj, India; Tibrewal A., Department of Electronics &amp; Communication Engineering, Motilal Nehru National Institute of Technology, Allahabad, Prayagraj, India; Saurav K., Department of Electronics &amp; Communication Engineering, Motilal Nehru National Institute of Technology, Allahabad, Prayagraj, India; Agarwal S., Department of Electronics &amp; Communication Engineering, Motilal Nehru National Institute of Technology, Allahabad, Prayagraj, India</t>
  </si>
  <si>
    <t xml:space="preserve">CNN; Deep learning; Image classification; Malaria</t>
  </si>
  <si>
    <t xml:space="preserve">Blood; Deep learning; Diagnosis; Diseases; Blood smears; Deep learning; Detection system; Healthcare systems; Human errors; Images classification; Learning models; Malaria; Malaria parasite; Red blood cell; Image classification</t>
  </si>
  <si>
    <t xml:space="preserve">Abubakar A., Ajuji M., Yahya I.U., DeepFMD: Computational analysis for malaria detection in blood-smear images using deep-learning features. Appl. Syst, Innov, 4, (2021); Masud M., Alhumyani H., Alshamrani S.S., Cheikhrouhou O., Ibrahim S., Muhammad G., Shamim Hossain M., Shorfuzzaman M., Leveraging deep learning techniques for malaria parasite detection using mobile application, Wirel. Commun. Mob. Comput, 2020, (2020); Shekar G., Revathy S., Goud E.K., Malaria detection using deep learning, 2020 4Th International Conference on Trends in Electronics and Informatics (ICOEI), pp. 746-750, (2020); Smith L.N., Cyclical learning rates for training neural networks, 2017 IEEE Winter Conference on Applications of Computer Vision (WACV), 2017, pp. 464-472; Dataset; Silka W., Wieczorek M., Silka J., Wozniak M., Malaria detection using advanced deep learning architecture, Sensors, 23, 3, (2023); Kumar S., Priya S., Kumar A., Malaria Detection Using Deep Convolution Neural Network, (2023); Alnussairi M.H.D., Ibrahim A.A., Malaria parasite detection using deep learning algorithms based on (CNNs) technique, Comput. Electr. Eng, 103, (2022); Alassaf A., Sikkandar M.Y., Intelligent deep transfer learning based malaria parasite detection and classification model using biomedical image, Comput. Mater. Contin, 72, 3, pp. 5273-5285, (2022); Sugata T.L.I., Yang C.K., Leaf App: Leaf recognition with deep convolutional neural networks, IOP Conference Series: Materials Science and Engineering, 273, 1, (2017); Matar M., Xu B., Elmoudi R., Olatujoye O., Wshah S., A Deep learning-based framework for parameters calibration of power Plant models using event playback approach, IEEE Access, 10, pp. 72132-72144, (2022)</t>
  </si>
  <si>
    <t xml:space="preserve">S. Agarwal; Department of Electronics &amp; Communication Engineering, Motilal Nehru National Institute of Technology, Allahabad, Prayagraj, India; email: smritiagarwal@mnnit.ac.in</t>
  </si>
  <si>
    <t xml:space="preserve">Signals Commun. Technol.</t>
  </si>
  <si>
    <t xml:space="preserve">2-s2.0-85191436930</t>
  </si>
  <si>
    <t xml:space="preserve">Reeha S.; Nikhil M.T.; Thakur A.</t>
  </si>
  <si>
    <t xml:space="preserve">Reeha, Shaik (58765748400); Nikhil, Masabattula Teja (58099365700); Thakur, Amrita (55356107400)</t>
  </si>
  <si>
    <t xml:space="preserve">58765748400; 58099365700; 55356107400</t>
  </si>
  <si>
    <t xml:space="preserve">A Deep Learning Approach for Prediction of Binding Affinity for Anti Malerial Drugs and Their Target Proteins</t>
  </si>
  <si>
    <t xml:space="preserve">Malaria, a severe illness caused by a specific parasite and transmitted through mosquito bites, poses a significant threat to life. Considerable research has been conducted in diagnosing this disease. Various drugs have been developed to combat it, notably chloroquine derivatives and artemisinin. However, chloroquine's effectiveness against the malaria parasite has been limited due to the parasite's development of resistance to the drug. Although the exact method by which chloroquine eliminates the parasite remains unclear, this research conducts a thorough investigation into the mechanism of action of chloroquine. It aims to understand how substances akin to chloroquine attach themselves to its target proteins. Furthermore, the effectiveness of chloroquine derivatives is demonstrated in this study through the binding energy exhibited by the drug towards specific proteins by introducing a novel approach for determining the drug's binding energy, using convolutional neural networks. The model ended up by giving a mean squared error of 1.23 with an R2 score of 0.65. The model has been validated with the quercetin derivatives and their target protein called pfLDH (lactate dehydrogenase proteins). The paper highlights that there are patterns in the sequences of drugs and target which can helps in leading out to the prediction of binding affinities without the use of any docking study. © 2024 IEEE.</t>
  </si>
  <si>
    <t xml:space="preserve">2024 3rd International Conference for Innovation in Technology, INOCON 2024</t>
  </si>
  <si>
    <t xml:space="preserve">10.1109/INOCON60754.2024.10512173</t>
  </si>
  <si>
    <t xml:space="preserve">https://www.scopus.com/inward/record.uri?eid=2-s2.0-85193580971&amp;doi=10.1109%2fINOCON60754.2024.10512173&amp;partnerID=40&amp;md5=c5b3ae2a0cc8f09fb4ec8abcf4526aab</t>
  </si>
  <si>
    <t xml:space="preserve">Amrita Vishwa Vidyapeetham, Amrita School of Computing, Dept. of Computer Science &amp; Engineering, Bengaluru, India; Amrita Vishwa Vidyapeetham, Amrita School of Engineering, Dept. of Chemistry, Bengaluru, India</t>
  </si>
  <si>
    <t xml:space="preserve">Reeha S., Amrita Vishwa Vidyapeetham, Amrita School of Computing, Dept. of Computer Science &amp; Engineering, Bengaluru, India; Nikhil M.T., Amrita Vishwa Vidyapeetham, Amrita School of Computing, Dept. of Computer Science &amp; Engineering, Bengaluru, India; Thakur A., Amrita Vishwa Vidyapeetham, Amrita School of Engineering, Dept. of Chemistry, Bengaluru, India</t>
  </si>
  <si>
    <t xml:space="preserve">Asexual Blood stage cycle (ABS); Binding Affinity; DPA; DPI; Drug repurposing; pfLDH; Plasmodium Falciparum</t>
  </si>
  <si>
    <t xml:space="preserve">Convolutional neural networks; Deep learning; Diagnosis; Diseases; Mean square error; Proteins; Asexual blood stage cycle; Binding affinities; DPA; DPI; Drug repurposing; Parasite-; PfLDH; Plasmodium falciparum; Repurposing; Target proteins; Binding energy</t>
  </si>
  <si>
    <t xml:space="preserve">Talapko J., Skrlec I., Alebic T., Jukic M., Vcev A., Malaria: The Past and the Present, Microorganisms, 7, 6, (2019); Hu S., Zhang C., Chen P., Gu P., Zhang J., Wang B., Predicting drug-target interactions from drug structure and protein sequence using novel convolutional neural networks; Ross L.S., Dhingra S.K., Mok S., Yeo T., Wicht K.J., Emerging Southeast Asian PfCRT mutations confer Plasmodium falciparum resistance to the first-line antimalarial piperaquine, (2018); Theoretical Insights into the Anti-SARS-CoV-2 Activity of Chloroquine and Its Analogs and In Silico Screening of Main Protease Inhibitors; Shaik R., Basavadeepthi H.M., Thakur A., Alzheimers Disease Detection Using MIC and MLP, 2023 14th International Conference on Computing Communication and Networking Technologies (ICCCNT), (2023); Jaudzems K., Tars K., Maurops G., Ivdra N., Otikovs M., Leitans J., Kanepe-Lapsa I., Domraceva I., Mutule I., Trapencieris P., Blackman M.J., Jirgensons A., Plasmepsin inhibitory activity and structure-guided optimization of a potent hydroxyethylamine-based antimalarial hit, ACS Med Chem Lett, 5, 4, pp. 373-377, (2014); AlKadi H.O., Antimalarial drug toxicity: A review, Chemotherapy, 53, 6, pp. 385-391, (2007); Nikhil M.T., Jaswanth K., Siddhartha M.S.S., Radha D., Thakur A., A Naïve Approach for Mutation Detection Using Color Encodings and String Matching Techniques, International Conference on Frontiers of Intelligent Computing: Theory and Applications, pp. 83-94, (2022); Diakite S.S., Traore K., Sanogo I., Clark T.G., Campino S., Sangare M., A comprehensive analysis of drug resistance molecular markers and Plasmodium falciparum genetic diversity in two malaria endemic sites in Mali; Ecker A., Lehane A.M., Clain J., Fidock D.A., PfCRT and its role in antimalarial drug resistance, Trends Parasitol, 28, 11, pp. 504-514, (2012); Parhizgar A.R., Tahghighi A., Introducing New Antimalarial Analogues of Chloroquine and Amodiaquine: A Narrative Review, Iran J Med Sci, 42, 2, pp. 115-128, (2017); Winzeler E.A., Malaria research in the post-genomic era, Nature, 455, pp. 751-756, (2008); Zhou W., Wang H., Yang Y., Chen Z.S., Zou C., Zhang J., Chloroquine against malaria, cancers and viral diseases, Drug Discov Today, 25, 11, pp. 2012-2022, (2020); Bipin Nair B.J., Viswan A., Pranav V., 3D structural prediction with docking for five stages of lymphoma, 2017 2nd International Conference for Convergence in Technology (I2CT), pp. 873-877, (2017); Chethana S., Et al., Multi-Class classification of Different Cancer Types Using CNN, 2023 14th International Conference on Computing Communication and Networking Technologies (ICCCNT), (2023)</t>
  </si>
  <si>
    <t xml:space="preserve">S. Reeha; Amrita Vishwa Vidyapeetham, Amrita School of Computing, Dept. of Computer Science &amp; Engineering, Bengaluru, India; email: Indiashaikreeha30@gmail.com</t>
  </si>
  <si>
    <t xml:space="preserve">3rd International Conference for Innovation in Technology, INOCON 2024</t>
  </si>
  <si>
    <t xml:space="preserve">1 March 2024 through 3 March 2024</t>
  </si>
  <si>
    <t xml:space="preserve">Bangalore</t>
  </si>
  <si>
    <t xml:space="preserve">979-835038193-1</t>
  </si>
  <si>
    <t xml:space="preserve">Int. Conf. Innov. Technol., INOCON</t>
  </si>
  <si>
    <t xml:space="preserve">2-s2.0-85193580971</t>
  </si>
  <si>
    <t xml:space="preserve">Dou W.; Lee S.K.; Garimella K.V.</t>
  </si>
  <si>
    <t xml:space="preserve">Dou, Wanying (59548835300); Lee, Samuel K. (25650209100); Garimella, Kiran V. (57816898900)</t>
  </si>
  <si>
    <t xml:space="preserve">59548835300; 25650209100; 57816898900</t>
  </si>
  <si>
    <t xml:space="preserve">A framework for hyperparameter optimization of genomic cloud pipelines: Improving the performance of GATK VETS variant filtration</t>
  </si>
  <si>
    <t xml:space="preserve">Running complex machine-learning pipelines in the cloud is standard practice in genomics. However, optimizing these pipelines with respect to their hyperparameters can be challenging, which may limit their effectiveness. To address this gap, we developed an Optuna-based hyperparameter optimization framework and integrated it within the Terra cloud computing platform. To demonstrate our framework, we optimized the Genome Analysis Toolkit Variant Extract-Train-Score (GATK VETS) pipeline for genomic variant filtration. We evaluated the performance of our framework using both human and malaria genomic callsets, demonstrating improved accuracy in detecting sequencing artifacts. Our work underscores the importance of a flexible framework for tuning genomic cloud pipelines and highlights its potential for broader applicability in other genomic machine-learning analyses. © 2024 IEEE.</t>
  </si>
  <si>
    <t xml:space="preserve">Proceedings - 2024 IEEE International Conference on Bioinformatics and Biomedicine, BIBM 2024</t>
  </si>
  <si>
    <t xml:space="preserve">10.1109/BIBM62325.2024.10822323</t>
  </si>
  <si>
    <t xml:space="preserve">https://www.scopus.com/inward/record.uri?eid=2-s2.0-85217282987&amp;doi=10.1109%2fBIBM62325.2024.10822323&amp;partnerID=40&amp;md5=5e1c18afff71cb66753f72a96c0c848a</t>
  </si>
  <si>
    <t xml:space="preserve">Northwestern University Feinberg, School of Medicine, Chicago, IL, United States; Broad Institute of Mit, Harvard Data Sciences Platform, Cambridge, MA, United States</t>
  </si>
  <si>
    <t xml:space="preserve">Dou W., Northwestern University Feinberg, School of Medicine, Chicago, IL, United States; Lee S.K., Broad Institute of Mit, Harvard Data Sciences Platform, Cambridge, MA, United States; Garimella K.V., Broad Institute of Mit, Harvard Data Sciences Platform, Cambridge, MA, United States</t>
  </si>
  <si>
    <t xml:space="preserve">genomics; hyperparameter optimization; machine learning; variant filtering</t>
  </si>
  <si>
    <t xml:space="preserve">Adversarial machine learning; Cloud computing; Gene encoding; Genetic algorithms; Genome; Machine learning; Wiener filtering; Analysis toolkits; Complex machines; Genome analysis; Genomics; Hyper-parameter; Hyper-parameter optimizations; Machine-learning; Performance; Standard practices; Variant filtering; Cloud platforms</t>
  </si>
  <si>
    <t xml:space="preserve">Terra: A scalable, secure platform for biomedical research, (2024); DePristo M., Banks E., Poplin R., Et al., A framework for variation discovery and genotyping using next-generation DNA sequencing data, Nat Genet, 43, pp. 491-498, (2011); Pedregosa F., Varoquaux G., Gramfort A., Michel V., Thirion B., Grisel O., Scikit-learn: Machine learning in Python, Journal of Machine Learning Research, 12, pp. 2825-2830, (2011); Liu F.T., Ting K.M., Zhou Z.-H., Isolation Forest, 2008 Eighth IEEE International Conference on Data Mining, pp. 413-422, (2008); Voss K., Gentry J., Van Der Auwera G., Full-stack genomics pipelining with GATK4 + WDL + Cromwell [version 1; not peer reviewed], F1000Research, 6, (2017); Akiba T., Sano S., Yanase T., Ohta T., Koyama M., Optuna: A Next-generation Hyperparameter Optimization Framework, (2019); Watanabe S., Tree-structured Parzen estimator: Understanding its algorithm components and their roles for better empirical performance, (2023); FISS: FireCloud service selector (Version v0.16.37). GitHub, (2024); A global reference for human genetic variation, Nature, 526, pp. 68-74, (2015); Zook J., Catoe D., McDaniel J., Et al., Extensive sequencing of seven human genomes to characterize benchmark reference materials, Sci Data, 3, (2016); Cleary J.G., Braithwaite R., Gaastra K., Hilbush B.S., Inglis S., Irvine S.A., Jackson A., Littin R., Rathod M., Ware D., Zook J.M., Trigg L., De La Vega F.M., Comparing Variant Call Files for Performance Benchmarking of Next-Generation Sequencing Variant Calling Pipelines, bioRxiv, (2015); Malaria G.E.N., Abdel H.M.M., Abdelraheem M.H., Acheampong D.O., Ahouidi A., Ali M., Almagro-Garcia J., Amambua-Ngwa A., Amaratunga C., Amenga-Etego L., Andagalu B., Anderson T., Andrianaranjaka V., Aniebo I., Aninagyei E., Ansah F., Ansah P.O., Apinjoh T., Arnaldo P., Ashley E., Van Der Pluijm R.W., Pf7: An open dataset of Plasmodium falciparum genome variation in 20, 000 worldwide samples, Wellcome open research, 8, (2023); Miles A., Iqbal Z., Vauterin P., Pearson R., Campino S., Theron M., Gould K., Mead D., Drury E., O'Brien J., Rubio V.R., MacInnis B., Mwangi J., Samarakoon U., Ranford-Cartwright L., Ferdig M., Hayton K., Su X.Z., Wellems T., Rayner J., Kwiatkowski D., Indels, structural variation, and recombination drive genomic diversity in Plasmodium falciparum, Genome Research, 26, 9, pp. 1288-1299, (2016)</t>
  </si>
  <si>
    <t xml:space="preserve">W. Dou; Northwestern University Feinberg, School of Medicine, Chicago, United States; email: monica.dou@northwestern.edu</t>
  </si>
  <si>
    <t xml:space="preserve">Cannataro M.; Zheng H.; Gao L.; Cheng J.; de Miranda J.L.; Zumpano E.; Hu X.; Cho Y.-R.; Park T.</t>
  </si>
  <si>
    <t xml:space="preserve">Air Portugal; Centro de Recursos Naturais e Ambiente (CERENA); IEEE; IST Tecnico Lisboa; NSF; Politecnico de Portalegre</t>
  </si>
  <si>
    <t xml:space="preserve">2024 IEEE International Conference on Bioinformatics and Biomedicine, BIBM 2024</t>
  </si>
  <si>
    <t xml:space="preserve">3 December 2024 through 6 December 2024</t>
  </si>
  <si>
    <t xml:space="preserve">Lisbon</t>
  </si>
  <si>
    <t xml:space="preserve">979-835038622-6</t>
  </si>
  <si>
    <t xml:space="preserve">Proc. - IEEE Int. Conf. Bioinform. Biomed., BIBM</t>
  </si>
  <si>
    <t xml:space="preserve">2-s2.0-85217282987</t>
  </si>
  <si>
    <t xml:space="preserve">Karnyoto A.S.; Isnan M.; Pardamean B.</t>
  </si>
  <si>
    <t xml:space="preserve">Karnyoto, Andrea Stevens (57409068000); Isnan, Mahmud (58246923600); Pardamean, Bens (55009925500)</t>
  </si>
  <si>
    <t xml:space="preserve">57409068000; 58246923600; 55009925500</t>
  </si>
  <si>
    <t xml:space="preserve">A Hybrid CNN-SVM Approach for Malaria in Blood Cell Detection</t>
  </si>
  <si>
    <t xml:space="preserve">There is still a severe malaria problem worldwide, particularly in regions with limited access to diagnostic tools. It is crucial to develop a system for detecting malaria in blood cells. This paper presents a hybrid Convolutional Neural Network (CNN), and as a classifier, we use a Support Vector Machine (SVM) framework for the automated detection of malaria parasites in blood cell images. The proposed system leverages the strengths of CNNs in feature extraction and representation learning from images, combined with the discriminative power of SVMs for classification. Initially, CNN extracts intricate features from blood cell images, capturing essential patterns indicative of malaria infection. Subsequently, the extracted features are used to train an SVM classifier, enabling accurate discrimination between parasitized and uninfected blood cells. Experimental dataset evaluations were obtained from the Lister Hill National Center for Biomedical Communications website of the National Library of Medicine. The proposed model achieves a better f1-score, outperforming individual CNN or SVM models, around 0.015 compared to individual CNN models and 0.27 compared to individual SVM models. This hybrid CNN-SVM methodology offers a promising solution for accurately and efficiently detecting malaria parasites in blood cell images. © 2024 IEEE.</t>
  </si>
  <si>
    <t xml:space="preserve">2024 2nd International Conference on Software Engineering and Information Technology, ICoSEIT 2024</t>
  </si>
  <si>
    <t xml:space="preserve">10.1109/ICoSEIT60086.2024.10497463</t>
  </si>
  <si>
    <t xml:space="preserve">https://www.scopus.com/inward/record.uri?eid=2-s2.0-85191535908&amp;doi=10.1109%2fICoSEIT60086.2024.10497463&amp;partnerID=40&amp;md5=aff5c7d44c3b18326e278b1f99fe3f83</t>
  </si>
  <si>
    <t xml:space="preserve">Bina Nusantara University, Bioinformatics and Data Science Research Center, Jakarta, Indonesia; Bina Nusantara University, Binus Graduate Program - Master of Computer Science, Computer Science Department, Jakarta, Indonesia</t>
  </si>
  <si>
    <t xml:space="preserve">Karnyoto A.S., Bina Nusantara University, Bioinformatics and Data Science Research Center, Jakarta, Indonesia; Isnan M., Bina Nusantara University, Bioinformatics and Data Science Research Center, Jakarta, Indonesia; Pardamean B., Bina Nusantara University, Binus Graduate Program - Master of Computer Science, Computer Science Department, Jakarta, Indonesia</t>
  </si>
  <si>
    <t xml:space="preserve">blood Cell; CNN; image detection; malaria; SVM</t>
  </si>
  <si>
    <t xml:space="preserve">Blood; Cells; Convolutional neural networks; Cytology; Diagnosis; Diseases; Blood cell images; Blood cells; Cell detection; Convolutional neural network; Image detection; Malaria; Malaria parasite; Network support; Support vector machine models; Support vectors machine; Support vector machines</t>
  </si>
  <si>
    <t xml:space="preserve">Ahmed R., Dey D., Tyagi V., Mosquito vector borne diseasemalaria and public awareness in Sonitpur and Udalguri districts of Assam, India, Int J Mosq Res, 7, 5, pp. 26-31, (2020); Nureye D., Assefa S., Old and recent advances in life cycle, pathogenesis, diagnosis, prevention, and treatment of malaria including perspectives in Ethiopia, Sci. World J., 2020, pp. 1-17, (2020); Al-Awadhi M., Ahmad S., Iqbal J., Current status and the epidemiology of malaria in the Middle East Region and beyond, Microorganisms, 9, 2, (2021); Van Eijk A.M., Mannan A.S., Sullivan S.A., Carlton J.M., Defining symptoms of malaria in India in an era of asymptomatic infections, Malar. J., 19, pp. 1-11, (2020); Papaioannou I., Utzinger J., Vounatsou P., Malaria-anemia comorbidity prevalence as a measure of malaria-related deaths in sub-Saharan Africa, Sci. Rep., 9, 1, (2019); Kumar S., Priya S., Kumar A., Malaria detection using Deep Convolution Neural Network, (2023); Kumari C., Chettri S.K., Improving Malaria Parasite Detection From Red Blood Cell Using Deep Convolutional Neural Ensemble; AndTaner Tuncer M.M.A., MALARIA MICROSCOPIC CELL IMAGE CLASSIFICATION USING CUSTOM-BUILT CNN ARCHITECTURE, Int. J. Signal Process. IJSP, 2, 3, (2021); Valentino F., Cenggoro T.W., Pardamean B., A design of deep learning experimentation for fruit freshness detection, IOP Conference Series: Earth and Environmental Science, (2021); Selvano E., Paulindino A.Y., Elwirehardja G., Pardamean B., Evaluating Self-Supervised Pre-trained Vision Transformer on Imbalanced Data for Lung Disease Classification, ICIC Express Lett. Part B Appl., (2023); Izzaty A.M.K., Cenggoro T.W., Elwirehardja G.N., Pardamean B., Multiclass classification of histology on colorectal cancer using deep learning, Commun Math Biol Neurosci, 2022, (2022); Liana D., Phytochemical screening, in vitro antimalarial activity and genetic diversity of selected asteraceae medicinal plants indigenous to Thailand, (2020); Varo R., Chaccour C., Bassat Q., Update on malaria, Med. Clínica Engl. Ed., 155, 9, pp. 395-402, (2020); Fornace K.M., Diaz A.V., Lines J., Drakeley C.J., Achieving global malaria eradication in changing landscapes, Malar. J., 20, 1, pp. 1-14, (2021); Dhiman S., Are malaria elimination efforts on right track? An analysis of gains achieved and challenges ahead, Infect. Dis. Poverty, 8, pp. 1-19, (2019); Asadi F., Trinugroho J.P., Pardamean B., Design of Computer-Aided-Diagnosis (CAD) for Self-Assessment Tuberculosis in Indonesia, E3S Web Conf., 388, (2023); Alzubaidi L., Et al., Review of deep learning: Concepts, CNN architectures, challenges, applications, future directions, J. Big Data, 8, pp. 1-74, (2021); Sarvamangala D.R., Kulkarni R.V., Convolutional neural networks in medical image understanding: a survey, Evol. Intell., 15, 1, pp. 1-22, (2022); Do T.-N., Pham T.-P., Pham N.-K., Nguyen H.-H., Tabia K., Benferhat S., Stacking of SVMs for classifying intangible cultural heritage images, Advanced Computational Methods for Knowledge Engineering: Proceedings of the 6th International Conference on Computer Science, Applied Mathematics and Applications, ICCSAMA 2019 6, pp. 186-196, (2020); Gholamalinezhad H., Khosravi H., Pooling methods in deep neural networks, a review, (2020); Dominic N., Cenggoro T.W., Budiarto A., Pardamean B., Transfer learning using inception-ResNet-v2 model to the augmented neuroimages data for autism spectrum disorder classification, Commun Math Biol Neurosci, 2021, (2021); Ghouti L., Imam M., Malware classification using compact image features and multiclass support vector machines, IET Inf. Secur., 14, 4, pp. 419-429, (2020); Asaad R.R., Ali R.I., Ali Z.A., Shaaban A.A., Image Processing with Python Libraries, Acad. J. Nawroz Univ., 12, 2, pp. 410-416, (2023); Harris C.R., Et al., Array programming with NumPy, Nature, 585, 7825, pp. 357-362, (2020); Jeczmionek E., Kowalski P.A., Flattening layer pruning in convolutional neural networks, Symmetry, 13, 7, (2021); Lumbanraja F.R., Mahesworo B., Cenggoro T.W., Budiarto A., Pardamean B., An evaluation of deep neural network performance on limited protein phosphorylation site prediction data, Procedia Comput. Sci, (2019); Tang Y., Deep learning using linear support vector machines, (2013); Cenggoro T.W., Mahesworo B., Budiarto A., Baurley J., Suparyanto T., Pardamean B., Features importance in classification models for colorectal cancer cases phenotype in Indonesia, Procedia Comput. Sci., 157, pp. 313-320, (2019); Pardamean B., Cenggoro T.W., Rahutomo R., Budiarto A., Karuppiah E.K., Transfer learning from chest X-ray pre-trained convolutional neural network for learning mammogram data, Procedia Comput. Sci., 135, pp. 400-407, (2018); Muljo H.H., Et al., Handling severe data imbalance in chest X-Ray image classification with transfer learning using SwAV self-supervised pre-training, Commun Math Biol Neurosci, 2023, (2023)</t>
  </si>
  <si>
    <t xml:space="preserve">A.S. Karnyoto; Bina Nusantara University, Bioinformatics and Data Science Research Center, Jakarta, Indonesia; email: andrea.stevens@binus.edu</t>
  </si>
  <si>
    <t xml:space="preserve">IEEE Indonesia Section</t>
  </si>
  <si>
    <t xml:space="preserve">2nd International Conference on Software Engineering and Information Technology, ICoSEIT 2024</t>
  </si>
  <si>
    <t xml:space="preserve">28 February 2024 through 29 February 2024</t>
  </si>
  <si>
    <t xml:space="preserve">Bandung</t>
  </si>
  <si>
    <t xml:space="preserve">979-835031750-3</t>
  </si>
  <si>
    <t xml:space="preserve">Int. Conf. Softw. Eng. Inf. Technol., ICoSEIT</t>
  </si>
  <si>
    <t xml:space="preserve">2-s2.0-85191535908</t>
  </si>
  <si>
    <t xml:space="preserve">Kumar C.S.; Gupta K.R.L.; Patel G.M.; Haria J.M.</t>
  </si>
  <si>
    <t xml:space="preserve">Kumar, C. Sandeep (59322737200); Gupta, Karan Ram Lal (58726838100); Patel, Geetika M. (57204563484); Haria, J.M. (57211002171)</t>
  </si>
  <si>
    <t xml:space="preserve">59322737200; 58726838100; 57204563484; 57211002171</t>
  </si>
  <si>
    <t xml:space="preserve">A hybrid machine learning-powered intelligent system for enhancing dengue patient safety and care</t>
  </si>
  <si>
    <t xml:space="preserve">Dengue fever is a significant global health concern, with millions of cases reported each year, leading to considerable morbidity and mortality. Early diagnosis, patient monitoring and timely intervention are crucial for managing dengue patients. This study proposed a hybrid machine learning-powered intelligent system designed to enhance dengue patients safety and care. Utilizing data provided at enrollment, including platelet, age, white cell, genders, hematocrit and lymphocyte counts, a Weighted K Nearest Neighbor fused Gradient Boosting Decision Tree (WKNN-GBDT) was utilized to forecast the ultimate diagnosis. The study included 50 patients recruited between July to October 2019 and diagnosed with dengue infection. The collected data was preprocessed and features extracted using min max normalization and independent component analysis (ICA). The WKNN-GBDT model had an overallprecision of 0.96%, f1-score of 0.90% accuracy of 0.98%, andrecall of 0.99% in predicting the final diagnosis. As a consequence of seasonality and other variables, model results changed over time. These models might enhance medical decision-making in the field of medical care and offer passive surveillance in dengue affected areas. Considering the unexpected consequences of human-induced climate change and its impact on health, as well as the implications of seasonality and shifting disease prevalence, is crucial. © 2024 Malque Publishing. All rights reserved.</t>
  </si>
  <si>
    <t xml:space="preserve">Multidisciplinary Science Journal</t>
  </si>
  <si>
    <t xml:space="preserve">Malque Publishing</t>
  </si>
  <si>
    <t xml:space="preserve">e2024ss0602</t>
  </si>
  <si>
    <t xml:space="preserve">10.31893/multiscience.2024ss0602</t>
  </si>
  <si>
    <t xml:space="preserve">https://www.scopus.com/inward/record.uri?eid=2-s2.0-85203648310&amp;doi=10.31893%2fmultiscience.2024ss0602&amp;partnerID=40&amp;md5=166070a381e4d12dc2abf42ea1e23458</t>
  </si>
  <si>
    <t xml:space="preserve">JAIN (Deemed-to-be University), Department of Genetics, School of Sciences, Karnataka, India; Sanskriti University, Department of Ayurveda, Uttar Pradesh, Mathura, India; Parul University, Department of Community Medicine, PO Limda, Tal. Waghodia, District Vadodara, Gujarat, India; Teerthanker Mahaveer University, Department of General Medicine, Uttar Pradesh, Moradabad, India</t>
  </si>
  <si>
    <t xml:space="preserve">Kumar C.S., JAIN (Deemed-to-be University), Department of Genetics, School of Sciences, Karnataka, India; Gupta K.R.L., Sanskriti University, Department of Ayurveda, Uttar Pradesh, Mathura, India; Patel G.M., Parul University, Department of Community Medicine, PO Limda, Tal. Waghodia, District Vadodara, Gujarat, India; Haria J.M., Teerthanker Mahaveer University, Department of General Medicine, Uttar Pradesh, Moradabad, India</t>
  </si>
  <si>
    <t xml:space="preserve">dengue infection; gradient boosting decision tree (GBDT); morbidity; weighted K-Nearest neighbor (WKNN)</t>
  </si>
  <si>
    <t xml:space="preserve">Aguiar M., Anam V., Blyuss K. B., Estadilla C. D., Guerrero B. V., Knopoff D., Kooi B. W., Srivastav A. K., Steindorf V., Stollenwerk N., Mathematical models for dengue fever epidemiology: A 10-year systematic review, Physics of Life Reviews, 40, pp. 65-92, (2022); Biggs J. R., Sy A. K., Ashall J., Santoso M. S., Brady O. J., Reyes M. A., Quinones M. A., Jones-Warner W., Tandoc A. O., Sucaldito N. L., Mai H. K., Combining rapid diagnostic tests to estimate primary and post-primary dengue immune status at the point of care, PLoS Neglected Tropical Diseases, 16, 5, (2022); Downer T., McMurray A., Young J., The role of antenatal education in promoting maternal and family health literacy, International Journal of Childbirth, (2020); Fahmi A., Purwitasari D., Sumpeno S., Purnomo M. H., Performance evaluation of classifiers for predicting infection cases of dengue virus based on clinical diagnosis criteria, International Electronics Symposium (IES), pp. 456-462, (2020); Gupta S., Singh L., Tandon R., Study of pulmonary manifestations among dengue patients in tertiary care hospital of North India, International Journal of Contemporary Medical Research [IJCMR], 7, pp. 1-5, (2020); Hossain M. S., Noman A. A., Mamun S. M., Mosabbir A. A., Twenty-two years of dengue outbreaks in Bangladesh: Epidemiology, clinical spectrum, serotypes, and future disease risks, Tropical Medicine and Health, 51, 1, pp. 1-4, (2023); Ilmudeen A., Design and development of IoT-based decision support system for dengue analysis and prediction: Case study on Sri Lankan context, Healthcare paradigms in the Internet of Things ecosystem, pp. 363-380, (2021); Jearanaiwitayakul T., Sunintaboon P., Chawengkittikul R., Limthongkul J., Midoeng P., Ubol S., Nanodelivery system enhances the immunogenicity of dengue-2 nonstructural protein 1, DENV-2 NS1, Vaccine, 38, 43, pp. 6814-6825, (2020); Jones R. P., Multidisciplinary insights into health care financial risk and hospital surge capacity, Part 3: Outbreaks of a new type or kind of disease create unique risk patterns and confounds traditional trend analysis, Journal of Health Care Finance, (2021); Ma Z., Guo J., Jiang L., Zhao S., Lateral flow immunoassay (LFIA) for dengue diagnosis: Recent progress and prospect, Talanta, (2023); Machado A. A., Negrao F. J., Croda J., de Medeiros E. S., Pires M. A., Safety and costs of blood transfusion practices in dengue cases in Brazil, PLoS One, 14, 7, (2019); Marahatta S. B., Yadav R. K., Giri D., Lama S., Rijal K. R., Mishra S. R., Shrestha A., Bhattrai P. R., Mahato R. K., Adhikari B., Barriers in the access, diagnosis and treatment completion for tuberculosis patients in central and western Nepal: A qualitative study among patients, community members and health care workers, PLoS One, 15, 1, (2020); Nasir A., Sarwar M., Fatima M., Noor H., Imran A., Malik N. A., Chughtai O. R., Chughtai A. S., Blood transfusion practices in dengue fever: A cross sectional single center study during a dengue outbreak in Pakistan, InProceedings, 36, pp. 1-6, (2022); Ng W. L., Toh J. Y., Ng C. J., Teo C. H., Lee Y. K., Loo K. K., Abdul Hadi H., Noor Azhar A. M., Self-care practices and health-seeking behaviors in patients with dengue fever: A qualitative study from patients’ and physicians’ perspectives, PLOS Neglected Tropical Diseases, 17, 4, (2023); Paradkar P. N., Sahasrabudhe P. R., Ghag Sawant M., Mukherjee S., Blasdell K. R., Towards integrated management of dengue in Mumbai, Viruses, 13, 12, (2021); Saadatian-Elahi M., Alexander N., Mohlmann T., Ariffin F. D., Schmitt F., Richardson J. H., Rabilloud M., Hamid N. A., Addressing the COVID-19 pandemic challenges for operational adaptations of a cluster randomized controlled trial on dengue vector control in Malaysia, BMC Public Health, 22, 1, (2022); Ulrich H., Pillat M. M., Tarnok A., Dengue fever, COVID‐19 (SARS‐CoV‐2), and antibody‐dependent enhancement (ADE): A perspective, Cytometry Part A, 97, 7, pp. 662-667, (2020)</t>
  </si>
  <si>
    <t xml:space="preserve">Multidiscip. Sci. J.</t>
  </si>
  <si>
    <t xml:space="preserve">2-s2.0-85203648310</t>
  </si>
  <si>
    <t xml:space="preserve">Oguntimilehin A.; Babalola G.O.; Akinduyite C.O.; Obamiyi S.E.; Okebule T.; Oyelami F.H.; Abiola O.B.; Badeji-Ajisafe B.; Abang E.</t>
  </si>
  <si>
    <t xml:space="preserve">Oguntimilehin, Abiodun (57210702113); Babalola, Gbemisola O. (57192856560); Akinduyite, Christianah O. (58949641600); Obamiyi, Stephen E. (58308084900); Okebule, Toyin (59310780200); Oyelami, Funmilayo H. (57202732590); Abiola, Oluwatoyin B. (57215434557); Badeji-Ajisafe, Bukola (57217487510); Abang, Efaibinokpabi (59310499500)</t>
  </si>
  <si>
    <t xml:space="preserve">57210702113; 57192856560; 58949641600; 58308084900; 59310780200; 57202732590; 57215434557; 57217487510; 59310499500</t>
  </si>
  <si>
    <t xml:space="preserve">A Machine Learning Driven Malaria Fever Medical Consultation Chatbot</t>
  </si>
  <si>
    <t xml:space="preserve">Nearly half of the world's population is at risk of malaria fever. There were reported 247 million cases of malaria fever as at the year 2021 with 619000 deaths. This shows malaria is yet a serious burden to the world. Patients now have additional options for receiving medical information and services as a result of the increased use of chatbot systems in the healthcare delivery. In this work, a Machine Learning technique -Decision Tree was trained using malaria dataset collected from Adetoyin Hospital, Ado-Ekiti, Nigeria. The decision rules from the decision tree were then used to train the medical chatbot using Feed Forward Neural Network (FNN) Natural Language Processing (NLP) technique. Performance evaluation results of both the Decision Tree model and the medical chatbot were encouraging. The developed system is intended to discuss normally with patients and obtain pertinent medical history and symptoms of malaria fever and thereafter offers medical diagnosis. This experiment shows medical chatbot systems have the potential to improve patient access to healthcare services by giving patients a quick, easy, and personalized source of medical advice; these technologies can aid in the digital revolution of healthcare. © 2024 IEEE.</t>
  </si>
  <si>
    <t xml:space="preserve">International Conference on Science, Engineering and Business for Driving Sustainable Development Goals, SEB4SDG 2024</t>
  </si>
  <si>
    <t xml:space="preserve">10.1109/SEB4SDG60871.2024.10629694</t>
  </si>
  <si>
    <t xml:space="preserve">https://www.scopus.com/inward/record.uri?eid=2-s2.0-85202980611&amp;doi=10.1109%2fSEB4SDG60871.2024.10629694&amp;partnerID=40&amp;md5=bd6eff5efa6ea43ba00146bdadce5a28</t>
  </si>
  <si>
    <t xml:space="preserve">Afe Babalola University, Department of Computer Science, Ado-Ekiti, Nigeria; Afe Babalola University, Department of Mathematical &amp; Phy. Sc., Ado-Ekiti, Nigeria</t>
  </si>
  <si>
    <t xml:space="preserve">Oguntimilehin A., Afe Babalola University, Department of Computer Science, Ado-Ekiti, Nigeria; Babalola G.O., Afe Babalola University, Department of Computer Science, Ado-Ekiti, Nigeria; Akinduyite C.O., Afe Babalola University, Department of Computer Science, Ado-Ekiti, Nigeria; Obamiyi S.E., Afe Babalola University, Department of Computer Science, Ado-Ekiti, Nigeria; Okebule T., Afe Babalola University, Department of Computer Science, Ado-Ekiti, Nigeria; Oyelami F.H., Afe Babalola University, Department of Computer Science, Ado-Ekiti, Nigeria; Abiola O.B., Afe Babalola University, Department of Computer Science, Ado-Ekiti, Nigeria; Badeji-Ajisafe B., Afe Babalola University, Department of Mathematical &amp; Phy. Sc., Ado-Ekiti, Nigeria; Abang E., Afe Babalola University, Department of Computer Science, Ado-Ekiti, Nigeria</t>
  </si>
  <si>
    <t xml:space="preserve">Chatbot; FFNN; Machine Learning; Malaria Fever; NLP</t>
  </si>
  <si>
    <t xml:space="preserve">Adversarial machine learning; Decision trees; Diagnosis; Feedforward neural networks; Medical informatics; Chatbots; FFNN; Language processing; Machine-learning; Malaria fever; Medical information; Medical services; Natural language processing; Natural languages; World population; Diseases</t>
  </si>
  <si>
    <t xml:space="preserve">Afe Babalola University</t>
  </si>
  <si>
    <t xml:space="preserve">The authors express gratitude to the esteemed Founder of Afe Babalola University - Aare Afe Babalola (SAN) and Afe Babalola University for providing the publication fees of this work.</t>
  </si>
  <si>
    <t xml:space="preserve">Divya M., Neeraj C.J., Elmy S., Shinoy S., Anandhu A., A Novel Approach for Medical Assistance Using Trained Chatbot, International Conference on Inventive Communication and Computational Technologies(ICICCT), pp. 243-246, (2017); Divya S., Indumathi V., Ishwarya S., Priyasankari M., Kalpana D.S., A Self-Diagnosis Medical Chatbot Using Artificial Intelligence, Journal of Web Development and Web Designing, 3, 1, pp. 1-7, (2018); Oguntimilehin A., Adetunmbi A.O., Osho I.B., Towards Achieving Optimal Performance using Stacked Generalization Algorithm:A Case Study of Clinical Diagnosis of Malaria Fever, The International Arab Journal of Information Technology, 16, 6, pp. 1074-1081, (2019); Oguntimilehin A., Babalola G.O., Olatunji K.A., A Clinical Diagnostic Model Based on Supervised Learning, International Journal of Advanced Trends in Computer Science and Engineering, 8, 3, pp. 945-953, (2019); Tripathy A.K., Carvalho R., Pawaskar K., Yadav S., Mobile Based Healthcare Management using Artificial Intelligence, International Conference on Technologies for Sustainable Development(ICTSD), pp. 4-6, (2015); Dharwadkar R., Deshpande N.A., A Medical Chatbots, International Journal of Computer Trends and Technology vol, 60, 1, pp. 41-45, (2018); Ranoliya R.B., Raghuwanshi N., Singh S., Chatbot for university related FAQs, 2017 International Conference on Advances in Computing, Communications and Informatics(ICACCI), pp. 1525-1530, (2017); Gupta S., Livingston J., Livingston A., Prediction of Top Tourist Attraction Spots using Learning Algorithms, International Journal of Recent Technology and Engineering, 8, 3, pp. 1063-1067, (2019); (2022); Pryss R., Et al., Using Chatbots to Support Medical and Psychological Treatment Procedures: Challenges, Opportunities, Technologies, Reference Architecture, pp. 249-260, (2019); Hoermann S., McCabe K.L., Milne D.N., Calvo R.A., Application of Synchronous Text-Based Dialogue Systems in Mental Health Interventions: Systematic Review, Journal of Medical Internet Research, 19, 8, (2017); Saurav K.M., Dhirendra B., Nidhi M., Dr.Vdoc: A Medical Chatbot that Acts as a Virtual Doctor, Journal of Medical Science and Technology, 6, 3, pp. 16-20, (2017); Imran A., Shikha S., AIML Based Voice Enabled Artificial Intelligent Chatterbot, International Journal of u-and e-Service, Science and Technology, 8, 2, pp. 375-384, (2015); Huang C.-Y., Yang M.-C., Chen C.-Y.-J., A Chatbot-supported Smart Wireless Interactive Healthcare System for Weight Control and Health Promotion, 2018 IEEE International Conference on Industrial Engineering and Engineering Management(IEEM), pp. 1791-1795, (2018); Setiaji B., Wibowo F.W., Chatbot Using A Knowledge in Database-Human-to-Machine Conversation Modeling, 7th international conference on intelligent systems, modelling and simulation, pp. 72-77, (2016); D'Silva G.M., Thakare S., More S., Kuriakose J., Real World Smart Chatbot for Customer Care using a Software as a Service(SaaS) Architecture, 2017 International conference on I-SMAC(IoT in Social, Mobile, Analytics and Cloud)(I-ISMAC), pp. 658-664, (2017); Sazll M.H., Isik C., Neural Network Implementation of the BCJR Algorithm based on reformulation using matrix algebra, Proceeding of the Fifth IEEE International Symposium on Signal Processing and Information Technology, pp. 832-837; Gupta A.G., A self explanatory review of decision tree classifiers, International Conference on Recent Advances and Innovations in Engineering(ICRAIE-2014), pp. 1-7, (2014)</t>
  </si>
  <si>
    <t xml:space="preserve">A. Oguntimilehin; Afe Babalola University, Department of Computer Science, Ado-Ekiti, Nigeria; email: ebenabiodun2@yahoo.com</t>
  </si>
  <si>
    <t xml:space="preserve">2024 International Conference on Science, Engineering and Business for Driving Sustainable Development Goals, SEB4SDG 2024</t>
  </si>
  <si>
    <t xml:space="preserve">2 April 2024 through 4 April 2024</t>
  </si>
  <si>
    <t xml:space="preserve">Omu-Aran</t>
  </si>
  <si>
    <t xml:space="preserve">979-835035815-5</t>
  </si>
  <si>
    <t xml:space="preserve">Int. Conf. Sci., Eng. Bus. Driv. Sustain. Dev. Goals, SEB4SDG</t>
  </si>
  <si>
    <t xml:space="preserve">2-s2.0-85202980611</t>
  </si>
  <si>
    <t xml:space="preserve">Ooko S.O.; Kagwi C.T.</t>
  </si>
  <si>
    <t xml:space="preserve">Ooko, Samson Otieno (57433210800); Kagwi, Charles Theuri (59450153100)</t>
  </si>
  <si>
    <t xml:space="preserve">57433210800; 59450153100</t>
  </si>
  <si>
    <t xml:space="preserve">A Machine Learning Model for Prediction of Malaria from Microscopic Blood Cell Images</t>
  </si>
  <si>
    <t xml:space="preserve">Machine learning (ML), a pivotal subset of artificial intelligence (AI), has been instrumental in developing systems that learn from and enhance their performance based on data. This technology has facilitated the creation of predictive models for a range of diseases, including pneumonia, heart disease, and COVID-19, allowing for diagnosis based on specific data parameters. Traditionally, malaria detection has relied on the microscopic examination of blood cells, a method that is not only time-consuming but also prone to misdiagnosis, leading potentially to the incorrect treatment of patients. This study introduces a machine-learning model designed to identify patterns in microscopic images of blood cells to differentiate between healthy and malaria-infected cells. Utilizing publicly available datasets from Kaggle for both training and testing, we evaluated the performance of K-Nearest Neighbor (KNN) and Convolutional Neural Network (CNN) algorithms. Our findings show that the CNN model significantly outperformed the KNN model, achieving an accuracy of 94%, and requiring less memory and computational time. Therefore, the CNN model is recommended for further development and use. The implementation of this model represents a significant step forward in achieving the sustainable development goals related to health and wellness, offering a more reliable, efficient, and scalable tool for malaria diagnosis.  © 2024 IEEE.</t>
  </si>
  <si>
    <t xml:space="preserve">Proceedings - IEEE Congress on Cybermatics: 2024 IEEE International Conferences on Internet of Things, iThings 2024, IEEE Green Computing and Communications, GreenCom 2024, IEEE Cyber, Physical and Social Computing, CPSCom 2024, IEEE Smart Data, SmartData 2024</t>
  </si>
  <si>
    <t xml:space="preserve">10.1109/iThings-GreenCom-CPSCom-SmartData-Cybermatics62450.2024.00060</t>
  </si>
  <si>
    <t xml:space="preserve">https://www.scopus.com/inward/record.uri?eid=2-s2.0-85210598889&amp;doi=10.1109%2fiThings-GreenCom-CPSCom-SmartData-Cybermatics62450.2024.00060&amp;partnerID=40&amp;md5=72b82a7a013dd807d48d0e66d24a2ea4</t>
  </si>
  <si>
    <t xml:space="preserve">Adventist University of Africa, School of Postgraduate Studies, Nairobi, Kenya; University of Eastern Africa Baraton, Information Systems and Computing</t>
  </si>
  <si>
    <t xml:space="preserve">Ooko S.O., Adventist University of Africa, School of Postgraduate Studies, Nairobi, Kenya; Kagwi C.T., University of Eastern Africa Baraton, Information Systems and Computing</t>
  </si>
  <si>
    <t xml:space="preserve">Cell Images; CNN; KNN; Machine Learning; Malaria</t>
  </si>
  <si>
    <t xml:space="preserve">Contrastive Learning; Convolutional neural networks; COVID-19; Diagnosis; Malaria control; Nearest neighbor search; Patient treatment; Blood cell images; Blood cells; Cell images; Convolutional neural network; K-near neighbor; Machine learning models; Machine-learning; Malaria; Nearest-neighbour; Neural network model; Adversarial machine learning</t>
  </si>
  <si>
    <t xml:space="preserve">Okumu F., Et al., What Africa can do to accelerate and sustain progress against malaria, PLOS Global Public Health, 2, 6, (2022); Okumu F., Et al., What Africa can do to accelerate and sustain progress against malaria, PLOS Global Public Health, 2, 6, (2022); Mbanefo A., Kumar N., Evaluation of malaria diagnostic methods as a key for successful control and elimination programs, Tropical Medicine and Infectious Disease, 5, 2, (2020); Pugliese R., Regondi S., Marini R., Machine learningbased approach: Global trends, research directions, and regulatory standpoints, Data Science and Management, 4, pp. 19-29, (2021); Lakhani P., Et al., Machine Learning in Radiology: Applications Beyond Image Interpretation, Journal of the American College of Radiology, 15, 2, pp. 350-359, (2018); Nkiruka O., Prasad R., Clement O., Prediction of malaria incidence using climate variability and machine learning, Inform Med Unlocked, 22, (2021); Serte S., Demirel H., Deep learning for diagnosis of COVID-19 using 3D CT scans, Comput Biol Med, 132, (2021); Alzubaidi L., Et al., Review of deep learning: Concepts, CNN architectures, challenges, applications, future directions, J Big Data, 8, 1, (2021); Liu X., Wang H., Li Z., Qin L., Deep learning in ECG diagnosis: A review, Knowl Based Syst, 227, (2021); Hoodbhoy Z., Jiwani U., Sattar S., Salam R., Hasan B., Das J.K., Diagnostic Accuracy of Machine Learning Models to Identify Congenital Heart Disease: A Meta-Analysis, Front Artif Intell, 4, (2021); Yamashita R., Nishio M., Do R.K.G., Togashi K., Convolutional neural networks: An overview and application in radiology, Insights Imaging, 9, 4, pp. 611-629, (2018); Chan H.P., Hadjiiski L.M., Samala R.K., Computeraided diagnosis in the era of deep learning, Medical Physics, pp. e218-e227, (2020); Morang'A C.M., Et al., Machine learning approaches classify clinical malaria outcomes based on haematological parameters, BMC Med, 18, 1, (2020); Morang'A C.M., Et al., Machine learning approaches classify clinical malaria outcomes based on haematological parameters, BMC Med, 18, 1, (2020); Nkiruka O., Prasad R., Clement O., Prediction of malaria incidence using climate variability and machine learning, Inform Med Unlocked, 22, (2021); Yadav S.S., Kadam V.J., Jadhav S.M., Jagtap S., Pathak P.R., Machine learning based malaria prediction using clinical findings, 2021 International Conference on Emerging Smart Computing and Informatics, ESCI 2021, pp. 216-222, (2021); Jdey I., Hcini G., Ltifi H., Deep learning and machine learning for Malaria detection: Overview, challenges and future directions, (2022); Iradukunda O., Che H., Uwineza J., Bayingana J.Y., Bin-Imam M.S., Niyonzima I., Malaria Disease Prediction Based on Machine Learning, ICSIDP 2019-IEEE International Conference on Signal, Information and Data Processing 2019, (2019); colab. google; Python, (2006); Gackenheimer C., What Is React?, Introduction to React, pp. 1-20, (2015); Moroney L., An Introduction to Firebase, The Definitive Guide to Firebase, pp. 1-24, (2017); Heroku Cloud Native Buildpacks: Bringing Heroku Magic to Container Images | Heroku; Cunningham P., Delany S.J., K-Nearest Neighbour Classifiers-A Tutorial, ACM Computing Surveys, 54, 6, (2021)</t>
  </si>
  <si>
    <t xml:space="preserve">S.O. Ooko; Adventist University of Africa, School of Postgraduate Studies, Nairobi, Kenya; email: ookosoft@gmail.com</t>
  </si>
  <si>
    <t xml:space="preserve">IEEE; IEEE Computational Intelligence Society Technical Committee on Smart World; IEEE Computer Society; IEEE Hyper Intelligence Technical Committee (HI-TC); IEEE Systems, Man, and Cybernetics (SMC) Society Technical Committee on CyberMatics; IEEE Technical Committee on Scalable Computing (TCSC)</t>
  </si>
  <si>
    <t xml:space="preserve">IEEE Congress on Cybermatics: 17th IEEE International Conference on Internet of Things, iThings 2024, 20th IEEE International Conference on Green Computing and Communications, GreenCom 2024, 17th IEEE International Conference on Cyber, Physical and Social Computing, CPSCom 2024, 10th IEEE International Conference on Smart Data, SmartData 2024</t>
  </si>
  <si>
    <t xml:space="preserve">19 August 2024 through 22 August 2024</t>
  </si>
  <si>
    <t xml:space="preserve">Copenhagen</t>
  </si>
  <si>
    <t xml:space="preserve">979-835035163-7</t>
  </si>
  <si>
    <t xml:space="preserve">Proc. - IEEE Congr. Cybermatics: IEEE Int. Conf. Internet Things, iThings, IEEE Green Comput. Commun., GreenCom, IEEE Cyber, Phys. Soc. Comput., CPSCom, IEEE Smart Data, SmartData</t>
  </si>
  <si>
    <t xml:space="preserve">2-s2.0-85210598889</t>
  </si>
  <si>
    <t xml:space="preserve">Shahshikiran S.; Srinivas Babu N.; Pramanik S.; Sathwik</t>
  </si>
  <si>
    <t xml:space="preserve">Shahshikiran, S. (58996290300); Srinivas Babu, N. (58515815600); Pramanik, Souvik (59261599300); Sathwik (59261058000)</t>
  </si>
  <si>
    <t xml:space="preserve">58996290300; 58515815600; 59261599300; 59261058000</t>
  </si>
  <si>
    <t xml:space="preserve">A Modified Deep Learning Architecture for Detecting MalariaInfected Cells</t>
  </si>
  <si>
    <t xml:space="preserve">Malaria is a major public health problem because it is prevalent in tropical and subtropical regions with inadequate healthcare systems and limited resources. A correct diagnosis is necessary for prompt malaria intervention and treatment. Expert pathologists manually review blood smear images to obtain a microscopic diagnosis. Alternatively, they use a 50% accurate Rapid antigen malaria test. Advancements in Deep Learning(DL) have provided promising features in automating malaria diagnosis. Generating predictions based on patterns seen in large-scaledatasets. the DL approach, which is recommended work, provides a more reliable diagnosis by reducing the cost of diagnosis, especially in areas with limited resources. The approach we propose combines Image transformation, Feature extraction, Feature Engineering, and data augmentation using the Convolutional Neural Network(CNN) architecture with an accuracy of 94.44% in classification, and by incorporating a Support Vector Machine (SVM) function as a method of activation in the final layer of the CNN design, it influences the layers. Our objective is to improve deep neural networks' performance in classifying cells that are affected by malaria parasite.  © 2024 IEEE.</t>
  </si>
  <si>
    <t xml:space="preserve">2024 International Conference on Knowledge Engineering and Communication Systems, ICKECS 2024</t>
  </si>
  <si>
    <t xml:space="preserve">10.1109/ICKECS61492.2024.10617005</t>
  </si>
  <si>
    <t xml:space="preserve">https://www.scopus.com/inward/record.uri?eid=2-s2.0-85201303667&amp;doi=10.1109%2fICKECS61492.2024.10617005&amp;partnerID=40&amp;md5=313546d1cb8822b2d52e0e5f18795201</t>
  </si>
  <si>
    <t xml:space="preserve">New Horizon College of Engineering, Department of Electronics and Communication, Bengaluru, India</t>
  </si>
  <si>
    <t xml:space="preserve">Shahshikiran S., New Horizon College of Engineering, Department of Electronics and Communication, Bengaluru, India; Srinivas Babu N., New Horizon College of Engineering, Department of Electronics and Communication, Bengaluru, India; Pramanik S., New Horizon College of Engineering, Department of Electronics and Communication, Bengaluru, India; Sathwik, New Horizon College of Engineering, Department of Electronics and Communication, Bengaluru, India</t>
  </si>
  <si>
    <t xml:space="preserve">CNN; Data Augmentation; DL; Feature extraction; SVM</t>
  </si>
  <si>
    <t xml:space="preserve">Cell engineering; Cost engineering; Deep neural networks; Diagnosis; mHealth; Multilayer neural networks; Support vector machines; Blood smears; Convolutional neural network; Data augmentation; Deep learning; Features extraction; Healthcare systems; Learning architectures; Subtropical regions; Support vectors machine; Tropical regions; Diseases</t>
  </si>
  <si>
    <t xml:space="preserve">World malaria report 2022, (2023); Poostchi M., Silamut K., Maude R.J., Jaeger S., Thoma G., Image analysis and machine learning for detecting malaria, Translational Research, 194, pp. 36-55, (2018); Mishra S., Malaria Parasite Detection using Efficient Neural Ensembles, Journal of Electronics, Electromedical Engineering, and Medical Informatics, 3, 3, pp. 119-133, (2021); Shambhu S., Koundal D., Das P., Hoang V.T., Tran-Trung K., Turabieh H., Computational Methods for Automated Analysis of Malaria Parasite Using Blood Smear Images: Recent Advances, Comput Intell Neurosci, 2022, pp. 1-18, (2022); Yadav S.S., Jadhav S.M., Deep convolutional neural network based medical image classification for disease diagnosis, J Big Data, 6, 1, (2019); Shankar V.S., Et al., Elucidating the status of malaria in Andaman and Nicobar Islands post-millennium 2000, Journal of Parasitic Diseases, 46, 4, pp. 1062-1069, (2022); Alzoubi S., Jawarneh M., Bsoul Q., Keshta I., Soni M., Khan M.A., An advanced approach for fig leaf disease detection and classification: Leveraging image processing and enhanced support vector machine methodology, Open Life Sci, 18, 1, (2023); V.K.N, Garimella M., Bhan M., Image Labeling Using Convolutional Neural Network, 2023 International Conference on Network, Multimedia and Information Technology (NMITCON), pp. 1-5, (2023); Sharma H., Jain S., Vasudeva A., Recognition System for Malarial Parasites Causing Protozoa Infections in Thin Blood Smears, 2023 IEEE 4th Annual Flagship India Council International Subsections Conference (INDISCON), pp. 1-6, (2023); Kumar S., Priya S., Kumar A., Malaria detection using Deep Convolution Neural Network, (2023); Maqsood A., Farid M.S., Khan M.H., Grzegorzek M., Deep Malaria Parasite Detection in Thin Blood Smear Microscopic Images, Applied Sciences, 11, 5, (2021); Rosenthal M.R., Ng C.L., High-content imaging as a tool to quantify and characterize malaria parasites, Cell Reports Methods, 3, 7, (2023); Fong Amaris W.M., Martinez C., Cortes-Cortes L.J., Suarez D.R., Image features for quality analysis of thick blood smears employed in malaria diagnosis, Malar J, 21, 1, (2022)</t>
  </si>
  <si>
    <t xml:space="preserve">S. Shahshikiran; New Horizon College of Engineering, Department of Electronics and Communication, Bengaluru, India; email: shashikiran067@gmail.com</t>
  </si>
  <si>
    <t xml:space="preserve">18 April 2024 through 19 April 2024</t>
  </si>
  <si>
    <t xml:space="preserve">Chikkaballapur</t>
  </si>
  <si>
    <t xml:space="preserve">979-835035968-8</t>
  </si>
  <si>
    <t xml:space="preserve">Int. Conf. Knowl. Eng. Commun. Syst., ICKECS</t>
  </si>
  <si>
    <t xml:space="preserve">2-s2.0-85201303667</t>
  </si>
  <si>
    <t xml:space="preserve">Oguntimilehin A.; Berida O.T.; Abiola O.B.; Badeji-Ajisafe B.; Okebule T.; Akinduyite C.O.; Obamiyi S.E.; Babalola G.O.; Sanya O.</t>
  </si>
  <si>
    <t xml:space="preserve">Oguntimilehin, Abiodun (57210702113); Berida, Olutabo Toluse (59311083300); Abiola, Oluwatoyin B. (57215434557); Badeji-Ajisafe, Bukola (57217487510); Okebule, Toyin (59310780200); Akinduyite, Christianah O. (58949641600); Obamiyi, Stephen E. (58308084900); Babalola, Gbemisola O. (57192856560); Sanya, Oluwafemi (59311081900)</t>
  </si>
  <si>
    <t xml:space="preserve">57210702113; 59311083300; 57215434557; 57217487510; 59310780200; 58949641600; 58308084900; 57192856560; 59311081900</t>
  </si>
  <si>
    <t xml:space="preserve">A Multilayer Perceptron Based Mobile Diagnosis System for Malaria Fever</t>
  </si>
  <si>
    <t xml:space="preserve">Malaria is a life-threatening disease caused by Plasmodium parasites, which are transmitted to humans through the bite of infected Anopheles mosquitoes. This disease affects millions of people worldwide, particularly in sub-Sahara Africa, and can lead to severe complications such as anemia, cerebral malaria, organ failure and death. Early and accurate diagnosis is critical to effective treatment and control of the disease. Malaria can be detected using a variety of techniques, from clinical evaluation to laboratory analysis. Healthcare professionals use symptoms of malaria to make a clinical diagnosis mostly where laboratory analysis is not available. In an effort to improve the accuracy and efficiency of symptomatic malaria diagnosis, this work presented a Multilayer Perceptron (MLP) model based mobile diagnosis system for malaria fever. The dataset used contained 1733 patients' records with malaria cases, including the symptoms observed by medical practitioners and complaints made by the patients. The developed MLP model was trained with 70% of the data while 30% was used to test the model. The performance evaluation results of the model showed an accuracy of 100% on the training set and 97.31% on the testing set, also 0.99 F1, 0.99 Recall and 0.99 ROC on the testing set. The mobile diagnosis system provides an easy-to-use interface for users to input their symptoms and receive a diagnosis result. This system poses to be of immense benefits to the health sector and individuals. © 2024 IEEE.</t>
  </si>
  <si>
    <t xml:space="preserve">10.1109/SEB4SDG60871.2024.10629733</t>
  </si>
  <si>
    <t xml:space="preserve">https://www.scopus.com/inward/record.uri?eid=2-s2.0-85202972911&amp;doi=10.1109%2fSEB4SDG60871.2024.10629733&amp;partnerID=40&amp;md5=c884313635dd4049317c1b2c53f7bd1a</t>
  </si>
  <si>
    <t xml:space="preserve">Afe Babalola University, Department of Computer Science, Ado-Ekiti, Nigeria</t>
  </si>
  <si>
    <t xml:space="preserve">Oguntimilehin A., Afe Babalola University, Department of Computer Science, Ado-Ekiti, Nigeria; Berida O.T., Afe Babalola University, Department of Computer Science, Ado-Ekiti, Nigeria; Abiola O.B., Afe Babalola University, Department of Computer Science, Ado-Ekiti, Nigeria; Badeji-Ajisafe B., Afe Babalola University, Department of Computer Science, Ado-Ekiti, Nigeria; Okebule T., Afe Babalola University, Department of Computer Science, Ado-Ekiti, Nigeria; Akinduyite C.O., Afe Babalola University, Department of Computer Science, Ado-Ekiti, Nigeria; Obamiyi S.E., Afe Babalola University, Department of Computer Science, Ado-Ekiti, Nigeria; Babalola G.O., Afe Babalola University, Department of Computer Science, Ado-Ekiti, Nigeria; Sanya O., Afe Babalola University, Department of Computer Science, Ado-Ekiti, Nigeria</t>
  </si>
  <si>
    <t xml:space="preserve">Deep learning; Diagnosis; Malaria; Multilayer Perceptron; Signs and symptoms</t>
  </si>
  <si>
    <t xml:space="preserve">Diagnosis; Malaria control; Anopheles mosquitoes; Deep learning; Diagnose system; Laboratory analysis; Malaria; Multilayers perceptrons; Plasmodium parasites; Sign and symptom; Sub-Sahara Africa; Testing sets; Diseases</t>
  </si>
  <si>
    <t xml:space="preserve">Adetoyin Hospital</t>
  </si>
  <si>
    <t xml:space="preserve">The authors are grateful to the management and medical experts at Adetoyin Hospital, Bank Road, Ado-Ekiti, Nigeria for the valuable inputs that led to the successful completion of this work</t>
  </si>
  <si>
    <t xml:space="preserve">Adetunmibi A.O., Oguntimilehin A., Falaki S.O., Web-based medical assistant system for malaria diagnosis and therapy, GESJ: Computer Science and Telecommunications, 1, 33, pp. 42-53, (2012); Murray C.J., Rosenfeld L.C., Lim S.S., Andrews K.G., Foreman K.J., Haring D., Lopez A.D., Global malaria mortality between 1980 and 2010: A systematic analysis, The Lancet, 379, 9814, pp. 413-431, (2012); Smith J., The transformative impact of information and communication technology on various industries, Journal of Digital Transformation, 5, 2, pp. 127-143, (2021); Smith J., Telemedicine: Enhancing healthcare access through ICT, Journal of Telemedicine and Telecare, 17, 3, pp. 127-143, (2021); Oguntimilehin A., Akukwe M.L., Olatunji K.A., Abiola O.B., Adeyemo O.A., Abiodun I.A., Mobile Banking Transaction Authentication using Deep Learning, 2022 5th Information Technology for Education and Development(ITED), pp. 1-7, (2022); Olatunji K.A., Oguntimilehin A., Adeyemo O.A., Aweh O.M., Abiodun A.I., Bello O.A., Skin Disease Classification using deep Learning Methods, 2022 5th Information Technology for Education and Development(ITED), pp. 1-8, (2022); Noble-Nnakenyi P.C., Olatunji K.A., Abiola O.B., Oguntimilehin A., Adeyemo O.A., Babalola G., Predicting Epileptic Seizures using Ensemble Method, 2022 5th Information Technology for Education and Development(ITED), pp. 1-7, (2022); Goodfellow I., Bengio Y., Courville A., Deep learning, 1, pp. 123-145, (2016); Zhang Z., Zhou D., Zhang J., Xu X., Lin G., Jin B., Liang Y., Geng Y., Zhang S., Multilayer perceptron-based prediction of stroke mimics in Prehospital triage, Scientific Reports, 12, (2022); Kakde A., Arora N., Sharma D., Novel Approach towards optimal classification using Multilayer Perceptron, International Journal of Research in Engineering, IT and Social Sciences, 8, 10, pp. 29-38, (2018); Oyediran O.O., Oyetayo T.O., Convolutional neural network-based malaria diagnosis from microscopic blood images using transfer learning, Heliyon, 6, 7, (2020); Priyanka S., Singh D., Manoj K.B., Nidhi M., Decision Support System for Malaria and Dengue Disease Diagnosis(ASSMD), International Journal of Information and Communication Technology, 3, 7, pp. 633-640, (2013); Sinha S., Gupta N., Computer-aided Diagnosis of Malariathrough Transfer Learning using the ResNet50 Backbone, PHARMBIT, XXIX, 1, pp. 1-9, (2020); Sharma V., Kumar A., Panat L., Karajkhede G., Lele A., Malaria outbreak prediction model using machine learning, International Journal of Advanced Research in Computer Engineering &amp; Technology(IJARCET), 4, 12, pp. 4415-4419, (2015); Thanakorin P., Nilvisut P., Wongrisichot T., Damkliang K., A new computer-aided diagnosis of precise malaria parasite detection in microscopic images using a decision tree model with selective optimal features, Biomedical Engineering: Applications, Basis and Communications (2023)2350004, pp. 1-12, (2023); Harsha T., Jyoti K., Malaria detection from blood cell images using convolutional neural networks, International Journal of Research in Engineering and Science, 10, 7, pp. 882-888, (2022); Nguyen N.V., Nguyen V.T., Pham T.V., Le H.T., Nguyen T.H., Deep learning-based diagnosis of malaria using smartphone camera images, Journal of Medical Systems, 45, 3, pp. 1-12, (2021); Hossain A., Islam M.M., Mobile-based malaria diagnosis using machine learning algorithms and cloud computing, 2017 International Conference on Electrical, Computer and Communication Engineering(ECCE), pp. 125-128, (2017); Alamu F.O., Abiodun A.O., Jinadu A.A., A deep learning based clinical decision support system for malaria diagnosis and detection, Journal of Health and Medical Informatics, 13, 7, pp. 1-5, (2022); Oguntimilehin A., Adetunmbi A.O., Osho I.B., Towards achieving optimal performance using stacked generalization algorithm: A case study of clinical diagnosis of malaria fever, The International Arab Journal of Information Technology, 16, 6, pp. 1074-1081, (2019); Oguntimilehin A., Babalola G.O., Olatunji K.A., A clinical diagnostic model based on supervised learning, International Journal of Advanced Trends Computer Science and Engineering, 8, 3, pp. 945-953, (2019); Bhuiyan M., Islam M.S., A new ensemble learning approach to detect malaria from microscopic red blood cell images, Sensors International, 4, (2023); Firdaus M.A., Hamid M.F.A., Abdullah M.A., Yaakob S.B., Classification of malaria-infected erythrocytes using multilayer perceptron neural network based on gray level co-occurrence matrix features, Microscopy Research and Technique, 84, 1, pp. 111-124, (2021); Sengupta P., Original research paper continuous monitoring system for analysing vegetative state and comatose patients with the help of somatosensory evoked potential and deep Learning, International Journal of Scientific Research, 7, 11, pp. 389-393, (2019)</t>
  </si>
  <si>
    <t xml:space="preserve">2-s2.0-85202972911</t>
  </si>
  <si>
    <t xml:space="preserve">Indra Z.; Jusman Y.; Elfizar; Mahdiyah E.; Salambue R.; Winarso D.</t>
  </si>
  <si>
    <t xml:space="preserve">Indra, Zul (56606264400); Jusman, Yessi (35810354700); Elfizar (57035411800); Mahdiyah, Evfi (57716077500); Salambue, Roni (57201503912); Winarso, Doni (57223101734)</t>
  </si>
  <si>
    <t xml:space="preserve">56606264400; 35810354700; 57035411800; 57716077500; 57201503912; 57223101734</t>
  </si>
  <si>
    <t xml:space="preserve">A Proposed Mala-Net CNN Algorithm for Malaria Early Detection Based on Thick Blood Smear</t>
  </si>
  <si>
    <t xml:space="preserve">Malaria has spread worldwide since the early 20th century and causes nearly half a million deaths each year. Malaria is actually not a dangerous disease and can be easily cured if the treatment can be carried out effectively. Therefore, efforts to identify the presence of the plasmodium parasite early will greatly help reduce the death rate caused by this disease. However, the fact is that this disease often does not get serious attention. Generally, this disease is only treated in the critical phase because it is considered just a common flu. This research is intended to produce a computer-aided disease diagnosis (CAD) system enriched with CNN algorithms to assist in early malaria diagnosis. This CAD system is expected to provide an effective and reliable malaria diagnosis, and avoid the limitations of manual diagnosis. In order to develop the CAD applications, this study proposed a novel CNN architecture called as Mala-Net by utilizing red thick blood dataset. In conclusion, this study successfully surpassed previous studies used as benchmarks with an accuracy value above 97%. © 2024 IEEE.</t>
  </si>
  <si>
    <t xml:space="preserve">2nd International Symposium on Information Technology and Digital Innovation: Creative Trends in Sustainable Information Technology Design and Innovation, ISITDI 2024</t>
  </si>
  <si>
    <t xml:space="preserve">10.1109/ISITDI62380.2024.10796353</t>
  </si>
  <si>
    <t xml:space="preserve">https://www.scopus.com/inward/record.uri?eid=2-s2.0-85216089018&amp;doi=10.1109%2fISITDI62380.2024.10796353&amp;partnerID=40&amp;md5=39e67b9fe5a329a4885b001254becdd4</t>
  </si>
  <si>
    <t xml:space="preserve">Universitas Riau, Departement of Computer Science, Pekanbaru, Indonesia; Universitas Muhammadiyah Yogyakarta, Departement of Electrical Engineering, Bantul, Indonesia; Universitas Muhammadiyah Riau, Departement of Information System, Pekanbaru, Indonesia</t>
  </si>
  <si>
    <t xml:space="preserve">Indra Z., Universitas Riau, Departement of Computer Science, Pekanbaru, Indonesia; Jusman Y., Universitas Muhammadiyah Yogyakarta, Departement of Electrical Engineering, Bantul, Indonesia; Elfizar, Universitas Riau, Departement of Computer Science, Pekanbaru, Indonesia; Mahdiyah E., Universitas Riau, Departement of Computer Science, Pekanbaru, Indonesia; Salambue R., Universitas Riau, Departement of Computer Science, Pekanbaru, Indonesia; Winarso D., Universitas Muhammadiyah Riau, Departement of Information System, Pekanbaru, Indonesia</t>
  </si>
  <si>
    <t xml:space="preserve">computer vision; deep learning; Mala-Net; malaria; thick red blood</t>
  </si>
  <si>
    <t xml:space="preserve">Deep learning; Malaria control; 20th century; Blood smears; Computer-aided; Deep learning; Diagnose system; Disease diagnosis; Malaria; Malaria diagnosis; Malum-net; Thick red blood; Diseases</t>
  </si>
  <si>
    <t xml:space="preserve">Dagen M., History of malaria and its treatment, Antimalarial agents, pp. 1-48, (2020); World malaria report 2022, (2022); Fact Sheet about Malaria 2019; Indra Z., Jusman Y., Salambue R., Kurniawan R., Melia T., Computer-Assisted Disease Diagnosis Application for Malaria Early Diagnosis Based on Modified CNN Algorithm, Int. J. Comput. Digit. Syst., 15, 1, pp. 961-973, (2024); Doi K., Computer-aided diagnosis in medical imaging: Historical review, current status and future potential, Comput. Med. Imaging Graph., 31, 4-5, pp. 198-211, (2007); Van Ginneken B., Romeny B.M.T.H., Viergever M.A., Computer-aided diagnosis in chest radiography: A survey, IEEE Trans. Med. Imaging, 20, 12, pp. 1228-1241, (2001); Umer M., Sadiq S., Ahmad M., Ullah S., Choi G.S., Mehmood A., A novel stacked CNN for malarial parasite detection in thin blood smear images, IEEE Access, 8, pp. 93782-93792, (2020); Sriporn K., Tsai C.-F., Tsai C.-E., Wang P., Analyzing Malaria Disease Using Effective Deep Learning Approach, Diagnostics, 10, 10, (2020); Madhu G., Govardhan A., Srinivas B.S., Patel S.A., Rohit B., Bharadwaj B.L., Capsule Networks for Malaria Parasite Classification: An Application Oriented Model, 2020 IEEE Int. Conf. Innov. Technol. INOCON, 2020, pp. 1-5; Kassim Y.M., Et al., Clustering-Based Dual Deep Learning Architecture for Detecting Red Blood Cells in Malaria Diagnostic Smears, IEEE J. Biomed. Heal. Informatics, 25, 5, pp. 1735-1746; Liang Z., Et al., CNN-based image analysis for malaria diagnosis, Proc. - 2016 IEEE Int. Conf. Bioinforma. Biomed. BIBM, pp. 493-496, (2017); Prakash S.S., Kovoor B.C., Visakha K., Convolutional Neural Network Based Malaria Parasite Infection Detection Using Thin Microscopic Blood Smear Samples, Proc. 2nd Int. Conf. Inven. Res. Comput. Appl. ICIRCA, 2020, pp. 308-313; Kudisthalert W., Pasupa K., Tongsima S., Counting and classification of malarial parasite from giemsa-stained thin film images, IEEE Access, 8, pp. 78663-78682, (2020); Ragb H.K., Dover I.T., Ali R., Deep convolutional neural network ensemble for improved malaria parasite detection, Proc. - Appl. Imag. Pattern Recognit. Work., 2020-; Vijayalakshmi A., Kanna R.B., Deep learning approach to detect malaria from microscopic images, Multimed. Tools Appl., 79, 21-22, pp. 15297-15317; Joshi A.M., Das A.K., Dhal S., Deep learning based approach for malaria detection in blood cell images, IEEE Reg. 10 Annu. Int. Conf. Proceedings/TENCON, 2020-, pp. 241-246; Fuhad K.M.F., Tuba J.F., Sarker M.R.A., Momen S., Mohammed N., Rahman T., Detection from Blood Smear and Its Smartphone Based Application, Diagnostics, 10, 329; Kalkan S.C., Sahingoz O.K., Deep learning based classification of malaria from slide images, Sci. Meet. Electr. Biomed. Eng. Comput. Sci. EBBT, pp. 1-4, (2019); Alok N., Krishan K., Chauhan P., Deep Learning‐Based Image Classifier for Malaria Cell Detection, Mach. Learn. Healthc. Appl., pp. 187-197; Maqsood A., Farid M.S., Khan M.H., Grzegorzek M., Deep malaria parasite detection in thin blood smear microscopic images, Appl. Sci., 11, 5, pp. 1-19; Abubakar A., Ajuji M., Yahya I.U., DeepFMD: Computational Analysis for Malaria Detection in Blood-Smear Images Using Deep-Learning Features; Kassim Y.M., Yang F., Yu H., Maude R.J., Diagnosing Malaria Patients with Plasmodium falciparum and vivax Using Deep Learning for Thick Smear Images, pp. 1-19; Sayyed A.Q.M.S., Saha D., Hossain A.R., Shahnaz C., Effectiveness of Convolutional and Capsule network in Malaria Parasite Detection, 2019 IEEE Int. Conf. Signal Process. Information, Commun. Syst. SPICSCON, pp. 68-73, (2019); Montalbo F.J.P., Alon A.S., Empirical analysis of a fine-tuned deep convolutional model in classifying and detecting Malaria parasites from blood smears, KSII Trans. Internet Inf. Syst., 15, 1, pp. 147-165; Hung J., Carpenter A., Applying Faster R-CNN for Object Detection on Malaria Images Jane Hung Massachusetts Institute of Technology 3 . Establish a Baseline with Traditional, En Proc. IEEE Conf. Comput. Vis. pattern Recognit. Work., pp. 56-61, (2017); Rahman A., Et al., Improving malaria parasite detection from red blood cell using deep convolutional neural networks, (2019); Masud M., Et al., Leveraging Deep Learning Techniques for Malaria Parasite Detection Using Mobile Application, Wirel. Commun. Mob. Comput., 2020; Alqudah A., Alqudah A.M., Qazan S., Lightweight deep learning for malaria parasite detection using cell-image of blood smear images, Rev. d’Intelligence Artif., 34, 5, pp. 571-576, (2020); Adamjee U., Ghani S., Malaria cell identification from microscopic blood smear images, 2019 8th Int. Conf. Inf. Commun. Technol. ICICT, pp. 82-86, (2019); Shekar G., Revathy S., Goud E.K., Malaria Detection using Deep Learning, Proc. 4th Int. Conf. Trends Electron. Informatics, ICOEI 2020, pp. 746-750; Qayyum A.B.A., Islam T., Haque M.A., Malaria Diagnosis with Dilated Convolutional Neural Network Based Image Analysis, BECITHCON 2019 - 2019 IEEE Int. Conf. Biomed. Eng. Comput. Inf. Technol. Heal., pp. 68-72, (2019); Militante S.V., Malaria Disease Recognition through Adaptive Deep Learning Models of Convolutional Neural Network, ICETAS 2019 - 2019 6th IEEE Int. Conf. Eng. Technol. Appl. Sci., (2019); Bibin D., Nair M.S., Punitha P., Malaria Parasite Detection from Peripheral Blood Smear Images Using Deep Belief Networks, IEEE Access, 5, c, pp. 9099-9108, (2017); Singh S.P., Bansal P., Kumar S., Shrivastava P., Malaria parasite recognition in thin blood smear images using squeeze and excitation networks, 2019 IEEE Conf. Inf. Commun. Technol. CICT, pp. 1-5, (2019); Kumar A., Singh S.B., Satapathy S.C., Rout M., MOSQUITO-NET: A deep learning based CADx system for malaria diagnosis along with model interpretation using GradCam and class activation maps, Expert Syst, pp. 1-10; Rajaraman S., Jaeger S., Antani S.K., Performance evaluation of deep neural ensembles toward malaria parasite detection in thin-blood smear images, PeerJ, 7, (2019); Rajaraman S., Et al., Pre-trained convolutional neural networks as feature extractors toward improved malaria parasite detection in thin blood smear images, PeerJ, 2018, 4, pp. 1-17, (2018); Huq A., Pervin M.T., Robust Deep Neural Network Model for Identification of Malaria Parasites in Cell Images, 2020 IEEE Reg. 10 Symp. TENSYMP, 2020, pp. 1456-1459; Reddy A.S.B., Juliet D.S., Transfer learning with RESNET-50 for malaria cell-image classification, Proc. 2019 IEEE Int. Conf. Commun. Signal Process. ICCSP, pp. 945-949, (2019); Antani S., Jaeger S., Visualizing Deep Learning Activations for Improved Malaria Cell Classification, First Work. Med. Informatics Healthc. (MIH 2017), pp. 40-47, (2017); Raj M., Sharma R., Sain D., A Deep Convolutional Neural Network for Detection of Malaria Parasite in Thin Blood Smear Images, pp. 510-514; Mitrovic K., Milosevic D., Classification of Malaria-Infected Cells using Convolutional Neural Networks, SACI 2021 - IEEE 15th Int. Symp. Appl. Comput. Intell. Informatics, Proc., pp. 323-328; Tan C.K., Goh C.M., Aluwee S.A.Z.B.S., Khor S.W., Chai M.T., Malaria Parasite Detection using Residual Attention U-Net, pp. 122-127; Alawi A.E.B., Mosleh M.A.A., Almohagry Z., Saeed A.Y.A., Parasitized cell recognition using alexnet pre-trained model, 2021 1st Int. Conf. Emerg. Smart Technol. Appl. eSmarTA, 2021, pp. 21-24; Delahunt C.B., Et al., Fully-automated patient-level malaria assessment on field-prepared thin blood film microscopy images, 2019 IEEE Glob. Humanit. Technol. Conf. GHTC 2019, iii, (2019); Elangovan P., Nath M.K., A Novel Shallow ConvNet-18 for Malaria Parasite Detection in Thin Blood Smear Images, SN Comput. Sci., 2, 5; Nakasi R., Mwebaze E., Zawedde A., Tusubira J., Akera B., Maiga G., A new approach for microscopic diagnosis of malaria parasites in thick blood smears using pre-trained deep learning models, SN Appl. Sci., 2, 7, pp. 1-7; Mohanty I., Pattanaik P.A., Swarnkar T., Automatic detection of malaria parasites using unsupervised techniques, 30, (2019); Mehanian C., Et al., Computer-Automated Malaria Diagnosis and Quantitation Using Convolutional Neural Networks, Proc. - 2017 IEEE Int. Conf. Comput. Vis. Work. ICCVW 2017, 2018-, pp. 116-125, (2017); Manescu P., Et al., Deep Learning Enhanced Extended Depth-of-Field for Thick Blood-Film Malaria High-Throughput Microscopy, pp. 1-10, (2019); Yang F., Et al., Deep Learning for Smartphone-Based Malaria Parasite Detection in Thick Blood Smears, IEEE J. Biomed. Heal. Informatics, 24, 5, pp. 1427-1438; Nakasi R., Mwebaze E., Zawedde A., Mobile-aware deep learning algorithms for malaria parasites and white blood cells localization in thick blood smears, Algorithms, 14, 1, pp. 1-16; Nakasi R., Tusubira J.F., Zawedde A., Mansourian A., Mwebaze E., A web-based intelligence platform for diagnosis of malaria in thick blood smear images: A case for a developing country, IEEE Comput. Soc. Conf. Comput. Vis. Pattern Recognit. Work., 2020-, pp. 4238-4244; Yang F., Yu H., Silamut K., Maude R.J., Jaeger S., Antani S., Parasite Detection in Thick Blood Smears Based on Customized Faster-RCNN on Smartphones, Proc. - Appl. Imag. Pattern Recognit. Work., 2019, (2019); Manescu P., Et al., A weakly supervised deep learning approach for detecting malaria and sickle cells in blood films, International Conference on Medical Image Computing and Computer-Assisted Intervention, pp. 226-235, (2020); Yang F., Yu H., Silamut K., Maude R.J., Jaeger S., Antani S., Smartphone-supported malaria diagnosis based on deep learning, International workshop on machine learning in medical imaging, pp. 73-80, (2019); Rosado L., Costa J.M.C.D., Elias D., Cardoso J.S., Automated Detection of Malaria Parasites on Thick Blood Smears via Mobile Devices, Procedia Comput. Sci., 90, pp. 138-144, (2016); Dave I.R., Image analysis for malaria parasite detection from microscopic images of thick blood smear, Proc. 2017 Int. Conf. Wirel. Commun. Signal Process. Networking, WiSPNET 2017, 2018-, pp. 1303-1307, (2018)</t>
  </si>
  <si>
    <t xml:space="preserve">Y. Jusman; Universitas Muhammadiyah Yogyakarta, Departement of Electrical Engineering, Bantul, Indonesia; email: yjusman@umy.ac.id</t>
  </si>
  <si>
    <t xml:space="preserve">2nd International Symposium on Information Technology and Digital Innovation, ISITDI 2024</t>
  </si>
  <si>
    <t xml:space="preserve">24 July 2024 through 25 July 2024</t>
  </si>
  <si>
    <t xml:space="preserve">Hybrid, Bukittinggi</t>
  </si>
  <si>
    <t xml:space="preserve">979-835038924-1</t>
  </si>
  <si>
    <t xml:space="preserve">Int. Symp. Inf. Technol. Digit. Innov.: Creat. Trends Sustain. Inf. Technol. Des. Innov., ISITDI</t>
  </si>
  <si>
    <t xml:space="preserve">2-s2.0-85216089018</t>
  </si>
  <si>
    <t xml:space="preserve">Muthulakshm M.; Venkatesan K.; Rahayu S.B.; Elangovan K.</t>
  </si>
  <si>
    <t xml:space="preserve">Muthulakshm, M. (57201588260); Venkatesan, K. (59313963400); Rahayu, Syarifah Bahiyah (36816483800); Elangovan, Karthickeien (59378521600)</t>
  </si>
  <si>
    <t xml:space="preserve">57201588260; 59313963400; 36816483800; 59378521600</t>
  </si>
  <si>
    <t xml:space="preserve">A Squeeze-Excitation ResNet Approach for Effective Classification of Parasitic Eggs</t>
  </si>
  <si>
    <t xml:space="preserve">The identification and classification of different kinds of parasite eggs in microscopic samples represent a critical challenge in the field of Soil-transmitted helminth infection diagnosis. Traditional methods are often labor-intensive and time-consuming. The emergence of deep learning models has shown promising results in automating this process by extracting intricate features from complex images. This study aims to develop an automated system for accurately classifying parasite egg types in microscopic images by leveraging the ability of squeeze excitation layers to learn the global information from the input. The proposed system employs features extracted by ResNet50 and ResNet101 with Squeeze Excitation (SE) layers for analysis. The extracted features are then input into a Support Vector Classifier. The study systematically evaluates the features extracted from ResNet50+SE and ResNet101+SE. Results from the evaluation demonstrate the efficacy of the ResNet50+SE in accurately classifying parasite egg types in microscopic images with an accuracy of 0.94. The study provides valuable insights into the choice of squeeze-excitation block added Resnet in the context of parasitology, contributing to the advancement of automated medical image analysis. The findings hold great potential for improving diagnostic processes and supporting epidemiological studies through efficient and accurate parasite detection. © 2024 IEEE.</t>
  </si>
  <si>
    <t xml:space="preserve">2024 International Visualization, Informatics and Technology Conference, IVIT 2024</t>
  </si>
  <si>
    <t xml:space="preserve">10.1109/IVIT62102.2024.10692960</t>
  </si>
  <si>
    <t xml:space="preserve">https://www.scopus.com/inward/record.uri?eid=2-s2.0-85207062594&amp;doi=10.1109%2fIVIT62102.2024.10692960&amp;partnerID=40&amp;md5=55484430b7e62692b7d2933eca3d2a0f</t>
  </si>
  <si>
    <t xml:space="preserve">Amrita School of Engineering, Amrita Vishwa Vidyapeetham, Dept. of Electronics and Communication Engineering, Chennai, India; Amrita School of Computing, Amrita Vishwa Vidyapeetham, Department of Computer Science and Engineering, Chennai, India; National Defence University Malaysia, Faculty of Defense Science and Technology, Kuala Lumpur, Malaysia; National Defence University Malaysia, Cyber Security and Digital Industrial Revolution Centre, Kuala Lumpur, Malaysia</t>
  </si>
  <si>
    <t xml:space="preserve">Muthulakshm M., Amrita School of Engineering, Amrita Vishwa Vidyapeetham, Dept. of Electronics and Communication Engineering, Chennai, India; Venkatesan K., Amrita School of Computing, Amrita Vishwa Vidyapeetham, Department of Computer Science and Engineering, Chennai, India; Rahayu S.B., National Defence University Malaysia, Faculty of Defense Science and Technology, Kuala Lumpur, Malaysia, National Defence University Malaysia, Cyber Security and Digital Industrial Revolution Centre, Kuala Lumpur, Malaysia; Elangovan K., Amrita School of Engineering, Amrita Vishwa Vidyapeetham, Dept. of Electronics and Communication Engineering, Chennai, India</t>
  </si>
  <si>
    <t xml:space="preserve">machine learning; Microscopic images; Parasite egg classification; Squeeze-Excitation Resenet101 features; Squeeze-Excitation Resenet50 features</t>
  </si>
  <si>
    <t xml:space="preserve">Medical image processing; Critical challenges; Labor time; Labour-intensive; Machine-learning; Microscopic image; Parasite egg classification; Parasite eggs; Parasitic eggs; Squeeze-excitation resenet101 feature; Squeeze-excitation resenet50 feature; Deep learning</t>
  </si>
  <si>
    <t xml:space="preserve">Suwannaphong G.T., Chavana S., Tongsom S., Palasuwan D., Chalidabhongse T.H., Anantrasirichai N., Parasitic egg detection and classification in low-cost microscopic images using transfer learning, SN Comput Sci, 5, 1, (2023); Najgebauer P., Grycuk R., Rutkowski L., Scherer R., Siwocha A., Microscopic Sample Segmentation by Fully Convolutional Network for Parasite Detection, pp. 164-171, (2019); Ghazali K.H., Hadi R.S., Mohamed Z., Automated system for diagnosis intestinal parasites by computerized image analysis, Mod Appl Sci, 7, 5, (2013); Paul S., Batra S., Mohiuddin K., Miladi M.N., Anand D., Nasr O.A., A novel ensemble weight-assisted yolov5-based deep learning technique for the localization and detection of malaria parasites, Electronics 2022, 11, 23, (2022); Anantrasirichai N., Chalidabhongse T.H., Palasuwan D., Naruenatthanaset K., Kobchaisawat T., Nunthanasup N., Boonpeng K., Ma X., Achim A., Icip 2022 challenge on parasitic egg detection and classification in microscopic images: Dataset, methods and results, 2022 IEEE International Conference on Image Processing, (2022); Bethony J., Et al., Soil-transmitted helminth infections: Ascariasis, trichuriasis, and hookworm, The Lancet, 367, 9521, pp. 1521-1532, (2006); Khalifa M.M., Abdel-Rahman S.M., Bakir H.Y., Othman R.A., El-Mokhtar M.A., Comparison of the diagnostic performance of microscopic examination, Copro-ELISA, and Copro-PCR in the diagnosis of Capillaria philippinensis infections, PLoS One, 15, 6, (2020); Hasan A., Et al., Enterobius vermicularis in appendectomy specimens; Clinicopathological assessment: Cross sectional study, Annals of Medicine and Surgery, 60, pp. 168-172, (2020); Jha A.K., Jha S.K., Endoscopic diagnosis of Fasciolopsis buski: Revisited (with video), JGH Open, 4, 2, pp. 284-286, (2020); Chapman P.R., Giacomin P., Loukas A., McCarthy J.S., Experimental human hookworm infection: A narrative historical review, PLoS Neglected Tropical Diseases, 15, 12, (2021); Kapczuk P., Et al., Hymenolepis diminuta infection affects apoptosis in the small and large intestine, Int J Environ Res Public Health, 19, 15, (2022); Goudarzi F., Et al., A systematic review and meta-analysis of Hymenolepis nana in human and rodent hosts in Iran: A remaining public health concern, Comp Immunol Microbiol Infect Dis, 74, (2021); Pengput A., Schwartz D.G., Risk factors for opisthorchis viverrini infection: A systematic review, J Infect Public Health, 13, 9, pp. 1265-1273, (2020); Chai J.-Y., Jung B.-K., Paragonimus spp, Water and Sanitation for the 21st Century: Health and Microbiological Aspects of Excreta and Wastewater Management (Global Water Pathogen Project), (2019); Gonzalez A., Thomas L., Taenia spp, Water and Sanitation for the 21st Century: Health and Microbiological Aspects of Excreta and Wastewater Management (Global Water Pathogen Project), (2019); Doyle S.R., Et al., Population genomics of ancient and modern Trichuris trichiura, Nat Commun, 13, 1, (2022); Palaniappan S., Sripriya S.V.S., Pranathi A.R.L., Muthulakshmi M., Diagnosis of acute respiratory syndromes from x-rays using customised cnn architecture, 4th IEEE International Conference on Artificial Intelligence in Engineering and Technology, IICAIET 2022, (2022); Ghosal P., Nandanwar L., Kanchan S., Bhadra A., Chakraborty J., Nandi D., Brain tumor classification using ResNet-101 based squeeze and excitation deep neural network, 2019 2nd International Conference on Advanced Computational and Communication Paradigms, ICACCP 2019, (2019); Patra P., Singh T., Diabetic retinopathy detection using an improved resnet50-inceptionv3 structure, 2022 13th International Conference on Computing Communication and Networking Technologies (ICCCNT), pp. 1-6, (2022); Rasool M., Ismail N.A., Al-Dhaqm A., Yafooz W.M.S., Alsaeedi A., A novel approach for classifying brain tumours combining a squeezenet model with svm and fine-tuning, Electronics, 12, 1, (2023); Ashwini K., Mathivanan P., Sharon F.P., Kala A., Compressed classification of brain tumor images using novel chaotic map and improved squeezenet architecture, Chinese Journal of Electronics, pp. 1-11, (2023); Khan M.M., Uddin M.S., Parvez M.Z., Nahar L., A squeeze and excitation ResNeXt-based deep learning model for Bangla handwritten compound character recognition, Journal of King Saud University - Computer and Information Sciences, 34, 6, pp. 3356-3364, (2022); Dewangkoro H.I., Arymurthy A.M., Land use and land cover classification using cnn, svm, and channel squeeze &amp; spatial excitation block, IOP Conference Series: Earth and Environmental Science, (2021); Eid M.M., Elawady Y.H., Efficient pneumonia detection for chest radiography using resnet-based svm, European Journal of Electrical Engineering and Computer Science, 5, 1, pp. 1-8, (2021); Zhou C., Song J., Zhou S., Zhang Z., Xing J., Covid-19 detection based on image regrouping and resnet-svm using chest x-ray images, IEEE Access, 9, pp. 81902-81912, (2021)</t>
  </si>
  <si>
    <t xml:space="preserve">IEEE; IEEE Systems, Man, and Cybernetics Society Malaysia Chapter (SMC)</t>
  </si>
  <si>
    <t xml:space="preserve">7 August 2024 through 8 August 2024</t>
  </si>
  <si>
    <t xml:space="preserve">Hybrid, Kuala Lumpur</t>
  </si>
  <si>
    <t xml:space="preserve">979-835035444-7</t>
  </si>
  <si>
    <t xml:space="preserve">Int. Visual., Informatics Technol. Conf., IVIT</t>
  </si>
  <si>
    <t xml:space="preserve">2-s2.0-85207062594</t>
  </si>
  <si>
    <t xml:space="preserve">Numata R.; Kim H.-W.; Cho M.; Lee M.-C.</t>
  </si>
  <si>
    <t xml:space="preserve">Numata, Riki (58754661400); Kim, Hyun-Woo (57215547931); Cho, Myungjin (8611489700); Lee, Min-Chul (56132412500)</t>
  </si>
  <si>
    <t xml:space="preserve">58754661400; 57215547931; 8611489700; 56132412500</t>
  </si>
  <si>
    <t xml:space="preserve">A Study on Automatic Segmentation of Red Blood Cells in Digital Holographic Microscopy</t>
  </si>
  <si>
    <t xml:space="preserve">Digital holographic microscopy (DHM) can provide three-dimensional information. For this reason, this technology has been applied to various fields such as malaria diagnosis using red blood cell (RBC)s and automatic cancer diagnosis using living cells. In research on automatic diagnosis using deep learning, the quality of training data is very important to improve performance. Therefore, we propose an accurate cell segmentation technology for automatic diagnostic assistance of DHM in this paper. The proposed method uses a segmentation algorithm, Segment Anything, and an image recognition algorithm, Xception. In this paper, to evaluate the proposed method, we use five images containing multiple RBCs and calculate the detection rate and false detection rate. This method can reduce the cost of data acquisition and obtain accurate data by automatically acquiring RBCs from images containing multiple RBCs, making it suitable for the automatic diagnosis of DHM using deep learning.  © 2024 IEEE.</t>
  </si>
  <si>
    <t xml:space="preserve">2024 International Technical Conference on Circuits/Systems, Computers, and Communications, ITC-CSCC 2024</t>
  </si>
  <si>
    <t xml:space="preserve">10.1109/ITC-CSCC62988.2024.10628435</t>
  </si>
  <si>
    <t xml:space="preserve">https://www.scopus.com/inward/record.uri?eid=2-s2.0-85203601914&amp;doi=10.1109%2fITC-CSCC62988.2024.10628435&amp;partnerID=40&amp;md5=4e7d6f60f222f1aa8945c8e792c8edfa</t>
  </si>
  <si>
    <t xml:space="preserve">Graduate School of Computer Science and Systems Engineering, Kyushu Institute of Technology, Iizuka, Fukuoka, Japan; Graduate School of Computer Science, and Systems Engineering, Kyushu Institute of Technology, Iizuka City, Fukuoka, Japan; School of ICT, Robotics, and Mechanical Engineering, Hankyoung National University, IITC, Kyonggi-do, Anseong, South Korea</t>
  </si>
  <si>
    <t xml:space="preserve">Numata R., Graduate School of Computer Science and Systems Engineering, Kyushu Institute of Technology, Iizuka, Fukuoka, Japan; Kim H.-W., Graduate School of Computer Science, and Systems Engineering, Kyushu Institute of Technology, Iizuka City, Fukuoka, Japan; Cho M., School of ICT, Robotics, and Mechanical Engineering, Hankyoung National University, IITC, Kyonggi-do, Anseong, South Korea; Lee M.-C., Graduate School of Computer Science, and Systems Engineering, Kyushu Institute of Technology, Iizuka City, Fukuoka, Japan</t>
  </si>
  <si>
    <t xml:space="preserve">Deep learning; Digital Holographic Microscopy; Segmentation; Three-dimensional imaging</t>
  </si>
  <si>
    <t xml:space="preserve">Holography; Image segmentation; Automatic diagnosis; Automatic segmentations; Deep learning; Detection rates; Digital holographic microscopy; Malaria diagnosis; Red blood cell; Segmentation; Three dimensional imaging; Three-dimensional information; Deep learning</t>
  </si>
  <si>
    <t xml:space="preserve">Japan Society for the Promotion of Science, JSPS, (23K19964); Japan Society for the Promotion of Science, JSPS</t>
  </si>
  <si>
    <t xml:space="preserve">This work was supported by JSPS KAKENHI Grant Number 23K19964.</t>
  </si>
  <si>
    <t xml:space="preserve">Gabor D., Microscopy by reconstructed wave-fronts, Proceedings of the Royal Society of London. Series A. Mathematical and Physical Sciences, 197, 1051, pp. 454-487, (1949); Goodman J.W., Lawrence R., Digital image formation from electronically detected holograms, AIP Publishing, Applied physics letters, 11, 3, pp. 77-79, (1967); Tajahuerce E., Javidi B., Encrypting three-dimensional information with digital holography, Optica Publishing Group, Applied Optics, 39, 35, pp. 6595-6601, (2000); Mico V., Zalevsky Z., Garcia-Martinez P., Garcia J., Superresolved imaging in digital holography by superposition of tilted wavefronts, Optica Publishing Group, Applied optics, 45, 5, pp. 822-828, (2006); Kim H.W., Cho M., Lee M.C., A Novel Image Processing Method for Obtaining an Accurate Three-Dimensional Profile of Red Blood Cells in Digital Holographic Microscopy, MDPI, Biomimetics, 8, 8, (2023); Kim H.W., Lee J., Anand A., Cho M., Lee M.C., Phase Differences Averaging (PDA) Method for Reducing the Phase Error in Digital Holographic Microscopy (DHM, Journal of Information and Communication Convergence Engineering, 21, 1, pp. 90-97, (2023); Koga T., Kim H.W., Cho M., Lee M.C., A study on coherence length and interferometry in digital holographic microscopy, IEEE, 2023 23rd International Conference on Control, Automation and Systems (ICCAS, pp. 1072-1077, (2023); Inoue K., Anand A., Cho M., Angular spectrum matching for digital holographic microscopy under extremely low light conditions, Optics letters, 46, 6, pp. 1470-1473, (2021); Anand A., Chhaniwal V., Patel N., Javidi B., Automatic identification of malaria-infected RBC with digital holographic microscopy using correlation algorithms, IEEE, IEEE Photonics Journal, 4, 5, pp. 1456-1464, (2012); Go T., Kim J.H., Byeon H., Lee S.J., Machine learning-based in-line holographic sensing of unstained malaria-infected red blood cells, Journal of biophotonics, 11, 9, (2018); Pirone D., Xin L., Bianco V., Miccio L., Xiao W., Che L., Li X., Memmolo P., Pan F., Ferraro P., Identification of drug-resistant cancer cells in flow cytometry combining 3D holographic tomography with machine learning, Elsevier, Sensors and Actuators B: Chemical, 375, (2023); Rong L., Latychevskaia T., Chen C., Wang D., Yu Z., Zhou X., Li Z., Huang H., Wang Y., Zhou Z., Terahertz in-line digital holography of human hepatocellular carcinoma tissue, Nature Publishing Group UK London, Scientific reports, 5, 1, (2015); Vom Werth K.L., Kemper B., Kampmeier S., Mellmann A., Application of digital holographic microscopy to analyze changes in T-cell morphology in response to bacterial challenge, MDPI, Cells, 12, 5, (2023); Kirillov A., Mintun E., Ravi N., Mao H., Rolland C., Gustafson L., Xiao T., Whitehead S., Berg A.C., Lo W.Y., Segment anything, Proceedings of the IEEE/CVF International Conference on Computer Vision, pp. 4015-4026, (2023); Chollet F., Xception: Deep learning with depthwise separable convolutions, Proceedings of the IEEE conference on computer vision and pattern recognition, pp. 1251-1258, (2017); Goldstein R.M., Zebker H.A., Werner C.L., Satellite radar interferometry: Two-dimensional phase unwrapping, AGU, Radio science, 23, 4, pp. 713-720, (1988); Dosovitskiy A., Beyer L., Kolesnikov A., Weissenborn D., Zhai X., Unterthiner T., Dehghani M., Minderer M., Heigold G., Gelly S., An image is worth 16x16 words: Transformers for image recognition at scale, (2020); Radford A., Kim J.W., Hallacy C., Ramesh A., Goh G., Agarwal S., Sastry G., Askell A., Mishkin P., Clark J., Learning transferable visual models from natural language supervision, PMLR, International conference on machine learning, pp. 8748-8763, (2021); Szegedy C., Vanhoucke V., Ioffe S., Shlens J., Wojna Z., Rethinking the inception architecture for computer vision, Proceedings of the IEEE conference on computer vision and pattern recognition, pp. 2818-2826, (2016); He K., Zhang X., Ren S., Sun J., Deep residual learning for image recognition, Proceedings of the IEEE conference on computer vision and pattern recognition, pp. 770-778, (2016); Russakovsky O., Deng J., Su H., Krause J., Satheesh S., Ma S., Huang Z., Karpathy A., Khosla A., Bernstein M., Imagenet large scale visual recognition challenge, Springer, International journal of computer vision, 115, pp. 211-252, (2015)</t>
  </si>
  <si>
    <t xml:space="preserve">2 July 2024 through 5 July 2024</t>
  </si>
  <si>
    <t xml:space="preserve">Okinawa</t>
  </si>
  <si>
    <t xml:space="preserve">979-835037905-1</t>
  </si>
  <si>
    <t xml:space="preserve">Int. Tech. Conf. Circuits/Syst., Comput., Commun., ITC-CSCC</t>
  </si>
  <si>
    <t xml:space="preserve">2-s2.0-85203601914</t>
  </si>
  <si>
    <t xml:space="preserve">Aluvala S.; Bhargavi K.; Deekshitha J.; Suresh B.; Rao G.N.; Sravani A.</t>
  </si>
  <si>
    <t xml:space="preserve">Aluvala, Srinivas (46160933400); Bhargavi, Keshoju (59385120500); Deekshitha, Jula (59352885800); Suresh, Banoth (59384204100); Rao, Gujja Nitesh (59384204200); Sravani, Athirajula (59384505500)</t>
  </si>
  <si>
    <t xml:space="preserve">46160933400; 59385120500; 59352885800; 59384204100; 59384204200; 59384505500</t>
  </si>
  <si>
    <t xml:space="preserve">A Web-Based Approach for Malaria Parasite Detection Using Deep Learning in Blood Smears</t>
  </si>
  <si>
    <t xml:space="preserve">Malaria affects public health issues significantly and is one of the most severe infectious diseases in the world. Anopheles mosquitoes attack humans who carry the virus in order to disseminate it. To manage the sickness and get the best potential treatment outcomes, accurate parasite identification is essential. A critical first step in the diagnosis and treatment of malaria is the traditional method of using a microscope to search blood samples for malarial parasites. A diagnosis made using this approach is time-consuming since it relies heavily on the examiner's expertise and experience. To improve the speed and accuracy of diagnosis, this study suggests a deep learning model for malarial parasite prediction.In this study, we report on a Convolutional Neural Networks (CNN) model, also called the VGG-19 model, which detects malaria parasites with 97% accuracy using microscopic images of blood samples. Enhancing the efficacy and precision of the diagnosis is the aim of this method. This model has been trained on a set of images of blood smears and is capable of accurately distinguishing between samples that are infected and those that are not. Malaria may be less common in areas where it is endemic if this automated diagnostic method is successfully implemented and results in early diagnosis and treatment. © 2024 IEEE.</t>
  </si>
  <si>
    <t xml:space="preserve">2024 2nd World Conference on Communication and Computing, WCONF 2024</t>
  </si>
  <si>
    <t xml:space="preserve">10.1109/WCONF61366.2024.10692067</t>
  </si>
  <si>
    <t xml:space="preserve">https://www.scopus.com/inward/record.uri?eid=2-s2.0-85207458858&amp;doi=10.1109%2fWCONF61366.2024.10692067&amp;partnerID=40&amp;md5=68bb5a209a31b405433628862a86a947</t>
  </si>
  <si>
    <t xml:space="preserve">Department of Computer Science and Artificial Intelligence, SR University, India</t>
  </si>
  <si>
    <t xml:space="preserve">Aluvala S., Department of Computer Science and Artificial Intelligence, SR University, India; Bhargavi K., Department of Computer Science and Artificial Intelligence, SR University, India; Deekshitha J., Department of Computer Science and Artificial Intelligence, SR University, India; Suresh B., Department of Computer Science and Artificial Intelligence, SR University, India; Rao G.N., Department of Computer Science and Artificial Intelligence, SR University, India; Sravani A., Department of Computer Science and Artificial Intelligence, SR University, India</t>
  </si>
  <si>
    <t xml:space="preserve">Adams Optimizer; CNN; Deep Learning; Malaria; VGG-19</t>
  </si>
  <si>
    <t xml:space="preserve">Diseases; Malaria control; Adam optimizer; Blood samples; Blood smears; Convolutional neural network; Deep learning; Malaria; Malaria parasite; Malarial parasites; Optimizers; VGG-19; Convolutional neural networks</t>
  </si>
  <si>
    <t xml:space="preserve">Alqudah A., Alqudah A.M., Qazan S., Lightweight Deep Learning for Malaria Parasite Detection Using Cell-Image of Blood Smear Images, ResearchGate, (2020); Rahman A., Zunair H., Rahman M.S., Yuki J.Q., Biswas S., Alam M.A., Alam N.B., Mahdy M.R.C., Improving Malaria Parasite Detection from Red Blood Cell using Convolutional Neural Networks; Kumar S., Priya S., Kumar A., Malaria detection using Deep Convolutional Neural Network, (2023); Rajaraman S., Jaeger S., Antani S.K., Performance evaluation of deep neural ensembles towards malaria parasite detection in thin-blood smear images, PeerJ Life &amp; Environment, (2019); Hasan Md.M., Islam S., Dey A., Tista S.C., Detection of Malaria Disease Using Image Processing and Machine Learning, ResearchGate, (2022); Fuhad K.M.F., Tuba J.F., Sarker Md.R.A., Momen S., Mohammed N., Rahman T., Deep learning based automatic malaria parasite detection from blood smears and its smartphone-based application, MDPI, (2020); Liang Z., Powell A., Ersoy I., Poostchi M., Silamut K., Palaniappan K., Guo P., CNN-based image analysis for malaria diagnosis, (2016); Dong Y., Jiang Z., Shen H., Bryan A., Evaluations of deep convolutional neural networks for automatic identification of malaria infected cells, ResearchGate, (2017); Poostchi M., Silamut K., Maude R.J., Jaeger S., Image analysis and machine learning for detecting malaria, Translational Research, (2018); Vijayalakshmi A., Rajesh Kanna B., Deep learning approach to detect malaria from microscopic images, Springer Link, (2019); Rajaraman S., Sameer K.A., Poostchi M., Silamut K., Hossain Md.A., Maude R.J., Jaeger S., Thoma G.R., Pre-trained convolutional neural networks as feature extractors toward improved malaria parasite detection in thin blood smear images, PeerJ Life &amp; Environment, (2018); Kakkar B., Goyal M., Johri P., Kumar Y., Artificial Intelligence based approaches for detection and classification of different malaria parasites using microscopic images: A systematic review, Springer Link, (2023); Hemachandran K., Alasiry A., Marzougui M., Ganie S.M., Pise C., Performance Analysis of Deep Learning Algorithms in Diagnosis of Malaria Disease, Diagnostics, 13, (2023); Kundu T.K., Anguraj D.K., Optimal machine learning based automated malaria parasite detection and classification model using blood smear images, Traitemen du Signal, 40, 1, pp. 91-99, (2023); Edson D.C., Glick T., Massey L.D., Detection and identification of malaria parasites: a review of proficiency test results and laboratory practices, Laboratory Medicine, 41, 12, pp. 719-723, (2010)</t>
  </si>
  <si>
    <t xml:space="preserve">Department of Science and Technology (DST); Government of India; Science and Engineering Research Board (SERB)</t>
  </si>
  <si>
    <t xml:space="preserve">2nd World Conference on Communication and Computing, WCONF 2024</t>
  </si>
  <si>
    <t xml:space="preserve">12 June 2024 through 14 June 2024</t>
  </si>
  <si>
    <t xml:space="preserve">Raipur</t>
  </si>
  <si>
    <t xml:space="preserve">979-835039532-7</t>
  </si>
  <si>
    <t xml:space="preserve">World Conf. Commun. Comput., WCONF</t>
  </si>
  <si>
    <t xml:space="preserve">2-s2.0-85207458858</t>
  </si>
  <si>
    <t xml:space="preserve">Vrindavanam J.; Mary Jasmine E.; Kamath G.; Narayanan A.</t>
  </si>
  <si>
    <t xml:space="preserve">Vrindavanam, Jayavrinda (36053903900); Mary Jasmine, E. (59460647800); Kamath, Gaurav (59123997300); Narayanan, Anirudh (58418229300)</t>
  </si>
  <si>
    <t xml:space="preserve">36053903900; 59460647800; 59123997300; 58418229300</t>
  </si>
  <si>
    <t xml:space="preserve">An Alternative Deep Learning Approach for Early Diagnosis of Malaria</t>
  </si>
  <si>
    <t xml:space="preserve">Considering the malaria disease-related moralities prevailing mainly in underdeveloped countries, early detection and treatment of malaria must be an essential strategy for lowering morbidity and fatality rates. Detection of Malaria using traditional investigation methods through blood samples and expert judgments was found to be time-consuming. In this paper, the authors introduced a Machine Learning automated system to eliminate the need for human intervention, which in turn enables early detection of malaria. The study has used various Deep Learning techniques such as traditional Convolutional Neural Network (CNN), VGG19, ConvNeXtXLarge, ConvNeXtBase, ConvNeXtSmall, ConvNeXtTiny, InceptionResnetv2, Xception, DenseNet169, EfficientNetB7, MobileNet, ResNet50, and NasNetLarge as base models. These models have been trained and tested with microscopic blood smear images dataset and observed that ConvNeXtXLarge detects malarial parasites with an accuracy of 96%. The proposed method outperforms the existing approaches in terms of both accuracy and speed. The findings of this work can contribute to the development of more accurate and efficient automated systems for early detection of Malaria.  © 2024 IEEE.</t>
  </si>
  <si>
    <t xml:space="preserve">2024 15th International Conference on Computing Communication and Networking Technologies, ICCCNT 2024</t>
  </si>
  <si>
    <t xml:space="preserve">10.1109/ICCCNT61001.2024.10724604</t>
  </si>
  <si>
    <t xml:space="preserve">https://www.scopus.com/inward/record.uri?eid=2-s2.0-85211165967&amp;doi=10.1109%2fICCCNT61001.2024.10724604&amp;partnerID=40&amp;md5=3b68d8d62ca43feed6aeb2ac341752c6</t>
  </si>
  <si>
    <t xml:space="preserve">Dayananda Sagar University, Department of Computer Science and Engineering(AI &amp; ML), Bengaluru, India; Christ University, Department of Computer Science and Engineering, Bengaluru, India</t>
  </si>
  <si>
    <t xml:space="preserve">Vrindavanam J., Dayananda Sagar University, Department of Computer Science and Engineering(AI &amp; ML), Bengaluru, India; Mary Jasmine E., Christ University, Department of Computer Science and Engineering, Bengaluru, India; Kamath G., Dayananda Sagar University, Department of Computer Science and Engineering(AI &amp; ML), Bengaluru, India; Narayanan A., Dayananda Sagar University, Department of Computer Science and Engineering(AI &amp; ML), Bengaluru, India</t>
  </si>
  <si>
    <t xml:space="preserve">ConvNeXt; Deep Learning; Malaria detection; ResNet; Transfer Learning</t>
  </si>
  <si>
    <t xml:space="preserve">Dayananda Sagar University, DSU; Department of Computer Science and Engineering, Seoul National University, CSE, SNU</t>
  </si>
  <si>
    <t xml:space="preserve">We express our genuine gratitude for the assistance and direction offered by Dayananda Sagar University and the Department of Computer Science and Engineering (AI &amp; ML) in supporting this project. We express our appreciation to the academic members of the AI &amp; ML Department of Dayananda Sagar University for their helpful input, consistent support, and guidance during the whole research process.</t>
  </si>
  <si>
    <t xml:space="preserve">Alnussairi M., Dawood H., Abdu Ibrahim A., Malaria parasite detection using deep learning algorithms based on (CNNs) technique, Computers and Electrical Engineering, 103, (2022); Sik C.Y., Hong P.C., Applying Machine Learning to Healthcare Operations Management: CNN-Based Model for Malaria Diagnosis, Healthcare, 11, 12, (2023); Chen S., Zhao S., Huang C., An Automatic Malaria Disease Diagnosis Framework Integrating Blockchain Enabled Cloudedge Computing and Deep Learning, IEEE Internet of Things Journal, (2023); Asif S., Ur Rehman Khan S., Zheng X., Zhao M., MozzieNet: A deep learning approach to efficiently detect malaria parasites in blood smear images, International Journal of Imaging Systems and Technology, 34, 1, (2024); Banoth E., Kalyan Jagannadh V., Siva Gorthi S., Single-cell optical absorbance characterization with high-throughput microfluidic microscopy, IEEE Journal of Selected Topics in Quantum Electronics, 22, 3, pp. 111-116, (2015); Umer M., Sadiq S., Ahmad M., Ullah S., Sang Choi G., Mehmood A., A novel stacked CNN for malarial parasite detection in thin blood smear images, IEEE Access, 8, pp. 93782-93792, (2020); Manoj J.A., Kumar Das A., Dhal S., Deep learning based approach for malaria detection in blood cell images, IEEE region 10 conference (TENCON), pp. 241-246, (2020); Silka W., Wieczorek M., Silka J., Wozniak M., Malaria detection using advanced deep learning architecture, Sensors, 23, 3, (2023); Hoyos K., Hoyos W., Supporting Malaria Diagnosis Using Deep Learning and Data Augmentation, Diagnostics, 14, 7, (2024); Sukumarran D., Hasikin K., Salwa Mohd Khairuddin A., Ngui R., Yusoff Wan Sulaiman W., Vythilingam I., Cliff Simon Divis P., An optimised YOLOv4 deep learning model for efficient malarial cell detection in thin blood smear images, Parasites &amp; Vectors, 17, 1, (2024); Asif H.M., Hussain Khan S., Jaser Alahmadi T., Alsahfi T., Mahmoud A., Malaria parasitic detection using a new Deep Boosted and Ensemble Learning framework, Complex &amp; Intelligent Systems, pp. 1-17, (2024); Kalipe G., Gautham V., Kumar Behera R., Predicting malarial outbreak using machine learning and deep learning approach: A review and analysis, International Conference on Information Technology (ICIT), pp. 33-38, (2018); Kumar G.M., Das S., Sharma R., Swarup Rautaray S., Pandey M., A deep learning model for malaria disease detection and analysis using deep convolutional neural networks, International Journal of Emerging Technologies, 11, 2, pp. 699-704, (2020); Militante S.V., Malaria disease recognition through adaptive deep learning models of convolutional neural network, IEEE 6th International Conference on Engineering Technologies and Applied Sciences (ICETAS), pp. 1-6, (2019); Adyasha P.P., Mittal M., Zubair Khan M., Unsupervised deep learning cad scheme for the detection of malaria in blood smear microscopic images, IEEE Access, 8, pp. 94936-94946, (2020); Bhuiyan M., Islam S., A new ensemble learning approach to detect malaria from microscopic red blood cell images, Sensors International, 4, (2023); Abdurahman S.F., Anlay Fante K., Tile-based microscopic image processing for malaria screening using a deep learning approach, BMC Medical Imaging, 23, 1, (2023); Chowdhury A.B., Roberson J., Hukkoo A., Bodapati S., Cappelleri D.J., Automated complete blood cell count and malaria pathogen detection using convolution neural network, IEEE robotics and automation letters, 5, 2, pp. 1047-1054, (2020); Simonyan K., Zisserman A., Very deep convolutional networks for large-scale image recognition, (2014); He K., Zhang X., Ren S., Sun J., Deep residual learning for image recognition, Proceedings of the IEEE conference on computer vision and pattern recognition, pp. 770-778, (2016); Howard A.G., Zhu M., Chen B., Kalenichenko D., Wang W., Weyand T., Andreetto M., Adam H., Mobilenets: Efficient convolutional neural networks for mobile vision applications, (2017); Tan M., Le Q., Efficientnet: Rethinking model scaling for convolutional neural networks, International conference on machine learning, pp. 6105-6114, (2019); Huang G., Liu Z., Van Der Maaten L., Weinberger K.Q., Densely connected convolutional networks, Proceedings of the IEEE conference on computer vision and pattern recognition, pp. 4700-4708, (2017); Liu Z., Mao H., Wu C.-Y., Feichtenhofer C., Darrell T., Xie S., A convnet for the 2020s, Proceedings of the IEEE/CVF conference on computer vision and pattern recognition, pp. 11976-11986, (2022); Chollet F., Xception: Deep learning with depthwise separable convolutions, Proceedings of the IEEE conference on computer vision and pattern recognition, pp. 1251-1258, (2017); Szegedy C., Ioffe S., Vanhoucke V., Alemi A., Inception-v4, inception-resnet and the impact of residual connections on learning, Proceedings of the AAAI conference on artificial intelligence, 31, 1, (2017); Zoph B., Vasudevan V., Shlens J., Le Q.V., Learning transferable architectures for scalable image recognition, Proceedings of the IEEE conference on computer vision and pattern recognition, pp. 8697-8710, (2018)</t>
  </si>
  <si>
    <t xml:space="preserve">J. Vrindavanam; Dayananda Sagar University, Department of Computer Science and Engineering(AI &amp; ML), Bengaluru, India; email: jayavrinda-cse@dsu.edu.in</t>
  </si>
  <si>
    <t xml:space="preserve">15th International Conference on Computing Communication and Networking Technologies, ICCCNT 2024</t>
  </si>
  <si>
    <t xml:space="preserve">24 June 2024 through 28 June 2024</t>
  </si>
  <si>
    <t xml:space="preserve">Kamand</t>
  </si>
  <si>
    <t xml:space="preserve">979-835037024-9</t>
  </si>
  <si>
    <t xml:space="preserve">Int. Conf. Comput. Commun. Netw. Technol., ICCCNT</t>
  </si>
  <si>
    <t xml:space="preserve">2-s2.0-85211165967</t>
  </si>
  <si>
    <t xml:space="preserve">Hyder R.T.S.H.; Siddiqui S.S.S.A.; Jonnalagedda M.; Manjaramkar A.</t>
  </si>
  <si>
    <t xml:space="preserve">Hyder, Rimsha Taskeen Siddi Habib (58563916200); Siddiqui, Saba Siddiqua Sadiq Ahmed (58940081800); Jonnalagedda, Megha (58564300200); Manjaramkar, Arati (57190497479)</t>
  </si>
  <si>
    <t xml:space="preserve">58563916200; 58940081800; 58564300200; 57190497479</t>
  </si>
  <si>
    <t xml:space="preserve">Android-Based Malaria Detection Using Deep Learning</t>
  </si>
  <si>
    <t xml:space="preserve">The objective of this research is to explore the feasibility of using smartphones for the process of identifying malaria parasites in images of thick blood smears through automation. We have developed a deep learning method that can detect malaria parasites in thick blood smear images and can run on android-based smartphones. The proposed method involves two steps: first, an intensity-based screening process that quickly identifies potential parasite candidates and second, a customized convolutional neural network that classifies each candidate as either infected or uninfected. We have compiled various publicly available datasets and formed a dataset containing 3024 thick smear images for our research. We have trained our proposed deep learning method on this dataset and experimental results show that it is highly effective in discriminating between positive and negative images. The proposed method is achieving high accuracy of 94.19%, area under the curve (AUC) is 94.13% with 91.22% sensitivity, 97.04% specificity, 93.78% precision, and 98.11% of negative predictive value. © The Author(s), under exclusive license to Springer Nature Singapore Pte Ltd. 2024.</t>
  </si>
  <si>
    <t xml:space="preserve">10.1007/978-981-99-7814-4_29</t>
  </si>
  <si>
    <t xml:space="preserve">https://www.scopus.com/inward/record.uri?eid=2-s2.0-85187781952&amp;doi=10.1007%2f978-981-99-7814-4_29&amp;partnerID=40&amp;md5=990d841717d1439c0104b291ea25e8d3</t>
  </si>
  <si>
    <t xml:space="preserve">SGGS Institute of Engineering and Technology, Maharashtra, Nanded, 431606, India</t>
  </si>
  <si>
    <t xml:space="preserve">Hyder R.T.S.H., SGGS Institute of Engineering and Technology, Maharashtra, Nanded, 431606, India; Siddiqui S.S.S.A., SGGS Institute of Engineering and Technology, Maharashtra, Nanded, 431606, India; Jonnalagedda M., SGGS Institute of Engineering and Technology, Maharashtra, Nanded, 431606, India; Manjaramkar A., SGGS Institute of Engineering and Technology, Maharashtra, Nanded, 431606, India</t>
  </si>
  <si>
    <t xml:space="preserve">Computer-aided diagnosis; Convolutional neural networks (CNN); First deep learning (DL); Malaria</t>
  </si>
  <si>
    <t xml:space="preserve">Android (operating system); Blood; Computer aided diagnosis; Computer aided instruction; Convolution; Deep learning; Diseases; Learning systems; Smartphones; Blood smears; Convolutional neural network; First deep learning; Learning methods; Malaria; Malaria parasite; Parasite-; Screening process; Smart phones; Convolutional neural networks</t>
  </si>
  <si>
    <t xml:space="preserve">Geneva, Switzerland, (2022); (2022); Makhija K.S., Maloney S., Norton R., The utility of serial blood film testing for the diagnosis of malaria, Pathology, 47, 1, pp. 68-70, (2015); Malaria Microscopy Quality Assurance Manual (World Health Organization, (2022); Poostchi M., Silamut K., Maude R.J., Jaeger S., Thoma G., Image analysis and machine learning for detecting malaria, Transl. Res., 194, pp. 36-55, (2018); Rajaraman S., Et al., Understanding the learned behavior of customized convolutional neural networks toward malaria parasite detection in thin blood smear images, J. Med. Imag., 5, 3, (2018); Rosado L., M. Correia da Costa J., Elias D., S. Cardoso J., A review of automatic malaria parasites detection and segmentation in microscopic images, Anti-Infective Agents, 14, 1, pp. 11-22, (2016); Pattanaik P.A., Swarnkar T., Comparative analysis of morphological techniques for malaria detection, Int. J. Healthcare Inf. Syst. Inform., 13, 4, pp. 49-65, (2018); Kaewkamnerd S., Intarapanich A., Pannarat M., Chaotheing S., Uthaipibull C., Tongsima S., Detection and classification device for malaria parasites in thick-blood films, Proceedings IEEE International Conference Intelligent Data Acquisition Advanced Computer Systems, pp. 435-438, (2011); Chakrabortya K., A combined algorithm for malaria detection from thick smear blood slides, J. Health Med. Inform., 6, 1, pp. 179-186, (2015); Dave I.R., Upla K.P., Computer aided diagnosis of malaria disease for thin and thick blood smear microscopic images, Processing International Conference Signal Processing Integrated Networks, pp. 4-8, (2017); Elter M., Hasslmeyer E., Zerfass T., Detection of malaria parasites in thick blood films, Proceeding IEEE Engineering Medicine and Biology Society, pp. 5140-5144, (2011); Rosado L., da Costa J.M.C., Elias D., Cardoso J.S., Automated detection of malaria parasites on thick blood smears via mobile devices, Procedia Comput. Sci., 90, pp. 138-144, (2016); Krizhevsky A., Sutskever I., G.E, pp. 1-9, (2012); Ren S., Et al., Rich feature hierarchies for accurate object detection and semantic segmentation, Proceeding of the IEEE Conference Computer Vision Pattern Recognition, 794, pp. 1-15, (2015); Delahunt C.B., Et al., Automated microscopy and machine learning for expert-level malaria field diagnosis, Proceeding IEEE Global Humanitarian Technology Conference, pp. 393-399, (2015); Mehanian C., Jaiswal M., Delahunt C., Thompson C., Computer automated malaria diagnosis and quantitation using convolutional neural networks, Proceeding IEEE International Conference Computer Vision Workshops, pp. 116-125, (2017); Torres K., Et al., Automated microscopy for routine malaria diagnosis: A field comparison on Giemsa-stained blood films in Peru, Malaria J, 17, 1, pp. 339-350, (2018); Yang F., Poostchi M., Yu H., Zhou Z., Silamut K., Yu J., Maude R.J., Jaeger S., Antani S., Deep learning for smartphone-based malaria parasite detection in thick blood smears, IEEE J. Biomed. Health Inform., 24, pp. 1427-1438, (2019); Abdurahman F., Fante K.A., Aliy M., Malaria parasite detection in thick blood smear microscopic images using modified YOLOV3 and YOLOV4 models, BMC Bioinform, 22, (2021); Horning M.P., Delahunt C.B., Bachman C.M., Luchavez J., Luna C., Hu L., Jaiswal M.S., Thompson C.M., Kulhare S., Janko S., Et al., Performance of a fully automated system on a WHO malaria microscopy evaluation slide set, Malar. J., 20, (2021); Ioffe S., Szegedy C., Batch normalization: Accelerating deep network training by reducing internal covariate shift, Proceedings International Conference Machine Learning, pp. 81-87, (2015); Srivastava N., Hinton G., Krizhevsky A., Sutskever I., Salakhutdinov R., Dropout: A simple way to prevent neural networks from overfitting, J. Mach. Learn. Res., 15, pp. 1929-1958, (2014); Simonyan K., Zisserman A., Very deep convolutional networks for large-scale image recognition, Presented at the 3Rd International Conference Learning Representations (San Diego, May, pp. 7-9, (2015)</t>
  </si>
  <si>
    <t xml:space="preserve">R.T.S.H. Hyder; SGGS Institute of Engineering and Technology, Nanded, Maharashtra, 431606, India; email: 2021mit001@sggs.ac.in</t>
  </si>
  <si>
    <t xml:space="preserve">Nanda S.J.; Yadav R.P.; Gandomi A.H.; Saraswat M.</t>
  </si>
  <si>
    <t xml:space="preserve">4th International Conference on Data Science and Applications, ICDSA 2023</t>
  </si>
  <si>
    <t xml:space="preserve">14 July 2023 through 15 July 2023</t>
  </si>
  <si>
    <t xml:space="preserve">Jaipur</t>
  </si>
  <si>
    <t xml:space="preserve">978-981997813-7</t>
  </si>
  <si>
    <t xml:space="preserve">2-s2.0-85187781952</t>
  </si>
  <si>
    <t xml:space="preserve">Apetorgbor M.; Wankhede V.; Dakhare K.; Verma P.; Raut Y.; Tripathi C.</t>
  </si>
  <si>
    <t xml:space="preserve">Apetorgbor, Mawuli (59135052400); Wankhede, Vidhi (59135052500); Dakhare, Kajal (59135052600); Verma, Prateek (58512922300); Raut, Yudhishthir (57189294904); Tripathi, Chanchla (59134653300)</t>
  </si>
  <si>
    <t xml:space="preserve">59135052400; 59135052500; 59135052600; 58512922300; 57189294904; 59134653300</t>
  </si>
  <si>
    <t xml:space="preserve">Application of Machine Learning for Detection and Prediction of Malaria: A Review</t>
  </si>
  <si>
    <t xml:space="preserve">Mosquitoes carries a parasitic infection that affects millions of peoples globally. The initial and meticulous prediction of outbursts, patient verdict, and treatment enhancement can all considerably diminish the consequences of malaria. Machine learning is a promising method to tackle this problem with its capability to unveil and understand complex patterns from broad and multifaceted dataset. Accuracy of drug dosage and disease management in healthcare industry has proven phenomenal accuracy with use of machine learning algorithm. The current analysis explores the application of machine learning for prediction of malaria cases. This paper showcase the inclusion of numerous data source, comprising environmental factors, medical history and epidemiologic information to demonstrate how machine learning influences this to abundance of data to enhance prediction accuracy. This study also enhances the major advancements in prior malaria detection that have been made feasible and practicable by machine learning driven symptomatic technologies such prompt analytical test and image analysis of blood taints. Concerns like model comprehensibility, data secrecy, and equitable distribution of healthcare assets are also concealed in this review study. © 2024 IEEE.</t>
  </si>
  <si>
    <t xml:space="preserve">10.1109/INOCON60754.2024.10512161</t>
  </si>
  <si>
    <t xml:space="preserve">https://www.scopus.com/inward/record.uri?eid=2-s2.0-85193564897&amp;doi=10.1109%2fINOCON60754.2024.10512161&amp;partnerID=40&amp;md5=dbaf4535987d6c9baa3264f9b1f70717</t>
  </si>
  <si>
    <t xml:space="preserve">Datta Meghe Institute of Higher Education and Research (DU), Department of Science and Technology, Maharashtra, Wardha, India; Datta Meghe Institute of Higher Education and Research (DU), Faculty of Engineering and Technology, Maharashtra, Wardha, India; Pimpri Chichwad University, Department of Computer Science and Engineering, Maval Sate, Pune, India; Yeshwantrao Chavan College of Engineering, Department of Computer Science and Engineering, Maharashtra, Nagpur, India</t>
  </si>
  <si>
    <t xml:space="preserve">Apetorgbor M., Datta Meghe Institute of Higher Education and Research (DU), Department of Science and Technology, Maharashtra, Wardha, India; Wankhede V., Datta Meghe Institute of Higher Education and Research (DU), Faculty of Engineering and Technology, Maharashtra, Wardha, India; Dakhare K., Datta Meghe Institute of Higher Education and Research (DU), Faculty of Engineering and Technology, Maharashtra, Wardha, India; Verma P., Datta Meghe Institute of Higher Education and Research (DU), Faculty of Engineering and Technology, Maharashtra, Wardha, India; Raut Y., Pimpri Chichwad University, Department of Computer Science and Engineering, Maval Sate, Pune, India; Tripathi C., Yeshwantrao Chavan College of Engineering, Department of Computer Science and Engineering, Maharashtra, Nagpur, India</t>
  </si>
  <si>
    <t xml:space="preserve">Deep Learning; Healthcare; Machine Learning; Malaria; Prediction</t>
  </si>
  <si>
    <t xml:space="preserve">Deep learning; Diseases; Drug dosage; Image enhancement; Learning algorithms; Learning systems; Complex pattern; Current analysis; Deep learning; Disease management; Healthcare; Healthcare industry; Machine learning algorithms; Machine-learning; Malaria; Parasitic infections; Forecasting</t>
  </si>
  <si>
    <t xml:space="preserve">Mohapatra P., Tripathi N.K., Pal I., Shrestha S., Determining suitable machine learning classifier technique for prediction of malaria incidents attributed to climate of Odisha, International Journal of Environmental Health Research, 32, 8, pp. 1716-1732, (2022); Firdaus H., Hassan S.I., Kaur H., A comparative survey of machine learning and meta-heuristic optimization algorithms for sustainable and smart healthcare, African Journal of Computing &amp; ICT Ref. Format, 11, 4, pp. 1-17, (2018); Gourisaria M.K., Das S., Sharma R., Rautaray S.S., Pandey M., A deep learning model for malaria disease detection and analysis using deep convolutional neural networks, International Journal of Emerging Technologies, 11, 2, pp. 699-704, (2020); Bharadwaj H.K., Agarwal A., Chamola V., Lakkaniga N.R., Hassija V., Guizani M., Sikdar B., A review on the role of machine learning in enabling IoT based healthcare applications, IEEE Access, 9, pp. 38859-38890, (2021); Boruah I., Kakoty S., Analytical study of data mining applications in malaria prediction and diagnosis, Int. J. Comput. Sci. Mob. Comput, 8, pp. 275-284, (2019); Saleem T.J., Chishti M.A., Exploring the applications of machine learning in healthcare, International Journal of Sensors Wireless Communications and Control, 10, 4, pp. 458-472, (2020); Kondrachine A.V., Trigg P.I., Global overview of malaria, The Indian journal of medical research, 106, pp. 39-52, (1997); Mandal S., Sarkar R.R., Sinha S., Mathematical models of malaria-a review, Malaria journal, 10, 1, pp. 1-19, (2011); Pacheco M.A., Escalante A.A., Origin and diversity of malaria parasites and other Haemosporida, Trends in Parasitology, (2023); Malaria, (2023); Killeen G.F., McKenzie F.E., Foy B.D., Schieffelin C., Billingsley P.F., Beier J.C., A simplified model for predicting malaria entomologic inoculation rates based on entomologic and parasitologic parameters relevant to control, The American journal of tropical medicine and hygiene, 62, 5, (2000); Mohammadi L., Pal K., Bilal M., Rahdar A., Fytianos G., Kyzas G.Z., Green nanoparticles to treat patients with Malaria disease: An overview, Journal of Molecular Structure, 1229, (2021); Saba Raoof S., Durai M.A., A comprehensive review on smart health care: Applications, paradigms, and challenges with case studies, Contrast Media &amp; Molecular Imaging, (2022); Silahtaroglu G., Yilmazturk N., Data analysis in health and big data: A machine learning medical diagnosis model based on patients' complaints, Communications in Statistics-Theory and Methods, 50, 7, pp. 1547-1556, (2021); Rasheed K., Qayyum A., Ghaly M., Al-Fuqaha A Razi A., Qadir J., Explainable, trustworthy, and ethical machine learning for healthcare: A survey, Computers in Biology and Medicine, (2022); Types of Machine Learning-Javatpoint, (2023); Ashdown G.W., Dimon M., Fan M., Sanchez-Roman Teran F., Witmer K., Gaboriau D.C., Armstrong Z., Ando D.M., Baum J., A machine learning approach to define antimalarial drug action from heterogeneous cell-based screens, Science Advances, 6, 39, (2020); Stephen A., Akomolafe P.O., Ogundoyin K.I., A Model for Predicting Malaria Outbreak using Machine Learning Technique, Annals. Computer Science Series, 19, 1, (2021); Senol A., Canbay Y., Kaya M., Trends in Detecting Epidemics at Early Stages Using Machine Learning Approaches, Journal of Information Technologies, 14, 4, pp. 355-366, (2021); What is Deep Learning?- IBM, (2023); Pattanaik P.A., Mittal M., Khan M.Z., Unsupervised deep learning cad scheme for the detection of malaria in blood smear microscopic images, IEEE Access, 8, pp. 94936-94946, (2020); Jdey I., Hcini G., Ltifi H., Deep learning and machine learning for Malaria detection: Overview, challenges and future directions, (2022); Thakur S., Dharavath R., Artificial neural network based prediction of malaria abundances using big data: A knowledge capturing approach, Clinical Epidemiology and Global Health, 7, 1, pp. 121-126, (2019); Barboza M.F.X., Monteiro K.H.D.C., Rodrigues I.R., Santos G.L., Monteiro W.M., Figueira E.A.G., Sampaio V.D.S., Lynn T., Endo P.T., Prediction of malaria using deep learning models: A case study on city clusters in the state of Amazonas, Brazil, from 2003 to 2018, Revista da Sociedade Brasileira de Medicina Tropical, (2022); Lee Y.W., Choi J.W., Shin E.H., Machine learning model for predicting malaria using clinical information, Computers in Biology and Medicine, 129, (2021); Larocca A., Moro Visconti R., Marconi M., Malaria diagnosis and mapping with m-Health and geographic information systems (GIS): Evidence from Uganda, Malaria journal, 15, 1, pp. 1-12, (2016); Ford C.T., Janies D., Ensemble machine learning modeling for the prediction of artemisinin resistance in malaria, F1000 Research, 9, (2020); Nkiruka O., Prasad R., Clement O., Prediction of malaria incidence using climate variability and machine learning, Informatics in Medicine Unlocked, 22, (2021); Sukums F., Mzurikwao D., Sabas D., Chaula R., Mbuke J., Kabika T., Kaswija J., Ngowi B., Noll J., Winkler A.S., Andersson S.W., The use of artificial intelligence-based innovations in the health sector in Tanzania: A scoping review, Health Policy and Technology, (2023); Mishra A., Basumallick S., Lu A., Chiu H., Shah M.A., Shukla Y., Tiwari A., The healthier healthcare management models for COVID-19, Journal of Infection and Public Health, 14, 7, pp. 927-937, (2021); Yadav S.S., Kadam V.J., Jadhav S.M., Jagtap S., Pathak P.R., Machine learning based malaria prediction using clinical findings, 2021 International Conference on Emerging Smart Computing and Informatics (ESCI), pp. 216-222, (2021); Alegana V.A., Okiro E.A., Snow R.W., Routine data for malaria morbidity estimation in Africa: Challenges and prospects, BMC medicine, 18, pp. 1-13, (2020); Maturana C.R., De Oliveira A.D., Nadal S., Bilalli B., Serrat F.Z., Soley M.E., Joseph-Munne J., Advances and challenges in automated malaria diagnosis using microscopy imaging with artificial intelligence tools: A review, Frontiers in microbiology, 13</t>
  </si>
  <si>
    <t xml:space="preserve">M. Apetorgbor; Datta Meghe Institute of Higher Education and Research (DU), Department of Science and Technology, Wardha, Maharashtra, India; email: mawuliapetorgbor@gmail.com</t>
  </si>
  <si>
    <t xml:space="preserve">2-s2.0-85193564897</t>
  </si>
  <si>
    <t xml:space="preserve">Pattnayak P.; Mohanty A.; Das T.; Patnaik S.</t>
  </si>
  <si>
    <t xml:space="preserve">Pattnayak, Parthasarathi (57192426968); Mohanty, Arpeeta (58193683600); Das, Tulip (57644081100); Patnaik, Sanghamitra (57710459900)</t>
  </si>
  <si>
    <t xml:space="preserve">57192426968; 58193683600; 57644081100; 57710459900</t>
  </si>
  <si>
    <t xml:space="preserve">Applying Artificial Intelligence and Deep Learning to Identify Neglected Tropical Skin Disorders</t>
  </si>
  <si>
    <t xml:space="preserve">Visual inspection plays a significant role in the identification of skin diseases, albeit it is not the only method. Teledermatology techniques are thus particularly suitable for the diagnosis and treatment of these disorders. In vision tasks, deep learning (DL), a subset of machine learning (ML) and/or artificial intelligence (AI), has produced outstanding results. There has been few research in this field, and even fewer that have focused on dark skin, despite the growing interest in using this technology to improve diagnostics for neglected tropical diseases affecting the skin (skin NTDs). In this work, we used clinical photos to create AI models based on deep learning. In order to determine whether or not various models with training patterns can increase diagnosis accuracy. The five skin NTDs in which data were gathered were yaws, scabies, mycetoma, leprosy, and Buruli ulcer. © 2024 IEEE.</t>
  </si>
  <si>
    <t xml:space="preserve">10.1109/INOCON60754.2024.10511323</t>
  </si>
  <si>
    <t xml:space="preserve">https://www.scopus.com/inward/record.uri?eid=2-s2.0-85193626159&amp;doi=10.1109%2fINOCON60754.2024.10511323&amp;partnerID=40&amp;md5=a190fc2d7f8145b2d8f78cb063d26c42</t>
  </si>
  <si>
    <t xml:space="preserve">Kiit Deemed to Be University, School of Computer Applications, Bhubaneswar, India; Kiit Deemed to Be University, School of Computer Engineering, Bhubaneswar, India; Sri Sri University, Faculty of Emerging Technologies, Cuttack, India; Kiit Deemed to Be University, School of Law, Bhubaneswar, India</t>
  </si>
  <si>
    <t xml:space="preserve">Pattnayak P., Kiit Deemed to Be University, School of Computer Applications, Bhubaneswar, India; Mohanty A., Kiit Deemed to Be University, School of Computer Engineering, Bhubaneswar, India; Das T., Sri Sri University, Faculty of Emerging Technologies, Cuttack, India; Patnaik S., Kiit Deemed to Be University, School of Law, Bhubaneswar, India</t>
  </si>
  <si>
    <t xml:space="preserve">Deep learning; NTD; ResNet-50; VGG16</t>
  </si>
  <si>
    <t xml:space="preserve">Deep learning; Diseases; Tropics; Deep learning; Machine-learning; Neglected tropical disease; NTD; Resnet-50; Skin disease; Skin disorders; Teledermatology; VGG16; Visual inspection; Diagnosis</t>
  </si>
  <si>
    <t xml:space="preserve">Tzioras M., McGeachan R.I., Durrant C.S., Spires-Jones T.L., Synaptic degeneration in Alzheimer disease, Nat. Rev. Neurol., 19, 1, pp. 19-38, (2023); Martin-Noguerol T., Casado-Verdugo O.L., Beltran L.S., Aguilar G., Luna A., Role of advanced MRI techniques for sacroiliitis assessment and quantification, Eur. J. Radiol., 163, (2023); Raju M., Gopi V.P., Anitha V.S., Wahid K.A., Multi-class diagnosis of Alzheimer's disease using cascaded three dimensionalconvolutional neural network, Phys. Eng. Sci. Med., 43, 4, pp. 1219-1228, (2020); Teuwen J., Moriakov N., Handbook of Medical Image Computing and Computer Assisted Intervention, pp. 481-501, (2020); Liu Z., Mao H., Wu C., Feichtenhofer C., Darrell T., Xie S., A ConvNet for the 2020s, 2022 IEEE/CVF Conference on Computer Vision and Pattern Recognition (CVPR), pp. 11966-11976, (2022); Bank D., Koenigstein N., Giryes R., Autoencoders, (2020); Zhuang F., Qi Z., Duan K., Xi D., Zhu Y., Zhu H., Xiong H., He Q., A Comprehensive Survey on Transfer Learning, Proc. IEEE, 109, 1, pp. 43-76, (2021); Ebrahimi-Ghahnavieh A., Luo S., Chiong R., Transfer Learning for Alzheimer's Disease Detection on MRI Images, 2019 IEEE International Conference on Industry 4. 0, pp. 133-138, (2019); Li X., Sun Z., Xue J.-H., Ma Z., A concise review of recent few-shot meta learning methods, Neurocomputing, 456, pp. 463-468, (2021); Li H., Li C., Wang J., Yang A., Ma Z., Zhang Z., Hua D., Review on security of federated learning and its application in healthcare, Futur. Gener. Comput. Syst., 144, pp. 271-290, (2023); Venugopalan J., Tong L., Hassanzadeh H.R., Wang M.D., Multimodal deep learning models for early detection of Alzheimer's disease stage, Sci Rep, 11, 1, (2021); Meng X., Wei Q., Meng L.I., Liu J., Wu Y., Liu W., Feature Fusion and Detection in Alzheimer's Disease Using a Novel Genetic Multi-Kernel SVM Based on MRI Imaging and Gene Data, Genes, 13, 5, (2022); Hu Z., Wang X., Meng L.I., Liu W., Wu F., Meng X., Detection of Association Features Based on Gene Eigenvalues and MRI Imaging Using Genetic Weighted Random Forest, Genes, 13, 12, (2022); Bi X.A., Li L., Xu R., Xing Z., Pathogenic Factors Identification of Brain Imaging and Gene in Late Mild Cognitive Impairment, Interdiscipl. Sci. Comput. Life Sci., 13, 3, pp. 511-520, (2021); Qiu S., Joshi P.S., Miller M.I., Xue C., Zhou X., Karjadi C., Chang G.H., Joshi A.S., Dwyer B., Zhu S., Kaku M., Zhou Y., Alderazi Y.J., Swaminathan A., Kedar S., Saint-Hilaire M.H., Auerbach S.H., Yuan J., Sartor E.A., Au R., Kolachalama V.B., Development and validation of an interpretable deep learning framework for Alzheimer's disease classification, Brain, 143, 6, pp. 1920-1933, (2020); Cobbinah B.M., Sorg C., Yang Q., Ternblom A., Zheng C., Han W., Che L., Shao J., Reducing variations in multi-center Alzheimer's disease classification with convolutional adversarial autoencoder, Med. Image Anal., 82, (2022); Bohle M., Eitel F., Weygandt M., Ritter K., Layer-Wise Relevance Propagation for Explaining Deep Neural Network Decisions in MRIBased Alzheimer's Disease Classification, Front. Aging Neurosci., 11, (2019); Kwanseok O., Heo D.-W., Mulyadi A.W., Jung W., Kang E., Suk H.-I., Quantifying Explainability of Counterfactual-Guided MRI Feature for Alzheimer's Disease Prediction, (2022); Mulyadi A.W., Jung W., Oh K., Yoon J.S., Lee K.H., Suk H.I., Estimating explainable Alzheimer's disease likelihood map via clinically-guided prototype learning, Neuroimage, 273, (2023)</t>
  </si>
  <si>
    <t xml:space="preserve">P. Pattnayak; Kiit Deemed to Be University, School of Computer Applications, Bhubaneswar, India; email: parthakiit19@gmail.com</t>
  </si>
  <si>
    <t xml:space="preserve">2-s2.0-85193626159</t>
  </si>
  <si>
    <t xml:space="preserve">Anggraini Ningrum D.N.; Li Y.-C.J.; Hsu C.-Y.; Solihuddin Muhtar M.; Pandu Suhito H.</t>
  </si>
  <si>
    <t xml:space="preserve">Anggraini Ningrum, Dina Nur (57195329470); Li, Yu-Chuan Jack (57993881100); Hsu, Chien-Yeh (55752327900); Solihuddin Muhtar, Muhammad (57220596738); Pandu Suhito, Hanif (58852822500)</t>
  </si>
  <si>
    <t xml:space="preserve">57195329470; 57993881100; 55752327900; 57220596738; 58852822500</t>
  </si>
  <si>
    <t xml:space="preserve">Artificial Intelligence Approach for Severe Dengue Early Warning System</t>
  </si>
  <si>
    <t xml:space="preserve">Dengue fever is a viral infectious disease transmitted through mosquito bites, and has symptoms ranging from mild flu-like symptoms to deadly complications. Dengue fever is one of the global burden diseases which annually have 50-100 million cases with 500,000 cases of severe dengue fever, of which 22,000 deaths occur mostly in children. Despite the discovery of vaccines, vector control is still the main approach for prevention efforts. Early detection and accessibility to medical care can reduce severe Dengue mortality rate from 50% to 2%. In the previous study, both statistical and machine learning methods have the potential for predicting a Dengue outbreak, but the study is still fragmented and limited on implementing the generated model into an early warning system application. In this study, we developed an artificial intelligence model with spatiotemporal to predict Dengue outbreak and Dengue incidence case which is ready to be implemented into an early warning system application. Indonesia, especially Semarang City, has experienced an endemic Dengue. We used Semarang City spatiotemporal, meteorological, climatological, and Dengue surveillance epidemiology data from January 2014 to December 2021 in 16 districts of Semarang City. We reviewed 7208 samples from 16 districts and 1 city per week during 8 years. The entire dataset was divided into training (80%) and testing (20%) to develop a prediction model. We used machine learning and Long Short Term Memory (LSTM) to predict Dengue outbreak 1 week before the event for each district. and machine learning to predict Dengue incident cases 1 week before the event for each district. Accuracy, area under the receiver operating characteristic curve (AUROC), precision, recall, and F1 score were considered to evaluate the Dengue outbreak prediction model. The Dengue incidence cases prediction model will evaluate using Mean Squared Error (MSE), Mean Absolute Error (MAE), Root Mean Squared Error (RMSE), and R-Squared (R2). Extra Trees Classifier model shown outperform in Dengue outbreak prediction, with accuracy 0.8925, AUROC 0. 9529, Recall 0.6117, precision 0.8880, and F1 score 0.7238. CatBoost Regressor model is shown to outperform in Dengue incidence cases prediction, with R2 0.5621, MAE 0.6304, MSE 1.1997, and RMSE 1.0891. The study proves that Artificial Intelligence (AI) with a spatiotemporal approach can give higher performance in Dengue outbreak and incidence cases prediction. Utilization of AI approaches that are sensitive with spatiotemporal feasibility to implement in Dengue early warning system application may contribute to increase the policy makers and community attention to do accurate community-based vector control.  © 2024 International Medical Informatics Association (IMIA) and IOS Press.</t>
  </si>
  <si>
    <t xml:space="preserve">Studies in Health Technology and Informatics</t>
  </si>
  <si>
    <t xml:space="preserve">IOS Press BV</t>
  </si>
  <si>
    <t xml:space="preserve">10.3233/SHTI231091</t>
  </si>
  <si>
    <t xml:space="preserve">https://www.scopus.com/inward/record.uri?eid=2-s2.0-85183581536&amp;doi=10.3233%2fSHTI231091&amp;partnerID=40&amp;md5=16e1f1c4f0a78fef39871727ec38c0ed</t>
  </si>
  <si>
    <t xml:space="preserve">Public Health Department, Universitas Negeri Semarang, Semarang City, Indonesia; Graduate Institute of Biomedical Informatics, Taipei Medical University, Taipei, Taiwan; Department of Dermatology, Wan Fang Hospital, Taipei, Taiwan; International Center for Health Information Technology (ICHIT), Taipei Medical University, Taipei, Taiwan; Department of Information Management, National Taipei University of Nursing and Health Sciences, Taipei, Taiwan; College of Public Halth, Taipei Medical University, Taipei, Taiwan; Graduate Institute of Data Science, Taipei Medical University, Taiwan; Semarang City Regional Health Offfice, Semarang, Indonesia</t>
  </si>
  <si>
    <t xml:space="preserve">Anggraini Ningrum D.N., Public Health Department, Universitas Negeri Semarang, Semarang City, Indonesia; Li Y.-C.J., Graduate Institute of Biomedical Informatics, Taipei Medical University, Taipei, Taiwan, Department of Dermatology, Wan Fang Hospital, Taipei, Taiwan, International Center for Health Information Technology (ICHIT), Taipei Medical University, Taipei, Taiwan; Hsu C.-Y., Department of Information Management, National Taipei University of Nursing and Health Sciences, Taipei, Taiwan, College of Public Halth, Taipei Medical University, Taipei, Taiwan; Solihuddin Muhtar M., Graduate Institute of Data Science, Taipei Medical University, Taiwan; Pandu Suhito H., Semarang City Regional Health Offfice, Semarang, Indonesia</t>
  </si>
  <si>
    <t xml:space="preserve">artificial intelligence; dengue incidence cases prediction; dengue outbreak prediction; early warning system</t>
  </si>
  <si>
    <t xml:space="preserve">Administrative Personnel; Area Under Curve; Artificial Intelligence; Child; Humans; Machine Learning; Severe Dengue; Errors; Learning algorithms; Long short-term memory; Mean square error; Medical informatics; Statistical tests; Dengue fevers; Dengue incidence case prediction; Dengue outbreak prediction; Early Warning System; F1 scores; Machine-learning; Mean squared error; Prediction modelling; Receiver operating characteristic curves; System applications; administrative personnel; area under the curve; artificial intelligence; child; human; machine learning; severe dengue; Forecasting</t>
  </si>
  <si>
    <t xml:space="preserve">Messina J.P., Brady O.J., Golding N., Kraemer M.U.G., Wint G.R.W., Ray S.E., Pigott D.M., Shearer F.M., Johnson K., Earl L., Marczak L.B., Shirude S., Davis W.N., Gilbert M., Velayudhan R., Jones P., Jaenisch T., Scott T.W., Reiner R.C., Hay S.I., The current and future global distribution and population at risk of dengue, Nat Microbiol, 4, 9, pp. 1508-1515, (2019); Global strategy for dengue prevention and control 2012-2020, (2012); Kong L., Wang J., Li Z., Lai S., Liu Q., Wu H., Yang W., Modeling the Heterogeneity of Dengue Transmission in a City, Int J Environ Res Public Health, 15, 6, (2018); Tissera H., Pannila-Hetti N., Samaraweera P., Weeraman J., Palihawadana P., Amarasinghe A., Sustainable dengue prevention and control through a comprehensive integrated approach: The Sri Lankan perspective, WHO South East Asia J Public Health, 5, 2, pp. 106-112, (2016); Wong Z.S.Y., Zhou J., Zhang Q., Artificial Intelligence for infectious disease Big Data Analytics, Infect Dis Health, 24, 1, pp. 44-48, (2019); Racloz V., Ramsey R., Tong S., Hu W., Surveillance of dengue fever virus: A review of epidemiological models and early warning systems, PLoS Negl Trop Dis, 6, 5, (2012); Guo P., Liu T., Zhang Q., Wang L., Xiao J., Zhang Q., Luo G., Li Z., He J., Zhang Y., Ma W., Developing a dengue forecast model using machine learning: A case study in China, PLoS Negl Trop Dis, 11, 10, (2017); Laureano-Rosario A.E., Duncan A.P., Mendez-Lazaro P.A., Garcia-Rejon J.E., Gomez-Carro S., Farfan-Ale J., Savic D.A., Muller-Karger F.E., Application of Artificial Neural Networks for Dengue Fever Outbreak Predictions in the Northwest Coast of Yucatan, Mexico and San Juan, Puerto Rico, Trop Med Infect Dis, 3, 1, (2018); Li C., Lu Y., Liu J., Wu X., Climate change and dengue fever transmission in China: Evidences and challenges, Sci Total Environ, pp. 493-501, (2018); McKerr C., Lo Y.C., Edeghere O., Bracebridge S., Evaluation of the national Notifiable Diseases Surveillance System for dengue fever in Taiwan 2010-2012, PLoS Negl Trop Dis, 9, 3, (2015); Hussain-Alkhateeb L., Kroeger A., Olliaro P., Rocklov J., Sewe M.O., Tejeda G., Benitez D., Gill B., Hakim S.L., Gomes C.R., Bowman L., Petzold M., Early warning and response system (EWARS) for dengue outbreaks: Recent advancements towards widespread applications in critical settings, PLoS One, 13, 5, (2018)</t>
  </si>
  <si>
    <t xml:space="preserve">D.N. Anggraini Ningrum; Public Health Department, Universitas Negeri Semarang, Semarang City, Indonesia; email: dinanan@mail.unnes.ac.id</t>
  </si>
  <si>
    <t xml:space="preserve">Bichel-Findlay J.; Otero P.; Scott P.; Huesing E.</t>
  </si>
  <si>
    <t xml:space="preserve">19th World Congress on Medical and Health Informatics, MedInfo 2023</t>
  </si>
  <si>
    <t xml:space="preserve">8 July 2023 through 12 July 2023</t>
  </si>
  <si>
    <t xml:space="preserve">Sydney</t>
  </si>
  <si>
    <t xml:space="preserve">978-164368456-7</t>
  </si>
  <si>
    <t xml:space="preserve">Stud. Health Technol. Informatics</t>
  </si>
  <si>
    <t xml:space="preserve">All Open Access; Hybrid Gold Open Access</t>
  </si>
  <si>
    <t xml:space="preserve">2-s2.0-85183581536</t>
  </si>
  <si>
    <t xml:space="preserve">Patil P.N.; Usha J.; Dharani A.</t>
  </si>
  <si>
    <t xml:space="preserve">Patil, Preethi N (55813647400); Usha, J. (55941122900); Dharani, Andhe (54383109800)</t>
  </si>
  <si>
    <t xml:space="preserve">55813647400; 55941122900; 54383109800</t>
  </si>
  <si>
    <t xml:space="preserve">Automated Dengue Recognition and Analysis through Image Processing and Machine Learning</t>
  </si>
  <si>
    <t xml:space="preserve">Detecting dengue fever using image processing techniques typically involves the analysis of medical images such as blood smears or tissue samples. Dengue is a viral disease transmitted by Aedes mosquitoes, and its diagnosis primarily relies on clinical symptoms, serological tests, and molecular assays. Image processing can be used as a complementary tool to assist and identify the dengue virus or related disparities in the body. Dengue fever, alternatively known as break-bone fever, is a lifethreatening arboviral disease caused by the DENV virus. It is a major global health concern with an increasing incidence worldwide. The existing clinical methods for diagnosing dengue are manual, requiring significant time and labor. The present work aims to develop an automated system using machine learning and digital image analysis to detect dengue infection from blood smear images. The custom algorithms are designed to extract platelets, red blood cells, and white blood cells, and train a feature vector. By automating the analysis of blood smear images, aids healthcare professionals detect cases of dengue more efficiently, allowing for early treatment and potentially saving lives. However, it is crucial to address data quality, algorithm selection, validation, interpretability, and ethical considerations throughout the development process.  © 2024 IEEE.</t>
  </si>
  <si>
    <t xml:space="preserve">2nd International Conference on Integrated Circuits and Communication Systems, ICICACS 2024</t>
  </si>
  <si>
    <t xml:space="preserve">10.1109/ICICACS60521.2024.10498794</t>
  </si>
  <si>
    <t xml:space="preserve">https://www.scopus.com/inward/record.uri?eid=2-s2.0-85191725008&amp;doi=10.1109%2fICICACS60521.2024.10498794&amp;partnerID=40&amp;md5=53446e7ee74cc1e17d6d69df840570f2</t>
  </si>
  <si>
    <t xml:space="preserve">RV College of Engineering, Department of MCA, Bangalore, India</t>
  </si>
  <si>
    <t xml:space="preserve">Patil P.N., RV College of Engineering, Department of MCA, Bangalore, India; Usha J., RV College of Engineering, Department of MCA, Bangalore, India; Dharani A., RV College of Engineering, Department of MCA, Bangalore, India</t>
  </si>
  <si>
    <t xml:space="preserve">CIELab space; Dengue; DENV; edge detection; histogram thresholding; Hough transform; pixel intensity</t>
  </si>
  <si>
    <t xml:space="preserve">Automation; Blood; Cells; Feature extraction; Hough transforms; Image analysis; Medical imaging; Viruses; Blood smears; CIELab; CIELab space; Dengue; Dengue fevers; DENV; Histogram thresholding; Images processing; Machine-learning; Pixel intensities; Diagnosis</t>
  </si>
  <si>
    <t xml:space="preserve">Gupta G., Khan S., Guleria V., Almjally A., Alabduallah B.I., Siddiqui T., Albahlal B.M., Alajlan S.A., Al-Subaie M., DDPM: A Dengue Disease Prediction and Diagnosis Model Using Sentiment Analysis and Machine Learning Algorithms, Diagnostics., 13, 6, (2023); Cavailler P., Tarantola A., Leo Y.S., Et al., Early diagnosis of dengue disease severity in a resource-limited Asian country, BMC Infect Dis, 16, (2016); Mayxay M., Predictive diagnostic value of the tourniquet test for the diagnosis of dengue infection in adults, Tropical Medicine International Health, 16, 1, pp. 127-133, (2011); Alfred R.J.K., Image Analysis and Supervised learning in the automated Differentiation of White Blood cells from Microscopic Images, (2000); Joshi M., Minai D., Karode A.H., Suralkar S.R., White Blood Cells Segmentation and Classification to Detect Acute Leukemia, International Journal of Emerging Trends Technology in Computer Science (IJETTCS), 2, 3, pp. 147-151, (2013); Madhukar M., Agaian S., Chronopoulos A.T., New decision support tool for acute lymphoblastic leukemia classification, IS&amp;T /SPIE Electronic Imaging. International Society for Optics and Photonics, (2012); Ilyas K., Sirshar M., Dengue Detection Using Morphological Segmentation techniques and Blob Processing for Automatic CBC, International Journal of Computer and Communication System Engineering (IJCCSE)., 2, 2, pp. 346-350, (2015); Prabakaran K., Khan F.M.E.I., Mohammed Abrar N., Mohammed Abbas F., Salman Khurshid S., A smart sensing and quantification of platelets, Red Blood Cells (RBC), White Blood Cells (WBC) and Classification of WBC'S using Microscopic Blood Image, International Journal on Applications in Medical Science and Research., pp. 1-9, (2015); Reddy V.H., Automatic red blood cell and white blood cell counting for telemedicine system, International Journal of Research in Advent Technology., 2, 1, pp. 1-6, (2014); Pooja R.P., Sable G.S., Anandgaonkar G., Counting of WBCS and RBCS from blood images using gray thresholding (IJRET), International Journal of Research in Engineering and Technology, 2, 9, pp. 1-4, (2014); Alomari Y.M., Huda S.N., Abdullah S., Azma R.Z., Omar K., Automatic Detection and Quantification of WBCs and RBCs Using Iterative Structured Circle Detection Algorithm, Hindawi Publishing Corporation Computational and Mathematical Methods in Medicine., 14, (2014); Tandon R., Sharma R., Goel S., Platelet count using image processing techniques, pp. 1-53, (2013); Lazuardi L., Sanjaya G.Y., Candradewi I., Holmner A., Automatic Platelets Counter for Supporting Dengue Case Detection in Primary Health Care in Indonesia, Open Access by IOS Press and distributed under the terms of the Creative Commons; Dey R., Roy K., Bhattacharjee D., Nasipuri M., Ghosh P., An Automated system for Segmenting platelets from microscopic images of Blood Cells, International Symposium on Advanced Computing and Communication (ISACC 2013)-55c31855f1642, pp. 230-237, (2015); Khan S., Khan A., Khattak F.S., Naseem A., An accurate and costeffective approach to blood cell count, International Journal of Computer Applications. 2012 Jul, 50, 1, pp. 975-8887; Burduk R., Krawczyk B., Automatic detection and counting of platelets in microscopic image, Journal of Medical Informatics and Technologies., 16, pp. 173-178, (2010); Acharya V., Kumar P., Identification and red blood cell automated counting from blood smear images using computer-aided system, Med Biol Eng Comput, 56, pp. 483-489, (2018); Al-Hafiz F., Al-Megren S., Kurdi H., Red blood cell segmentation by thresholding and Canny detector, Procedia Computer Science, 141, pp. 327-334, (2018); Navya K.T., Das S., Prasad K., Automatic Segmentation of Red Blood Cells from Microscopic Blood Smear Images Using Image Processing Techniques, Smart Trends in Computing and Communications. LectureNotes in Networks and Systems, 396, (2023); Verma S., Bhateja V., Singh S., Gupta S., Dogra A., Nhu N.G., Segmentation of Cell Periphery from Blood Smear Images Using Dark Contrast Algorithm and K-Medoid Clustering, Advances in Signal Processing, Embedded Systems and IoT. Lecture Notes in Electrical Engineering, 992, (2023)</t>
  </si>
  <si>
    <t xml:space="preserve">P.N. Patil; RV College of Engineering, Department of MCA, Bangalore, India; email: preethinpatil@rvce.edu.in</t>
  </si>
  <si>
    <t xml:space="preserve">2nd IEEE International Conference on Integrated Circuits and Communication Systems, ICICACS 2024</t>
  </si>
  <si>
    <t xml:space="preserve">23 February 2024 through 24 February 2024</t>
  </si>
  <si>
    <t xml:space="preserve">Raichur</t>
  </si>
  <si>
    <t xml:space="preserve">979-835031755-8</t>
  </si>
  <si>
    <t xml:space="preserve">Int. Conf. Integr. Circuits Commun. Syst., ICICACS</t>
  </si>
  <si>
    <t xml:space="preserve">2-s2.0-85191725008</t>
  </si>
  <si>
    <t xml:space="preserve">Mahajan M.; Kalra A.S.; Bansal A.; Bhattacherjee A.; Vishal; Jain E.</t>
  </si>
  <si>
    <t xml:space="preserve">Mahajan, Manish (55353839700); Kalra, Amandeep Singh (59548298500); Bansal, Ankit (56666848900); Bhattacherjee, Abhishek (57217099146); Vishal (59513655800); Jain, Eshika (59313491400)</t>
  </si>
  <si>
    <t xml:space="preserve">55353839700; 59548298500; 56666848900; 57217099146; 59513655800; 59313491400</t>
  </si>
  <si>
    <t xml:space="preserve">Automated Malaria Detection Using Deep Learning: A Convolutional Neural Network Approach for Microscopic Cell Image Analysis</t>
  </si>
  <si>
    <t xml:space="preserve">This study explores using a Convolutional Neural Network (CNN) for automated malaria detection from microscopic cell images. A dataset of 27,558 images was split into training, validation and testing subsets, all with balanced class representation. The testing dataset was then used to evaluate the model, which achieved an overall accuracy of 94.81% and precision, recall and F1 scores of 0.94 and 0.94 for classes 'Uninfected' and 'Parasitized', respectively. The confusion matrix showed that it was reliable, especially for minimizing the false negatives for infected cases. These results highlight the potential of the model to decrease dependence on manual microscopy, increase diagnostic consistency and enable large-scale malaria screening. Through this research, we show the feasibility of integrating deep learning into malaria detection workflows while expanding access to healthcare in underserved regions. Future works include deployment optimization, integration with mobile applications, and validation on multiple site datasets to increase generalizability. The results of this work pave the way for artificial intelligence-powered diagnostics, a burgeoning field, and present a cost-effective, efficient, and scalable solution to combat malaria in high-burden areas.  © 2024 IEEE.</t>
  </si>
  <si>
    <t xml:space="preserve">2024 International Conference on Decision Aid Sciences and Applications, DASA 2024</t>
  </si>
  <si>
    <t xml:space="preserve">10.1109/DASA63652.2024.10836383</t>
  </si>
  <si>
    <t xml:space="preserve">https://www.scopus.com/inward/record.uri?eid=2-s2.0-85217260945&amp;doi=10.1109%2fDASA63652.2024.10836383&amp;partnerID=40&amp;md5=badaf272c443db14a8b948e0427d395f</t>
  </si>
  <si>
    <t xml:space="preserve">Amity School of Engineering and Technology, Amity University, Punjab, Mohali, India; Gulzar Group of Institutions, Punjab, Ludhiana, India; Chitkara University Institute of Engineering and Technology, Chitkara University, Punjab, India; Lovely Professional University, Department of Computer Science Engineering, Punjab, Phagwara, India; Chitkara University Institute of Engineering and Technology, Centre for Research Impact &amp; Outcome, Chitkara University, Punjab, Rajpura, 140401, India</t>
  </si>
  <si>
    <t xml:space="preserve">Mahajan M., Amity School of Engineering and Technology, Amity University, Punjab, Mohali, India; Kalra A.S., Gulzar Group of Institutions, Punjab, Ludhiana, India; Bansal A., Chitkara University Institute of Engineering and Technology, Chitkara University, Punjab, India; Bhattacherjee A., Lovely Professional University, Department of Computer Science Engineering, Punjab, Phagwara, India; Vishal, Chitkara University Institute of Engineering and Technology, Centre for Research Impact &amp; Outcome, Chitkara University, Punjab, Rajpura, 140401, India; Jain E., Chitkara University Institute of Engineering and Technology, Centre for Research Impact &amp; Outcome, Chitkara University, Punjab, Rajpura, 140401, India</t>
  </si>
  <si>
    <t xml:space="preserve">Automated Diagnosis; Convolutional Neural Network (CNN); Deep Learning in Healthcare; Malaria detection; Microscopic Cell Image Analysis</t>
  </si>
  <si>
    <t xml:space="preserve">Convolutional neural networks; Deep neural networks; Diagnosis; Diseases; Malaria control; Automated diagnosis; Cell images; Confusion matrix; Convolutional neural network; Deep learning in healthcare; F1 scores; Malaria detection; Microscopic Cell Image Analysis; Overall accuracies</t>
  </si>
  <si>
    <t xml:space="preserve">Alsaif H., Wekalao J., Ali N.B., Kahouli O., Logeshwaran J., Patel S.K., Armghan A., Design and optimization of a MXene-based terahertz surface plasmon resonance sensor for malaria detection, Plasmonics, pp. 1-11, (2024); Karki B., Pal A., Sarkar P., Uniyal A., Yadav R.B., Gold, MXene, and graphene nanofilm-based surface plasmon resonance sensor for malaria detection, Journal of Optics,1-12, (2024); Mujahid M., Rustam F., Shafique R., Montero E.C., Alvarado E.S., De La Torre D.I., Ashraf I., Efficient deep learning-based approach for malaria detection using red blood cell smears, Scientific Reports, 14, 1, (2024); Holla P., Bhardwaj J., Tran T.M., Mature beyond their years: Young children who escape detection of parasitemia despite living in settings of intense malaria transmission, Biochemical Society Transactions, (2024); Ogunmolasuyi A.M., Adewoyin M.A., Microfluidic device: A versatile biosensor platform to multiplex aptamer-based detection of malaria biomarkers, Cell Biochemistry and Function, 42, 6, (2024); Nguyen T.K., Jun H., Louis J.M., Mazigo E., Lee W.J., Youm H.C., Shin J., Lungu D.K., Kanyemba C., Ahmed M.A., Muh F., Enhancing malaria detection in resource-limited areas: A high-performance colorimetric LAMP assay for Plasmodium falciparum screening, Plos one, 19, 2, (2024); Murmu A., Kumar P., Dlrfnet: Deep learning with random forest network for classification and detection of malaria parasite in blood smear, Multimedia Tools and Applications, pp. 1-23, (2024); Asif H.M., Khan S.H., Alahmadi T.J., Alsahfi T., Mahmoud A., Malaria parasitic detection using a new Deep Boosted and Ensemble Learning framework, Complex &amp; Intelligent Systems, pp. 1-17, (2024); Kumar S.A., Muchahari M.K., Poonkuntran S., Kumar L.S., Dhanaraj R.K., Karthikeyan P., Application of hybrid capsule network model for malaria parasite detection on microscopic blood smear images, Multimedia Tools and Applications, pp. 1-27, (2024); Guin S., Chowdhury D., Chattopadhyay M., A novel methodology for detection of Malaria, Microsystem Technologies, pp. 1-8, (2024); Zalwango M.G., Zalwango J.F., Kadobera D., Bulage L., Nanziri C., Migisha R., Agaba B.B., Kwesiga B., Opigo J., Ario A.R., Harris J.R., Evaluation of malaria outbreak detection methods, Uganda 2022, Malaria Journal, 23, 1, (2024); Onuche-Ojo E.S., Eseyin J.B., Dako A.D., Izuafa B.A., Nigeria J., Advancing Malaria Detection: A Comparative Study and Proposal for Web-Based Predictive Application Utilizing Convolutional Neural Network and TensorFlow, International Journal of Research and Innovation in Applied Science, 9, 6, pp. 222-232, (2024); Ahmadsaidulu S., Malla S., Mohanty D., Kumar S., Banoth E., A Novel Approach for Enhancing Malaria Detection Accuracy Through Deep Learning with C3TR and BiFPN Architectures, IEEE Sensors Letters, (2024); Prasher S., Nelson L., Gomathi S., Inception Model for Malaria Detection Using Malaria Cell Images Dataset, 2024 2nd International Conference on Intelligent Data Communication Technologies and Internet of Things IDCIoT, pp. 1170-1175, (2024); Kumar A., Nelson L., Rasher S., Surendran R., MosquitoNet Based Deep Learning Approach for Malaria Parasite Detection Using Cell Images, 2024 International Conference on Automation and Computation AUTOCOM, pp. 164-169, (2024)</t>
  </si>
  <si>
    <t xml:space="preserve">11 December 2024 through 12 December 2024</t>
  </si>
  <si>
    <t xml:space="preserve">Manama</t>
  </si>
  <si>
    <t xml:space="preserve">979-835036910-6</t>
  </si>
  <si>
    <t xml:space="preserve">Int. Conf. Decis. Aid Sci. Appl., DASA</t>
  </si>
  <si>
    <t xml:space="preserve">2-s2.0-85217260945</t>
  </si>
  <si>
    <t xml:space="preserve">Verma G.</t>
  </si>
  <si>
    <t xml:space="preserve">Verma, Goldy (59378284400)</t>
  </si>
  <si>
    <t xml:space="preserve">Automated Malaria Detection using EfficientNetB3 in Deep Learning Frameworks</t>
  </si>
  <si>
    <t xml:space="preserve">Particularly in tropical and subtropical areas, malaria is a major worldwide health concern that causes great mortality. Good disease control and prevention depend on accurate and prompt diagnosis. Historically, the diagnosis of malaria has depended on hand microscopic inspection of blood smears, a procedure prone to human error as well as time-consuming and labour-intensive nature. By means of a refined EfficientNetB3 model, this work intends to solve these difficulties by building an automated malaria diagnosis system. Renowned for their balanced scaling of depth, width, and resolution, the EfficientNetB3 architecture was refined to classify blood smear images into parasitized and uninfected groups. With an F1-score of 0.97 for both classes, the model showed great general accuracy of 97%, therefore demonstrating its dependability and resilience. Particularly in resource-limited environments, these findings show the promise of the customized EfficientNetB3 model to greatly increase malaria diagnosis, hence improving patient outcomes and supporting more efficient disease management. © 2024 IEEE.</t>
  </si>
  <si>
    <t xml:space="preserve">8th International Conference on I-SMAC (IoT in Social, Mobile, Analytics and Cloud), I-SMAC 2024 - Proceedings</t>
  </si>
  <si>
    <t xml:space="preserve">10.1109/I-SMAC61858.2024.10714608</t>
  </si>
  <si>
    <t xml:space="preserve">https://www.scopus.com/inward/record.uri?eid=2-s2.0-85208574132&amp;doi=10.1109%2fI-SMAC61858.2024.10714608&amp;partnerID=40&amp;md5=380ecbaf35833ddc74f27376f93016ca</t>
  </si>
  <si>
    <t xml:space="preserve">Chitkara University Institute of Engineering and Technology, Chitkara University, Punjab, India</t>
  </si>
  <si>
    <t xml:space="preserve">Verma G., Chitkara University Institute of Engineering and Technology, Chitkara University, Punjab, India</t>
  </si>
  <si>
    <t xml:space="preserve">Artificial Intelligence; Deep Learning; Fine-Tuned EfficientNetB3 Model; Malaria Cells Detection; Model Training</t>
  </si>
  <si>
    <t xml:space="preserve">Adversarial machine learning; Deep learning; Malaria control; Blood smears; Cell detection; Deep learning; Fine-tuned efficientnetb3 model; Health concerns; Learning frameworks; Malaria cell detection; Malaria diagnosis; Model training; Subtropical area; Diseases</t>
  </si>
  <si>
    <t xml:space="preserve">Mujahid M., Rustam F., Shafique R., Montero E.C., Alvarado E.S., De La Torre Diez I., Ashraf I., Efficient deep learning-based approach for malaria detection using red blood cell smears, Scientific Reports, 14, 1, (2024); Kundu S., Talukdar R., Roy N., Das S., Basu S., Mukhopadhyay S., Majority-LCL: Towards Malaria Cell Detection using Label Contrastive Learning and Majority voting Ensembling, bioRxiv, pp. 2024-2107, (2024); Fan B.E., Yong B.S.J., Ruiqi L.I., Wang S.S.Y., Natalie A.M.Y., Chia M.F., Chen D.T.Y., Neo Y.S., Occhipinti B., Wong W.Y.T., Ling R.R., From microscope to micropixels: A rapid review of artificial intelligence for the peripheral blood film, Blood Reviews, (2023); Alok N., Krishan K., Chauhan P., Deep learning-based image classifier for malaria cell detection, Machine learning for healthcare applications, pp. 187-197, (2021); Shal A., Gupta R., A comparative study on malaria cell detection using computer vision, 2022 12th International Conference on Cloud Computing, Data Science &amp; Engineering (Confluence), pp. 548-552, (2022); Sawant S., Singh A., Malaria Cell Detection Using Deep Neural Networks, (2024); Qin B., Wu Y., Wang Z., Zheng H., Malaria cell detection using evolutionary convolutional deep networks, 2019 Computing, Communications and IoT Applications (ComComAp), pp. 333-336, (2019); Singh M., Khurana R., Jain P., Verma A., Malaria cell detection using machine learning, International Journal for Research in Applied Science and Engineering Technology, 10, 5, pp. 2336-2343, (2022); Xiong Z., Wu J., Multi-Level Attention Split Network: A Novel Malaria Cell Detection Algorithm, Information, 15, 3, (2024); Wattana M., Boonsri T., Improvement of complete malaria cell image segmentation, 2017 Twelfth International Conference on Digital Information Management (ICDIM), pp. 319-323, (2017); Kumar A., Nelson L., Rasher S., Surendran R., MosquitoNet Based Deep Learning Approach for Malaria Parasite Detection Using Cell Images, 2024 International Conference on Automation and Computation (AUTOCOM), pp. 164-169, (2024); Saini A., Guleria K., Sharma S., Deep learningbased model for malaria disease detection using convolution neural network, 2023 International Conference on Network, Multimedia and Information Technology (NMITCON), pp. 1-6, (2023); Perera R., Caldera A., Wickremasinghe A.R., Reactive Case Detection (RACD) and foci investigation strategies in malaria control and elimination: A review, Malaria Journal, 19, pp. 1-11, (2020); Saiprasath G., Babu N., ArunPriyan J., Vinayakumar R., Sowmya V., Soman K., Performance comparison of machine learning algorithms for malaria detection using microscopic images, Int J Curr Res Acad Rev, (2019); Abdurahman F., Fante K.A., Aliy M., Malaria parasite detection in thick blood smear microscopic images using modified YOLOV3 and YOLOV4 models, BMC bioinformatics, 22, pp. 1-17, (2021)</t>
  </si>
  <si>
    <t xml:space="preserve">G. Verma; Chitkara University Institute of Engineering and Technology, Chitkara University, Punjab, India; email: goldy.verma@chitkara.edu.in</t>
  </si>
  <si>
    <t xml:space="preserve">8th International Conference on I-SMAC (IoT in Social, Mobile, Analytics and Cloud), I-SMAC 2024</t>
  </si>
  <si>
    <t xml:space="preserve">3 October 2024 through 5 October 2024</t>
  </si>
  <si>
    <t xml:space="preserve">Kirtipur</t>
  </si>
  <si>
    <t xml:space="preserve">979-835037642-5</t>
  </si>
  <si>
    <t xml:space="preserve">Int. Conf. I-SMAC (IoT Soc., Mob., Anal. Cloud), I-SMAC - Proc.</t>
  </si>
  <si>
    <t xml:space="preserve">2-s2.0-85208574132</t>
  </si>
  <si>
    <t xml:space="preserve">Mohana Priya N.; Bennila Thangammal C.; Leelavathi U.; Pinkey Roshan K.P.V.; Vennila Priya B.; Radley S.</t>
  </si>
  <si>
    <t xml:space="preserve">Mohana Priya, N. (58192859800); Bennila Thangammal, C. (56175435100); Leelavathi, U. (58852317900); Pinkey Roshan, K.P.V. (59210718200); Vennila Priya, B. (59209657300); Radley, Sheryl (56431154800)</t>
  </si>
  <si>
    <t xml:space="preserve">58192859800; 56175435100; 58852317900; 59210718200; 59209657300; 56431154800</t>
  </si>
  <si>
    <t xml:space="preserve">Automated Malaria Parasite Identification and Classification Using Deep Learning Techniques</t>
  </si>
  <si>
    <t xml:space="preserve">The parasites which transmit malaria are part of the Plasmodium genus that transmit the disease via the bite of a mosquito. The traditional method of diagnosing this illness involves examining the patient's blood cells under a microscope, which show discoloration Examining a blood sample under a microscope allows for the identification of the quantity of pathogenic red blood cells. A qualified technician looks attentively at the slide, identifying elements that are obviously prominent along with those which are subtle. It requires a lot of time and diligence to recognize and measure Plasmodium parasites in blood cells under a microscope. We have developed a novel image processing technique able to recognize and count those parasites on blood specimen slides to solve this problem Additionally, they developed an algorithm utilising machine learning that has the capability to recognise, detect, and categorise various types of infected cells based on their distinct characteristics. Using a standard malaria dataset containing numerous images of normal and contaminated blood cells, we assessed the algorithm's performance .A diverse range of quantitative specifications, including multi-class comparisons, indicated excellent outcomes from both the proposed and subsequently optimized models. Despite the use of authentic patient-level data, that have mismatched class sizes, this was still accomplished. Therefore, they have created a neural network that efficiently and accurately filters data with the lowest number of mistakes possible. © 2024 IEEE.</t>
  </si>
  <si>
    <t xml:space="preserve">diagosis</t>
  </si>
  <si>
    <t xml:space="preserve">Proceedings of 2024 International Conference on Science, Technology, Engineering and Management, ICSTEM 2024</t>
  </si>
  <si>
    <t xml:space="preserve">10.1109/ICSTEM61137.2024.10560969</t>
  </si>
  <si>
    <t xml:space="preserve">https://www.scopus.com/inward/record.uri?eid=2-s2.0-85197853721&amp;doi=10.1109%2fICSTEM61137.2024.10560969&amp;partnerID=40&amp;md5=16e2684ea3a02107047f6fc351d6f6aa</t>
  </si>
  <si>
    <t xml:space="preserve">Meenakshi College of Engineering, Chennai, India; R.M.D. Engineering College, Tiruvallur, India; Gojan school of business and Technology, Redhills, Chennai, India</t>
  </si>
  <si>
    <t xml:space="preserve">Mohana Priya N., Meenakshi College of Engineering, Chennai, India; Bennila Thangammal C., R.M.D. Engineering College, Tiruvallur, India; Leelavathi U., Gojan school of business and Technology, Redhills, Chennai, India; Pinkey Roshan K.P.V., Meenakshi College of Engineering, Chennai, India; Vennila Priya B., Meenakshi College of Engineering, Chennai, India; Radley S., Meenakshi College of Engineering, Chennai, India</t>
  </si>
  <si>
    <t xml:space="preserve">Accuracy; Automation; Blood cells; CNN; Dataset; Diagnosis; Geneus Plasmodium; Image Classification; Image processing; Infected cells; Machine learning; Malaria; Microscope; Mosquito bite; Neural network; Parasites; Supervised Learning</t>
  </si>
  <si>
    <t xml:space="preserve">Blood; Cells; Classification (of information); Computer aided diagnosis; Cytology; Diseases; Image classification; Learning systems; Microscopes; Accuracy; Blood cells; Dataset; Geneu plasmodium; Images classification; Images processing; Infected cells; Machine-learning; Malaria; Mosquito bite; Neural-networks; Parasite-; Deep learning</t>
  </si>
  <si>
    <t xml:space="preserve">Norouzi A., Rahim M.S.M., Altameem A., Saba T., Rad A.E., Rehman A., Uddin M., Medical image segmentation methods, algorithms, and applications, IETE Technical Review, 31, 3, pp. 199-213, (2014); Kher H.R., Thakar V.K., Scale invariant feature transform based image matching and registration, 2014 Fifth International Conference on Signal and Image Processing, pp. 50-55, (2014); Li Y., Su G., Simplified histograms of oriented gradient features extraction algorithm for the hardware implementation, 2015 International Conference on Computers, Communications, and Systems (ICCCS), pp. 192-195, (2015); Bashir A., Mustafa Z.A., Abdelhameid I., Ibrahem R., Detection of malaria parasites using digital image processing, 2017 International Conference on Communication, Control, Computing and Electronics Engineering (ICCCCEE), pp. 1-5, (2017); Chen J., Li F., Fu Y., Liu Q., Huang J., Li K., A study of image segmentation algorithms combined with different image preprocessing methods for thyroid ultrasound images, 2017 IEEE International Conference on Imaging Systems and Techniques (IST), pp. 1-5, (2017); Mehta H., Nagtilak S., Rai S., Joglekar Y., Thombre H., Mirani H., Detection of malaria parasite using deep learning, EasyChair, 20, pp. 2516-12314, (2020); Alnussairi M.H.D., Ibrahim A.A., Malaria parasite detection using deep learning algorithms based on (CNNs) technique, Computers and Electrical Engineering, 103, (2022); Nugroho H.A., Nurfauzi R., Deep learning approach for malaria parasite detection in thick blood smear images, 2021 17th International Conference on Quality in Research (QIR): International Symposium on Electrical and Computer Engineering, pp. 114-118, (2021); Sinha S., Srivastava U., Dhiman V., Akhilan P.S., Mishra S., Performance assessment of Deep Learning procedures on Malaria dataset, Journal of Robotics and Control (JRC), 2, 1, pp. 12-18, (2021); Gourisaria M.K., Das S., Sharma R., Rautaray S.S., Pandey M., A deep learning model for malaria disease detection and analysis using deep convolutional neural networks, International Journal of Emerging Technologies, 11, 2, pp. 699-704, (2020); Mbunge E., Muchemwa B., Batani J., Sensors and healthcare 5.0: transformative shift in virtual care through emerging digital health technologies, Global Health Journal, 5, 4, pp. 169-177, (2021); Paul S., Batra S., A review on computational methods based on machine learning and deep learning techniques for malaria detection, 2021 9th International Conference on Reliability, Infocom Technologies and Optimization (Trends and Future Directions)(ICRITO), pp. 1-5, (2021); Ikerionwu C., Ugwuishiwu C., Okpala I., James I., Okoronkwo M., Nnadi C., Ike A., Application of Machine and Deep Learning Algorithms in Optical Microscopic Detection of Plasmodium Parasites: A Malaria Diagnostic Tool for the Future, Photodiagnosis and Photodynamic Therapy, (2022); Pattanaik P.A., Mittal M., Khan M.Z., Panda S.N., Malaria detection using deep residual networks with mobile microscopy, Journal of King Saud University-Computer and Information Sciences, 34, 5, pp. 1700-1705, (2022); Silka W., Wieczorek M., Silka J., Wozniak M., Malaria Detection Using Advanced Deep Learning Architecture, Sensors, 23, 3, (2023); Mbunge E., Batani J., Application of deep learning and machine learning models to improve healthcare in sub-Saharan Africa: Emerging opportunities, trends and implications, Telematics and Informatics Reports, (2023)</t>
  </si>
  <si>
    <t xml:space="preserve">2024 International Conference on Science, Technology, Engineering and Management, ICSTEM 2024</t>
  </si>
  <si>
    <t xml:space="preserve">26 April 2024 through 27 April 2024</t>
  </si>
  <si>
    <t xml:space="preserve">Coimbatore</t>
  </si>
  <si>
    <t xml:space="preserve">979-835037691-3</t>
  </si>
  <si>
    <t xml:space="preserve">Proc. Int. Conf. Sci., Technol., Eng. Manag., ICSTEM</t>
  </si>
  <si>
    <t xml:space="preserve">2-s2.0-85197853721</t>
  </si>
  <si>
    <t xml:space="preserve">Vickram A.S.; Sowndharya B.B.</t>
  </si>
  <si>
    <t xml:space="preserve">Vickram, A.S. (55257689800); Sowndharya, B. Bhavani (58897560900)</t>
  </si>
  <si>
    <t xml:space="preserve">55257689800; 58897560900</t>
  </si>
  <si>
    <t xml:space="preserve">Automatic Normal/Infected Blood-Cell Analysis for Malaria Detection with Lightweight Deep-learning</t>
  </si>
  <si>
    <t xml:space="preserve">Malaria is a vector-borne disease and timely recognition and treatment is necessary to cure the patient. Untreated malaria will lead to various health illnesses, including death. Clinical level analysis of the malaria is commonly performed using the blood-teat and this research works proposed a computerized scheme for blood-cell analysis. The proposed research work consists the following phases; labeled image collection and resizing, feature extraction using a chosen Lightweight Deep-learning Model (LDM), performance evaluation using 3-fold cross validation and confirmation. This work also proposed Ensemble of Deep-features (EOD) based classification and achieved better detection accuracy. The merit of proposed tool is verified using; Conventional DeepFeatures (CDF) and the EOD using the SoftMax classifier and the achieved experimental results are compared and the merit of the developed scheme is confirmed. The outcome of this study confirms that the proposed approach helps to get an accuracy of 100% when the EOD based classification is executed. In the future, it can be considered to detect the blood cell infection from the microscopic images collected from hospitals. © 2024 IEEE.</t>
  </si>
  <si>
    <t xml:space="preserve">2nd International Conference on Self Sustainable Artificial Intelligence Systems, ICSSAS 2024 - Proceedings</t>
  </si>
  <si>
    <t xml:space="preserve">10.1109/ICSSAS64001.2024.10760361</t>
  </si>
  <si>
    <t xml:space="preserve">https://www.scopus.com/inward/record.uri?eid=2-s2.0-85213356648&amp;doi=10.1109%2fICSSAS64001.2024.10760361&amp;partnerID=40&amp;md5=c228f38c566d9798792ce546a5e550a9</t>
  </si>
  <si>
    <t xml:space="preserve">Saveetha Institute of Medical And Technical Sciences (SIMATS), Saveetha School of Engineering, Department of Biosciences, TN, Chennai, 602105, India</t>
  </si>
  <si>
    <t xml:space="preserve">Vickram A.S., Saveetha Institute of Medical And Technical Sciences (SIMATS), Saveetha School of Engineering, Department of Biosciences, TN, Chennai, 602105, India; Sowndharya B.B., Saveetha Institute of Medical And Technical Sciences (SIMATS), Saveetha School of Engineering, Department of Biosciences, TN, Chennai, 602105, India</t>
  </si>
  <si>
    <t xml:space="preserve">Blood cell analysis; Deeplearning; Ensemble of deep-features; Healthcare; Malaria</t>
  </si>
  <si>
    <t xml:space="preserve">Deep learning; Malaria control; Blood cell analyze; Blood cells; Cell analysis; Deeplearning; Ensemble of deep-feature; Feature-based classification; Healthcare; Labeled images; Malaria; Vector-borne disease; Diseases</t>
  </si>
  <si>
    <t xml:space="preserve">Mohan, Et al., OralNet: Fused optimal deep features framework for oral squamous cell carcinoma detection, Biomolecules, 13, 7, (2023); Mohan, Et al., Comparison of Convolutional Neural Network for Classifying Lung Diseases from Chest CT Images, International Journal of Pattern Recognition and Artificial Intelligence, 36, 16, (2022); Kadry, Et al., Serially Fused Dual-Deep-Features Based Chest X-Ray Classification Scheme to Detect Tuberculosis, Metaheuristics and Optimization in Computer and Electrical Engineering: Volume 2: Hybrid and Improved Algorithms, pp. 457-472, (2023); Poostchi M., Silamut K., Maude R.J., Jaeger S., Thoma G., Image analysis and machine learning for detecting malaria, Translational Research, 194, pp. 36-55, (2018); Manikandan S., Mathivanan A., Bora B., Hemaladkshmi P., Abhisubesh V., Poopathi S., A review on vector borne disease transmission: Current strategies of mosquito vector control, Indian Journal of Entomology, pp. 503-513, (2023); Sinden R.E., Gilles H.M., The malaria parasites, Essential Malariology, pp. 8-34, (2017); Das D.K., Mukherjee R., Chakraborty C., Computational microscopic imaging for malaria parasite detection: A systematic review, Journal of microscopy, 260, 1, pp. 1-19, (2015); Zakariya A.M., Adak M.F., A Review on Computational Methods Based on Deep Learning and Transfer Learning Techniques for Malaria Detection, 2024 10th International Conference on Automation, Robotics and Applications (ICARA), pp. 443-447, (2024); Sukumarran D., Hasikin K., Khairuddin A.S.M., Ngui R., Sulaiman W.Y.W., Vythilingam I., Divis P.C., Machine and deep learning methods in identifying malaria through microscopic blood smear: A systematic review, Engineering Applications of Artificial Intelligence, 133, (2024); Hoyos K., Hoyos W., Supporting Malaria Diagnosis Using Deep Learning and Data Augmentation, Diagnostics, 14, 7, (2024); Alraba'Nah Y., Toghuj W., A deep learning based architecture for malaria parasite detection, Bulletin of Electrical Engineering and Informatics, 13, 1, pp. 292-299, (2024); Almakhzoumi A., Bonny T., Al-Shabi M., Malaria detection using machine learning, Optics, Photonics, and Digital Technologies for Imaging Applications VIII, pp. 259-268, (2024); Rajinikanth, Et al., COVID-19 detection in lung CT slices using Brownian-butterfly-algorithm optimized lightweight deep features, Heliyon, 10, 5, (2024); Kundu R., Das R., Geem Z.W., Han G.T., Sarkar R., Pneumonia detection in chest X-ray images using an ensemble of deep learning models, PloS one, 16, 9, (2021)</t>
  </si>
  <si>
    <t xml:space="preserve">A.S. Vickram; Saveetha Institute of Medical And Technical Sciences (SIMATS), Saveetha School of Engineering, Department of Biosciences, Chennai, TN, 602105, India; email: vickramas.sse@saveetha.com</t>
  </si>
  <si>
    <t xml:space="preserve">2nd International Conference on Self Sustainable Artificial Intelligence Systems, ICSSAS 2024</t>
  </si>
  <si>
    <t xml:space="preserve">23 October 2024 through 25 October 2024</t>
  </si>
  <si>
    <t xml:space="preserve">Erode</t>
  </si>
  <si>
    <t xml:space="preserve">979-835036841-3</t>
  </si>
  <si>
    <t xml:space="preserve">Int. Conf. Self Sustain. Artif. Intell. Syst., ICSSAS - Proc.</t>
  </si>
  <si>
    <t xml:space="preserve">2-s2.0-85213356648</t>
  </si>
  <si>
    <t xml:space="preserve">Akpo E.M.; Mukamakuza C.P.; Tuyishimire E.</t>
  </si>
  <si>
    <t xml:space="preserve">Akpo, Eugenia M. (59305469300); Mukamakuza, Carine P. (56586088700); Tuyishimire, Emmanuel (57193347721)</t>
  </si>
  <si>
    <t xml:space="preserve">59305469300; 56586088700; 57193347721</t>
  </si>
  <si>
    <t xml:space="preserve">Binary Segmentation of Malaria Parasites Using U-Net Segmentation Approach: A Case of Rwanda</t>
  </si>
  <si>
    <t xml:space="preserve">Malaria is a significant health issue in Rwanda. Its accurate identification is essential for effective treatment. Traditional methods, such as microscopy, often face limitations in these contexts. This paper investigates how advanced machine learning techniques can address diagnostic challenges commonly encountered in resource-limited settings like Rwanda. A powerful deep learning framework known as U-Net was utilized in this study to identify different types of malaria. This method demonstrated the ability to accurately identify the disease at a highly detailed level, yielding promising results. The findings from this study could contribute to the development of computer-aided diagnostic tools specifically designed for regions with limited resources. These tools could assist healthcare professionals in decision-making processes and enhance patient outcomes. © The Author(s) 2024.</t>
  </si>
  <si>
    <t xml:space="preserve">diagnostic</t>
  </si>
  <si>
    <t xml:space="preserve">1011 LNNS</t>
  </si>
  <si>
    <t xml:space="preserve">10.1007/978-981-97-4581-4_12</t>
  </si>
  <si>
    <t xml:space="preserve">https://www.scopus.com/inward/record.uri?eid=2-s2.0-85202634935&amp;doi=10.1007%2f978-981-97-4581-4_12&amp;partnerID=40&amp;md5=f547918f1276ce162542c2c33ad382f5</t>
  </si>
  <si>
    <t xml:space="preserve">Carnegie Mellon University Africa, Kigali, Rwanda; College of Science and Technology, University of Rwanda, Kigali, Rwanda</t>
  </si>
  <si>
    <t xml:space="preserve">Akpo E.M., Carnegie Mellon University Africa, Kigali, Rwanda; Mukamakuza C.P., Carnegie Mellon University Africa, Kigali, Rwanda; Tuyishimire E., College of Science and Technology, University of Rwanda, Kigali, Rwanda</t>
  </si>
  <si>
    <t xml:space="preserve">Malaria diagnosis; Malaria parasite segmentation; U-Net architecture</t>
  </si>
  <si>
    <t xml:space="preserve">Contrastive Learning; Deep learning; Diagnosis; Federated learning; Malaria control; Binary segmentation; Computer aided diagnostics; Health issues; Learning frameworks; Machine learning techniques; Malaria diagnosis; Malaria parasite; Malaria parasite segmentation; NET architecture; U-net architecture; Diseases</t>
  </si>
  <si>
    <t xml:space="preserve">Shewajo F.A., Fante K.A., Tile-based microscopic image processing for malaria screening using a deep learning approach, BMC Med Imaging, 23, 1, (2023); Iqbal J., Hira P., Al-Ali F., Khalid N., Sher A., Modified Giemsa staining for rapid diagnosis of Malaria infection, Med Principles Pract, 12, 3, pp. 156-159, (2003); Kigozi R.N., Bwanika J., Goodwin E., Thomas P., Bukoma P., Nabyonga P., Isabirye F., Oboth P., Kyozira C., Niang M., Belay K., Sebikaari G., Tibenderana J.K., Gudoi S.S., Determinants of malaria testing at health facilities: The case of Uganda, Malaria J, 20, 1, (2021); Mukamakuza C.P., Tuyishimire E., Mbituyumuremyi A., Brown T.X., Iradukunda D., Phuti O., Happiness RM, (2022); Liu X., Song L., Liu S., Zhang Y., A review of deep-learning-based medical image segmentation methods, Sustainability, 13, 3, (2021); Nautre A., Nugroho H.A., Frannita E.L., Nurfauzi R., Detection of Malaria Parasites in thin red blood smear using a segmentation approach with U-Net, 2020 3Rd International Conference on Biomedical Engineering (IBIOMED), pp. 55-59, (2020); Malaria Parasite Segmentation Using U-Net: Comparative Study of Loss Functions; Prechelt L., Early stopping—but when?, Neural Networks: Tricks of the Trade: Second Edition, Lecture Notes in Computer Science. Springer, pp. 53-67, (2012); Su Z., Li W., Ma Z., Gao R., An improved U-Net method for the semantic segmentation of remote sensing images, Appl Intell, 52, 3, pp. 3276-3288, (2022); Shorten C., Khoshgoftaar T.M., A survey on image data augmentation for Deep Learning, J Big Data, 6, 1, (2019); Malladi S.R.S.P., Ram S., Rodriguez J.J., A ground-truth fusion method for image segmentation evaluation, 2018 IEEE Southwest Symposium on Image Analysis and Interpretation (SSIAI). IEEE, Las Vegas, NV, pp. 137-140, (2018); Wang Q., Ma Y., Zhao K., Tian Y., A comprehensive survey of loss functions in machine learning, Annals Data Sci, 9, 2, pp. 187-212, (2022)</t>
  </si>
  <si>
    <t xml:space="preserve">E.M. Akpo; Carnegie Mellon University Africa, Kigali, Rwanda; email: eakpo@andrew.cmu.edu</t>
  </si>
  <si>
    <t xml:space="preserve">Yang X.-S.; Sherratt S.; Dey N.; Joshi A.</t>
  </si>
  <si>
    <t xml:space="preserve">9th International Congress on Information and Communication Technology, ICICT 2024</t>
  </si>
  <si>
    <t xml:space="preserve">19 February 2024 through 22 February 2024</t>
  </si>
  <si>
    <t xml:space="preserve">London</t>
  </si>
  <si>
    <t xml:space="preserve">978-981974580-7</t>
  </si>
  <si>
    <t xml:space="preserve">2-s2.0-85202634935</t>
  </si>
  <si>
    <t xml:space="preserve">Akkasaligar P.T.; Pattar S.; Gupta S.; Barker D.; Gunayyanavarmath B.</t>
  </si>
  <si>
    <t xml:space="preserve">Akkasaligar, Prema T. (23983986500); Pattar, Santosh (57201587205); Gupta, Sakshi (59472169900); Barker, Divya (59374697500); Gunayyanavarmath, Bhagyashree (59472682400)</t>
  </si>
  <si>
    <t xml:space="preserve">23983986500; 57201587205; 59472169900; 59374697500; 59472682400</t>
  </si>
  <si>
    <t xml:space="preserve">Classification of Blood Smear Images using CNN and Pretrained VGG16: Computer Aided Diagnosis of Malaria Disease</t>
  </si>
  <si>
    <t xml:space="preserve">Malaria is a life-threatening disease caused by the plasmodium parasite present in female anopheles mosquitoes. It remains a significant public health concern in many parts of the world, mostly impacting vulnerable populations like children under five year of age, pregnant women, and HIV/AIDS patients. An early and accurate diagnosis is crucial for its effective treatment. Instead of relying on traditional hand-crafted features, in this work of computer aided diagnosis, we are using the image recognition capabilities of Convolutional Neural Networks (CNNs) and Visual Geometry Groups (VGG16). By feeding them the preprocessed image the model will automatically extract key features like cell shape, texture (presence of parasite pigments), and color intensity differences. These features invisible to the human eye, become crucial for the model to distinguish infected and uninfected cells. We have trained a CNN and VGG16 model on the labeled data, allowing it to adjust its internal parameters (weights and biases). The goal is to achieve high accuracy in differentiating infected cells and minimizing the misclassifications. The experiments are conducted using the National Institute of Health (NIH) malaria dataset. CNN model achieved 97.36% accuracy for the correct classification of cells, compared to 90.5% for the VGG16 model. These results helps to empower medical professionals with automated analysis of blood smears, leading to faster, more accurate malaria diagnoses and improved patient treatment outcomes. © 2024 IEEE.</t>
  </si>
  <si>
    <t xml:space="preserve">Proceedings - 2024 1st International Conference on Technological Innovations and Advance Computing, TIACOMP 2024</t>
  </si>
  <si>
    <t xml:space="preserve">10.1109/TIACOMP64125.2024.00065</t>
  </si>
  <si>
    <t xml:space="preserve">https://www.scopus.com/inward/record.uri?eid=2-s2.0-85212083145&amp;doi=10.1109%2fTIACOMP64125.2024.00065&amp;partnerID=40&amp;md5=5322ec7bd5584c36ffa3c1ba891a6a1c</t>
  </si>
  <si>
    <t xml:space="preserve">Kle Technical University's Dr. Msscet, Department of Computer Science and Engineering, Karnataka, Belagavi, India</t>
  </si>
  <si>
    <t xml:space="preserve">Akkasaligar P.T., Kle Technical University's Dr. Msscet, Department of Computer Science and Engineering, Karnataka, Belagavi, India; Pattar S., Kle Technical University's Dr. Msscet, Department of Computer Science and Engineering, Karnataka, Belagavi, India; Gupta S., Kle Technical University's Dr. Msscet, Department of Computer Science and Engineering, Karnataka, Belagavi, India; Barker D., Kle Technical University's Dr. Msscet, Department of Computer Science and Engineering, Karnataka, Belagavi, India; Gunayyanavarmath B., Kle Technical University's Dr. Msscet, Department of Computer Science and Engineering, Karnataka, Belagavi, India</t>
  </si>
  <si>
    <t xml:space="preserve">Blood smear images; convolutional neural networks; deep learning; malaria computer-aided diagnosis</t>
  </si>
  <si>
    <t xml:space="preserve">Deep neural networks; Diagnosis; Diseases; Malaria control; Patient treatment; Anopheles mosquitoes; Blood smear image; Blood smears; Computer-aided; Convolutional neural network; Deep learning; Health concerns; Malaria computer-aided diagnose; Plasmodium parasites; Pregnant woman; Convolutional neural networks</t>
  </si>
  <si>
    <t xml:space="preserve">Akkasaligar P.T., Koolagudi S.G., Biradar S., Hotagi P., Badiger S., Highlighting Nerves in Images for Ultrasound Guided Regional Anesthesia, 2020 IEEE Bangalore Humanitarian Technology Conference (B-HTC), pp. 1-6, (2020); Bhandarkar A., Naik P., Vakkund K., Junjappanavar S., Bakare S., Pattar S., Deep Learning Based Computer Aided Diagnosis of Alzheimer's Disease: A Snapshot of Last 5 Years, Gaps, and Future Directions, Artificial Intelligence Review, 57, 2, pp. 1-62, (2024); Silka W., Wieczorek M., Silka J., Wozniak M., Malaria Detection using Advanced Deep Learning Architecture, Sensors, 23, 3, pp. 1501-1522, (2023); Shekar G., Revathy S., Goud E.K., Malaria Detection using Deep Learning, Sensors, 23, pp. 746-750, (2020); Mariki M., Mkoba E., Mduma N., Combining Clinical Symptoms and Patient Features for Malaria Diagnosis: Machine Learning Approach, Applied Artificial Intelligence, 36, pp. 2006-2031, (2022); Jameela T., Athota K., Singh N., Gunjan V.K., Kahali S., Deep Learning and Transfer Learning for Malaria Detection, Computational Intelligence and Neuroscience, pp. 1-14, (2022); Kaur G., Sharma N., Malhotra S., Devliyal S., Singh S., Malaria Disease Detection using Convolutional Neural Network Architecture, pp. 1-6, (2024); Jones C.B., Murugamani C., Malaria Parasite Detection on Microscopic Blood Smear Images with Integrated Deep Learning Algorithms, Int. Arab J. Inf. Technol., 20, 2, pp. 170-179, (2023); Biradar S., Akkasaligar P.T., Biradar S., A Parallel DNA Crypto Algorithm for Medical Image, Journal of The Institution of Engineers (India): Series B, 105, 2, pp. 183-190, (2024); Hemachandran K., Alasiry A., Marzougui M., Ganie S.M., Pise A.A., Alouane M.T.-H., Chola C., Performance Analysis of Deep Learning Algorithms in Diagnosis of Malaria Disease, Diagnostics, 13, 3, (2023); Kamble R.A., Srikanth E., Sajjan S.S., Shetty T., Patil S., Malaria Disease Detection using Deep Learning, International Research Journal of Modernization in Engineering Technology and Science, 4, pp. 1103-1108, (2022); Adamu Y.A., Singh J., Malaria Prediction Model using Advanced Ensemble Machine Learning Techniques, Journal of medical pharmaceutical and allied sciences, 10, 6, pp. 3794-3801, (2021); Chakradeo K., Delves M., Titarenko S., Malaria Parasite Detection using Deep Learning Methods, International Journal of Computer and Information Engineering, 15, 2, pp. 175-182, (2021); Kuzhaloli S., Thenappan S., Nivedita V., Mageshbabu M., Navaneethan S., Identification of Malaria Disease Using Machine Learning Models, pp. 1-4, (2023); Hoyos K., Hoyos W., Supporting Malaria Diagnosis Using Deep Learning and Data Augmentation, Diagnostics, 14, 7, pp. 1-19, (2024); NIH Malaria Dataset, (2024)</t>
  </si>
  <si>
    <t xml:space="preserve">P.T. Akkasaligar; Kle Technical University's Dr. Msscet, Department of Computer Science and Engineering, Belagavi, Karnataka, India; email: premaakkasaligar@klescet.ac.in</t>
  </si>
  <si>
    <t xml:space="preserve">Mittal H.K.; Singla S.</t>
  </si>
  <si>
    <t xml:space="preserve">Novel Research Foundation</t>
  </si>
  <si>
    <t xml:space="preserve">1st International Conference on Technological Innovations and Advance Computing, TIACOMP 2024</t>
  </si>
  <si>
    <t xml:space="preserve">29 June 2024 through 30 June 2024</t>
  </si>
  <si>
    <t xml:space="preserve">Bali</t>
  </si>
  <si>
    <t xml:space="preserve">979-835039211-1</t>
  </si>
  <si>
    <t xml:space="preserve">Proc. - Int. Conf. Technological Innovations Advance Computing, TIACOMP</t>
  </si>
  <si>
    <t xml:space="preserve">2-s2.0-85212083145</t>
  </si>
  <si>
    <t xml:space="preserve">Behera N.; Das S.; Singh A.P.; Swain A.K.; Rout M.</t>
  </si>
  <si>
    <t xml:space="preserve">Behera, Naliniprava (57220450511); Das, Suchismita (57220984670); Singh, Akhilendra Pratap (58819144100); Swain, Anil Kumar (57222629856); Rout, Minakhi (35753489700)</t>
  </si>
  <si>
    <t xml:space="preserve">57220450511; 57220984670; 58819144100; 57222629856; 35753489700</t>
  </si>
  <si>
    <t xml:space="preserve">CNN - Based Medical Image Classification Models for the Identification of Pneumonia and Malaria</t>
  </si>
  <si>
    <t xml:space="preserve">Across the globe, deep learning methodologies are rapidly transforming the medical field. Among the rapidly expanding domains, medical image categorization stands out as a crucial area for developing effective intelligent systems. Consequently, our research employs various CNN variations to establish a robust and reliable model for medical image categorization. Within this study, we utilize two distinct medical imaging datasets: one comprising malaria cell images and the other featuring chest X-ray images for pneumonia diagnosis. To enhance the model's accuracy, we fine-tune its performance by adjusting parameters such as layer count and activation functions. This approach empowers researchers to identify optimal CNN parameters for image classification and observe how model behavior evolves with changing image types. The presented models undergo validation using precision metrics, including F -score, specificity, and accuracy. Notably, in the malaria and pneumonia datasets, our model achieves accuracy rates of 96 % and 95%, respectively. © 2024 IEEE.</t>
  </si>
  <si>
    <t xml:space="preserve">Proceedings of 2nd International Conference on Advancements in Smart, Secure and Intelligent Computing, ASSIC 2024</t>
  </si>
  <si>
    <t xml:space="preserve">10.1109/ASSIC60049.2024.10507970</t>
  </si>
  <si>
    <t xml:space="preserve">https://www.scopus.com/inward/record.uri?eid=2-s2.0-85192992291&amp;doi=10.1109%2fASSIC60049.2024.10507970&amp;partnerID=40&amp;md5=949cab4e123c8c615d569cd5fb06b49b</t>
  </si>
  <si>
    <t xml:space="preserve">School of Computer Engineering, Kiit Deemed to Be University, Odisha, India; N.I.T. Meghalaya, Department of Computer Science &amp; Engineering, Shillong, India</t>
  </si>
  <si>
    <t xml:space="preserve">Behera N., School of Computer Engineering, Kiit Deemed to Be University, Odisha, India; Das S., School of Computer Engineering, Kiit Deemed to Be University, Odisha, India; Singh A.P., N.I.T. Meghalaya, Department of Computer Science &amp; Engineering, Shillong, India; Swain A.K., School of Computer Engineering, Kiit Deemed to Be University, Odisha, India; Rout M., School of Computer Engineering, Kiit Deemed to Be University, Odisha, India</t>
  </si>
  <si>
    <t xml:space="preserve">CNN (convolutional Neural network); Machine learning; Malaria; Pneumonia; resNet50</t>
  </si>
  <si>
    <t xml:space="preserve">Convolutional neural networks; Deep learning; Diagnosis; Diseases; Image classification; Imaging systems; Learning systems; Medical imaging; Classification models; Convolutional neural network; Machine-learning; Malaria; Medical image categorization; Medical image classification; Network-based; Pneumonia; Resnet50; Intelligent systems</t>
  </si>
  <si>
    <t xml:space="preserve">Abiyev R.H., Ma'Aitah M.K.S., Deep Convolutional Neural Networks for Chest Diseases Detection, Journal of Healthcare Engineering, (2018); Acharya A.K., Satapathy R., A deep learning based approach towards the automatic diagnosis of pneumonia from chest radiographs, Biomedical and Pharmacology Journal, 13, 1, pp. 449-455, (2020); Dhillon A., Verma G.K., Convolutional neural network: A review of models, methodologies and applications to object detection, Progress in Artificial Intelligence, 9, 2, pp. 85-112, (2020); Rosado L., Da Costa J.M.C., Elias D., Cardoso J.S., Automated detection of malaria parasites on thick blood smears via mobile devices, Procedia Computer Science, 90, pp. 138-144, (2016); Mohapatra S.K., Mishra S., Tripathy H.K., Energy Consumption Prediction in Electrical Appliances of Commercial Buildings Using LSTM-GRU Model, 2022 International Conference on Advancements in Smart, Secure and Intelligent Computing (ASSIC), pp. 1-5, (2022); Mishra N., Mishra S., Tripathy H.K., Rice Yield Estimation Using Deep Learning, International Conference on Innovations in Intelligent Computing and Communications, pp. 379-388, (2022); Mishra S., Mishra B.K., Tripathy H.K., A neuro-genetic model to predict hepatitis disease risk, 2015 IEEE International Conference on Computational Intelligence and Computing Research (ICCIC), pp. 1-3, (2015); Rahman T., Chowdhury M.E., Khandakar A., Islam K.R., Islam K.F., Mahbub Z.B., Kadir M.A., Kashem S., Transfer learning with deep convolutional neural network (CNN) for pneumonia detection using chest X-ray, Applied Sciences, 10, 9, (2020); Sluimer I., Schilham A., Prokop M., Van Ginneken B., Computer analysis of computed tomography scans of the lung: A survey, IEEE transactions on medical imaging, 25, 4, pp. 385-405, (2006); Kamble B., Sahu S.P., Doriya R., A review on lung and nodule segmentation techniques, Advances in Data and Information Sciences: Proceedings of ICDIS 2019, pp. 555-565, (2020); Ai T., Yang Z., Et al., Correlation of chest CT and rt-PCR testing in coronavirus disease 2019 (COVID-19) in China: A report of 1014 cases, Radiology, 2019, (2020); El Asnaoui K., Chawki Y., Using X-ray images and deep learning for automated detection of coronavirus disease, Journal of Biomolecular Structure and Dynamics, 39, 10, pp. 3615-3626, (2021); World Malaria Report 2019, (2019); Swain A.K., Swetapadma A., Route J.K., Balabantaray B.K., A Non-small Cell Lung Cancer Detection Technique Using PET/CT Images, 2023 Fifth International Conference on Electrical, Computer and Communication Technologies (ICECCT), pp. 1-4, (2023); Abhishek Tripathy H.K., Mishra S., A Succinct Analytical Study of the Usability of Encryption Methods in Healthcare Data Security, Next Generation Healthcare Informatics, pp. 105-120, (2022); Suman S., Mishra S., Tripathy H.K., A Support Vector Machine Approach for Effective Bicycle Sharing in Urban Zones, Cognitive Informatics and Soft Computing: Proceeding of CISC 2020, pp. 73-83, (2021); Biswal P., Behera S., Jaiswal R., Sarma M., Rout M., Barik R.K., Medical Image Classifications: Deep Learning Prospective, Proceedings of Third Doctoral Symposium on Computational Intelligence: DoSCI 2022, pp. 541-549, (2022); Vijayalakshmi A., Rajesh P., Deep learning approach to detect malaria from microscopic images, Multimedia Tools and Applications, 79, pp. 15297-15317, (2020); Reddy A.S.B., Juliet D.S., Transfer learning with ResNet-50 for malaria cell-image classification, 2019 International Conference on Communication and Signal Processing (ICCSP), pp. 945-949, (2019); Liang Z., Powell A., Ersoy I., Poostchi M., Silamut K., Palaniappan K., Guo P., Hossain M.A., Sameer A., Maude R.J., Huang J.X., CNN-based image analysis for malaria diagnosis, 2016 IEEE international conference on bioinformatics and biomedicine (BIBM), pp. 493-496, (2016); Nih data set; Turuk M., Sreemathy R., Kadiyala S., Kotecha S., Kulkarni V., CNN Based Deep Learning Approach for Automatic Malaria Parasite Detection, IAENG Int. J. Comput. Sci, 49, pp. 745-753, (2022); Kumar S., Priya S., Kumar A., Malaria detection using Deep Convolution Neural Network, (2023); Mohapatra S.K., Mishra S., Tripathy H.K., Energy Consumption Prediction in Electrical Appliances of Commercial Buildings Using LSTM-GRU Model, 2022 International Conference on Advancements in Smart, Secure and Intelligent Computing (ASSIC), pp. 1-5, (2022); LeCun Y., LeNet-5 convolutional neural networks, 20, 5, (2015); Ayan E., Unver H.M., Diagnosis of pneumonia from chest X-ray images using deep learning, 2019 Scientific Meeting on Electrical-Electronics &amp; Biomedical Engineering and Computer Science (EBBT), pp. 1-5, (2019); Verma S., Sinha S., Chaudhury P., Mishra S., Alkhayyat A., Crop Yield Forecasting with Precise Machine Learning, International Conference on Innovative Computing and Communications. ICICC 2023. Lecture Notes in Networks and Systems, 537, (2023); Dutta S., Choudhury S., Chakraborty A., Mishra S., Chaudhary V., Parkinson Risks Determination Using SVM Coupled Stacking, International Conference On Innovative Computing And Communication, pp. 283-291, (2023); Nandi A., Yadav S., Hobisyashi A., Ghosh A., Mishra S., Chaudhary V., An Ensemble Learning Approach for Detection of COVID-19 Using Chest X-Ray, International Conference On Innovative Computing And Communication, pp. 237-244, (2023); Rajaraman S., Antani S.K., Poostchi M., Silamut K., Hossain M.A., Maude R.J., Jaeger S., Thoma G.R., Pre-trained convolutional neural networks as feature extractors toward improved malaria parasite detection in thin blood smear images, PeerJ, 6, (2018)</t>
  </si>
  <si>
    <t xml:space="preserve">Mishra S.; Tripathy H.K.; Mohanty J.R.; Mishra S.; Gaber T.; Sahoo K.S.</t>
  </si>
  <si>
    <t xml:space="preserve">2nd International Conference on Advancements in Smart, Secure and Intelligent Computing, ASSIC 2024</t>
  </si>
  <si>
    <t xml:space="preserve">27 January 2024 through 29 January 2024</t>
  </si>
  <si>
    <t xml:space="preserve">Bhubaneswar</t>
  </si>
  <si>
    <t xml:space="preserve">979-835037018-8</t>
  </si>
  <si>
    <t xml:space="preserve">Proc. Int. Conf. Adv. Smart, Secur. Intell. Comput., ASSIC</t>
  </si>
  <si>
    <t xml:space="preserve">2-s2.0-85192992291</t>
  </si>
  <si>
    <t xml:space="preserve">Dave I.R.; de Blegiers T.; Chen C.; Shah M.</t>
  </si>
  <si>
    <t xml:space="preserve">Dave, Islum Rajenclrakumar (59540798200); de Blegiers, Tristan (58611592300); Chen, Chen (57192217138); Shah, Mubarak (7402047527)</t>
  </si>
  <si>
    <t xml:space="preserve">59540798200; 58611592300; 57192217138; 7402047527</t>
  </si>
  <si>
    <t xml:space="preserve">CODAMAL: CONTRASTIVE DOMAIN ADAPTATION FOR MALARIA DETECTION IN LOW-COST MICROSCOPES</t>
  </si>
  <si>
    <t xml:space="preserve">Malaria is a major health issue worldwide, and its diagnosis requires scalable solutions that can work effectively with low-cost microscopes (LCM). Deep learning-based methods have shown success in computer-aided diagnosis from microscopic images. However, these methods need annotated images that show cells affected by malaria parasites and their life stages. Annotating images from LCM significantly increases the burden on medical experts compared to annotating images from high-cost microscopes (HCM). For this reason, a practical solution would be trained on HCM images which should generalize well on LCM images during testing. While earlier methods adopted a multi-stage learning process, they did not offer an end-to-end approach. In this work, we present an end-to-end learning framework, named CodaMal (COntrastive Domain Adpation for MALaria). In order to bridge the gap between HCM (training) and LCM (testing), we propose a domain adaptive contrastive loss. It reduces the domain shift by promoting similarity between the representations of HCM and its corresponding LCM image, without imposing an additional annotation burden. In addition, the training objective includes object detection objectives with carefully designed augmentations, ensuring the accurate detection of malaria parasites. On the publicly available large-scale M5-dataset, our proposed method shows a significant improvement of 16% over the state-ofthe-art methods in terms of the mean average precision metric (mAP), provides 21 x speed improvement during inference and requires only half of the learnable parameters used in prior methods. Our code is publicly available: https://daveishan.github.io/codamal-webpage/. © 2024 IEEE.</t>
  </si>
  <si>
    <t xml:space="preserve">Proceedings - International Conference on Image Processing, ICIP</t>
  </si>
  <si>
    <t xml:space="preserve">IEEE Computer Society</t>
  </si>
  <si>
    <t xml:space="preserve">10.1109/ICIP51287.2024.10647834</t>
  </si>
  <si>
    <t xml:space="preserve">https://www.scopus.com/inward/record.uri?eid=2-s2.0-85216863711&amp;doi=10.1109%2fICIP51287.2024.10647834&amp;partnerID=40&amp;md5=241fb76ee67c40f3ac111ff56b3160d9</t>
  </si>
  <si>
    <t xml:space="preserve">Center for Research in Computer Vision, University of Central Florida, Orlando, United States</t>
  </si>
  <si>
    <t xml:space="preserve">Dave I.R., Center for Research in Computer Vision, University of Central Florida, Orlando, United States; de Blegiers T., Center for Research in Computer Vision, University of Central Florida, Orlando, United States; Chen C., Center for Research in Computer Vision, University of Central Florida, Orlando, United States; Shah M., Center for Research in Computer Vision, University of Central Florida, Orlando, United States</t>
  </si>
  <si>
    <t xml:space="preserve">Contrastive Domain Adaptation; End-to-End Learning; Low-Cost Computer-Aided Diagnosis</t>
  </si>
  <si>
    <t xml:space="preserve">Deep learning; Medical imaging; Computer-aided; Contrastive domain adaptation; Domain adaptation; End to end; End-to-end learning; High costs; Low-cost computer-aided diagnose; Low-costs; Malaria parasite; Microscope images; Image annotation</t>
  </si>
  <si>
    <t xml:space="preserve">Sultani W., Nawaz W., Javed S., Danish M.S., Saadia A., Ali M., Towards low-cost and efficient malaria detection, 2022 IEEE/CVF Conference on Computer Vision and Pattern Recognition (CVPR), pp. 20655-20664, (2022); Umer M., Sadiq S., Ahmad M., Ullah S., Choi G.S., Mehmood A., A novel stacked cnn for malarial parasite detection in thin blood smear images, IEEE Access, 8, (2020); Hung J., Carpenter A., Applying faster r-cnn for object detection on malaria images, Proceedings ofthe IEEE Conference on Computer Vision andPattern Recognition (CVPR) Workshops, (2017); Xu M., Wang H., Ni B., Tian Q., Zhang W., Cross-domain detection via graph-induced prototype alignment, Proceedings of the IEEE/CVF Conference on Computer Vision and Pattern Recognition, pp. 12355-12364, (2020); Saito K., Ushiku Y., Harada T., Saenko K., Strong-weak distribution alignment for adaptive object detection, Proceedings of the IEEE/CVF Conference on Computer Vision and Pattern Recognition, pp. 6956-6965, (2019); Chen Y., Li W., Sakaridis C., Dai D., Van Gool L., Domain adaptive faster r-cnn for object detection in the wild, Proceedings ofthe IEEE Conference on Computer Vision and Pattern Recognition, pp. 3339-3348, (2018); Dave I., Upla K., Computer aided diagnosis of malaria disease for thin and thick blood smear microscopic images, 2017 4th International Conference on Signal Processing and Integrated Networks (SPIN), pp. 561-565, (2017); Dave I., Image analysis for malaria parasite detection from microscopic images of thick blood smear, 2017 International Conference on Wireless Communications, SignalProcessing andNetworking (WiSPNET), pp. 1303-1307, (2017); Molina A., Alferez S., Boldu L., Acevedo A., Rodellar J., Merino A., Sequential classification system for recognition of malaria infection using peripheral blood cell images, Journal ofClinical Pathology, 9, 10, pp. 665-670, (2020); Fatima T., Farid M.S., Automatic detection of plasmodium parasites from microscopic blood images, Journal of Parasitic Diseases, 44, 1, pp. 69-78, (2020); Bbbc041, malaria dataset; Tek F.B., Dempster A.G., Kale I., Images of thin blood smears with bounding boxes around malaria parasites (malaria-655); Loddo A., Ruberto C.D., Kocher M., Prod'Hom G., MP-IDB: The Malaria Parasite Image Database for Image Processing and Analysis, (2019); Arshad Q., Ali M., Hassan S.-U., Chen C., Imran A., Rasul G., Sultani W., A dataset and benchmark for malaria life-cycle classification in thin blood smear images, Neural Computing andApplications, 34, (2022); Chen T., Kornblith S., Norouzi M., Hinton G., A simple framework for contrastive learning of visual representations, Proceedings ofthe International Conference on Machine Learning, (2020); He K., Fan H., Wu Y., Xie S., Girshick R., Momentum contrast for unsupervised visual representation learning, Proceedings of the IEEE/CVF Conference on Computer Vision and Pattern Recognition, pp. 9729-9738, (2020); Grill J.-B., Strub F., Altche F., Tallec C., Richemond P., Buchatskaya E., Doersch C., Pires B.A., Guo Z., Azar M.G., Et al., Bootstrap your own latent-a new approach to self-supervised learning, Advances in Neural Information Processing Systems, 33, pp. 21271-21284, (2020); Dave I., Gupta R., Rizve M.N., Shah M., Tclr: Temporal contrastive learning for video representation, Computer Vision and Image Understanding, (2022); Oza P., Sindagi V.A., Sharmini V.V., Patel V.M., Unsupervised domain adaptation of object detectors: A survey, IEEE Transactions on Pattern Analysis and Machine Intelligence, pp. 1-24, (2023); Jocher G., Stoken A., Borovec J., Zhang Y., Chaurasia A., Kwon Y., Verdenius S., Yolov5: State-of-the-art object detection, (2020); Redmon J., Divvala S., Girshick R., Farhadi A., You only look once: Unified, real-time object detection, Proceedings of the IEEE Conference on Computer Vision and Pattern Recognition, pp. 779-788, (2016); Lin T.-Y., Maire M., Belongie S., Hays J., Perona P., Ramanan D., Dollar P., Zitnick C.L., Microsoft coco: Common objects in context, European Conference on Computer Vision, pp. 740-755, (2014)</t>
  </si>
  <si>
    <t xml:space="preserve">Institute of Electrical and Electronics Engineers Signal Processing Society</t>
  </si>
  <si>
    <t xml:space="preserve">31st IEEE International Conference on Image Processing, ICIP 2024</t>
  </si>
  <si>
    <t xml:space="preserve">27 October 2024 through 30 October 2024</t>
  </si>
  <si>
    <t xml:space="preserve">Abu Dhabi</t>
  </si>
  <si>
    <t xml:space="preserve">979-835034939-9</t>
  </si>
  <si>
    <t xml:space="preserve">Proc. Int. Conf. Image Process. ICIP</t>
  </si>
  <si>
    <t xml:space="preserve">2-s2.0-85216863711</t>
  </si>
  <si>
    <t xml:space="preserve">Atoyebi T.O.; Olanrewaju R.F.; Blamah N.V.; Uwazie E.C.</t>
  </si>
  <si>
    <t xml:space="preserve">Atoyebi, Temitope Olufunmi (59310486600); Olanrewaju, Rashidah Funke (24463222400); Blamah, N.V. (55694403100); Uwazie, Emmanuel. C. (59310930200)</t>
  </si>
  <si>
    <t xml:space="preserve">59310486600; 24463222400; 55694403100; 59310930200</t>
  </si>
  <si>
    <t xml:space="preserve">Comparison of Multinomial Naive Bayes (MNB), Gaussian Naive Bayes (GNB) and Random Forest (RF) Algorithm in Malaria Disease Diagnosis</t>
  </si>
  <si>
    <t xml:space="preserve">Malaria, caused by Plasmodium parasites and transmitted by infected female Anopheles mosquitoes, is still a major worldwide health problem. Millions of people are affected by the disease, which causes life-threatening symptoms and can be deadly in tropical locations. Effective malaria prevention and treatment need early and precise identification. As a result, this study investigates the ability of three machine learning algorithms including Multinomial Naïve Bayes (MNB), Gaussian Naive Bayes (GNB) and Random Forest (RF), in improving performance of malaria diagnosis. The MNB, GNB and RF classifiers are trained to identify malaria cases using a diversified dataset with factors such as "pregnancies,""treated net,""water breeding,""infected mosquitoes,"and "age."The dataset consists of patients' health records from General Hospitals in Bwari Area Council and Abuja Municipal Area Council, Abuja, Nigeria. The dataset is gotten from year 2017 to 2021 and it includes both numerical and categorical variables. A 10-fold cross-validation procedure is used to evaluate the model. The experimental findings show that the Random Forest and Gaussian naïve Bayes algorithms performed well with 100% accuracy while the Multinomial Naive Bayes classifier performed better with 97% accuracy. The findings from this study can guide the selection of appropriate machine learning algorithms for real-world malaria diagnosis tasks based on their performance and also tend to addressing paradigm shift from laboratory to the applied Computing field. © 2024 IEEE.</t>
  </si>
  <si>
    <t xml:space="preserve">10.1109/SEB4SDG60871.2024.10630308</t>
  </si>
  <si>
    <t xml:space="preserve">https://www.scopus.com/inward/record.uri?eid=2-s2.0-85202963209&amp;doi=10.1109%2fSEB4SDG60871.2024.10630308&amp;partnerID=40&amp;md5=94cc8e735150330b54afd808e3fffb5e</t>
  </si>
  <si>
    <t xml:space="preserve">Nasarawa State University Keffi, Department of Computer Science, Nasarawa, Nigeria</t>
  </si>
  <si>
    <t xml:space="preserve">Atoyebi T.O., Nasarawa State University Keffi, Department of Computer Science, Nasarawa, Nigeria; Olanrewaju R.F., Nasarawa State University Keffi, Department of Computer Science, Nasarawa, Nigeria; Blamah N.V., Nasarawa State University Keffi, Department of Computer Science, Nasarawa, Nigeria; Uwazie E.C., Nasarawa State University Keffi, Department of Computer Science, Nasarawa, Nigeria</t>
  </si>
  <si>
    <t xml:space="preserve">Machine Learning; Malaria Disease; Naive Bayes; Plasmodium parasites; Random Forest</t>
  </si>
  <si>
    <t xml:space="preserve">Adversarial machine learning; Contrastive Learning; Diagnosis; Malaria control; Medical problems; Gaussians; Machine learning algorithms; Machine-learning; Malaria diagnosis; Malaria disease; Multinomial naive bayes; Naive bayes; Plasmodium parasites; Random forest algorithm; Random forests; Diseases</t>
  </si>
  <si>
    <t xml:space="preserve">Talapko J., Skrlec I., Alebic T., Jukic M., Vev A., Malaria: The past and the present, Microorganisms, 7, 6, (2019); Fornace K.M., Diaz A.V., Lines J., Drakeley C.J., Achieving global malaria eradication in changing landscapes, Malaria journal, 20, 1, pp. 1-14, (2021); Cunningham J., Jones S., Gatton M.L., Barnwell J.W., Cheng Q., Chiodini P.L., Glenn J., Incardona S., Kosack C., Luchavez J., A review of the WHO malaria rapid diagnostic test product testing programme(2008-2018): Performance, procurement and policy, Malaria journal, 18, pp. 1-15, (2019); Amambua-Ngwa A., Amenga-Etego L., Kamau E., Amato R., Ghansah A., Golassa L., Randrianarivelojosia M., Ishengoma D., Apinjoh T., Maiga-Ascofare O., Major subpopulations of Plasmodium falciparum in sub-Saharan Africa, Science, 365, 6455, pp. 813-816, (2019); WHO guidelines for malaria, (2021); Poostchi M., Silamut K., Maude R.J., Jaeger S., Thoma G., Image analysis and machine learning for detecting malaria, Translational Research, 194, pp. 36-55, (2018); Sinha S., Srivastava U., Dhiman V., Akhilan P., Mishra S., Performance assessment of Deep Learning procedures on Malaria dataset, Journal of Robotics and Control(JRC), 2, 1, pp. 12-18, (2021); Lee Y.W., Choi J.W., Shin E.-H., Machine learning model for predicting malaria using clinical information, Computers in Biology and Medicine, 129, (2021); Montshiwa T.V., Botlhoko T., Stepwise logistic regression, hierarchical logistic regression, CART and Naïve Bayes for predicting learners' numeracy test results, (2022); Yang F.-J., An implementation of naive bayes classifier, 2018 International conference on computational science and computational intelligence(CSCI), (2018)</t>
  </si>
  <si>
    <t xml:space="preserve">T.O. Atoyebi; Nasarawa State University Keffi, Department of Computer Science, Nasarawa, Nigeria; email: Temitopeatoyebi@gmail.com</t>
  </si>
  <si>
    <t xml:space="preserve">2-s2.0-85202963209</t>
  </si>
  <si>
    <t xml:space="preserve">Victoria D.R.S.; Subhishwaran T.; Velan P.</t>
  </si>
  <si>
    <t xml:space="preserve">Victoria, D. Rosy Salomi (55944539800); Subhishwaran, T. (59173789700); Velan, P. (59173640600)</t>
  </si>
  <si>
    <t xml:space="preserve">55944539800; 59173789700; 59173640600</t>
  </si>
  <si>
    <t xml:space="preserve">Comprehensive Analysis of Multiple Diseases using Machine Learning</t>
  </si>
  <si>
    <t xml:space="preserve">In the contemporary landscape of the healthcare industry, the pervasive integration of computer-based technology has resulted in the prolific accumulation of electronic health data. However, this abundance of information poses a significant challenge for medical professionals, impeding their ability to accurately analyze symptoms and promptly detect diseases. Addressing this issue, supervised Machine Learning (ML) algorithms have emerged as a promising solution, showcasing superior performance compared to traditional diagnostic methods. This literature review aims to discern patterns in disease diagnosis across various supervised ML models, with a specific focus on predicting fungal infections, diabetes, jaundice, malaria, and heart diseases. The model faces challenges in managing complex disease data, addressing class imbalances, and optimizing feature selection. Disease datasets present complexities in symptom-disease relationships, while imbalances in disease occurrences impact model accuracy. Among the myriad of algorithms explored, particular attention is directed towards the efficacy of Random Forest and Decision Trees. The proposed model aims to develop robust techniques for handling complex disease data, addressing class imbalances, and optimizing feature selection. These objectives target the improvement of disease prediction models, enhancing their accuracy and reliability for practical applications. Through an in-depth analysis of performance indicators, this study intends to contribute valuable insights into enhancing the diagnostic capabilities of healthcare professionals, facilitating early identification of high-risk conditions, and ultimately improving patient outcomes.  © 2024 IEEE.</t>
  </si>
  <si>
    <t xml:space="preserve">7th International Conference on Inventive Computation Technologies, ICICT 2024</t>
  </si>
  <si>
    <t xml:space="preserve">10.1109/ICICT60155.2024.10544901</t>
  </si>
  <si>
    <t xml:space="preserve">https://www.scopus.com/inward/record.uri?eid=2-s2.0-85196069664&amp;doi=10.1109%2fICICT60155.2024.10544901&amp;partnerID=40&amp;md5=d22a43ff1700d5a4afb25682c55d944e</t>
  </si>
  <si>
    <t xml:space="preserve">Jaya Engineering College, Department of Computer Science And Engineering, Tamil Nadu, Thiruninravur, India; St. Joseph's College of Engineering, Department of Cse, Tamil Nadu, Chennai, India</t>
  </si>
  <si>
    <t xml:space="preserve">Victoria D.R.S., Jaya Engineering College, Department of Computer Science And Engineering, Tamil Nadu, Thiruninravur, India; Subhishwaran T., St. Joseph's College of Engineering, Department of Cse, Tamil Nadu, Chennai, India; Velan P., St. Joseph's College of Engineering, Department of Cse, Tamil Nadu, Chennai, India</t>
  </si>
  <si>
    <t xml:space="preserve">Decision Tree; Machine Learning; Multi-Disease Diagnosis; Proactive Diseases; Random Forest</t>
  </si>
  <si>
    <t xml:space="preserve">Data handling; Diagnosis; Diseases; Feature extraction; Health care; Medical computing; Risk assessment; Supervised learning; Class imbalance; Complex disease; Comprehensive analysis; Disease diagnosis; Features selection; Machine-learning; Multi-disease diagnose; Proactive disease; Random forests; Supervised machine learning; Decision trees</t>
  </si>
  <si>
    <t xml:space="preserve">Massari H.E., Sabouri Z., Mhammedi S., Gherabi N., Diabetes Prediction Using Machine Learning Algorithms and Ontology, Journal of ICT Standardization, 10, 2, pp. 319-337, (2022); Qadri A.M., Raza A., Munir K., Almutairi M.S., Effective Feature Engineering Technique for Heart Disease Prediction With Machine Learning, IEEE Access, 11, pp. 56214-56224, (2023); Sabouri Z., Maleh Y., Gherabi N., Benchmarking Classification Algorithms for Measuring the Performance on Maintainable Applications, Advances in Information Communication and Cybersecurity, pp. 173-179, (2022); Saboor A., Usman M., Ali S., Samad A., Abrar M.F., Ullah N., A method for improving prediction of human heart disease using machine learning algorithms, Mobile Inf. Syst, 2022, pp. 1-9, (2022); Qayyum A., Qadir J., Bilal M., Al-Fuqaha A., Secure and Robust Machine Learning for Healthcare: A Survey, IEEE Reviews in Biomedical Engineering, 14, pp. 156-180, (2021); Uddin S., Khan A., Hossain M.E., Moni M.A., Comparing different supervised machine learning algorithms for disease prediction, BMC Medical Informatics and Decision Making, pp. 1-16, (2019); Kohli P.S., Arora S., Application of machine learning in disease prediction, International Conference on Computing Communication and Automation (ICCCA), pp. 1-4, (2018); Gavhane A., Kokkula G., Pandya I., Devadkar K., Prediction of heart disease using machine learning, Second International Conference on Electronics, Communication and Aerospace Technology(ICECA), pp. 1275-1278, (2018); Katarya R., Srinivas P., Predicting heart disease at early stages using machine learning, International Conference On Electronics and Sustainable Communication Systems (ICESC), pp. 302-305, (2020); Ata S.K., Wu M., Fang Y., Ou-Yang L., Kwoh C.K., Li X.L., Recent advances in network-based methods for disease gene prediction, Briefings Bioinf, 22, pp. 208-225, (2020); Hasija Y., Garg N., Sourav S., Automated detection of dermatological disorders through image-processing and machine learning, International Conference on Intelligent Sustainable Systems (ICISS), pp. 1047-1105, (2017); Menche J., Sharma A., Kitsak M., Ghiassian S.D., Vidal M., Loscalzo J., Barabasi A.-L., Uncovering disease-disease relationships through the incomplete interactome, Science, 347, pp. 450-589, (2015); Barabasi A.-L., Gulbahce N., Loscalzo J., Network medicine: A network-based approach to human disease, Nature Rev. Genet, 12, pp. 56-68, (2010); Wang X., Gulbahce N., Yu H., Network-based methods for human disease gene prediction, Briefings Funct. Genomics, 10, 5, pp. 56-68, (2011); Ghassemi M.M., Naumann T., Doshi-Velez F., Et al., Deep Care: A deep learning approach for multimodal analysis of patient records, IEEE Journal of Biomedical and Health Informatics, vol:100, pp. 55-78, (2019)</t>
  </si>
  <si>
    <t xml:space="preserve">D.R.S. Victoria; Jaya Engineering College, Department of Computer Science And Engineering, Thiruninravur, Tamil Nadu, India; email: drosysalomi@gmail.com</t>
  </si>
  <si>
    <t xml:space="preserve">24 April 2024 through 26 April 2024</t>
  </si>
  <si>
    <t xml:space="preserve">Lalitpur</t>
  </si>
  <si>
    <t xml:space="preserve">979-835035929-9</t>
  </si>
  <si>
    <t xml:space="preserve">Int. Conf. Inven. Comput. Technol., ICICT</t>
  </si>
  <si>
    <t xml:space="preserve">2-s2.0-85196069664</t>
  </si>
  <si>
    <t xml:space="preserve">Mahesh Kumar A.S.; Maindola M.; Salis V.E.; Mitra A.; Janumala T.; Vijayan A.</t>
  </si>
  <si>
    <t xml:space="preserve">Mahesh Kumar, A.S. (57211558223); Maindola, Meenakshi (58130558100); Salis, Vimuktha E (57798972200); Mitra, Abhijit (58099647100); Janumala, Tabitha (57204657690); Vijayan, Alpha (57907571700)</t>
  </si>
  <si>
    <t xml:space="preserve">57211558223; 58130558100; 57798972200; 58099647100; 57204657690; 57907571700</t>
  </si>
  <si>
    <t xml:space="preserve">Convolutional Neural Networks for Automated Detection and Classification of Plasmodium Species in Thin Blood Smear Images</t>
  </si>
  <si>
    <t xml:space="preserve">There has been a continued transmission of malaria throughout the world due to protozoan parasites from the Plasmodium species. As for treatment and control, it is very important to make correct and more efficient diagnostic. In order to observe the efficiency of the proposed approach, This Research built a Convolutional Neural Network (CNN) model for Automated detection and classification on thin blood smear images of Plasmodium species. This model was built on a corpus of 27558 images, included five Plasmodium species. Our CNN model got an overall accuracy of 96% for the cheating detection with an F 1score of 0.94. In the detection of the presence of malaria parasites the test accuracy conducted was as follows: 8%. Species-specific classification accuracies were: P. falciparum (95.7%), P. vivax (94.9%), P. ovale (93.2%), P. malaria (92.8%) and P. Knowles (91, 5%). As for the model SL was found to have sensitivity of 97.3% And the specificity in this case is 9 6. 1 %. The proposed CNN-based approach provides a sound and fully automated solution for malarial parasite detection and species determination, which could lead to better diagnostic performances in day-to-day practices. © 2024 IEEE.</t>
  </si>
  <si>
    <t xml:space="preserve">2024 1st International Conference on Software, Systems and Information Technology, SSITCON 2024</t>
  </si>
  <si>
    <t xml:space="preserve">10.1109/SSITCON62437.2024.10797182</t>
  </si>
  <si>
    <t xml:space="preserve">https://www.scopus.com/inward/record.uri?eid=2-s2.0-85215667362&amp;doi=10.1109%2fSSITCON62437.2024.10797182&amp;partnerID=40&amp;md5=57809e5b65d0b54e86fcad30779dabe3</t>
  </si>
  <si>
    <t xml:space="preserve">Maharaja Institute of Technology, Department of Electronics and Communication Engineering, Belawadi, India; Graphic Era Deemed to Be University, Department of Computer Science and Engineering, Dehradun, India; Global Academy of Technology, Department of Information Science and Engineering, Bengaluru, India; Symbiosis Law School, Pune, Symbiosis International (Deemed University), Symbiosis Centre for Advanced Legal Studies and Research (SCALSAR), Pune, India; R v College of Engineering, Department of Electronics and Instrumentation Engineering, Bengaluru, India; Christ University, Department of Computer Science and Engineering, Bengaluru, India</t>
  </si>
  <si>
    <t xml:space="preserve">Mahesh Kumar A.S., Maharaja Institute of Technology, Department of Electronics and Communication Engineering, Belawadi, India; Maindola M., Graphic Era Deemed to Be University, Department of Computer Science and Engineering, Dehradun, India; Salis V.E., Global Academy of Technology, Department of Information Science and Engineering, Bengaluru, India; Mitra A., Symbiosis Law School, Pune, Symbiosis International (Deemed University), Symbiosis Centre for Advanced Legal Studies and Research (SCALSAR), Pune, India; Janumala T., R v College of Engineering, Department of Electronics and Instrumentation Engineering, Bengaluru, India; Vijayan A., Christ University, Department of Computer Science and Engineering, Bengaluru, India</t>
  </si>
  <si>
    <t xml:space="preserve">automated diagnosis; convolutional neural networks; malaria; plasmodium; thin blood smear</t>
  </si>
  <si>
    <t xml:space="preserve">Malaria control; Automated detection and classification; Automated diagnosis; Blood smears; Convolutional neural network; Malaria; Neural network model; Overall accuracies; Plasmodium; Protozoan parasites; Thin blood smear; Convolutional neural networks</t>
  </si>
  <si>
    <t xml:space="preserve">World Health Organization. World Malaria Report, (2021); Raihan M., Mahmud S.M.H., Lima R.P., Alomari R.S., Rahaman M.M., Automated Malaria Parasite Detection and Species Classification in Thin Blood Smears Using Efficient Convolutional Neural Networks, Diagnostics, 13, (2023); Zhang L., Lu L., Nogues I., Summers R.M., Liu S., Yao J., Deep Pap: Deep Convolutional Networks for Cervical Cell Classification, IEEE J. Biomed. Health Inform., 27, pp. 1257-1268, (2023); Li X., Shen X., Zhou Y., Wang X., Li T.Q., Radiomics and Deep Learning for the Classification of Osteoporotic and Healthy Vertebrae from CT Images, Eur. Radiol., 33, pp. 4412-4421, (2023); Alqudah A.M., Qazan S., Alquran H., Qasmieh I.A., Alqudah A., COVID-19 Detection from X-Ray Images Using Different Convolutional Neural Network Models: Deep Learning Study, Int. J. Environ. Res. Public Health, 20, (2023); Mehanian C., Jaiswal M., Delahunt C., Thompson C., Et al., Computer-automated malaria diagnosis and quantitation using CNN, Proceedings of the IEEE International Conference on Computer Vision Workshops, pp. 116-125, (2023); Masud M., Alhumam A., Baz A., Islam M.N., Deep Learning-Based Malaria Parasite Detection from Blood Smear Images: A Systematic Review, Appl. Sci., 13, (2023); Vijayalakshmi K., Jerlin Rubini E., Malaria Parasite Detection in Thick Blood Smear Microscopic Images Using Deep Learning Models, Comput. Intell. Neurosci., 2023, (2023); Jothi G., Akilandeswari J., David Samuel Azariya S., Naveenkumar A., Unsupervised Feature Selection Approaches for Medical Dataset Using Soft Computing Technique, Computational Intelligence Proceedings of the 9th International Conference on Frontiers in Intelligent Computing: Theory and Applications (FICTA2021); Maqsood M., Nazir T., Sajid U., Asghar M.N., Umair M., Deep Residual Networks-Based Classification of Plasmodium Falciparum Using Microscopic Images of Thin Blood Smears, Appl. Sci., 13, (2023); Liang Z., Powell A., Ersoy I., Poostchi M., Silamut K., Et al., CNNbased image analysis for malaria diagnosis, Proc of the 2023 IEEE International Conference on Bioinformatics and Biomedicine (BIBM), pp. 493-501, (2023); Macenko M., Niethammer M., Marron J.S., Borland D.N.E., A method for normalizing histology slides for quantitative analysis, IEEE International Symposium on Biomedical Imaging: From Nano to Macro, pp. 1107-1110, (2009); Sindhusaranya B., Ellappan V., Suresh Kumar A., A survey on Separation of Blood Vessels for detecting Retinal Vascular Disorders, 2018 Conference on Emerging Devices and Smart Systems (ICEDSS), pp. 5-10, (2018); Huang G., Liu Z., Van Der Maaten L., Weinberger K.Q., Densely Connected Convolutional Networks, Procc of the IEEE Conference on Computer Vision and Pattern Recognition (CVPR), pp. 4700-4708, (2017); Ellappan V., Samson Ravindran R., An effective selection of DCT and DWT coefficients for an adaptive medical image compression technique using multiple kernel FCM, 9, 4, pp. 628-637, (2014); Zhang H., Cisse M., Dauphin Y.N., Lopez-Paz D., Mixup: Beyond Empirical Risk Minimization, Proceedings of the International Conference on Learning Representations (ICLR), (2018); Das D.K., Ghosh M., Pal M., Maiti A.K., Chakraborty C., Machine learning approach for automated screening of malaria parasite using light microscopic images, Micron, 45, pp. 97-106, (2023); Ashley E.A., Pyae Phyo A., Woodrow C.J., Malaria, Lancet, 391, pp. 1608-1621, (2023); Singh B., Daneshvar C., Human infections and detection of Plasmodium knowlesi, Clin. Microbiol. Rev., 26, pp. 165-184, (2023); Ghoshal B., Tucker A., Estimating uncertainty and interpretability in deep learning for coronavirus (COVID-19) detection, (2023)</t>
  </si>
  <si>
    <t xml:space="preserve">A.S. Mahesh Kumar; Maharaja Institute of Technology, Department of Electronics and Communication Engineering, Belawadi, India; email: as.mahesh.ec@gmail.com</t>
  </si>
  <si>
    <t xml:space="preserve">1st International Conference on Software, Systems and Information Technology, SSITCON 2024</t>
  </si>
  <si>
    <t xml:space="preserve">18 October 2024 through 19 October 2024</t>
  </si>
  <si>
    <t xml:space="preserve">Tumkur</t>
  </si>
  <si>
    <t xml:space="preserve">979-835035293-1</t>
  </si>
  <si>
    <t xml:space="preserve">Int. Conf. Softw., Syst. Inf. Technol., SSITCON</t>
  </si>
  <si>
    <t xml:space="preserve">2-s2.0-85215667362</t>
  </si>
  <si>
    <t xml:space="preserve">Semenova E.; Mishra S.; Bhatt S.; Flaxman S.; Unwin H.J.T.</t>
  </si>
  <si>
    <t xml:space="preserve">Semenova, Elizaveta (57211214028); Mishra, Swapnil (57216209653); Bhatt, Samir (57203665130); Flaxman, Seth (57222708214); Unwin, H Juliette T (57217068351)</t>
  </si>
  <si>
    <t xml:space="preserve">57211214028; 57216209653; 57203665130; 57222708214; 57217068351</t>
  </si>
  <si>
    <t xml:space="preserve">Deep Learning and MCMC with aggVAE for Shifting Administrative Boundaries: Mapping Malaria Prevalence in Kenya</t>
  </si>
  <si>
    <t xml:space="preserve">Model-based disease mapping remains a fundamental policy-informing tool in the fields of public health and disease surveillance. Hierarchical Bayesian models have emerged as the state-of-the-art approach for disease mapping since they are able to both capture structure in the data and robustly characterise uncertainty. When working with areal data, e.g. aggregates at the administrative unit level such as district or province, current models rely on the adjacency structure of areal units to account for spatial correlations and perform shrinkage. The goal of disease surveillance systems is to track disease outcomes over time. This task is especially challenging in crisis situations which often lead to redrawn administrative boundaries, meaning that data collected before and after the crisis are no longer directly comparable. Moreover, the adjacency-based approach ignores the continuous nature of spatial processes and cannot solve the change-of-support problem, i.e. when estimates are required to be produced at different administrative levels or levels of aggregation. We present a novel, practical, and easy to implement solution to solve these problems relying on a methodology combining deep generative modelling and fully Bayesian inference: we build on the recently proposed PriorVAE method able to encode spatial priors over small areas with variational autoencoders by encoding aggregates over administrative units. We map malaria prevalence in Kenya, a country in which administrative boundaries changed in 2010. © The Author(s), under exclusive license to Springer Nature Switzerland AG 2024.</t>
  </si>
  <si>
    <t xml:space="preserve">surveillance/ outbreak monitoring</t>
  </si>
  <si>
    <t xml:space="preserve">Lecture Notes in Computer Science (including subseries Lecture Notes in Artificial Intelligence and Lecture Notes in Bioinformatics)</t>
  </si>
  <si>
    <t xml:space="preserve">14523 LNAI</t>
  </si>
  <si>
    <t xml:space="preserve">10.1007/978-3-031-57963-9_2</t>
  </si>
  <si>
    <t xml:space="preserve">https://www.scopus.com/inward/record.uri?eid=2-s2.0-85192390964&amp;doi=10.1007%2f978-3-031-57963-9_2&amp;partnerID=40&amp;md5=e2c82b207b5b1d79f0631b804e9952f7</t>
  </si>
  <si>
    <t xml:space="preserve">Department of Computer Science, University of Oxford, Oxford, United Kingdom; Saw Swee Hock School of Public Health and Institute of Data Science, National University of Singapore and NUHS, Singapore, Singapore; School of Public Health, University of Copenhagen, Copenhagen, Denmark; School of Public Health, Imperial College London, London, United Kingdom; School of Mathematics, University of Bristol, Bristol, United Kingdom; Machine Learning and Global Health Network, Oxford, United Kingdom; Machine Learning and Global Health Network, Singapore, United Kingdom; Machine Learning and Global Health Network, Copenhagen, London, United Kingdom; Machine Learning and Global Health Network, Bristol, United Kingdom</t>
  </si>
  <si>
    <t xml:space="preserve">Semenova E., Department of Computer Science, University of Oxford, Oxford, United Kingdom, Machine Learning and Global Health Network, Oxford, United Kingdom; Mishra S., Saw Swee Hock School of Public Health and Institute of Data Science, National University of Singapore and NUHS, Singapore, Singapore, Machine Learning and Global Health Network, Singapore, United Kingdom; Bhatt S., School of Public Health, University of Copenhagen, Copenhagen, Denmark, School of Public Health, Imperial College London, London, United Kingdom, Machine Learning and Global Health Network, Copenhagen, London, United Kingdom; Flaxman S., Department of Computer Science, University of Oxford, Oxford, United Kingdom, Machine Learning and Global Health Network, Oxford, United Kingdom; Unwin H.J.T., School of Public Health, Imperial College London, London, United Kingdom, School of Mathematics, University of Bristol, Bristol, United Kingdom, Machine Learning and Global Health Network, Bristol, United Kingdom</t>
  </si>
  <si>
    <t xml:space="preserve">disease mapping; MCMC; VAE</t>
  </si>
  <si>
    <t xml:space="preserve">Bayesian networks; Deep learning; Diseases; Encoding (symbols); Inference engines; Mapping; Boundary mapping; Disease mapping; Disease surveillance; Hierarchical Bayesian modeling; MCMC; Model-based OPC; Public health surveillances; State-of-the-art approach; Uncertainty; VAE; Aggregates</t>
  </si>
  <si>
    <t xml:space="preserve">Bernadinelli L., Pascutto C., Best N.G., Gilks W.R., Disease mapping with errors in covariates, Stat. Med., 16, 7, pp. 741-752, (1997); Bernardinelli L., Montomoli C., Empirical Bayes versus fully Bayesian analysis of geographical variation in disease risk, Stat. Med., 11, 8, pp. 983-1007, (1992); Besag J., Spatial interaction and the statistical analysis of lattice systems, J. Roy. Stat. Soc.: Ser. B (Methodol.), 36, 2, pp. 192-225, (1974); Besag J., York J., Mollie A., Bayesian image restoration, with two applications in spatial statistics, Ann. Inst. Stat. Math., 43, pp. 1-20, (1991); Bhatt S., Et al., The effect of malaria control on Plasmodium falciparum in Africa between 2000 and 2015, Nature, 526, 7572, pp. 207-211, (2015); Bhatt S., Cameron E., Flaxman S.R., Weiss D.J., Smith D.L., Gething P.W., Improved prediction accuracy for disease risk mapping using gaussian process stacked generalization, J. Roy. Soc. Interface, 14, 134, (2017); Bingham E., Et al., Pyro: Deep universal probabilistic programming, J. Mach. Learn. Res., 20, 28, pp. 1-28, (2019); Bradbury J., Et al., JAX: Composable Transformations of Python+Numpy Programs, (2018); Clayton D.G., Bayesian methods for mapping disease risk, Geographical and Environmental Epidemiology: Methods for Small-Area Studies, pp. 205-220, (1992); Clayton D.G., Bernardinelli L., Montomoli C., Spatial correlation in ecological analysis, Int.J.Epidemiol., 22, 6, pp. 1193-1202, (1993); Cressie N., Statistics for Spatial Data, (2015); Gelman A., Carlin J.B., Stern H.S., Rubin D.B., Bayesian Data Analysis, Chapman and Hall/Crc, (1995); Gemperli A., Et al., Mapping malaria transmission in West and Central Africa, Trop. Med. Int. Health, 11, 7, pp. 1032-1046, (2006); Gosoniu L., Vounatsou P., Sogoba N., Smith T., Bayesian modelling of geostatistical malaria risk data, Geospat. Health, 1, 1, pp. 127-139, (2006); Hassan M., A state of change: District creation in Kenya after the beginning of multiparty elections, Polit. Res. Q., 69, 3, pp. 510-521, (2016); Hay S.I., Et al., A world malaria map: Plasmodium falciparum endemicity in 2007, Plos Med, 6, 3, (2009); Johnson O., Diggle P., Giorgi E., A spatially discrete approximation to log-Gaussian Cox processes for modelling aggregated disease count data, Stat. Med., 38, 24, pp. 4871-4887, (2019); Kang S.Y., Cramb S.M., White N.M., Ball S.J., Mengersen K.L., Making the most of spatial information in health: A tutorial in Bayesian disease mapping for areal data, Geospat. Health, 11, 2, pp. 190-198, (2016); Kingma D.P., Welling M., Auto-Encoding Variational Bayes. Arxiv Preprint Arxiv, 1312, (2013); Leroux B.G., Lei X., Breslow N., Estimation of disease rates in small areas: A new mixed model for spatial dependence, Statistical Models in Epidemiology, the Environment, and Clinical Trials. IMA, 116, pp. 179-191, (2000); Macnab Y.C., Bayesian disease mapping: Past, present, and future, Spatial Stat, 50, (2022); Martins T.G., Simpson D., Lindgren F., Rue H., Bayesian computing with INLA: New features, Comput. Stat. Data Anal., 67, pp. 68-83, (2013); Mishra S., Flaxman S., Berah T., Pakkanen M., Zhu H., Bhatt S., piVAE: Encoding stochastic process priors with variational autoencoders, Stat. Comput., (2022); Phan D., Pradhan N., Jankowiak M., Composable Effects for Flexible and Accelerated Probabilistic Programming in Numpyro. Arxiv Preprint Arxiv, 1912, (2019); Reid H., Et al., Mapping malaria risk in Bangladesh using Bayesian geostatistical models, Am. J. Trop. Med. Hyg., 83, 4, (2010); Riebler A., Sorbye S.H., Simpson D., Rue H., An intuitive Bayesian spatial model for disease mapping that accounts for scaling, Stat. Methods Med. Res., 25, 4, pp. 1145-1165, (2016); Robert C.P., Casella G., Casella G., Monte Carlo Statistical Methods, 2, (1999); Semenova E., Et al., PriorVAE: Encoding spatial priors with variational autoencoders for small-area estimation, J. R. Soc. Interface, 19, 191, (2022); Semenova E., Verma P., Cairney-Leeming M., Solin A., Bhatt S., Flaxman S., Priorcvae: Scalable MCMC Parameter Inference with Bayesian Deep Generative Modelling. Arxiv Preprint Arxiv, 2304, (2023); Snow R.W., Et al., The prevalence of Plasmodium falciparum in sub-Saharan Africa since 1900, Nature, 550, 7677, pp. 515-518, (2017); Tanaka Y., Et al., Spatially aggregated gaussian processes with multivariate areal outputs, Advances in Neural Information Processing Systems, 32, (2019); President’s Malaria Initiative, U.S. president’s Malaria Initiative Kenya Malaria Operational Plan FY, (2022); Vehtari A., Gelman A., Simpson D., Carpenter B., Burkner P.-C., Ranknormalization, folding, and localization: An improved R for assessing convergence of MCMC (with discussion), Bayesian Anal, 16, 2, pp. 667-718, (2021); Wakefield J.C., Best N.G., Waller L., Bayesian approaches to disease mapping, Spatial Epidemiology: Methods and Applications, 59, (2000); Weiss D.J., Et al., Mapping the global prevalence, incidence, and mortality of Plasmodium falciparum, 2000–17: A spatial and temporal modelling study, The Lancet, 394, pp. 322-331, (2019); Yousefi F., Smith M.T., Alvarez M., Multi-task learning for aggregated data using Gaussian processes, Advances in Neural Information Processing Systems, 32, (2019); Zhu H., Et al., Aggregated Gaussian Processes with Multiresolution Earth Observation Covariates, (2021)</t>
  </si>
  <si>
    <t xml:space="preserve">E. Semenova; Department of Computer Science, University of Oxford, Oxford, United Kingdom; email: elizaveta.p.semenova@gmail.com</t>
  </si>
  <si>
    <t xml:space="preserve">Cuzzolin F.; Sultana M.</t>
  </si>
  <si>
    <t xml:space="preserve">1st International Workshop on Epistemic Uncertainty in Artificial Intelligence, Epi UAI 2023</t>
  </si>
  <si>
    <t xml:space="preserve">4 August 2023 through 4 August 2023</t>
  </si>
  <si>
    <t xml:space="preserve">Pittsburgh</t>
  </si>
  <si>
    <t xml:space="preserve">978-303157962-2</t>
  </si>
  <si>
    <t xml:space="preserve">Lect. Notes Comput. Sci.</t>
  </si>
  <si>
    <t xml:space="preserve">2-s2.0-85192390964</t>
  </si>
  <si>
    <t xml:space="preserve">Ullah M.A.; Mim A.S.; Hasan M.N.; Sadik M.R.</t>
  </si>
  <si>
    <t xml:space="preserve">Ullah, Mohammad Arman (57222736974); Mim, Ayesha Siddiqua (59210752900); Hasan, Mohammad Nayeem (57216695961); Sadik, Md Rezwane (58930166900)</t>
  </si>
  <si>
    <t xml:space="preserve">57222736974; 59210752900; 57216695961; 58930166900</t>
  </si>
  <si>
    <t xml:space="preserve">Deep Learning Based Forecasting Models of Dengue Outbreak in Bangladesh: Comparative Analysis of LSTM, RNN, and GRU Models Using Multivariate Variables with a Two-Decade Dataset</t>
  </si>
  <si>
    <t xml:space="preserve">In 2023, Bangladesh experienced its most severe dengue outbreak since 2000, necessitating improved prediction methods. This study employs diverse machine-learning techniques to forecast dengue fever occurrences in Bangladesh, aiming for enhanced accuracy and proactive public health measures. Unlike previous research focusing narrowly on specific variables, this study incorporates a wider range of factors and algorithms. Three models: Gated Recurrent Units (GRU), Recurrent Neural Network (RNN), and Long Short-Term Memory (LSTM) were evaluated using data from January 2000 to December 2022. Official patient data from the Ministry of Health and Family Welfare and meteorological data from the Bangladesh Meteorological Department were utilized. LSTM exhibited the highest accuracy at 87.98 %, surpassing GRU at 79.81 %, while RNN trailed at 57.18 %. This underscores LSTM's efficacy in predicting dengue cases in Bangladesh, offering valuable insights for proactive disease management and public health interventions. © 2024 IEEE.</t>
  </si>
  <si>
    <t xml:space="preserve">International Conference on Smart Systems for Applications in Electrical Sciences, ICSSES 2024</t>
  </si>
  <si>
    <t xml:space="preserve">10.1109/ICSSES62373.2024.10561382</t>
  </si>
  <si>
    <t xml:space="preserve">https://www.scopus.com/inward/record.uri?eid=2-s2.0-85197873673&amp;doi=10.1109%2fICSSES62373.2024.10561382&amp;partnerID=40&amp;md5=1eb118a172b4417ada785286b9e97841</t>
  </si>
  <si>
    <t xml:space="preserve">Tennessee Technological University, Department of Computer Science, Cookeville, TN, United States; Ad-din Medical College Hospital, Dhaka, Bangladesh; Shahjalal University of Science and Technology, Department of Statistics, Sylhet, Bangladesh; University of South Dakota, Department of Economics &amp; Decision Sciences, Vermillion, SD, United States</t>
  </si>
  <si>
    <t xml:space="preserve">Ullah M.A., Tennessee Technological University, Department of Computer Science, Cookeville, TN, United States; Mim A.S., Ad-din Medical College Hospital, Dhaka, Bangladesh; Hasan M.N., Shahjalal University of Science and Technology, Department of Statistics, Sylhet, Bangladesh; Sadik M.R., University of South Dakota, Department of Economics &amp; Decision Sciences, Vermillion, SD, United States</t>
  </si>
  <si>
    <t xml:space="preserve">Bangladesh; dengue fever; disease prediction; GRU; LSTM network; machine learning; RNN</t>
  </si>
  <si>
    <t xml:space="preserve">Forecasting; Hospital data processing; Learning systems; Meteorology; Public health; Bangladesh; Comparative analyzes; Dengue fevers; Disease prediction; Forecasting models; Gated recurrent unit; Long short-term memory network; Machine-learning; Memory network; Prediction methods; Long short-term memory</t>
  </si>
  <si>
    <t xml:space="preserve">Dengue and severe dengue, (2023); Hasan M.N., Khalil I., Et al., Two decades of endemic dengue in bangladesh (2000-2022): Trends, seasonality, and impact of temperature and rainfall patterns on transmission dynamics, Journal of Medical Entomology, 1, (2024); Kayesh M.E.H., Khalil I., Et al., Increasing dengue burden and severe dengue risk in bangladesh: An overview, Trop Med Infect Dis, 8, 1, (2023); Stolerman L.M., Maia P.D., Kutz J.N., Forecasting dengue fever in brazil: An assessment of climate conditions, PLoS One, 14, 8, (2019); Haider N., Asaduzzaman M., Et al., Bangladesh's 2023 dengue outbreak -age/gender-related disparity in morbidity and mortality and geographic variability of epidemic burdens, International Journal of Infectious Diseases, 136, pp. 1-4, (2023); Murray N.E.A., Quam M.B., Wilder-Smith A., Epidemiology of dengue: Past, present and future prospects, Clin Epidemiol, 5, 1, (2013); Islam M.A., Hasan M.N., Et al., Correlation of dengue and meteorological factors in bangladesh: A public health concern, International Journal of Environmental Research and Public Health, 20, 6, (2023); Islam M.A., Hemo M.K., Et al., A short communication of 2022 dengue outbreak in bangladesh: A continuous public health threat, Annals of medicine and surgery, 85, 6, pp. 3213-3217, (2012); Dengue press release, (2023); Haider N., Hasan M.N., Et al., The 2022 dengue outbreak in bangladesh: Hypotheses for the late resurgence of cases and fatalities, Journal of Medical Entomology, 60, 4, pp. 847-852, (2023); Gupta G., Khan S., Et al., Ddpm: A dengue disease prediction and diagnosis model using sentiment analysis and machine learning algorithms, Diagnostics, 13, 6, (2023); Teurlai M., Menkes C.E., Et al., Socio-economic and climate factors associated with dengue fever spatial heterogeneity: A worked example in new caledonia, PLoS Negl Trop Dis, 9, 12, (2015); Wu X., Lu Y., Zhou S., Chen L., Xu B., Impact of climate change on human infectious diseases: Empirical evidence and human adaptation, Environ Int, 86, pp. 14-23, (2016); Dey S.K., Rahman M.M., Et al., Prediction of dengue incidents using hospitalized patients, meteorological and socio-economic data in bangladesh: A machine learning approach, PLoS One, 17, 7, (2022); Hashizume M., Dewan A.M., Et al., Hydroclimatological variability and dengue transmission in dhaka, bangladesh: A time-series study, BMC Infect Dis, 12, 1, (2012); Pear M., Id H., Et al., Prediction of dengue annual incidence using seasonal climate variability in bangladesh between 2000 and 2018, PLOS Global Public Health, 2, 5, (2022); Dourjoy S., Rafi A., Et al., A comparative study on prediction of dengue fever using machine learning algorithm, Lecture Notes in Networks and Systems, 127, pp. 501-510, (2021); Majeed M.A., Shafri H.Z.M., Zulkafli Z., Wayayok A., A deep learning approach for dengue fever prediction in malaysia using lstm with spatial attention, Int J Environ Res Public Health, 20, 5, (2023); Hochreiter S., Schmidhuber J., Long short-term memory, Neural Comput, 9, 8, pp. 1735-1780, (1997); Graves A., Generating sequences with recurrent neural networks, (2013); Cho K., Nboer B.V.M., Et al., Learning phrase representations using rnn encoder-decoder for statistical machine translation, (2014); Zhao R., Wang D., Et al., Machine health monitoring using local feature-based gated recurrent unit networks, IEEE Transactions on Industrial Electronics, 65, 2, pp. 1539-1548, (2017)</t>
  </si>
  <si>
    <t xml:space="preserve">M.R. Sadik; University of South Dakota, Department of Economics &amp; Decision Sciences, Vermillion, United States; email: mdrezwane.sadik@coyotes.usd.edu</t>
  </si>
  <si>
    <t xml:space="preserve">Beumer Group; Continental; Em Electronix Private Limited; R Karunanidhe Constructions (P) Ltd (RKCPL)</t>
  </si>
  <si>
    <t xml:space="preserve">2024 International Conference on Smart Systems for Applications in Electrical Sciences, ICSSES 2024</t>
  </si>
  <si>
    <t xml:space="preserve">3 May 2024 through 4 May 2024</t>
  </si>
  <si>
    <t xml:space="preserve">Tumakuru</t>
  </si>
  <si>
    <t xml:space="preserve">979-835036404-0</t>
  </si>
  <si>
    <t xml:space="preserve">Int. Conf. Smart Syst. Appl. Electr. Sci., ICSSES</t>
  </si>
  <si>
    <t xml:space="preserve">2-s2.0-85197873673</t>
  </si>
  <si>
    <t xml:space="preserve">Cheerkoot-Jalim S.; Simon-Chane C.; Cadersaib Z.; Nagowah L.; Mungloo-Dilmohamud Z.; Sereno D.; Khedo K.K.; Baichoo S.; Nagowah S.D.; Jodheea-Jutton A.; Chady F.; Histace A.</t>
  </si>
  <si>
    <t xml:space="preserve">Cheerkoot-Jalim, Sudha (56342181100); Simon-Chane, Camille (57201554276); Cadersaib, Zarine (56342804100); Nagowah, Leckraj (25641535700); Mungloo-Dilmohamud, Zahra (56993759900); Sereno, Denis (7004216004); Khedo, Kavi Kumar (14631880000); Baichoo, Shakuntala (35611680500); Nagowah, Soulakshmee D. (35766920600); Jodheea-Jutton, Abha (57206189401); Chady, Fadil (57370857900); Histace, Aymeric (6507053505)</t>
  </si>
  <si>
    <t xml:space="preserve">56342181100; 57201554276; 56342804100; 25641535700; 56993759900; 7004216004; 14631880000; 35611680500; 35766920600; 57206189401; 57370857900; 6507053505</t>
  </si>
  <si>
    <t xml:space="preserve">DeepSquitoes: A Mobile System Framework for the Surveillance of Disease-Carrying Mosquitoes</t>
  </si>
  <si>
    <t xml:space="preserve">Insects that spread diseases like malaria, chikungunya and Lyme disease are found all over the world because of climate change, economic fluctuations, human migration, and international trade. In this study, we propose DeepSquitoes, a mobile system framework for insect identification and fast data dissemination, with the goal of improving the management of public health hazards. DeepSquitoes specialises in the quick identification of mosquitoes, which are common in tropical areas, and can be used to monitor insect population movements in real-time. To maximise user interaction and data accuracy, the application includes geolocation-based identification, sophisticated preprocessing, and specialised annotation. Image preprocessing techniques like Gaussian Blur and contour extraction are applied on mosquito wing images to ensure data quality. Deep learning algorithms are trained on the preprocessed images for mosquito species classification. The image recognition model performs well, with a 93% training accuracy and a 74% validation accuracy using MobileNetV2 from TensorFlow. Our local dataset, which included 154 images of eight different insect species, had a commendable recognition accuracy rate of 76%. © ICST Institute for Computer Sciences, Social Informatics and Telecommunications Engineering 2024.</t>
  </si>
  <si>
    <t xml:space="preserve">Lecture Notes of the Institute for Computer Sciences, Social-Informatics and Telecommunications Engineering, LNICST</t>
  </si>
  <si>
    <t xml:space="preserve">578 LNICST</t>
  </si>
  <si>
    <t xml:space="preserve">10.1007/978-3-031-60665-6_27</t>
  </si>
  <si>
    <t xml:space="preserve">https://www.scopus.com/inward/record.uri?eid=2-s2.0-85199793887&amp;doi=10.1007%2f978-3-031-60665-6_27&amp;partnerID=40&amp;md5=6d6c0fc0e95179079734b0beccd575cb</t>
  </si>
  <si>
    <t xml:space="preserve">Faculty of Information, Communication and Digital Technologies, University of Mauritius, Réduit, Mauritius; ETIS UMR 8051, CY Cergy Paris University, ENSEA, CNRS, Cergy, France; Institut de Recherche Pour Le Développement, Montpellier, France; Faculty of Medicine and Health Sciences, University of Mauritius, Réduit, Mauritius</t>
  </si>
  <si>
    <t xml:space="preserve">Cheerkoot-Jalim S., Faculty of Information, Communication and Digital Technologies, University of Mauritius, Réduit, Mauritius; Simon-Chane C., ETIS UMR 8051, CY Cergy Paris University, ENSEA, CNRS, Cergy, France; Cadersaib Z., Faculty of Information, Communication and Digital Technologies, University of Mauritius, Réduit, Mauritius; Nagowah L., Faculty of Information, Communication and Digital Technologies, University of Mauritius, Réduit, Mauritius; Mungloo-Dilmohamud Z., Faculty of Information, Communication and Digital Technologies, University of Mauritius, Réduit, Mauritius; Sereno D., Institut de Recherche Pour Le Développement, Montpellier, France; Khedo K.K., Faculty of Information, Communication and Digital Technologies, University of Mauritius, Réduit, Mauritius; Baichoo S., Faculty of Information, Communication and Digital Technologies, University of Mauritius, Réduit, Mauritius; Nagowah S.D., Faculty of Information, Communication and Digital Technologies, University of Mauritius, Réduit, Mauritius; Jodheea-Jutton A., Faculty of Medicine and Health Sciences, University of Mauritius, Réduit, Mauritius; Chady F., Faculty of Information, Communication and Digital Technologies, University of Mauritius, Réduit, Mauritius; Histace A., ETIS UMR 8051, CY Cergy Paris University, ENSEA, CNRS, Cergy, France</t>
  </si>
  <si>
    <t xml:space="preserve">Deep Learning; Entomological Surveillance System; Image Classification</t>
  </si>
  <si>
    <t xml:space="preserve">Classification (of information); Climate change; Deep learning; Health hazards; Image recognition; Information management; International trade; Learning algorithms; Learning systems; Chikungunya; Deep learning; Economic fluctuations; Entomological surveillance system; Human migration; Images classification; Lyme disease; Mobile systems; Surveillance systems; System framework; Image classification</t>
  </si>
  <si>
    <t xml:space="preserve">University of Mauritius, UoM; IRD; Ministry of Health and Wellness</t>
  </si>
  <si>
    <t xml:space="preserve">This study is the result of a collaborative work by the Health Informatics Research Group of the University of Mauritius, the ETIS lab of ENSEA, and IRD. It was based on the previous works performed by ENSEA and IRD on the deep learning-based classification of dipteran species using, as features, the wing interference patterns (WIPs) of insects. We wish to extend our special thanks to the Vector Biology and Control Division (VBCD) of the Ministry of Health and Wellness, Mauritius, for their support and valuable inputs.</t>
  </si>
  <si>
    <t xml:space="preserve">El-Sayed A., Kamel M., Climatic changes and their role in emergence and re-emergence of diseases, Environ. Sci. Pollut. Res. Int., 27, pp. 22336-22352, (2020); Caminade C., Medlock J.M., Ducheyne E., Et al., Suitability of European climate for the Asian tiger mosquito Aedes albopictus: Recent trends and future scenarios, J. R. Soc. Interface, 9, pp. 2708-2717, (2012); Nebbak A., Almeras L., Parola P., Bitam I., Mosquito vectors (Diptera: Culicidae) and mosquito-borne diseases in North Africa, Insects, 13, (2022); Alikhan M., Al Ghamdi K., Mahyoub J.A., Alanazi N., Public health and veterinary important flies (order: Diptera) prevalent in Jeddah Saudi Arabia with their dominant characteristics and identification key, Saudi J. Biol. Sci., 25, pp. 1648-1663, (2018); Alenou L.D., Nwane P., Mbakop L.R., Et al., Burden of mosquito-borne diseases across rural versus urban areas in Cameroon between 2002 and 2021: Prospective for communityoriented vector management approaches, Parasites Vectors, 16, (2023); Bamou R., Mayi M.P.A., Djiappi-Tchamen B., Et al., An update on the mosquito fauna and mosquito-borne diseases distribution in Cameroon, Parasites Vectors, 14, (2021); Monitoring mosquito-borne arbovirus in various insect regions in China in 2018; Pataki B.A., Garriga J., Eritja R., Et al., Deep learning identification for citizen science surveillance of tiger mosquitoes, Sci. Rep., 11, (2021); Martineau M., Conte D., Raveaux R., Et al., A survey on image-based insect classification, Pattern Recogn, 65, pp. 273-284, (2017); Sereno D., Cannet A., Akhoundi M., Et al., Systeme Et Procede d’identification Automatisee De Dipteres Hematophages, (2015); Picard D., Gosselin P.-H., Improving image similarity with vectors of locally aggregated tensors, 2011 18Th IEEE International Conference on Image Processing, Pp. 669–672. IEEE, (2011); Souchaud M., Jacob P., Simon-Chane C., Et al., Mobile phones hematophagous Diptera surveillance in the field using deep learning and wing interference patterns, 2018 IFIP/IEEE International Conference on Very Large Scale Integration (Vlsi-Soc), pp. 159-162, (2018); Minakshi M., Bharti P., Chellappan S., Leveraging smart-phone cameras and image processing techniques to classify mosquito species, Proceedings of the 15Th EAI International Conference on Mobile and Ubiquitous Systems: Computing, Networking and Services, New York, NY, USA, Pp. 77–86. ACM, (2018); Yang H.-P., Ma C.-S., Wen H., Et al., A tool for developing an automatic insect identification system based on wing outlines, Sci. Rep., 5, (2015); Zhan Q.-B., Wang X.-L., Elliptic Fourier analysis of the wing outline shape of five species of antlion (Neuroptera: Myrmeleontidae: Myrmeleontini), Zool Stud, (2012); Rustam F., Reshi A.A., Aljedaani W., Et al., Vector mosquito image classification using novel RIFS feature selection and machine learning models for disease epidemiology, Saudi J. Biol. Sci., 29, pp. 583-594, (2022); Guilbaud C.S.E., Guilbaud T.G.D.P.V., Mosquito mapper: A phone application to map urban mosquitoes, Sci. Phone Appl. Mob. Devices, 3, (2017); Munoz J.P., Boger R., Dexter S., Et al., Image recognition of disease-carrying insects: A system for combating infectious diseases using image classification techniques and citizen science, Proceedings of the 51St Hawaii International Conference on System Sciences. Hawaii International Conference on System Sciences, (2018); Zhu C., Wang J., Liu H., Mi H., Insect identification and counting in stored grain: Image processing approach and application embedded in smartphones, Mob. Inf. Syst., 2018, pp. 1-5, (2018); He Y., Zeng H., Fan Y., Et al., Application of deep learning in integrated pest management: A real-time system for detection and diagnosis of oilseed rape pests, Mob. Inf. Syst., 2019, pp. 1-14, (2019); Motta D., Santos A.A.B., Winkler I., Et al., Application of convolutional neural networks for classification of adult mosquitoes in the field, Plos ONE, 14, (2019); Chudzik P., Mitchell A., Alkaseem M., Et al., Mobile real-time grasshopper detection and data aggregation framework, Sci. Rep., 10, (2020); Buschbacher K., Ahrens D., Espeland M., Steinhage V., Image-based species identification of wild bees using convolutional neural networks, Ecol. Inform., 55, (2020); Sandler M., Howard A., Zhu M., Et al., Mobilenetv2: Inverted Residuals and Linear Bottlenecks, (2018)</t>
  </si>
  <si>
    <t xml:space="preserve">S. Cheerkoot-Jalim; Faculty of Information, Communication and Digital Technologies, University of Mauritius, Réduit, Mauritius; email: s.cheerkoot@uom.ac.mu</t>
  </si>
  <si>
    <t xml:space="preserve">Cunha A.; Paiva A.; Pereira S.</t>
  </si>
  <si>
    <t xml:space="preserve">12th International Conference on Mobile Communication and Healthcare, MobiHealth 2023</t>
  </si>
  <si>
    <t xml:space="preserve">29 November 2023 through 30 November 2023</t>
  </si>
  <si>
    <t xml:space="preserve">Vila Real</t>
  </si>
  <si>
    <t xml:space="preserve">978-303160664-9</t>
  </si>
  <si>
    <t xml:space="preserve">Lect. Notes Inst. Comput. Sci. Soc. Informatics Telecommun. Eng.</t>
  </si>
  <si>
    <t xml:space="preserve">2-s2.0-85199793887</t>
  </si>
  <si>
    <t xml:space="preserve">Ud Deen Shafique H.N.; Ali N.; Hussain M.Z.; Hasan M.Z.; Mustafa M.; Khalid A.; Awan R.; Ashraf F.; Khan Z.A.; Javaid A.</t>
  </si>
  <si>
    <t xml:space="preserve">Ud Deen Shafique, Hafiz Noor (59374824300); Ali, Nauman (59374553900); Hussain, Muhammad Zunnurain (57202836473); Hasan, Muhammad Zulkifl (57208178055); Mustafa, Muzzamil (58137753400); Khalid, Aqsa (58794943100); Awan, Rimsha (59134251600); Ashraf, Farhan (59187968400); Khan, Zohaib Ahmed (59187968500); Javaid, Arslan (59187963600)</t>
  </si>
  <si>
    <t xml:space="preserve">59374824300; 59374553900; 57202836473; 57208178055; 58137753400; 58794943100; 59134251600; 59187968400; 59187968500; 59187963600</t>
  </si>
  <si>
    <t xml:space="preserve">Dengue Cases Prediction and Analysis using LSTM and Region-specific Data</t>
  </si>
  <si>
    <t xml:space="preserve">Dengue Fever presents a substantial global health challenge, necessitating the development of accurate predictive models for effective disease management. This research paper conducts a comprehensive analysis of a Long ShortTerm Memory (LSTM) neural network-based model for forecasting Dengue cases in the Philippines. The study includes data preprocessing, model development using TensorFlow and Keras, and thorough evaluation using metrics such as Mean Absolute Error (MAE), Mean Squared Error (MSE), Mean Absolute Percentage Error (MAPE), and Rsquared (R2). The dataset, 'Dengue Cases in the Philippines,' provides a detailed historical record of Dengue fever cases and fatalities across various regions, enabling a thorough analysis of temporal and spatial dynamics. Data preprocessing involves label encoding, normalization, and careful data splitting to ensure accurate model training and testing. The LSTM neural network architecture is optimized through hyperparameter tuning, including learning rate, batch size, and epochs, to improve prediction accuracy. Model performance is rigorously evaluated, with an MAE of 913, indicating areas for further improvement. While the model shows promise, there is room for refinement. This study contributes to the field by exploring the feasibility of LSTM models for Dengue prediction, with insights that may inform future research in disease forecasting and public health strategies. Limitations, ethical considerations, and recommendations for further work are discussed.  © 2024 IEEE.</t>
  </si>
  <si>
    <t xml:space="preserve">2024 OPJU International Technology Conference on Smart Computing for Innovation and Advancement in Industry 4.0, OTCON 2024</t>
  </si>
  <si>
    <t xml:space="preserve">10.1109/OTCON60325.2024.10688374</t>
  </si>
  <si>
    <t xml:space="preserve">https://www.scopus.com/inward/record.uri?eid=2-s2.0-85206927743&amp;doi=10.1109%2fOTCON60325.2024.10688374&amp;partnerID=40&amp;md5=b4f24a320d855bbd15546bc619c1b1f7</t>
  </si>
  <si>
    <t xml:space="preserve">University Lahore, Department of Computer Engineering Information Technology, Punjab, Pakistan; Bahria University Lahore Campus, Dept. of Computer Science, Zunnurain, Pakistan; University of Central Punjab Lahore, Faculty of Information Technology, Department of Computer Science, Pakistan; National College of Business Administration and Economics, Department of Computer Science, Lahore, Pakistan; Information Technology University, Lahore, Pakistan</t>
  </si>
  <si>
    <t xml:space="preserve">Ud Deen Shafique H.N., University Lahore, Department of Computer Engineering Information Technology, Punjab, Pakistan; Ali N., University Lahore, Department of Computer Engineering Information Technology, Punjab, Pakistan; Hussain M.Z., Bahria University Lahore Campus, Dept. of Computer Science, Zunnurain, Pakistan; Hasan M.Z., University of Central Punjab Lahore, Faculty of Information Technology, Department of Computer Science, Pakistan; Mustafa M., National College of Business Administration and Economics, Department of Computer Science, Lahore, Pakistan; Khalid A., Information Technology University, Lahore, Pakistan; Awan R., National College of Business Administration and Economics, Department of Computer Science, Lahore, Pakistan; Ashraf F., Bahria University Lahore Campus, Dept. of Computer Science, Zunnurain, Pakistan; Khan Z.A., National College of Business Administration and Economics, Department of Computer Science, Lahore, Pakistan; Javaid A., National College of Business Administration and Economics, Department of Computer Science, Lahore, Pakistan</t>
  </si>
  <si>
    <t xml:space="preserve">Data accuracy; Diseases; Long short-term memory; Prediction models; Data preprocessing; Dengue fevers; Disease management; Global health; Mean absolute error; Philippines; Prediction and analysis; Predictive models; Research papers; Short term memory; Electronic health record</t>
  </si>
  <si>
    <t xml:space="preserve">Dengue and severe dengue; Gubler D.J., Dengue and dengue hemorrhagic fever, Clin. Microbiol. Rev., 11, 3, pp. 480-496, (1998); Nguyen L.T., Le H.X., Nguyen D.T., Ho H.Q., Chuang T.-W., Impact of climate variability and abundance of mosquitoes on dengue transmission in central Vietnam, Int. J. Environ. Res. Public Health, 17, 7, (2020); Hochreiter S., Schmidhuber J., Long short-term memory, Neural Comput., 9, 8, pp. 1735-1780, (1997); Gulli A., Pal S., Deep learning with Keras. Birmingham, (2017); Pedregosa F., Scikit-learn: Machine Learning in Python, (2011); Bagnall A., Lines J., Bostrom A., Large J., Keogh E., The great time series classification bake off: A review and experimental evaluation of recent algorithmic advances, Data Min. Knowl. Discov., 31, 3, pp. 606-660, (2017); Che Z., Purushotham S., Cho K., Sontag D., Liu Y., Recurrent neural networks for multivariate time series with missing values, Sci. Rep., 8, 1, pp. 1-12, (2018); Majeed M.A., Shafri H.Z.M., Zulkafli Z., Wayayok A., A deep learning approach for dengue fever prediction in Malaysia using LSTM with spatial attention, Int. J. Environ. Res. Public Health, 20, 5, (2023); Nguyen V.-H., Et al., Deep learning models for forecasting dengue fever based on climate data in Vietnam, PLoS Negl. Trop. Dis., 16, 6, (2022); Appice A., Gel Y.R., Iliev I., Lyubchich V., Malerba D., A multi-stage machine learning approach to predict dengue incidence: A case study in Mexico, IEEE Access, 8, pp. 52713-52725, (2020); Xu J., Et al., Forecast of dengue cases in 20 Chinese cities based on the deep learning method, Int. J. Environ. Res. Public Health, 17, 2, (2020); Amin S., Uddin M.I., Zeb M.A., Alarood A.A., Mahmoud M., Alkinani M.H., Detecting dengue/flu infections based on tweets using LSTM and word embedding, IEEE Access, 8, pp. 189054-189068, (2020); Ferdousi T., Cohnstaedt L.W., Scoglio C.M., A windowed correlation-based feature selection method to improve time series prediction of dengue fever cases, IEEE Access, 9, pp. 141210-141222, (2021); Chovatiya M., Dhameliya A., Deokar J., Gonsalves J., Mathur A., Prediction of Dengue using Recurrent Neural Network, 2019 3rd International Conference on Trends in Electronics and Informatics (ICOEI), pp. 926-929, (2019); Saleh A.Y., Baiwei L., Dengue prediction using deep learning with long short-term memory, 2021 1st International Conference on Emerging Smart Technologies and Applications (eSmarTA), pp. 1-5, (2021); Saturi S., Sravani M., Hruthika S.C., Sambaraju M., Prudvendra R., Kiran S., Development of prediction and forecasting model for dengue disease based on the environmental conditions using LSTM, Lecture Notes in Networks and Systems, pp. 425-435, (2022); Khaira U., Utomo P.E.P., Aryani R., Weni I., A comparison of SARIMA and LSTM in forecasting dengue hemorrhagic fever incidence in Jambi, Indonesia, J. Phys. Conf. Ser., 1566, 1, (2020); Amin S., Et al., Recurrent neural networks with TF-IDF embedding technique for detection and classification in tweets of dengue disease, IEEE Access, 8, pp. 131522-131533, (2020)</t>
  </si>
  <si>
    <t xml:space="preserve">H.N. Ud Deen Shafique; University Lahore, Department of Computer Engineering Information Technology, Punjab, Pakistan; email: bsce20015@itu.edu.pk</t>
  </si>
  <si>
    <t xml:space="preserve">5 June 2024 through 7 June 2024</t>
  </si>
  <si>
    <t xml:space="preserve">Raigarh</t>
  </si>
  <si>
    <t xml:space="preserve">979-835037378-3</t>
  </si>
  <si>
    <t xml:space="preserve">OPJU Int. Technol. Conf. Smart Comput. Innov. Adv. Ind. 4.0, OTCON</t>
  </si>
  <si>
    <t xml:space="preserve">2-s2.0-85206927743</t>
  </si>
  <si>
    <t xml:space="preserve">Singh K.; Kumar R.; Thakur P.; Singh H.; Singh S.</t>
  </si>
  <si>
    <t xml:space="preserve">Singh, Karmveer (58940295500); Kumar, Raj (57366794900); Thakur, Prachi (57219988521); Singh, Harmanpreet (59112884200); Singh, Satya (58940295600)</t>
  </si>
  <si>
    <t xml:space="preserve">58940295500; 57366794900; 57219988521; 59112884200; 58940295600</t>
  </si>
  <si>
    <t xml:space="preserve">Dengue Fever Outbreak Prediction Using Machine Learning Models: A Comparative Study</t>
  </si>
  <si>
    <t xml:space="preserve">In many parts of the world, dengue fever is a serious health risk that is spread by mosquitoes. Officials in charge of public health can take proactive steps to stop the spread of dengue by accurately forecasting outbreaks. A comparison of various machine learning models for forecasting dengue outbreaks is presented in this research report. The performance of machine learning algorithms such as Random Forest Regression, Support Vector Regression, and Long Short-Term Memory Neural Networks is compared using four datasets from various parts of the world. Metrics like Mean Squared Error, Mean Absolute Error, and R-Squared are used to assess each model's performance. The study also analyzes the most crucial environmental and epidemiological elements and looks into the significance of various characteristics in predicting dengue outbreaks. Overall, this study contributes to the growing body of work on utilizing machine learning models to predict dengue outbreaks. © The Author(s), under exclusive license to Springer Nature Singapore Pte Ltd. 2024.</t>
  </si>
  <si>
    <t xml:space="preserve">10.1007/978-981-99-7820-5_36</t>
  </si>
  <si>
    <t xml:space="preserve">https://www.scopus.com/inward/record.uri?eid=2-s2.0-85187800701&amp;doi=10.1007%2f978-981-99-7820-5_36&amp;partnerID=40&amp;md5=77c202a3f2cbe7ba5e34695bbb131672</t>
  </si>
  <si>
    <t xml:space="preserve">Department of CSE, Chandigarh University, Mohali, India</t>
  </si>
  <si>
    <t xml:space="preserve">Singh K., Department of CSE, Chandigarh University, Mohali, India; Kumar R., Department of CSE, Chandigarh University, Mohali, India; Thakur P., Department of CSE, Chandigarh University, Mohali, India; Singh H., Department of CSE, Chandigarh University, Mohali, India; Singh S., Department of CSE, Chandigarh University, Mohali, India</t>
  </si>
  <si>
    <t xml:space="preserve">Dengue; Mosquito-borne diseases; Prediction models</t>
  </si>
  <si>
    <t xml:space="preserve">Forecasting; Mean square error; Random forests; Support vector regression; Comparatives studies; Dengue; Dengue fevers; Machine learning algorithms; Machine learning models; Mosquito-borne disease; Performance; Prediction modelling; Random forests; Research reports; Health risks</t>
  </si>
  <si>
    <t xml:space="preserve">Qureshi A.I., Mosquito-borne diseases, Zika Virus, pp. 27-45, (2018); Dissanayake V., Gunawardena N., Gunasekara N., Et al., Shift in the transmission pattern of dengue serotypes and concurrent infection with more than one dengue virus serotype, Ceylon Med. J., 56, 4, (2011); Sarder F., Akter S., Akter S., Predicting dengue outbreak from climate data using machine learning algorithms, IEEE International Conference on Data Science and Information System (ICDSIS). IEEE, pp. 1-6, (2022); Uwishema O., Addressing the effects of the earthquakes on Türkiye’s health-care system, The Lancet, 401, 125, (2023); Gupta N., Srivastava S., Jain A., Et al., Dengue in India. Indian J. Med. Res., 136, 3, pp. 373-390, (2012); Akhil P., Kumar A.A., Prediction of dengue fever outbreaks using machine learning methods, 2022 IEEE International Conference on Data Science and Information System (ICDSIS). IEEE, (2022); Mussumeci E., Codeco Coelho F., Machine-learning forecasting for dengue epidemics— Comparing LSTM, Random Forest and Lasso regression, Medrxiv, (2020); Bode S., Schubert E., Hogendoorn H., Et al., Decoding continuous variables from event-related potential (ERP) data with linear support vector regression using the Decision Decoding Toolbox (DDTBOX), Front. Neurosci., 16, 125, (2022); Xu J., Xu K., Li Z., Et al., Developing a dengue forecast model using long short term memory 2 neural networks method. 5 Institute of Disinfection and Vector Biological Control, Chongqing Center For. Medrxiv, (2019); Anez G., Rios M., Dengue in the united states of america: A worsening scenario?, Biomed. Res. Int., 125, (2013); Lee G.J., Jung J.J., DNN-based multi-output model for predicting soccer team tactics, Peerj Comput. Sci., 8, (2022); Kumar R., Singla S., Classification rule discovery for software bug severity using KNN with different distance metric, Indian J. Comput. Sci. Eng., 12, 4, pp. 841-847, (2021); Rasmussen C.E., Williams C.K.I., Gaussian Processes for Machine Learning, (2006); Albashish D., Ensemble of adapted convolutional neural networks (CNN) methods for classifying colon histopathological images, Peerj Comput. Sci., 8, (2022); Kumar R., Singla S., A study of bug manifestion process for ensuring software quality, 2021 10Th IEEE International Conference on Communication Systems and Network Technologies (CSNT). IEEE, Pp. 1–6, (2021); Bari B.S., Islam M.R., Islam M.M., Et al., A real-time approach of diagnosing rice leaf disease using deep learning-based faster R-CNN framework, Peerj Comput. Sci., 7, (2021); Wiens J.J., Does adding characters with missing data increase or decrease phylogenetic accuracy?, Syst. Biol., 47, 4, pp. 625-640, (1998); The Scientific Journal of SIPISS, (2017); Kumar R., Singla S., Sharma A., Et al., An Experimental analysis of various data mining techniques for software bug classification, Int. J. Innov. Technol. Explor. Eng, 8, 8 Special 3, pp. 108-113, (2019); Kucharski A.J., Kama M., Watson C.H., Et al., Using paired serology and surveillance data to quantify dengue transmission and control during a large outbreak in Fiji, Elife, 7, (2018); Lana R.M., Gomes M.F.C., de Lima T.F.M., Et al., The introduction of dengue follows transportation infrastructure changes in the state of Acre, Brazil: A network-based analysis, Plos Negl. Trop. Dis., 11, 11, (2017); Wu C.H., Kao S.C., Shih C.H., Et al., Open data mining for Taiwan’s dengue epidemic, Acta Trop, 183, 1-7, (2018); Bouri N., Sell T.K., Franco C., Et al., Return of epidemic dengue in the United States: Implications for the public health practitioner, Public Health Rep, 127, 3, pp. 259-266, (2012); Hii Y.L., Climate and dengue fever: Early warning based on temperature and rainfall, Umeå University Medical Dissertations, (2013); Zhang Y., Li Y., Wang L., Et al., Developing a time series predictive model for dengue in Zhongshan, China based on weather and Guangzhou Dengue surveillance data, Plos Negl. Trop. Dis., 10, 2, (2016); Das S., Sarfraz A., Jaiswal N., Et al., Impediments of reporting dengue cases in India, J. Infect. Public Health, 10, 5, pp. 494-498, (2017); Hoang Cao T., Nguyen A.D., Dinh T.Q., Et al., Forecasting dengue incidences: Statistical and dynamic models, Oxford J. Intell. Decis. Data Sci., pp. 1-13, (2018); Guo P., Liu T., Zhang Q., Et al., Developing a dengue forecast model using machine learning: A case study in China, Plos Negl. Trop. Dis., 11, (2017); Gangula R., Thirupathi L., Parupati R., Et al., Ensemble machine learning based prediction of dengue disease with performance and accuracy elevation patterns, Mater. Today Proc., (2021); Salim N.A.M., Samsudin N.A., Ismail R., Et al., Prediction of dengue outbreak in Selangor Malaysia using machine learning techniques, Sci. Rep., 11, 125, (2021); Kakarla S.G., Kumar R., Singla S., Et al., Weather integrated multiple machine learning models for prediction of dengue prevalence in India, Int. J. Biometeorol., 67, pp. 285-297, (2023); Jagadesh A., Kumar R., Singla S., Et al., Current status of Chikungunya in India, Front. Microbiol., 12, (2021); Gent D.H., Schwartz H.F., Validation of Potato Early Blight Disease Forecast Models for Colorado Using Various Sources of Meteorological Data, (2003); The US | Chikungunya Virus | CDC, (2022); Geographical Expansion of Cases of Dengue and Chikungunya beyond the Historical Areas of Transmission in the Region of the Americas, (2023)</t>
  </si>
  <si>
    <t xml:space="preserve">K. Singh; Department of CSE, Chandigarh University, Mohali, India; email: 01karmveer@gmail.com</t>
  </si>
  <si>
    <t xml:space="preserve">978-981997819-9</t>
  </si>
  <si>
    <t xml:space="preserve">2-s2.0-85187800701</t>
  </si>
  <si>
    <t xml:space="preserve">Iuliano A.; Lio P.; Manfredi G.; Romaniello F.</t>
  </si>
  <si>
    <t xml:space="preserve">Iuliano, Antonella (53982755300); Lio, Pietro (7004223170); Manfredi, Gilda (57274495700); Romaniello, Federico (57224981496)</t>
  </si>
  <si>
    <t xml:space="preserve">53982755300; 7004223170; 57274495700; 57224981496</t>
  </si>
  <si>
    <t xml:space="preserve">Denoising Probabilistic Diffusion Models for Synthetic Healthcare Image Generation</t>
  </si>
  <si>
    <t xml:space="preserve">Healthcare data are an essential resource in Machine Learning (ML) and Artificial Intelligence (AI) to improve clinical practice, empower patients and enhance drug development with the aim to discover new medical knowledge. In particular, the biomedical imaging analysis plays a important role in the health-care context producing a huge amount of data that can be used to study complex diseases and their evolution in a deeper way or to predict their onsets. In this work we consider an approach based on Denoising Diffusion Probabilistic Models (DDPM) which is a type of generative model that uses a parameterized Markov chain and variational inference to generate synthetic samples that match real data. In particular, we execute a study by training on Malaria images and generating high-quality synthetic samples in order (i) to test the performance of the DDPMs, (ii) to estimate the association between original and synthetic data and (iii) to understand how the natural and human-made environmental factors impact Malaria disease. Finally, we use a well-defined convolutional neural network for classification tasks to assess the DDPM's goodness in generating the synthetic images. © 2024 IEEE.</t>
  </si>
  <si>
    <t xml:space="preserve">2024 IEEE International Workshop on Metrology for Living Environment, MetroLivEnv 2024 - Proceedings</t>
  </si>
  <si>
    <t xml:space="preserve">10.1109/MetroLivEnv60384.2024.10615511</t>
  </si>
  <si>
    <t xml:space="preserve">https://www.scopus.com/inward/record.uri?eid=2-s2.0-85201196508&amp;doi=10.1109%2fMetroLivEnv60384.2024.10615511&amp;partnerID=40&amp;md5=b17781336bba3308401e237dc3763ad2</t>
  </si>
  <si>
    <t xml:space="preserve">University of Basilicata, Department of Mathematics, Computer Science and Economics, Potenza, Italy; University of Cambridge, Department of Computer Science and Technology, Cambridge, United Kingdom</t>
  </si>
  <si>
    <t xml:space="preserve">Iuliano A., University of Basilicata, Department of Mathematics, Computer Science and Economics, Potenza, Italy; Lio P., University of Cambridge, Department of Computer Science and Technology, Cambridge, United Kingdom; Manfredi G., University of Basilicata, Department of Mathematics, Computer Science and Economics, Potenza, Italy; Romaniello F., University of Basilicata, Department of Mathematics, Computer Science and Economics, Potenza, Italy</t>
  </si>
  <si>
    <t xml:space="preserve">Deep Learning; Denoising Probabilistic Diffusion Models; Healthcare dataset; Synthetic data</t>
  </si>
  <si>
    <t xml:space="preserve">Convolutional neural networks; Deep learning; Diffusion; Health care; Markov processes; Medical imaging; Clinical practices; De-noising; Deep learning; Denoising probabilistic diffusion model; Diffusion model; Healthcare dataset; Image generations; Machine-learning; Probabilistics; Synthetic data; Diseases</t>
  </si>
  <si>
    <t xml:space="preserve">eXtended Reality &amp; Artificial Intelligence Lab; XR&amp;AI Lab @ University of Basilicata</t>
  </si>
  <si>
    <t xml:space="preserve">AI was partially supported by Project Tech4You - Technologies for climate change adaptation and quality of life improvement, n. ECS0000009 (Directorial Decree n. 2021/3277). We thank the eXtended Reality &amp; Artificial Intelligence Lab (XR&amp;AI Lab @ University of Basilicata) for algorithms development support.</t>
  </si>
  <si>
    <t xml:space="preserve">Abadi M., Et al., TensorFlow: A system for Large-Scale machine learning, 12th USENIX symposium on operating systems design and implementation (OSDI 16), pp. 265-283, (2016); Chen R.J., Et al., Synthetic data in machine learning for medicine and healthcare, Nature Biomedical Engineering, 5, 6, pp. 493-497, (2021); Fan Y., Et al., A survey of emerging applications of diffusion probabilistic models in mri, Meta-Radiology, (2024); Harris C., Et al., Flexible Small-Molecule Design and Optimization with Equivariant Diffusion Models, ICLR 2023-Machine Learning for Drug Discovery workshop, (2023); Ho J., Jain A., Abbeel P., Denoising diffusion probabilistic models, Advances in neural information processing systems, 33, pp. 6840-6851, (2020); Imagenet Dataset; Ingraham J.B., Et al., Illuminating protein space with a programmable generative model, Nature, 623, 7989, pp. 1070-1078, (2023); Khader F., Et al., Denoising diffusion probabilistic models for 3D medical image generation, Scientific Reports, 13, 1, (2023); Kingma D.P., Ba J., Adam: A method for stochastic optimization, (2014); Kingma D.P., Welling M., Auto-encoding variational bayes, (2013); Malaria Dataset; Manfredi G., Et al., Treesketchnet: From sketch to 3d tree parameters generation, ACM Transactions on Intelligent Systems and Technology, 14, 3, pp. 1-29, (2023); Paszke A., Et al., Automatic differentiation in Py-Torch, (2017); Rajaraman S., Et al., Pre-trained convolutional neural networks as feature extractors toward improved malaria parasite detection in thin blood smear images, PeerJ, 6, (2018); Redmon J., Et al., You only look once: Unified, real-time object detection, Proceedings of the IEEE conference on computer vision and pattern recognition, pp. 779-788, (2016); Schneuing A., Et al., Structure-based drug design with equivariant diffusion models, (2022); Sohl-Dickstein J., Et al., Deep unsupervised learning using nonequilibrium thermodynamics, International conference on machine learning, pp. 2256-2265, (2015); Song Y., Ermon S., Generative modeling by estimating gradients of the data distribution, Advances in neural information processing systems, 32, (2019); Trippe B.L., Et al., Diffusion probabilistic modeling of protein backbones in 3d for the motif-scaffolding problem, (2022); Tucker A., Et al., Generating high-fidelity synthetic patient data for assessing machine learning healthcare software, NPJ digital medicine, 3, 1, pp. 1-13, (2020); Yang L., Et al., Diffusion models: A comprehensive survey of methods and applications, ACM Computing Surveys, 56, 4, pp. 1-39, (2023)</t>
  </si>
  <si>
    <t xml:space="preserve">Alma Software; Department of Computer Science, Modelling, Electronics and Systems of the University of Calabria; FLIR; Red Yard; Sensors; Sustainability</t>
  </si>
  <si>
    <t xml:space="preserve">2024 IEEE International Workshop on Metrology for Living Environment, MetroLivEnv 2024</t>
  </si>
  <si>
    <t xml:space="preserve">Chania</t>
  </si>
  <si>
    <t xml:space="preserve">979-835038501-4</t>
  </si>
  <si>
    <t xml:space="preserve">IEEE Int. Workshop Metrol. Living Environ., MetroLivEnv - Proc.</t>
  </si>
  <si>
    <t xml:space="preserve">2-s2.0-85201196508</t>
  </si>
  <si>
    <t xml:space="preserve">Ayas N.A.; Ramalingam G.</t>
  </si>
  <si>
    <t xml:space="preserve">Ayas, N. Ashik (59425893400); Ramalingam, Geetha (57723269200)</t>
  </si>
  <si>
    <t xml:space="preserve">59425893400; 57723269200</t>
  </si>
  <si>
    <t xml:space="preserve">Detection and comparison of malaria disease in blood tissue images using LeNet and AlexNet</t>
  </si>
  <si>
    <t xml:space="preserve">With the use of deep learning systems like AlexNet and Novel LeNet, the objective of this study is to ascertain the degree to which these systems are able to recognise instances of malaria infection. Methodologies and Instruments for Research: Both the dataset and a number of photos that were used as examples were obtained from the Kaggle website. The Novel LeNet and AlexNet algorithms each have twenty samples gathered for their respective classifications. In conclusion, the sample is comprised of forty individuals. The determination of the total sample size was carried out with the assistance of clinicalc.com, with the following parameters being preserved: The alpha error in this study was 0.5, the threshold value was also 0.5, the confidence level was 95 percent, the G power was 80 percent, and the enrollment ratio was 0.1. For the purpose of determining the accuracy values, Python, Anaconda, and Jupiter were utilised, in addition to a reference dataset. Results: For the purpose of comparing accuracy, an independent sample t-test is carried out with the use of SPSS software. The LeNet technique and the algorithms were used to compare it, and the results showed that it was statistically significant. resulted in successes and achievements. Given that the p-value that was determined is 0.001 (p&lt;0.05), it is possible that the findings might be regarded statistically significant. The finding is that when compared to AlexNet algorithms, unique LeNet algorithms provided greater accuracy values in the detection of malaria illnesses.  © 2024 Author(s).</t>
  </si>
  <si>
    <t xml:space="preserve">AIP Conference Proceedings</t>
  </si>
  <si>
    <t xml:space="preserve">10.1063/5.0232813</t>
  </si>
  <si>
    <t xml:space="preserve">https://www.scopus.com/inward/record.uri?eid=2-s2.0-85210225427&amp;doi=10.1063%2f5.0232813&amp;partnerID=40&amp;md5=b62bfd0c6f08c511dacc74f585a852f3</t>
  </si>
  <si>
    <t xml:space="preserve">Department of Biomedical Engineering, Saveetha School of Engineering, Saveetha Institute of Medical and Technical Sciences, Saveetha University, Tamil Nadu, Chennai, 602105, India</t>
  </si>
  <si>
    <t xml:space="preserve">Ayas N.A., Department of Biomedical Engineering, Saveetha School of Engineering, Saveetha Institute of Medical and Technical Sciences, Saveetha University, Tamil Nadu, Chennai, 602105, India; Ramalingam G., Department of Biomedical Engineering, Saveetha School of Engineering, Saveetha Institute of Medical and Technical Sciences, Saveetha University, Tamil Nadu, Chennai, 602105, India</t>
  </si>
  <si>
    <t xml:space="preserve">AlexNet; CNN; Deep Learning; Diseases; Healthcare; Malaria; Microscopic images; Novel LeNet; Python.</t>
  </si>
  <si>
    <t xml:space="preserve">Adamu Y.A., MALARIA PREDICTION MODEL USING ADVANCED ENSEMBLE MACHINE LEARNING TECHNIQUES, Journal of Medical Pharmaceutical and Allied Sciences, (2021); Vickram A.S., Prediction of Zn concentration in human seminal plasma of Normospermia samples by Artificial Neural Networks (ANN), J Assist Reprod Genet, 30, 4, pp. 453-459, (2013); Dong Y., Jiang Z., Shen H., Pan W.D., Williams L.A., Vishnu V.B., Reddy W., Benjamin H., Bryan A.W., Evaluations of Deep Convolutional Neural Networks for Automatic Identification of Malaria Infected Cells, 2017 IEEE EMBS International Conference on Biomedical &amp; Health Informatics (BHI). IEEE, (2017); Sundaram V., Srinivas M., Gurunathan J., Rao K., Maniyan R.P., Balasundaram S., Influence of trace elements and their correlation with semen quality in fertile and infertile subjects, TURKISH JOURNAL of MEDICAL SCIENCES, 43, pp. 1000-1007, (2013); Krishnan R., Deshmukh M.A., Sivakumar V.L., Joshi G., Geethakumari T., Prakash F., Effective tuned mass damper system for RC tall chimney dynamic wind response control, Materials Today: Proceedings, Apr, (2023); Girond F., Randrianasolo L., Randriamampionona L., Rakotomanana F., Randrianarivelojosia M., Ratsitorahina M., Yao Brou T., Analysing Trends and Forecasting Malaria Epidemics in Madagascar Using a Sentinel Surveillance Network: A Web-Based Application, Malaria Journal, 16, 1, pp. 1-11, (2017); Hemachandran K., Alasiry A., Marzougui M., Ganie S.M., Audumbarpise A., Turki-Hadj Alouane M., Chola C., Performance Analysis of Deep Learning Algorithms in Diagnosis of Malaria Disease, Diagnostics, 13, 3, (2023); Venkat K.P., Sivakumar V.L., Characterisation of Landuse / Landcover Changes and its Comparison in Vijayawada City using Artificial Neural Networks with Minimum Distance to Mean, 2023 International Conference on Artificial Intelligence and Knowledge Discovery in Concurrent Engineering (ICECONF), (2023); Kumar A., Et al., Influence of synthesizing parameters on surface qualities of aluminium alloy AA5083/ CNT/MoS2 nanocomposite in powder metallurgy technique, Journal of Materials Research and Technology, 27, pp. 1611-1629, (2023); Sivasankar G.A., Et al., Sustainable nano-added biofuel production from borassus flabellifer oil for conventional internal combustion engines, Energy, 282, (2023); Vijayalakshmi A., Et al., Maximizing sustainable hydrogen and ZnO nanoparticles production from Goshala wastes with nanoparticles of ZnSO4 and NaBH4, Fuel, 349, (2023); Jdey I., Hcini G., Ltifi H., Deep Learning and Machine Learning for Malaria Detection: Overview, Challenges and Future Directions, (2022); Kittichai V., Kaewthamasorn M., Thanee S., Jomtarak R., Klanboot K., Myat Naing K., Tongloy T., Chuwongin S., Boonsang S., Classification for Avian Malaria Parasite Plasmodium Gallinaceum Blood Stages by Using Deep Convolutional Neural Networks, Scientific Reports, 11, 1, pp. 1-10, (2021); Kumar R., Gupta A., Mishra A., Design of Ensemble Learning Model to Diagnose Malaria Disease Using Convolutional Neural Network, International Conference on Innovative Computing and Communications, pp. 1165-1176, (2021); Kumar R., Singh S.K., Khamparia A., Malaria Detection Using Custom Convolutional Neural Network Model on Blood Smear Slide Images, Advanced Informatics for Computing Research, pp. 20-28, (2019); Sajjad M.O.A., Asif M., Linul E., Combustion, performance and emission discussion of soapberry seed oil methyl ester blends and exhaust gas recirculation in common rail direct fuel injection system, Energy, 278, (2023); Li S., Du Z., Meng X., Zhang Y., Multi-Stage Malaria Parasite Recognition by Deep Learning, GigaScience, 10, 6, (2021); Nayak S., Kumar S., Jangid M., Malaria Detection Using Multiple Deep Learning Approaches, 2019 2nd International Conference on Intelligent Communication and Computational Techniques (ICCT). IEEE, (2019); Srinivasan R., Modified method for solving fully fuzzy transportation problem, Global Journal for Research Analysis, 5, 4, pp. 177-179, (2016); Neves B.J., Rodolpho C., Braga V.M., Alves M.N.N., Lima G.C., Cassiano E.N., Muratov F.T.M.C., Andrade C.H., Deep Learning-Driven Research for Drug Discovery: Tackling Malaria, PLoS Computational Biology, 16, 2, (2020); Pan W., David W., David Pan Y.D., Wu D., Classification of Malaria-Infected Cells Using Deep Convolutional Neural Networks, Machine Learning - Advanced Techniques and Emerging Applications, (2018); Perundyurai T.S., Vellingiri S., Rajendrian S., Munusamy S., Chinnaiyan S., K-nearest neighbour technique for the effective prediction of refrigeration parameter compatible for automobile, Thermal Science, 24, 1 PART B, pp. 565-569, (2020); Qanbar M.M., Tasdemir S., Detection of Malaria Diseases with Residual Attention Network, International Journal of Intelligent Systems and Applications in Engineering, 7, 4, pp. 238-244, (2019); Srinivasan R., Nakkeeran T., Saveetha G., Evaluation of fuzzy non-preemptive priority queues in intuitionistic pentagonal fuzzy numbers using centroidal approach, Malaya Journal of Matematik (MJM), 1, pp. 427-430, (2020); Rajaraman S., Sameer K., Antani M., Poostchi K., Silamut M.A., Hossain R.J., Maude S.J., Thoma G.R., Pre-Trained Convolutional Neural Networks as Feature Extractors toward Improved Malaria Parasite Detection in Thin Blood Smear Images, PeerJ, 6, (2018); Rajaraman S., Kamolrat Silamut M.A., Hossain I., Ersoy R.J., Maude S., Jaeger G.R.T., Antani S.K., Understanding the Learned Behavior of Customized Convolutional Neural Networks toward Malaria Parasite Detection in Thin Blood Smear Images, The Journal of Medical Investigation: JMI, 5, 3, (2018); Shinde S., Kulkarni U., Mane D., Sapkal A., DeeLearning-Based Medical Image Analysis Using Transfer Learning, Health Informatics: A Computational Perspective in Healthcare, 19-42. Studies in Computational Intelligence, (2021); Sakthivel K., Balasubramanian K.R., Srinivasan R., Solving Assignment Problem in Fuzzy Environment by Using A New Ranking Method; Silva G., Bezerra Da J.R., Pinto E.J.G., Barros G.M.N.F., De Francesco Daher E., Kidney Involvement in Malaria: An Update, Revista Do Instituto de Medicina Tropical de Sao Paulo, 59, (2017); Vijayalakshmi A., Rajesh K.B., Deep Learning Approach to Detect Malaria from Microscopic Images, Multimedia Tools and Applications, 79, 21, pp. 15297-15317, (2019); Gurukumaresan D., Duraisamy C., Srinivasan R., Optimal Solution of Fuzzy Transportation Problem Using Octagonal Fuzzy Numbers, Comput. Syst. Sci. Eng, 37, 3, pp. 415-421, (2021); Yang F., Yu H., Kamolratsilamut R.J., Maude S.J., Antani S., Smartphone-Supported Malaria Diagnosis Based on Deep Learning, Machine Learning in Medical Imaging, pp. 73-80, (2019)</t>
  </si>
  <si>
    <t xml:space="preserve">G. Ramalingam; Department of Biomedical Engineering, Saveetha School of Engineering, Saveetha Institute of Medical and Technical Sciences, Saveetha University, Chennai, Tamil Nadu, 602105, India; email: geethamariappan.sse@saveetha.com</t>
  </si>
  <si>
    <t xml:space="preserve">Srinivasan R.; Babu A.B.K.A.; Sharma T.R.; Balasubramanian P.L.; Seenivasan M.; Vijayan V.</t>
  </si>
  <si>
    <t xml:space="preserve">2nd International Interdisciplinary Scientific Conference on Green Energy, Environmental and Renewable Energy, Advanced Materials, and Sustainable Development, ICGRMSD 2024</t>
  </si>
  <si>
    <t xml:space="preserve">1 February 2024 through 2 February 2024</t>
  </si>
  <si>
    <t xml:space="preserve">Thanjavur</t>
  </si>
  <si>
    <t xml:space="preserve">0094243X</t>
  </si>
  <si>
    <t xml:space="preserve">AIP Conf. Proc.</t>
  </si>
  <si>
    <t xml:space="preserve">2-s2.0-85210225427</t>
  </si>
  <si>
    <t xml:space="preserve">Nalini N.; Nepal A.; Rijal A.; Dhakal B.; Kandel S.</t>
  </si>
  <si>
    <t xml:space="preserve">Nalini, N. (57210371547); Nepal, Anurag (58781167800); Rijal, Avishek (58781370500); Dhakal, Baibhav (58781338000); Kandel, Sabin (58781237400)</t>
  </si>
  <si>
    <t xml:space="preserve">57210371547; 58781167800; 58781370500; 58781338000; 58781237400</t>
  </si>
  <si>
    <t xml:space="preserve">Detection of Malaria in Blood Cells Using Convolution Neural Network</t>
  </si>
  <si>
    <t xml:space="preserve">There are a variety of automated diagnostic techniques and models using numerous supervised learning models, but most of these models cater especially to the diseases that are seen in the Western countries, and they rarely see the outbreak of diseases such as malaria, dengue, etc. Early detection of these diseases can control the mortality rate and help save lives. Malaria while being a curable disease still has no vaccine available for it, so early detection of malaria can help determine the risk and can prove to be lifesaving. And with the time taken to collect, analyse and diagnose malaria in the blood is valuable time that can be the difference between a patient’s life or death. And less developed countries do not have the proper resources for fast response against the disease. In this project, we are hoping to develop an effective and efficient automated diagnostic model using machine learning models. For this, we have implemented a model based on CNN architecture to detect malarial parasites in blood cells and then use advance image processing techniques to contour and isolate the parasite to track the progression of the disease. © 2024, The Author(s), under exclusive license to Springer Nature Singapore Pte Ltd.</t>
  </si>
  <si>
    <t xml:space="preserve">Lecture Notes in Electrical Engineering</t>
  </si>
  <si>
    <t xml:space="preserve">1104 LNEE</t>
  </si>
  <si>
    <t xml:space="preserve">10.1007/978-981-99-7622-5_19</t>
  </si>
  <si>
    <t xml:space="preserve">https://www.scopus.com/inward/record.uri?eid=2-s2.0-85180622001&amp;doi=10.1007%2f978-981-99-7622-5_19&amp;partnerID=40&amp;md5=ee767a13d5539c43980bc7964f276e90</t>
  </si>
  <si>
    <t xml:space="preserve">Computer Science Engineering, Nitte Meenakshi Institute of Technology (Visvesvaraya Technological University), Bengaluru, India</t>
  </si>
  <si>
    <t xml:space="preserve">Nalini N., Computer Science Engineering, Nitte Meenakshi Institute of Technology (Visvesvaraya Technological University), Bengaluru, India; Nepal A., Computer Science Engineering, Nitte Meenakshi Institute of Technology (Visvesvaraya Technological University), Bengaluru, India; Rijal A., Computer Science Engineering, Nitte Meenakshi Institute of Technology (Visvesvaraya Technological University), Bengaluru, India; Dhakal B., Computer Science Engineering, Nitte Meenakshi Institute of Technology (Visvesvaraya Technological University), Bengaluru, India; Kandel S., Computer Science Engineering, Nitte Meenakshi Institute of Technology (Visvesvaraya Technological University), Bengaluru, India</t>
  </si>
  <si>
    <t xml:space="preserve">CNN; Malaria; Mobile application; Supervised learning</t>
  </si>
  <si>
    <t xml:space="preserve">Blood; Cells; Diagnosis; Disease control; Image processing; Learning systems; Supervised learning; Automated diagnostics; Blood cells; Convolution neural network; Diagnostic model; Diagnostics techniques; Learning models; Malaria; Mobile applications; Mortality rate; Western countries; Diseases</t>
  </si>
  <si>
    <t xml:space="preserve">Rehman A., Abbas N., Saba T., Mehmood Z., Mahmood T., Ahmed K.T., Microscopic malaria parasitaemia diagnosis and grading on benchmark datasets, Microsc Res Tech, 81, 9, pp. 1042-1058, (2018); Pirnstill C.W., Cote G.L., Malaria diagnosis using a mobile phone polarized microscope, Sci Rep, 5, (2015); Rosado L., da Costa C., Manuel J., Elias D., Cardoso J., Automated detection of malaria parasites on thick blood smears via mobile devices, Procedia Comput Sci, 90, pp. 138-144, (2016); Canty M.J., Image analysis, classification and change detection in remote sensing: With algorithms for ENVI/IDL and Python, (3rd edn), CRC Press, (2014); Breslauer D.N., Maamari R.N., Switz N.A., Lam W.A., Fletcher D.A., Mobile Phone Based Clinical Microscopy for Global Health Applications, (2009); Skandarajah A., Reber C.D., Switz N.A., Fletcher D.A., Quantitative imaging with a mobile phone microscope, Plos ONE, 9, (2014); Quinn J.A., Andama A., Munabi I., Kiwanuka F.N., Automated blood smear analysis for mobile malaria diagnosis, Mobile Point Care Monit Diagno Dev Design, 31, (2014); Dallet C., Kareem S., Kale I., Real time blood image processing application for malaria diagnosis using mobile phones international conference on circuits and systems, IEEE, pp. 2405-2408, (2004); Herrera S., Vallejo A.F., Quintero J.P., Arevalo-Herrera M., Cancino M., Ferro S., Field evaluation of an automated RDT reader and data management device for Plasmodium falciparum/ Plasmodium vivax malaria in endemic areas of Colombia, Malar J, 13, (2014)</t>
  </si>
  <si>
    <t xml:space="preserve">A. Nepal; Computer Science Engineering, Nitte Meenakshi Institute of Technology (Visvesvaraya Technological University), Bengaluru, India; email: nepalanurag72@gmail.com</t>
  </si>
  <si>
    <t xml:space="preserve">Shetty N.R.; Prasad N.H.; Nalini N.</t>
  </si>
  <si>
    <t xml:space="preserve">8th International Conference on Emerging Research in Computing, Information, Communication and Applications, ERCICA 2023</t>
  </si>
  <si>
    <t xml:space="preserve">24 February 2023 through 25 February 2023</t>
  </si>
  <si>
    <t xml:space="preserve">978-981997621-8</t>
  </si>
  <si>
    <t xml:space="preserve">Lect. Notes Electr. Eng.</t>
  </si>
  <si>
    <t xml:space="preserve">2-s2.0-85180622001</t>
  </si>
  <si>
    <t xml:space="preserve">Muazzaz H.A.; Faruq Goni O.</t>
  </si>
  <si>
    <t xml:space="preserve">Muazzaz, Hasan Al (59534100700); Faruq Goni, Omaer (59534158100)</t>
  </si>
  <si>
    <t xml:space="preserve">59534100700; 59534158100</t>
  </si>
  <si>
    <t xml:space="preserve">Detection of Malaria Parasite Using Lightweight CNN Architecture and Smart Android Application</t>
  </si>
  <si>
    <t xml:space="preserve">Malaria, a fatal disease, is brought about when a female anopheles mosquito bites. Death may occur from malaria if treatment is not received in its early stages. It is highly important to identify the malaria parasite as early as possible in order to proceed with the appropriate treatment. Thus, the paper proposes a Lightweight CNN model that is designed to detect malaria parasite by early stage from microscopic blood images. To reveal the usefulness of the proposed model, Grad-CAM was applied to detect the image part of most concern (which pixels draw more attention from the model related with the other pixels) by generating heatmap image. The Model's efficiency is calculated by accuracy, precision, recall, and F1-score. Comparative analyses are conducted against well-known transfer-learning (TL) models and state-of-the-art (SOTA) models, with the proposed method. The proposed model yielded 99.56% accuracy, 99.97% precision, 98.36% recall, 99% f1-score and 99.2% AUC score. As, the proposed CNN model is lightweight the prediction time for a single image is about 2 milliseconds which making it highly efficient for practical applications and have significant impacts on healthcare accessibility, efficiency and even cost savings in the resource limited settings.  © 2024 IEEE.</t>
  </si>
  <si>
    <t xml:space="preserve">PEEIACON 2024 - International Conference on Power, Electrical, Electronics and Industrial Applications</t>
  </si>
  <si>
    <t xml:space="preserve">10.1109/PEEIACON63629.2024.10800616</t>
  </si>
  <si>
    <t xml:space="preserve">https://www.scopus.com/inward/record.uri?eid=2-s2.0-85216416893&amp;doi=10.1109%2fPEEIACON63629.2024.10800616&amp;partnerID=40&amp;md5=27da8204d69963ab7f0982e03f7b65b2</t>
  </si>
  <si>
    <t xml:space="preserve">Rajshahi University of Engineering and Technology, Electrical &amp; Computer Engineering, Rajshahi, Bangladesh</t>
  </si>
  <si>
    <t xml:space="preserve">Muazzaz H.A., Rajshahi University of Engineering and Technology, Electrical &amp; Computer Engineering, Rajshahi, Bangladesh; Faruq Goni O., Rajshahi University of Engineering and Technology, Electrical &amp; Computer Engineering, Rajshahi, Bangladesh</t>
  </si>
  <si>
    <t xml:space="preserve">Custom CNN; Explainability-Grad-CAM; Lightweight CNN; Machine Learning Algorithm; Malaria Detection; Malaria detection App; Malaria Smart Android App</t>
  </si>
  <si>
    <t xml:space="preserve">Cams; Malaria control; Transfer learning; Android apps; CNN models; Custom CNN; Explainability-grad-CAM; Lightweight CNN; Machine learning algorithms; Malaria detection; Malaria detection app; Malaria parasite; Malaria smart android app; Pixels</t>
  </si>
  <si>
    <t xml:space="preserve">Malaria, (2024); Malaria microscopy quality assurance manualversion 2. 2016, (2024); Sarkar S., Sharma R., Shah K., Malaria detection from RBC images using shallow Convolutional Neural Networks, (2024); Magotra V., Rohil M.K., Malaria Diagnosis Using a Lightweight Deep Convolutional Neural Network, Int J Telemed Appl, 2022, (2022); Alqudah A., Alqudah A.M., Qazan S., Lightweight deep learning for malaria parasite detection using cell-image of blood smear images, Revue d'Intelligence Artificielle, 34, 5, pp. 571-576, (2020); Razin W.R.W.M., Gunawan T.S., Kartiwi M., Yusoff N.M., Malaria Parasite Detection and Classification using CNN and YOLOv5 Architectures, 8th IEEE International Conference on Smart Instrumentation, Measurement and Applications, ICSIMA 2022, pp. 277-281, (2022); Islam M.R., Et al., Explainable Transformer-Based Deep Learning Model for the Detection of Malaria Parasites from Blood Cell Images, Sensors, 22, 12, (2022); Fuhad K.M.F., Tuba J.F., Sarker M.R.A., Momen S., Mohammed N., Rahman T., Deep Learning Based Automatic Malaria Parasite Detection from Blood Smear and Its Smartphone Based Application, Diagnostics, 10, 5, (2020); LHNCBC, (2024); Malaria cell images Corrected, (2024); Maharana K., Mondal S., Nemade B., A review: Data preprocessing and data augmentation techniques, Global Transitions Proceedings, 3, 1, pp. 91-99, (2022); Balestriero R., Baraniuk R.G., Batch Normalization Explained, (2022); Salehin I., Kang D.K., A Review on Dropout Regularization Approaches for Deep Neural Networks within the Scholarly Domain, Electronics, 12, 14, (2023); Powers D.M.W., Evaluation: from precision, recall and F-measure to ROC, informedness, markedness and correlation, (2020); A systematic review of Explainable Artificial Intelligence models and applications: Recent developments and future trends, Decision Analytics Journal, 7, (2023); Dai X., Spasic I., Chapman S., Meyer B., The State of the Art in Implementing Machine Learning for Mobile Apps: A Survey, 2020 SoutheastCon, pp. 1-8, (2020); Banachewicz K., Massaron L., The Kaggle Book: Data analysis and machine learning for competitive da ta science</t>
  </si>
  <si>
    <t xml:space="preserve">2nd International Conference on Power, Electrical, Electronics and Industrial Applications, PEEIACON 2024</t>
  </si>
  <si>
    <t xml:space="preserve">12 September 2024 through 13 September 2024</t>
  </si>
  <si>
    <t xml:space="preserve">Rajshahi</t>
  </si>
  <si>
    <t xml:space="preserve">979-833151798-4</t>
  </si>
  <si>
    <t xml:space="preserve">PEEIACON - Int. Conf. Power, Electr., Electron. Ind. Appl.</t>
  </si>
  <si>
    <t xml:space="preserve">2-s2.0-85216416893</t>
  </si>
  <si>
    <t xml:space="preserve">Wang G.; Wardhana R.G.; Sibuea F.; Gui A.</t>
  </si>
  <si>
    <t xml:space="preserve">Wang, Gunawan (57214836304); Wardhana, Rakha Gusti (59508932300); Sibuea, Farida (58975375300); Gui, Anderes (36816012900)</t>
  </si>
  <si>
    <t xml:space="preserve">57214836304; 59508932300; 58975375300; 36816012900</t>
  </si>
  <si>
    <t xml:space="preserve">Disease Data Modeling by Using Machine Learning Approach</t>
  </si>
  <si>
    <t xml:space="preserve">Since Covid outbreak in 2020, Indonesian Ministry of Health (MoH) has intensively embraced digital transformation initiatives in healthcare management and decision-making process. The latest healthcare digital transformation roadmap 2024, has emphasized the use of AI technology in data analytics and support policy making. The article examines the use of common Machine Learning (AI) algorithms, such as: Logistic Regression, Random Forest, Support Vector Machine (SVM), Decision Tree, and XGBoost. The article applies these algorithms to analyse the common diseases faced by Indonesian such as Measles, Malaria, Leprosy, and Diphtheria. Those diseases are classical diseases, however, still infecting many people in large areas. The article takes a case study of national health profile within period 2017-2022, to study the data model of those diseases. The outcome of the article is expected to be used for further policy making. © 2024 IEEE.</t>
  </si>
  <si>
    <t xml:space="preserve">Proceedings - 11th International Conference on Information Technology, Computer and Electrical Engineering, ICITACEE 2024</t>
  </si>
  <si>
    <t xml:space="preserve">10.1109/ICITACEE62763.2024.10762785</t>
  </si>
  <si>
    <t xml:space="preserve">https://www.scopus.com/inward/record.uri?eid=2-s2.0-85214673875&amp;doi=10.1109%2fICITACEE62763.2024.10762785&amp;partnerID=40&amp;md5=5481b8ce84925496e635de42eba95e49</t>
  </si>
  <si>
    <t xml:space="preserve">Bina Nusantara University, Binus Graduate Program-Master of Information Systems Management, Information Systems Management Department, Jakarta, 11480, Indonesia; Ministry of Health, Data and Information Technology Centre (Pusdatin), Data Analytics Department, Jakarta, Indonesia; School of Information Systems, Bina Nusantara University, Jakarta, 11480, Indonesia</t>
  </si>
  <si>
    <t xml:space="preserve">Wang G., Bina Nusantara University, Binus Graduate Program-Master of Information Systems Management, Information Systems Management Department, Jakarta, 11480, Indonesia; Wardhana R.G., Bina Nusantara University, Binus Graduate Program-Master of Information Systems Management, Information Systems Management Department, Jakarta, 11480, Indonesia; Sibuea F., Ministry of Health, Data and Information Technology Centre (Pusdatin), Data Analytics Department, Jakarta, Indonesia; Gui A., School of Information Systems, Bina Nusantara University, Jakarta, 11480, Indonesia</t>
  </si>
  <si>
    <t xml:space="preserve">Common diseases; Data Modeling; Machine Learning Algorithms</t>
  </si>
  <si>
    <t xml:space="preserve">Electronic health record; Common disease; Data modeling; Decision-making process; Digital transformation; Health-care decisions; Health-care managements; Machine learning algorithms; Machine learning approaches; Policy making; Roadmap; Adversarial machine learning</t>
  </si>
  <si>
    <t xml:space="preserve">Tan M., Kusriastuti R., Savioli L., Hotez P.J., Indonesia: An Emerging Market Economy Beset by Neglected Tropical Diseases (NTDs), PLoS Negl Trop Dis, 8, 2, (2014); Azhari A.N., Celebration of World Neglected Tropical Diseases Day in Indonesia, (2023); Pusdatin, PROFIL KESEHATAN INDONESIA 2022, (2023); Rahim F.F., Kader Maideen S.F., Abdulrahman S.A., Rashid A., Multinational municipal waste collectors and leptospirosis prevention: Assessment of knowledge, attitudes, practices and the associated factors, Clin Epidemiol Glob Health, 20, (2023); Frederika E., Normalina I., Nasronudin N., Mega R., Indonesian journal of tropical and infectious disease, Indonesian Journal of Tropical and Infectious Disease, 3, 2, (2012); Carvalho T., Soares F., Vita R., A systematic literature review of machine learning methods applied to predictive maintenance, (2022); Wang G., Nurcahyo A., Designing Personalized Integrated Healthcare Monitoring System through Blockchain and IoT, Procedia Computer Science, pp. 223-232, (2023); Final Blueprint-Private Only-Cetak Biru Strategi Transformasi DIgital Kesehatan, (2024); Sperandei S., Understanding logistic regression analysis, Biochem Med (Zagreb), 24, 1, (2014); Schonlau M., Zou R.Y., The random forest algorithm for statistical learning, Stata Journal, 20, 1, (2020); Burges C.J.C., A tutorial on support vector machines for pattern recognition, Data Min Knowl Discov, 2, 2, (1998); Lee C.S., Cheang P.Y.S., Moslehpour M., Predictive Analytics in Business Analytics: Decision Tree, Advances in Decision Sciences, 26, 1, (2022); Wang C., Deng C., Wang S., Imbalance-XGBoost: Leveraging weighted and focal losses for binary label-imbalanced classification with XGBoost, Pattern Recognit Lett, 136, (2020); Zhang P., Jia Y., Shang Y., Research and application of XGBoost in imbalanced data, Int J Distrib Sens Netw, 18, 6, (2022); Shearer C., Et al., The CRISP-DM model: The New Blueprint for Data Mining, Journal of Data Warehousing, (2000); Evaluation Metrics in Machine Learning</t>
  </si>
  <si>
    <t xml:space="preserve">Facta M.; Riyadi M.A.; Arfan M.; Soetrisno Y.A.A.; Wulandari A.P.</t>
  </si>
  <si>
    <t xml:space="preserve">11th International Conference on Information Technology, Computer and Electrical Engineering, ICITACEE 2024</t>
  </si>
  <si>
    <t xml:space="preserve">29 August 2024 through 30 August 2024</t>
  </si>
  <si>
    <t xml:space="preserve">Hybrid, Semarang</t>
  </si>
  <si>
    <t xml:space="preserve">979-835038928-9</t>
  </si>
  <si>
    <t xml:space="preserve">Proc. - Int. Conf. Inf. Technol., Comput. Electr. Eng., ICITACEE</t>
  </si>
  <si>
    <t xml:space="preserve">2-s2.0-85214673875</t>
  </si>
  <si>
    <t xml:space="preserve">Dubey S.; Banik S.; Ghosh D.; Dey A.; Das R.; Dey I.; Chowdhury S.; Dey P.</t>
  </si>
  <si>
    <t xml:space="preserve">Dubey, Subham (58907795700); Banik, Sreerupa (59384798800); Ghosh, Deba (59384337000); Dey, Akash (59384487900); Das, Rishabh (59384337100); Dey, Ipsita (59385102100); Chowdhury, Sagarika (56229672200); Dey, Prianka (59291860900)</t>
  </si>
  <si>
    <t xml:space="preserve">58907795700; 59384798800; 59384337000; 59384487900; 59384337100; 59385102100; 56229672200; 59291860900</t>
  </si>
  <si>
    <t xml:space="preserve">Disease Prediction using Machine Learning</t>
  </si>
  <si>
    <t xml:space="preserve">Significant and continuous improvements in healthcare technology have allowed the world to return to a quantitative and less time-consuming approach to disease exploration. The utilisation of Machine Learning for disease prediction has emerged as a transformative approach to accurately identify ailments based on user-provided symptoms. This research focuses on the implementation of a comprehensive disease prediction system employing multiple Machine Learning algorithms, with a spotlight on Logistic Regression, Decision Tree, Random Forest Classifier and K-Nearest Neighbours. The system processes user input symptoms to provide a probability output indicative of potential diseases, specifically focusing on Chickenpox, Diabetes, Malaria, Jaundice, Heart Attack, Osteoarthritis, Tuberculosis and many more. This research prepares for a transformation with Machine learning-driven medical diagnostic systems that analyse symptoms in a dataset of more than 40 diseases. The predictive models act as virtual diagnosticians, ensuring fast and accurate disease predictions, enabling early detection and potentially saving lives. In a world where traditional methods are failing, this visionary approach seamlessly combines Machine Learning techniques and symptom-based analytics, promising a paradigm shift in disease prediction and eliminating healthcare inefficiencies. Everything takes place within the framework of advancing technology. The outcomes of this research signify the potential of the proposed model as a useful diagnostic tool for early detection and treatment. The integration of Machine Learning in healthcare informatics contributes to disease prevention, treatment optimization and overall enhanced patient management. As we navigate the complexities of healthcare, the adoption of Machine Learning-driven disease prediction stands as a significant stride toward improving healthcare outcomes and resource efficiency. © 2024 IEEE.</t>
  </si>
  <si>
    <t xml:space="preserve">10.1109/WCONF61366.2024.10692082</t>
  </si>
  <si>
    <t xml:space="preserve">https://www.scopus.com/inward/record.uri?eid=2-s2.0-85207380418&amp;doi=10.1109%2fWCONF61366.2024.10692082&amp;partnerID=40&amp;md5=31185eafd1475a0722f4f78c129dd040</t>
  </si>
  <si>
    <t xml:space="preserve">Computer Science &amp; Engineering, Narula Institute of Technology, Kolkata, India</t>
  </si>
  <si>
    <t xml:space="preserve">Dubey S., Computer Science &amp; Engineering, Narula Institute of Technology, Kolkata, India; Banik S., Computer Science &amp; Engineering, Narula Institute of Technology, Kolkata, India; Ghosh D., Computer Science &amp; Engineering, Narula Institute of Technology, Kolkata, India; Dey A., Computer Science &amp; Engineering, Narula Institute of Technology, Kolkata, India; Das R., Computer Science &amp; Engineering, Narula Institute of Technology, Kolkata, India; Dey I., Computer Science &amp; Engineering, Narula Institute of Technology, Kolkata, India; Chowdhury S., Computer Science &amp; Engineering, Narula Institute of Technology, Kolkata, India; Dey P., Computer Science &amp; Engineering, Narula Institute of Technology, Kolkata, India</t>
  </si>
  <si>
    <t xml:space="preserve">Decision Tree; Disease Prediction; K-Nearest Neighbours; Logistic Regression; Random Forest Classifier</t>
  </si>
  <si>
    <t xml:space="preserve">Decision trees; Diagnosis; Diseases; Logistic regression; Malaria control; Nearest neighbor search; Patient treatment; Prediction models; Continuous improvements; Disease prediction; Healthcare technology; K-near neighbor; Logistics regressions; Machine-learning; Nearest-neighbour; Prediction systems; Random forest classifier; Research focus; Adversarial machine learning</t>
  </si>
  <si>
    <t xml:space="preserve">Alanazi R., Identification and prediction of chronic diseases using machine learning approach, Journal of Healthcare Engineering, 2022, (2022); Rasheed S.S., Glob I.H., Classifying and prediction for patient disease using machine learning algorithms, 2022 3rd Information Technology to Enhance e-learning and Other Application (IT-ELA), pp. 196-200, (2022); Gomathy C., Naidu M.A.R., The prediction of disease using machine learning, International Journal of Scientific Research in Engineering and Management (IJSREM), 5, 10, pp. 1-7, (2021); Nayak S.K., Garanayak M., Swain S.K., Panda S.K., Godavarthi D., An intelligent disease prediction and drug recommendation prototype by using multiple approaches of machine learning algorithms, IEEE Access, (2023); Govindaraj M., Asha V., Saju B., Sagar M., Et al., Machine learning algorithms for disease prediction analysis, 2023 5th International Conference on Smart Systems and Inventive Technology (ICSSIT), pp. 879-888, (2023); Rahman A., Debnath T., Kundu D., Khan M.S.I., Aishi A.A., Sazzad S., Sayduzzaman M., Band S.S., Machine learning and deep learning-based approach in smart healthcare: Recent advances, applications, challenges and opportunities, AIMS Public Health, 11, 1, pp. 58-109, (2024); Pentela U., Meesala A.N., Karingula D., Seelamsetti N.K., Veerlapalli S., Multiple disease prediction based on user symptoms using machine learning algorithms, 2023 International Conference on Distributed Computing and Electrical Circuits and Electronics (ICDCECE), pp. 1-6, (2023); Gopisetti L.D., Kummera S.K.L., Pattamsetti S.R., Kuna S., Parsi N., Kodali H.P., Multiple disease prediction system using machine learning and streamlit, 2023 5th International Conference on Smart Systems and Inventive Technology (ICSSIT), pp. 923-931, (2023); Kumar A., Jain T., Tiwari V., Tiwari P.K., Predicting diseases with symptom data using machine learning, 2023 3rd International Conference on Innovative Sustainable Computational Technologies (CISCT), pp. 1-6, (2023); Chen M., Hao Y., Hwang K., Wang L., Wang L., Disease prediction by machine learning over big data from healthcare communities, Ieee Access, 5, pp. 8869-8879, (2017); Arumugam K., Naved M., Shinde P.P., Leiva-Chauca O., Huaman-Osorio A., Gonzales-Yanac T., Multiple disease prediction using machine learning algorithms, Materials Today: Proceedings, 80, pp. 3682-3685, (2023); Park D.J., Park M.W., Lee H., Kim Y.-J., Kim Y., Park Y.H., Development of machine learning model for diagnostic disease prediction based on laboratory tests, Scientific reports, 11, 1, (2021); Chotrani A., Comparative analysis of machine learning models for disease prediction, Journal of Science &amp; Technology, 3, 2, pp. 10-20, (2022); Uddin S., Khan A., Hossain M.E., Moni M.A., Comparing different supervised machine learning algorithms for disease prediction, BMC medical informatics and decision making, 19, 1, pp. 1-16, (2019); Kumar S., Padmawar S., Saiyad M.F., Ramteke H., Kadam S., Enhancing disease prediction through symptoms based machine learning, 2023 7th International Conference on Computing, Communication, Control and Automation (ICCUBEA), pp. 1-6, (2023); Dharmasiri N., Vasanthapriyan S., Approach to heart diseases diagnosis and monitoring through machine learning and ios mobile application, 2018 18th International Conference on Advances in ICT for Emerging Regions (ICTer), pp. 407-412, (2018); Yazdani A., Safaei A.A., Safdari R., Zahmatkeshan M., Diagnosis of breast cancer using decision tree, artificial neural network and naive bayes to provide a native model for fars province, Payavard Salamat, 13, 3, pp. 241-250, (2019); Paul S., Ranjan P., Kumar S., Kumar A., Disease predictor using random forest classifier, 2022 International Conference for Advancement in Technology (ICONAT), pp. 1-4, (2022); Rahman A., Shamrat F.J.M., Tasnim Z., Roy J., Hossain S.A., A comparative study on liver disease prediction using supervised machine learning algorithms, International Journal of Scientific &amp; Technology Research, 8, 11, pp. 419-422, (2019); Grampurohit S., Sagarnal C., Disease prediction using machine learning algorithms, 2020 International Conference for Emerging Technology (INCET), pp. 1-7, (2020); Ibrahim I., Abdulazeez A., The role of machine learning algorithms for diagnosing diseases, Journal of Applied Science and Technology Trends, 2, pp. 10-19, (2021); Patel M., Patange R., Patil C., Kapoor P., Predicting heart disease using machine learning algorithms, International Research Journal of Engineering and Technology (IRJET), (2022); Ashokrao P.R., Radhakrishna D.D., Sharma M., Bhad S., Health disease prediction using machine learning and internet of things, 2023 4th International Conference on Intelligent Engineering and Management (ICIEM), pp. 1-6, (2023)</t>
  </si>
  <si>
    <t xml:space="preserve">2-s2.0-85207380418</t>
  </si>
  <si>
    <t xml:space="preserve">Jusman Y.; Salsabiela R.; Ferdiansyah R.; Lubis J.H.; Imanulloh F.F.; Dalilla A.F.; Fatullah A.; Mohamed Z.</t>
  </si>
  <si>
    <t xml:space="preserve">Jusman, Yessi (35810354700); Salsabiela, Rizqa (59509377500); Ferdiansyah, Ricko (59461584600); Lubis, Julnila Husna (57221995063); Imanulloh, Farkhan Fajar (59509377600); Dalilla, Aufi Fauzziah (59509924300); Fatullah, Alif (58978978200); Mohamed, Zeehaida (24345693200)</t>
  </si>
  <si>
    <t xml:space="preserve">35810354700; 59509377500; 59461584600; 57221995063; 59509377600; 59509924300; 58978978200; 24345693200</t>
  </si>
  <si>
    <t xml:space="preserve">Effectiveness of Various Smoothing Filters on Malaria Cell Image Quality</t>
  </si>
  <si>
    <t xml:space="preserve">Malaria is one of the most vulnerable diseases attacking human health, with rising cases from year to year. Therefore, technological developments are required to overcome this disease. Currently, the examination of malaria is carried out by examining human blood using a microscope, and the results are diagnosed using artificial intelligence (AI) technology. To improve the diagnosis results, this research compared the effectiveness of three image smoothing methods (average, Gaussian, and median filters) in reducing Gaussian and Salt and Pepper noise, commonly present in malaria cell images. These filters were tested on four different noise levels and analyzed based on PSNR, SNR, MSE, and SSIM values to determine the most effective filter. The results unveiled that the average filter depicted the most remarkable performance on Gaussian noise, while the median filter produced the highest outcome on Salt and Pepper noise.  © 2024 IEEE.</t>
  </si>
  <si>
    <t xml:space="preserve">International Conference on Electrical Engineering, Computer Science and Informatics (EECSI)</t>
  </si>
  <si>
    <t xml:space="preserve">10.1109/EECSI63442.2024.10776138</t>
  </si>
  <si>
    <t xml:space="preserve">https://www.scopus.com/inward/record.uri?eid=2-s2.0-85214685175&amp;doi=10.1109%2fEECSI63442.2024.10776138&amp;partnerID=40&amp;md5=3b388c6149fc244e6dbeb006516d51e0</t>
  </si>
  <si>
    <t xml:space="preserve">Universitas Muhammadiyah Yogyakarta, Center of Artificial Intelligence and Robotics Studies, Department of Electrical Engineering, Yogyakarta, Indonesia; Universitas Muhammadiyah Yogyakrta, Faculty of Engineering, Department of Electrical Engineering, Yogyakarta, Indonesia; Universiti Malaysia Perlis, Faculty of Electrical Engineering and Technology, Perlis, Malaysia; Universiti Sains Malaysia, Department of Medical Microbiology and Parasitology, Penang, Malaysia</t>
  </si>
  <si>
    <t xml:space="preserve">Jusman Y., Universitas Muhammadiyah Yogyakarta, Center of Artificial Intelligence and Robotics Studies, Department of Electrical Engineering, Yogyakarta, Indonesia; Salsabiela R., Universitas Muhammadiyah Yogyakrta, Faculty of Engineering, Department of Electrical Engineering, Yogyakarta, Indonesia; Ferdiansyah R., Universitas Muhammadiyah Yogyakrta, Faculty of Engineering, Department of Electrical Engineering, Yogyakarta, Indonesia; Lubis J.H., Universiti Malaysia Perlis, Faculty of Electrical Engineering and Technology, Perlis, Malaysia; Imanulloh F.F., Universitas Muhammadiyah Yogyakrta, Faculty of Engineering, Department of Electrical Engineering, Yogyakarta, Indonesia; Dalilla A.F., Universitas Muhammadiyah Yogyakrta, Faculty of Engineering, Department of Electrical Engineering, Yogyakarta, Indonesia; Fatullah A., Universitas Muhammadiyah Yogyakrta, Faculty of Engineering, Department of Electrical Engineering, Yogyakarta, Indonesia; Mohamed Z., Universiti Sains Malaysia, Department of Medical Microbiology and Parasitology, Penang, Malaysia</t>
  </si>
  <si>
    <t xml:space="preserve">artificial intelligence; average frilter; Gaussian filter; malaria; median filter</t>
  </si>
  <si>
    <t xml:space="preserve">Diagnosis; Diseases; Median filters; Average filter; Average frilter; Cell images; Gaussian filters; Gaussians; Human health; Malaria; Median-Filter; Salt-and-pepper noise; Smoothing filters; Wiener filtering</t>
  </si>
  <si>
    <t xml:space="preserve">Kumar A., Verma P., Jindal P., Machine learning approach to surface plasmon resonance sensor based on MXene coated PCF for malaria disease detection in RBCs, Optik, 274, (2023); Rademaker D.T., Et al., Quantifying the deformability of malariainfected red blood cells using deep learning trained on synthetic cells, iScience, 26, 12, (2023); World malaria report 2023, (2023); World malaria report 2022, (2021); Fitri L.E., Widaningrum T., Endharti A.T., Prabowo M.H., Winaris N., Nugraha R.Y.B., Malaria diagnostic update: From conventional to advanced method, J. Clin. Lab. Anal, 36, 4, pp. 1-14, (2022); Tyassari W., Jusman Y., Payana N.D., Kanafia S.N.A.M., Mohamed Z., Classification of Malaria Images in Thropozoid Stages Using Deep Learning Models, Proc. ICMERALDA 2023-Int. Conf. Model. E-Information Res. Artif. Learn. Digit. Appl, pp. 30-34, (2023); Jusman Y., Aftal A.A., Tyassari W., Kanafiah S.N.A.M., Hayati N., Mohamed Z., Classification of Parasite Malaria in Schizon Stage with GoogleNet and VGG-19 Pre-Trained Models, 2023 10th International Conference on Information Technology, Computer, and Electrical Engineering (ICITACEE), pp. 219-223, (2023); Bhuvan C., Bansal S., Gupta R., Bhan A., Computer-based diagnosis of malaria in thin blood smears using thresholding based approach, 2020 7th Int. Conf. Signal Process. Integr. Networks, SPIN, 2020, 1, pp. 1132-1135, (2020); Sharma N., Toma A.A., Saidur Rahman Kohinoor M., Efficient Segmentation Techniques for the Automated Detection of Acute Lymphoblastic Leukemia (ALL) in Microscopic Images, 2023 26th Int. Conf. Comput. Inf. Technol. ICCIT, pp. 1-6, (2023); Akanksha M.N.V., Bachu S., Kumar M.A., Kumar N.U., Implementation of Potential Leukemia Detection using Recurrent Neural Networks with Blood Cell Counting, 2022 1st Int. Conf. Electr. Electron. Inf. Commun. Technol. ICEEICT, pp. 1-5, (2022); Rajendran S., Suresh Kumar E., Leukocytes Classification and Segmentation in Microscopic Blood Smear Image, 2019 2nd Int. Conf. Intell. Comput. Instrum. Control Technol. ICICICT, pp. 1064-1068, (2019); Sharma V., Soni D., Srivastava D., Filtration Based Noise Reduction Technique in an Image, 2019 4th Int. Conf. Internet Things Smart Innov. Usages, pp. 1-6, (2019); Yu J., Based on Gaussian filter to improve the effect of the images in Gaussian noise and pepper noise, Journal of Physics: Conference Series, Institute of Physics, (2023); Roy A., Maity P., A Comparative Analysis of Various Filters to Denoise Medical X-Ray Images, 2020 4th International Conference on Electronics, Materials Engineering &amp; Nano-Technology (IEMENTech), pp. 1-5, (2020); Kumar A.A., Lal N., Kumar R.N., A Comparative Study of Various Filtering Techniques, Proc. 5th Int. Conf. Trends Electron. Informatics, ICOEI, pp. 26-31, (2021); Lubis J.H., Ali H., Yusof M.I., Jusman Y., Comparison of Noise Removal Methods for Noisy Lenke Type 1 Idiopathic Scoliosis Images, 2024 IEEE 13th International Conference on Communication Systems and Network Technologies (CSNT), pp. 879-884, (2024); Devi T.G., Patil N., Analysis &amp;evaluation of Image filtering Noise reduction technique for Microscopic Images, 2020 Int. Conf. Innov. Trends Inf. Technol. ICITIIT 2020, (2020); Agarwal S., Singh O.P., Nagaria D., Comparative Analysis of Non-Linear Filtering Techniques for Denoising of X-Ray Images; Bonnheim N.B., Et al., Deep-learning-based biomarker of spinal cartilage endplate health using ultra-short echo time magnetic resonance imaging, Quant. Imaging Med. Surg, 13, 5, (2023); Qu H., Liu K., Zhang L., Research on improved black widow algorithm for medical image denoising, Sci. Rep, 14, 1, (2024); Arthur C.K., Temeng V.A., Ziggah Y.Y., Performance Evaluation of Training Algorithms in Backpropagation Neural Network Approach to Blast-Induced Ground Vibration Prediction, Ghana Min. J, 20, 1, pp. 20-33, (2020); Sara U., Akter M., Uddin M.S., Image Quality Assessment through FSIM, SSIM, MSE and PSNR-A Comparative Study, J. Comput. Commun, 7, 3, pp. 8-18, (2019); Bappy D.M., Jeon I., Combination of hybrid median filter and total variation minimization for medical X-ray image restoration, IET Image Process, 10, 4, pp. 261-271, (2016)</t>
  </si>
  <si>
    <t xml:space="preserve">Y. Jusman; Universitas Muhammadiyah Yogyakarta, Center of Artificial Intelligence and Robotics Studies, Department of Electrical Engineering, Yogyakarta, Indonesia; email: yjusman@umy.ac.id</t>
  </si>
  <si>
    <t xml:space="preserve">11th International Conference on Electrical Engineering, Computer Science and Informatics, EECSI 2024</t>
  </si>
  <si>
    <t xml:space="preserve">26 September 2024 through 27 September 2024</t>
  </si>
  <si>
    <t xml:space="preserve">Yogyakarta</t>
  </si>
  <si>
    <t xml:space="preserve">2407439X</t>
  </si>
  <si>
    <t xml:space="preserve">979-835035531-4</t>
  </si>
  <si>
    <t xml:space="preserve">Int. Conf. Electr. Eng. Comput. Sci. Informatics</t>
  </si>
  <si>
    <t xml:space="preserve">2-s2.0-85214685175</t>
  </si>
  <si>
    <t xml:space="preserve">Monani U.J.; Samanta S.; Gourisaria M.K.; Das S.</t>
  </si>
  <si>
    <t xml:space="preserve">Monani, Udita J. (59242325300); Samanta, Subhankar (57437106700); Gourisaria, Mahendra Kumar (56708914800); Das, Suchismita (57220984670)</t>
  </si>
  <si>
    <t xml:space="preserve">59242325300; 57437106700; 56708914800; 57220984670</t>
  </si>
  <si>
    <t xml:space="preserve">Efficiency Analysis of CNN through Different Filters for Medical Image Classification</t>
  </si>
  <si>
    <t xml:space="preserve">Image classification is an important aspect in the medical domain, impacting various aspects from diagnosis to treatment. Algorithms for categorizing and classification of image data have been created to assist doctors diagnose cases faster and with fewer manual mistakes. Convolutional Neural Networks (CNN) have become crucial and widely used deep learning tool in medical image classification. Unlike traditional methods that require manual feature engineering, CNNs automatically learn relevant features from images. In this work, the performance and efficiency of CNN was analyzed through different filters like Median filter, Gaussian filter, Adaptive median filter and Wiener filter for medical image classification. The model has been experimented for classification with the publicly available Malaria datasets, pneumonia datasets and blood cell datasets. From the experimented result, it was found that the Wiener filter shows best performance for malaria and pneumonia classification task with accuracy of 96.57% and 96.93% whereas Gaussian filter shows maximum accuracy of 97.79% for Blood cell classification.  © 2024 IEEE.</t>
  </si>
  <si>
    <t xml:space="preserve">2nd IEEE International Conference on Data Science and Information System, ICDSIS 2024</t>
  </si>
  <si>
    <t xml:space="preserve">10.1109/ICDSIS61070.2024.10594018</t>
  </si>
  <si>
    <t xml:space="preserve">https://www.scopus.com/inward/record.uri?eid=2-s2.0-85200144303&amp;doi=10.1109%2fICDSIS61070.2024.10594018&amp;partnerID=40&amp;md5=a2fb5a0af12bf011600a063d76df3fc3</t>
  </si>
  <si>
    <t xml:space="preserve">Kiit Deemed To Be University, School Of Computer Engineering, Odisha, Bhubaneswar, India</t>
  </si>
  <si>
    <t xml:space="preserve">Monani U.J., Kiit Deemed To Be University, School Of Computer Engineering, Odisha, Bhubaneswar, India; Samanta S., Kiit Deemed To Be University, School Of Computer Engineering, Odisha, Bhubaneswar, India; Gourisaria M.K., Kiit Deemed To Be University, School Of Computer Engineering, Odisha, Bhubaneswar, India; Das S., Kiit Deemed To Be University, School Of Computer Engineering, Odisha, Bhubaneswar, India</t>
  </si>
  <si>
    <t xml:space="preserve">adaptive median filter; anomaly detection; CNN; gaussian filter; LSTM; median filter; softmax; wiener filter</t>
  </si>
  <si>
    <t xml:space="preserve">Adaptive filtering; Adaptive filters; Anomaly detection; Blood; Cells; Classification (of information); Computer aided diagnosis; Convolutional neural networks; Diseases; Efficiency; Gaussian distribution; Image analysis; Long short-term memory; Medical imaging; Adaptive median filter; Anomaly detection; Convolutional neural network; Gaussian filters; LSTM; Median-Filter; Medical image classification; Softmax; Wiener filter; Median filters</t>
  </si>
  <si>
    <t xml:space="preserve">Anwar S.M., Majid M., Qayyum A., Awais M., Alnowami M., Khan M.K., Medical image analysis using convolutional neural networks: A review, Journal of medical systems, 42, pp. 1-13, (2018); Das S., Nayak G.K., Saba L., Kalra M., Suri J.S., Saxena S., An artificial intelligence framework and its bias for brain tumor segmentation: A narrative review, Computers in biology and medicine, 143, (2022); Das S., Bose S., Jain R., Rout M., Light-UNet++: A Simplified U-NET++ Architecture for Multimodal Biomedical Image Segmentation, 2023 IEEE International Conference on Contemporary Computing and Communications (InC4), 1, pp. 1-5, (2023); Thenmoezhi N., Perumal B., Lakshmi A., Efficient image fusion using multi scale decomposition and absolute maximum fusion rule for MRI and CT brain images, International Journal of System Assurance Engineering and Management, pp. 1-13, (2024); Xie B., Et al., Optical design and fabrication of a multi-channel imaging spectrometer for combustion flame monitoring, Optics Express, 32, 8, pp. 14755-14769, (2024); Ahmadsaidulu S., Malla S., Mohanty D., Kumar S., Banoth E., A Novel Approach for Enhancing Malaria Detection Accuracy Through Deep Learning with C3TR and BiFPN Architectures, IEEE Sensors Letters, (2024); Barracloug P.A., Et al., Artificial Intelligence System for Malaria Diagnosis, International Journal of Advanced Computer Science &amp; Applications, 15, 3, (2024); Balerdi-Sarasola L., Et al., MALrisk: A machne-learning based tool to predict imported malaria in returned travellers with fever, Journal of Travel Medicine, (2024); Silka W., Wieczorek M., Silka J., Wozniak M., Malaria detection using advanced deep learning architecture, Sensors, 23, 3, (2023); Talapko J., Skrlec I., Alebic T., Jukic M., Vcev A., Malaria: The past and the present, Microorganisms, 7, 6, (2019); Das S., Samanta S., Rout M., Analysis of Pneumonia detection in X-ray images using different filters based Convolution Neural Networks, 2023 OITS International Conference on Information Technology (OCIT), pp. 787-792, (2023); Jain R., Sutradhar A., Dash A.K., Das S., Automatic Multiorgan Segmentation on Abdominal CT scans using Deep U-Net Model, 2021 19th OITS International Conference on Information Technology (OCIT), pp. 48-53, (2021); Wu X., Et al., Fei-Yan-Qing-Hua Decoction Exerts Anti-Inflammatory and Protective Effects in Influenza Via Inhibiting Nf-b and P38 Mapk Pathways, SSRN 4789113; Kow C.S., Ramachandram D.S., Hasan S.S., Thiruchelvam K., Insights into COVID-19 pneumonia among older adults: Understanding aspiration and risk factors for mortality, Journal of the American Geriatrics Society; Shekar G., Revathy S., Goud E.K., Malaria detection using deep learning, 2020 4th international conference on trends in electronics and informatics (ICOEI) (48184), pp. 746-750, (2020); Liu L., Wolterink J.M., Brune C., Veldhuis R.N., Anatomyaided deep learning for medical image segmentation: A review, Physics in Medicine &amp; Biology, 66, 11, (2021); Giri C., 3d convolution neural networks for medical imaging; classification and segmentation: A doctor's third eye, (2020); Deng G., Cahill L., An adaptive Gaussian filter for noise reduction and edge detection, 1993 IEEE conference record nuclear science symposium and medical imaging conference, pp. 1615-1619, (1993); Luo Y., Shan W., Peng L., Luo L., Ding P., Liang W., A computational framework for predicting novel drug indications using graph convolutional network with contrastive learning, IEEE Journal of Biomedical and Health Informatics, (2024); Huan J., Et al., Identification of agricultural surface source pollution in plain river network areas based on 3D-EEMs and convolutional neural networks, Water Science &amp; Technology, (2024); Chen M., Et al., Medical image foundation models in assisting diagnosis of brain tumors: A pilot study, European Radiology, pp. 1-13, (2024); LeCun Y., Bottou L., Bengio Y., Haffner P., Gradient-based learning applied to document recognition, Proceedings of the IEEE, 86, 11, pp. 2278-2324, (1998); Liang C., Schimel J.P., Jastrow J.D., The importance of anabolism in microbial control over soil carbon storage, Nature microbiology, 2, 8, pp. 1-6, (2017); Rajaraman S., Et al., Pre-trained convolutional neural networks as feature extractors toward improved malaria parasite detection in thin blood smear images, PeerJ, 6, (2018); Gao F., Et al., Multi-class fruit-on-plant detection for apple in SNAP system using Faster R-CNN, Computers and Electronics in Agriculture, 176, (2020); Hinton A.O., Et al., Patching the leaks: revitalizing and reimagining the STEM pipeline, Cell, 183, 3, pp. 568-575, (2020); Chowdhury D., Das S.K., Nandy S., Chakraborty A., Goswami R., Chakraborty A., An atomic technique for removal of Gaussian noise from a noisy gray scale image using lowpass-convoluted Gaussian filter, 2019 International Conference on Opto-Electronics and Applied Optics (Optronix), pp. 1-6, (2019); Chang C.-C., Hsiao J.-Y., Hsieh C.-P., An adaptive median filter for image denoising, 2008 Second international symposium on intelligent information technology application, 2, pp. 346-350, (2008); Fan L., Zhang F., Fan H., Zhang C., Brief review of image denoising techniques, Visual Computing for Industry, Biomedicine, and Art, 2, 1, (2019)</t>
  </si>
  <si>
    <t xml:space="preserve">U.J. Monani; Kiit Deemed To Be University, School Of Computer Engineering, Bhubaneswar, Odisha, India; email: uditamonani@gmail.com</t>
  </si>
  <si>
    <t xml:space="preserve">2nd International Conference on Data Science and Information System, ICDSIS 2024</t>
  </si>
  <si>
    <t xml:space="preserve">17 May 2024 through 18 May 2024</t>
  </si>
  <si>
    <t xml:space="preserve">Hassan</t>
  </si>
  <si>
    <t xml:space="preserve">979-835038166-5</t>
  </si>
  <si>
    <t xml:space="preserve">IEEE Int. Conf. Data Sci. Inf. Syst., ICDSIS</t>
  </si>
  <si>
    <t xml:space="preserve">2-s2.0-85200144303</t>
  </si>
  <si>
    <t xml:space="preserve">Irrigisetty H.; Madhavi K.R.; Avanija J.; Thokala R.R.; Varma K.S.S.R.</t>
  </si>
  <si>
    <t xml:space="preserve">Irrigisetty, Harshavelu (59256109300); Madhavi, K. Reddy (59256109400); Avanija, J. (55711418900); Thokala, Rishi Reddy (58617123800); Varma, K. S. S. Rishi (57686774700)</t>
  </si>
  <si>
    <t xml:space="preserve">59256109300; 59256109400; 55711418900; 58617123800; 57686774700</t>
  </si>
  <si>
    <t xml:space="preserve">Enhancing Alzheimer's Disease Diagnosis Through Deep Learning-Leveraging VGG-16 Architecture and Adaptive Boosting</t>
  </si>
  <si>
    <t xml:space="preserve">The key to early intervention and patient care with Alzheimer's disease is early detection. The World Health Organization estimates that 50 million people worldwide suffer from dementia, with 60-70 % of cases being Alzheimer's disease (AD). Moreover, the WHO projects that the number of people affected by AD will be nearly tripled by the year 2050, thus, the development of effective detection and management strategies. Our Research suggests a complete method that combines Convolutional Neural Networks (CNNs) with transfer learning using the VGG16 architecture, on the one hand, and Adaptive Boosting on the other, in order to improve the accuracy. The dataset includes NonDemented, VeryMildDemented, MildDemented, and ModerateDemented classes which makes the VGG16 model suitable for extraction of features and classification after the preprocessing steps, such as image resizing, conversion to arrays and pixel value normalization, are performed. From the problems faced in the earlier AD detection methodologies we use CNNs, transfer learning and adaptive boosting to improve the task performance. In conclusion, the combination of automated computational methods and sophisticated algorithms such as CNNs and AdaBoost is a progressive approach in AD detection. It provides services like efficiency, consistency, and improved diagnosis that can be applied to the patient care and the healthcare management.  © 2024 IEEE.</t>
  </si>
  <si>
    <t xml:space="preserve">Proceedings - 2024 5th International Conference on Image Processing and Capsule Networks, ICIPCN 2024</t>
  </si>
  <si>
    <t xml:space="preserve">10.1109/ICIPCN63822.2024.00081</t>
  </si>
  <si>
    <t xml:space="preserve">https://www.scopus.com/inward/record.uri?eid=2-s2.0-85204764107&amp;doi=10.1109%2fICIPCN63822.2024.00081&amp;partnerID=40&amp;md5=66795109422d2ab22ed72f0208f20733</t>
  </si>
  <si>
    <t xml:space="preserve">Sree Vidyanikethan Engineering College, Department of CSE, Tirupati, India; Mohan Babu University(Erstwhile Sree Vidyanikethan Engineering College), Department of AI&amp;ML, Tirupati, India; Mohan Babu University(Erstwhile Sree Vidyanikethan Engineering College), School of Computing, Tirupati, India; SRM Institute of Science and Technology, Department of CSE, Chennai, India</t>
  </si>
  <si>
    <t xml:space="preserve">Irrigisetty H., Sree Vidyanikethan Engineering College, Department of CSE, Tirupati, India; Madhavi K.R., Mohan Babu University(Erstwhile Sree Vidyanikethan Engineering College), Department of AI&amp;ML, Tirupati, India; Avanija J., Mohan Babu University(Erstwhile Sree Vidyanikethan Engineering College), School of Computing, Tirupati, India; Thokala R.R., SRM Institute of Science and Technology, Department of CSE, Chennai, India; Varma K.S.S.R., SRM Institute of Science and Technology, Department of CSE, Chennai, India</t>
  </si>
  <si>
    <t xml:space="preserve">Adaptive Boosting; Alzheimer's Disease; Convolution Neural Networks; Malaria Detection; Transfer Learning; VGG16</t>
  </si>
  <si>
    <t xml:space="preserve">Adaptive boosting; Deep neural networks; Diagnosis; mHealth; Neurodegenerative diseases; Transfer learning; Alzheimers disease; Convolution neural network; Convolutional neural network; Disease detection; Disease diagnosis; Early intervention; Malaria detection; Patient care; Transfer learning; VGG16; Convolutional neural networks</t>
  </si>
  <si>
    <t xml:space="preserve">Liu S., Masurkar A., Rusinek H., Chen J., Zhang B., Zhu W., Fernandez-Granda C., Razavian N., Generalizable deep learning model for early Alzheimer's disease detection from structural MRIs, 12, (2022); Feng Q., Chen Y., Liao Z., Jiang H., Mao D., Wang M., Yu E., Ding Z., Corpus callosum radiomics-based classification model in alzheimer's disease: A case-control study, Front Neurol., 9, (2018); Patil V., Madgi M., Kiran A., Early prediction of Alzheimer's disease using convolutional neural network: A review, Egypt J Neurol Psychiatry Neurosurg, 58, 130, (2022); Venugopalan J., Tong L., Hassanzadeh H.R., Et al., Multimodal deep learning models for early detection of Alzheimer's disease stage, Sci Rep, 11, (2021); Raees P., Thomas V., Automated detection of Alzheimer's disease using deep learning in mri, Journal of Physics: Conference Series. 1921., (2021); Lian C., Liu M., Zhang J., Hierarchical fully convolutional network for joint atrophy localization and alzheimer's disease diagnosis using structural mri, IEEE Transactions on Pattern Analysis and Machine Intelligence., pp. 1-1, (2018); Helaly H.A., Badawy M., Haikal A.Y., Deep learning approach for early detection of Alzheimer's disease, Cogn. Comput., 14, pp. 1711-1727, (2022); Lin E., Lin C.-H., Lane H.-Y., Deep learning with neuroimaging and genomics in alzheimer's disease, International Journal of Molecular Sciences., 22, (2021); El-Latif A.A., Chelloug S., Alabdulhafith M., Hammad M., Accurate detection of alzheimer's disease using lightweight deep learning model on mri data, Diagnostics., 13, (2023); Rajasekaran A.S., Alzheimer's Disease diagnosis using deep learning approach, 2023 Second International Conference on Electronics and Renewable Systems (ICEARS), pp. 1205-1209, (2023); Murugan S., Venkatesan C., Sumithra M.G., Gao X.Z., Elakkiya B., Akila M., Manoharan S., DEMNET: A deep learning model for early diagnosis of Alzheimer diseases and dementia from MR images, IEEE Access, 9, pp. 90319-90329, (2021); Ghazal T., Abbas S., Munir S., Khan M., Ahmad M., Issa G., Zahra B., Hasan M.K., Alzheimer disease detection empowered with transfer learning, Computers, Materials and Continua., 70, pp. 5005-5019, (2021); Narayanan D., Sp C., Optimization of VGG16 utilizing the Arithmetic optimization algorithm for early detection of alzheimer's disease, Biomedical Signal Processing and Control., 74, (2022); Khojaste M., Haghighi S., Fatemi G.S.M.T., Marchiori E., Deep learning for Alzheimer's disease diagnosis: A survey, Artificial Intelligence in Medicine., 130, (2022)</t>
  </si>
  <si>
    <t xml:space="preserve">H. Irrigisetty; Sree Vidyanikethan Engineering College, Department of CSE, Tirupati, India; email: harshavelu1234@gmail.com</t>
  </si>
  <si>
    <t xml:space="preserve">5th International Conference on Image Processing and Capsule Networks, ICIPCN 2024</t>
  </si>
  <si>
    <t xml:space="preserve">3 July 2024 through 4 July 2024</t>
  </si>
  <si>
    <t xml:space="preserve">Dhulikhel</t>
  </si>
  <si>
    <t xml:space="preserve">979-835036717-1</t>
  </si>
  <si>
    <t xml:space="preserve">Proc. - Int. Conf. Image Process. Capsul. Networks, ICIPCN</t>
  </si>
  <si>
    <t xml:space="preserve">2-s2.0-85204764107</t>
  </si>
  <si>
    <t xml:space="preserve">Phengsuwan J.; Aroonrua K.; Punpreuk K.; Sahavechaphan N.</t>
  </si>
  <si>
    <t xml:space="preserve">Phengsuwan, Jedsada (24724940900); Aroonrua, Kamron (48160906000); Punpreuk, Krit (59329535900); Sahavechaphan, Naiyana (15047123400)</t>
  </si>
  <si>
    <t xml:space="preserve">24724940900; 48160906000; 59329535900; 15047123400</t>
  </si>
  <si>
    <t xml:space="preserve">Enhancing Dengue Awareness: A Comprehensive System for Filtering Thai Social Media Posts</t>
  </si>
  <si>
    <t xml:space="preserve">Dengue fever poses a significant global public health challenge, particularly in regions with tropical and sub-tropical climates. Over the past six decades, Thailand has witnessed a surge in dengue fever outbreaks, reporting over 50,000 cases annually. Addressing these outbreaks effectively requires contin-uous public awareness initiatives and active community engagement. Interestingly, today, public awareness of dengue fever is significantly driven by posts on social media platforms. However, the sheer volume and diversity of posts may lead to crucial dengue- related messages being overshadowed. This paper thus focuses on developing the data filter component, which employs a deep learning technique to automatically classify the each individual Thai post containing dengue-specific keywords into two categories: dengue-related and dengue-unrelated. Essentially, the data filter component serves as the core engine of the TanRabad-AWARE system, aiming to streamline and prioritize crucial information from social media platforms to enhance dengue public awareness and promote the prevention and control of dengue outbreaks.  © 2024 IEEE.</t>
  </si>
  <si>
    <t xml:space="preserve">Proceedings - 2024 IEEE 48th Annual Computers, Software, and Applications Conference, COMPSAC 2024</t>
  </si>
  <si>
    <t xml:space="preserve">10.1109/COMPSAC61105.2024.00203</t>
  </si>
  <si>
    <t xml:space="preserve">https://www.scopus.com/inward/record.uri?eid=2-s2.0-85204072709&amp;doi=10.1109%2fCOMPSAC61105.2024.00203&amp;partnerID=40&amp;md5=5295cca0864cddce88a87be9d4ca8151</t>
  </si>
  <si>
    <t xml:space="preserve">National Electronics and Computer Technology Center (NECTEC), National Science and Technology Development Agency (NSTDA), Pathum Thani, Thailand</t>
  </si>
  <si>
    <t xml:space="preserve">Phengsuwan J., National Electronics and Computer Technology Center (NECTEC), National Science and Technology Development Agency (NSTDA), Pathum Thani, Thailand; Aroonrua K., National Electronics and Computer Technology Center (NECTEC), National Science and Technology Development Agency (NSTDA), Pathum Thani, Thailand; Punpreuk K., National Electronics and Computer Technology Center (NECTEC), National Science and Technology Development Agency (NSTDA), Pathum Thani, Thailand; Sahavechaphan N., National Electronics and Computer Technology Center (NECTEC), National Science and Technology Development Agency (NSTDA), Pathum Thani, Thailand</t>
  </si>
  <si>
    <t xml:space="preserve">data labelling; deep learning; dengue; online news; social media</t>
  </si>
  <si>
    <t xml:space="preserve">Data filter; Data labelling; Deep learning; Dengue; Dengue fevers; Filter components; Online news; Public awareness; Social media; Social media platforms; Tweets</t>
  </si>
  <si>
    <t xml:space="preserve">Majid S., Tan H.Y., Ye H., Xinying L., Dengue-related information needs and seeking behavior of the general public in Singapore, Journal of Information Science Theory and Practice, 7, 1, (2019); Puspitasari I., Ariful R., Nuqoba B., Public health on social media: Using instagram posts for investigating dengue hemorrhagic fever in Indonesia, AIP Conference Proceedings, 2329, (2021); Kim Y., Convolutional neural networks for sentence classification, EMNLP 2014-2014 Conference on Empirical Methods in Natural Language Processing, Proceedings of the Conference, (2014); Huan H., Guo Z., Cai T., He Z., A text classification method based on a convolutional and bidirectional long short-term memory model, Connection Science, 34, 1, (2022)</t>
  </si>
  <si>
    <t xml:space="preserve">Shahriar H.; Ohsaki H.; Sharmin M.; Towey D.; Majumder AKM.J.A.; Hori Y.; Yang J.-J.; Takemoto M.; Sakib N.; Banno R.; Ahamed S.I.</t>
  </si>
  <si>
    <t xml:space="preserve">48th IEEE Annual Computers, Software, and Applications Conference, COMPSAC 2024</t>
  </si>
  <si>
    <t xml:space="preserve">2 July 2024 through 4 July 2024</t>
  </si>
  <si>
    <t xml:space="preserve">Osaka</t>
  </si>
  <si>
    <t xml:space="preserve">979-835037696-8</t>
  </si>
  <si>
    <t xml:space="preserve">Proc. - IEEE Annu. Comput., Softw., Appl. Conf., COMPSAC</t>
  </si>
  <si>
    <t xml:space="preserve">2-s2.0-85204072709</t>
  </si>
  <si>
    <t xml:space="preserve">Agarwala S.; Sajid A.S.M.S.; Quanita A.T.; Ali M.S.; Hasan S.M.M.</t>
  </si>
  <si>
    <t xml:space="preserve">Agarwala, Shuvam (59520395600); Sajid, A. S. M. Shahiduzzaman (59520728800); Quanita, Afifa Tasneem (59521056200); Ali, Md. Sumon (59520395700); Hasan, S. M. Mahedy (57219989489)</t>
  </si>
  <si>
    <t xml:space="preserve">59520395600; 59520728800; 59521056200; 59520395700; 57219989489</t>
  </si>
  <si>
    <t xml:space="preserve">Enhancing Dengue Outbreak Prediction in Bangladesh: A Comparative Study of Advanced Predictive Models</t>
  </si>
  <si>
    <t xml:space="preserve">Dengue fever, a major global health challenge caused by the dengue virus (DENV) and transmitted by Aedes mosquitoes, affects nearly half of the world's population, with 100 to 400 million annual infections. This study focuses on predictive modeling to forecast dengue hospital admissions in Bangladesh, aiming to enhance early intervention and resource allocation. Using daily reported cases from the Directorate General of Health Services (2019-2023), three models were evaluated: Seasonal Autoregressive Integrated Moving Average (SARIMA), Extreme Gradient Boosting (XGBoost), and Random Forest Regressor (RFR). SARIMA outperformed the others with the lowest Mean Squared Error (MSE: 0.3011) and highest R2 (0.9418), demonstrating its effectiveness in capturing seasonal trends. This model shows significant potential for improving dengue surveillance and outbreak management in Bangladesh. The findings underscore the importance of accurate predictive modeling in mitigating dengue outbreaks and optimizing public health responses.  © 2024 IEEE.</t>
  </si>
  <si>
    <t xml:space="preserve">surveillance/ outbreak prediction</t>
  </si>
  <si>
    <t xml:space="preserve">2024 IEEE Conference on Computing Applications and Systems, COMPAS 2024</t>
  </si>
  <si>
    <t xml:space="preserve">10.1109/COMPAS60761.2024.10796965</t>
  </si>
  <si>
    <t xml:space="preserve">https://www.scopus.com/inward/record.uri?eid=2-s2.0-85215527153&amp;doi=10.1109%2fCOMPAS60761.2024.10796965&amp;partnerID=40&amp;md5=f4e2a1a23a01f299e4f79b6712f1e681</t>
  </si>
  <si>
    <t xml:space="preserve">Rajshahi University of Engineering and Technology, Department of Cse, Rajshahi, Bangladesh</t>
  </si>
  <si>
    <t xml:space="preserve">Agarwala S., Rajshahi University of Engineering and Technology, Department of Cse, Rajshahi, Bangladesh; Sajid A.S.M.S., Rajshahi University of Engineering and Technology, Department of Cse, Rajshahi, Bangladesh; Quanita A.T., Rajshahi University of Engineering and Technology, Department of Cse, Rajshahi, Bangladesh; Ali M.S., Rajshahi University of Engineering and Technology, Department of Cse, Rajshahi, Bangladesh; Hasan S.M.M., Rajshahi University of Engineering and Technology, Department of Cse, Rajshahi, Bangladesh</t>
  </si>
  <si>
    <t xml:space="preserve">Dengue Prediction; Machine Learning; Time Series Analysis</t>
  </si>
  <si>
    <t xml:space="preserve">Contrastive Learning; Electronic health record; Resource allocation; Bangladesh; Comparatives studies; Dengue fevers; Dengue prediction; Dengue virus; Global health; Machine-learning; Predictive models; Seasonal autoregressive integrated moving averages; Time-series analysis; Prediction models</t>
  </si>
  <si>
    <t xml:space="preserve">Cabrera M., Leake J., Naranjo-Torres J., Valero N., Cabrera J.C., Rodriguez-Morales A.J., Dengue prediction in latin america using machine learning and the one health perspective: A literature review, Tropical Medicine and Infectious Disease, 7, 10, (2022); Chakraborty T., Chattopadhyay S., Ghosh I., Forecasting dengue epidemics using a hybrid methodology, Physica A: Statistical Mechanics and its Applications, 527, (2019); Choudhury Z.M.A.H., Banu S., Islam A.M., Forecasting dengue incidence in dhaka, bangladesh: A time series analysis, (2008); Gharbi M., Quenel P., Gustave J., Cassadou S., La Ruche G., Girdary L., Marrama L., Time series analysis of dengue incidence in guadeloupe, french west indies: Forecasting models using climate variables as predictors, BMC infectious diseases, 11, pp. 1-13, (2011); Ho T., Weng T., Wang J., Han H., Cheng H., Yang C., Yu C., Liu Y., Hsiang Hu C., Huang C., Et al., Comparing machine learning with case-control models to identify confirmed dengue cases, PLoS neglected tropical diseases, 14, 11, (2020); Hoyos W., Aguilar J., Toro M., Dengue models based on machine learning techniques: A systematic literature review, Artificial intelligence in medicine, 119, (2021); Tauhedul Islam M., Maksud Kamal A.S.M., Momin Islam M., Hossain S., Impact of climate change on dengue incidence in singapore: Time-series seasonal analysis, International Journal of Environmental Health Research, pp. 1-11, (2024); Kuo C., Yang W., Chia-Yu Su E., Improving dengue fever predictions in taiwan based on feature selection and random forests, BMC Infectious Diseases, 24, (2024); Lu L., Lin H., Tian L., Yang W., Sun J., Liu Q., Time series analysis of dengue fever and weather in guangzhou, china, BMC Public Health, 9, pp. 1-5, (2009); Luz P.M., Mendes B.V.M., Codeco C.T., Struchiner C.J., Galvani A.P., Et al., Time series analysis of dengue incidence in rio de janeiro, (2008); Azam Mohd Salim N., Bee Wah Y., Reeves C., Smith M., Fairos Wan Yaacob W., Nani Mudin R., Dapari R., Nur Fatin Fatihah Sapri N., Haque U., Prediction of dengue outbreak in selangor malaysia using machine learning techniques, Scientific reports, 11, 1, (2021); Tian N., Zheng J., Li L., Xue J., Xia S., Lv S., Zhou X., Precision prediction for dengue fever in singapore: A machine learning approach incorporating meteorological data, Tropical Medicine and Infectious Disease, 9, 4, (2024); Wang Y., Wei Y., Li K., Jiang X., Li C., Yue Q., Chung Ying Zee B., Chun Chong K., Impact of extreme weather on dengue fever infection in four asian countries: A modelling analysis, Environment International, 169, (2022)</t>
  </si>
  <si>
    <t xml:space="preserve">S. Agarwala; Rajshahi University of Engineering and Technology, Department of Cse, Rajshahi, Bangladesh; email: shuvamagarwala7@gmail.com</t>
  </si>
  <si>
    <t xml:space="preserve">2024 IEEE International Conference on Computing, Applications and Systems, COMPAS 2024</t>
  </si>
  <si>
    <t xml:space="preserve">25 September 2024 through 26 September 2024</t>
  </si>
  <si>
    <t xml:space="preserve">Cox's Bazar</t>
  </si>
  <si>
    <t xml:space="preserve">979-833152976-5</t>
  </si>
  <si>
    <t xml:space="preserve">IEEE Conf. Comput. Appl. Syst., COMPAS</t>
  </si>
  <si>
    <t xml:space="preserve">2-s2.0-85215527153</t>
  </si>
  <si>
    <t xml:space="preserve">Gawali C.J.; Subbulakshmi S.</t>
  </si>
  <si>
    <t xml:space="preserve">Gawali, Chetan Jitendra (59486969300); Subbulakshmi, S. (57191373145)</t>
  </si>
  <si>
    <t xml:space="preserve">59486969300; 57191373145</t>
  </si>
  <si>
    <t xml:space="preserve">Enhancing Diagnosis of Infectious Skin Disease: A Professional Approach using Deep Learning for Leprosy Detection</t>
  </si>
  <si>
    <t xml:space="preserve">Leprosy remains a significant public health challenge, particularly in India. Early and accurate diagnosis is crucial for effective treatment and preventing nerve damage. This study explores the potential of deep learning techniques to improve leprosy diagnosis, specifically focusing on tuber-culoid leprosy. Convolutional Neural Networks (CNNs) were investigated for leprosy detection using skin lesion images. A comparative analysis was conducted using VGG16, MobileNet v1, Xception v1 and EfficientNet B0 models. With a recall of 0.9298, an F1 score of 0.9217, and an accuracy of 0.9138, EfficientNetB0 performed the best. This indicates that EfficientNetB0 is suitable for leprosy diagnosis due to its ability to balance precision and recall. The study highlights the potential of deep learning for improving leprosy diagnosis and paves the way for more accurate, reliable, and accessible diagnostic tools. © 2024 IEEE.</t>
  </si>
  <si>
    <t xml:space="preserve">10.1109/ICCCNT61001.2024.10725616</t>
  </si>
  <si>
    <t xml:space="preserve">https://www.scopus.com/inward/record.uri?eid=2-s2.0-85213035804&amp;doi=10.1109%2fICCCNT61001.2024.10725616&amp;partnerID=40&amp;md5=8ebc2aa215b9537d564bfafcea215cf2</t>
  </si>
  <si>
    <t xml:space="preserve">Amrita School of Computing, Amrita Vishwa Vidyapeetham, Department of Computer Science and Applications, Amritapuri, India</t>
  </si>
  <si>
    <t xml:space="preserve">Gawali C.J., Amrita School of Computing, Amrita Vishwa Vidyapeetham, Department of Computer Science and Applications, Amritapuri, India; Subbulakshmi S., Amrita School of Computing, Amrita Vishwa Vidyapeetham, Department of Computer Science and Applications, Amritapuri, India</t>
  </si>
  <si>
    <t xml:space="preserve">Convolutional Neural Networks; EfficientNet; leprosy; MobileNet; Xception</t>
  </si>
  <si>
    <t xml:space="preserve">Comparative analyzes; Convolutional neural network; Efficientnet; Learning techniques; Leprosy; Mobilenet; Nerve damage; Skin disease; Skin lesion images; Xception; Convolutional neural networks</t>
  </si>
  <si>
    <t xml:space="preserve">Subbulakshmi S., Sri Hari S., Jyothi D., Rule Based Medicine Recommendation for Skin Diseases Using Ontology with Semantic Information, pp. 373-387, (2022); Veluchamy S., Sudharson S., Annamalai R., Bassfar Z., Aljaedi A., Jamal S.S., Automated detection of covid-19 from multimodal imaging data using optimized convolutional neural network model, Journal of Imaging Informatics in Medicine, (2024); Kasthuri E., Subbulakshmi S., Sreedharan R., Insightful clinical assistance for anemia prediction with data analysis and explainable ai, Procedia Computer Science, 233, pp. 45-55, (2024); Baweja H.S., Parhar T., Leprosy lesion recognition using convolutional neural networks, 2016 International Conference on Machine Learning and Cybernetics (ICMLC), pp. 141-145, (2016); Jain H., Eshwa S.C., Suresh Kumarl N., Leprosy detection using image processing and deep learning, Journal of Global Pharma Technology, 9, 9, (2017); Suresha R., Devika K.M., Prabhu A., Support vector machine classifier based lung cancer recognition: A fusion approach, In 2022 International Conference on Edge Computing and Applications (ICECAA), pp. 1-8, (2022); Velasco J., Pascion C., Alberio J.W., Apuang J., Cruz J.S., Gomez M.A., Molina B., Tuala L., Thio-Ac A., Romeo J., A smartphone-based skin disease classification using mobilenet cnn, (2019); Souza M.L.M.De, Lopes G.A., Branco A.C., Fairley J.K., Oliveira Fraga L.A.De, Leprosy screening based on artificial intelligence: Development of a cross-platform app, JMIR mHealth and uHealth, 9, 4, (2021); Baweja A.K., Aditya S., Kanchana M., Leprosy diagnosis using explainable artificial intelligence techniques, In 2023 International Conference on Sustainable Computing and Data Communication Systems (ICSCDS), pp. 551-556, (2023); Athina F.H., Sara S.A., Sarwar Q.S., Tabassum N., Jannat Era M.T., Ashraf F.B., Hossain M.I., Multi-classification network for detecting skin diseases using deep learning and xai, In 2022 International Conference on Innovation and Intelligence for Informatics, Computing, and Technologies (3ICT), pp. 648-655, (2022); Renan Neves Fernandes J., Teles A.S., Silva Fernandes T.R., Daniel Batista Lima L., Balhara S., Gupta N., Teixeira S., Artificial intelligence on diagnostic aid of leprosy: A systematic literature review, Journal of Clinical Medicine, 13, 1, (2023); Edgar Rajappan D.R., Sanith S., Subbulakshmi S., Malnutrition detection using deep learning models, In 2023 4th IEEE Global Conference for Advancement in Technology (GCAT), pp. 1-8, (2023); Ashim L.K., Suresh N., Prasannakumar C.V., A comparative analysis of various transfer learning approaches skin cancer detection, In 2021 5th International Conference on Trends in Electronics and Informatics (ICOEI), pp. 1379-1385, (2021); Muthulakshmi M., Venkatesan K., Harigaran R., Jeevanantham K., Sri Varshan P., Vineeth M.S., Rahayu S.B., Sakthivel V., Comparative study of efficientnet and mobilenet models for lung cancer classification using chest ct scan images, In 2024 Second International Conference on Emerging Trends in Information Technology and Engineering (ICETITE), pp. 1-6, (2024); Sundeep Chaitanya V., Cuello L., Das M., Sudharsan A., Ganesan P., Kanmani K., Rajan L., Ebenezer M., Analysis of a novel multiplex polymerase chain reaction assay as a sensitive tool for the diagnosis of indeterminate and tuberculoid forms of leprosy, The International Journal of Mycobacteriology, 6, 1, pp. 1-8, (2017); Nayak D.R., Padhy N., Mallick P.K., Zymbler M., Kumar S., Brain tumor classification using dense efficient-net, Axioms, 11, 1, (2022); Botros J., Mourad-Chehade F., Laplanche D., Cnn and svm-based models for the detection of heart failure using electrocardiogram signals, Sensors, 22, 23, (2022); Neena A., Geetha M., Image classification using an ensemble-based deep cnn, In Recent Findings in Intelligent Computing Techniques: Proceedings of the 5th ICACNI 2017, 3, pp. 445-456, (2018); Sandler M., Howard A., Zhu M., Zhmoginov A., Chen L.-C., Mobilenetv2: Inverted residuals and linear bottlenecks, In Proceedings of the IEEE conference on computer vision and pattern recognition, pp. 4510-4520, (2018); Ahmed T., Nuri Sabab N.H., Classification and understanding of cloud structures via satellite images with efficientunet, SN Computer Science, 3, 1, (2022); Patra A., Behera S.K., Sethy P.K., Barpanda N.K., Breast mass density categorisation using deep transferred efficientnet with support vector machines, Multimedia Tools and Applications, pp. 1-14, (2024); Mehta M.J., Dharamsey M.J., Domal M.P., Classification of leprosy using artificial neural networks and machine learning, (2021); Sang D.V., Thuan N.H., An efficientnet-like feature extractor and focal ctc loss for image-base sequence recognition, In 2020 7th NAFOSTED Conference on Information and Computer Science (NICS), pp. 326-331, (2020); Bansal P., Gehlot K., Singhal A., Gupta A., Automatic detection of osteosarcoma based on integrated features and feature selection using binary arithmetic optimization algorithm, Multimedia Tools and Applications, 81, 6, pp. 8807-8834, (2022)</t>
  </si>
  <si>
    <t xml:space="preserve">2-s2.0-85213035804</t>
  </si>
  <si>
    <t xml:space="preserve">Irrigisetty H.; Madhavi K.R.; Prasad V.S.; Jonna H.; Kurlapalli M.; Gangadasari H.R.</t>
  </si>
  <si>
    <t xml:space="preserve">Irrigisetty, Harshavelu (59256109300); Madhavi, K. Reddy (59256109400); Prasad, V. Siva (57217659863); Jonna, Harinidevi (59256109500); Kurlapalli, Maheswari (59256264700); Gangadasari, Harshavardhan Reddy (59255638900)</t>
  </si>
  <si>
    <t xml:space="preserve">59256109300; 59256109400; 57217659863; 59256109500; 59256264700; 59255638900</t>
  </si>
  <si>
    <t xml:space="preserve">Enhancing High-Resolution Malaria Parasite Detection In Blood Smears Using Deep Learning</t>
  </si>
  <si>
    <t xml:space="preserve">Malaria remains a significant global health concern, with its debilitating effects claiming over 500, 000 lives annually worldwide, and faces a lot of challenges stemming from delayed or erroneous diagnoses, primarily attributed to the reliance on manual microscopy. Although effective, this is a more time-consuming method and susceptible to human error. Recognizing the severity of this global health crisis, there is an imperative to automate the evaluation process, eliminating the need for extensive human intervention. To tackle this issue, cutting-edge technologies, including Convolutional Neural Networks (CNNs), Transfer learning and Adaptive Boosting are being used in microscopic blood slides to evaluate parasitemia. Through rigorous preprocessing, the dataset is enhanced to ensure diversity and robust model training. This innovative approach involves collecting images depicting infected and non-infected erythrocytes, which are then input into CNN models, specifically VGG16, in conjunction with transfer learning, enabling the model to leverage knowledge gained from a broader dataset, enhancing its ability to accurately classify malaria instances. While previous baseline papers using CNNs encountered drawbacks related to sensitivity and reliance on large labeled datasets, our study addresses these limitations through the incorporation of transfer learning, adaptive boosting and hyperparameter tuning techniques. These advancements aim to enhance adaptability, accuracy and robustness. The model training and evaluation process, incorporating CNN, transfer learning and post-adaptive boost, achieves an accuracy that surpasses 96%. This ensures a reliable and high-performance malaria detection system, offering a promising avenue for more effective and accurate disease detection in clinical settings. © 2024 IEEE.</t>
  </si>
  <si>
    <t xml:space="preserve">2024 5th International Conference for Emerging Technology, INCET 2024</t>
  </si>
  <si>
    <t xml:space="preserve">10.1109/INCET61516.2024.10593540</t>
  </si>
  <si>
    <t xml:space="preserve">https://www.scopus.com/inward/record.uri?eid=2-s2.0-85200994142&amp;doi=10.1109%2fINCET61516.2024.10593540&amp;partnerID=40&amp;md5=f2f5971cba96169577e03db09227f6ee</t>
  </si>
  <si>
    <t xml:space="preserve">Department of CSE, Sree Vidyanikethan Engineering College, Tirupati, India; Department of AI&amp;ML, Mohan Babu University, Erstwhile Sree Vidyanikethan Engineering College, Tirupati, India</t>
  </si>
  <si>
    <t xml:space="preserve">Irrigisetty H., Department of CSE, Sree Vidyanikethan Engineering College, Tirupati, India; Madhavi K.R., Department of AI&amp;ML, Mohan Babu University, Erstwhile Sree Vidyanikethan Engineering College, Tirupati, India; Prasad V.S., Department of AI&amp;ML, Mohan Babu University, Erstwhile Sree Vidyanikethan Engineering College, Tirupati, India; Jonna H., Department of CSE, Sree Vidyanikethan Engineering College, Tirupati, India; Kurlapalli M., Department of CSE, Sree Vidyanikethan Engineering College, Tirupati, India; Gangadasari H.R., Department of CSE, Sree Vidyanikethan Engineering College, Tirupati, India</t>
  </si>
  <si>
    <t xml:space="preserve">Adaptive Boosting; Convolution Neural Networks; Malaria Detection; Transfer Learning; VGG16</t>
  </si>
  <si>
    <t xml:space="preserve">Blood; Classification (of information); Convolution; Convolutional neural networks; Deep learning; Diagnosis; Image enhancement; Knowledge management; Large datasets; Learning systems; Transfer learning; Convolution neural network; Convolutional neural network; Global health; High resolution; Malaria detection; Malaria parasite; Model training; Network transfers; Transfer learning; VGG16; Diseases</t>
  </si>
  <si>
    <t xml:space="preserve">Sree Vidyanikethan Engineering College</t>
  </si>
  <si>
    <t xml:space="preserve">The authors extend their sincere gratitude to Sree Vidyanikethan Engineering College for their invaluable support in providing infrastructure and resources, which were instrumental in completing this project. We acknowledge their unwavering commitment to fostering academic excellence and facilitating our research endeavors.</t>
  </si>
  <si>
    <t xml:space="preserve">World malaria report 2023, (2023); Memeu D.M., A Rapid Malaria Diagnostic Method Based On Automatic Detection And Classification Of Plasmodium Parasites In Stained Thin Blood Smear Images, (2014); Pattanaik P., Mittal M., Khan M., Unsupervised Deep Learning Cad Scheme For The Detection Of Malaria In Blood Smear Microscopic Images, IEEE Access, (2020); Malihi L., Ansari-Asl K., Behbahani A., Malaria parasite detection in giemsa-stained blood cell images, Iranian Conference on Machine Vision and Image Processing, pp. 360-365, (2013); Das D.K., Ghosh M., Pal M., Maiti A.K., Chakraborty C., Machine learning approach for automated screening of malaria parasite using light microscopic images, Micron, 45, pp. 97-106, (2013); Mohanty I., Pattanaik P., Swarnkar T., Automatic Detection of Malaria Parasites Using Unsupervised Techniques, (2019); Panchbhai V.V., Damahe L.B., Nagpure A.V., Chopkar P.N., RBCs and Parasites Segmentation from Thin Smear Blood Cell Images, IJIGSP, 4, 10, pp. 54-60, (2012); Rosado L., da Costa C.J.M., Elias D., Cardoso J.S., Automated Detection of Malaria Parasites on Thick Blood Smears via Mobile Devices, Procedia Computer Science, 90, pp. 138-144, (2016); Shah D., Kawale K., Shah M., Randive S., Mapari R., Malaria Parasite Detection Using Deep Learning: (Beneficial to humankind), 2020 4th International Conference on Intelligent Computing and Control Systems (ICICCS), pp. 984-988, (2020); Oliveira A.D., Prats C., Espasa M., Serrat Z.F., Sales M.C., Silgado A., Codina D.L., Arruda M.E., Prat J.G., Albuquerque J., The Malaria System MicroApp: A New, Mobile Device-Based Tool for Malaria Diagnosis, JMIR Res Protoc, 6, 4, (2017)</t>
  </si>
  <si>
    <t xml:space="preserve">IEEE</t>
  </si>
  <si>
    <t xml:space="preserve">5th IEEE International Conference for Emerging Technology, INCET 2024</t>
  </si>
  <si>
    <t xml:space="preserve">24 May 2024 through 26 May 2024</t>
  </si>
  <si>
    <t xml:space="preserve">Belgaum</t>
  </si>
  <si>
    <t xml:space="preserve">979-835036115-5</t>
  </si>
  <si>
    <t xml:space="preserve">Int. Conf. Emerg. Technol., INCET</t>
  </si>
  <si>
    <t xml:space="preserve">2-s2.0-85200994142</t>
  </si>
  <si>
    <t xml:space="preserve">Singh P.; Saran S.</t>
  </si>
  <si>
    <t xml:space="preserve">Singh, Priyanka (57225894935); Saran, Sameer (7003795359)</t>
  </si>
  <si>
    <t xml:space="preserve">57225894935; 7003795359</t>
  </si>
  <si>
    <t xml:space="preserve">Explaining Environmental Distribution of Aedes albopictus using Machine Learning</t>
  </si>
  <si>
    <t xml:space="preserve">The Aedes albopictus mosquito, known for its role in transmitting diseases such as dengue fever, Zika virus, and chikungunya, poses a significant public health threat globally. Understanding its distribution patterns is crucial for effective disease surveillance and control. This study employs machine learning techniques, specifically MaxEnt modeling, to elucidate the relationship between environmental factors and the distribution of Aedes albopictus. Using presence-only data and a suite of environmental variables, we trained MaxEnt models to predict the potential distribution of Aedes albopictus across a geographical region. The models were validated using independent datasets and evaluated for their predictive accuracy and robustness. Our results reveal significant associations between Aedes albopictus presence and environmental factors such as temperature related variables. Furthermore, we employed spatial analysis techniques to identify areas at high risk of Aedes albopictus presence, aiding in targeted vector control strategies and disease prevention efforts. MaxEnt models demonstrated high predictive performance, effectively capturing the complex relationships between environmental variables and mosquito distribution in Nepal, India and Myanmar, along with Spain and Italy. By integrating machine learning algorithms with environmental data, this study provides valuable insights into the ecological drivers of Aedes albopictus distribution, enhancing our ability to mitigate the risk of mosquito-borne diseases in affected regions. © Author(s) 2024.</t>
  </si>
  <si>
    <t xml:space="preserve">surveillance/outbreak prediction</t>
  </si>
  <si>
    <t xml:space="preserve">International Archives of the Photogrammetry, Remote Sensing and Spatial Information Sciences - ISPRS Archives</t>
  </si>
  <si>
    <t xml:space="preserve">International Society for Photogrammetry and Remote Sensing</t>
  </si>
  <si>
    <t xml:space="preserve">10.5194/isprs-archives-XLVIII-4-2024-431-2024</t>
  </si>
  <si>
    <t xml:space="preserve">https://www.scopus.com/inward/record.uri?eid=2-s2.0-85212526574&amp;doi=10.5194%2fisprs-archives-XLVIII-4-2024-431-2024&amp;partnerID=40&amp;md5=507bca84dfd842f35d4f7f33ee49383a</t>
  </si>
  <si>
    <t xml:space="preserve">UPES, School of Computer Science, Uttarakhand, Dehradun, 248007, India; Regional Remote Sensing Center-North, ISRO, Dept. of Space, New Delhi, 110049, India</t>
  </si>
  <si>
    <t xml:space="preserve">Singh P., UPES, School of Computer Science, Uttarakhand, Dehradun, 248007, India; Saran S., Regional Remote Sensing Center-North, ISRO, Dept. of Space, New Delhi, 110049, India</t>
  </si>
  <si>
    <t xml:space="preserve">Climate Change; Geospatial; Healthcare; Machine Learning; Malaria; Maximum Entropy</t>
  </si>
  <si>
    <t xml:space="preserve">Diseases; Health risks; Malaria control; Mosquito control; Public risks; Risk assessment; Dengue fevers; Environmental distribution; Environmental factors; Environmental variables; Geo-spatial; Healthcare; Machine-learning; Malaria; MaxEnt models; Maximum-entropy; Adversarial machine learning</t>
  </si>
  <si>
    <t xml:space="preserve">Baldwin R. A., Use of maximum entropy modeling in wildlife research, Entropy, 11, 4, pp. 854-866, (2009); Braunisch V., Coppes J., Arlettaz R., Suchant R., Schmid H., Bollmann K., Selecting from correlated climate variables: a major source of uncertainty for predicting species distributions under climate change, Ecography, 36, 9, pp. 971-983, (2013); Dicko A. H., Lancelot R., Seck M. T., Guerrini L., Sall B., Lo M., Bouyer J., Using species distribution models to optimize vector control in the framework of the tsetse eradication campaign in Senegal, Proceedings of the National Academy of Sciences, 111, 28, pp. 10149-10154, (2014); Dobson A., Carper R., Global warming and potential changes in host-parasite and disease-vector relationships, (1992); Elith J., Kearney M., Phillips S., The art of modelling range‐shifting species, Methods in ecology and evolution, 1, 4, pp. 330-342, (2010); Elith J., Kearney M., Phillips S., The art of modelling range‐shifting species, Methods in ecology and evolution, 1, 4, pp. 330-342, (2010); Elith J., Phillips S. J., Hastie T., Dudik M., Chee Y. E., Yates C. J., A statistical explanation of MaxEnt for ecologists, Diversity and distributions, 17, 1, pp. 43-57, (2011); Epstein P. R., Is global warming harmful to health?, Scientific American, 283, 2, pp. 50-57, (2000); Fischer D., Thomas S. M., Niemitz F., Reineking B., Beierkuhnlein C., Projection of climatic suitability for Aedes albopictus Skuse (Culicidae) in Europe under climate change conditions, Global and Planetary Change, 78, 1-2, pp. 54-64, (2011); GBIF Occurrence Download; Gjenero-Margan I., Aleraj B., Krajcar D., Lesnikar V., Klobucar A., Pem-Novosel I., Mlinaric-Galinovic G., Autochthonous dengue fever in Croatia, august-September 2010, Eurosurveillance, 16, 9, (2011); Greer A., Ng V., Fisman D., Climate change and infectious diseases in North America: the road ahead, Cmaj, 178, 6, pp. 715-722, (2008); Gormley A. M., Forsyth D. M., Griffioen P., Lindeman M., Ramsey D. S., Scroggie M. P., Woodford L., Using presence‐only and presence-absence data to estimate the current and potential distributions of established invasive species, Journal of Applied Ecology, 48, 1, pp. 25-34, (2011); Gould E. A., Gallian P., De Lamballerie X., Charrel R. N., First cases of autochthonous dengue fever and chikungunya fever in France: from bad dream to reality!, Clinical microbiology and infection, 16, 12, pp. 1702-1704, (2010); Gratz N. G., Critical review of the vector status of Aedes albopictus, Medical and veterinary entomology, 18, 3, pp. 215-227, (2004); Guisan A., Tingley R., Baumgartner J. B., Naujokaitis-Lewis I., Sutcliffe P. R., Tulloch A. I., Buckley Y. M., Predicting species distributions for conservation decisions, Ecology letters, 16, 12, pp. 1424-1435, (2013); Hayes R. O., Maxwell E. L., Mitchell C. J., Woodzick T. L., Detection, identification, and classification of mosquito larval habitats using remote sensing scanners in earth-orbiting satellites, Bulletin of the World Health Organization, 63, 2, (1985); Hijmans R. J., Cameron S. E., Parra J. L., Jones P. G., Jarvis A., Very high resolution interpolated climate surfaces for global land areas, International Journal of Climatology: A Journal of the Royal Meteorological Society, 25, 15, pp. 1965-1978, (2005); Holdridge L. R., Determination of world plant formations from simple climatic data, Science, 105, 2727, pp. 367-368, (1947); Fourth Assessment Report, (2007); Jia D. R., Wang Y. J., Liu T. L., Wu G. L., Kou Y. X., Cheng K., Liu J. Q., Diploid hybrid origin of Hippophaë gyantsensis (Elaeagnaceae) in the western Qinghai-Tibet Plateau, Biological Journal of the Linnean Society, 117, 4, pp. 658-671, (2016); Kamgang B., Nchoutpouen E., Simard F., Paupy C., Notes on the blood-feeding behavior of Aedes albopictus (Diptera: Culicidae) in Cameroon, Parasites &amp; vectors, 5, pp. 1-4, (2012); Koch L. K., Cunze S., Werblow A., Kochmann J., Dorge D. D., Mehlhorn H., Klimpel S., Modeling the habitat suitability for the arbovirus vector Aedes albopictus (Diptera: Culicidae) in Germany, Parasitology research, 115, pp. 957-964, (2016); Martens W. J., Health impacts of climate change and ozone depletion: an ecoepidemiologic modeling approach, Environmental health perspectives, 106, pp. 241-251, (1998); Medlock J. M., Avenell D., Barrass I., Leach S., Analysis of the potential for survival and seasonal activity of Aedes albopictus (Diptera: Culicidae) in the United Kingdom, Journal of Vector Ecology, 31, 2, pp. 292-304, (2006); Na L., Genxu W., Yan Y., Yongheng G., Guangsheng L., Plant production, and carbon and nitrogen source pools, are strongly intensified by experimental warming in alpine ecosystems in the Qinghai-Tibet Plateau, Soil Biology and Biochemistry, 43, 5, pp. 942-953, (2011); Paaijmans K. P., Imbahale S. S., Thomas M. B., Takken W., Relevant microclimate for determining the development rate of malaria mosquitoes and possible implications of climate change, Malaria journal, 9, pp. 1-8, (2010); Pearson R. G., Dawson T. P., Predicting the impacts of climate change on the distribution of species: are bioclimate envelope models useful?, Global ecology and biogeography, 12, 5, pp. 361-371, (2003); Peterson A. T., Soberon J., Pearson R. G., Anderson R. P., Martinez-Meyer E., Nakamura M., Araujo M. B., Ecological niches and geographic distributions (MPB-49), Ecological Niches and Geographic Distributions (MPB-49), (2011); Phillips S. J., Anderson R. P., Schapire R. E., Maximum entropy modeling of species geographic distributions, Ecological modelling, 190, 3-4, pp. 231-259, (2006); Purse B. V., Mellor P. S., Rogers D. J., Samuel A. R., Mertens P. P., Baylis M., Climate change and the recent emergence of bluetongue in Europe, Nature reviews microbiology, 3, 2, pp. 171-181, (2005); Rezza G., Nicoletti L., Angelini R., Romi R., Finarelli A. C., Panning M., Cassone A., Infection with chikungunya virus in Italy: an outbreak in a temperate region, The Lancet, 370, 9602, pp. 1840-1846, (2007); Rohr J. R., Dobson A. P., Johnson P. T., Kilpatrick A. M., Paull S. H., Raffel T. R., Thomas M. B., Frontiers in climate change-disease research, Trends in ecology &amp; evolution, 26, 6, pp. 270-277, (2011); Sithiprasasna R., Ja Lee W., Ugsang D. M., Linthicum K. J., Identification and characterization of larval and adult anopheline mosquito habitats in the Republic of Korea: potential use of remotely sensed data to estimate mosquito distributions, International Journal of Health Geographics, 4, pp. 1-11, (2005); Thibaud E., Petitpierre B., Broennimann O., Davison A. C., Guisan A., Measuring the relative effect of factors affecting species distribution model predictions, Methods in Ecology and Evolution, 5, 9, pp. 947-955, (2014); Townson H., Nathan M. B., Zaim M., Guillet P., Manga L., Bos R., Kindhauser M., Exploiting the potential of vector control for disease prevention, Bulletin of the World Health Organization, 83, 12, pp. 942-947, (2005); Wagner V. E., Hill-Rowley R., Narlock S. A., Newson H. D., Remote sensing: a rapid and accurate method of data acquisition for a newly formed mosquito control district, Mosquito News, 39, 2, pp. 283-287, (1979); Wilson A., Mellor P., Bluetongue in Europe: vectors, epidemiology and climate change, Parasitology research, 103, pp. 69-77, (2008); Witten I. H., Frank E., Hall M. A., Pal C. J., Data M., Practical machine learning tools and techniques, Data mining, 2, 4, pp. 403-413, (2005); Malaria, (2009); Dengue and dengue hemorrhagic fever, (2009)</t>
  </si>
  <si>
    <t xml:space="preserve">Zlatanova S.; Brovelli M.A.; Wu H.; Helmholz P.; Chen L.</t>
  </si>
  <si>
    <t xml:space="preserve">2024 Symposium on Spatial Information to Empower the Metaverse</t>
  </si>
  <si>
    <t xml:space="preserve">22 October 2024 through 25 October 2024</t>
  </si>
  <si>
    <t xml:space="preserve">Perth</t>
  </si>
  <si>
    <t xml:space="preserve">Int. Arch. Photogramm., Remote Sens. Spat. Inf. Sci. - ISPRS Arch.</t>
  </si>
  <si>
    <t xml:space="preserve">2-s2.0-85212526574</t>
  </si>
  <si>
    <t xml:space="preserve">Chanda C.; Murmu A.; Kumar P.</t>
  </si>
  <si>
    <t xml:space="preserve">Chanda, Charu (58795709300); Murmu, Anita (57204010665); Kumar, Piyush (58592836100)</t>
  </si>
  <si>
    <t xml:space="preserve">58795709300; 57204010665; 58592836100</t>
  </si>
  <si>
    <t xml:space="preserve">FedCNNAvg: Federated Learning for Preserving-Privacy of Multi-clients Decentralized Medical Image Classification</t>
  </si>
  <si>
    <t xml:space="preserve">Federated Learning (FL) permits the cooperative training of a joint model for several medical facilities while maintaining the decentralization of the data owing to privacy considerations. However, Federated optimizations often struggle with the heterogeneity of data dissemination among medical facilities. Nowadays, the domains of medical image classification, compression, and privacy are particularly difficult for diagnosing disease. The transmission of these medical images through the internet for diagnostic reasons must be protected against cyberattacks. In this proposed method, a Federated Learning approach with a Convolutional Neural Network (FedCNN) and Federated Averaging (FedAVG) is employed for classification problems. This technique adjusts the contribution of each data sample to the local goal during optimization based on knowledge of the client’s label distribution, thereby minimizing the instability caused by data heterogeneity. The model utilizes a hybrid approach to ensure consistency in time-series data. The datasets, namely, COVIDx-19 X-ray and malaria that are freely accessible are the subject of our in-depth investigations. The experimental results have been analyzed by evaluation metrics, namely, accuracy (78.79 and 98.92), precision (73.72 and 95.73), and recall (71.91 and 93.91) for proper validation. The findings demonstrate that FedCNN achieves better convergence performance than the main FL optimization methods under comparison. © The Author(s), under exclusive license to Springer Nature Singapore Pte Ltd. 2024.</t>
  </si>
  <si>
    <t xml:space="preserve">10.1007/978-981-99-6755-1_19</t>
  </si>
  <si>
    <t xml:space="preserve">https://www.scopus.com/inward/record.uri?eid=2-s2.0-85181533100&amp;doi=10.1007%2f978-981-99-6755-1_19&amp;partnerID=40&amp;md5=c015e044b87c62828caf4439888eda15</t>
  </si>
  <si>
    <t xml:space="preserve">National Institute of Technology Patna, Patna, India</t>
  </si>
  <si>
    <t xml:space="preserve">Chanda C., National Institute of Technology Patna, Patna, India; Murmu A., National Institute of Technology Patna, Patna, India; Kumar P., National Institute of Technology Patna, Patna, India</t>
  </si>
  <si>
    <t xml:space="preserve">Classification; Convolutional neural network; Deep learning; Federated learning; Medical imaging</t>
  </si>
  <si>
    <t xml:space="preserve">Convolution; Convolutional neural networks; Diagnosis; Image classification; Learning systems; Medical imaging; Privacy-preserving techniques; Convolutional neural network; Data dissemination; Decentralisation; Decentralised; Deep learning; Federated learning; Joint models; Medical facility; Medical image classification; Optimisations; Deep learning</t>
  </si>
  <si>
    <t xml:space="preserve">Das S., Namasudra S., A lightweight and anonymous mutual authentication scheme for medical big data in distributed smart healthcare systems, IEEE/ACM Trans Comput Biol Bioinform, (2022); Sharma P., Moparthi N.R., Namasudra S., Shanmuganathan V., Hsu C.H., Blockchainbased IoT architecture to secure healthcare system using identity-based encryption, Expert Syst, 39, 10, (2022); Hao M., Li H., Luo X., Xu G., Yang H., Liu S., Efficient and privacy-enhanced federated learning for industrial artificial intelligence, IEEE Trans Ind Inform, 16, 10, pp. 6532-6542, (2019); Deist T.M., Dankers F.J., Ojha P., Marshall M.S., Janssen T., Faivre-Finn C., Masciocchi C., Valentini V., Wang J., Chen J., Zhang Z., Distributed learning on 20000+ lung cancer patients-The Personal Health Train, Radiother Oncol, 144, pp. 189-200, (2020); Murmu A., Rahman M., Kumar P., A novel DNA computing with chaos for improving security of medical image, Springer International Conference on MIND-2023, (2023); Li T., Sahu A.K., Zaheer M., Sanjabi M., Talwalkar A., Smith V., Federated optimization in heterogeneous networks, Proc Mach Learn Syst, 2, pp. 429-450, (2020); Wang J., Liu Q., Liang H., Joshi G., Poor HV (2020) Tackling the objective inconsistency problem in heterogeneous federated optimization, Adv Neural Inf Process Syst, 33, pp. 7611-7623; Kumar A., Purohit V., Bharti V., Singh R., Singh S.K., Medisecfed: Private and secure medical image classification in the presence of malicious clients, IEEE Trans Ind Inform, 18, 8, pp. 5648-5657, (2021); Variation-Aware Federated Learning with Multi-Source Decentralized Medical Image Data.; Customized Federated Learning for Multi-Source Decentralized Medical Image Classification; Yu H., Yang L.T., Zhang Q., Armstrong D., Deen M.J., Convolutional neural networks for medical image analysis: State-of-the-art, comparisons, improvement and perspectives, Neurocomputing, 444, pp. 92-110, (2021); Liu Z., Guo J., Yang W., Fan J., Lam K.Y., Zhao J., Privacy-preserving aggregation in federated learning: A survey, IEEE Trans Big Data, (2022); Murmu A., Kumar P., Deep learning model-based segmentation of medical diseases from MRI and CT images, IEEE Region 10 Conference (TENCON). New Zealand, pp. 608-613, (2021); Galvan E., Mooney P., Neuroevolution in deep neural networks: Current trends and future challenges, IEEE Trans Artif Intell, 2, 6, pp. 476-493, (2021); Rahman M., Kumar P., 2D-CTM and DNA-based computing for medical image encryption, Intelligent Data Engineering and Analytics: Proceedings of the 10Th International Conference on Frontiers in Intelligent Computing: Theory and Applications (FICTA), pp. 225-235, (2022); Konecny J., McMahan H.B., Yu F.X., Richtarik P., Suresh A.T., Bacon D (2016) Federated learning: Strategies for improving communication efficienc, In: NIPS Workshop on Private Multi-Party Machine Learning. Arxiv, 1610; Xu X., Peng H., Bhuiyan M.Z., Hao Z., Liu L., Sun L., He L., Privacy-preserving federated depression detection from multisource mobile health data, IEEE Trans Ind Inform, 18, 7, pp. 4788-4797, (2021); Kumar P., Agrawal A., Gpu-accelerated interactive visualization of 3D volumetric data using CUDA, Int J Image Graph, 13, 2, (2013); Murmu A., Kumar P., A novel gateaux derivatives with efficient DCNN-ResUNet method for segmenting multi-class brain tumor, Med Biol Eng Comput, (2023); Devi D., Namasudra S., Kadry S., A boosting-aided adaptive cluster-based undersampling approach for treatment of class imbalance problem, Int J Data Warehous Min (IJDWM), 16, 3, pp. 60-86, (2020); Namasudra S., Nath S., Majumder A., Profile based access control model in cloud computing environment, Proceeding of the International Conference on Green Computing, Communication and Electrical Engineering. IEEE, Coimbatore, India., pp. 1-5, (2014)</t>
  </si>
  <si>
    <t xml:space="preserve">A. Murmu; National Institute of Technology Patna, Patna, India; email: anitamurmu.cs@gmail.com</t>
  </si>
  <si>
    <t xml:space="preserve">Namasudra S.; Trivedi M.C.; Crespo R.G.; Lorenz P.</t>
  </si>
  <si>
    <t xml:space="preserve">International Conference on Data Science and Network Engineering, ICDSNE 2023</t>
  </si>
  <si>
    <t xml:space="preserve">21 July 2023 through 22 July 2023</t>
  </si>
  <si>
    <t xml:space="preserve">Agartala</t>
  </si>
  <si>
    <t xml:space="preserve">978-981996754-4</t>
  </si>
  <si>
    <t xml:space="preserve">2-s2.0-85181533100</t>
  </si>
  <si>
    <t xml:space="preserve">Senthil K.; Yuktha Varshika J.; Gopinath M.; Pooja Sri V.; Vishwa S.; Monikaa R.</t>
  </si>
  <si>
    <t xml:space="preserve">Senthil, K. (57216635475); Yuktha Varshika, J. (59231868200); Gopinath, M. (59106164100); Pooja Sri, V. (59536024700); Vishwa, S. (58547006200); Monikaa, R. (59232311000)</t>
  </si>
  <si>
    <t xml:space="preserve">57216635475; 59231868200; 59106164100; 59536024700; 58547006200; 59232311000</t>
  </si>
  <si>
    <t xml:space="preserve">Genomic Insights into the Classification and Identification of Plasmodium Parasites</t>
  </si>
  <si>
    <t xml:space="preserve">Malaria is a contagious disease caused by plasmodium parasites transmitted to humans through infected female anopheles mosquito bites. The parasites invade Red Blood Cells (RBCs), impairing oxygen transport and potentially leading to respiratory distress and serious complications. Accurate and timely detection of plasmodium-infected cells is crucial for effective treatment and disease management. This study explores the application of Feed Forward Neural Network (FFNN) for the classification of plasmodium parasite-infected cells versus uninfected cells. Our Work Leverages a dataset comprising 27,558 colored images. We preprocess the data using Bilateral filtering, Histogram equalization, and Sobel filters to enhance model robustness. Our FFNN model, characterized by multiple hidden layers, and activation functions, is trained to discern subtle differences between infected and uninfected cells. Gaussian filter is used to highlight and detect the parasitized regions. The model's performance is evaluated using classification rate, precision, Log Loss etc. Initial results demonstrate that our model classifies the parasitized and uninfected cells with a classification rate of 97.5%, precision of 97.62, and log loss of 1.857.  © 2024 IEEE.</t>
  </si>
  <si>
    <t xml:space="preserve">2024 1st International Conference on Innovations in Communications, Electrical and Computer Engineering, ICICEC 2024</t>
  </si>
  <si>
    <t xml:space="preserve">10.1109/ICICEC62498.2024.10808865</t>
  </si>
  <si>
    <t xml:space="preserve">https://www.scopus.com/inward/record.uri?eid=2-s2.0-85216583562&amp;doi=10.1109%2fICICEC62498.2024.10808865&amp;partnerID=40&amp;md5=6d53b1259d7672af273e246849087223</t>
  </si>
  <si>
    <t xml:space="preserve">Saveetha School of Engineering, Saveetha Institute of Medical and Technical Sciences, Department of Computer Science and Engineering, Chennai, 602105, India; Saveetha School of Engineering, Saveetha Institute of Medical and Technical Sciences, Department of Artificial Intelligence and Machine Learning, Chennai, 602105, India; Saveetha School of Engineering, Saveetha Institute of Medical and Technical Sciences, Department of Information Technology, Chennai, 602105, India; Easwari Engineering College, Department of Computer Science and Engineering, Chennai, 602105, India</t>
  </si>
  <si>
    <t xml:space="preserve">Senthil K., Saveetha School of Engineering, Saveetha Institute of Medical and Technical Sciences, Department of Computer Science and Engineering, Chennai, 602105, India; Yuktha Varshika J., Saveetha School of Engineering, Saveetha Institute of Medical and Technical Sciences, Department of Artificial Intelligence and Machine Learning, Chennai, 602105, India; Gopinath M., Saveetha School of Engineering, Saveetha Institute of Medical and Technical Sciences, Department of Information Technology, Chennai, 602105, India; Pooja Sri V., Saveetha School of Engineering, Saveetha Institute of Medical and Technical Sciences, Department of Computer Science and Engineering, Chennai, 602105, India; Vishwa S., Saveetha School of Engineering, Saveetha Institute of Medical and Technical Sciences, Department of Information Technology, Chennai, 602105, India; Monikaa R., Easwari Engineering College, Department of Computer Science and Engineering, Chennai, 602105, India</t>
  </si>
  <si>
    <t xml:space="preserve">Bilateral filtering; Classification rate; Feed Forward Neural Network; Gaussian filter; Plasmodium parasites</t>
  </si>
  <si>
    <t xml:space="preserve">Gaussian distribution; Image enhancement; Anopheles mosquitoes; Bilateral filtering; Classification and identifications; Classification rates; Contagious disease; Feed forward neural net works; Gaussian filters; Genomics; Infected cells; Plasmodium parasites; Wiener filtering</t>
  </si>
  <si>
    <t xml:space="preserve">Petrea D., Stoleru G.I., Iftene A., Leveraging Convolutional Neural Networks for Malaria Detection from Red Blood Cell Images, 2023 International Conference on Innovations in Intelligent Systems and Applications (INISTA), pp. 1-6, (2023); Ahmed K.T., Rahman Z., Shaikh R., Hossain S.I., Malaria Parasite Detection Using CNN-Based Ensemble Technique on Blood Smear Images, 2023 International Conference on Electrical, Computer and Communication Engineering (ECCE), pp. 1-4, (2023); Jaganathan S.C.B., Jaisingh W., Dhanushraj M., Pari S., Sah R., Dhananchezhiyan S., Convolutional Neural Network Detection and Classification of Blood Cell Images from Thin Blood Smear for the Presence of Malarial Parasite, 2023 International Conference on New Frontiers in Communication, Automation, Management and Security (ICCAMS), 1, pp. 1-10, (2023); Shambhu S., Koundal D., Das P., Deep learning-based computer assisted detection techniques for malaria parasite using blood smear images, International Journal of Advanced Technology and Engineering Exploration, 10, 105, (2023); Bilyaminu M., Varol A., An Improved Transfer Learning-Based Model for Malaria Detection using Blood Smear of Microscopic Cell Images, 2021 2nd International Informatics and Software Engineering Conference (IISEC), pp. 1-5, (2021); Venkatesan K., Rahayu S.B., Muthulakshmi M., Velkur V.P., Implementation of Convolutional Neural Network Malarial Cells Detection, 2024 International Conference on Communication, Computing and Internet of Things (IC3IoT), pp. 1-6, (2024); Pandey S.K., Dingankar R.S., Singh K.U., Rose A., Singh T., Automated Malaria Parasite Detection in Blood Smear Images with CNNs, 2023 International Conference on Artificial Intelligence for Innovations in Healthcare Industries (ICAIIHI), 1, pp. 1-6, (2023); Janardhan G., Shriya D., Babu D.A., Kumar S.A., Kishore R.S., Automatic Detection of Plasmodium Parasite Using Convolution Neural Network, 2023 International Conference on Self Sustainable Artificial Intelligence Systems (ICSSAS), pp. 145-150, (2023); Janardhan G., Shriya D., Babu D.A., Kumar S.A., Kishore R.S., Automatic Detection of Plasmodium Parasite Using Convolution Neural Network, 2023 International Conference on Self Sustainable Artificial Intelligence Systems (ICSSAS), pp. 145-150, (2023); Janardhan G., Shriya D., Babu D.A., Kumar S.A., Kishore R.S., Automatic Detection of Plasmodium Parasite Using Convolution Neural Network, 2023 International Conference on Self Sustainable Artificial Intelligence Systems (ICSSAS), pp. 145-150, (2023); Thangammal B., Leelavathi U., Kpv R., Radley S., Automated Malaria Parasite Identification and Classification Using Deep Learning Techniques, 2024 International Conference on Science Technology Engineering and Management (ICSTEM), pp. 1-6, (2024); Asif S., Khan S.U.R., Zheng X., Zhao M., MozzieNet: A deep learning approach to efficiently detect malaria parasites in blood smear images, International Journal of Imaging Systems and Technology, 34, 1, (2024); Kumar S., Vardhan H., Priya S., Kumar A., Malaria detection using deep convolution neural network, (2023)</t>
  </si>
  <si>
    <t xml:space="preserve">J. Yuktha Varshika; Saveetha School of Engineering, Saveetha Institute of Medical and Technical Sciences, Department of Artificial Intelligence and Machine Learning, Chennai, 602105, India; email: yukthavarshika@gmail.com</t>
  </si>
  <si>
    <t xml:space="preserve">1st International Conference on Innovations in Communications, Electrical and Computer Engineering, ICICEC 2024</t>
  </si>
  <si>
    <t xml:space="preserve">24 October 2024 through 25 October 2024</t>
  </si>
  <si>
    <t xml:space="preserve">Davangere</t>
  </si>
  <si>
    <t xml:space="preserve">979-835037651-7</t>
  </si>
  <si>
    <t xml:space="preserve">Int. Conf. Innov. Commun., Electr. Comput. Eng., ICICEC</t>
  </si>
  <si>
    <t xml:space="preserve">2-s2.0-85216583562</t>
  </si>
  <si>
    <t xml:space="preserve">Rahman Z.; Roytman L.; Kadik A.; Rosy D.A.; Nandi P.</t>
  </si>
  <si>
    <t xml:space="preserve">Rahman, Zahidur (57532801000); Roytman, Leonid (7003482800); Kadik, Abdelhamid (43861491600); Rosy, Dilara A. (56358028800); Nandi, Pradipta (57218398658)</t>
  </si>
  <si>
    <t xml:space="preserve">57532801000; 7003482800; 43861491600; 56358028800; 57218398658</t>
  </si>
  <si>
    <t xml:space="preserve">Harnessing Data and Satellites for Early Malaria Warning: A Global Health Imperative</t>
  </si>
  <si>
    <t xml:space="preserve">In light of the profound global health impact of pandemics, the reliance on data-driven insights to understand disease outbreaks has never been more crucial. Malaria is a disease transmitted by mosquitoes that is endemic to specific regions and causes severe illness and death to millions each year. The sensitivity of mosquito vectors to environmental factors like temperature, precipitation, and humidity enables the mapping of areas at high risk of disease outbreaks through satellite remote sensing. This study proposes the development of a practical geospatial system that can provide early warning for malaria. It combines geographic information system (GIS) tools, artificial neural networks (ANN) for efficient pattern recognition, robust on-ground environmental data (including epidemiological and vector ecology data), and the capabilities of satellite remote sensing. The study employs Vegetation Health Indices (VHI) derived from satellite-mounted Advanced Very High-Resolution Radiometers (AVHRR) on a weekly basis with a 4-km resolution to predict malaria risk in Bangladesh. While the focus is on Bangladesh due to its significant malaria threat, the technology developed can be adapted for use in other countries and against different disease threats. Implementing an early malaria warning system would be a significant asset to global public health efforts. It would enable targeted resource allocation for pandemic containment and serve as a vital decision-making tool for national security assessments and potential troop deployments in disease-prone regions. © 2024 SPIE.</t>
  </si>
  <si>
    <t xml:space="preserve">Proceedings of SPIE - The International Society for Optical Engineering</t>
  </si>
  <si>
    <t xml:space="preserve">SPIE</t>
  </si>
  <si>
    <t xml:space="preserve">130590D</t>
  </si>
  <si>
    <t xml:space="preserve">10.1117/12.3012771</t>
  </si>
  <si>
    <t xml:space="preserve">https://www.scopus.com/inward/record.uri?eid=2-s2.0-85196528573&amp;doi=10.1117%2f12.3012771&amp;partnerID=40&amp;md5=3c5361680c231091d992957d1fb47797</t>
  </si>
  <si>
    <t xml:space="preserve">Department of Mathematics, Engineering, and Computer Science, LaGuardia Community College of the City University of New York, 31-10 Thomson Avenue, Long Island City, 11101, NY, United States; Department of Electrical Engineering, The City College of the City University of New York, 138 Street &amp; Convent Avenue, New York, 1003, NY, United States; Marks Home Care, Rego Park, 11374, NY, United States; All India Institute of Medical Sciences, New Delhi, India</t>
  </si>
  <si>
    <t xml:space="preserve">Rahman Z., Department of Mathematics, Engineering, and Computer Science, LaGuardia Community College of the City University of New York, 31-10 Thomson Avenue, Long Island City, 11101, NY, United States; Roytman L., Department of Electrical Engineering, The City College of the City University of New York, 138 Street &amp; Convent Avenue, New York, 1003, NY, United States; Kadik A., Department of Mathematics, Engineering, and Computer Science, LaGuardia Community College of the City University of New York, 31-10 Thomson Avenue, Long Island City, 11101, NY, United States; Rosy D.A., Marks Home Care, Rego Park, 11374, NY, United States; Nandi P., All India Institute of Medical Sciences, New Delhi, India</t>
  </si>
  <si>
    <t xml:space="preserve">Mosquitoes; outbreaks; Pandemics; precipitation; remote sensing</t>
  </si>
  <si>
    <t xml:space="preserve">Decision making; Diseases; Health risks; National security; Neural networks; Pattern recognition; Satellites; Bangladesh; Data driven; Disease outbreaks; Global health; Health impact; Mosquito; Outbreak; Pandemic; Remote-sensing; Satellite remote sensing; Remote sensing</t>
  </si>
  <si>
    <t xml:space="preserve">Bangladesh government Database; Curran P., Multispectral remote sensing of vegetation amount, Prog. Phys.Geogr, 4, pp. 315-341, (1980); Gutman G., Review of the workshop on the "Use of satellite-derived vegetation indices on weather and climate prediction models, Bull. Am. Met. Soc, 71, 10, pp. 1058-1063, (1990); Justice C.O, Townshend J.R.G., Holben B.N., Tucker C.J., Analysis of the phenology of global vegetation using meteorological satellite data, Int. J.Rem. Sens, 8, pp. 871-918, (1985); Kogan F.N., Remote sensing of weather impacts on vegetation in non-homogeneous areas, Int. J. Remote Sensing, 11, pp. 1005-1019, (1990); Kogan F. N., World droughts in the new millennium from AVHRR-based vegetation health indices, American Geophysical Union, 83, 557, pp. 562-563, (2002); Kogan F.N., Zhu X., Evolution of long-term errors in NDVI time series, Adv. Space Res, 28, 1, pp. 149-153, (2001); Iyengar M. O., Studies on Malaria in the deltaic region of Bengal, Journal of the Malaria Institute of India, 4, pp. 435-446, (1942); Iyengar M. O., Problems relating to Malaria control in deltaic Bengal, T,Journal of the Malaria Institute of India, 5, pp. 435-447, (1944); McMichael A, Haines A, Slooff R., Climate Change and Human Health, (1996); Malingreau J.P., Global vegetation dynamics: satellite observations over Asia, Int. J.Remote Sensing, 7, pp. 181-1106, (1986); Tarpley J.D., Schneider S.R., Money R.L., Global vegetation indices from NOAA-7 Meteorological satellite, J. Climate Appl. Meteor, 23, pp. 491-494, (1984)</t>
  </si>
  <si>
    <t xml:space="preserve">Cullum B.M.; Kiehl D.; McLamore E.S.</t>
  </si>
  <si>
    <t xml:space="preserve">The Society of Photo-Optical Instrumentation Engineers (SPIE)</t>
  </si>
  <si>
    <t xml:space="preserve">Smart Biomedical and Physiological Sensor Technology XXI 2024</t>
  </si>
  <si>
    <t xml:space="preserve">22 April 2024 through 23 April 2024</t>
  </si>
  <si>
    <t xml:space="preserve">National Harbor</t>
  </si>
  <si>
    <t xml:space="preserve">0277786X</t>
  </si>
  <si>
    <t xml:space="preserve">978-151067436-3</t>
  </si>
  <si>
    <t xml:space="preserve">PSISD</t>
  </si>
  <si>
    <t xml:space="preserve">Proc SPIE Int Soc Opt Eng</t>
  </si>
  <si>
    <t xml:space="preserve">2-s2.0-85196528573</t>
  </si>
  <si>
    <t xml:space="preserve">Mancebo-Martin R.; Lin L.; Dacal E.; Luengo-Oroz M.; Bermejo-Pelaez D.</t>
  </si>
  <si>
    <t xml:space="preserve">Mancebo-Martin, Roberto (58948041200); Lin, Lin (57217028237); Dacal, Elena (57193109083); Luengo-Oroz, Miguel (19639024000); Bermejo-Pelaez, David (57194832148)</t>
  </si>
  <si>
    <t xml:space="preserve">58948041200; 57217028237; 57193109083; 19639024000; 57194832148</t>
  </si>
  <si>
    <t xml:space="preserve">How many labels do I need? self-supervised learning strategies for multiple blood parasites classification in microscopy images</t>
  </si>
  <si>
    <t xml:space="preserve">Bloodborne parasitic diseases such as malaria, filariasis or chagas pose significant challenges in clinical diagnosis, with microscopy as the primary tool for diagnosis. However, limitations such as time-consuming processes and the dependence on trained microscopists is critical, particularly in resource-constrained settings. Deep learning techniques have shown value to interpret microscopy images using large annotated databases for training. In this work, we propose a methodology leveraging self-supervised learning as a foundational model for blood parasite classification. Using a large unannotated database of blood microscopy images, the model is able to learn important image representations that are subsequently transferred to perform parasite classification of 11 different species of parasites requiring a smaller amount of labeled data. Our results show enhanced performance over fully supervised approaches, with ~100 labels per class sufficient to attain an F1 score of ~0.8. This approach is promising for advancing in-vitro diagnostic systems in primary healthcare settings. © 2024 IEEE.</t>
  </si>
  <si>
    <t xml:space="preserve">Proceedings - International Symposium on Biomedical Imaging</t>
  </si>
  <si>
    <t xml:space="preserve">10.1109/ISBI56570.2024.10635899</t>
  </si>
  <si>
    <t xml:space="preserve">https://www.scopus.com/inward/record.uri?eid=2-s2.0-85203363945&amp;doi=10.1109%2fISBI56570.2024.10635899&amp;partnerID=40&amp;md5=9b5fc1f4db740133964ef9bc115326b4</t>
  </si>
  <si>
    <t xml:space="preserve">Spotlab SL, Madrid, Spain; Universidad Politécnica de Madrid &amp; CIBER-BBN, Biomedical Image Technologies, Madrid, Spain</t>
  </si>
  <si>
    <t xml:space="preserve">Mancebo-Martin R., Spotlab SL, Madrid, Spain; Lin L., Spotlab SL, Madrid, Spain, Universidad Politécnica de Madrid &amp; CIBER-BBN, Biomedical Image Technologies, Madrid, Spain; Dacal E., Spotlab SL, Madrid, Spain; Luengo-Oroz M., Spotlab SL, Madrid, Spain; Bermejo-Pelaez D., Spotlab SL, Madrid, Spain</t>
  </si>
  <si>
    <t xml:space="preserve">blood parasites; deep learning; microscopy; self-supervised learning</t>
  </si>
  <si>
    <t xml:space="preserve">Adversarial machine learning; Contrastive Learning; Deep learning; Federated learning; Image annotation; Supervised learning; Annotated database; Blood parasite; Clinical diagnosis; Deep learning; Learn+; Learning strategy; Learning techniques; Microscopy images; Parasite-; Parasitics; Self-supervised learning</t>
  </si>
  <si>
    <t xml:space="preserve">Comunidad de Madrid; Horizon 2020, (881062); Horizon 2020; Bill and Melinda Gates Foundation, BMGF, (INV-051355, IND2019/TIC-17167); Bill and Melinda Gates Foundation, BMGF</t>
  </si>
  <si>
    <t xml:space="preserve">This project has been partially funded by the European Union's Horizon 2020 research and innovation programme (grant agreement No 881062) and the Bill and Melinda Gates Foundation (grant number Edge-Spot project INV-051355). LL was supported by a predoctoral grant IND2019/TIC-17167 (Comunidad de Madrid).</t>
  </si>
  <si>
    <t xml:space="preserve">Naicker S., Plange-Rhule J., Tutt R.C., Eastwood J.B., Shortage of healthcare workers in developing countries-Africa, Ethn. Dis, 19, 1, pp. S1-S60, (2009); Global strategy on human resources for health: Workforce 2030, (2020); Das D., Et al., Field evaluation of the diagnostic performance of EasyScan GO: A digital malaria microscopy device based on machine-learning, Malar. J, 21, 1, (2022); Yu H., Et al., Patient-level performance evaluation of a smartphone-based malaria diagnostic application, Malar. J, 22, 1, (2023); Pfeil J., Nechyporenko A., Frohme M., Hufert F.T., Schulze K., Examination of blood samples using deep learning and mobile microscopy, BMC Bioinformatics, 23, 1, (2022); Davidson M.S., Et al., Automated detection and staging of malaria parasites from cytological smears using convolutional neural networks, Biol. Imaging, 1, (2021); Morais M.C.C., Et al., Automatic detection of the parasite Trypanosoma cruzi in blood smears using a machine learning approach applied to mobile phone images, PeerJ, 10, (2022); Sanchez-Patino N., Toriz-Vazquez A., Hevia-Montiel N., Perez-Gonzalez J., Convolutional neural networks for chagas' parasite detection in histopathological images, Annu. Int. Conf. IEEE Eng. Med. Biol. Soc, 2021, pp. 2732-2735, (2021); Goncalves C., Et al., Detection of Human Visceral Leishmaniasis Parasites in Microscopy Images from Bone Marrow Parasitological Examination, Appl. Sci, 13, 14, (2023); Ornellas-Garcia U., Cuervo P., Ribeiro-Gomes F.L., Malaria and leishmaniasis: Updates on co-infection, Front. Immunol, 14, (2023); Wilairatana P., Kotepui K.U., Mala W., Wangdi K., Kotepui M., Prevalence, probability, and characteristics of malaria and filariasis co-infections: A systematic review and meta-analysis, PLoS Negl. Trop. Dis, 16, 10, (2022); Huang S.-C., Pareek A., Jensen M., Lungren M.P., Yeung S., Chaudhari A.S., Self-supervised learning for medical image classification: A systematic review and implementation guidelines, Npj Digital Med, 6, 1, (2023); Dacal E., Et al., Mobile microscopy and telemedicine platform assisted by deep learning for the quantification of Trichuris trichiura infection, PLoS Negl. Trop. Dis, 15, 9, (2021); Nielsen M., Wenderoth L., Sentker T., Werner R., Self-Supervision for Medical Image Classification: State-of-the-Art Performance with ~100 Labeled Training Samples per Class, Bioengineering (Basel), 10, 8, (2023); Azizi S., Et al., Robust and Efficient Medical Imaging with Self-Supervision, (2022); Chen X., He K., Exploring Simple Siamese Representation Learning, (2020); Chen T., Kornblith S., Norouzi M., Hinton G., A Simple Framework for Contrastive Learning of Visual Representations, (2020); He K., Fan H., Wu Y., Xie S., Girshick R., Momentum Contrast for Unsupervised Visual Representation Learning, (2019); Zhang C., Zhang K., Zhang C., Pham T.X., Yoo C.D., Kweon I.S., How Does SimSiam Avoid Collapse Without Negative Samples? A Unified Understanding with Self-supervised Contrastive Learning, (2022); Malaria diagmal Dataset</t>
  </si>
  <si>
    <t xml:space="preserve">AI2D Center; et al.; Therapanacea; Thermo Fisher Scientific; United Imaging Intelligence; Verasonics</t>
  </si>
  <si>
    <t xml:space="preserve">21st IEEE International Symposium on Biomedical Imaging, ISBI 2024</t>
  </si>
  <si>
    <t xml:space="preserve">27 May 2024 through 30 May 2024</t>
  </si>
  <si>
    <t xml:space="preserve">Athens</t>
  </si>
  <si>
    <t xml:space="preserve">979-835031333-8</t>
  </si>
  <si>
    <t xml:space="preserve">IEEE Comput. Soc. Conf. Comput. Vis. Pattern Recogn.</t>
  </si>
  <si>
    <t xml:space="preserve">2-s2.0-85203363945</t>
  </si>
  <si>
    <t xml:space="preserve">Pattanaik P.; Ibeh L.; Cuong N.M.</t>
  </si>
  <si>
    <t xml:space="preserve">Pattanaik, Priyadarshini (57193904578); Ibeh, Lawrence (58942847300); Cuong, Nguyen Manh (59527246200)</t>
  </si>
  <si>
    <t xml:space="preserve">57193904578; 58942847300; 59527246200</t>
  </si>
  <si>
    <t xml:space="preserve">Identification and Classification of Types of Malarial Parasites Using Customized CNN Model</t>
  </si>
  <si>
    <t xml:space="preserve">Over the past decade, medical imaging has achieved many remarkable milestones in medical science. However, the incidence of infectious diseases like malaria continues to rise rapidly. Malaria a serious infection caused by the Plasmodium parasite, is a life-Threatening paradox in global health. Even though conventional methods could identify the malaria parasite, they still failed to present accurate results and are time-consuming manual processes. Early detection and analysis of the complex morphological structure of blood cells are challenging tasks and prevalent using morphological detection tools. In our work, our primary goal is to develop a customized CNN model to pick malaria species and classify the different variants of malaria species in microscopic thin blood smear images. This specialized CNN model leverages deep learning abilities and fine-Tunes the model capacity employing dropout techniques. The model can successfully validate quantitative analyses of different variants i.e. Plasmodium falciparum (or P. falciparum), Plasmodium malariae (or P. malariae), Plasmodium vivax (or P. vivax), Plasmodium ovale (or P. ovale) improving patient outcomes and presents overall classification results with an accuracy of 93.30 %, specificity of 97.6%, F measure of 96.5%, and AUC of 95.21 %. Through careful hyperparameter tuning, the customized CNN model has achieved superior performance results as compared to other state-of-The-Art methods. © 2024 IEEE.</t>
  </si>
  <si>
    <t xml:space="preserve">International Conference on Electrical, Computer, Communications and Mechatronics Engineering, ICECCME 2024</t>
  </si>
  <si>
    <t xml:space="preserve">10.1109/ICECCME62383.2024.10796584</t>
  </si>
  <si>
    <t xml:space="preserve">https://www.scopus.com/inward/record.uri?eid=2-s2.0-85216002869&amp;doi=10.1109%2fICECCME62383.2024.10796584&amp;partnerID=40&amp;md5=403495dbbf4dcb4bfa02c21509a23092</t>
  </si>
  <si>
    <t xml:space="preserve">Berlin School of Business and Innovation (BSBI), Faculty of Computer Science and Informatics, Alte Post Karl-Marx-Straße 97-99, Berlin, 12043, Germany; Berlin School of Business and Innovation (BSBI), Alte Post, Karl-Marx-Straße 97-99, Berlin, 12043, Germany</t>
  </si>
  <si>
    <t xml:space="preserve">Pattanaik P., Berlin School of Business and Innovation (BSBI), Faculty of Computer Science and Informatics, Alte Post Karl-Marx-Straße 97-99, Berlin, 12043, Germany; Ibeh L., Berlin School of Business and Innovation (BSBI), Alte Post, Karl-Marx-Straße 97-99, Berlin, 12043, Germany; Cuong N.M., Berlin School of Business and Innovation (BSBI), Alte Post, Karl-Marx-Straße 97-99, Berlin, 12043, Germany</t>
  </si>
  <si>
    <t xml:space="preserve">Customized CNN; Deep Learning; Malaria; Malaria diagnosis; Malaria parasite species</t>
  </si>
  <si>
    <t xml:space="preserve">Deep learning; Medical imaging; Plant diseases; CNN models; Customized CNN; Deep learning; Infectious disease; Malaria; Malaria diagnosis; Malaria parasite; Malaria parasite species; Malarial parasites; Medical science; Diseases</t>
  </si>
  <si>
    <t xml:space="preserve">Kabasawa H., MR imaging in the 21st century: Technical innovation over the first two decades, Magnetic Resonance in Medical Sciences, 21, pp. 71-82, (2022); Jones T., Townsend D., History and future technical innovation in positron emission tomography, Journal of Medical Imaging, 4, 1, (2017); Mota M., Rodriguez A., Malaria: Immune Response to Infection and Vaccination, (2017); Packard R.M., The Making of A Tropical Disease: A Short History of Malaria, (2007); Biswas P., Roy R., Ghosh K., Nath D., Samaddar A., Nandi S., To quest new targets of Plasmodium parasite and their potential inhibitors to combat antimalarial drug resistance, Journal of Parasitic Disease, (2024); Fasihfar Z., Rokhsati H., Sadeghsalehi H., Ghaderzadeh M., Gheisari M., AI-driven malaria diagnosis: Developing a robust model for accurate detection and classification of malaria Parasites, Iranian Journal of Blood Cancer, 15, 3, pp. 112-124, (2023); Liu R., Liu T., Dan T., Yang S., Li Y., Luo B., Zhuang Y., Fan X., Zhang X., Cai H., Teng Y., AIDMAN:An AI-based object detection system for malaria diagnosis from smartphone thin-blood-smear images, Patterns, 4, 9, (2023); Li Z., Liu F., Yang W., Peng S., Zhou J., A Survey of Convolutional Neural Networks: Analysis, Applications, and Prospects, IEEE Transactions on Neural Networks and Learning Systems, 33, pp. 6999-7019, (2021); Sriporn K., Tsai C.F., Tsai C.E., Wang P., Analysing malaria disease using effective deep learning approach, Diagnostics, 10, 10, (2020); Asif H.M., Khan S.H., Alahmadi T.J., Et al., Malaria parasitic detection using a new Deep Boosted and Ensemble Learning framework, Complex and Intelligent Systems, (2024); Mujahid M., Rustam F., Shafique R., Et al., Efficient deep learningbased approach for malaria detection using red blood cell smears, Scientific Reports, 14, (2024); Pattanaik P.A., Automated Segmentation for Knee Joint MRI Images Using Hybrid UNet+ Attention, 2022 Trends in Electrical, Electronics, Computer Engineering Conference (TEECCON), pp. 56-66, (2022); Pattanaik P.A., Swarnkar T., Comparative analysis of morphological techniques for malaria detection, International Journal of Healthcare Information Systems and Informatics (IJHISI), 13, 4, pp. 49-65, (2018); Pattanaik P.A., Swarnkar T., Sheet D., Object detection technique for malaria parasite in thin blood smear images, 2017 IEEE International Conference on Bioinformatics and Biomedicine (BIBM, pp. 2120-2123, (2017); Amin J., Anjum M.A., Ahmad A., Sharif M.I., Kadry S., Kim J., Microscopic parasite malaria classification using best feature selection based on generalized normal distribution optimization, PeerJ Computer Science, 10, (2024); Murmu A., Kumar P., Dlrfnet: Deep learning with random forest network for classification and detection of malaria parasite in blood smear, Multimedia Tools and Applications, pp. 1-23, (2024)</t>
  </si>
  <si>
    <t xml:space="preserve">IEEE; Istanbul Topkapi University</t>
  </si>
  <si>
    <t xml:space="preserve">4th International Conference on Electrical, Computer, Communications and Mechatronics Engineering, ICECCME 2024</t>
  </si>
  <si>
    <t xml:space="preserve">4 November 2024 through 6 November 2024</t>
  </si>
  <si>
    <t xml:space="preserve">Male</t>
  </si>
  <si>
    <t xml:space="preserve">979-835039118-3</t>
  </si>
  <si>
    <t xml:space="preserve">Int. Conf. Electr., Comput., Commun. Mechatronics Eng., ICECCME</t>
  </si>
  <si>
    <t xml:space="preserve">2-s2.0-85216002869</t>
  </si>
  <si>
    <t xml:space="preserve">Rezvan H.; Zoej M.J.V.; Hassanpour G.; Youssefi F.; Hanafi-Bojd A.A.</t>
  </si>
  <si>
    <t xml:space="preserve">Rezvan, Hassan (59142200300); Zoej, Mohammad Javad Valadan (56962765800); Hassanpour, Gholamreza (8386956700); Youssefi, Fahimeh (57216340247); Hanafi-Bojd, Ahmad Ali (9742808300)</t>
  </si>
  <si>
    <t xml:space="preserve">59142200300; 56962765800; 8386956700; 57216340247; 9742808300</t>
  </si>
  <si>
    <t xml:space="preserve">Identification of Aquatic Habitats of Anopheles Mosquito Using Time-series Analysis of Sentinel-1 data through Google Earth Engine</t>
  </si>
  <si>
    <t xml:space="preserve">Malaria, a severe disease transmitted by Anopheles mosquitoes, presents a substantial public health concern. Since Anopheles mosquitoes thrive in water-rich environments, accurately mapping surface water is essential for assessing malaria risk and managing mosquito populations. This study seeks to identify areas prone to water accumulation, which create habitats conducive to mosquito breeding. Initially, high-risk months were extracted using precipitation and temperature data. Subsequently, the Sentinel-1 Water Index (SWI) was utilized to analyse seven years of monthly Sentinel-1 time-series images via Google Earth Engine (GEE). To enhance our findings, we integrated monthly surface-water maps using a weighted majority voting strategy. Validation efforts included collecting 520 samples, half of which were water bodies identified through field observations and Google Earth Pro, with masks generated using the Segment Anything Model (SAM) algorithm. Object-based evaluation was employed, treating each water body as a distinct entity. The results revealed an overall accuracy of 96.1% and a kappa coefficient of 92.2% in water body detection, underscoring the method's effectiveness. This method, which outperformed other approaches in the domain and machine learning classifiers, is straightforward to implement, rapid, and does not require training data. Furthermore, while field monitoring may be challenging, the findings of this study could aid health authorities in identifying high-risk areas for disease control and prevention efforts. © Author(s) 2024.</t>
  </si>
  <si>
    <t xml:space="preserve">surveilance.</t>
  </si>
  <si>
    <t xml:space="preserve">3/W3-2024</t>
  </si>
  <si>
    <t xml:space="preserve">10.5194/isprs-archives-XLVIII-3-W3-2024-63-2024</t>
  </si>
  <si>
    <t xml:space="preserve">https://www.scopus.com/inward/record.uri?eid=2-s2.0-85212710441&amp;doi=10.5194%2fisprs-archives-XLVIII-3-W3-2024-63-2024&amp;partnerID=40&amp;md5=06b5ec4127f48b8d74e8833f695a5adf</t>
  </si>
  <si>
    <t xml:space="preserve">Department of Photogrammetry and Remote Sensing, K. N. Toosi University of Technology, Tehran, 19967-15433, Iran; Center of Research of Endemic of Parasites of Iran (CREPI), Tehran University of Medical Sciences, Tehran, Iran; Institute of Artificial Intelligence, USX, Shaoxing University, 508 West Huancheng Road, Yuecheng District, Zhejiang Province, Shaoxing, 312000, China; Zoonoses Research Center, Tehran University of Medical Sciences, Tehran, Iran; Department of Vector Biology &amp; Control of Diseases, School of Public Health, Tehran University of Medical Sciences, Tehran, 6446-14155, Iran</t>
  </si>
  <si>
    <t xml:space="preserve">Rezvan H., Department of Photogrammetry and Remote Sensing, K. N. Toosi University of Technology, Tehran, 19967-15433, Iran; Zoej M.J.V., Department of Photogrammetry and Remote Sensing, K. N. Toosi University of Technology, Tehran, 19967-15433, Iran; Hassanpour G., Center of Research of Endemic of Parasites of Iran (CREPI), Tehran University of Medical Sciences, Tehran, Iran; Youssefi F., Department of Photogrammetry and Remote Sensing, K. N. Toosi University of Technology, Tehran, 19967-15433, Iran, Institute of Artificial Intelligence, USX, Shaoxing University, 508 West Huancheng Road, Yuecheng District, Zhejiang Province, Shaoxing, 312000, China; Hanafi-Bojd A.A., Zoonoses Research Center, Tehran University of Medical Sciences, Tehran, Iran, Department of Vector Biology &amp; Control of Diseases, School of Public Health, Tehran University of Medical Sciences, Tehran, 6446-14155, Iran</t>
  </si>
  <si>
    <t xml:space="preserve">Google Earth Engine; Habitat; Malaria; Remote sensing; Segment Anything Model; Sentinel-1</t>
  </si>
  <si>
    <t xml:space="preserve">Geological surveys; Health risks; Malaria control; Mosquito control; Risk assessment; Tropics; Anopheles mosquitoes; Aquatic habitats; Google earth engine; Google earths; Habitat; Malaria; Remote-sensing; Segment anything model; Sentinel-1; Waterbodies; Diseases</t>
  </si>
  <si>
    <t xml:space="preserve">Tehran University of Medical Sciences and Health Services, TUMS; Department of Health of Saravan City; Iran Meteorological Organization</t>
  </si>
  <si>
    <t xml:space="preserve">The authors would like to thank the Tehran University of Medical Sciences (TUMS) for providing financial support. Also, they are very grateful to the Department of Health of Saravan City for contributing to providing field information from the study area. They would also like to thank the Iran Meteorological Organization (IMO) for providing the meteorological data.</t>
  </si>
  <si>
    <t xml:space="preserve">Abbasi M., Oshaghi M. A., Sedaghat M. M., Hazratian T., Rahimi Foroushani A., Jafari-Koshki T., Yaghoobi-Ershadi M. R., Abai M. R., Vatandoost H., Fekri Jaski S., Bozorg Omid F., Hanafi-Bojd A. A., Development of a degree-day model to predict the growth of Anopheles stephensi (Diptera: Culicidae): implication for vector control management, Environmental Entomology, 52, 6, pp. 1126-1138, (2023); Catry T., Li Z., Roux E., Herbreteau V., Gurgel H., Mangeas M., Seyler F., Dessay N., Wetlands and Malaria in the Amazon: Guidelines for the Use of Synthetic Aperture Radar Remote-Sensing, International Journal of Environmental Research and Public Health, 15, 3, (2018); Hardy A., Ettritch G., Cross D., Bunting P., Liywalii F., Sakala J., Silumesii A., Singini D., Smith M., Willis T., Thomas C., Automatic Detection of Open and Vegetated Water Bodies Using Sentinel 1 to Map African Malaria Vector Mosquito Breeding Habitats, Remote Sensing, 11, 5, (2019); Kalthof M. W. M. L., Gravey M., Wijnands F., Karssenberg D., Predicting continental scale malaria with land surface water predictors based on malaria dispersal mechanisms and high-resolution Earth observation data, GeoHealth, 7, (2023); Khammarnia M., Setoodehzadeh F., Malaria Outbreak in the Southeast of Iran in 2022, Health Scope, 12, 1, (2023); Kittler J., Hatef M., Duin R. P. W., Matas J., On combining classifiers, IEEE Transactions on Pattern Analysis and Machine Intelligence, 20, 3, pp. 226-239, (1998); Ovakoglou G., Cherif I., Alexandridis T. K., Pantazi X.-E., Tamouridou A.-A., Moshou D., Tseni X., Raptis I., Kalaitzopoulou S., Mourelatos S., Automatic detection of surface-water bodies from Sentinel-1 images for effective mosquito larvae control, Journal of Applied Remote Sensing, 15, (2021); Osco L. P., Wu Q., de Lemos E. L., Goncalves W. N., Ramos A. P. M., Li J., Marcato J., The Segment Anything Model (SAM) for remote sensing applications: From zero to one shot, International Journal of Applied Earth Observation and Geoinformation, 124, (2023); Salahi Moghadam A., Khoshdel A. R., Barati M., Sedaghat M. M., An Overview and Mapping of Malaria and Its Vectors in Iran, Hormozgan Medical Journal, 18, 5, pp. 473-485, (2015); Tian H., Li W., Wu M., Huang N., Li G., Li X., Niu Z., Dynamic Monitoring of the Largest Freshwater Lake in China Using a New Water Index Derived from High Spatiotemporal Resolution Sentinel-1A Data, Remote Sensing, 9, 6, (2017); Wang C., Thakuri B., Roy A. K., Mondal N., Qi Y., Chakraborty A., Changes in the associations between malaria incidence and climatic factors across malaria endemic countries in Africa and Asia-Pacific region, Journal of Environmental Management, 331, (2023); Youssefi F., Valadan Zoej M. J., Hanafi-Bojd A. A., Borhani Dariane A., Khaki M., Safdarinezhad A., Ghaderpour E., Temporal Monitoring and Predicting of the Abundance of Malaria Vectors Using Time Series Analysis of Remote Sensing Data through Google Earth Engine, Sensors, 22, 5, pp. 1942-1942, (2022)</t>
  </si>
  <si>
    <t xml:space="preserve">Pirasteh S.; Yepez-Rincon F.D.</t>
  </si>
  <si>
    <t xml:space="preserve">2024 Geo-information for Disaster Management, Gi4DM 2024</t>
  </si>
  <si>
    <t xml:space="preserve">2 November 2024 through 3 November 2024</t>
  </si>
  <si>
    <t xml:space="preserve">Belem</t>
  </si>
  <si>
    <t xml:space="preserve">2-s2.0-85212710441</t>
  </si>
  <si>
    <t xml:space="preserve">Identifying and predicting climate change impact on vector-borne disease using machine learning: Case study of Plasmodium falciparum from Africa</t>
  </si>
  <si>
    <t xml:space="preserve">Vector-borne diseases pose a significant threat to human health, particularly in regions vulnerable to climate change. Among these diseases, malaria, caused by the parasite Plasmodium falciparum and transmitted through the Anopheles mosquito, remains a major global health concern, particularly in sub-Saharan Africa. This study explores the use of machine learning techniques to identify and predict the impact of climate change on the transmission dynamics of P. falciparum malaria in Africa. The research utilizes a combination of climate data, epidemiological records, and machine learning algorithms to analyze historical patterns and project future trends in malaria transmission. Key climate variables such as temperature, precipitation, humidity, and vegetation cover are integrated into predictive models to assess their influence on the abundance and distribution of mosquito vectors and the parasite's lifecycle. Through the application of machine learning models such as Maximum Entropy, this study aims to uncover complex relationships between climatic factors and malaria transmission dynamics. By training these models on historical data, they can accurately predict future scenarios under various climate change scenarios. The findings of this research will provide valuable insights into the potential impact of climate change on the spatial and temporal distribution of P. falciparum malaria in Africa. Such insights are crucial for designing targeted interventions and adaptation strategies to mitigate the anticipated rise in malaria cases and associated morbidity and mortality in the region. Moreover, the methodology developed in this study can serve as a framework for assessing and addressing the impact of climate change on other vector-borne diseases globally. © Author(s) 2024.</t>
  </si>
  <si>
    <t xml:space="preserve">48-2-2024</t>
  </si>
  <si>
    <t xml:space="preserve">10.5194/isprs-archives-XLVIII-2-2024-387-2024</t>
  </si>
  <si>
    <t xml:space="preserve">https://www.scopus.com/inward/record.uri?eid=2-s2.0-85197343455&amp;doi=10.5194%2fisprs-archives-XLVIII-2-2024-387-2024&amp;partnerID=40&amp;md5=ebea03bc5b92669383413d6b5b5be8fa</t>
  </si>
  <si>
    <t xml:space="preserve">Climate models; Diseases; Forecasting; Health risks; Learning algorithms; Learning systems; Life cycle; Machine learning; Transmissions; Vectors; Geo-spatial; Healthcare; Machine-learning; Malaria; Maximum-entropy; P. falciparum malarias; Parasite-; Plasmodium falciparum; Transmission dynamics; Vector-borne disease; Climate change</t>
  </si>
  <si>
    <t xml:space="preserve">Abd Majid N., Muhamad Nazi N., Mohamed A. F., Distribution and spatial pattern analysis on dengue cases in Seremban District, Negeri Sembilan, Malaysia, Sustainability, 11, 13, (2019); Abdulkareem A. B., Sani N. S., Sahran S., Alyessari Z. A. A., Adam A., Abd Rahman A. H., Abdulkarem A. B., Predicting COVID-19 based on environmental factors with machine learning, Intell. Autom. Soft Comput, 28, pp. 305-320, (2021); Alkhaldy I., Barnett R., Explaining neighbourhood variations in the incidence of dengue fever in Jeddah City, Saudi Arabia, International Journal of Environmental Research and Public Health, 18, 24, (2021); Almeida L. S., Cota A. L. S., Rodrigues D. F., Sanitation, Arboviruses, and Environmental Determinants of Disease: impacts on urban health, Ciencia &amp; saude coletiva, 25, pp. 3857-3868, (2020); Chavasse D. C., Shier R. P., Murphy O. A., Huttly S. R. A., Cousens S. N., Akhtar T., Impact of fly control on childhood diarrhoea in Pakistan: community-randomised trial, The Lancet, 353, 9146, pp. 22-25, (1999); Cordeiro R., Donalisio M. R., Andrade V. R., Mafra A. C., Nucci L. B., Brown J. C., Stephan C., Spatial distribution of the risk of dengue fever in southeast Brazil, 2006-2007, BMC Public Health, 11, 1, pp. 1-10, (2011); Dieng I., Fall C., Barry M. A., Gaye A., Dia N., Ndione M. H. D., Sall A. A., Re-Emergence of Dengue Serotype 3 in the Context of a Large Religious Gathering Event in Touba, Senegal, International Journal of Environmental Research and Public Health, 19, 24, (2022); Emerson P. M., Bailey R. L., Mahdi O. S., Walraven G. E., Lindsay S. W., Transmission ecology of the fly Musca sorbens, a putative vector of trachoma, Transactions of the Royal Society of Tropical Medicine and Hygiene, 94, 1, pp. 28-32, (2000); Garcia L. S., Malaria Clin Lab Med, 30, 1, pp. 93-129, (2010); GBIF Occurrence Download; Hay S. I., Cox J., Rogers D. J., Randolph S. E., Stern D. I., Shanks G. D., Snow R. W., Climate change and the resurgence of malaria in the East African highlands, Nature, 415, 6874, pp. 905-909, (2002); Hu L., Liu B., Li Y., Ranking sociodemographic, health behavior, prevention, and environmental factors in predicting neighborhood cardiovascular health: A Bayesian machine learning approach, Preventive medicine, 141, (2020); Kaur I., Sandhu A. K., Kumar Y., Artificial intelligence techniques for predictive modeling of vector-borne diseases and its pathogens: a systematic review, Archives of Computational Methods in Engineering, 29, 6, pp. 3741-3771, (2022); Khalid B., Ghaffar A., Dengue transmission based on urban environmental gradients in different cities of Pakistan, International journal of biometeorology, 59, pp. 267-283, (2015); Lisboa T. R., Serafim I. B. M., Serafim J. C. M., Ramos A. C., do Nascimento R. M., Roner M. N. B., Relação entre incidência de casos de arboviroses e a pandemia da COVID-19, Interdisciplinary Journal of Applied Science, 6, 10, pp. 31-36, (2022); Mabaso M. L. H., Craig M., Vounatsou P., Smith T., Towards empirical description of malaria seasonality in southern Africa: the example of Zimbabwe, Tropical Medicine &amp; International Health, 10, 9, pp. 909-918, (2005); Maftei C., Barbulescu A., Rugina S., Nastac C. D., Dumitru I. M., Analysis of the arbovirosis potential occurrence in Dobrogea, Romania, Water, 13, 3, (2021); Mbunge E., Millham R. C., Sibiya M. N., Takavarasha S., Application of machine learning models to predict malaria using malaria cases and environmental risk factors, 2022 Conference on Information Communications Technology and Society (ICTAS), pp. 1-5, (2022); Nkiruka O., Prasad R., Clement O., Prediction of malaria incidence using climate variability and machine learning, Informatics in Medicine Unlocked, 22, (2021); Peters D. P., McVey D. S., Elias E. H., Pelzel-McCluskey A. M., Derner J. D., Burruss N. D., Rodriguez L. L., Big data–model integration and AI for vector‐borne disease prediction, Ecosphere, 11, 6, (2020); Rose N. H., Sylla M., Badolo A., Lutomiah J., Ayala D., Aribodor O. B., McBride C. S., Climate and urbanization drive mosquito preference for humans, Current Biology, 30, 18, pp. 3570-3579, (2020); Sriklin T., Kajornkasirat S., Puttinaovarat S., Dengue transmission mapping with weather-based predictive model in three southernmost provinces of thailand, Sustainability, 13, 12, (2021); Snow R. W., Global malaria eradication and the importance of Plasmodium falciparum epidemiology in Africa, BMC medicine, 13, 1, pp. 1-3, (2015); Tunali M., Radin A. A., Basibuyuk S., Musah A., Borges I. V. G., Yenigun O., Campos L. C., A review exploring the overarching burden of Zika virus with emphasis on epidemiological case studies from Brazil, Environmental Science and Pollution Research, pp. 1-15, (2021); Dengue and Severe Dengue, (2022); Zhang Y., Ren H., Shi R., Influences of Differentiated Residence and Workplace Location on the Identification of Spatiotemporal Patterns of Dengue Epidemics: A Case Study in Guangzhou, China, International Journal of Environmental Research and Public Health, 19, 20, (2022)</t>
  </si>
  <si>
    <t xml:space="preserve">P. Singh; UPES, School of Computer Science, Dehradun, Uttarakhand, 248007, India; email: priyanka.iirs@gmail.com</t>
  </si>
  <si>
    <t xml:space="preserve">Yilmaz A.; Wegner J.D.; Qin R.</t>
  </si>
  <si>
    <t xml:space="preserve">ISPRS TC II Mid-term Symposium on the Role of Photogrammetry for a Sustainable World</t>
  </si>
  <si>
    <t xml:space="preserve">11 June 2024 through 14 June 2024</t>
  </si>
  <si>
    <t xml:space="preserve">Las Vegas</t>
  </si>
  <si>
    <t xml:space="preserve">2-s2.0-85197343455</t>
  </si>
  <si>
    <t xml:space="preserve">Rada L.; Azzawi I.; Kumar P.; Brito-Loeza C.F.; Karabağ C.; Reyes-Aldasoro C.C.</t>
  </si>
  <si>
    <t xml:space="preserve">Rada, Lavdie (55268679000); Azzawi, Inass (59250923600); Kumar, Preet (58265575300); Brito-Loeza, Carlos Francisco (25724100900); Karabağ, Cefa (57203758303); Reyes-Aldasoro, Constantino C. (55905527000)</t>
  </si>
  <si>
    <t xml:space="preserve">55268679000; 59250923600; 58265575300; 25724100900; 57203758303; 55905527000</t>
  </si>
  <si>
    <t xml:space="preserve">Image Processing and Machine Learning Techniques for Chagas Disease Detection and Identification</t>
  </si>
  <si>
    <t xml:space="preserve">Chagas disease, caused by the Trypanosoma cruzi parasite, poses a significant health threat, particularly in Latin America, with millions affected globally. This research introduces a novel approach using deep learning techniques for the automated detection of Trypanosoma cruzi in blood smear images provided by Zoonoses Laboratory (CIR) in Mexico. Advanced deep learning architectures like Faster RCNN, RetinaNet, YOLOv8, and FCOS have been adapted, trained, and compared with each other in terms of the detection accuracy of each image. Our selection of those models is based on their ability to swiftly and accurately detect anomalies, measured through rigorous assessment using pivotal metrics like Mean Average Precision (mAP) across varying Intersection over Union (IoU) thresholds. Notably, the YOLOv8 model has showcased outstanding performance, boasting a remarkable mAP score of 0.951 for parasite detection and localisation. Specifically, YOLOv8 outperforms with a leading mAP of 0.951 at 50% IoU and maintains commendable precision with a score of 0.594 for IoU thresholds ranging from 50% to 95%. This research reduces dependence on skilled manual analysis holding a significant implications for healthcare in Chagas-affected regions by providing a rapid, automated solution to disease detection. This work has the potential to revolutionise diagnostics in resource-limited settings. Moreover, the models’ adaptability to other parasitic infections enhances their global health impact. © The Author(s), under exclusive license to Springer Nature Switzerland AG 2024.</t>
  </si>
  <si>
    <t xml:space="preserve">14859 LNCS</t>
  </si>
  <si>
    <t xml:space="preserve">10.1007/978-3-031-66955-2_14</t>
  </si>
  <si>
    <t xml:space="preserve">https://www.scopus.com/inward/record.uri?eid=2-s2.0-85200653804&amp;doi=10.1007%2f978-3-031-66955-2_14&amp;partnerID=40&amp;md5=b66bcbdae82a2cebd632ee15780ef48a</t>
  </si>
  <si>
    <t xml:space="preserve">Faculty of Engineering and Natural Sciences, Bahçeşehir University, Istanbul, Turkey; University of the West of England, Bristol, United Kingdom; CLIR, Facultad de Matematicás, Universidad Autónoma de Yucatán, Merida, Mexico; School of Computing and Digital Media, London Metropolitan University, London, United Kingdom; School of Science and Technology, University of London, London, United Kingdom</t>
  </si>
  <si>
    <t xml:space="preserve">Rada L., Faculty of Engineering and Natural Sciences, Bahçeşehir University, Istanbul, Turkey; Azzawi I., Faculty of Engineering and Natural Sciences, Bahçeşehir University, Istanbul, Turkey; Kumar P., University of the West of England, Bristol, United Kingdom; Brito-Loeza C.F., CLIR, Facultad de Matematicás, Universidad Autónoma de Yucatán, Merida, Mexico; Karabağ C., School of Computing and Digital Media, London Metropolitan University, London, United Kingdom; Reyes-Aldasoro C.C., School of Science and Technology, University of London, London, United Kingdom</t>
  </si>
  <si>
    <t xml:space="preserve">Chagas Parasite; Deep learning; Object Detection</t>
  </si>
  <si>
    <t xml:space="preserve">Deep learning; Diagnosis; Health risks; Learning algorithms; Learning systems; Chaga parasite; Chagas disease; Deep learning; Detection and identifications; Disease detection; Images processing; Machine learning techniques; Objects detection; Parasite-; Trypanosoma cruzi parasites; Object detection</t>
  </si>
  <si>
    <t xml:space="preserve">Bern C., Chagas’ disease, N. Engl. J. Med., 30, 373, pp. 456-466, (2015); de Lima B.S.L.P., Beckmann M., Ebecken N.F.F., A KNN undersampling approach for data balancing, J. Intell. Learn. Syst. Appl., 7, 4, pp. 104-116, (1951); Vapnik V., Golowich S.E., Smola A.J., Support vector method for function approximation, regression estimation, and signal processing, Advances in Neural Information Processing Systems, pp. 281-287, (1997); Rosenblatt F., The perceptron: A probabilistic model for information storage and organization in the brain, Psychol. Rev., 65, 6, pp. 386-408, (1958); Schapire R.E., Freund Y., A decision-theoretic generalization of on-line learning and an application to boosting, Proceedings of the Second European Conference on Computational Learning Theory, 65, 6, pp. 23-37, (1995); Parasites-American Trypanosomiasis (Also Known as Chagas Disease), (2021); Soberanis-Mukul R., Uc-Cetina V., Brito-Loeza C., Ruiz-Pina H., An automatic algorithm for the detection of Trypanosoma cruzi parasites in blood sample images, Comput. Methods Programs Biomed., 112, 3, pp. 633-639, (2013); Uc-Cetina V., Brito-Loeza C., Ruiz-Pina H., Chagas parasite detection in blood images using Adaboost, Comput. Math. Methods Med., (2015); Pereira A., Pyrrho A., Vanzan D., Mazza L., Gomes J., Deep convolutional neural network applied to chagas disease parasitemia assessment, Congresso Brasileiro De Inteligência Computacional, pp. 1-8, (2020); Ojeda-Pat A., Martin-Gonzalez A., Soberanis-Mukul R., Convolutional neural network u-net for trypanosoma cruzi segmentation, ISICS 2020. CCIS, 1187, pp. 118-131, (2020); Morais D., Et al., Automatic detection of the parasite Trypanosoma cruzi in blood smears using a machine learning approach applied to mobile phone images, Peerj, 10, (2022); Ojeda-Pat A., Martin-Gonzalez A., Brito-Loeza C., Ruiz-Pina H., Ruz-Suarez D., Effective residual convolutional neural network for chagas disease parasite segmentation, Med. Biol. Eng. Comput., 60, pp. 1099-1110, (2022); Lecun Y., Bottou L., Bengio Y., Haffner P., Gradient-based learning applied to document recognition, Proc. IEEE, 86, 11, pp. 2278-2324, (1998); Chagas Disease (Also Known as American Trypanosomiasis), (2022); Lescure F.X., Et al., Chagas disease: Changes in knowledge and management, Lancet Infect Dis, 10, 8, pp. 556-570, (2010); Lin T.-Y., Goyal P., Girshick R., He K., Dollar P., Focal loss for dense object detection, Proceedings of the IEEE International Conference on Computer Vision, pp. 2980-2988, (2017); Ren S., He K., Girshick R., Sun J., Faster R-CNN: Towards real-time object detection with region proposal networks, Advances in Neural Information Processing Systems, 28, (2015); Girshick R., Donahue J., Darrell T., Malik J., Rich feature hierarchies for accurate object detection and semantic segmentation, Proceedings of the IEEE Conference on Computer Vision and Pattern Recognition, pp. 580-587, (2014); Girshick R., Fast R-CNN, Proceedings of the IEEE International Conference on Computer Vision, pp. 1440-1448, (2015); Tian Z., Shen C., Chen H., He T., FCOS: Fully convolutional one-stage object detection, Proceedings of the IEEE/CVF International Conference on Computer Vision, pp. 9627-9636, (2019); Redmon J., Divvala S., Girshick R., Farhadi A., You only look once: unified, real-time object detection, Proceedings of the IEEE Conference on Computer Vision and Pattern Recognition, pp. 779-788, (2016)</t>
  </si>
  <si>
    <t xml:space="preserve">L. Rada; Faculty of Engineering and Natural Sciences, Bahçeşehir University, Istanbul, Turkey; email: lavdie.rada@bau.edu.tr</t>
  </si>
  <si>
    <t xml:space="preserve">Yap M.H.; Kendrick C.; Behera A.; Cootes T.; Zwiggelaar R.</t>
  </si>
  <si>
    <t xml:space="preserve">28th Annual Conference on Medical Image Understanding and Analysis, MIUA 2024</t>
  </si>
  <si>
    <t xml:space="preserve">24 July 2024 through 26 July 2024</t>
  </si>
  <si>
    <t xml:space="preserve">Manchester</t>
  </si>
  <si>
    <t xml:space="preserve">978-303166954-5</t>
  </si>
  <si>
    <t xml:space="preserve">2-s2.0-85200653804</t>
  </si>
  <si>
    <t xml:space="preserve">Ozverel C.S.; Usman A.G.; Sultanoglu N.; Uzun B.; Bagkur C.; Ozsahin D.U.; Sanlidag T.</t>
  </si>
  <si>
    <t xml:space="preserve">Ozverel, Cenk Serhan (57207250833); Usman, Abdullahi Garba (57212103604); Sultanoglu, Nazife (57195133327); Uzun, Berna (57200208868); Bagkur, Cemile (57363006800); Ozsahin, Dilber Uzun (35222353000); Sanlidag, Tamer (6507989968)</t>
  </si>
  <si>
    <t xml:space="preserve">57207250833; 57212103604; 57195133327; 57200208868; 57363006800; 35222353000; 6507989968</t>
  </si>
  <si>
    <t xml:space="preserve">Implementation of Artificial Intelligence-Based Models with Improved Hybrid Techniques in Forecasting Possible Future Outbreaks: Which Agents and When?</t>
  </si>
  <si>
    <t xml:space="preserve">The COVID-19 pandemic revealed how the world's economy and healthcare system were not prepared to handle a pandemic. Today, many innovative approaches have been established by combining science with artificial intelligence (AI). This study aims to assist in the prediction of future pandemics and possible causative viruses that might threaten the worldwide public health system, using an AI algorithm. This study evaluates different characteristics of SARS-CoV-1, CCHF, Yellow fever virus, Ebola virus, Influenza A H1N1, Influenza A H3N2, Influenza A H5N1, West Nile virus, Dengue virus, Chikungunya virus and HIV viruses by using 4 novel hybrid models; LR-GPR, LR-LSQBOOST, LR-SVM, LR-RT that were more reliable than single methods with higher accuracies. The highest accuracy methods were selected by using three different evaluation metrics namely; the determination coefficient, correlation coefficient, and squared error. The criteria used for the analysis included the number of cases and deaths, the presence of a vaccine, annual R nought value starting from 2000 until 2022, related to an infectious agent. Data was obtained from sources including; WHO, CDC, ECDC, PAHO, and publications. The accuracy level of the AI algorithms used in our study was between 88-99%. Amongst the eleven infectious RNA viruses analyzed, Influenza A H1N1 and Chikungunya were both determined as infectious agents that might cause outbreaks in 2032 and 2037 with 550,000 and 1,100,000 predicted cases, respectively, suggesting the risk of this turning into a pandemic. The results indicated that the steady increase in HIV cases might continue in the next twenty years. In addition, the remaining viruses included in our study would not reach critical case numbers. Authorities should take preventative actions including treatment protocols, rapid diagnostic methods, and prevention of the spread of disease against the possible candidates that might lead to future pandemics  © 2024 IEEE.</t>
  </si>
  <si>
    <t xml:space="preserve">Advances in Science and Engineering Technology International Conferences, ASET</t>
  </si>
  <si>
    <t xml:space="preserve">10.1109/ASET60340.2024.10708757</t>
  </si>
  <si>
    <t xml:space="preserve">https://www.scopus.com/inward/record.uri?eid=2-s2.0-85210264237&amp;doi=10.1109%2fASET60340.2024.10708757&amp;partnerID=40&amp;md5=3daab00874b4f2fef4ed37a1b118fff5</t>
  </si>
  <si>
    <t xml:space="preserve">Near East University, 99138 Nicosia/TRNC, Mersin 10, Turkey; Desam Research Institute, Near East University, 99138 Nicosia/TRNC, Mersin 10, Turkey; Department of Mathematics, Near East University, Nicosia/TRNC, Mersin 10, 99138, Turkey; College of Health Science, University of Sharjah, Department of Medical Diagnostic Imaging, Sharjah, United Arab Emirates; Research Institute for Medical and Health Sciences, University of Sharjah, Sharjah, United Arab Emirates; Operation Research Center in Healthcare, Near East University, 99138 Nicosia/TRNC, Mersin 10, Turkey</t>
  </si>
  <si>
    <t xml:space="preserve">Ozverel C.S., Near East University, 99138 Nicosia/TRNC, Mersin 10, Turkey; Usman A.G., Operation Research Center in Healthcare, Near East University, 99138 Nicosia/TRNC, Mersin 10, Turkey; Sultanoglu N., Desam Research Institute, Near East University, 99138 Nicosia/TRNC, Mersin 10, Turkey; Uzun B., Department of Mathematics, Near East University, Nicosia/TRNC, Mersin 10, 99138, Turkey, Operation Research Center in Healthcare, Near East University, 99138 Nicosia/TRNC, Mersin 10, Turkey; Bagkur C., Desam Research Institute, Near East University, 99138 Nicosia/TRNC, Mersin 10, Turkey; Ozsahin D.U., College of Health Science, University of Sharjah, Department of Medical Diagnostic Imaging, Sharjah, United Arab Emirates, Research Institute for Medical and Health Sciences, University of Sharjah, Sharjah, United Arab Emirates, Operation Research Center in Healthcare, Near East University, 99138 Nicosia/TRNC, Mersin 10, Turkey; Sanlidag T., Desam Research Institute, Near East University, 99138 Nicosia/TRNC, Mersin 10, Turkey</t>
  </si>
  <si>
    <t xml:space="preserve">Artificial Intelligence; Outbreak; Pandemic; RNA viruses</t>
  </si>
  <si>
    <t xml:space="preserve">COVID-19; Risk assessment; Vaccines; Artificial intelligence algorithms; Chikungunya; Hybrid techniques; Infectious agents; Influenza A; Outbreak; Pandemic; Possible futures; RNA virus; World economy; Diagnosis</t>
  </si>
  <si>
    <t xml:space="preserve">Last J.M., Epidemic: The encyclopaedia of ecology and environmental management, A Dictionary of Epidemiology, (1998); Bhadoria P., Gupta G., Agarwal A., Viral Pandemics in the Past Two Decades: An Overview, J Family Med Prim Care., 10, 8, pp. 2745-2750, (2021); Vaishya R., Javaid M., Haleem Khan I., Haleem A., Artificial Intelligence (AI) applications for COVID-19 pandemic, Diabetes &amp; Metabolic Syndrome: Clinical Research &amp; Reviews, 14, 4, pp. 337-339, (2020); World Health Organisation (WHO), Crimean-Congo HemorrhagicFever-Iraq, (2022); Chinikar S., Ghiasi S.M., Moradi M., Goya M.M., Shirzadi M.R., Zeinali M., Meshkat M., Bouloy M., Geographical Distribution and Surveillance of Crimean-Congo Hemorrhagic Fever in Iran, Vector-Borne and Zoonotic Diseases, 10, 7, pp. 705-708, (2010); Sahak M.N., Arifi F., Saeedzai S.A., Descriptive epidemiology of Crimean-Congo Hemorrhagic Fever (CCHF) in Afghanistan: Reported cases to National Surveillance System, 2016-2018, International Journal of Infectious Diseases., 88, pp. 135-140, (2019); Umair M., Khurshid A., Alam M.M., Akhtar R., Salman M., Ikram A., Genetic diversity and phylogenetic analysis of Crimean-Congo Hemorrhagic Fever viruses circulating in Pakistan during 2019, PLoSNegl Trop Dis, 14, 6, (2020); Appannanavar S.B., Mishra B., An update on crimeancongo hemorrhagic Fever, J Glob Infect Dis., 3, 3, pp. 285-292, (2011); World Health Organisation (WHO), WHO EMRO Weekly Epidemiological Monitor, 14, 49, (2021); Clerk Maxwell J., A Treatise on Electricity and Magnetism, 2, pp. 68-73, (1892); World Health Organisation (WHO), MERS Situation Update, (2022); World Health Organisation (WHO), Middle East respiratory syndrome coronavirus (MERS-CoV), (2022); Centers for Disease Control and Prevention (CDC), Severe Acute Respiratory Syndrome (SARS), (2022); Garnaut R., Song L., China New Engine of World Growth. Australian National University ePRESS, pp. 19-27, (2012); Su S., Wong G., Shi W., Liu J., Lai A.C.K., Zhou J., Liu W., Bi Y., Gao G.F., Epidemiology, Genetic Recombination, and Pathogenesis of Coronaviruses, Trends in Microbiology., 24, 6, pp. 490-502, (2016); De Wit E., Van Doremalen N., Falzarano D., Munster V.J., SARS and MERS: Recent insights into emerging coronaviruses, Nature Reviews Microbiology, (2016); World Health Organisation (WHO), Epidemiological Update: Dengue, Chikungunya and Zika in the context of COVID-19, (2022); Pan American Health Organisation (PAHO), Cases of Zika Virus Disease, (2022); World Health Organisation (WHO), Ebola Virus Disease, (2022); Centers for Disease Control and Prevention (CDC), Cases and Outbreaks of EVB by Year, (2022); European Centre for Disease Prevention and Control (ECDC), Weekly updates: 2022 West Nile virus transmission season, (2022); Pan American Health Organisation (PAHO), Epidemiological Update for Dengue, Chikungunya and Zika in 2021, (2022); Jacob S.T., Crozier I., Fischer W.A., Hewlet A.T., Kraft C.S., Vega M.A., Soka M.J., Wahl V., Griffiths A., Bollinger L., Kuhn J.H., Ebola virus disease, Nat Rev Dis Primers., 6, 1, (2020); Holmes E.C., Dudas G., Rambaut A., Andersen K.G., The evolution of Ebola virus: Insights from the 2013-2016 epidemic, Nature., 538, 7624, pp. 193-200, (2016); Ebretadik F.A., Seifu M.F., Gelaw B.K., Review on Ebola Virus Disease: Its Outbreak and Current Status, Epidemiology (sunnyvale), 5, (2015); Centers for Disease Control and Prevention (CDC), Final Cumulative Maps &amp; Data for 1999-2020, (2022); Centers for Disease Control and Prevention (CDC), West Nile Virus Disease Cases by State 2022, (2022); Centers for Disease Control and Prevention (CDC), West Nile Virus Disease Cases by State, (2021); Pan American Health Organisation (PAHO), Dengue Cases, (2022); Brathwaite Dick O., San Martin J.L., Montoya R.H., Del Diego J., Zambrano B., Dayan G.H., The history of dengue outbreaks in the Americas, Am J Trop Med Hyg., 87, 4, pp. 584-593, (2012); European Centre for Disease Prevention and Control (ECDC), Dengue Worldwide Overview, (2022); Moraes G.H., De Fatima Duarte E., Duarte E.C., Determinants of mortality from severe dengue in Brazil: A population-based case-control study, Am J Trop Med Hyg., 88, 4, pp. 670-676, (2013); Pan American Health Organisation (PAHO), Dengue Viruses in Brazil, 1986-2006, (2022); World Health Organisation (WHO), (2022); Pan American Health Organisation (PAHO), Number of Reported Cases of Chikungunya Fever in the Americas, by Country or Territory, (2022); Pan American Health Organisation (PAHO), Cases of Chikungunya Virus Disease, (2022); European Centre for Disease Prevention and Control (ECDC), Chikungunya Worldwide Overview, (2022); Lima Neto A.S., Sousa G.S., Nascimento O.J., Castro M.C., Chikungunya-attributable deaths: A neglected outcome of a neglected disease, PLoSNegl Trop Dis., 13, 9, (2019); Diop D., Meseznikov G., Sanicas M., Chikungunya outbreaks from 2000 to 2015: A review, MOJ Public Health., 2, 6, pp. 181-187, (2015); Mavalankar D., Shastri P., Bandyopadhyay T., Parmar J., Ramani K.V., Increased mortality rate associated with chikungunya epidemic, Ahmedabad, India, Emerg Infect Dis., 14, 3, pp. 412-415, (2008); Wahid B., Ali A., Rafique S., Idrees M., Global expansion of chikungunya virus: Mapping the 64-year history, International Journal of Infectious Disease, 58, pp. 69-76, (2017); Druce J.D., Johnson D.F., Tran T., Richards M.J., Birch C.J., Chikungunya virus infection in traveler to Australia, Emerg Infect Dis., 13, 3, pp. 509-510, (2007); World Health Organization (WHO), Global Influenza Programme, (2022); European Centre for Disease Prevention and Control (ECDC), Novelavian influenza A (H7N9) virus outbreak, (2022); Centers for Disease Control and Prevention (CDC), AsianLineage Avian Influenza A (H7N9), (2022); World Health Organisation (WHO), Human infection with avian influenza A (H5) viruses, (2022); World Health Organization (WHO), Influenza Laboratory Surveillance Information, (2022); World Health Organization (WHO), Avian influenza A (H5N1) situation update, (2016); World Health Organization (WHO), AHuman infection with avian influenza A (H5) viruses, (2022); Poovorawan Y., Pyungporn S., Prachayangprecha S., Makkoch J., Global alert to avian influenza virus infection: From H5N1 to H7N9, Pathog Glob Health., 107, 5, pp. 217-223, (2013); World Health Organization (WHO), Yellow fever Reported cases by country, (2022); World Health Organization (WHO), 2013-Sudan, (2022); World Health Organization (WHO), 2011-Senegal, (2022); World Health Organization (WHO), (2011); World Health Organization (WHO), 2011-Uganda, (2022); World Health Organization (WHO), 2010-Congo, (2022); World Health Organization (WHO), 2010-Cameroon, (2022); World Health Organization (WHO), 2010-Guinea, (2022); World Health Organization (WHO), 2009-Central African Republic, (2022); World Health Organization (WHO), 2008-Liberia, (2022); World Health Organization (WHO), 2008-Paraguay, (2022); World Health Organization (WHO), 2008-Paraguay, (2022); World Health Organization (WHO), 2004-Burkina Faso, (2022); World Health Organization (WHO), (2004); World Health Organization (WHO), 2004-Liberia, (2022); World Health Organization (WHO), Yellow Fever-Nigeria, (2022); World Health Organization (WHO), 2000-Liberia, (2022); Nathan N., Barry M., Van Herp M., Zeller H., Shortage of vaccines during a yellow fever outbreak in Guinea, Lancet., 358, 9299, pp. 2129-2130, (2001); World Health Organization (WHO), Number of New HIV Infections, (2022); Bhattarai A., Dhakal S., Gautam Y., Bhattarai R., Prediction of nitrate and phosphorus concentrations using machine learning algorithms in watersheds with different landuse, Water (Switzerland), 13, 21, (2021); Wiangkham A., Ariyarit A., Aengchuan P., Prediction of the influence of loading rate and sugarcane leaves concentration on fracture toughness of sugarcane leaves and epoxy composite using artificial intelligence, Theoretical and Applied Fracture Mechanics, 117, (2022); Su M., Zhang Z., Zhu Y., Zha D., Data-driven natural gas spot price forecasting with least squares regression boosting algorithm, Energies, 12, 6, (2019); Abba S.I., Hadi S.J., Sammen S.S., Salih S.Q., Abdulkadir R.A., Pham Q.B., Yaseen Z.M., Evolutionary computational intelligence algorithm coupled with self-tuning predictive model for water quality index determination, Journal of Hydrology, 587, (2020); Ke Y., Yiyu C., Discriminating the Genuineness of Chinese Medicines Using Least Squares Support Vector Machines, 34, 4, pp. 4-7, (2006); Li X., Cheng Z., Yu Q., Bai Y., Li C., Water-Quality Prediction Using Multimodal Support Vector Regression: Case Study of Jialing River, China, Journal of Environmental Engineering (United States), 143, 10, (2017); Cai H., Jia X., Feng J., Li W., Hsu Y.M., Lee J., Gaussian Process Regression for numerical wind speed prediction enhancement, Renewable Energy, 146, pp. 2112-2123, (2020); Solgi A., Pourhaghi A., Bahmani R., Zarei H., Improving SVR and ANFIS performance using wavelet transform and PCA algorithm for modeling and predicting biochemical oxygen demand (BOD), Ecohydrology and Hydrobiology, 17, 2, pp. 164-175, (2017); Malami S.I., Musa A.A., Haruna S.I., Aliyu U.U., Usman A.G., Abdurrahman M.I., Abba S.I., Implementation of soft-computing models for prediction of flexural strength of pervious concrete hybridized with rice husk ash and calcium carbide waste, Modeling Earth Systems and Environment, (2021); Youssef A.M., Pourghasemi H.R., Pourtaghi Z.S., Al-Katheeri M.M., Landslide susceptibility mapping using random forest, boosted regression tree, classification and regression tree, and general linear models and comparison of their performance at Wadi Tayyah Basin, Asir Region, Saudi Arabia, Landslides, 13, 5, pp. 839-856, (2016); Elith J., Leathwick J.R., Hastie T., A working guide to boosted regression trees, Journal of Animal Ecology, 77, 4, pp. 802-813, (2008); Mahmoud K., Bebis H., Usman A.G., Salihu A.N., Gaya M.S., Dalhat U.F., Abba S.I., Prediction of the effects of environmental factors towards COVID-19 outbreak using AI-based models, IAES International Journal of Artificial Intelligence, 10, 1, pp. 35-42, (2021); Khalid G.M., Usman A.G., Application of data-intelligence algorithms for modeling the, (2021); World Health Organization (WHO), 2008-Brazil, (2022); World Health Organization (WHO), 2005-Guinea, (2022); World Health Organization (WHO), 2005-Sudan, (2022); World Health Organization (WHO), 2005-Mali, (2022); Usman, Garba A., Ahmad M.H., Danraka N., Abba S.I., The effect of ethanolic leaves extract of Hymenodictyon floribundun on inflammatory biomarkers: A data-driven approach, Bulletin of the National Research Centre, (2021); Abdullahi H.U., Usman A.G., Abba S.I., Modelling the Absorbance of a Bioactive Compound in HPLC Method using Artificial Neural Network and Multilinear Regression Methods, 6, 2, pp. 362-371, (2020); Usman A.G., Isik S., Abba S.I., Hybrid data-intelligence algorithms for the simulation of thymoquinone in HPLC method development, Journal of the Iranian Chemical Society, 18, 7, pp. 1537-1549, (2021); Usman, Garba A., Isik S., Abba S.I., Mericli F., Chemometrics-based models hyphenated with ensemble machine learning for retention time simulation of isoquercitrin in Coriander sativum L, using high-performance liquid chromatography. Journal of Separation Science, 44, 4, pp. 843-849, (2021); Centers for Disease Control and Prevention (CDC), West Nile Virus Disease Cases by State 2022, (2022); Centers for Disease Control and Prevention (CDC), West Nile Virus Disease Cases by State, (2022); Petridis D., Zarogoulidis P., Kallianos A., Kioumis I., Trakada G., Spyratos D., Zarogoulidis K., Clinical differences between H3N2 and H1N1 influenza 2012 and lower respiratory tract infection found using a statistical classification approach, Therapeutics and Clinical Risk Management, 10, (2014); Skowronski D.M., Moser F.S., Janjua N.Z., Davoudi B., English K.M., Purych D., Pourbohloul B., H3N2v and other influenza epidemic risk based on age-specific estimates of sero-protection and contact network interactions, PLoS One, 8, 1, (2013); Caminade C., McIntyre K.M., Jones A.E., Impact of recent and future climate change on vector-borne diseases, Annals of the New York Academy of Sciences, 1436, 1, pp. 157-173, (2019)</t>
  </si>
  <si>
    <t xml:space="preserve">2024 Advances in Science and Engineering Technology International Conferences, ASET 2024</t>
  </si>
  <si>
    <t xml:space="preserve">3 June 2024 through 5 June 2024</t>
  </si>
  <si>
    <t xml:space="preserve">979-835034413-4</t>
  </si>
  <si>
    <t xml:space="preserve">Adv. Sci. Eng. Technol. Int. Conf., ASET</t>
  </si>
  <si>
    <t xml:space="preserve">2-s2.0-85210264237</t>
  </si>
  <si>
    <t xml:space="preserve">Venkatesan K.; Rahayu S.B.; Muthulakshmi M.; Velkur V.P.</t>
  </si>
  <si>
    <t xml:space="preserve">Venkatesan, K. (59313963400); Rahayu, Syarifah Bahiyah (36816483800); Muthulakshmi, M. (57201588260); Velkur, Vishnu Priya (59185356600)</t>
  </si>
  <si>
    <t xml:space="preserve">59313963400; 36816483800; 57201588260; 59185356600</t>
  </si>
  <si>
    <t xml:space="preserve">Implementation of Convolutional Neural Network Malarial Cells Detection</t>
  </si>
  <si>
    <t xml:space="preserve">This paper proposes a Convolutional Neural Network (CNN) approach to analyze and detect the malarial parasite-infected blood smear cells. Malaria is a fatal illness solely transmits through the bites of infected female mosquitoes of Anopheles.. Recent studies show that in 2020, there were 241 million cases of malaria worldwide, which resulted in the death of nearly 6,27,000 people. The diagnostic process must be automated to avoid human participation during the automated diagnosis because a delayed or inaccurate diagnosis causes most of these deaths. To enhance diagnostic reliability, deep-learning technologies and CNN, such as medical image processing techniques, are employed to assess parasitemia in microscopic blood slides. In this research, we propose a supervised learning-based Visual Geometry Group (VGG-19) that performs accurate classification to detect malaria-infected cells. The dataset comprises 27,560 images of segmented blood cells, equally divided into parasitized (infected) and uninfected cells, which were utilized for VGG-19 architecture. The first step is to define the image processing methods that can be used to analyze the dataset for training the model. The next stage discusses the techniques for training deep neural networks and the data augmentation techniques used to increase the size of the dataset and enhance the model's performance. Finally, the accuracy of classification outcomes is compared from deep CNN using the same datasets for the testing, training and validating phases. Our trained model uses blood smear samples to predict the presence of malarial-infected cells and achieves a 97% accuracy rate. © 2024 IEEE.</t>
  </si>
  <si>
    <t xml:space="preserve">2024 International Conference on Communication, Computing and Internet of Things, IC3IoT 2024 - Proceedings</t>
  </si>
  <si>
    <t xml:space="preserve">10.1109/IC3IoT60841.2024.10550234</t>
  </si>
  <si>
    <t xml:space="preserve">https://www.scopus.com/inward/record.uri?eid=2-s2.0-85196734657&amp;doi=10.1109%2fIC3IoT60841.2024.10550234&amp;partnerID=40&amp;md5=56450030f1f3779e00828ae6978453c1</t>
  </si>
  <si>
    <t xml:space="preserve">Amrita School Of Computing, Amrita Vishwa Vidyapeetham, Department of CSE, Chennai, India; National Defence University Malaysia (UPNM), Cyber Security And Digital Industrial Revolution Centre, Malaysia; Amrita School Of Engineering, Amrita Vishwa Of Vidyapeetham, Department Of Ece, Chennai, India</t>
  </si>
  <si>
    <t xml:space="preserve">Venkatesan K., Amrita School Of Computing, Amrita Vishwa Vidyapeetham, Department of CSE, Chennai, India; Rahayu S.B., National Defence University Malaysia (UPNM), Cyber Security And Digital Industrial Revolution Centre, Malaysia; Muthulakshmi M., Amrita School Of Engineering, Amrita Vishwa Of Vidyapeetham, Department Of Ece, Chennai, India; Velkur V.P., Amrita School Of Engineering, Amrita Vishwa Of Vidyapeetham, Department Of Ece, Chennai, India</t>
  </si>
  <si>
    <t xml:space="preserve">Accuracy; CNNs; Data Augmentation; Overfitting</t>
  </si>
  <si>
    <t xml:space="preserve">Blood; Cells; Classification (of information); Convolution; Cytology; Deep neural networks; Diagnosis; Diseases; Image enhancement; Medical imaging; Accuracy; Automated diagnosis; Blood smears; Cell detection; Convolutional neural network; Data augmentation; Diagnostic process; Infected cells; Malarial parasites; Overfitting; Convolutional neural networks</t>
  </si>
  <si>
    <t xml:space="preserve">National Defence University of Malaysia, NDUM, (A0014); National Defence University of Malaysia, NDUM</t>
  </si>
  <si>
    <t xml:space="preserve">This research work was supported and funded by the National Defence University Malaysia Tabung-Amanah PPPI Trust Fund - (A0014) and the corresponding research code is PS059-UPNM/2023/GPPP/ICT/1.</t>
  </si>
  <si>
    <t xml:space="preserve">(2019); Quan Q., Et al., An Effective Convolutional Neural Network for Classifying Red Blood Cells in Malaria Diseases, Interdiscip. Sci.-Compute. Life Sci, 12, 2, pp. 217-225, (2020); Dong Y., Et al., Impact of misclassification rates on compression efficiency of red blood cell images of malaria infection using deep learning, Entropy, 21, 11, (2019); Nakasi R., Et al., A new approach for microscopic diagnosis of malaria parasites in thick blood smears using pre-trained deep learning models, SN Appl. Sci, 2, 7, pp. 1-7, (2020); Approach L., Diagnostics Analyzing Malaria Disease Using Effective Deep Learning Approach, Diagnostics, 14, 6, pp. 1-22, (2020); Maity M., Et al., Quantification of malaria parasitemia using trainable semantic segmentation and capsnet, 138, pp. 88-94, (2020); Vijayalakshmi A., Et al., Deep learning approach to detect malaria from microscopic images Multimed, Tools Appl, 79, 21-22, pp. 15297-15317, (2020); Amin J., Et al., An optimized features selection approach based on Manta Ray Foraging Optimization (MRFO) method for parasite malaria classification, Front. Public Heal, 10, 1, (2022); Pattanaik P.A., Et al., Unsupervised Deep Learning CAD Scheme for the Detection of Malaria in Blood Smear Microscopic Images, IEEE Access, 8, pp. 94936-94946, (2020); Masud M., Et al., Leveraging Deep Learning Techniques for Malaria Parasite Detection Using Mobile Application, Wirel. Commun. Mob. Comput, 2020, (2020); Yang Z., Et al., A generalized deep learning-based framework for assistance to the human malaria diagnosis from microscopic images, Neural Comput. Appl, 34, 17, pp. 14223-14238, (2022); Krishnadas P., Et al., Classification of Malaria Using Object Detection Models, Informatics, 9, 4, pp. 1-18, (2022); Mustafa W.A., Et al., Malaria Parasite Diagnosis Using Computational Techniques: A Comprehensive Review, J. Phys. Conf. Ser, 2107, 1, (2021); Elangovan P., SN, Et al., A Novel Shallow ConvNet-18 for Malaria Parasite Detection in Thin Blood Smear Images: CNN Based Malaria Parasite Detection, Comput. Sci, 2, 5, pp. 1-11, (2021); Deelder W., Et al., Using deep learning to identify recent positive selection in malaria parasite sequence data, Malar. J, 20, 1, pp. 1-9, (2021); Pattanaik P.A., Mittal M., Et al., Malaria detection using deep residual networks with mobile microscopy, Comput Inf. Sci, 34, 5, pp. 1700-1705, (2022); Meng X., Et al., For multi-stage malaria parasite recognition, pp. 11393-11414, (2022); Banerjee T., Et al., Deep Convolutional Neural Network (Falcon) and transfer learning-based approach to detect malarial parasite, Multimed; Li D., Multimed Z.M., Residual attention learning network and SVM for malaria parasite detection, Tools Appl, 81, 8, pp. 10935-10960, (2022); Jameela T., Et al., Deep Learning and Transfer Learning for Malaria Detection, Comput. Intell. Neurosci, 2022, (2022); Musaev J., Et al., ICNN-Ensemble: An Improved Convolutional Neural Network Ensemble Model for Medical Image Classification, IEEE Access, 11, pp. 86285-86296, (2023); Alnussairi M.H.D., Et al., Malaria parasite detection using deep learning algorithms based on (CNNs) technique, Comput. Electr. Eng, 103, pp. 1-13, (2022); Minarno A.E., Aripa L., Et al., Classification of Malaria Cell Image Using Inception-V3 Architecture, Int. J. Informatics Vis, 7, 2, pp. 273-278, (2023); Sherif F., Et al., Detection of Malaria Infection Using Convolutional Neural Networks, 2023 Intell. Methods, Syst. Appl, pp. 291-296, (2023); Cho Y.S., Et al., Applying Machine Learning to Healthcare Operations Management: CNN-Based Model for Malaria Diagnosis, 11, 12, (2023); Kakkar B., Et al., AI-Based Approaches for Detection and Classification of Different Classes of Malaria Parasites Using Microscopic Images, Arch. Comput. Methods Eng, (2023); Liang L., Et al., Towards an adversarially robust convolutional neural network for automated diagnosis of malaria infection from microscopy images, Signal Process. Control, 86, PC, (2023); Silka W., Wieczorek M., Et al., Malaria Detection Using Advanced Deep Learning Architecture, Sensors, 23, 3, pp. 1-21, (2023); Hemachandran K., Et al., Performance Analysis of Deep Learning Algorithms in Diagnosis of Malaria Disease, Diagnostics, 13, 3, (2023); Madhu G., Et al., Intelligent diagnostic model for malaria parasite detection and classification using imperative inception-based capsule neural networks, Rep, 13, 1, pp. 1-11, (2023); Palaniappan S., Muthulakshmi M., Et al., Diagnosis of Acute Respiratory Syndromes from X-Rays by using CNN Architecture, IEEE International Conference on Artificial Intelligence in Engineering and Technology (IICAIET), pp. 1-5, (2022); Muthulakshmi M., Laasya R.A., Et al., Comparative Analysis of EfficientNet Models for Differentiation of Ischemic and Non-Ischemic Diabetic Foot Ulcers, IEEE 20th India Council International Conference (INDICON), pp. 1347-1352, (2023); Saiprasath G., Et al., Performance comparison of machine learning algorithms for malaria detection using microscopic images, Int J Curr Res Acad Rev, (2019); Gopalkrishna P.G., Et al., Convolutional neural network-based malaria diagnosis from focus stack of smear images acquired using custom built slide scaneer, 11, 3</t>
  </si>
  <si>
    <t xml:space="preserve">V.P. Velkur; Amrita School Of Engineering, Amrita Vishwa Of Vidyapeetham, Department Of Ece, Chennai, India; email: Ch.en.u4ece21064@ch.students.amrita.edu</t>
  </si>
  <si>
    <t xml:space="preserve">2024 International Conference on Communication, Computing and Internet of Things, IC3IoT 2024</t>
  </si>
  <si>
    <t xml:space="preserve">17 April 2024 through 18 April 2024</t>
  </si>
  <si>
    <t xml:space="preserve">Chennai</t>
  </si>
  <si>
    <t xml:space="preserve">979-835035268-9</t>
  </si>
  <si>
    <t xml:space="preserve">Int. Conf. Commun., Comput. Internet Things, IC3IoT - Proc.</t>
  </si>
  <si>
    <t xml:space="preserve">2-s2.0-85196734657</t>
  </si>
  <si>
    <t xml:space="preserve">Pamungkas Y.; Njoto E.N.; Eljatin D.S.; Hardyanti I.F.; Umamah T.; Putri K.J.</t>
  </si>
  <si>
    <t xml:space="preserve">Pamungkas, Yuri (57221336914); Njoto, Edwin Nugroho (57201777000); Eljatin, Dwinka Syafira (57725255400); Hardyanti, Intan Fitri (59378520500); Umamah, Tazkiya (59378076700); Putri, Kartika Jilan (59378076800)</t>
  </si>
  <si>
    <t xml:space="preserve">57221336914; 57201777000; 57725255400; 59378520500; 59378076700; 59378076800</t>
  </si>
  <si>
    <t xml:space="preserve">Implementation of EfficientNet-B0 Architecture in Malaria Detection System Based on Patient Red Blood Cell (RBC) Images</t>
  </si>
  <si>
    <t xml:space="preserve">Malaria is an infectious disease with the most significant number of sufferers currently. The Plasmodium parasite and diagnosis cause this disease involves observing the patient's red blood cells (RBC) by medical personnel. However, with technological advances, RBC observation can become easier with the help of artificial intelligence algorithms. Therefore, researchers attempted to develop a malaria detection system based on RBC images using the CNN EfficientNet-B0 method in this study. The RBC dataset was obtained from the publicly accessible National Institutes of Health (NIH) repository. Data pre-processing starts with augmentation, resizing, rotation, and horizontal flip in the initial stage. Then, class weighting is carried out, and the dataset is divided into training, validation, and testing data. In the model training process, 10-fold cross-validation was used with 15 epochs. The testing results showed that the EfficientNet-B0 model had accuracy, precision, specificity, sensitivity, and F-1 scores, reaching 97.37%, 98.17%, 98.17%, 96.58%, and 97.37%. In addition, at the 12 th epoch, the EfficientNet-B0 model achieved optimal accuracy in the training and validation process. These results are higher and more efficient than other CNN models used in this research, such as VGG19, MobileNet, Inception, and Xception, whose accuracies reached 96.15%, 95.74%, 95.92%, and 95.83%, respectively.  © 2024 IEEE.</t>
  </si>
  <si>
    <t xml:space="preserve">Proceeding - 2024 International Conference on Information Technology Research and Innovation, ICITRI 2024</t>
  </si>
  <si>
    <t xml:space="preserve">10.1109/ICITRI62858.2024.10699220</t>
  </si>
  <si>
    <t xml:space="preserve">https://www.scopus.com/inward/record.uri?eid=2-s2.0-85207069420&amp;doi=10.1109%2fICITRI62858.2024.10699220&amp;partnerID=40&amp;md5=158151beaf8a96ba4fbdda55a721e1bf</t>
  </si>
  <si>
    <t xml:space="preserve">Institut Teknologi Sepuluh Nopember, Medical Technology, Surabaya, Indonesia; Institut Teknologi Sepuluh Nopember, Department of Medicine, Surabaya, Indonesia</t>
  </si>
  <si>
    <t xml:space="preserve">Pamungkas Y., Institut Teknologi Sepuluh Nopember, Medical Technology, Surabaya, Indonesia; Njoto E.N., Institut Teknologi Sepuluh Nopember, Department of Medicine, Surabaya, Indonesia; Eljatin D.S., Institut Teknologi Sepuluh Nopember, Department of Medicine, Surabaya, Indonesia; Hardyanti I.F., Institut Teknologi Sepuluh Nopember, Medical Technology, Surabaya, Indonesia; Umamah T., Institut Teknologi Sepuluh Nopember, Medical Technology, Surabaya, Indonesia; Putri K.J., Institut Teknologi Sepuluh Nopember, Medical Technology, Surabaya, Indonesia</t>
  </si>
  <si>
    <t xml:space="preserve">CNN Method; EfficientNet-B0; Malaria Detection; Model Performance; RBC Images</t>
  </si>
  <si>
    <t xml:space="preserve">Diagnosis; Network security; Blood cell images; CNN method; Detection system; Efficientnet-b0; Infectious disease; Malaria detection; Modeling performance; Red blood cell; Red blood cell image; Training process; Diseases</t>
  </si>
  <si>
    <t xml:space="preserve">Institut Teknologi Sepuluh Nopember, ITS; Department of Medical Technology, (1080/PKS/ITS/2024)</t>
  </si>
  <si>
    <t xml:space="preserve">The authors would like to acknowledge the Department of Medical Technology ITS, for the facilities and support in this research (Department research scheme with contract number: 1080/PKS/ITS/2024). The authors also gratefully acknowledge financial support from the ITS for this work, under project scheme of the PPHKI 2024.</t>
  </si>
  <si>
    <t xml:space="preserve">Venkatesan P., The 2023 WHO World malaria report, The Lancet Microbe, 5, 3, (2024); Assemie A., Malaria prevalence and distribution of Plasmodium species in southern region of Ethiopia, Journal of Parasitology Research, 2022, pp. 1-9, (2022); OpoKu Afriyie S., Et al., Accuracy of diagnosis among clinical malaria patients: comparing microscopy, RDT and a highly sensitive quantitative PCR looking at the implications for submicroscopic infections, Malaria Journal, 22, 1, (2023); Bria Y.P., Yeh C.-H., Bedingfield S., Significant symptoms and non-symptom-related factors for malaria diagnosis in endemic regions of Indonesia, International Journal of Infectious Diseases, 103, (2020); Bittaye S.O., Et al., Clinical manifestations and outcomes of se vere malaria in adult patients admitted to a tertiary hospital in the Gambia, Malaria Journal, 21, 1, (2022); AKafity G., Kumi N., Ashong J., Diagnosis and management of malaria in the intensive care unit, Journal of Intensive Medicine, (2023); de Souza Oliveira A., Et al., A new approach for malaria diagnosis in thick blood smear images, Biomedical Signal Processing and Control, 78, (2022); Sukumarran D., Et al., Machine and deep learning methods in identifying malaria through microscopic blood smear: A systematic review, Engineering applications of artificial intelligence, (2024); Tatima T., Arid M.S., Automatic detection of Plasmodium parasites from microscopic blood images, Journal of Parasitic Diseases, 44, 1, pp. 69-78, (2019); Hossain M.M., Rahim M.A., Bahar A.N., Rahman M.M., Automatic malaria disease detection from blood cell images using the variational quantum circuit, Informatics in Medicine Unlocked, 26, (2021); Molina A., Rodellar J., Boldu L., Acevedo A., Alferez S., Merino A., Automatic identification of malaria and other red blood cell inclusions using convolutional neural networ s, Computers in Biology and Medicine, 136, (2021); Fuhad K.M.F., Tuba J.F., Sarker Md.R.A., Momen S., Mohammed N., Rahman, Deep learning based automatic malaria parasite detection from blood smear and its smartphone based application, Diagnostics, 10, 5, (2020); Madhu G., Et al., Intelligent diagnostic model for malaria parasite detection and classification using imperative inception-based capsule neural networks, Scientific Reports, 13, 1, (2023); Davidson M.S., Et al., Automated detection and staging of malaria parasites from cytological smears using convolutional neural networks, Biological Imaging, 1, (2021); Kassim Y.M., Et al., Clustering-based dual deep learning architecture for detecting red blood cells in malaria diagnostic smears, IEEE Journal of Biomedical and Health Informatics, (2020); Pamungkas Y., Et al., Effectiveness of CNN architectures and SMOTE to overcome imbalanced X-Ray data in childhood pneumonia detection, Journal of Robotics and Control (JRC), 5, 3, pp. 775-785; Wibawa A.D., Et al., Iris grid image classification using Naive Bayes for human biometric system, 2022 1st International Conference on Information System &amp; Information Technology (ICISIT), pp. 55-60, (2022); Hoyos K., Hoyos W., Supporting malaria diagnosis using deep learning and data arugmentation, Diagnostics, 14, 7, (2024); Raza R., Et al., Lung-EffNet: Lung cancer classification using EfficientNet from CT-scan images, Engineering Applications of Artificial Intelligence, 126, (2023); Ali K., Shaikh Z.A., Khan A.A., Laghari A.A., Multiclass s in cancer classification using EfficientNets – a first step towards presenting s in cancer, Neuroscience Informatics, 2, 4, (2022); Muhammad G., Et al., Utilizing EfficientNet for sheep breed identification in low-resolution images, Systems and soft computing, (2024); Zulfiqar F., Et al., Multi-class classification of brain tumor types from MR images using EfficientNets, Biomedical Signal Processing and Control, 84, (2023); Rafay A., Ussain, EfficientSkinDis: An EfficientNet-based classification model for a large manually curated dataset of 31 skin diseases, Biomedical Signal Processing and Control, 85, (2023); Argho A.G., Et al., EfficientCo Net: A CNN-based approach to detect various pulmonary diseases including COVID-19 using modified EfficientNet, Intelligent systems with applications, 21, (2024); Mishra S., Malaria parasite detection using efficient neural ensembles, Journal of Electronics, Electromedical Engineering, and Medical Informatics, 3, 3, pp. 119-133, (2021)</t>
  </si>
  <si>
    <t xml:space="preserve">Y. Pamungkas; Institut Teknologi Sepuluh Nopember, Medical Technology, Surabaya, Indonesia; email: yuri@its.ac.id</t>
  </si>
  <si>
    <t xml:space="preserve">2024 International Conference on Information Technology Research and Innovation, ICITRI 2024</t>
  </si>
  <si>
    <t xml:space="preserve">5 September 2024 through 6 September 2024</t>
  </si>
  <si>
    <t xml:space="preserve">Hybrid, Jakarta</t>
  </si>
  <si>
    <t xml:space="preserve">979-835037621-0</t>
  </si>
  <si>
    <t xml:space="preserve">Proceeding - Int. Conf. Inf. Technol. Res. Innov., ICITRI</t>
  </si>
  <si>
    <t xml:space="preserve">2-s2.0-85207069420</t>
  </si>
  <si>
    <t xml:space="preserve">Dheva Rajan S.</t>
  </si>
  <si>
    <t xml:space="preserve">Dheva Rajan, S. (56048390800)</t>
  </si>
  <si>
    <t xml:space="preserve">Integrated Machine Learning Paradigms with Simulation based Mathematical Modeling for Dengue Fever</t>
  </si>
  <si>
    <t xml:space="preserve">This investigation explores the creation and examination of a thorough mathematical model for the dynamics of dengue disease transmission, which includes important epidemiological variables and the dynamics of vaccination. The study investigates the usefulness of the model in forecasting epidemics, evaluating immunization plans, and enhancing public health interventions. The answer entails a thorough examination of periodic orbits and fixed points to reveal probable chaotic behavior and attractors. The behavior of the model under different parameter values is investigated using bifurcation analysis, providing insights into important aspects affecting dengue dynamics. The study also discusses the model's relevance in practical decision-making and highlights its usefulness in forecasting the dengue virus's worldwide burden.  © 2024 IEEE.</t>
  </si>
  <si>
    <t xml:space="preserve">Proceedings - 2024 International Conference on Social and Sustainable Innovations in Technology and Engineering, SASI-ITE 2024</t>
  </si>
  <si>
    <t xml:space="preserve">10.1109/SASI-ITE58663.2024.00030</t>
  </si>
  <si>
    <t xml:space="preserve">https://www.scopus.com/inward/record.uri?eid=2-s2.0-85201155935&amp;doi=10.1109%2fSASI-ITE58663.2024.00030&amp;partnerID=40&amp;md5=215c72fb942b4dd251b61b2afcb17ad1</t>
  </si>
  <si>
    <t xml:space="preserve">University of Technology and Applied Sciences, College of Computing and Information Sciences, Al Musannah, Oman</t>
  </si>
  <si>
    <t xml:space="preserve">Dheva Rajan S., University of Technology and Applied Sciences, College of Computing and Information Sciences, Al Musannah, Oman</t>
  </si>
  <si>
    <t xml:space="preserve">Artificial Intelligence; Dengue; Diseases; Machine Learning; Mathematical modeling; ODE</t>
  </si>
  <si>
    <t xml:space="preserve">Bifurcation (mathematics); Decision making; Dynamics; Viruses; Dengue; Dengue fevers; Disease transmission; Health interventions; Integrated machines; Learning paradigms; Machine-learning; Mathematical modeling; ODE; Periodic orbits; Machine learning</t>
  </si>
  <si>
    <t xml:space="preserve">Kraemer M.U.G., Et al., Past and future spread of the arbovirus vectors Aedes aegypti and Aedes albopictus, Nat. Microbiol., 4, 5, pp. 854-863, (2019); Torres-Flores J.M., Reyes-Sandoval A., Salazar M.I., Dengue Vaccines: An Update, BioDrugs Clin. Immunother. Biopharm. Gene Ther., 36, 3, pp. 325-336, (2022); Dengue-Level 3 cause | The Institute for Health Metrics and Evaluation; Shepard D.S., Undurraga E.A., Halasa Y.A., Stanaway J.D., The global economic burden of dengue: A systematic analysis, Lancet Infect. Dis., 16, 8, pp. 935-941, (2016); Jayachitra S., Prasanth A., Rati S.M., Zulaikha Beevi S., Hierarchical-Based Binary Moth Flame Optimization for Feature Extraction in Biomedical Application, Machine Learning, Image Processing, Network Security and Data Sciences, 1762, pp. 27-38, (2022); Sekar J., Aruchamy P., Sulaima Lebbe Abdul H., Mohammed A.S., Khamuruddeen S., An efficient clinical support system for heart disease prediction using TANFIS classifier, Comput. Intell., 38, 2, pp. 610-640, (2022); Jayachitra S., Prasanth A., Multi-Feature Analysis for Automated Brain Stroke Classification Using Weighted Gaussian Naive Bayes Classifier, J. Circuits Syst. Comput., 30, 10, (2021); Leung X.Y., Et al., A systematic review of dengue outbreak prediction models: Current scenario and future directions, PLoS Negl. Trop. Dis., 17, 2, (2023); Obiajulu E.F., Et al., Analysis of a non-integer order mathematical model for double strains of dengue and COVID-19 co-circulation using an efficient finite-difference method, Sci. Rep., 13, 1, (2023); Dheva Rajan S., Srinivasan V., Vinayagam P., Leveraging Mathematical Modelling of Dengue fever Odyssey R with Data Science, Literature notes on Electrical Engineering, (2023)</t>
  </si>
  <si>
    <t xml:space="preserve">Balaji Aqua and Poultry Feed LLP; Campus Corporate Connect (CCC); Code Tantra Tech Solutions Pvt Ltd; et al.; Indian Bank; Konijeti Malyadri Books Agencies</t>
  </si>
  <si>
    <t xml:space="preserve">1st International Conference on Social and Sustainable Innovations in Technology and Engineering, SASI-ITE 2024</t>
  </si>
  <si>
    <t xml:space="preserve">24 February 2024 through 25 February 2024</t>
  </si>
  <si>
    <t xml:space="preserve">Tadepalligudem</t>
  </si>
  <si>
    <t xml:space="preserve">979-835036079-0</t>
  </si>
  <si>
    <t xml:space="preserve">Proc. - Int. Conf. Soc. Sustain. Innov. Technol. Eng., SASI-ITE</t>
  </si>
  <si>
    <t xml:space="preserve">2-s2.0-85201155935</t>
  </si>
  <si>
    <t xml:space="preserve">Rajab S.; Rose N.; Marvin G.</t>
  </si>
  <si>
    <t xml:space="preserve">Rajab, Solimo (58478806700); Rose, Nakibuule (59454411700); Marvin, Ggaliwango (57302525500)</t>
  </si>
  <si>
    <t xml:space="preserve">58478806700; 59454411700; 57302525500</t>
  </si>
  <si>
    <t xml:space="preserve">Interpretable Ensemble Model-Agonistc Approaches for Malaria Prediction</t>
  </si>
  <si>
    <t xml:space="preserve">Healthcare workers and patients alike face the problem of inadequate diagnosis, poor risk assessment, inadequate treatment, or toxic medication that puts patients at risk of higher death and morbidity in areas where malaria is endemic. For the past ten years, efforts to battle malaria have led to the creation of a variety of strategies, including studies on the disease that focus primarily on the automation of tools for diagnostic testing (RDT) and microscope imaging. In our work, we provide various ensemble learning techniques that provide explainability and lead to better malarial status prediction. The study focused on ensembling different individually trained models best on their accuracy performance. The results of disease prediction were made transparent and comprehensible by using explainable AI approaches like Explain Like I'm 5 (ELI5) and Local Interpretable Model-agnostic Explanation (LIME). Compared to other ensemble models, Bagging and Stacking ensemble models yielded a 99% performance. The application of these models could have a substantial influence on healthcare by decreasing the use of over-the-counter self-medication, improving patient outcomes by accurately classifying malaria cases, and increasing the effectiveness of early prediction accuracy. The explainability of the Ensemble models bolsters the relevance. Our research study enhances the field of interpretable machine learning models for medical contexts and makes a significant contribution to global public health initiatives by expanding our understanding of these models. © 2024 Copyright held by the owner/author(s).</t>
  </si>
  <si>
    <t xml:space="preserve">ACM International Conference Proceeding Series</t>
  </si>
  <si>
    <t xml:space="preserve">Association for Computing Machinery</t>
  </si>
  <si>
    <t xml:space="preserve">10.1145/3675888.3676092</t>
  </si>
  <si>
    <t xml:space="preserve">https://www.scopus.com/inward/record.uri?eid=2-s2.0-85210847079&amp;doi=10.1145%2f3675888.3676092&amp;partnerID=40&amp;md5=7488a7963878995fc0982113d3d93f12</t>
  </si>
  <si>
    <t xml:space="preserve">Makerere University, Kampala, Uganda</t>
  </si>
  <si>
    <t xml:space="preserve">Rajab S., Makerere University, Kampala, Uganda; Rose N., Makerere University, Kampala, Uganda; Marvin G., Makerere University, Kampala, Uganda</t>
  </si>
  <si>
    <t xml:space="preserve">Ensemble Model; Explainable AI; Machine Learning; Malaria</t>
  </si>
  <si>
    <t xml:space="preserve">Adversarial machine learning; Contrastive Learning; Diagnosis; Patient treatment; Prediction models; Diagnostic testing; Ensemble learning; Ensemble models; Explainable AI; Healthcare workers; Machine-learning; Malaria; Microscope imaging; Performance; Risks assessments; Diseases</t>
  </si>
  <si>
    <t xml:space="preserve">Makerere University, MAK</t>
  </si>
  <si>
    <t xml:space="preserve">Thanks to Makerere University and RISE for funding this study.</t>
  </si>
  <si>
    <t xml:space="preserve">Kuwaiti A.A., Nazer K., Al-Reedy A., Al-Shehri S., Al-Muhanna A., Subbarayalu A.V., Muhanna D.A., Al-Muhanna F.A., A review of the role of artificial intelligence in healthcare, Journal of personalized medicine, 13, 6, (2023); Ali R., Hardie R.C., Narayanan B.N., De Silva S., Deep learning ensemble methods for skin lesion analysis towards melanoma detection, 2019 IEEE National Aerospace and electronics conference (NAECON), pp. 311-316, (2019); Ashri S.E.A., El-Gayar M.M., El-Daydamony E.M., HDPF: heart disease prediction framework based on hybrid classifiers and genetic algorithm, ieee access, 9, pp. 146797-146809, (2021); Chekol B.E., Hagras H., Employing machine learning techniques for the malaria epidemic prediction in Ethiopia, 2018 10th Computer Science and Electronic Engineering (CEEC), pp. 89-94, (2018); Ding H., Li D., Identification of mitochondrial proteins of malaria parasite using analysis of variance, Amino acids, 47, pp. 329-333, (2015); Ford C.T., Janies D., Ensemble machine learning modeling for the prediction of artemisinin resistance in malaria, F1000 Research, 9, (2020); Fornace K.M., Diaz A.V., Lines J., Drakeley C.J., Achieving global malaria eradication in changing landscapes, Malaria journal, 20, 1, (2021); Garrido-Cardenas J.A., Cebrian-Carmona J., Gonzalez-Ceron L., Manzano-Agugliaro F., Mesa-Valle C., Analysis of global research on malaria and Plasmodium vivax, International journal of environmental research and public health, 16, 11, (2019); Harvey D., Valkenburg W., Amara A., Predicting malaria epidemics in Burkina Faso with machine learning, PLoS One, 16, 6, (2021); Ji Y., Sun S., Multitask multiclass support vector machines: model and experiments, Pattern Recognition, 46, 3, pp. 914-924, (2013); Jongbo O.A., Adetunmbi A.O., Ogunrinde R.B., Badeji-Ajisafe B., Development of an ensemble approach to chronic kidney disease diagnosis, Scientific African, 8, (2020); Karen W., GNS aims to help MDs know which treatment will work the best for each patient, The Boston Globe, (2023); Khanam J.J., Foo S.Y., A comparison of machine learning algorithms for diabetes prediction, Ict Express, 7, 4, pp. 432-439, (2021); Lakshmanarao A., Srisaila A., Kiran T.S.R., Heart disease prediction using feature selection and ensemble learning techniques, 2021 Third International Conference on Intelligent Communication Technologies and Virtual Mobile Networks (ICICV), pp. 994-998, (2021); Latha C.B.C., Jeeva S.C., Improving the accuracy of prediction of heart disease risk based on ensemble classification techniques, Informatics in Medicine Unlocked, 16, (2019); Li Y., Kumar R., Lasecki W.S., Hilliges O., Artificial intelligence for HCI: a modern approach, Extended Abstracts of the 2020 CHI conference on human factors in computing systems, pp. 1-8, (2020); Liang Z., Huang J.X., Adaptive Cycle-consistent Adversarial Network for Malaria Blood Cell Image Synthetization, 2021 IEEE Applied Imagery Pattern Recognition Workshop (AIPR), pp. 1-7, (2021); Madhu G., Computer vision and machine learning approach for malaria diagnosis in thin blood smears from microscopic blood images, Machine learning for intelligent decision science, pp. 191-209, (2020); Masinde M., Africa's Malaria epidemic predictor: Application of machine learning on malaria incidence and climate data, Proceedings of the 2020 4th International Conference on Compute and Data Analysis, pp. 29-37, (2020); Masud M., Alhumyani H., Alshamrani S.S., Cheikhrouhou O., Ibrahim S., Muhammad G., Hossain M.S., Shorfuzzaman M., Leveraging deep learning techniques for malaria parasite detection using mobile application, Wireless Communications and Mobile Computing 2020, pp. 1-15, (2020); Mohammed A., Kora R., A comprehensive review on ensemble deep learning: Opportunities and challenges, Journal of King Saud University-Computer and Information Sciences, 35, 2, pp. 757-774, (2023); Mohammed A.J., Ghathwan K.I., Yusof Y., A hybrid least squares support vector machine with bat and cuckoo search algorithms for time series forecasting, Journal of Information and Communication Technology, 19, 3, pp. 351-379, (2020); Mohapatra P., Tripathi N.K., Pal I., Shrestha S., Determining suitable machine learning classifier technique for prediction of malaria incidents attributed to climate of Odisha, International Journal of Environmental Health Research, 32, 8, pp. 1716-1732, (2022); Morang'A C.M., Amenga-Etego L., Bah S.Y., Appiah V., Amuzu D.S.Y., Amoako N., Abugri J., Oduro A.R., Cunnington A.J., Awandare G.A., Et al., Machine learning approaches classify clinical malaria outcomes based on haematological parameters, BMC medicine, 18, pp. 1-16, (2020); Nahm F.S., Receiver operating characteristic curve: overview and practical use for clinicians, Korean journal of anesthesiology, 75, 1, (2022); Nkiruka O., Prasad R., Clement O., Prediction of malaria incidence using climate variability and machine learning, Informatics in medicine Unlocked, 22, 2021, (2021); Zeroing in on malaria elimination: final report of the E-2020 initiative, (2021); Pintelas P., Livieris I.E., Special issue on ensemble learning and applications, (2020); Rajab S., Nakatumba-Nabende J., Marvin G., Interpretable Machine Learning Models for Predicting Malaria, 2023 2nd International Conference on Smart Technologies and Systems for Next Generation Computing (ICSTSN), pp. 1-6, (2023); Ramesh D., Katheria Y.S., Ensemble method based predictive model for analyzing disease datasets: a predictive analysis approach, Health and Technology, 9, pp. 533-545, (2019); Sajana T., Narasingarao M.R., An ensemble framework for classification of malaria disease, ARPN Journal of Engineering and Applied Sciences, 13, 9, pp. 3299-3307, (2018); Santosh T., Ramesh D., Reddy D., LSTM based prediction of malaria abundances using big data, Computers in biology and medicine, 124, (2020); Schmidt S., Malaria: the “unwanted souvenir, South African Pharmacist's Assistant, 19, 4, pp. 8-13, (2019); Shibeshi M.A., Kifle Z.D., Atnafie S.A., Antimalarial drug resistance and novel targets for antimalarial drug discovery, Infection and drug resistance, pp. 4047-4060, (2020); Shorewala V., Early detection of coronary heart disease using ensemble techniques, Informatics in Medicine Unlocked, 26, 2021, (2021); Talapko J., Skrlec I., Alebic T., Jukic M., Vcev A., Malaria: the past and the present, Microorganisms, 7, 6, (2019); Wang M., Wang H., Wang J., Liu H., Lu R., Duan T., Gong X., Feng S., Liu Y., Cui Z., Et al., A novel model for malaria prediction based on ensemble algorithms, PloS one, 14, 12, (2019); Yadav S.S., Kadam V.J., Jadhav S.M., Jagtap S., Pathak P.R., Machine learning based malaria prediction using clinical findings, 2021 International Conference on Emerging Smart Computing and Informatics (ESCI), pp. 216-222, (2021); Hasan K.M.Z., Hasan M.Z., Performance evaluation of ensemble-based machine learning techniques for prediction of chronic kidney disease, Emerging Research in Computing, Information, Communication and Applications: ERCICA 2018, 1, pp. 415-426, (2019)</t>
  </si>
  <si>
    <t xml:space="preserve">Dua S.; Saxena V.</t>
  </si>
  <si>
    <t xml:space="preserve">16th International Conference on Contemporary Computing, IC3 2024</t>
  </si>
  <si>
    <t xml:space="preserve">8 August 2024 through 10 August 2024</t>
  </si>
  <si>
    <t xml:space="preserve">Noida</t>
  </si>
  <si>
    <t xml:space="preserve">979-840070972-2</t>
  </si>
  <si>
    <t xml:space="preserve">ACM Int. Conf. Proc. Ser.</t>
  </si>
  <si>
    <t xml:space="preserve">2-s2.0-85210847079</t>
  </si>
  <si>
    <t xml:space="preserve">Chy N.S.; Biswas S.; Chy A.N.; Halim M.A.; Seddiqui M.H.</t>
  </si>
  <si>
    <t xml:space="preserve">Chy, Nishat Soultana (59157539900); Biswas, Sourav (57218225492); Chy, Abu Nowshed (55843821600); Halim, Mohammad A. (57192428978); Seddiqui, Md. Hanif (34972018000)</t>
  </si>
  <si>
    <t xml:space="preserve">59157539900; 57218225492; 55843821600; 57192428978; 34972018000</t>
  </si>
  <si>
    <t xml:space="preserve">Machine Learning Based Prediction of Anti-dengue Drugs Using Structure-activity Relationship Study</t>
  </si>
  <si>
    <t xml:space="preserve">Dengue fever has emerged as a critical health threat in Bangladesh and recorded the highest mortality rate in 2023. It is also a global concern, impacting 390 million people annually. No FDA-approved drug is available yet to treat dengue. The Structure-activity relationship (SAR) can be a significant approach for predicting novel inhibitors and repurposing existing drugs against dengue. This study aims to develop a machine-learning model that can predict the pIC50 (M) value of novel inhibitors against the dengue NS2B-NS3 protein. In this connection, this methodology uses a structure-activity dataset of 1141 compounds. Each compound contains 1544 molecular descriptors (ID and 2D) considered as structural features and their effective percentage inhibition concentration at 50% (pIC50), against 'DENV-2 NS2B-NS3'. This research implements 9 tree-based, and 9 other distinct machine learning algorithms considering all features to identify the best-performing algorithm. In the baseline test, the tree-based algorithms outperform the other conventional algorithms where the Extra Trees algorithm performs the best among the tree-based algorithms. Furthermore, the study utilizes the Random Forest algorithm to extract individual features' importance against pIC50. The features are fed into 6 different tree-based algorithms in the chronology of feature importance. The experiments depict an impressive result that some of the features have a negative impact on prediction. Eventually, the work eliminates 1502 molecular descriptors to differentiate only 42 important features that can produce the lowest RMSE of 0.3035, MSE of 0.0924 MAPE of 0.0515, and MAE of 0.2309. This optimized model has outperformed the baseline model evidently. © 2024 IEEE.</t>
  </si>
  <si>
    <t xml:space="preserve">Proceedings - 6th International Conference on Electrical Engineering and Information and Communication Technology, ICEEICT 2024</t>
  </si>
  <si>
    <t xml:space="preserve">10.1109/ICEEICT62016.2024.10534415</t>
  </si>
  <si>
    <t xml:space="preserve">https://www.scopus.com/inward/record.uri?eid=2-s2.0-85195237543&amp;doi=10.1109%2fICEEICT62016.2024.10534415&amp;partnerID=40&amp;md5=2ede01102a797937404f24771329e445</t>
  </si>
  <si>
    <t xml:space="preserve">University of Chittagong, Department of Computer Science and Engineering, Chittagong, 4331, Bangladesh; Division of Infectious Diseases, The Red-Green Research Centre, Biccb, Tejgaon, Dhaka, Bangladesh; Clemson University, Department of Chemistry, SC, United States; Kennesaw State University, Department of Chemistry and Biochemistry, Kennesaw, 30144, GA, United States</t>
  </si>
  <si>
    <t xml:space="preserve">Chy N.S., University of Chittagong, Department of Computer Science and Engineering, Chittagong, 4331, Bangladesh; Biswas S., Division of Infectious Diseases, The Red-Green Research Centre, Biccb, Tejgaon, Dhaka, Bangladesh, Clemson University, Department of Chemistry, SC, United States; Chy A.N., University of Chittagong, Department of Computer Science and Engineering, Chittagong, 4331, Bangladesh; Halim M.A., Kennesaw State University, Department of Chemistry and Biochemistry, Kennesaw, 30144, GA, United States; Seddiqui M.H., University of Chittagong, Department of Computer Science and Engineering, Chittagong, 4331, Bangladesh</t>
  </si>
  <si>
    <t xml:space="preserve">Dengue; DENV2 NS3-NS2B; Drug discovery; Extra trees; Machine learning; Random forest feature importance; Structure-Activity Relationship</t>
  </si>
  <si>
    <t xml:space="preserve">Forecasting; Forestry; Health risks; Random forests; Dengue; DENV2 NS3-NS2B; Drug discovery; Extra-trees; Inhibition concentrations; Machine-learning; Random forest feature importance; Random forests; Structure-activity relationships; Tree-based algorithms; Machine learning</t>
  </si>
  <si>
    <t xml:space="preserve">Gubler D.J., Meltzer M., Impact of dengue/dengue hemorrhagic fever on the developing world, Advances in virus research, 53, pp. 35-70, (1999); Dengue and severe dengue, (2022); Dghs bangladeshdaily dengue bulletin accessible, (2023); Boldescu V., Behnam M.A., Vasilakis N., Klein C.D., Broadspectrum agents for flaviviral infections: dengue, zika and beyond, Nature Reviews Drug Discovery, 16, 8, pp. 565-586, (2017); Obi J.O., Gutierrez-Barbosa H., Chua J.V., Deredge D.J., Current trends and limitations in dengue antiviral research, Tropical Medicine and Infectious Disease, 6, 4, (2021); Fathima A.J., Murugaboopathi G., Computer aided drug design for finding a therapeutics for dengue virus targets, International Journal of Innovative Technology and Exploring Engineering, 9, pp. 766-771, (2019); Patel L., Shukla T., Huang X., Ussery D., Wang S., Machine learning methods in drug discovery, Molecules, 25, (2020); Jha N., Prashar D., Rashid M., Shafiq M., Khan R., Pruncu C.I., Tabrez Siddiqui S., Saravana Kumar M., Deep learning approach for discovery of in silico drugs for combating covid-19, Journal of Healthcare Engineering, 2021, (2021); Raschka S., Kaufman B., Machine learning and ai-based approaches for bioactive ligand discovery and gpcr-ligand recognition, Methods, 180, pp. 89-110, (2020); Rajput A., Kumar M., Anti-flavi: A web platform to predict inhibitors of flaviviruses using qsar and peptidomimetic approaches, Frontiers in microbiology, 9, (2018); Kurniawan I., Rosalinda M., Ikhsan N., Implementation of ensemble methods on qsar study of ns3 inhibitor activity as anti-dengue agent, SAR and QSAR in Environmental Research, 31, 6, pp. 477-492, (2020); Dwivedi V.D., Bharadwaj S., Afroz S., Khan N., Ansari M.A., Yadava U., Tripathi R.C., Tripathi I.P., Mishra S.K., Kang S.G., Antidengue infectivity evaluation of bioflavonoid from azadirachta indica by dengue virus serine protease inhibition, Journal of Biomolecular Structure and Dynamics, 39, 4, pp. 1417-1430, (2021); Natarajan S., Ns3 protease from flavivirus as a target for designing antiviral inhibitors against dengue virus, Genetics and molecular biology, 33, 2, pp. 214-219, (2010); Gaulton A., Bellis L.J., Bento A.P., Chambers J., Davies M., Hersey A., Light Y., McGlinchey S., Michalovich D., Al-Lazikani B., Et al., Chembl: a large-scale bioactivity database for drug discovery, Nucleic acids research, 40, D1, pp. D1100-D1107, (2012); Kalliokoski T., Kramer C., Vulpetti A., Gedeck P., Comparability of mixed ic50 data-a statistical analysis, PloS one, 8, 4, (2013); Todeschini R., Consonni V., Handbook of molecular descriptors, (2008); Yap C.W., Padel-descriptor: An open source software to calculate molecular descriptors and fingerprints, Journal of computational chemistry, 32, 7, pp. 1466-1474, (2011); Heumann C., Shalabh M.S., Introduction to statistics and data analysis, (2016); Hastie T., Tibshirani R., Friedman J., The elements of statistical learnin, 33, (2009); Pedregosa F., Varoquaux G., Gramfort A., Michel V., Thirion B., Grisel O., Blondel M., Prettenhofer P., Weiss R., Dubourg V., Vanderplas J., Passos A., Cournapeau D., Brucher M., Perrot M., Duchesnay E., Scikit-learn: Machine learning in Python, Journal of Machine Learning Research, 12, pp. 2825-2830, (2011); James G., Witten D., Hastie T., Tibshirani R., An introduction to statistical learning, 112, (2013); Duffy N., Helmbold D., Boosting methods for regression, Machine Learning, 47, 2, pp. 153-200, (2002); Hastie T., Tibshirani R., Friedman J., Boosting and additive trees, The elements of statistical learning., pp. 337-387, (2009); Byrtek M., O'Sullivan F., Muzi M., Spence A., An adaptation of ridge regression for improved estimation of kinetic model parameters from pet studies, 2003 IEEE Nuclear Science Symposium. Conference Record (IEEE Cat. No. 03CH37515), 5, pp. 3120-3124, (2003); Cybenko G., Approximation by superpositions of a sigmoidal function, Mathematics of control, signals and systems, 2, 4, pp. 303-314, (1989); Jamal A., Nodehi R.N., Predicting air quality index based on meteorological data: A comparison of regression analysis, artificial neural networks and decision tree, Journal of Air Pollution and Health, 2, 1, (2017); Tiwari S., Sabzehgar R., Rasouli M., Short term solar irradiance forecast using numerical weather prediction (nwp) with gradient boost regression, 2018 9th IEEE International Symposium on Power Electronics for Distributed Generation Systems (PEDG). IEEE, pp. 1-8, (2018); Yang K., Wang H., Dai G., Hu S., Zhang Y., Xu J., Determining the repeat number of cross-validation, 2011 4th International Conference on Biomedical Engineering and Informatics (BMEI), 3, pp. 1706-1710, (2011); Feurer M., Hutter F., Hyperparameter optimization, Automated machine learning., pp. 3-33, (2019); Nevasalmi L., Recession forecasting with high-dimensional data, Journal of Forecasting, 41, 4, pp. 752-764, (2022)</t>
  </si>
  <si>
    <t xml:space="preserve">6th International Conference on Electrical Engineering and Information and Communication Technology, ICEEICT 2024</t>
  </si>
  <si>
    <t xml:space="preserve">2 May 2024 through 4 May 2024</t>
  </si>
  <si>
    <t xml:space="preserve">979-835038577-9</t>
  </si>
  <si>
    <t xml:space="preserve">Proc. - Int. Conf. Electr. Eng. Inf. Commun. Technol., ICEEICT</t>
  </si>
  <si>
    <t xml:space="preserve">2-s2.0-85195237543</t>
  </si>
  <si>
    <t xml:space="preserve">Faremi A.S.; Akinnuwesi B.; Mbunge E.; Mashwama P.; Fashoto S.G.; Zenzo Ncube P.; Batani J.; Sanni S.A.; Faremi Y.A.; Metfula A.</t>
  </si>
  <si>
    <t xml:space="preserve">Faremi, Akinpelumi Saheed (59047543300); Akinnuwesi, Boluwaji (39860962400); Mbunge, Elliot (57216856427); Mashwama, Petros (6506987391); Fashoto, Stephen G. (54941395900); Zenzo Ncube, Polite (59044220700); Batani, John (57223614199); Sanni, Shamsudeen Ademola (59043650700); Faremi, Yinusa A. (57209500357); Metfula, Andile (55293666300)</t>
  </si>
  <si>
    <t xml:space="preserve">59047543300; 39860962400; 57216856427; 6506987391; 54941395900; 59044220700; 57223614199; 59043650700; 57209500357; 55293666300</t>
  </si>
  <si>
    <t xml:space="preserve">Machine Learning Models for Identifying Factors Influencing and Predicting Malaria Among Children Under Five Years in Nigeria</t>
  </si>
  <si>
    <t xml:space="preserve">Malaria remains a significant public health challenge and major cause of mortality among children in Nigeria. Children under five years are more vulnerable and significantly contribute to malaria-reported cases and deaths. However, factors leading to high malaria cases and deaths among children are not well studied and also, there is a lack of malaria predictive tools. Consequently, this study implemented machine learning approaches to identify factors influencing and predict malaria among Nigeria's children under five years using the 2021 nationally representative Nigeria Malaria Indicator Survey (MIS) data. The study applied SMOTE sampling technique to handle class imbalance problem and XGBoost to generate feature importance scores. The study revealed that region, type of place of residence, religion, number of children under five in the household, educational attainment, household head's sex, wealth index, type of mosquito bed net(s) slept under last night, birth order number are significantly associated with malaria prevalence in Nigeria's under-fives. The study revealed that random forest achieved the highest accuracy score of 0.7898, recall of 0.7828, F1-score of 0.7883, precision of 0.7938, and AUC of 0.79. CatBoost lags behind the random forest with an accuracy of 0.7652, recall of 0.6517, F1-score of 0.7351, precision of 0.8430 and AUC of 0.77. Malaria predictive models can assist decision-makers in identifying factors influencing malaria prevalence, predicting malaria, developing targeted interventions and malaria data-driven tools, and identifying specific regions with a higher malaria transmission risk among children under five years.  © 2024 IEEE.</t>
  </si>
  <si>
    <t xml:space="preserve">2024 Conference on Information Communication Technology and Society, ICTAS 2024 - Proceedings</t>
  </si>
  <si>
    <t xml:space="preserve">10.1109/ICTAS59620.2024.10507142</t>
  </si>
  <si>
    <t xml:space="preserve">https://www.scopus.com/inward/record.uri?eid=2-s2.0-85192258042&amp;doi=10.1109%2fICTAS59620.2024.10507142&amp;partnerID=40&amp;md5=2a76f2ac9cfca5edae2ccf6abdadd204</t>
  </si>
  <si>
    <t xml:space="preserve">University of Eswatini, P. Bag 4, Kwaluseni Campus, Manzini, Swaziland; Botho University, Faculty of Engineering and Technology, Maseru, Lesotho</t>
  </si>
  <si>
    <t xml:space="preserve">Faremi A.S., University of Eswatini, P. Bag 4, Kwaluseni Campus, Manzini, Swaziland; Akinnuwesi B., University of Eswatini, P. Bag 4, Kwaluseni Campus, Manzini, Swaziland; Mbunge E., University of Eswatini, P. Bag 4, Kwaluseni Campus, Manzini, Swaziland; Mashwama P., University of Eswatini, P. Bag 4, Kwaluseni Campus, Manzini, Swaziland; Fashoto S.G., University of Eswatini, P. Bag 4, Kwaluseni Campus, Manzini, Swaziland; Zenzo Ncube P., University of Eswatini, P. Bag 4, Kwaluseni Campus, Manzini, Swaziland; Batani J., Botho University, Faculty of Engineering and Technology, Maseru, Lesotho; Sanni S.A., University of Eswatini, P. Bag 4, Kwaluseni Campus, Manzini, Swaziland; Faremi Y.A., University of Eswatini, P. Bag 4, Kwaluseni Campus, Manzini, Swaziland; Metfula A., University of Eswatini, P. Bag 4, Kwaluseni Campus, Manzini, Swaziland</t>
  </si>
  <si>
    <t xml:space="preserve">Children Under Five; Machine Learning; Malaria; Nigeria; Prediction; sub-Saharan Africa</t>
  </si>
  <si>
    <t xml:space="preserve">Decision making; Diseases; Forestry; Importance sampling; Machine learning; Random forests; Child under five; F1 scores; Machine learning approaches; Machine learning models; Machine-learning; Malaria; Nigeria; Predictive tools; Random forests; Sub-saharan africa; Forecasting</t>
  </si>
  <si>
    <t xml:space="preserve">Word Malaria Report 2023, (2023); Batani J., Maharaj M.S., Towards data-driven models for diverging emerging technologies for maternal, neonatal and child health services in sub-Saharan Africa: a systematic review, Glob. Heal. J., (2022); WHO | Under-five mortality, (2019); Sarfo J.O., Et al., Malaria amongst children under five in sub-Saharan Africa: a scoping review of prevalence, risk factors and preventive interventions, Eur. J. Med. Res., 28, 1, (2023); Diboulo E., Sie A., Vounatsou P., Assessing the effects of malaria interventions on the geographical distribution of parasitaemia risk in Burkina Faso, Malar. J., 15, 1, pp. 1-14, (2016); Mbunge E., Milham R.C., Sibiya M.N., Takavarasha S., Machine Learning Techniques for Predicting Malaria: Unpacking Emerging Challenges and Opportunities for Tackling Malaria in Subsaharan Africa, Lect. Notes Networks Syst., 724, pp. 327-344, (2023); Ajakaye O.G., Ibukunoluwa M.R., Prevalence and risk of malaria, anemia and malnutrition among children in IDPs camp in Edo State, Nigeria, Parasite Epidemiol. Control, 8, (2020); Nigeria Demographic and Health Survey 2018. Abuja, Nigeria, and Rockville, Maryland, USA: NPC and ICF; 2019 - Google Search, (2019); Okumu F., Moore S., Combining indoor residual spraying and insecticide-treated nets for malaria control in Africa: A review of possible outcomes and an outline of suggestions for the future, Malaria Journal, 10, 1, pp. 1-13, (2011); Wangdi K., Et al., Comparative effectiveness of malaria prevention measures: A systematic review and network meta-analysis, Parasites and Vectors, 11, 1, (2018); Cleary E., Hetzel M.W., Siba P., Lau C.L., Clements A.C.A., Spatial prediction of malaria prevalence in Papua New Guinea: a comparison of Bayesian decision network and multivariate regression modelling approaches for improved accuracy in prevalence prediction, Malar. J., 20, 1, pp. 1-16, (2021); Davids E.L., Reflections for global public health research and evidence-based medicine during the COVID-19 pandemic, South African Medical Journal, 110, 11, pp. 1070-1071, (2020); Nkya T.E., Et al., Malaria in Eswatini, 2012-2019: a case study of the elimination effort, Malar. J., 20, 1, pp. 1-13, (2021); Nkya T.E., Fillinger U., Sangoro O.P., Marubu R., Chanda E., Mutero C.M., Six decades of malaria vector control in southern Africa: a review of the entomological evidence-base, Malar. J. 2022 211, 21, 1, pp. 1-16, (2022); Mfuh K.O., Et al., A comparison of thick-film microscopy, rapid diagnostic test, and polymerase chain reaction for accurate diagnosis of Plasmodium falciparum malaria, Malar. J., 18, 1, pp. 1-8, (2019); De Cola M.A., Et al., Impact of seasonal malaria chemoprevention on prevalence of malaria infection in malaria indicator surveys in Burkina Faso and Nigeria, BMJ Glob. Heal., 7, 5, (2022); Okunlola O.A., Oyeyemi O.T., Lukman A.F., Modeling the relationship between malaria prevalence and insecticide-treated bed net coverage in Nigeria using a Bayesian spatial generalized linear mixed model with a Leroux prior, Epidemiol. Health, 43, (2021); Akinnuwesi B.A., Et al., Application of support vector machine algorithm for early differential diagnosis of prostate cancer, Data Sci. Manag., 6, 1, pp. 1-12, (2023); Mbunge E., Millham R.C., Sibiya M.N., Takavarasha S., Diverging Mobile Technology's Cognitive Techniques into Tackling Malaria in Sub-Saharan Africa: A Review, Lect. Notes Networks Syst., 232, pp. 679-699, (2021); Neves B.J., Et al., Deep Learning-driven research for drug discovery: Tackling malaria, PLoS Comput. Biol., 16, 2, (2020); Ikerionwu C., Et al., Application of machine and deep learning algorithms in optical microscopic detection of Plasmodium: A malaria diagnostic tool for the future, Photodiagnosis and Photodynamic Therapy, 40, (2022); Jdey I., Hcini G., Ltifi H., Deep learning and machine learning for Malaria detection: overview, challenges and future directions, (2022); Kalipe G., Gautham V., Behera R.K., Predicting Malarial Outbreak using Machine Learning and Deep Learning Approach: A Review and Analysis, Proc. - 2018 Int. Conf. Inf. Technol. ICIT 2018, pp. 33-38, (2018); Masud M., Et al., Leveraging Deep Learning Techniques for Malaria Parasite Detection Using Mobile Application, Wirel. Commun. Mob. Comput., 2020, (2020); Zinszer K., Et al., A scoping review of malaria forecasting: past work and future directions, BMJ Open, 2, 6, (2012); Dewan H., Artificial intelligence has malaria in its sights | LinkedIn, (2021); Muriuki J.M., Et al., Malaria is a cause of iron deficiency in African children, Nat. Med. 2021 274, 27, 4, pp. 653-658, (2021); Anjorin S., Okolie E., Yaya S., Malaria profile and socioeconomic predictors among under-five children: an analysis of 11 sub-Saharan African countries, Malar. J., 22, 1, pp. 1-11, (2023); Bayode T., Siegmund A., Social determinants of malaria prevalence among children under five years: A cross-sectional analysis of Akure, Nigeria, Sci. African, 16, (2022); Nwaneli E.I., Eguonu I., Ebenebe J.C., Osuorah C.D.I., Ofiaeli O.C., Nri-Ezedi C.A., Malaria prevalence and its sociodemographic determinants in febrile children - a hospital-based study in a developing community in South-East Nigeria, J. Prev. Med. Hyg., 61, 2, (2020); Omonijo A.O., Omonijo A., Okoh H.I., Ibrahim A.O., Relationship between the usage of long-lasting insecticide-treated bed nets (LLITNs) and malaria prevalence among school-age children in southwestern Nigeria, J. Environ. Public Health, 2021, (2021); Edith O.N., David M.Y., Malaria Prevalence Investigation among Pregnant Women in Relation to Their Social Well Being: A Case Study of Lugbe and Gosa, Abuja, Nigeria, Int. J. Pathog. Res., pp. 7-15, (2020); Nwaneli E.I., Eguonu I., Ebenebe J.C., Osuorah C.D.I., Ofiaeli O.C., Nri-Ezedi C.A., Malaria prevalence and its sociodemographic determinants in febrile children - a hospital-based study in a developing community in South-East Nigeria, J. Prev. Med. Hyg., 61, 2, (2020); Oguoma V.M., Anyasodor A.E., Adeleye A.O., Eneanya O.A., Mbanefo E.C., Multilevel modelling of the risk of malaria among children aged under five years in Nigeria, Trans. R. Soc. Trop. Med. Hyg., 115, 5, pp. 482-494, (2021); Mbunge E., Et al., Implementation of ensemble machine learning classifiers to predict diarrhoea with SMOTEENN, SMOTE, and SMOTETomek class imbalance approaches, 2023 Conf. Inf. Commun. Technol. Soc., pp. 1-6, (2023); Mbunge E., Et al., Predicting Student Dropout in Massive Open Online Courses Using Deep Learning Models - A Systematic Review, Lect. Notes Networks Syst., 503, pp. 212-231, (2022); Mbunge E., Et al., Predicting Diarrhoea Among Children Under Five Years Using Machine Learning Techniques, Artif. Intell. Trends Syst., pp. 94-109, (2022); Lee Y.W., Choi J.W., Shin E.H., Machine learning model for predicting malaria using clinical information, Comput. Biol. Med., 129, (2021); Hancock J.T., Khoshgoftaar T.M., CatBoost for big data: an interdisciplinary review, J. Big Data, 7, 1, pp. 1-45, (2020); Hussain S., Et al., A novel feature engineered-CatBoost-based supervised machine learning framework for electricity theft detection, Energy Reports, 7, pp. 4425-4436, (2021); Mbunge E., Millham R.C., Sibiya M.N., Takavarasha S., Application of machine learning models to predict malaria using malaria cases and environmental risk factors, 2022 Conf. Inf. Commun. Technol. Soc. ICTAS 2022 - Proc., (2022); Paintsil E.K., Omari-Sasu A.Y., Addo M.G., Boateng M.A., Analysis of Haematological Parameters as Predictors of Malaria Infection Using a Logistic Regression Model: A Case Study of a Hospital in the Ashanti Region of Ghana, Malar. Res. Treat., 2019, (2019); 1.10. Decision Trees - scikit-learn 1.4.0 documentation.; 1.4. Support Vector Machines - scikit-learn 1.4.0 documentation; Support Vector Machine (SVM) Algorithm - GeeksforGeeks; Govender P., Et al., The application of machine learning to predict genetic relatedness using human mtDNA hypervariable region I sequences, PLoS One, 17, 2, (2022); Srivastava T., Evaluation Metrics | 12 Must-Know ML Model Evaluation Metrics, (2019); Chingombe I., Et al., Predicting HIV Status Using Machine Learning Techniques and Bio-Behavioural Data from the Zimbabwe Population-Based HIV Impact Assessment (ZIMPHIA15-16), Cybern. Perspect. Syst., pp. 247-258, (2022); Mbunge E., Et al., Application of machine learning techniques for predicting child mortality and identifying associated risk factors, 2023 Conf. Inf. Commun. Technol. Soc., pp. 1-5, (2023); Bhandari A., Guide to AUC ROC Curve in Machine Learning : What Is Specificity? - Analytics Vidhya, (2020); UN IGME, Levels &amp; Trends in Child Mortality Report 2021, (2021); Batani J., Reducing Under-Five Mortality in Makonde District's Public Healthcare Institutions: An Exploratory Investigation into the Potential Role of Emerging Technologies, (2022); Levine A.C., Et al., Empirically Derived Dehydration Scoring and Decision Tree Models for Children With Diarrhea: Assessment and Internal Validation in a Prospective Cohort Study in Dhaka, Bangladesh, Glob. Heal. Sci. Pract., (2015); Garbern S.C., Et al., External validation of a mobile clinical decision support system for diarrhea etiology prediction in children: A multicenter study in Bangladesh and Mali, Elife, 11, (2022); Batani J., A Deep Learning Model for Predicting Under-Five Mortality in Zimbabwe, (2023); Batani J., Maharaj M.S., Towards Data-Driven Pediatrics in Zimbabwe, 2022 Int. Conf. Artif. Intell. Big Data, Comput. Data Commun. Syst., pp. 1-7, (2022)</t>
  </si>
  <si>
    <t xml:space="preserve">8th Conference on Information Communication Technology and Society, ICTAS 2024</t>
  </si>
  <si>
    <t xml:space="preserve">7 March 2024 through 8 March 2024</t>
  </si>
  <si>
    <t xml:space="preserve">Hybrid, Durban</t>
  </si>
  <si>
    <t xml:space="preserve">979-835031489-2</t>
  </si>
  <si>
    <t xml:space="preserve">Conf. Inf. Commun. Technol. Soc., ICTAS - Proc.</t>
  </si>
  <si>
    <t xml:space="preserve">2-s2.0-85192258042</t>
  </si>
  <si>
    <t xml:space="preserve">Rai V.; Singhal M.; Dwivedy B.; Jain P.; Ritika</t>
  </si>
  <si>
    <t xml:space="preserve">Rai, Vijendra (36700217300); Singhal, Manoj (57211324137); Dwivedy, Bhoopendra (57210419663); Jain, Pallavi (57903006500); Ritika (57832245600)</t>
  </si>
  <si>
    <t xml:space="preserve">36700217300; 57211324137; 57210419663; 57903006500; 57832245600</t>
  </si>
  <si>
    <t xml:space="preserve">Malaria and Pneumonia Disease Prediction Using Deep Learning</t>
  </si>
  <si>
    <t xml:space="preserve">Early identification, intervention, and efficient treatment planning all rely heavily on disease prediction. This study examines the methods for disease prediction based on deep learning, concentrating on pneumonia and malaria in particular. Pneumonia and malaria are two common, sometimes fatal infections, especially in underdeveloped areas. Traditional diagnostic techniques for these disorders can be time-consuming and frequently need for specialized knowledge. Therefore, it is necessary to investigate automated and reliable illness prediction methods. This study's goal is to assess how well deep learning algorithms can foresee malaria and pneumonia from medical imaging data. The study makes use of a broad dataset that includes chest X-ray pictures for the identification of pneumonia and blood smear images with malaria infection. To improve the dataset's quality and variety, preprocessing procedures including picture normalization and augmentation are used. The results of this research demonstrate the potential of deep learning algorithms for malaria and pneumonia prediction, which advances the field of medical diagnostics. These automated prediction algorithms could help medical personnel diagnose patients quickly, allowing for quick treatment to start and better patient outcomes.  © 2024 IEEE.</t>
  </si>
  <si>
    <t xml:space="preserve">disgnostics</t>
  </si>
  <si>
    <t xml:space="preserve">2024 2nd International Conference on Disruptive Technologies, ICDT 2024</t>
  </si>
  <si>
    <t xml:space="preserve">10.1109/ICDT61202.2024.10489408</t>
  </si>
  <si>
    <t xml:space="preserve">https://www.scopus.com/inward/record.uri?eid=2-s2.0-85191247761&amp;doi=10.1109%2fICDT61202.2024.10489408&amp;partnerID=40&amp;md5=b9d2c4483ef4a339d4b75f6979ffe130</t>
  </si>
  <si>
    <t xml:space="preserve">Abes Institute of Technology, Department of Information Technology, Ghaziabad, India; Gl Bajaj Institute of Technology and Management, Department of Information Technology, Greater Noida, India; School of Computer Science and Engineering, Galgotia's University, Greater Noida, India; School of Computer Application and Technology, Galgotia's University, Greater Noida, India</t>
  </si>
  <si>
    <t xml:space="preserve">Rai V., Abes Institute of Technology, Department of Information Technology, Ghaziabad, India; Singhal M., Gl Bajaj Institute of Technology and Management, Department of Information Technology, Greater Noida, India; Dwivedy B., School of Computer Science and Engineering, Galgotia's University, Greater Noida, India; Jain P., School of Computer Application and Technology, Galgotia's University, Greater Noida, India; Ritika, Gl Bajaj Institute of Technology and Management, Department of Information Technology, Greater Noida, India</t>
  </si>
  <si>
    <t xml:space="preserve">Backpropagation; CNN; Deep Learning; Inspection V3 Model; Jupiter; Python; Transfer Learning</t>
  </si>
  <si>
    <t xml:space="preserve">Backpropagation; Convolutional neural networks; Deep learning; Diagnosis; Diseases; Learning systems; Medical imaging; Patient treatment; Transfer learning; Deep learning; Diagnostics techniques; Efficient treatment; Inspection v3 model; Jupiters; Prediction methods; Prediction-based; Specialized knowledge; Transfer learning; Treatment planning; Forecasting</t>
  </si>
  <si>
    <t xml:space="preserve">Organization for World Health, World Malaria Report, (2019); Fact Sheet about Pneumonia, (2017); Rajpurkar P., Irvin J., Zhu K., Yang B., Mehta H., Duan T., Ding D., Bagul A., Langlotz C., Patel B., Lungren M., Deep learningbased pneumonia detection on chest x-rays with Chexnet, (2017); Thoma G., Kim I., Rajaraman S., Antani S., Visualization and analysis of convolutional neural network predictions in pediatric chest radiographs for pneumonia detection, Computerized Medical Imaging and Graphics, 68, pp. 45-55, (2018); Szegedy C., Vanhoucke V., Ioffe S., Shlens J., Wojna Z., reevaluating the computer vision inception architecture, IEEE Conference on Computer Vision and Pattern Recognition (CVPR), Proceedings, pp. 2818-2826, (2016); Simonyan K., Zisserman A., Deep convolutional networks for recognizing images on a big scale, (2014); Li L.J., Li K., Fei-Fei L., Dong W., Socher R., Deng J., A big hierarchical image database called ImageNet, IEEE Conference on Computer Vision and Pattern Recognition (CVPR) Proceedings, pp. 248-255, (2009); Esteva A., Kuprel B., Novoa R.A., Ko J., Swetter S.M., Blau H.M., Thrun S., categorization of skin cancer at the dermatologist level using deep neural networks, Nature, 542, 7639, pp. 115-118, (2017); LeCun Y., Bengio Y., Hinton G., Deep learning, nature, 521, 7553, pp. 436-444, (2015); Ronneberger O., Fischer P., Brox T., U-net: Convolutional networks for biomedical image segmentation, Medical Image Computing and Computer-Assisted Intervention-MICCAI 2015: 18th International Conference, 18, (2015); Kermany D.S., Et al., Identifying medical diagnoses and treatable diseases by image-based deep learning, cell, 172, 5, pp. 1122-1131, (2018); Liu W., Et al., Ssd: Single shot multibox detector, Computer Vision-ECCV 2016: 14th European Conference, 14, (2016)</t>
  </si>
  <si>
    <t xml:space="preserve">2nd International Conference on Disruptive Technologies, ICDT 2024</t>
  </si>
  <si>
    <t xml:space="preserve">15 March 2024 through 16 March 2024</t>
  </si>
  <si>
    <t xml:space="preserve">Greater Noida</t>
  </si>
  <si>
    <t xml:space="preserve">979-835037105-5</t>
  </si>
  <si>
    <t xml:space="preserve">Int. Conf. Disruptive Technol., ICDT</t>
  </si>
  <si>
    <t xml:space="preserve">2-s2.0-85191247761</t>
  </si>
  <si>
    <t xml:space="preserve">Malaria Cell Detection using Advanced SVM Techniques</t>
  </si>
  <si>
    <t xml:space="preserve">Malaria, caused by Plasmodium parasites, is a blood disease carried via the bite of a female Anopheles mosquito. Instances of this occur nearly 240 million times in the coastal and rural regions of India. The disease affects about 40% of people annually. There is a threat to one-third of the world's population. In general, macroscopic examinations are time-consuming. Examine both thin and thick blood smears to determine what causes a disease or condition and to identify risk factors in individuals. However, a smear's accuracy is dependent on both its quality and the situation's information. Cells with and without parasites are categorized and tallied. Manual assessment is the gold standard for diagnosis, yet it only yields 50% accuracy. It requires multiple steps to be finished. We will use various Support vector machine (SVM) algorithms for malaria cell detection, which provide varying degrees of accuracy and alleviate the time complexity difficulties associated with Deep learning methods. SVM-76%, SVM + t-distributed stochastic neighbor (t- SNE)-82%, SVM + Principal Component Analysis (PCA)-86%, and SVM in the Convolutional Neural Network (CNN) Model-96% are the outcomes of the various SVM approaches. This paper covers various Support Vector Machine (SVM) approaches for classifying malaria cells. © 2024 IEEE.</t>
  </si>
  <si>
    <t xml:space="preserve">2nd IEEE International Conference on Networks, Multimedia and Information Technology, NMITCON 2024</t>
  </si>
  <si>
    <t xml:space="preserve">10.1109/NMITCON62075.2024.10699300</t>
  </si>
  <si>
    <t xml:space="preserve">https://www.scopus.com/inward/record.uri?eid=2-s2.0-85207407833&amp;doi=10.1109%2fNMITCON62075.2024.10699300&amp;partnerID=40&amp;md5=91377c3e6ea9352dd5800148b5fa61e8</t>
  </si>
  <si>
    <t xml:space="preserve">New Horizon College of Engineering, Electronics and Communication Engineering, Bengaluru, India; R.R. Institute of Technology, Electronics and Communication Engineering, Bangalore, India</t>
  </si>
  <si>
    <t xml:space="preserve">Shashikiran S., New Horizon College of Engineering, Electronics and Communication Engineering, Bengaluru, India; Sunitha H.D., R.R. Institute of Technology, Electronics and Communication Engineering, Bangalore, India</t>
  </si>
  <si>
    <t xml:space="preserve">CNN; Deep learning; PCA; SVM; t-SNE</t>
  </si>
  <si>
    <t xml:space="preserve">Deep neural networks; Malaria control; Stochastic models; Support vector machines; Anopheles mosquitoes; Cell detection; Coastal regions; Convolutional neural network; Deep learning; Plasmodium parasites; Principal-component analysis; Support vector machine techniques; Support vectors machine; T-SNE; Convolutional neural networks</t>
  </si>
  <si>
    <t xml:space="preserve">World malaria report 2022., (2023); Malaria cell identification using improved machine learning and modified deep learning architecture, Indonesian Journal of Electrical Engineering and Computer Science, 34, 3, (2024); Shal A., Gupta R., A comparative study on malaria cell detection using computer vision, 2022 12th International Conference on Cloud Computing, Data Science &amp; Engineering (Confluence), pp. 548-552, (2022); Rosenthal M.R., Ng C.L., High-content imaging as a tool to quantify and characterize malaria parasites, Cell Reports Methods, 3, 7, (2023); Yadav S.S., Jadhav S.M., Deep convolutional neural network based medical image classification for disease diagnosis, J Big Data, 6, 1, (2019); Shankar V.S., Et al., Elucidating the status of malaria in Andaman and Nicobar Islands post-millennium 2000, Journal of Parasitic Diseases, 46, 4, pp. 1062-1069, (2022); Zedda L., Loddo A., Di Ruberto C., A deep architecture based on attention mechanisms for effective end-to-end detection of early and mature malaria parasites, Biomed Signal Process Control, 94, (2024); Fleitas P.E., Sarasola L.B., Ferrer D.C., Munoz J., Petrone P., Machine learning approach to identify malaria risk in travelers using real-world evidence, Heliyon, 10, 7, (2024); Alzoubi S., Jawarneh M., Bsoul Q., Keshta I., Soni M., Khan M.A., An advanced approach for fig leaf disease detection and classification: Leveraging image processing and enhanced support vector machine methodology, Open Life Sci, 18, 1, (2023); Garimella M., Bhan M., Image Labeling Using Convolutional Neural Network, 2023 International Conference on Network, Multimedia and Information Technology (NMITCON), pp. 1-5, (2023); Jabbar M.A., Radhi A.M., Diagnosis of Malaria Infected Blood Cell Digital Images using Deep Convolutional Neural Networks, Iraqi Journal of Science, pp. 380-396, (2022); Fong Amaris W.M., Martinez C., Cortes-Cortes L.J., Suarez D.R., Image features for quality analysis of thick blood smears employed in malaria diagnosis, Malar J, 21, 1, (2022); Rajaraman S., Jaeger S., Antani S.K., Performance evaluation of deep neural ensembles toward malaria parasite detection in thin-blood smear images, PeerJ, 7, (2019); Jasti V.D.P., Et al., Computational Technique Based on Machine Learning and Image Processing for Medical Image Analysis of Breast Cancer Diagnosis, Security and Communication Networks, 2022, pp. 1-7, (2022); Sharma H., Jain S., Vasudeva A., Recognition System for Malarial Parasites Causing Protozoa Infections in Thin Blood Smears, 2023 IEEE 4th Annual Flagship India Council International Subsections Conference (INDISCON), pp. 1-6, (2023); Kumar S., Priya S., Kumar A., Malaria detection using Deep Convolution Neural Network, (2023); Maqsood A., Farid M.S., Khan M.H., Grzegorzek M., Deep Malaria Parasite Detection in Thin Blood Smear Microscopic Images, Applied Sciences, 11, 5, (2021); Rosenthal M.R., Ng C.L., High-content imaging as a tool to quantify and characterize malaria parasites, Cell Reports Methods, 3, 7, (2023); Alharbi A.H., Lin M., Ashwini B., Jabarulla M.Y., Shah M.A., Detection of Peripheral Malarial Parasites in Blood Smears Using Deep Learning Models, Comput Intell Neurosci, 2022, pp. 1-11, (2022); Chaganti S.Y., Nanda I., Pandi K.R., Prudhvith T.G.N.R.S.N., Kumar N., Image Classification using SVM and CNN, 2020 International Conference on Computer Science, Engineering and Applications (ICCSEA), pp. 1-5, (2020)</t>
  </si>
  <si>
    <t xml:space="preserve">S. Shashikiran; New Horizon College of Engineering, Electronics and Communication Engineering, Bengaluru, India; email: shashikiran067@gmail.com</t>
  </si>
  <si>
    <t xml:space="preserve">Akati Sekurity; CIT 10 Infotech Pvt Ltd</t>
  </si>
  <si>
    <t xml:space="preserve">9 August 2024 through 10 August 2024</t>
  </si>
  <si>
    <t xml:space="preserve">Hybrid, Bengaluru</t>
  </si>
  <si>
    <t xml:space="preserve">979-835037289-2</t>
  </si>
  <si>
    <t xml:space="preserve">IEEE Int. Conf. Networks, Multimed. Inf. Technol., NMITCON</t>
  </si>
  <si>
    <t xml:space="preserve">2-s2.0-85207407833</t>
  </si>
  <si>
    <t xml:space="preserve">Saravan P.D.; Sai Subhash M.; Mahesh S.V.; Singh T.</t>
  </si>
  <si>
    <t xml:space="preserve">Saravan, P. Dinesh (59459033600); Sai Subhash, M. (59459033700); Mahesh, S. Venkata (59460492400); Singh, Tripty (36007656400)</t>
  </si>
  <si>
    <t xml:space="preserve">59459033600; 59459033700; 59460492400; 36007656400</t>
  </si>
  <si>
    <t xml:space="preserve">Malaria Cell Image Classification using Deep Learning</t>
  </si>
  <si>
    <t xml:space="preserve">In this study we are going to have the deep learning system doing the classifying work for blood slides of cells either infected with malaria or not infected. The foundation of our method involves reflection on the data before processing to enhance quality of images and also in identification of the target cells through extraction of specific features. A model that is fine-tuned to classify blood smears through images with malaria or without is the basis for the early detection. The possibility of this revolutionizes the diagnostics is incredible, especially in conditions of scarcity. With the use of these technologies, we can be able to turn the diagnosis from long and error-prone diagnostic procedures to faster and precise ones. Such improvement will boost the whole malaria control and the managing health sector. We have developed an approach the goal of which is to be open to innovations with a possibility to update variables to the different settings of health care. With the aim to increase its scalability and useability, we develop an AI- powered deep learning-based diagnosis to popularize its among people. Furthermore, we are still working to make our models much stronger and immune to any forms of errors, thus becoming significant assets in the anti-malaria campaign.  © 2024 IEEE.</t>
  </si>
  <si>
    <t xml:space="preserve">10.1109/ICCCNT61001.2024.10724659</t>
  </si>
  <si>
    <t xml:space="preserve">https://www.scopus.com/inward/record.uri?eid=2-s2.0-85211125559&amp;doi=10.1109%2fICCCNT61001.2024.10724659&amp;partnerID=40&amp;md5=a5587a3ee448a4d7aebf7be992869698</t>
  </si>
  <si>
    <t xml:space="preserve">Amrita Vishwa Vidyapeetham, Amrita School of Engineering, Department of Computer Science, Bengaluru, India</t>
  </si>
  <si>
    <t xml:space="preserve">Saravan P.D., Amrita Vishwa Vidyapeetham, Amrita School of Engineering, Department of Computer Science, Bengaluru, India; Sai Subhash M., Amrita Vishwa Vidyapeetham, Amrita School of Engineering, Department of Computer Science, Bengaluru, India; Mahesh S.V., Amrita Vishwa Vidyapeetham, Amrita School of Engineering, Department of Computer Science, Bengaluru, India; Singh T., Amrita Vishwa Vidyapeetham, Amrita School of Engineering, Department of Computer Science, Bengaluru, India</t>
  </si>
  <si>
    <t xml:space="preserve">Deep Learning; feature extraction; Malaria cell images; Medical imaging; Parasitized and uninfected malaria cell</t>
  </si>
  <si>
    <t xml:space="preserve">Sriporn K., Tsai C.F., Tsai C.E., Wang P., Analyzing malaria disease using effective deep learning approach, Diagnostics, 10, 10, (2020); Cinar A., Yildirim M., Classification of malaria cell image with deep learning architectures, Ingénierie des Systems information, 25, 1, (2020); Banerjee T., Jain A., Sethuraman S.C., Satapathy S.C., Karthikeyan S., Jubilson A., Deep Convolutional Neural Network (Falcon) and transfer learning-based approach to detect malarial parasite, Multimedia Tools and Applications, 81, 10, pp. 13237-13251, (2022); Shekar G., Revathy S., Goud E.K., Malaria detection using deep learning, 2020 4th international conference on trends in electronics and informatics (ICOEI), pp. 746-750, (2020); Hemachandran K., Alasiry A., Marzougui M., Ganie S.M., Pise A.A., Alouane M.T.H., Chola C., Performance analysis of deep learning algorithms in diagnosis of malaria disease, Diagnostics, 13, 3, (2023); Turuk M., Sreemathy R., Kadiyala S., Kotecha S., Kulkarni V., CNN Based Deep Learning Approach for Automatic Malaria Parasite Detection, IAENG Int. J. Comput. Sci, 49, pp. 745-753, (2022); Militante S.V., Malaria disease recognition through adaptive deep learning models of convolutional neural network, 2019 IEEE 6th International Conference on Engineering Technologies and Applied Sciences (ICETAS), pp. 1-6, (2019); Suraksha S., Santhosh C., Vishwa B., Classification of Malaria cell images using Deep Learning Approach, 2023 Third International Conference on Advances in Electrical, Computing, Communication and Sustainable Technologies (ICAECT), pp. 1-5, (2023); Gill K.S., Anand V., Gupta R., An Efficient VGG19 Framework for Malaria Detection in Blood Cell Images, 2023 3rd Asian Conference on Innovation in Technology (ASIANCON), pp. 1-4, (2023); Kassim Y.M., Palaniappan K., Yang F., Poostchi M., Palaniappan N., Maude R.J., Antani S., Jaeger S., Clustering-based dual deep learning architecture for detecting red blood cells in malaria diagnostic smears, IEEE Journal of Biomedical and Health Informatics, 25, 5, pp. 1735-1746, (2020); Alnussairi M.H.D., Ibrahim A.A., Malaria parasite detection using deep learning algorithms based on (CNNs) technique, Computers and Electrical Engineering, 103, (2022); Delgado-Ortet M., Molina A., Alferez S., Rodellar J., Merino A., A deep learning approach for segmentation of red blood cell images and malaria detection, Entropy, 22, 6, (2020); Nayak S., Kumar S., Jangid M., Malaria detection using multiple deep learning approaches, 2019 2nd International Conference on Intelligent Communication and Computational Techniques (ICCT), pp. 292-297, (2019); Silka W., Wieczorek M., Silka J., Woniak M., Malaria detection using advanced deep learning architecture, Sensors, 23, 3, (2023); Vijayalakshmi A., Deep learning approach to detect malaria from microscopic images, Multimedia Tools and Applications, 79, 21, pp. 15297-15317, (2020); Lee Y.W., Choi J.W., Shin E.H., Machine learning model for predicting malaria using clinical information, Computers in Biology and Medicine, 129, (2021); Sajana T., Narasinga Rao M.R., Classification of imbalanced malaria disease using naïve Bayesian algorithm, International Journal of Engineering &amp; Technology, 7, 2-7, pp. 786-790, (2018); Sinha S., Srivastava U., Dhiman V., Akhilan P.S., Mishra S., Performance assessment of Deep Learning procedures on Malaria dataset, Journal of Robotics and Control (JRC), 2, 1, pp. 12-18, (2021); Kassim Y.M., Et al., Clustering-based dual deep learning architecture for detecting red blood cells in malaria diagnostic smears, IEEE Journal of Biomedical and Health Informatics, 25, 5, pp. 1735-1746, (2020); Loddo A., Fadda C., Di Ruberto C., An empirical evaluation of convolutional networks for malaria diagnosis, Journal of Imaging, 8, 3, (2022)</t>
  </si>
  <si>
    <t xml:space="preserve">P.D. Saravan; Amrita Vishwa Vidyapeetham, Amrita School of Engineering, Department of Computer Science, Bengaluru, India; email: dineshsaravan64@gmail.com</t>
  </si>
  <si>
    <t xml:space="preserve">2-s2.0-85211125559</t>
  </si>
  <si>
    <t xml:space="preserve">Almakhzoumi A.; Bonny T.; Al-Shabi M.</t>
  </si>
  <si>
    <t xml:space="preserve">Almakhzoumi, Asma (59225134900); Bonny, Talal (15060068900); Al-Shabi, Mohammad (57948024500)</t>
  </si>
  <si>
    <t xml:space="preserve">59225134900; 15060068900; 57948024500</t>
  </si>
  <si>
    <t xml:space="preserve">Malaria Detection Using Machine Learning</t>
  </si>
  <si>
    <t xml:space="preserve">Malaria, a significant global health concern, necessitates precise diagnostic tools for effective management. This study introduces an innovative approach to malaria detection using advanced machine-learning techniques. By harnessing convolutional neural networks (CNNs) and deep learning, the research presents a robust framework for automated malaria detection through microscopic images of red blood cells. The study evaluates three key algorithms—CNN, VGG-16, and Support Vector Machine (SVM)—using a meticulously curated dataset of 27,560 images. Results highlight the VGG-16 model’s exceptional accuracy, achieving 98.5%. Transfer learning is pivotal in its success, demonstrating the power of pre-trained models for medical image analysis. This research advances automated disease diagnosis, particularly in resource-limited settings. Future work involves fine-tuning algorithms, exploring ensemble techniques, and enhancing interpretability for broader healthcare applications. © 2024 SPIE.</t>
  </si>
  <si>
    <t xml:space="preserve">10.1117/12.3014636</t>
  </si>
  <si>
    <t xml:space="preserve">https://www.scopus.com/inward/record.uri?eid=2-s2.0-85198991970&amp;doi=10.1117%2f12.3014636&amp;partnerID=40&amp;md5=95ae66eee029bdd8fea23e42b308cb8e</t>
  </si>
  <si>
    <t xml:space="preserve">Department of Computer Engineering, University of Sharjah, Sharjah, 27272, United Arab Emirates; Department of Mechanical and Nuclear, University of Sharjah, Sharjah, United Arab Emirates</t>
  </si>
  <si>
    <t xml:space="preserve">Almakhzoumi A., Department of Computer Engineering, University of Sharjah, Sharjah, 27272, United Arab Emirates; Bonny T., Department of Computer Engineering, University of Sharjah, Sharjah, 27272, United Arab Emirates; Al-Shabi M., Department of Mechanical and Nuclear, University of Sharjah, Sharjah, United Arab Emirates</t>
  </si>
  <si>
    <t xml:space="preserve">automated disease diagnosis; convolutional neural networks; deep learning; machine learning; Malaria detection; medical image analysis</t>
  </si>
  <si>
    <t xml:space="preserve">Automation; Blood; Convolution; Deep learning; Diagnosis; Diseases; Image analysis; Learning systems; Medical imaging; Support vector machines; Transfer learning; Automated disease diagnose; Convolutional neural network; Deep learning; Disease diagnosis; Global health; Health concerns; Machine-learning; Malaria detection; Medical image analysis; Precise diagnostics; Convolutional neural networks</t>
  </si>
  <si>
    <t xml:space="preserve">Muttaqin M., Untoro M. C., Febrianto A., Faisal A., Setiawan A. W., Prabowo B. P., Rahman Y. A., CNN Classification of Malaria Parasites in Digital Microscope Images Using Python on Raspberry Pi, Buletin Ilmiah Sarjana Teknik Elektro, 5, 1, pp. 108-120, (2023); Garrido-Cardenas J. A., Gonzalez-Ceron L., Garcia-Maroto F., Cebrian-Carmona J., Manzano-Agugliaro F., Mesa-Valle C. M., Analysis of fifty years of severe malaria worldwide research, Pathogens, 12, 3, (2023); Kumari U., Memon M. M., Narejo S., Afzal M., Malaria disease detection using machine learning, 2nd International Conference on Computational Sciences and Technologies (INCCST 20), (2020); Shekar G., Revathy S., Goud E. K., Malaria detection using deep learning, 2020 4th international conference on trends in electronics and informatics (ICOEI)(48184), pp. 746-750, (2020); Liang Z., Powell A., Ersoy I., Poostchi M., Silamut K., Palaniappan K., Thoma G., CNN-based image analysis for malaria diagnosis, 2016 IEEE international conference on bioinformatics and biomedicine (BIBM), pp. 493-496, (2016); Cho Y. S., Hong P. C., Applying Machine Learning to Healthcare Operations Management: CNN-Based Model for Malaria Diagnosis, Healthcare, 11, 12, (2023); Taye M. M., Theoretical understanding of convolutional neural network: concepts, architectures, applications, future directions, Computation, 11, 3, (2023); Magotra V., Rohil M. K., Malaria diagnosis using a lightweight deep convolutional neural network, International Journal of Telemedicine and Applications, (2022); Bhuiyan M., Islam M. S., A new ensemble learning approach to detect malaria from microscopic red blood cell images, Sensors International, 4, (2023); Li S., Du Z., Meng X., Zhang Y., Multi-stage malaria parasite recognition by deep learning, GigaScience, 10, 6, (2021); Fernandez Garc`ia J., Deep learning neural networks in malaria diagnosis, (2014); Zhou W., Ma X., Zhang Y., Research on image preprocessing algorithm and deep learning of iris recognition, Journal of Physics: Conference Series, 1621, 1, (2020); Zhang G. X., Cheng M. M., Hu S. M., Martin R. R., A shape-preserving approach to image resizing, Computer Graphics Forum, 28, 7, pp. 1897-1906, (2009); Al Amrani Y., Lazaar M., El Kadiri K. E., Random forest and support vector machine-based hybrid approach to sentiment analysis, Procedia Computer Science, 127, pp. 511-520, (2018); Khairnar J., Kinikar M., Machine learning algorithms for opinion mining and sentiment classification, International Journal of Scientific and Research Publications, 3, 6, pp. 1-6, (2013); Cao C., Liu F., Tan H., Song D., Shu W., Li W., Xie Z., Deep learning and its applications in biomedicine, Genomics, proteomics &amp; bioinformatics, 16, 1, pp. 17-32, (2018); Brownlee J., A Gentle Introduction to Pooling Layers for Convolutional Neural Networks, Deep Learning for Computer Vision, (2019); Sriporn K, Tsai CF, Tsai CE, Wang P., Analyzing Malaria Disease Using Effective Deep Learning Approach, Diagnostics (Basel), 10, 10, (2020); Bonny T., Henkel J., Efficient Code Compression for Embedded Processors, IEEE Transactions on Very Large-Scale Integration (VLSI) Systems, 16, 12, pp. 1696-1707, (2008); Bonny T., Henkel J., Huffman-based code compression techniques for embedded processors, ACM Transactions on Design Automation of Electronic Systems (TODAES), 15, 4, pp. 1-37, (2010); Bonny T., Henkel J., Instruction Splitting for Efficient Code Compression, Proceedings of the 44th Annual Design Automation Conference, DAC’07, pp. 646-651, (2007); Bonny T., Haq A., Emulation of high-performance correlation-based quantum clustering algorithm for two-dimensional data on FPGA, Quantum Inf Process, 19, (2020); Barneih F., Et al., Artificial Neural Network Model Using ShortTerm Fourier Transform for Epilepsy Seizure Detection, 2022 Advances in Science and Engineering Technology International Conferences (ASET), pp. 1-5, (2022); Qatmh M., Et al., Sleep Apnea Detection Based on ECG Signals Using Discrete Wavelet Transform and Artificial Neural Network, 2022 Advances in Science and Engineering Technology International Conferences (ASET), pp. 1-5, (2022); Nasir N., Oswald P., Barneih F., Alshaltone O., AlShabi M., Bonny T., Al Shammaa A., Hypertension classification using machine learning part II, 2021 14th International Conference on Developments in eSystems Engineering (DeSE), pp. 459-463, (2021); Nasir N., Kansal A., Barneih F., Al-Shaltone O., Bonny T., AlShabi M., Al Shammaa A., Multimodal image classification of COVID-19 cases using computed tomography and X-rays scans, Intelligent Systems with Applications, 17, (2023); Abdelsalam M., Bonny T., IoV road safety: Vehicle speed limiting system, 2019 International Conference on Communications, Signal Processing, and their Applications (ICCSPA), pp. 1-6, (2019)</t>
  </si>
  <si>
    <t xml:space="preserve">Schelkens P.; Kozacki T.</t>
  </si>
  <si>
    <t xml:space="preserve">Optics, Photonics, and Digital Technologies for Imaging Applications VIII 2024</t>
  </si>
  <si>
    <t xml:space="preserve">9 April 2024 through 11 April 2024</t>
  </si>
  <si>
    <t xml:space="preserve">Strasbourg</t>
  </si>
  <si>
    <t xml:space="preserve">978-151067314-4</t>
  </si>
  <si>
    <t xml:space="preserve">2-s2.0-85198991970</t>
  </si>
  <si>
    <t xml:space="preserve">Arun K.; Terence S.; Titus; Immaculate J.; Lydia A.</t>
  </si>
  <si>
    <t xml:space="preserve">Arun, K. (59403909400); Terence, Sebastian (58642379000); Titus (59403700700); Immaculate, Jude (57205437949); Lydia, Angeline (57506816300)</t>
  </si>
  <si>
    <t xml:space="preserve">59403909400; 58642379000; 59403700700; 57205437949; 57506816300</t>
  </si>
  <si>
    <t xml:space="preserve">Malaria Detection Using Residual Network</t>
  </si>
  <si>
    <t xml:space="preserve">The millions of people are at risk of contracting malaria and dying from it, making it a persistent global health concern. For treatment and prevention to be successful, timely and accurate diagnosis is essential. Accessibility and efficiency issues plague traditional techniques such as microscopic evaluation and quick diagnostic testing. This study investigates the use of cutting-edge technologies, such as deep learning and machine learning, to improve malaria detection. This paper presents the XResNet-152 architecture, which is a potent instrument renowned for its efficacy in image classification applications. This model demonstrates the effectiveness of novel techniques, such as batch normalization and weight start, to accurately detect malaria. This study assesses the performance of several deep learning architectures, including ResNet variations, and compares them across training epochs. With a dataset of 27,558 images, the XResNet-152 model demonstrates its resilience and ongoing development by reaching a peak accuracy of 98% after 100 epochs. A thorough examination that includes a confusion matrix demonstrates how well the model classifies instances in various classes. The results highlight the XResNet-152 model's potential as a trustworthy and effective tool for malaria detection, making a major contribution to international healthcare initiatives. To improve the model's relevance in real-world situations, more research could concentrate on deployable and optimization techniques. Particularly in areas where outbreaks are likely, the effectiveness of this model signifies a significant advancement in the management of malaria. © 2024 IEEE.</t>
  </si>
  <si>
    <t xml:space="preserve">10th International Conference on Advanced Computing and Communication Systems, ICACCS 2024</t>
  </si>
  <si>
    <t xml:space="preserve">10.1109/ICACCS60874.2024.10716951</t>
  </si>
  <si>
    <t xml:space="preserve">https://www.scopus.com/inward/record.uri?eid=2-s2.0-85208615244&amp;doi=10.1109%2fICACCS60874.2024.10716951&amp;partnerID=40&amp;md5=2cc3c0bcecbb2aac6009470730a93320</t>
  </si>
  <si>
    <t xml:space="preserve">Karunya Institute of Technology and Sceicnes, Dept. of Cse, Coimbatore, India; Karunya Institute of Technology and Sceicnes, Dept. of Ai&amp;ml, Coimbatore, India; Karunya Institute of Technology and Sceicnes, Dept. of Mathematics, Coimbatore, India; Veltech Rangarajan Dr. Sagunthala R&amp;d Institute of Science and Tech, Dept. of Cse, Chennai, India</t>
  </si>
  <si>
    <t xml:space="preserve">Arun K., Karunya Institute of Technology and Sceicnes, Dept. of Cse, Coimbatore, India; Terence S., Karunya Institute of Technology and Sceicnes, Dept. of Ai&amp;ml, Coimbatore, India; Titus, Karunya Institute of Technology and Sceicnes, Dept. of Cse, Coimbatore, India; Immaculate J., Karunya Institute of Technology and Sceicnes, Dept. of Mathematics, Coimbatore, India; Lydia A., Veltech Rangarajan Dr. Sagunthala R&amp;d Institute of Science and Tech, Dept. of Cse, Chennai, India</t>
  </si>
  <si>
    <t xml:space="preserve">Attentive Dense Circular Net; Convolutional Neural Network; Deep Learning; Disease Management; Healthcare initiatives; Image Classifications; Malaria Detection; XResnet152</t>
  </si>
  <si>
    <t xml:space="preserve">Diagnosis; Malaria control; Attentive dense circular net; Convolutional neural network; Deep learning; Disease management; Global health; Health concerns; Healthcare initiative; Images classification; Malaria detection; Xresnet152; Diseases</t>
  </si>
  <si>
    <t xml:space="preserve">Shekar G., Revathy S., Goud E.K., Malaria detection using deep learning, 2020 4th international conference on trends in electronics and informatics (ICOEI)(48184), pp. 746-750, (2020); Koirala A., Jha M., Bodapati S., Mishra A., Chetty G., Sahu P.K., Mohanty S., Padhan T.K., Mattoo J., Hukkoo A., Deep Learning for Real-Time Malaria Parasite Detection and Counting Using YOLO-mp, IEEE Access, 10, pp. 102157-102172, (2022); Paul K.B., Kumar S., Tripathy S., Vanjari S.R.K., Singh V., Singh S.G., A highly sensitive self assembled monolayer modified copper doped zinc oxide nanofiber interface for detection of Plasmodium falciparum histidine-rich protein-2: Targeted towards rapid, early diagnosis of malaria, Biosensors and Bioelectronics, 80, pp. 39-46, (2016); Liang Z., Powell A., Ersoy I., Poostchi M., Silamut K., Palaniappan K., Guo P., Hossain M.A., Sameer A., Maude R.J., Huang J.X., CNN-based image analysis for malaria diagnosis, 2016 IEEE international conference on bioinformatics and biomedicine (BIBM), pp. 493-496, (2016); Rajaraman S., Jaeger S., Antani S.K., Performance evaluation of deep neural ensembles toward malaria parasite detection in thinblood smear images, PeerJ, 7, (2019); Quan J., Ge B., Wang M., CrackViT: A unified CNNtransformer model for pixel-level crack extraction, Neural Computing and Applications, pp. 1-17, (2023); Yang H., Cheng C., Lin W., Yi Y., A New CNN-based Joint Network for Brain Tumor Denoising and Classification, 2022 2nd International Conference on Computer Science, Electronic Information Engineering and Intelligent Control Technology (CEI), pp. 506-510, (2022); Sinha S., Srivastava U., Dhiman V., Akhilan P.S., Mishra S., Performance assessment of Deep Learning procedures on Malaria dataset, Journal of Robotics and Control (JRC), 2, 1, pp. 12-18, (2021); Alawi A.E.B., Mosleh M.A.A., Almohagry Z., Saeed A.Y., Parasitized Cell Recognition Using AlexNet Pre-trained Model, 2021 1st International Conference on Emerging Smart Technologies and Applications (eSmarTA), pp. 1-4, (2021); Ayyar M.P., Benois-Pineau J., Zemmari A., A feature understanding method for explanation of image classification by convolutional neural networks, Explainable Deep Learning AI, pp. 79-96, (2023); Hemachandran K., Alasiry A., Marzougui M., Ganie S.M., Pise A.A., Alouane M.T., Chola C., Performance analysis of deep learning algorithms in diagnosis of malaria disease, Diagnostics, 13, 3, (2023); Taylor B., Marco V.S., Wolff W., Elkhatib Y., Wang Z., Adaptive selection of deep learning models on embedded systems, (2018); Mandal B., Okeukwu A., Theis Y., Masked face recognition using resnet-50, (2021); Demir A., Yilmaz F., Kose O., Early detection of skin cancer using deep learning architectures: Resnet-101 and inception-v3, 2019 medical technologies congress (TIPTEKNO), pp. 1-4, (2019); Reenadevi R., Sathiya T., Sathiyabhama B., Breast cancer histopathological image classification using augmentation based on optimized deep ResNet-152 structure, Annals of the Romanian Society for Cell Biology, 25, 6, pp. 5866-5874, (2021); Mukry S.N., Saud M., Gul S., Shaikh K., Naz A., Shamsi T.S., Laboratory diagnosis of malaria: Comparison of manual and automated diagnostic tests, Canadian Journal of Infectious Diseases and Medical Microbiology, (2017)</t>
  </si>
  <si>
    <t xml:space="preserve">14 March 2024 through 15 March 2024</t>
  </si>
  <si>
    <t xml:space="preserve">979-835038436-9</t>
  </si>
  <si>
    <t xml:space="preserve">Int. Conf. Adv. Comput. Commun. Syst., ICACCS</t>
  </si>
  <si>
    <t xml:space="preserve">2-s2.0-85208615244</t>
  </si>
  <si>
    <t xml:space="preserve">Kaur G.; Sharma N.; Malhotra S.; Devliyal S.; Singh S.</t>
  </si>
  <si>
    <t xml:space="preserve">Kaur, Gurjot (58446205100); Sharma, Neha (59128508600); Malhotra, Sonal (58934624400); Devliyal, Swati (55445459800); Singh, Swati (59152868700)</t>
  </si>
  <si>
    <t xml:space="preserve">58446205100; 59128508600; 58934624400; 55445459800; 59152868700</t>
  </si>
  <si>
    <t xml:space="preserve">Malaria Disease Detection using Convolutional Neural Network Architecture</t>
  </si>
  <si>
    <t xml:space="preserve">This study aimed to produce a computerized identification system for diagnosing malaria disease using Convolutional Neural Network (CNN) models. This endeavor is aligns with the goals of the Sustainable Development that are associated with health and well-being. Inspired by recent research highlighting the potential of CNN in medical image analysis, our proposed CNN design successfully categorized photos of malaria disease into two distinct groups. This significant achievement has made notable contributions towards the progress of economical and easily accessible healthcare. The model underwent thorough training for 20 epochs with a dataset of 43,390 photos. As a result of this extensive training, the model achieved a notable accuracy rate of 94%. This technological improvement aligns with promoting innovation and infrastructure for sustainable development. The implications of the study's findings are significant for global health, as they demonstrate the CNN model's ability to analyze complex patterns effectively. This ability has the potential to assist in the timely identification and management of medical conditions, consequently making a valuable contribution towards the goals of poverty elimination and the reduction of inequalities. Moreover, by addressing health disparities, these advancements can have a positive impact on societal well-being. This study highlights the significance of technology in promoting the progress of healthcare, thereby contributing to the broader objectives of sustainable development. © 2024 IEEE.</t>
  </si>
  <si>
    <t xml:space="preserve">10.1109/INOCON60754.2024.10511476</t>
  </si>
  <si>
    <t xml:space="preserve">https://www.scopus.com/inward/record.uri?eid=2-s2.0-85193573883&amp;doi=10.1109%2fINOCON60754.2024.10511476&amp;partnerID=40&amp;md5=6c3c6790c695e89473228e9bee82ea98</t>
  </si>
  <si>
    <t xml:space="preserve">Chitkara University Institute of Engineering and Technology, Chitkara University, Punjab, India; Computer Science &amp; Engineering, Graphic Era Hill University, Uttarakhand, Dehradun, 248002, India; Computer Science &amp; Engineering, Graphic Era Deemed to Be University, Uttarakhand, Dehradun, 248002, India; University Institute of Technology, Himachal Pradesh University, Department of Electronics and Communication Engineering, Shimla, India</t>
  </si>
  <si>
    <t xml:space="preserve">Kaur G., Chitkara University Institute of Engineering and Technology, Chitkara University, Punjab, India; Sharma N., Chitkara University Institute of Engineering and Technology, Chitkara University, Punjab, India; Malhotra S., Computer Science &amp; Engineering, Graphic Era Hill University, Uttarakhand, Dehradun, 248002, India; Devliyal S., Computer Science &amp; Engineering, Graphic Era Deemed to Be University, Uttarakhand, Dehradun, 248002, India; Singh S., University Institute of Technology, Himachal Pradesh University, Department of Electronics and Communication Engineering, Shimla, India</t>
  </si>
  <si>
    <t xml:space="preserve">Convolutional Neural Network; Deep Learning; Feature Extraction; Image Classification; Malaria Disease</t>
  </si>
  <si>
    <t xml:space="preserve">Convolution; Convolutional neural networks; Deep neural networks; Diagnosis; Feature extraction; Health care; Image classification; Medical imaging; Network architecture; Sustainable development; Convolutional neural network; Deep learning; Disease detection; Features extraction; Images classification; Malaria disease; Neural network architecture; Neural network model; Recent researches; Well being; Diseases</t>
  </si>
  <si>
    <t xml:space="preserve">Gourisaria M.K., Das S., Sharma R., Rautaray S.S., Pandey M., A deep learning model for malaria disease detection and analysis using deep convolutional neural networks, International Journal of Emerging Technologies, 11, 2, pp. 699-704, (2020); Zhang C., Jiang H., Jiang H., Xi H., Chen B., Liu Y., Zhang Y., Deep learning for microscopic examination of protozoan parasites, Computational and Structural Biotechnology Journal, 20, pp. 1036-1043, (2022); Park H.S., Rinehart M.T., Walzer K.A., Chi J.T.A., Wax A., Automated detection of P, falciparum using machine learning algorithms with quantitative phase images of unstained cells. PloS one, 11, 9, (2016); Sengar N., Burget R., Dutta M.K., A vision transformer based approach for analysis of plasmodium vivax life cycle for malaria prediction using thin blood smear microscopic images, Computer Methods and Programs in Biomedicine, 224, (2022); Poostchi M., Silamut K., Maude R.J., Jaeger S., Thoma G., Image analysis and machine learning for detecting Malaria, Translational Research, 194, pp. 36-55, (2018); Zhang X., Rane K.P., Kakaravada I., Shabaz M., Research on vibration monitoring and fault diagnosis of rotating machinery based on internet of things technology, Nonlinear Engineering, 10, 1, pp. 245-254, (2021); Bharany S., Badotra S., Sharma S., Rani S., Alazab M., Jhaveri R.H., Gadekallu T.R., Energy efficient fault tolerance techniques in green cloud computing: A systematic survey and taxonomy, Sustainable Energy Technologies and Assessments, 53, (2022); Kumar A., Chatterjee J.M., Diaz V.G., A novel hybrid approach of SVM combined with NLP and probabilistic neural network for email phishing, International Journal of Electrical and Computer Engineering, 10, 1, (2020); Kukreja V., A retrospective study on handwritten mathematical symbols and expressions: Classification and recognition, Engineering Applications of Artificial Intelligence, 103, (2021); Anand V., Gupta S., Koundal D., Singh K., Fusion of UNet and CNN model for segmentation and classification of skin lesion from dermoscopy images, Expert Systems with Applications, 213, (2023); Guleria K., Sharma S., Kumar S., Tiwari S., Early prediction of hypothyroidism and multiclass classification using predictive machine learning and deep learning, Measurement: Sensors, 24, (2022); Kuzhaloli S., Thenappan S., Premavathi T., Nivedita V., Mageshbabu M., Navaneethan S., Identification of Malaria Disease Using Machine Learning Models, 2023 Fifth International Conference on Electrical, Computer and Communication Technologies (ICECCT), pp. 1-4, (2023); Turuk M., Sreemathy R., Kadiyala S., Kotecha S., Kulkarni V., CNN Based Deep Learning Approach for Automatic Malaria Parasite Detection, IAENG Int. J. Comput. Sci, 49, pp. 745-753, (2022); Singh A., Porwal N., Kumar A., Malaria Detection using Deep Learning, Turkish Journal of Computer and Mathematics Education (TURCOMAT), 12, 13, pp. 4380-4384, (2021); Gezahegn Y.G., Medhin Y.H.G., Etsub E.A., Tekele G.N.G., Malaria detection and classification using machine learning algorithms, Information and Communication Technology for Development for Africa: First International Conference, ICT4DA 2017, pp. 24-33, (2018); Khan G.Z., Shah I.A., Hassan M.A., Junaid H., Sardar F., Intelligent Systems for Early Malaria Disease Detection in Patient Cells Using Transfer Learning Approaches, 2023 4th International Conference on Computing, Mathematics and Engineering Technologies (iCoMET), pp. 1-6, (2023); Mohanty I., Pattanaik P.A., Swarnkar T., Automatic detection of malaria parasites using unsupervised techniques, Proceedings of the International Conference on ISMAC in Computational Vision and Bio-Engineering 2018 (ISMAC-CVB), pp. 41-49, (2019); Sasubilli S.M., Kumar A., Dutt V., Machine learning implementation on medical domain to identify disease insights using TMS, 2020 International Conference on Advances in Computing and Communication Engineering (ICACCE), pp. 1-4, (2020); Singh J., Thakur D., Ali F., Gera T., Kwak K.S., Deep feature extraction and classification of android malware images, Sensors, 20, 24, (2020); Yang M., Kumar P., Bhola J., Shabaz M., Development of image recognition software based on artificial intelligence algorithm for the efficient sorting of apple fruit, International Journal of System Assurance Engineering and Management, pp. 1-9, (2021); Pundir M., Sandhu J.K., A systematic review of quality of service in wireless sensor networks using machine learning: Recent trend and future vision, Journal of Network and Computer Applications, 188, (2021); Anand V., Gupta S., Koundal D., Nayak S.R., Barsocchi P., Bhoi A.K., Modified U-net architecture for segmentation of skin lesion, Sensors, 22, 3, (2022)</t>
  </si>
  <si>
    <t xml:space="preserve">G. Kaur; Chitkara University Institute of Engineering and Technology, Chitkara University, Punjab, India; email: gurjot.k@chitkara.edu.in</t>
  </si>
  <si>
    <t xml:space="preserve">2-s2.0-85193573883</t>
  </si>
  <si>
    <t xml:space="preserve">Tejakumarreddy P.; Sunil M.; Senthamilarasi N.; Subapriya V.; Anbuselvi G.</t>
  </si>
  <si>
    <t xml:space="preserve">Tejakumarreddy, P. (59173381900); Sunil, M. (57222173542); Senthamilarasi, N. (57212303588); Subapriya, V. (56584560200); Anbuselvi, G. (59173382000)</t>
  </si>
  <si>
    <t xml:space="preserve">59173381900; 57222173542; 57212303588; 56584560200; 59173382000</t>
  </si>
  <si>
    <t xml:space="preserve">Malaria Parasite Detection using 2D CNN</t>
  </si>
  <si>
    <t xml:space="preserve">Malaria continues to be a major worldwide health issue, especially in areas with poor access to medical treatment. This project presents a novel approach to malaria parasite detection utilizing a 2D Convolutional Neural Network (CNN) framework. The objective is to automate the diagnosis process, reducing the reliance on manual microscopy examination and expediting the identification of infected blood samples. The CNN model is trained on a comprehensive dataset of blood smear images, encompassing both infected and uninfected samples, and is designed to accurately identify the presence of malaria parasites. By leveraging deep learning techniques, this system demonstrates promising results in terms of sensitivity and specificity. This attempts to prevent malaria by offering a reliable and effective instrument for early diagnosis, enabling timely intervention and ultimately, saving lives.  © 2024 IEEE.</t>
  </si>
  <si>
    <t xml:space="preserve">10.1109/ICICT60155.2024.10544705</t>
  </si>
  <si>
    <t xml:space="preserve">https://www.scopus.com/inward/record.uri?eid=2-s2.0-85196123738&amp;doi=10.1109%2fICICT60155.2024.10544705&amp;partnerID=40&amp;md5=a30f7594298798535f64ccf1c32363a4</t>
  </si>
  <si>
    <t xml:space="preserve">Cse, Sathyabama Institute of Science And Technology, Tamilnadu, Chennai, India</t>
  </si>
  <si>
    <t xml:space="preserve">Tejakumarreddy P., Cse, Sathyabama Institute of Science And Technology, Tamilnadu, Chennai, India; Sunil M., Cse, Sathyabama Institute of Science And Technology, Tamilnadu, Chennai, India; Senthamilarasi N., Cse, Sathyabama Institute of Science And Technology, Tamilnadu, Chennai, India; Subapriya V., Cse, Sathyabama Institute of Science And Technology, Tamilnadu, Chennai, India; Anbuselvi G., Cse, Sathyabama Institute of Science And Technology, Tamilnadu, Chennai, India</t>
  </si>
  <si>
    <t xml:space="preserve">Blood Smear; CNN; Image; Malaria Parasite; Microscope; RBC</t>
  </si>
  <si>
    <t xml:space="preserve">Blood; Deep learning; Diagnosis; Diseases; Learning systems; Blood samples; Blood smears; Convolutional neural network; Health issues; Image; Malaria parasite; Medical treatment; Network frameworks; Neural network model; RBC; Convolutional neural networks</t>
  </si>
  <si>
    <t xml:space="preserve">Nayak S., Kumar S., Jangid M., Malaria Detection Using Multiple Deep Learning Approaches, 2019 2nd International Conference on Intelligent Communication and Computational Techniques (ICCT), pp. 292-297, (2019); Joshi A.M., Das A.K., Dhal S., Deep Learning Based Approach For Malaria Detection in Blood Cell Images, 2020 IEEE REGION 10 CONFERENCE (TENCON), pp. 241-246, (2020); Shah D., Kawale K., Shah M., Randive S., Mapari R., Malaria Parasite Detection Using Deep Learning: (Beneficial to humankind), 2020 4th International Conference on Intelligent Computing and Control Systems (ICICCS), pp. 984-988, (2020); Hussain M., Bora D.J., An Analytical Study on Different Image Segmentation Techniques for Malaria Parasite Detection, 2018 International Conference on Research in Intelligent and Computing in Engineering (RICE), pp. 1-7, (2018); Aris T.A., Nasir A.S.A., Chin L.C., Jaafar H., Mohamed Z., Fast kMeans Clustering Algorithm for Malaria Detection in Thick Blood Smear, 2020 IEEE 10th International Conference on System Engineering and Technology (ICSET), pp. 267-272, (2020); Militante S.V., Malaria Disease Recognition through Adaptive Deep Learning Models of Convolutional Neural Network, 2019 IEEE 6th International Conference on Engineering Technologies and Applied Sciences (ICETAS), pp. 1-6, (2019); Prakash S.S., Kovoor B.C., Visakha K., Convolutional Neural Network Based Malaria Parasite Infection Detection Using Thin Microscopic Blood Smear Samples, 2020 Second International Conference on Inventive Research in Computing Applications (ICIRCA), pp. 308-313, (2020); Iradukunda O., Che H., Uwineza J., Bayingana J.Y., Bin-Imam M.S., Niyonzima I., Malaria Disease Prediction Based on Machine Learning, 2019 IEEE International Conference on Signal, Information and Data Processing (ICSIDP), pp. 1-7, (2019); Saglam S., Tat F., Bayar S., FPGA Implementation of CNN Algorithm for Detecting Malaria Diseased Blood Cells, 2019 International Symposium on Advanced Electrical and Communication Technologies (ISAECT), pp. 1-5, (2019); Ragb H.K., Dover I.T., Ali R., Deep Convolutional Neural Network Ensemble for Improved Malaria Parasite Detection, 2020 IEEE Applied Imagery Pattern Recognition Workshop (AIPR), pp. 1-10, (2020); Zhong Y., Et al., Efficient Malaria Parasite Detection From Diverse Images of Thick Blood Smears for Cross-Regional Model Accuracy, IEEE Open Journal of Engineering in Medicine and Biology, 4, pp. 226-233, (2023); Wang W., Et al., Laser-Induced Surface Acoustic Wave Sensing-Based Malaria Parasite Detection and Analysis, IEEE Transactions on Instrumentation and Measurement, 71, pp. 1-9, (2022); Goni M.O.F., Et al., Diagnosis of Malaria Using Double Hidden Layer Extreme Learning Machine Algorithm With CNN Feature Extraction and Parasite Inflator, IEEE Access, 11, pp. 4117-4130, (2023); Chen S., Zhao S., Huang C., An Automatic Malaria Disease Diagnosis Framework Integrating Blockchain-Enabled Cloud-Edge Computing and Deep Learning, IEEE Internet of Things Journal, 10, 24, pp. 21544-21553, (2023); Koirala A., Et al., Deep Learning for Real-Time Malaria Parasite Detection and Counting Using YOLO-mp, IEEE Access, 10, pp. 102157-102172, (2022); Modu B., Polovina N., Konur S., Agent-Based Modeling of Malaria Transmission, IEEE Access, 11, pp. 19794-19808, (2023); Azad S., Et al., Magneto-Optical Detection of Synthetic Malaria Pigment in Photonic Crystal Fiber, IEEE Sensors Journal, 23, 22, pp. 27369-27374, (2023); Alonso-Ramirez A.A., Et al., Classifying Parasitized and Uninfected Malaria Red Blood Cells Using Convolutional-Recurrent Neural Networks, IEEE Access, 10, pp. 97348-97359, (2022); Yebasse M., Cheoi K.J., Ko J., Malaria Disease Cell Classification With Highlighting Small Infected Regions, IEEE Access, 11, pp. 15945-15953, (2023); Yebasse M., Cheoi K.J., Ko J., Malaria Disease Cell Classification With Highlighting Small Infected Regions, IEEE Access, 11, pp. 15945-15953, (2023); Jena K.K., Bhoi S.K., Mallick C., Mohapatra D., Swain P., Classification of Malaria Parasitized and Uninfected Images Using Machine Learning Approach, 2021 Fifth International Conference on I-SMAC (IoT in Social, Mobile, Analytics and Cloud) (I-SMAC), pp. 1-7, (2021); Kandula A.R., Kalyanapu S., Gottipati L.S., Kamma H., Munagala M., Ramachandran P., Revolutionizing Malaria Diagnosis: A Deep Learning Approach, 2023 International Conference on Sustainable Computing and Smart Systems (ICSCSS), pp. 63-66, (2023); Hcini G., Jdey I., Ltifi H., HSV-Net: A Custom CNN for Malaria Detection with Enhanced Color Representation, 2023 International Conference on Cyberworlds (CW), pp. 337-340, (2023); Ahmed M.S., Rahman R., Arefeen Z.R., Alam A., Tahreen M., Effort To Mitigate Malaria Via Early Detection Using Hybrid Machine Learning Architectures, 2021 31st International Conference on Computer Theory and Applications (ICCTA), pp. 155-159, (2021); Chen X.-Z., Hsu Y.-C., Chen Y.-L., Goh C.M., Yu W.-J., Deep learning based malaria-infected cell detection and parasite life stage classification method, 2022 IEEE 11th Global Conference on Consumer Electronics (GCCE), pp. 420-421, (2022); Kundu T.K., Anguraj D.K., Using Image Classification-based RBC Extraction for Malarial Parasite Identification in Peripheral Blood Smear, 2023 International Conference on Sustainable Computing and Data Communication Systems (ICSCDS), (2023)</t>
  </si>
  <si>
    <t xml:space="preserve">P. Tejakumarreddy; Cse, Sathyabama Institute of Science And Technology, Chennai, Tamilnadu, India; email: Palugullatejareddy27@gmail.com</t>
  </si>
  <si>
    <t xml:space="preserve">2-s2.0-85196123738</t>
  </si>
  <si>
    <t xml:space="preserve">Shashikiran S.; Srinivas Babu N.; Rama P.; Mondal S.; Sadaqathulla S.; Pramod K.S.</t>
  </si>
  <si>
    <t xml:space="preserve">Shashikiran, S. (58996290300); Srinivas Babu, N. (58515815600); Rama, P. (59260884700); Mondal, Sandip (59261792500); Sadaqathulla, Syed (59261245200); Pramod, K.S. (59261425000)</t>
  </si>
  <si>
    <t xml:space="preserve">58996290300; 58515815600; 59260884700; 59261792500; 59261245200; 59261425000</t>
  </si>
  <si>
    <t xml:space="preserve">Malaria parasite detection using advanced deep Learning techniques</t>
  </si>
  <si>
    <t xml:space="preserve">The parasite Plasmodium, which is carried by Anopheles mosquitoes, is what causes the fatal malaria sickness. It produces chills, headaches, exhaustion, and fever. Severe cases also result in mortality and organ failure. Malaria diagnosis is typically made using microscope results. It is necessary to create new instruments and algorithms for the diagnosis and treatment of malaria. A CNN-based technique for feature extraction from thin, raw blood smear images is proposed in this work. An SVM classifier is then used to categorize the collected features into one of the four species types: Falciparum, Vivax, Ovale, and Malariae. The suggested model demonstrates the efficacy of deep learning methods in the diagnosis of malaria and the classification of species with an exceptionally high accuracy. This involves the process of making forecasts by utilizing patterns found in extensive datasets. Particularly in places with limited resources, the deep learning approach, which is advised work, lowers the cost of diagnosis while also offering a more dependable diagnosis, smartphones are used to capture the little blood smear photos, making it rapid and simple to acquire datasets. Additionally, it may send blood smear images fast for an early diagnosis. In the proposed study, a convolutional layer made up of the images is applied using batch normalization and ReLu to define residual units. Ultimately, a completely linked layer comes before it to produce the intended output, which may be pictures free of malaria infection or pictures that show the infected ones, with that also plotting the accuracy and performance indicators of the model which includes graphs and confusionmatrices.  © 2024 IEEE.</t>
  </si>
  <si>
    <t xml:space="preserve">10.1109/ICKECS61492.2024.10616908</t>
  </si>
  <si>
    <t xml:space="preserve">https://www.scopus.com/inward/record.uri?eid=2-s2.0-85201283001&amp;doi=10.1109%2fICKECS61492.2024.10616908&amp;partnerID=40&amp;md5=4c73939750cbccc7cf2a90b2189c5645</t>
  </si>
  <si>
    <t xml:space="preserve">Electronics and Communication, New Horizon College of Engineering, Bengaluru, India</t>
  </si>
  <si>
    <t xml:space="preserve">Shashikiran S., Electronics and Communication, New Horizon College of Engineering, Bengaluru, India; Srinivas Babu N., Electronics and Communication, New Horizon College of Engineering, Bengaluru, India; Rama P., Electronics and Communication, New Horizon College of Engineering, Bengaluru, India; Mondal S., Electronics and Communication, New Horizon College of Engineering, Bengaluru, India; Sadaqathulla S., Electronics and Communication, New Horizon College of Engineering, Bengaluru, India; Pramod K.S., Electronics and Communication, New Horizon College of Engineering, Bengaluru, India</t>
  </si>
  <si>
    <t xml:space="preserve">Deep learning; Diagnosis; Malaria control; Anopheles mosquitoes; Blood smears; Features extraction; Learning methods; Learning techniques; Malaria diagnosis; Malaria parasite; Organ failure; SVM classifiers; Diseases</t>
  </si>
  <si>
    <t xml:space="preserve">Posfai D., Et al., Plasmodium parasite exploits host aquaporin-3 during liver stage malaria infection, PLoS Pathog., 14, 5, (2018); CDC-Malaria-About Malaria-Biology, (2020); Worrall E., Basu S., Hanson K., Is malaria a disease of poverty? A review of the literature, Trop. Med. Int. Heal., 10, 10, pp. 1047-1059, (2005); Gollin D., Zimmermann C., Malaria: Disease Impacts and LongRun Income Differences, Dep. Econ. Williams Coll. Dep. Econ. Work. Pap., 2997, (2008); World Malaria Report 2020, 73, 1, (1997); For C., Prevention C.D., CDC-Malaria-Diagnosis &amp; Treatment (United States)-Treatment (U. S.)-Guidelines for Clinicians (Part 1), (2020); CDC-Malaria-Diagnosis &amp; Treatment (United States)-Diagnosis (U. S.), (2020); Shortage of pathologists inhibits progress on UHC | The Daily Star, (2018); UN and Gates Foundation presents vision for eradicating malaria by 2040-United Nations Sustainable Development, (2015); National Framework For Malaria Elimination In India (2016-2030) Directorate Of National Vector Borne Disease Control Programme (NVBDCP) Directorate General Of Health Services (DGHS) Ministry Of Health &amp; Family Welfare Government Of India, (2016); Hemachandran K., Performance analysis of Deep Learning algorithms in Diagnosis of Malaria disease, (2023); Hanoon Dawood Alnussairi M., Malaria parasite detection using deep learning algorithms based on (CNNs) technique, (2022); Shekhar G., Malaria Detection using Deep Learning, (2020); Logistic regression in Machine Learning; Support Vector Machine Algorithm; Machine Learning-Logistic regression by W3schools; Support Vector Machines by scikit learn; Fong Amaris W.M., Martinez C., CortesCortes L.J., Suarez D.R., Image features for quality analysis of thick blood smears employed in malaria diagnosis, Malar J, 21, 1, (2022); Rosenthal M.R., Ng C.L., High-content imaging as a tool to quantify and characterize malaria parasites, Cell Reports Methods, 3, 7, (2023)</t>
  </si>
  <si>
    <t xml:space="preserve">S. Shashikiran; Electronics and Communication, New Horizon College of Engineering, Bengaluru, India; email: shashikiran067@gmail.com</t>
  </si>
  <si>
    <t xml:space="preserve">2-s2.0-85201283001</t>
  </si>
  <si>
    <t xml:space="preserve">Asiya S.; Aparna D.; Mahender N.; Raamizuddin M.; Anoosha P.</t>
  </si>
  <si>
    <t xml:space="preserve">Asiya, Syed (58938764200); Aparna, D. (57644163500); Mahender, Nagurla (58867630000); Raamizuddin, Mohammed (58867427700); Anoosha, Perumalla (58581157200)</t>
  </si>
  <si>
    <t xml:space="preserve">58938764200; 57644163500; 58867630000; 58867427700; 58581157200</t>
  </si>
  <si>
    <t xml:space="preserve">Malaria Parasite Detection Using Deep Neural Networks</t>
  </si>
  <si>
    <t xml:space="preserve">Malaria, a contagious disease that has the potential to be fatal, affects millions of individuals globally. Early identification of malaria is one of the main difficulties in its efficient treatment. Microscopy is one of the older diagnostic techniques for malaria, although it has drawbacks such as limited sensitivity and specificity. Deep learning algorithms have recently demonstrated encouraging outcomes in the detection of malaria from photographs of infected and uninfected cells. To choose the most effective method for detecting malaria, we assess the performance of five alternative deep learning models in this study. The dataset used in this study contains many images of both infected and uninfected cells, the difference between these images is clearly visible when inspected visually. This research used the dataset from Kaggle that has two classes which are uninfected and parasitized images of blood cells. The study compared the performance of five different deep learning models in detecting malaria from these images: VGG-19, Inception-v3, ResNet-101, Inception Resnet-v2, and a custom CNN model. The results of the study indicated that Inception Resnet-v2 was the most accurate model, achieving an accuracy rate of 95.4%. © 2024, The Author(s), under exclusive license to Springer Nature Singapore Pte Ltd.</t>
  </si>
  <si>
    <t xml:space="preserve">10.1007/978-981-99-7817-5_23</t>
  </si>
  <si>
    <t xml:space="preserve">https://www.scopus.com/inward/record.uri?eid=2-s2.0-85184284861&amp;doi=10.1007%2f978-981-99-7817-5_23&amp;partnerID=40&amp;md5=8df5a136dfb00ee30ccbd86892076b00</t>
  </si>
  <si>
    <t xml:space="preserve">School of Computer Science and Artificial Intelligence, SR University, Telangana, Warangal, India; Balaji Institute of Technology and Science, Telangana, Warangal, India</t>
  </si>
  <si>
    <t xml:space="preserve">Asiya S., School of Computer Science and Artificial Intelligence, SR University, Telangana, Warangal, India; Aparna D., Balaji Institute of Technology and Science, Telangana, Warangal, India; Mahender N., School of Computer Science and Artificial Intelligence, SR University, Telangana, Warangal, India; Raamizuddin M., School of Computer Science and Artificial Intelligence, SR University, Telangana, Warangal, India; Anoosha P., School of Computer Science and Artificial Intelligence, SR University, Telangana, Warangal, India</t>
  </si>
  <si>
    <t xml:space="preserve">Convolutional neural network (CNN); Deep learning; Inception Resnet-v2; Inception-v3; Malaria; Microscopy; ResNet-101; VGG-19</t>
  </si>
  <si>
    <t xml:space="preserve">Blood; Deep neural networks; Diagnosis; Diseases; Learning algorithms; Learning systems; Neural network models; Convolutional neural network; Deep learning; Inception resnet-v2; Inception-v3; Learning models; Malaria; Performance; Resnet-101; VGG-19; Convolutional neural networks</t>
  </si>
  <si>
    <t xml:space="preserve">Nakasi R., Mwebaze E., Zawedde A., Tusubira J., Akera B., Maiga G., A new approach for microscopic diagnosis of malaria parasites in thick blood smears using pre-trained deep learning models, SN Appl. Sci., 2, pp. 1-7, (2020); Poostchi M., Silamut K., Maude R.J., Jaeger S., Thoma G., Image analysis and machine learning for detecting malaria, Transl. Res., 194, pp. 36-55, (2018); Kalipe G., Gautham V., Behera R.K., ın 2018 International Conference on Information Technology (ICIT). Predicting Malarial Outbreak Using Machine Learning and Deep Learning Approach: A Review and Analysis, pp. 33-38, (2018); Alnussairi M.H.D., Ibrahim A.A., Malaria parasite detection using deep learning algorithms based on (CNNs) technique, Comput. Electr. Eng., 103, (2022); Alok N., Krishan K., Chauhan P., Machine Learning for Healthcare Applications. Deep Learning-Based İmage Classifier for Malaria Cell Detection (2021), pp. 187-197; Pattanaik P.A., Mittal M., Khan M.Z., Panda S.N., Malaria detection using deep residual networks with mobile microscopy, J. King Saud Univ. Comput. Inf. Sci., 34, 5, pp. 1700-1705, (2022); Fuhad K.M., Tuba J.F., Sarker M.R.A., Momen S., Mohammed N., Rahman T., Deep learning based automatic malaria parasite detection from blood smear and its smartphone based application, Diagnostics, 10, 5, (2020); Pattanaik P.A., Mittal M., Khan M.Z., Unsupervised deep learning cad scheme for the detection of malaria in blood smear microscopic images, IEEE Access, 8, pp. 94936-94946, (2020); Yang F., Et al., Deep learning for smartphone-based malaria parasite detection in thick blood smears, IEEE J. Biomed. Health Inf., 24, 5, pp. 1427-1438, (2020); Liang Z., Et al., CNN-Based İmage Analysis for Malaria Diagnosis, 2016 IEEE International Conference on Bioinformatics and Biomedicine (BIBM), pp. 493-496, (2016); Bibin D., Nair M.S., Punitha P., Malaria parasite detection from peripheral blood smear images using deep belief networks, IEEE Access, 5, pp. 9099-9108, (2017); ICACECS 2022. Tree Cutting Sound Detection Using Deep Learning Techniques Based on Mel Spectrogram and MFCC Features, pp. 497-512, (2023)</t>
  </si>
  <si>
    <t xml:space="preserve">S. Asiya; School of Computer Science and Artificial Intelligence, SR University, Warangal, Telangana, India; email: asiya.sru@sru.edu.in</t>
  </si>
  <si>
    <t xml:space="preserve">978-981997816-8</t>
  </si>
  <si>
    <t xml:space="preserve">2-s2.0-85184284861</t>
  </si>
  <si>
    <t xml:space="preserve">Kumar A.; Nelson L.; Rasher S.; Surendran R.</t>
  </si>
  <si>
    <t xml:space="preserve">Kumar, Aditya (58931328500); Nelson, Leema (55426973700); Rasher, Shikha (58194264800); Surendran, R. (35175353700)</t>
  </si>
  <si>
    <t xml:space="preserve">58931328500; 55426973700; 58194264800; 35175353700</t>
  </si>
  <si>
    <t xml:space="preserve">MosquitoNet Based Deep Learning Approach for Malaria Parasite Detection Using Cell Images</t>
  </si>
  <si>
    <t xml:space="preserve">Malaria is a major global health issue made worse by the COVID-19 pandemic. This paper explores using Convolutional Neural Networks (CNNs) to accurately detect malaria by analysing microscopic blood smear images. This work uses a diverse and balanced dataset of infected and uninfected malaria cell images, which is augmented to improve dataset diversity and generalisation. In this work, the MosquitoNet model, which includes convolutional and fully connected layers, is trained using the Adam optimiser with the binary cross entropy loss. The results show that the model has a high accuracy of 96.97% on the test set, effectively distinguishing between malaria-infected and uninfected cells. Recall, Precision, and F1-score metrics are used to evaluate MosquitoNet's efficiency. This work contributes to deep learning in healthcare and highlights the importance of advanced technologies in fighting life-threatening diseases like malaria. Continued progress and research in this area can potentially improve medical imaging techniques and healthcare outcomes.  © 2024 IEEE.</t>
  </si>
  <si>
    <t xml:space="preserve">2024 International Conference on Automation and Computation, AUTOCOM 2024</t>
  </si>
  <si>
    <t xml:space="preserve">10.1109/AUTOCOM60220.2024.10486136</t>
  </si>
  <si>
    <t xml:space="preserve">https://www.scopus.com/inward/record.uri?eid=2-s2.0-85190575919&amp;doi=10.1109%2fAUTOCOM60220.2024.10486136&amp;partnerID=40&amp;md5=591d633c45b8ab432462a05eabae21b9</t>
  </si>
  <si>
    <t xml:space="preserve">Chitkara University Institute of Engineering &amp; Technology, Chitkara University, Punjab, India; Saveetha Institute of Medical and Technical Sciences, Saveetha School of Engineering, Tamil Nadu, Chennai, India</t>
  </si>
  <si>
    <t xml:space="preserve">Kumar A., Chitkara University Institute of Engineering &amp; Technology, Chitkara University, Punjab, India; Nelson L., Chitkara University Institute of Engineering &amp; Technology, Chitkara University, Punjab, India; Rasher S., Chitkara University Institute of Engineering &amp; Technology, Chitkara University, Punjab, India; Surendran R., Saveetha Institute of Medical and Technical Sciences, Saveetha School of Engineering, Tamil Nadu, Chennai, India</t>
  </si>
  <si>
    <t xml:space="preserve">Adam; CNN; Deep learning; Malaria; MosquitoNet</t>
  </si>
  <si>
    <t xml:space="preserve">Convolution; COVID-19; Deep learning; Health care; Image enhancement; Medical imaging; Adam; Cell images; Convolutional neural network; Deep learning; Global health; Health issues; Learning approach; Malaria; Malaria parasite; Mosquitonet; Convolutional neural networks</t>
  </si>
  <si>
    <t xml:space="preserve">world health organisation expert committee on malaria 18th report. Technical report series no. 735. 104 pages. ISBN 92 4 120735 3. World health organisation, Geneva, 1986, SF 14, Parasitology, 95, 3, (1987); Chiodini J., Apps from the world health organisation-the world malaria report and more, Travel Med. Infect. Dis., 22, pp. 82-84, (2018); Monroe A., Williams N.A., Ogoma S., Karema C., Okumu F., Reflections on the 2021 World Malaria Report and the future of malaria control, Malar. J., 21, 1, (2022); Gill K.S., Anand V., Gupta R., An Efficient VGG19 Framework for Malaria Detection in Blood Cell Images, 2023 3rd Asian Conference on Innovation in Technology (ASIANCON), IEEE, pp. 1-4, (2023); Kumar A., Sarkar S., Pradhan C., Malaria disease detection using cnn technique with sgd, rmsprop and adam optimisers, Deep learning techniques for biomedical and health informatics, pp. 211-230, (2020); Narayanan B.N., Ali R.A., Hardie R.C., Performance analysis of machine learning and deep learning architectures for malaria detection on cell images, Applications of Machine Learning, (2019); Alnussairi M.H.D., Brahim A.A., Malaria parasite detection using deep learning algorithms based on (CNNs) technique, Comput. Electr. Eng., 103, (2022); Shambhu S., Koundal D., Das P., Deep learning-based computer assisted detection techniques for malaria parasite using blood smear images, International Journal of Advanced Technology and Engineering Exploration, 10, 105, (2023); Militante S.V., Malaria disease recognition through adaptive deep learning models of convolutional neural network, 2019 IEEE 6th International Conference on Engineering Technologies and Applied Sciences (ICETAS), (2019); Jameela T., Athota K., Singh N., Gunjan V.K., Kahali S., Deep learning and transfer learning for malaria detection, Computational intelligence and neuroscience., (2022); Mikolajczyk A., Grochowski M., Data augmentation for improving deep learning in image classification problem, 2018 International Interdisciplinary PhD Workshop (IIPhDW), (2018); Lamba S., Baliyan A., Kukreja V., GAN based image augmentation for increased CNN performance in Paddy leaf disease classification, 2022 2nd International Conference on Advance Computing and Innovative Technologies in Engineering (ICACITE), (2022); Kumar A., Sarkar S., Pradhan C., Malaria disease detection using cnn technique with sgd, rmsprop and adam optimisers, Deep learning techniques for biomedical and health informatics, pp. 211-230, (2020); Shah D., Kawale K., Shah M., Randive S., Mapari R., Malaria parasite detection using deep learning: (Beneficial to humankind), 2020 4th International Conference on Intelligent Computing and Control Systems (ICICCS), IEEE, pp. 984-988, (2020); Shah D., Kawale K., Shah M., Randive S., Mapari R., Malaria parasite detection using deep learning: (Beneficial to humankind), 2020 4th International Conference on Intelligent Computing and Control Systems (ICICCS), IEEE, pp. 984-988, (2020); Vijayalakshmi A., Deep learning approach to detect malaria from microscopic images, Multimedia Tools and Applications, 79, pp. 15297-15317, (2020); Preethi S., Arunadevi B., Prasannadevi V., Malaria parasite enumeration and classification using convolutional neural networking, Deep Learning and Edge Computing Solutions for High Performance Computing, pp. 225-245, (2021); Sulaiman A., Et al., A convolutional neural network architecture for segmentation of lung diseases using chest X-ray images, Diagnostics (Basel), 13, 9, (2023); Anand V., Et al., Weighted average ensemble deep learning model for stratification of brain tumor in MRI images, Diagnostics (Basel), 13, 7, (2023); Prasad G., Chakraborty A., Banerjee A., Malaria detection using VGG19 and deep convolutional neural network, Lecture Notes in Electrical Engineering, pp. 283-292, (2022); Saini A., Guleria K., Sharma S., Deep learning based model for malaria disease detection using convolution neural network, 2023 International Conference on Network, Multimedia and Information Technology (NMITCON), (2023)</t>
  </si>
  <si>
    <t xml:space="preserve">A. Kumar; Chitkara University Institute of Engineering &amp; Technology, Chitkara University, Punjab, India; email: aditya.3891@chitkara.edu.in</t>
  </si>
  <si>
    <t xml:space="preserve">2024 IEEE International Conference on Automation and Computation, AUTOCOM 2024</t>
  </si>
  <si>
    <t xml:space="preserve">14 March 2024 through 16 March 2024</t>
  </si>
  <si>
    <t xml:space="preserve">Dehradun</t>
  </si>
  <si>
    <t xml:space="preserve">979-835038272-3</t>
  </si>
  <si>
    <t xml:space="preserve">Int. Conf. Autom. Comput., AUTOCOM</t>
  </si>
  <si>
    <t xml:space="preserve">2-s2.0-85190575919</t>
  </si>
  <si>
    <t xml:space="preserve">MTANet: Multi-Type Attention Ensemble for Malaria Parasite Detection</t>
  </si>
  <si>
    <t xml:space="preserve">Malaria is a severe infectious disease caused by the Plasmodium parasite. Diagnosing and treating the disease is crucial to increase the chances of survival. However, detecting malaria parasites is still a manual process performed by experts examining blood smears, especially in less developed countries. This task is time-consuming and prone to errors. Fortunately, deep learning-based object detection methods have shown promising results in automating this task, allowing quick diagnosis and treatment. In this work, we proposed an object detection ensemble architecture, MTANet, that efficiently detects malaria parasite species using one tailored YOLOv5 version integrated with an attention-based approach. We compared its performance against several methods in the literature. The experimental results have shown that MTANet can efficiently and accurately address the detection of different species with a single model. © The Author(s), under exclusive license to Springer Nature Switzerland AG 2024.</t>
  </si>
  <si>
    <t xml:space="preserve">diangnostics</t>
  </si>
  <si>
    <t xml:space="preserve">10.1007/978-3-031-51026-7_6</t>
  </si>
  <si>
    <t xml:space="preserve">https://www.scopus.com/inward/record.uri?eid=2-s2.0-85184131229&amp;doi=10.1007%2f978-3-031-51026-7_6&amp;partnerID=40&amp;md5=7e538c913e1150d619afeb7a070d977e</t>
  </si>
  <si>
    <t xml:space="preserve">Department of Mathematics and Computer Science, University of Cagliari, Cagliari, Italy</t>
  </si>
  <si>
    <t xml:space="preserve">Zedda L., Department of Mathematics and Computer Science, University of Cagliari, Cagliari, Italy; Loddo A., Department of Mathematics and Computer Science, University of Cagliari, Cagliari, Italy; Di Ruberto C., Department of Mathematics and Computer Science, University of Cagliari, Cagliari, Italy</t>
  </si>
  <si>
    <t xml:space="preserve">Blood Smear Images; Computer Vision; Deep Learning; Image Processing; Malaria Parasite Detection; Object Detection</t>
  </si>
  <si>
    <t xml:space="preserve">Blood; Computer vision; Deep learning; Diagnosis; Diseases; Object recognition; Blood smear image; Blood smears; Deep learning; Images processing; Infectious disease; Malaria parasite; Malaria parasite detection; Manual process; Objects detection; Plasmodium parasites; Object detection</t>
  </si>
  <si>
    <t xml:space="preserve">Arshad Q.A., Et al., A dataset and benchmark for malaria life-cycle classification in thin blood smear images, Neural Comput. Appl., 34, 6, pp. 4473-4485, (2022); Bias S., Reni S., Kale P.I., Mobile hardware based implementation of a novel, efficient, fuzzy logic inspired edge detection technique for analysis of malaria infected microscopic thin blood images, Proced. Comput. Sci., 141, pp. 374-381, (2018); Buslaev A., Iglovikov V.I., Khvedchenya E., Parinov A., Druzhinin M., Kalinin A.A., Albumentations: Fast and flexible image augmentations, Information, 11, 2, (2020); Di Ruberto C., Dempster A., Khan S., Jarra B., Analysis of infected blood cell images using morphological operators, Image Vis. Comput., 20, 2, pp. 133-146, (2002); Jocher G., Et al., Ultralytics/Yolov5: V6.0-Yolov5n ‘Nano’ Models, (2021); He K., Zhang X., Ren S., Sun J., Spatial pyramid pooling in deep convolutional networks for visual recognition, IEEE Trans. Pattern Anal. Mach. Intell., 37, 9, pp. 1904-1916, (2015); Lin T., Goyal P., Girshick R.B., He K., Dollar P., Focal loss for dense object detection, IEEE International Conference on Computer Vision, ICCV 2017, Venice, Italy, 22–29 October 2017, Pp. 2999–3007. IEEE Computer Society, (2017); Liu S., Qi L., Qin H., Shi J., Jia J., Path aggregation network for instance segmentation, 2018 IEEE Conference on Computer Vision and Pattern Recognition, CVPR 2018, Salt Lake City, UT, USA, 18–22 June, 2018, Pp. 8759–8768. Computer Vision Foundation / IEEE Computer Society, (2018); Loddo A., Fadda C., Ruberto C.D., An empirical evaluation of convolutional networks for malaria diagnosis, J. Imaging, 8, 3, (2022); Loddo A., Ruberto C.D., Kocher M., Recent advances of malaria parasites detection systems based on mathematical morphology, Sensors, 18, 2, (2018); Maity M., Jaiswal A., Gantait K., Chatterjee J., Mukherjee A., Quantification of malaria parasitaemia using trainable semantic segmentation and capsnet, Pattern Recogn. Lett., 138, pp. 88-94, (2020); Niu Z., Zhong G., Yu H., A review on the attention mechanism of deep learning, Neurocomputing, 452, pp. 48-62, (2021); Rajaraman S., Et al., Pre-trained convolutional neural networks as feature extractors toward improved malaria parasite detection in thin blood smear images, Peerj, 6, (2018); Redmon J., Divvala S.K., Girshick R.B., Farhadi A., You only look once: unified, real-time object detection, 2016 IEEE Conference on Computer Vision and Pattern Recognition, CVPR 2016, Las Vegas, NV, USA, 27–30 June 2016, Pp. 779–788. IEEE Computer Society, (2016); Ren S., He K., Girshick R.B., Sun J., Faster R-CNN: Towards real-time object detection with region proposal networks, Advances in Neural Information Processing Systems 28: Annual Conference on Neural Information Processing Systems 2015, 7–12 December 2015, Montreal, Quebec, Canada, Pp. 91–99, (2015); Sengar N., Burget R., Dutta M.K., A vision transformer based approach for analysis of plasmodium vivax life cycle for malaria prediction using thin blood smear microscopic images, Comput. Methods Programs Biomed., 224, (2022); Sultani W., Nawaz W., Javed S., Danish M.S., Saadia A., Ali M., Towards low-cost and efficient malaria detection, IEEE/CVF Conference on Computer Vision and Pattern Recognition, CVPR 2022, New Orleans, LA, USA, 18–24 June 2022, Pp. 20655–20664. IEEE, (2022); Tek F.B., Dempster A.G., Kale I., Malaria parasite detection in peripheral blood images, BMVA, (2006); Wang F., Et al., Residual attention network for image classification, 2017 IEEE Conference on Computer Vision and Pattern Recognition, CVPR 2017, Honolulu, HI, USA, 21–26 July 2017, Pp. 6450–6458. IEEE Computer Society, (2017); Zou Z., Chen K., Shi Z., Guo Y., Ye J., Object detection in 20 years: A survey, Proc. IEEE, 111, 3, pp. 257-276, (2023)</t>
  </si>
  <si>
    <t xml:space="preserve">A. Loddo; Department of Mathematics and Computer Science, University of Cagliari, Cagliari, Italy; email: andrea.loddo@unica.it</t>
  </si>
  <si>
    <t xml:space="preserve">Foresti G.L.; Fusiello A.; Hancock E.</t>
  </si>
  <si>
    <t xml:space="preserve">Workshops hosted by the 22nd International Conference on Image Analysis and Processing, ICIAP 2023</t>
  </si>
  <si>
    <t xml:space="preserve">11 September 2023 through 15 September 2023</t>
  </si>
  <si>
    <t xml:space="preserve">Udine</t>
  </si>
  <si>
    <t xml:space="preserve">978-303151025-0</t>
  </si>
  <si>
    <t xml:space="preserve">2-s2.0-85184131229</t>
  </si>
  <si>
    <t xml:space="preserve">Sudha S.V.; Priya K.S.; Krishnapriya P.; Prathiksha P.N.</t>
  </si>
  <si>
    <t xml:space="preserve">Sudha, S.V. (57210669511); Priya, Kamali S. (59256265200); Krishnapriya, P. (59092694700); Prathiksha, P.N. (59256579800)</t>
  </si>
  <si>
    <t xml:space="preserve">57210669511; 59256265200; 59092694700; 59256579800</t>
  </si>
  <si>
    <t xml:space="preserve">Multi-Disease Prediction and Classifier: A Comprehensive Approach for Healthcare Decision Support</t>
  </si>
  <si>
    <t xml:space="preserve">The speedy identification and early detection of diseases that are deadly are greatly important when it comes to human life saving. On the other hand, the existence of poor medical system alongside the lack of equal distribution of healthcare presents a barrier towards early disease detection leaving death as the only option. One of the ways to tackle these problems is the utilization of machine learning in detection and analysis of diseases risk is machine learning promising. Utilizing predictive analytics in medicine, practitioners can make accurate and relevant medical insights promptly, relying on the information they have. The work focused on generating prediction models to identify seven most severe illnesses: diabetes, pneumonia, malaria, heart disease, kidney disease, breast cancer, and liver disease, using an algorithm of Random Forest Classifier. Alongside this, the Convolutional Neural Networks were utilized for the detection of malaria and pneumonia. Users can get better knowledge about their health problems and at the same time reduce the access constraints to healthcare by using machine learning. This research is also about designing a web app with the Flask framework and will give its consumers an easy-to-use tool for the simultaneous prediction of all seven diseases. Such a user interface grants better healthcare access and results in the use of proactive measures, as people can take a more active role in their wellness. © 2024 IEEE.</t>
  </si>
  <si>
    <t xml:space="preserve">10.1109/INCET61516.2024.10593442</t>
  </si>
  <si>
    <t xml:space="preserve">https://www.scopus.com/inward/record.uri?eid=2-s2.0-85200964294&amp;doi=10.1109%2fINCET61516.2024.10593442&amp;partnerID=40&amp;md5=0c9e63679959808faaeeac3a9d637293</t>
  </si>
  <si>
    <t xml:space="preserve">Department of Artificial Intelligence and Data Science, KPR Institute of Engineering and Technology, Coimbatore, India</t>
  </si>
  <si>
    <t xml:space="preserve">Sudha S.V., Department of Artificial Intelligence and Data Science, KPR Institute of Engineering and Technology, Coimbatore, India; Priya K.S., Department of Artificial Intelligence and Data Science, KPR Institute of Engineering and Technology, Coimbatore, India; Krishnapriya P., Department of Artificial Intelligence and Data Science, KPR Institute of Engineering and Technology, Coimbatore, India; Prathiksha P.N., Department of Artificial Intelligence and Data Science, KPR Institute of Engineering and Technology, Coimbatore, India</t>
  </si>
  <si>
    <t xml:space="preserve">Breast Cancer; Diabetes; Disease prediction; Early detection; Healthcare access; Heart Disease; Kidney Disease; Liver Disease; Machine learning; Malaria; Pneumonia</t>
  </si>
  <si>
    <t xml:space="preserve">Cardiology; Convolutional neural networks; Decision support systems; Forestry; Health care; Machine learning; Predictive analytics; Risk assessment; User interfaces; Breast Cancer; Disease prediction; Early detection; Healthcare access; Heart disease; Kidney disease; Liver disease; Machine-learning; Malaria; Pneumonia; Diseases</t>
  </si>
  <si>
    <t xml:space="preserve">Rastogi R., Bansal M., Diabetes prediction model using data mining techniques, Measurement: Sensors, 25, (2023); Ahmed U., Issa G.F., Khan M.A., Aftab S., Khan M.F., Said R.A.T., Ghazal T.M., Ahmad M., Prediction of diabetes empowered with fused machine learning, IEEE Access, 10, pp. 8529-8538, (2022); Mohan S., Thirumalai C., Srivastava G., Effective heart disease prediction using hybrid machine learning techniques, IEEE access, 7, pp. 81542-81554, (2019); Hooda N., Gupta R., Gupta N.R., Prediction of malignant breast cancer cases using ensemble machine learning: A case study of pesticides prone area, IEEE/ACM Transactions on Computational Biology and Bioinformatics, 19, 2, pp. 1096-1104, (2020); Arif M.S., Mukheimer A., Asif D., Enhancing the early detection of chronic kidney disease: A robust machine learning model, Big Data and Cognitive Computing, 7, 3, (2023); Amin R., Yasmin R., Ruhi S., Rahman M.H., Reza M.S., Prediction of chronic liver disease patients using integrated projection based statistical feature extraction with machine learning algorithms, Informatics in Medicine Unlocked, 36, (2023); Amin R., Yasmin R., Ruhi S., Rahman M.H., Reza M.S., Prediction of chronic liver disease patients using integrated projection based statistical feature extraction with machine learning algorithms, Informatics in Medicine Unlocked, 36, (2023); Effah C.Y., Miao R., Drokow E.K., Agboyibor C., Qiao R., Wu Y., Miao L., Wang Y., Machine learning-assisted prediction of pneumonia based on non-invasive measures, Frontiers in Public Health, 10, (2022); Szepesi P., Szilagyi L., Detection of pneumonia using convolutional neural networks and deep learning, Biocybernetics and biomedical engineering, 42, 3, pp. 1012-1022, (2022); Silka W., Wieczorek M., Silka J., Wozniak M., Malaria detection using advanced deep learning architecture, Sensors, 23, 3, (2023); Barua A., Ahmed M.U., Begum S., A systematic literature review on multimodal machine learning: Applications, challenges, gaps and future directions, IEEE Access, (2023); Mohit I., Kumar K.S., Reddy U.A.K., Kumar B.S., An Approach to detect multiple diseases using machine learning algorithm, Journal of Physics: Conference Series, 2089, 1, (2021); Kothapeta H., Lakkampelly S., Mandari A., Sathyanarayana M.M., Vani G., MULTIPLE DISEASE PREDICTION USING MACHINE LEARNING AND STREAM-LIT</t>
  </si>
  <si>
    <t xml:space="preserve">2-s2.0-85200964294</t>
  </si>
  <si>
    <t xml:space="preserve">Ohdar K.; Nigam A.</t>
  </si>
  <si>
    <t xml:space="preserve">Ohdar, Kanak (58765364700); Nigam, Akriti (55626503100)</t>
  </si>
  <si>
    <t xml:space="preserve">58765364700; 55626503100</t>
  </si>
  <si>
    <t xml:space="preserve">Multi-Species Classification of Malaria Parasites using Ensemble Transfer Learning Technique</t>
  </si>
  <si>
    <t xml:space="preserve">Malaria, a prevalent global health concern, necessitates accurate and prompt diagnosis for the treatment and control of disease. Microscopic examination of thin blood smear images is the definitive method for diagnosing Malaria. However, this method relies on skilled experts and is prone to human error. This paper introduces an innovative method for categorizing thin blood smear images of Plasmodium parasite species into their four types through an ensemble transfer learning technique. By utilizing the information gathered from pre-trained models on sizable datasets, our approach uses a deep learning framework built on transfer learning. A diverse ensemble of models, such as Xception, EfficientNet, MobileNet and DenseNet 121, was utilized to collectively capture intricate patterns and representative features of different Malaria parasite species. To develop and evaluate our method, we collected and preprocessed the MP-IDB dataset, which includes blood slide images of all four parasite types. The literature reveals that no research has explicitly focused on identifying and categorizing all four Plasmodium species in blood smear images. It signifies a gap in the current body of knowledge, emphasizing the need for comprehensive investigations in this specific domain. Through rigorous experimentation and evaluation, our proposed weighted ensemble transfer learning technique achieves an accuracy 98.9 in classifying Malaria parasite species into its four types. Our work contributes to advancing computer-aided diagnosis of Malaria, paving the way for more effective and efficient disease management strategies.  © 2024 IEEE.</t>
  </si>
  <si>
    <t xml:space="preserve">dianogstics</t>
  </si>
  <si>
    <t xml:space="preserve">2024 International Conference on Computing, Sciences and Communications, ICCSC 2024</t>
  </si>
  <si>
    <t xml:space="preserve">10.1109/ICCSC62048.2024.10830422</t>
  </si>
  <si>
    <t xml:space="preserve">https://www.scopus.com/inward/record.uri?eid=2-s2.0-85217265118&amp;doi=10.1109%2fICCSC62048.2024.10830422&amp;partnerID=40&amp;md5=88cd36f802ca46dffbc90ba75b04f375</t>
  </si>
  <si>
    <t xml:space="preserve">Birla Institute of Technology, Department of Computer Science &amp; Engineering, Mesra, Ranchi, India</t>
  </si>
  <si>
    <t xml:space="preserve">Ohdar K., Birla Institute of Technology, Department of Computer Science &amp; Engineering, Mesra, Ranchi, India; Nigam A., Birla Institute of Technology, Department of Computer Science &amp; Engineering, Mesra, Ranchi, India</t>
  </si>
  <si>
    <t xml:space="preserve">ensemble model; species-classification; transfer learning</t>
  </si>
  <si>
    <t xml:space="preserve">Adversarial machine learning; Contrastive Learning; Diseases; Malaria control; Transfer learning; Blood smears; Ensemble models; Global health; Health concerns; Human errors; Learning techniques; Malaria parasite; Multi-species; Species classification; Transfer learning; Federated learning</t>
  </si>
  <si>
    <t xml:space="preserve">World Malaria Report 2023, (2023); Mohandas N., An X., Malaria and human red blood cells, Medical microbiology and immunology, 201, pp. 593-598, (2012); Ruberto D., Cecilia, Loddo A., Putzu L., Detection of red and white blood cells from microscopic blood images using a region proposal approach, Computers in biology and medicine, 116, (2020); Mustafa W.A., Yazid H., Illumination and contrast correction strategy using bilateral filtering and binarization comparison, Journal of Telecommunication, Electronic and Computer Engineering (JTEC), 8, 1, pp. 67-73, (2016); Mustafa W.A., Yazid H., Background correction using average filtering and gradient-based thresholding, Journal of Telecommunication, Electronic and Computer Engineering (JTEC), 8, 5, pp. 81-88, (2016); Aggarwal P., Khatter A., Vyas G., An intensity threshold based image segmentation of malaria-infected cells, 2018 Second International Conference on Computing Methodologies and Communication (ICCMC), (2018); Di Rubeto C., Et al., Segmentation of blood images using morphological operators, Proceedings 15th International Conference on Pattern Recognition. ICPR-2000, 3, (2000); Mustafa W.A., Et al., Segmentation based on morphological approach for enhanced malaria parasites detection, Journal of Telecommunication, Electronic and Computer Engineering (JTEC), 10, 1-16, pp. 15-20, (2018); Nurcin F.V., Imanov E., Selective hole filling of red blood cells for improved marker ‐ controlled watershed segmentation, Scanning, 2021, 1, (2021); Jusman Y., Et al., Comparison of malaria parasite image segmentation algorithm using thresholding and watershed method, journal of Physics: Conference Series, 1783, 1, (2021); Beucher S., Meyer F., The morphological approach to segmentation: the watershed transformation, Mathematical morphology in image processing, pp. 433-481, (2018); Alzubaidi L., Et al., Review of deep learning: concepts, CNN architectures, challenges, applications, future directions, Journal of Big Data, 8, pp. 1-74, (2021); Arowolo M.O., Et al., PCA model for RNA-Seq malaria vector data classification using KNN and decision tree algorithm, 2020 international conference in mathematics, computer engineering and computer science (ICMCECS), (2020); Cinar A., Yildirim M., Classification of malaria cell images with deep learning architectures, Ingénierie des Systèmes d'Information, 25, 1, (2020); Alqudah A., Alqudah A.M., Qazan S., Lightweight Deep Learning for Malaria Parasite Detection Using Cell-Image of Blood Smear Images, Rev. d'Intelligence Artif., 34, 5, pp. 571-576, (2020); Rajaraman S., Et al., Pre-trained convolutional neural networks as feature extractors toward improved malaria parasite detection in thin blood smear images, PeerJ, 6, (2018); Rahman A., Et al., A comparative analysis of deep learning architectures on high variation malaria parasite classification dataset, Tissue and Cell, 69, (2021); Rahman A., Et al., Improving malaria parasite detection from red blood cell using deep convolutional neural networks, (2019); Oyewola D.O., Et al., A novel data augmentation convolutional neural network for detecting malaria parasite in blood smear images, Applied Artificial Intelligence, 36, 1, (2022); Abbas N., Et al., Plasmodium life cycle stage classification based quantification of malaria parasitaemia in thin blood smears, Microscopy research and technique, 82, 3, pp. 283-295, (2019); Abbas S.S., Dijkstra T.M.H., Detection and stage classification of Plasmodium falciparum from images of Giemsa stained thin blood films using random forest classifiers, Diagnostic Pathology, 15, pp. 1-11, (2020); Loddo A., Fadda C., Ruberto C.D., An empirical evaluation of convolutional networks for malaria diagnosis, Journal of Imaging, 8, 3, (2022); Maity M., Et al., Quantification of malaria parasitaemia using trainable semantic segmentation and capsnet, Pattern Recognition Letters, 138, pp. 88-94, (2020); Zedda L., Loddo A., Ruberto C.D., A deep learning based framework for malaria diagnosis on high variation data set, International Conference on Image Analysis and Processing, (2022); Das D.K., Et al., Machine learning approach for automated screening of malaria parasite using light microscopic images, Micron, 45, pp. 97-106, (2013); Nanoti A., Et al., Detection of malaria parasite species and life cycle stages using microscopic images of thin blood smear, 2016 International Conference on Inventive Computation Technologies (ICICT), 1, (2016); Vijayalakshmi A., Deep learning approach to detect malaria from microscopic images, Multimedia Tools and Applications, 79, 21, pp. 15297-15317, (2020); Meng X., Ha Y., Tian J., Neighbor Correlated Graph Convolutional Network for multi-stage malaria parasite recognition, Multimedia Tools and Applications, 81, 8, pp. 11393-11414, (2022); Kudisthalert W., Pasupa K., Tongsima S., Counting and classification of malarial parasite from giemsa-stained thin film images, IEEE Access, 8, pp. 78663-78682, (2020); Loddo A., Et al., MP-IDB: the malaria parasite image database for image processing and analysis, Processing and Analysis of Biomedical Information: First International SIPAIM Workshop, SaMBa 2018, Held in Conjunction with MICCAI 2018, 1, (2019); Zhang C., Et al., Deep learning for microscopic examination of protozoan parasites, Computational and Structural Biotechnology Journal, 20, pp. 1036-1043, (2022); Olivas E.S., Et al., Handbook of research on machine learning applications and trends: Algorithms, methods, and techniques: Algorithms, methods, and techniques, IGI Global, (2009); He K., Et al., Deep residual learning for image recognition, Proceedings of the IEEE conference on computer vision and pattern recognition, (2016); Chandola Y., Et al., Deep learning for chest radiographs, Computer Aided Classification, (2021); Ramzan F., Et al., A deep learning approach for automated diagnosis and multi-class classification of Alzheimer's disease stages using resting-state fMRI and residual neural networks, Journal of Medical Systems, 44, pp. 1-16, (2020); Ali L., Et al., Performance evaluation of deep CNN-based crack detection and localization techniques for concrete structures, Sensors, 21, 5, (2021); Simonyan K., Zisserman A., Very deep convolutional networks for large-scale image recognition, (2014); Russakovsky O., Et al., Imagenet large scale visual recognition challenge, International journal of computer vision, 115, pp. 211-252, (2015); Szegedy C., Et al., Going deeper with convolutions, Proceedings of the IEEE conference on computer vision and pattern recognition, (2015)</t>
  </si>
  <si>
    <t xml:space="preserve">1st International Conference on Computing, Sciences and Communications, ICCSC 2024</t>
  </si>
  <si>
    <t xml:space="preserve">Ghaziabad</t>
  </si>
  <si>
    <t xml:space="preserve">979-835035364-8</t>
  </si>
  <si>
    <t xml:space="preserve">Int. Conf. Comput., Sci. Commun., ICCSC</t>
  </si>
  <si>
    <t xml:space="preserve">2-s2.0-85217265118</t>
  </si>
  <si>
    <t xml:space="preserve">Sibi S.A.; Bushra S.N.; Revathi M.; Godbin A.B.; Akshaya S.</t>
  </si>
  <si>
    <t xml:space="preserve">Sibi, S. Anslam (57210260175); Bushra, S. Nikkath (56009847600); Revathi, M. (56732841800); Godbin, A. Beena (57776304600); Akshaya, S. (58777887800)</t>
  </si>
  <si>
    <t xml:space="preserve">57210260175; 56009847600; 56732841800; 57776304600; 58777887800</t>
  </si>
  <si>
    <t xml:space="preserve">Multitudinous Disease Forecasting Using Extreme Learning Machine</t>
  </si>
  <si>
    <t xml:space="preserve">In today's world, Machine learning and Artificial intelligence are applied to a wide range of healthcare services. Predictive modeling is implemented in this system with the basis of symptoms entered by the user, the system will perform the disease prediction. For implementing the disease prediction, it implements a Support vector, Extreme learning, Random Forest classifier, KNN and Logistic Regression for analysis. The developed system predicts Malaria, Heart, and Parkinson using Extreme Learning. The proposed system uses a KNN, Random Forest, XG Boost, Extreme Learning for predicting disease with better accuracy. There will be several parameters asked as input from the user related to the disease selected by the user. With this input, the proposed system will determine whether the user has the disease. After applying our expertise, the algorithm with the highest accuracy rate is chosen for each ailment. The extreme learning algorithm has provided an accuracy of 93% compared with other machine learning algorithms in disease prediction. This proposed system will help a lot of people for predicting multiple diseases at the same point. © 2024, The Author(s), under exclusive license to Springer Nature Switzerland AG.</t>
  </si>
  <si>
    <t xml:space="preserve">10.1007/978-3-031-48774-3_22</t>
  </si>
  <si>
    <t xml:space="preserve">https://www.scopus.com/inward/record.uri?eid=2-s2.0-85180540501&amp;doi=10.1007%2f978-3-031-48774-3_22&amp;partnerID=40&amp;md5=8d52e7cfcf81a677e8bccdba730a7867</t>
  </si>
  <si>
    <t xml:space="preserve">St.Joseph’s Institute of Technology, Tamil Nadu, Chennai, India; Vellore Institute of Technology, Tamil Nadu, Chennai, India; SRM Institute of Science and Technology, Kattankulathur, Chennai, India</t>
  </si>
  <si>
    <t xml:space="preserve">Sibi S.A., St.Joseph’s Institute of Technology, Tamil Nadu, Chennai, India; Bushra S.N., SRM Institute of Science and Technology, Kattankulathur, Chennai, India; Revathi M., St.Joseph’s Institute of Technology, Tamil Nadu, Chennai, India; Godbin A.B., Vellore Institute of Technology, Tamil Nadu, Chennai, India; Akshaya S., St.Joseph’s Institute of Technology, Tamil Nadu, Chennai, India</t>
  </si>
  <si>
    <t xml:space="preserve">Diabetes; Extreme learning; Heart; KNN and Logistic Regression; Parkinson; Random Forest classifier; Support Vector machine</t>
  </si>
  <si>
    <t xml:space="preserve">Knowledge acquisition; Learning algorithms; Logistic regression; Support vector regression; Disease forecasting; Extreme learning; Healthcare services; KNN and logistic regression; Learning machines; Logistics regressions; Machine-learning; Parkinson; Random forest classifier; Support vectors machine; Forecasting</t>
  </si>
  <si>
    <t xml:space="preserve">Pandey A.K., Tripathi A., Ranjan R., Disease prediction using machine learning (Health Buddy), 2Nd International Conference on Advance Computing and Innovative Technologies in Engineering, pp. 1003-1006, (2022); Ambesange S., Uppin V.A.R., Patil S., Patil V., Optimizing liver disease prediction with random forest by various data balancing techniques, IEEE International Conference on Cloud Computing in Emerging Markets, pp. 98-102, (2020); Fazlur S.A.H., Thillaigovindan S.K., Illa P.K., A survey on deep learning model for improved disease prediction with multi medical data sets, 3Rd International Conference on Electronics and Sustainable Communication Systems, pp. 1530-1537, (2022); Sharma A., Pathak J., Rajakumar P., Disease prediction using machine learning algorithms, 2Nd International Conference on Advance Computing and Innovative Technologies in Engineering, pp. 995-999, (2022); Chakarverti M., Yadav S., Rajan R., Classification technique for heart disease prediction in data mining, 2Nd International Conference on Intelligent Computing, Instrumentation and Control Technologies, Pp. 1578–1582, (2019); Fadnavis R., Dhore K., Gupta D., J Waghmare J., Kosankar D., Heart disease prediction using data mining, Journal of Physics: Conference Series, 1913, pp. 1-7, (2021); Reddy K.S.K., Kanimozhi K.V., Novel intelligent model for heart disease prediction using dynamic KNN (DKNN) with improved accuracy over SVM, International Conference on Business Analytics for Technology and Security, pp. 1-5, (2022); Xie S., Fan H., Research on CNN to feature extraction in diseases prediction, International Conference on Computer Network, Electronic and Automation, pp. 197-202, (2019); Kumari A., Mehta A.K., A novel approach for prediction of heart disease using machine learning algorithms, Asian Conference on Innovation in Technology, pp. 1-5, (2021); Kumar R., Thakur P., Chauhan S., Special disease prediction system using machine learning, International Conference on Machine Learning, Big Data, Cloud and Parallel Computing, pp. 42-45, (2022); Srivastava A., Kumar V.V., Vivek V., Automated prediction of liver disease using machine learning (ML) algorithms, Second International Conference on Advances in Electrical, Computing, Communication and Sustainable Technologies, pp. 1-4, (2022); Peng C.C., Huang C.W., Lai Y.C., Heart disease prediction using artificial neural networks: A survey, IEEE 2Nd Eurasia Conference on Biomedical Engineering, Healthcare and Sustainability, Pp. 147–150, (2020)</t>
  </si>
  <si>
    <t xml:space="preserve">S.A. Sibi; St.Joseph’s Institute of Technology, Chennai, Tamil Nadu, India; email: anslam.sibi@gmail.com</t>
  </si>
  <si>
    <t xml:space="preserve">Challa R.K.; Mathew L.; Kumar A.; Kalra M.; Saini G.; Sharma K.; Aujla G.S.; Shimi S.L.; Shimi S.L.</t>
  </si>
  <si>
    <t xml:space="preserve">1st International Conference on Artificial Intelligence of Things, ICAIoT 2023</t>
  </si>
  <si>
    <t xml:space="preserve">30 March 2023 through 31 March 2023</t>
  </si>
  <si>
    <t xml:space="preserve">Chandigarh</t>
  </si>
  <si>
    <t xml:space="preserve">978-303148773-6</t>
  </si>
  <si>
    <t xml:space="preserve">2-s2.0-85180540501</t>
  </si>
  <si>
    <t xml:space="preserve">Faritha Banu J.; Hariprasad G.; Archana T.; Srivatsan P.</t>
  </si>
  <si>
    <t xml:space="preserve">Faritha Banu, J. (54959955500); Hariprasad, G. (59008743300); Archana, T. (58703532300); Srivatsan, Prahadees (59008743400)</t>
  </si>
  <si>
    <t xml:space="preserve">54959955500; 59008743300; 58703532300; 59008743400</t>
  </si>
  <si>
    <t xml:space="preserve">Novel Framework for Dengue Classification and Early Recovery using Machine Learning Algorithms</t>
  </si>
  <si>
    <t xml:space="preserve">Dengue fever is a fast-emerging public health hazard that primarily affects tropical and sub-tropical regions. Arthropods that feed on blood, such as fleas, parasites, and mosquitoes, are the carriers of this disease, which can infect humans and cause significant illness. Five serotypes of the dengue virus - DEN V1, DEN V2, DEN V3, DEN V4, and DEN V5 are spread by Aedes aegypti mosquitoes. Currently, this illness is spreading to many other countries. A delayed diagnosis combined with the wrong method of treatment increases the chance of death. Based on the severity of the infection, dengue is classified into Dengue Hemorrhagic Fever (DHF) or Dengue Shock Syndrome (DSS) which are categorized into febrile, critical, and recovery phases. A framework model is essential to analyze the severity of the infection and identify the phase of severity. Among various machine learning algorithms, this study uses Support Vector Machine and Random Forest for their proficiency in handling complex data. Through rigorous feature engineering and data preprocessing, critical information for precise discrimination was extracted and examined for DHF phases. Experimental results demonstrate both models are competent, but SVM is more suitable for the proposed prediction model with an accuracy 95%, precision of 93%, recall of 94%, and F-measure metrics of 94%.  © 2024 Bharati Vidyapeeth, New Delhi.</t>
  </si>
  <si>
    <t xml:space="preserve">Proceedings of the 18th INDIAcom; 2024 11th International Conference on Computing for Sustainable Global Development, INDIACom 2024</t>
  </si>
  <si>
    <t xml:space="preserve">10.23919/INDIACom61295.2024.10499095</t>
  </si>
  <si>
    <t xml:space="preserve">https://www.scopus.com/inward/record.uri?eid=2-s2.0-85191702497&amp;doi=10.23919%2fINDIACom61295.2024.10499095&amp;partnerID=40&amp;md5=8cbaa733d99a06283251cfc26fba843f</t>
  </si>
  <si>
    <t xml:space="preserve">Srm Institute of Science and Technology, Department of Computer Science and Engineering, Chennai, Ramapuram, India</t>
  </si>
  <si>
    <t xml:space="preserve">Faritha Banu J., Srm Institute of Science and Technology, Department of Computer Science and Engineering, Chennai, Ramapuram, India; Hariprasad G., Srm Institute of Science and Technology, Department of Computer Science and Engineering, Chennai, Ramapuram, India; Archana T., Srm Institute of Science and Technology, Department of Computer Science and Engineering, Chennai, Ramapuram, India; Srivatsan P., Srm Institute of Science and Technology, Department of Computer Science and Engineering, Chennai, Ramapuram, India</t>
  </si>
  <si>
    <t xml:space="preserve">Dengue; Dengue Haemorrhagic Fever; Dengue Shock Syndrome; Support Vector Machine and Random Forest</t>
  </si>
  <si>
    <t xml:space="preserve">Data handling; Diagnosis; Diseases; Forestry; Health hazards; Learning algorithms; Tropics; Viruses; Dengue; Dengue fevers; Dengue hemorrhagic fever; Dengue shock syndrome; Machine learning algorithms; Parasite-; Random forests; Support vector machine and random forest; Support vectors machine; Tropical regions; Support vector machines</t>
  </si>
  <si>
    <t xml:space="preserve">Sajana T., Navya M., Gayathri Y.V.S.S.V., Reshma N., Classification of dengue using machine learning techniques, Int J Eng Technol, 7, 232, pp. 212-218, (2018); Vo H.T.M., Upasani V., Auerswald H., Lay S., Sann S., Vanderlinden A., Cantaert T., Temporal patterns of functional anti-dengue antibodies in dengue infected individuals with different disease outcome or infection history, Scientific Reports, 12, 1, (2022); Artificial Bee Colony Algorithm based Segnet Model for Structural Magnetic Resonance Image Segmentation in Alzheimer's Disease Classification, 2023 International Conference on Research Methodologies in Knowledge Management, Artificial Intelligence and Telecommunication Engineering (RMKMATE), pp. 1-6, (2023); Bos S., Graber A.L., Cardona-Ospina J.A., Duarte E.M., Zambrana J.V., Ruiz Salinas J.A., Harris E., Protection against symptomatic dengue infection by neutralizing antibodies varies by infection history and infecting serotype, Nature Communications, 15, 1, (2024); Shanthini P.M., Parthasarathy S., Venkatesan P., Nandhini S., HRSR-SVM: Hybrid reptile search remora-based support vector machine for forecasting stock price movement, International Journal of Information Technology, 15, 6, pp. 3127-3134, (2023); Roy A., Islam M., Karim M., Ahmed K.A., Khan A.R., Uddin M., Xames M.D., Comparative analysis of KNN and SVM in multicriteria inventory classification using TOPSIS, International Journal of Information Technology, 15, 7, pp. 3613-3622, (2023); Archana T., Banu J.F., Prasad S., Shrivastava P.R., A Flexible and Investigation Approach for Encrypted Features Space Using Neural Network, Advances in Science and Technology, 124, pp. 754-761, (2023); Khan J.R., Farooqui S.A., Raza S.K., Siddiqui F.A., Development and Evaluation of a Predictive Diagnostic System for Dengue Fever Using Machine Learning Techniques, (2023); Sarwar M.T., Al Mamun M., Prediction of Dengue using Machine Learning Algorithms: Case Study Dhaka, 2022 4th International Conference on Electrical, Computer &amp; Telecommunication Engineering (ICECTE), pp. 1-6, (2022); Pakaya R., Daniel D., Widayani P., Utarini A., Spatial model of Dengue Hemorrhagic Fever (DHF) risk: Scoping review, Bmc Public Health, 23, 1, pp. 1-16, (2023); Mohapatra D., Bhoi S.K., Mallick C., Jena K.K., Mishra S., Distribution preserving train-test split directed ensemble classifier for heart disease prediction, International Journal of Information Technology, 14, 4, pp. 1763-1769, (2022); Ong S.Q., Isawasan P., Ngesom A.M.M., Shahar H., Lasim A.M.M., Nair G., Predicting dengue transmission rates by comparing different machine learning models with vector indices and meteorological data, Scientific Reports, 13, 1, (2023); Thirugnanam A., Jahir Hussain F.B., Exploring Machine Learning Algorithms for the Prediction of Dengue: A Comprehensive Review, Revue d'Intelligence Artificielle, 37, 5, (2023); Appice A., Gel Y.R., Iliev I., Lyubchich V., Malerba D., A multi-stage machine learning approach to predict dengue incidence: A case study in Mexico, Ieee Access, 8, pp. 52713-52725, (2020); Manivannan P.I.D.P., Devi P.I., Dengue fever prediction using K-means clustering algorithm, 2017 Ieee International Conference on Intelligent Techniques in Control, Optimization and Signal Processing (INCOS), pp. 1-5, (2017); Zaghbani S., Bouhlel M.S., Multi-task CNN for multi-cue affects recognition using upper-body gestures and facial expressions, International Journal of Information Technology, pp. 1-8, (2022); Shah M., Padhiyar P., Parmar K., Patel J., Panesar S., Raja K., Recent Challenges in Medical Science using Machine Learning Techniques: A Review, 2023 7th International Conference on I-SMAC (IoT in Social, Mobile, Analytics and Cloud)(I-SMAC), pp. 516-523, (2023); Nordin N.I., Sobri N.M., Ismail N.A., Zulkifli S.N., Abd Razak N.F., Mahmud M., The classification performance using support vector machine for endemic dengue cases, Journal of Physics: Conference Series, 1496, 1, (2020); Fathima S., Hundewale N., Comparison of classification techniques-SVM and naives bayes to predict the Arboviral disease-Dengue, 2011 Ieee International Conference on Bioinformatics and Biomedicine Workshops (BIBMW), pp. 538-539, (2011); Husin N.A., Salim N., Modeling of dengue outbreak prediction in Malaysia: A comparison of neural network and nonlinear regression model, 2008 International Symposium on Information Technology, 3, pp. 1-4, (2008); Rana S.K., Boruah A.N., Biswas S.K., Chakraborty M., Purkayastha B., Dengue fever prediction using machine learning analytics, 2022 International Conference on Machine Learning, Big Data, Cloud and Parallel Computing (COM-IT-CON), 1, pp. 126-130, (2022); Najar A.A., Manohar Naik S., DDoS attack detection using MLP and Random Forest Algorithms, International Journal of Information Technology, 14, 5, pp. 2317-2327, (2022)</t>
  </si>
  <si>
    <t xml:space="preserve">J. Faritha Banu; Srm Institute of Science and Technology, Department of Computer Science and Engineering, Ramapuram, Chennai, India; email: farithat@srmist.edu.in</t>
  </si>
  <si>
    <t xml:space="preserve">Hoda M.N.</t>
  </si>
  <si>
    <t xml:space="preserve">18th INDIAcom; 11th International Conference on Computing for Sustainable Global Development, INDIACom 2024</t>
  </si>
  <si>
    <t xml:space="preserve">28 February 2024 through 1 March 2024</t>
  </si>
  <si>
    <t xml:space="preserve">New Delhi</t>
  </si>
  <si>
    <t xml:space="preserve">978-938054451-9</t>
  </si>
  <si>
    <t xml:space="preserve">Proc. INDIAcom; Int. Conf. Comput. Sustain. Glob. Dev, INDIACom</t>
  </si>
  <si>
    <t xml:space="preserve">2-s2.0-85191702497</t>
  </si>
  <si>
    <t xml:space="preserve">Hassini H.; Dorizzi B.; Klossa J.; Gottesman Y.</t>
  </si>
  <si>
    <t xml:space="preserve">Hassini, Houda (58624145000); Dorizzi, Bernadette (6603426803); Klossa, Jacques (56229932900); Gottesman, Yaneck (6603586415)</t>
  </si>
  <si>
    <t xml:space="preserve">58624145000; 6603426803; 56229932900; 6603586415</t>
  </si>
  <si>
    <t xml:space="preserve">Optimization of Fourier Ptychographic microscope using phase images for malaria detection</t>
  </si>
  <si>
    <t xml:space="preserve">Fourier ptychographic microscopy is a recent imaging technique that overcomes the limitations of conventional optics. The images it produces are particularly fine a nd s uper-resolved. T hey a re a lso v ery r ich, s ince they are bimodal (intensity and phase images) compared with conventional microscopy. FPM therefore holds great promise for a whole range of medical applications. In this work, the potential of this microscopy is explored by considering the biological application of automatic diagnosis of malaria on a stained blood smear. We report that an appreciable improvement in the classification of parasitized red blood cells is obtained when intensity and phase images are jointly exploited in a deep convolutionnal neural network, compared to that obtained with intensity images alone. We also show that such joint exploitation considerably relaxes the constraints relative to the choice of microscope objective. In particular, an objective lens with a numerical aperture as low as 0.2 can be used with little degradation in classification p erformance. The performances obtained are close to those obtained with a conventional resolution microscope equiped with a 0.9 numerical aperture objective. This can be highly desirable for the realization of rapid diagnostic system, which requires access to large fields of view. © 2024 SPIE.</t>
  </si>
  <si>
    <t xml:space="preserve">10.1117/12.3017136</t>
  </si>
  <si>
    <t xml:space="preserve">https://www.scopus.com/inward/record.uri?eid=2-s2.0-85200106839&amp;doi=10.1117%2f12.3017136&amp;partnerID=40&amp;md5=974ef431178d4ded4c37acf720e67906</t>
  </si>
  <si>
    <t xml:space="preserve">Samovar, Télécom SudParis, Institut Polytechnique de Paris, Palaiseau, 91120, France; TRIBVN/T-Life, Puteaux, 92800, France</t>
  </si>
  <si>
    <t xml:space="preserve">Hassini H., Samovar, Télécom SudParis, Institut Polytechnique de Paris, Palaiseau, 91120, France; Dorizzi B., Samovar, Télécom SudParis, Institut Polytechnique de Paris, Palaiseau, 91120, France; Klossa J., TRIBVN/T-Life, Puteaux, 92800, France; Gottesman Y., Samovar, Télécom SudParis, Institut Polytechnique de Paris, Palaiseau, 91120, France</t>
  </si>
  <si>
    <t xml:space="preserve">complex-valued neural networks; Fourier Ptychographic Microscopy; Microscope configuration optimisation; Plasmodium falciparum detection</t>
  </si>
  <si>
    <t xml:space="preserve">Blood; Diseases; Fourier transforms; Image enhancement; Medical applications; Complex-valued neural networks; Configuration optimization; Fourier; Fourier ptychographic microscopy; Intensity images; Microscope configuration optimization; Numerical aperture; Phase image; Plasmodium falciparum; Plasmodium falciparum detection; Microscopes</t>
  </si>
  <si>
    <t xml:space="preserve">Tuteja R., Malaria an overview, The FEBS Journal, 274, pp. 4670-4679, (2007); Dagen M., History of malaria and its treatment, Antimalarial Agents, pp. 1-48, (2020); Oyegoke O. O., Maharaj L., Akoniyon O. P., Kwoji I., Roux A. T., Adewumi T. S., Maharaj R., Oyebola B. T., Adeleke M. A., Okpeku M., Malaria diagnostic methods with the elimination goal in view, Parasitology Research, 121, pp. 1867-1885, (2022); Zheng G., Horstmeyer R., Yang C., Corrigendum: Wide-field, high-resolution fourier ptychographic microscopy, Nature Photonics, 7, pp. 739-745, (2013); Bian L., Suo J., Dai Q., Chen F., Fourier ptychography for high space-bandwidth product microscopy, Advanced Optical Technologies, 6, pp. 449-457, (2017); Pan A., Zuo C., Yao B., High-resolution and large field-of-view Fourier ptychographic microscopy and its applications in biomedicine, Reports on Progress in Physics, 83, (2020); Ou X., Horstmeyer R., Yang C., Zheng G., Quantitative phase imaging via fourier ptychographic microscopy, Opt. Lett, 38, pp. 4845-4848, (2013); Park J., Brady D. J., Zheng G., Tian L., Gao L., Review of bio-optical imaging systems with a high space-bandwidth product, Advanced Photonics, 3, (2021); Gill G. W., Köhler Illumination, 12, pp. 309-323; Maiden A. M., Rodenburg J. M., An improved ptychographical phase retrieval algorithm for diffractive imaging, Ultramicroscopy, 109, 10, pp. 1256-1262, (2009); Ou X., Zheng G., Yang C., Embedded pupil function recovery for fourier ptychographic microscopy, Opt. Express, 22, pp. 4960-4972, (2014); Albawi S., Mohammed T. A., Al-Zawi S., Understanding of a convolutional neural network, 2017 International Conference on Engineering and Technology (ICET), pp. 1-6; Hassini H., Dorizzi B., Thellier M., Klossa J., Gottesman Y., Investigating the Joint Amplitude and Phase Imaging of Stained Samples in Automatic Diagnosis, Sensors, 23, (2023); Stone M., Cross-validatory choice and assessment of statistical predictions, Journal of the royal statistical society: Series B (Methodological), 36, 2, pp. 111-133, (1974)</t>
  </si>
  <si>
    <t xml:space="preserve">H. Hassini; Samovar, Télécom SudParis, Institut Polytechnique de Paris, Palaiseau, 91120, France; email: houda_hassini@telecom-sudparis.eu</t>
  </si>
  <si>
    <t xml:space="preserve">Georgakoudi I.; Georges M.P.; Verrier N.</t>
  </si>
  <si>
    <t xml:space="preserve">Unconventional Optical Imaging IV 2024</t>
  </si>
  <si>
    <t xml:space="preserve">8 April 2024 through 11 April 2024</t>
  </si>
  <si>
    <t xml:space="preserve">978-151067310-6</t>
  </si>
  <si>
    <t xml:space="preserve">2-s2.0-85200106839</t>
  </si>
  <si>
    <t xml:space="preserve">Di Via A.; Di Via R.; Fugacci U.</t>
  </si>
  <si>
    <t xml:space="preserve">Di Via, Andrea (59531919800); Di Via, Roberto (58950589200); Fugacci, Ulderico (56085004300)</t>
  </si>
  <si>
    <t xml:space="preserve">59531919800; 58950589200; 56085004300</t>
  </si>
  <si>
    <t xml:space="preserve">Persistent Homology vs. Learning Methods: A Comparative Study in Limited Data Scenarios</t>
  </si>
  <si>
    <t xml:space="preserve">This exploratory study compares persistent homology methods with traditional machine learning and deep learning techniques for label-efficient classification. We propose pure topological approaches, including persistence thresholding and Bottleneck distance classification, and explore hybrid methods combining persistent homology with machine learning. These are evaluated against conventional machine learning algorithms and deep neural networks on two binary classification tasks: surface crack detection and malaria cell identification. We assess performance across various number of samples per class, ranging from 1 to 500. Our study highlights the efficacy of persistent homology-based methods in low-data scenarios. Using the Bottleneck distance approach, we achieve 95.95% accuracy in crack detection and 93.11% in malaria diagnosis with only one labeled sample per class. These results outperform the best performance from machine learning models, which achieves 69.40% and 39.75% accuracy, respectively, and deep learning models, which attains up to 95.96% in crack detection and 62.72% in malaria diagnosis. This demonstrates the superior performance of topological methods in classification tasks with few labeled data. Hybrid approaches demonstrate enhanced performance as the number of labeled samples increases, effectively leveraging topological features to boost classification accuracy. This study highlights the robustness of topological methods in extracting meaningful features from limited data, offering promising directions for efficient, label-conserving classification strategies. The results underscore the worth of persistent homology, both as a standalone tool and in combination with machine learning, particularly in domains where labeled data scarcity challenges traditional deep learning approaches.  © 2024 The Authors.</t>
  </si>
  <si>
    <t xml:space="preserve">Eurographics Italian Chapter Proceedings - Smart Tools and Applications in Graphics, STAG</t>
  </si>
  <si>
    <t xml:space="preserve">Eurographics Association</t>
  </si>
  <si>
    <t xml:space="preserve">stag.20241338</t>
  </si>
  <si>
    <t xml:space="preserve">10.2312/stag.20241338</t>
  </si>
  <si>
    <t xml:space="preserve">https://www.scopus.com/inward/record.uri?eid=2-s2.0-85216236614&amp;doi=10.2312%2fstag.20241338&amp;partnerID=40&amp;md5=52b44366a0db40ddd77fec77b841928c</t>
  </si>
  <si>
    <t xml:space="preserve">DIMA, University of Genoa, Italy; MaLGa Center, DIBRIS, University of Genoa, Italy; Istituto di Matematica Applicata e Tecnologie Informatiche E. Magenes, Consiglio Nazionale Delle Ricerche, Italy; National Biodiversity Future Center (NBFC), Italy</t>
  </si>
  <si>
    <t xml:space="preserve">Di Via A., DIMA, University of Genoa, Italy; Di Via R., MaLGa Center, DIBRIS, University of Genoa, Italy; Fugacci U., Istituto di Matematica Applicata e Tecnologie Informatiche E. Magenes, Consiglio Nazionale Delle Ricerche, Italy, National Biodiversity Future Center (NBFC), Italy</t>
  </si>
  <si>
    <t xml:space="preserve">Adversarial machine learning; Deep reinforcement learning; Federated learning; Classification tasks; Comparatives studies; Labeled data; Learning methods; Limited data; Machine-learning; Malaria diagnosis; Performance; Persistent homology; Topological methods; Contrastive Learning</t>
  </si>
  <si>
    <t xml:space="preserve">ABADI M., AGARWAL A., BARHAM P., BREVDO E., CHEN Z., CITRO C., CORRADO G. S., DAVIS A., DEAN J., DEVIN M., GHEMAWAT S., GOODFELLOW I., HARP A., IRVING G., ISARD M., JIA Y., JOZEFOWICZ R., KAISER L., KUDLUR M., LEVENBERG J., MANE D., MONGA R., MOORE S., MURRAY D., OLAH C., SCHUSTER M., SHLENS J., STEINER B., SUTSKEVER I., TALWAR K., TUCKER P., VANHOUCKE V., VASUDEVAN V., VIEGAS F., VINYALS O., WARDEN P., WATTENBERG M., WICKE M., YU Y., ZHENG X., TensorFlow: Large-scale machine learning on heterogeneous systems, (2015); ASAAD A., ALI D., MAJEED T., RASHID R., Persistent homology for breast tumor classification using mammogram scans, (2022); AUKERMAN A., CARRIERE M., CHEN C., GARDNER K., RABADAN R., VANGURI R., Persistent homology based characterization of the breast cancer immune microenvironment: A feasibility study, 36th International Symposium on Computational Geometry, SoCG 2020, 164, (2020); AWAN M., CHAN C.-W., MURPHY A., KUMAR D., GOEL S., MCCLORY C., Deep learning and image data-based surface cracks recognition of laser nitrided titanium alloy, Results in Engineering, 22, (2024); ADAMS H., EMERSON T., KIRBY M., NEVILLE R., PETERSON C., SHIPMAN P. D., CHEPUSHTANOVA S., HANSON E. M., MOTTA F. C., ZIEGELMEIER L., Persistence images: A stable vector representation of persistent homology, J. Mach. Learn. Res, 18, (2017); CHA Y., CHOI W., SUH J.-H., Deep learning-based crack damage detection using convolutional neural networks, Computer-Aided Civil and Infrastructure Engineering, 32, 5, pp. 361-378, (2017); CHAZAL F., COHEN-STEINER D., GUIBAS L., MEMOLI F., OUDOT S., Gromov-hausdorff stable signatures for shapes using persistence, Comput. Graph. Forum, 28, pp. 1393-1403, (2009); DAMRICH S., BERENS P., KOBAK D., Persistent homology for high-dimensional data based on spectral methods, (2024); DESTEFANO J. J., Logistic regression and the boltzmann machine, IJCNN 1990, International Joint Conference on Neural Networks, pp. 199-204; DINDIN M., UMEDA Y., CHAZAL F., Topological data analysis for arrhythmia detection through modular neural networks, Advances in Artificial Intelligence - 33rd Canadian Conference on Artificial Intelligence, Canadian AI 2020, pp. 177-188, (2020); EGGER J., GSAXNER C., PEPE A., POMYKALA K. L., JONSKE F., KURZ M., LI J., KLEESIEK J., Medical deep learning-a systematic meta-review, Computer Methods and Programs in Biomedicine, 221, (2022); EDELSBRUNNER H., HARER J., Computational Topology - an Introduction, American Mathematical Society, 1, (2010); EVGENIOU T., PONTIL M., Support vector machines: Theory and applications, Machine Learning and Its Applications, Advanced Lectures, 2049, pp. 249-257, (2001); FUGACCI U., SCARAMUCCIA S., IURICICH F., DE FLORIANI L., Persistent homology: a step-by-step introduction for newcomers, STAG: Smart Tools and Apps in computer Graphics, 10, (2016); GUPTA J., PATHAK S., KUMAR G., Deep learning (cnn) and transfer learning: A review, Journal of Physics: Conference Series, 2273, 1, (2022); HIRAOKA Y., NAKAMURA T., HIRATA A., ESCOLAR E. G., MATSUE K., NISHIURA Y., Hierarchical structures of amorphous solids characterized by persistent homology, Proceedings of the National Academy of Sciences, 113, 26, pp. 7035-7040, (2016); HE K., ZHANG X., REN S., SUN J., Deep residual learning for image recognition, 2016 IEEE Conference on Computer Vision and Pattern Recognition, CVPR 2016, pp. 770-778, (2016); IQBAL S., AHMED H. F., QAISER T., QURESHI M. I., RAJPOOT N. M., Classification of COVID-19 via homology of CT-SCAN, (2021); KRISHNAPRIYAN A. S., HARANCZYK M., MOROZOV D., Topological descriptors help predict guest adsorption in nanoporous materials, (2020); KOHLI M. D., SUMMERS R. M., GEIS J. R., Medical image data and datasets in the era of machine learning - whitepaper from the 2016 C-MIMI meeting dataset session, J. Digit. Imaging, 30, 4, pp. 392-399, (2017); KRIZHEVSKY A., SUTSKEVER I., HINTON G. E., Imagenet classification with deep convolutional neural networks, Communications of the ACM, 60, 6, pp. 84-90, (2012); LEE H., CHUNG M. K., KANG H., KIM B.-N., LEE D. S., Discriminative persistent homology of brain networks, 2011 IEEE International Symposium on Biomedical Imaging: From Nano to Macro, pp. 841-844, (2011); LOUGHREY C. F., FITZPATRICK P., ORR N., JUREKLOUGHREY A., The topology of data: opportunities for cancer research, Bioinform, 37, 19, pp. 3091-3098, (2021); LITJENS G., KOOI T., BEJNORDI B. E., SETIO A. A. A., CIOMPI F., GHAFOORIAN M., VAN DER LAAK J. A., VAN GINNEKEN B., SANCHEZ C. I., A survey on deep learning in medical image analysis, Medical image analysis, 42, pp. 60-88, (2017); LOUPPE G., Understanding Random Forests: From Theory to Practice, (2014); MASOOMY H., ASKARI B., TAJIK S., JAFARI R., Topological analysis of interaction patterns in cancer-specific gene regulatory network: persistent homology approach, Scientific Reports, 11, (2021); MUNAPPY A. R., BOSCH J., OLSSON H. H., ARPTEG A., BRINNE B., Data management for production quality deep learning models: Challenges and solutions, Journal of Systems and Software, 191, (2022); MOON C., LI Q., XIAO G., Predicting survival outcomes using topological features of tumor pathology images, (2020); MINAMITANI E., NAKAMURA T., OBAYASHI I., MIZUNO H., Persistent homology elucidates hierarchical structures in amorphous solids responsible for mechanical properties, (2024); MUNKRES J. R., Elements of algebraic topology, (1984); ONER D., GARIN A., KOZIN SKI M., HESS K., FUA P., Persistent homology with improved locality information for more effective delineation, IEEE Transactions on Pattern Analysis and Machine Intelligence, 45, 8, pp. 10588-10595, (2023); OTTER N., PORTER M. A., TILLMANN U., GRINDROD P., HARRINGTON H. A., A roadmap for the computation of persistent homology, EPJ Data Sci, 6, 1, (2017); OZGENEL C. F., Concrete crack images for classification, Mendeley Data, (2019); PEDREGOSA F., VAROQUAUX G., GRAMFORT A., MICHEL V., THIRION B., GRISEL O., BLONDEL M., PRETTENHOFER P., WEISS R., DUBOURG V., Et al., Scikit-learn: Machine learning in python, Journal of machine learning research, 12, pp. 2825-2830, (2011); PENG Y., WANG H., SONKA M., CHEN D. Z., Phg-net: Persistent homology guided medical image classification, IEEE/CVF Winter Conference on Applications of Computer Vision, WACV 2024, pp. 7568-7577; QAISER T., TSANG Y.-W., TANIYAMA D., SAKAMOTO N., NAKANE K., EPSTEIN D., RAJPOOT N., Fast and accurate tumor segmentation of histology images using persistent homology and deep convolutional features, Medical Image Analysis, 55, pp. 1-14, (2019); RAJARAMAN S., ANTANI S. K., POOSTCHI M., SILAMUT K., HOSSAIN M. A., MAUDE R. J., JAEGER S., THOMA G. R., Pretrained convolutional neural networks as feature extractors toward improved malaria parasite detection in thin blood smear images, PeerJ, 6, (2018); REN E., GUILBAUD P., COUDERT F.-X., Highthroughput computational screening of nanoporous materials in targeted applications, Digital Discovery, 1, 4, pp. 355-374, (2022); RAWAT W., WANG Z., Deep convolutional neural networks for image classification: A comprehensive review, Neural computation, 29, 9, pp. 2352-2449, (2017); SINGH Y., FARRELLY C. M., HATHAWAY Q. A., LEINER T., JAGTAP J., CARLSSON G. E., ERICKSON B. J., Topological data analysis in medical imaging: current state of the art, Insights into Imaging, 14, 1, (2023); SANDLER M., HOWARD A. G., ZHU M., ZHMOGINOV A., CHEN L., Mobilenetv2: Inverted residuals and linear bottlenecks, 2018 IEEE Conference on Computer Vision and Pattern Recognition, CVPR 2018, pp. 4510-4520, (2018); SZEGEDY C., VANHOUCKE V., IOFFE S., SHLENS J., WOJNA Z., Rethinking the inception architecture for computer vision, 2016 IEEE Conference on Computer Vision and Pattern Recognition, CVPR 2016, pp. 2818-2826, (2016); SIMONYAN K., ZISSERMAN A., Very deep convolutional networks for large-scale image recognition, 3rd International Conference on Learning Representations, ICLR 2015, (2015); TRALIE C. J., SAUL N., BAR-ON R., Ripser.py: A lean persistent homology library for python, J. Open Source Softw, 3, 29, (2018); TAJBAKHSH N., SHIN J. Y., GURUDU S. R., HURST R. T., KENDALL C. B., GOTWAY M. B., LIANG J., On the necessity of fine-tuned convolutional neural networks for medical imaging, Deep Learning and Convolutional Neural Networks for Medical Image Computing - Precision Medicine, High Performance and Large-Scale Datasets, pp. 181-193, (2017); TAYE A. G., YEMANE S., NEGASH E., MINWUYELET Y., ABEBE M., ASMARE M. H., Automated web-based malaria detection system with machine learning and deep learning techniques, (2024); VIA R. D., SANTACESARIA M., ODONE F., PASTORE V. P., Is in-domain data beneficial in transfer learning for landmarks detection in x-ray images?, (2024); YAO Y., SUN J., HUANG X., BOWMAN G., SINGH G., LESNICK M., GUIBAS L., PANDE V., CARLSSON G., Topological methods for exploring low-density states in biomolecular folding pathways, The Journal of chemical physics, 130, (2009); ZADEH S. S., BIRGANI S. A., KHORSHIDI M., KOOBAN F., Concrete surface crack detection with convolutional-based deep learning models, Novelty Journals, (2023); ZOMORODIAN A., CARLSSON G., Computing persistent homology, Discrete and Computational Geometry, 33, pp. 249-274, (2005); ZOETMULDER R., GAVVES E., CAAN M., MARQUERING H., Domain- and task-specific transfer learning for medical segmentation tasks, Computer Methods and Programs in Biomedicine, 214, (2022); ZHUANG F., QI Z., DUAN K., XI D., ZHU Y., ZHU H., XIONG H., HE Q., A comprehensive survey on transfer learning, Proc. IEEE, 109, 1, pp. 43-76, (2021)</t>
  </si>
  <si>
    <t xml:space="preserve">Fellner D.</t>
  </si>
  <si>
    <t xml:space="preserve">2024 Eurographics Italian Chapter Conference on Smart Tools and Applications in Graphics, STAG 2024</t>
  </si>
  <si>
    <t xml:space="preserve">14 November 2024 through 15 November 2024</t>
  </si>
  <si>
    <t xml:space="preserve">Verona</t>
  </si>
  <si>
    <t xml:space="preserve">978-303868265-3</t>
  </si>
  <si>
    <t xml:space="preserve">Eurographics Ital. Chapter Proc. Smart Tools App. Graph. STAG</t>
  </si>
  <si>
    <t xml:space="preserve">2-s2.0-85216236614</t>
  </si>
  <si>
    <t xml:space="preserve">BATBAINA GUIKOURA</t>
  </si>
  <si>
    <t xml:space="preserve">Agarwala S.; Ali M.S.; Quanita A.T.; Sajid A.S.M.S.; Srizon A.Y.; Esha N.T.; Faruk M.F.; Hasan S.M.M.</t>
  </si>
  <si>
    <t xml:space="preserve">Agarwala, Shuvam (59520395600); Ali, Md. Sumon (59520395700); Quanita, Afifa Tasneem (59521056200); Sajid, A S M Shahiduzzaman (59520728800); Srizon, Azmain Yakin (57216272860); Esha, Nishat Tasnim (59534348000); Faruk, Md. Farukuzzaman (57219989229); Hasan, S. M. Mahedy (57219989489)</t>
  </si>
  <si>
    <t xml:space="preserve">59520395600; 59520395700; 59521056200; 59520728800; 57216272860; 59534348000; 57219989229; 57219989489</t>
  </si>
  <si>
    <t xml:space="preserve">Precision Death Forecasting of Dengue Outbreaks in Bangladesh by Blending Statistical and Machine Learning Models</t>
  </si>
  <si>
    <t xml:space="preserve">Dengue fever, spread by Aedes mosquitoes, presents a formidable global public health challenge. Despite progress in predictive modeling, the rising incidence and complexity of dengue necessitate more precise forecasting techniques. This study leverages a comprehensive dataset from Bangladesh, spanning 2019 to 2023, to improve dengue outbreak predictions by using hybrid models that blend traditional statistical methods with advanced machine learning algorithms. The research employs a Seasonal Autoregressive Integrated Moving Average (SARIMA) model, along with XGBoost and Random Forest Regression, to predict dengue incidence based on temporal and climatic variables. The dataset consists of 900 daily records, capturing crucial details such as date, month, year, and dengue cases to reflect seasonal trends impacting disease transmission. The results indicate that the XGBoost model, enhanced with features like DayOfWeek and Month, markedly surpasses other models. It achieved the lowest Mean Squared Error (MSE) of 2.6108 and a Root Mean Squared Error (RMSE) of 1.6158, demonstrating superior predictive accuracy. Conversely, the SARIMA model, despite its ability to capture temporal patterns, showed limitations in managing non-linear trends, resulting in a higher RMSE.These findings emphasize the effectiveness of combining machine learning techniques with time series analysis to forecast dengue trends, offering a vital tool for public health officials to apply timely interventions. This study underscores the significance of integrating models and feature engineering to enhance the precision of health predictions, thus contributing to more effective dengue management strategies.  © 2024 IEEE.</t>
  </si>
  <si>
    <t xml:space="preserve">outbreak prediction</t>
  </si>
  <si>
    <t xml:space="preserve">Bangladesh</t>
  </si>
  <si>
    <t xml:space="preserve">10.1109/PEEIACON63629.2024.10800576</t>
  </si>
  <si>
    <t xml:space="preserve">https://www.scopus.com/inward/record.uri?eid=2-s2.0-85216417385&amp;doi=10.1109%2fPEEIACON63629.2024.10800576&amp;partnerID=40&amp;md5=428fe39dad605f0bf179e10e3e4ce113</t>
  </si>
  <si>
    <t xml:space="preserve">Ruet, Department of Cse, Rajshahi, Bangladesh; Ru, Department of Statistics, Rajshahi, Bangladesh</t>
  </si>
  <si>
    <t xml:space="preserve">Agarwala S., Ruet, Department of Cse, Rajshahi, Bangladesh; Ali M.S., Ruet, Department of Cse, Rajshahi, Bangladesh; Quanita A.T., Ruet, Department of Cse, Rajshahi, Bangladesh; Sajid A.S.M.S., Ruet, Department of Cse, Rajshahi, Bangladesh; Srizon A.Y., Ruet, Department of Cse, Rajshahi, Bangladesh; Esha N.T., Ru, Department of Statistics, Rajshahi, Bangladesh; Faruk M.F., Ruet, Department of Cse, Rajshahi, Bangladesh; Hasan S.M.M., Ruet, Department of Cse, Rajshahi, Bangladesh</t>
  </si>
  <si>
    <t xml:space="preserve">Dengue Prediction; Epidemiological Forecasting; Feature Engineering; Machine Learning; Predictive Modeling; Public Health Informatics; Random Forest Regression; SARIMA; XGBoost</t>
  </si>
  <si>
    <t xml:space="preserve">Adversarial machine learning; Contrastive Learning; Prediction models; Records management; Dengue prediction; Epidemiological forecasting; Feature engineerings; Machine-learning; Predictive models; Public health informatics; Random forest regression; Random forests; Seasonal autoregressive integrated moving averages; Xgboost; Mean square error</t>
  </si>
  <si>
    <t xml:space="preserve">Guzman M.G., Harris E., Dengue, The Lancet, 385, 9966, pp. 453-465, (2015); Dengue-Global situation, (2023); Dengue-Bangladesh, WHO', (2024); Messina J.P., Brady O.J., Scott T.W., Zou C., Pigott D.M., Duda K.A., Bhatt S., Katzelnick L., Howes R.E., Battle K.E., Et al., Global spread of dengue virus types: mapping the 70 year history, Trends in microbiology, 22, 3, pp. 138-146, (2014); Bhatt S., Gething P.W., Brady O.J., Messina J.P., Farlow A.W., Moyes C.L., Drake J.M., Brownstein J.S., Hoen A.G., Sankoh O., Et al., The global distribution and burden of dengue, Nature, 496, 7446, pp. 504-507, (2013); Gharbi M., Quenel P., Gustave J., Cassadou S., Ruche G.L., Girdary L., Marrama L., Time series analysis of dengue incidence in guadeloupe, french west indies: forecasting models using climate variables as predictors, BMC infectious diseases, 11, pp. 1-13, (2011); Helfenstein U., The use of transfer function models, intervention analysis and related time series methods in epidemiology, International journal of epidemiology, 20, 3, pp. 808-815, (1991); Luz P.M., Mendes B.V., Codeco C.T., Struchiner C.J., Galvani A.P., Et al., Time series analysis of dengue incidence in rio de janeiro, (2008); Lu L., Lin H., Tian L., Yang W., Sun J., Liu Q., Time series analysis of dengue fever and weather in guangzhou, china, BMC Public Health, 9, pp. 1-5, (2009); Chakraborty T., Chattopadhyay S., Ghosh I., Forecasting dengue epidemics using a hybrid methodology, Physica A: Statistical Mechanics and its Applications, 527, (2019); Depradine C., Lovell E., Climatological variables and the incidence of dengue fever in barbados, International Journal of Environmental Health Research, 14, 6, pp. 429-441, (2004); Wu P.-C., Guo H.-R., Lung S.-C., Lin C.-Y., Su H.-J., Weather as an effective predictor for occurrence of dengue fever in taiwan, Acta tropica, 103, 1, pp. 50-57, (2007); Brunkard J.M., Cifuentes E., Rothenberg S.J., Assessing the roles of temperature, precipitation, and enso in dengue re-emergence on the texas-mexico border region, Salud pública de México, 50, 3, pp. 227-234, (2008)</t>
  </si>
  <si>
    <t xml:space="preserve">2-s2.0-85216417385</t>
  </si>
  <si>
    <t xml:space="preserve">Phoobane P.; Mabhaudhi T.; Botai J.</t>
  </si>
  <si>
    <t xml:space="preserve">Phoobane, Paulina (57204149317); Mabhaudhi, Tafadzwanashe (39661246400); Botai, Joel (54986194000)</t>
  </si>
  <si>
    <t xml:space="preserve">57204149317; 39661246400; 54986194000</t>
  </si>
  <si>
    <t xml:space="preserve">Predicting Malaria Outbreak Using Indigenous Knowledge and Fuzzy Cognitive Maps: A Case Study of Vhembe District in South Africa</t>
  </si>
  <si>
    <t xml:space="preserve">Malaria, a vector-borne disease, remains a major public health problem in many countries, particularly in Sub-Saharan Africa, where health resources are limited. Early warning of malaria outbreaks is crucial for effective control and mitigation of the devastating impacts of malaria. Tapping into the vital role indigenous knowledge (IK) plays in combating infectious diseases and the success of an artificial intelligence technique called fuzzy cognitive map (FCM) in modelling infectious diseases, this paper aims to predict malaria outbreaks using IK and FCM. The concepts used to develop the FCM were the IK indicators participants in Vhembe in South Africa used to ṇpredict malaria outbreaks. These IK indicators were collected through unstructured interviews. The developed malaria outbreak prediction FCM model was used to conduct simulations and make predictions of malaria outbreaks. As an initial stride for constructing such a tool, this paper demonstrates how the artificial intelligence technique, FCM, can represent IK indicators and predict malaria outbreaks. This promotes the recognition of IK in the effort to control and mitigate malaria outbreaks. Modelling IK using artificial intelligence opens the opportunity to incorporate IK with modern prediction models to develop robust early warning systems based on multiple knowledge systems. © ICST Institute for Computer Sciences, Social Informatics and Telecommunications Engineering 2024.</t>
  </si>
  <si>
    <t xml:space="preserve">South Africa</t>
  </si>
  <si>
    <t xml:space="preserve">520 LNICST</t>
  </si>
  <si>
    <t xml:space="preserve">10.1007/978-3-031-63999-9_9</t>
  </si>
  <si>
    <t xml:space="preserve">https://www.scopus.com/inward/record.uri?eid=2-s2.0-85199609550&amp;doi=10.1007%2f978-3-031-63999-9_9&amp;partnerID=40&amp;md5=2f362b608c66dfbf3a4ee21e929ea010</t>
  </si>
  <si>
    <t xml:space="preserve">Walter Sisulu University, Mthatha, South Africa; University of KwaZulu Natal, Pietermaritzburg, South Africa</t>
  </si>
  <si>
    <t xml:space="preserve">Phoobane P., Walter Sisulu University, Mthatha, South Africa; Mabhaudhi T., University of KwaZulu Natal, Pietermaritzburg, South Africa; Botai J., University of KwaZulu Natal, Pietermaritzburg, South Africa</t>
  </si>
  <si>
    <t xml:space="preserve">Fuzzy cognitive maps; indigenous knowledge; malaria indigenous knowledge indicators; malaria outbreak prediction; South Africa; Vhembe district</t>
  </si>
  <si>
    <t xml:space="preserve">Artificial intelligence; Diseases; Fuzzy Cognitive Maps; Fuzzy rules; Artificial intelligence techniques; Case-studies; Indigenous knowledge; Infectious disease; Malaria indigenous knowledge indicator; Malaria outbreak prediction; South Africa; Vector-borne disease; Vhembe district; Forecasting</t>
  </si>
  <si>
    <t xml:space="preserve">World Health Organization: World Malaria Report, (2022); Githeko A.K., Ogallo L., Lemnge M., Okia M., Ototo E.N., Development and validation of climate and ecosystem-based early malaria epidemic prediction models in East Africa, Malar J, 13, 1, (2014); Kim Y., Et al., Malaria predictions based on seasonal climate forecasts in South Africa: A time series distributed lag nonlinear model, Sci. Rep., 9, 1, (2019); Macherera M., Chimbari M.J., Mukaratirwa S., Indigenous environmental indicators for malaria: A district study in Zimbabwe, Acta Trop, 175, pp. 50-59, (2017); Prediction Model for Malaria: An Ensemble of Machine Learning and Hydrological Drought Indices; Masinde M., Africa’s malaria epidemic predictor: Application of machine learning on malaria incidence and climate data, Proceedings of the 2020 the 4Th International Conference on Compute and Data Analysis, pp. 29-37, (2020); Rahman A., Roytman L., Goldberg M., Kogan F., Comparative analysis on applicability of satellite and meteorological data for prediction of malaria in endemic area in Bangladesh, J. Trop Med., 2010, (2010); Modu B., Polovina N., Lan Y., Konur S., Taufiq Asyhari A., Peng Y., Towards a predictive analytics-based intelligent malaria outbreakwarning system, Appl. Sci. (Switzerland), 7, 8, pp. 1-20, (2017); Sarkar B.K., Sana S.S., An e-healthcare system for disease prediction using hybrid data mining technique, J. Model. Manag., 14, 3, pp. 628-661, (2019); Sharma V., Kumar A., Panat L., Karajkhede G., Malaria outbreak prediction model using machine learning, Int. J. Adv. Res. Comput. Eng. Technol., 4, 12, pp. 4415-4419, (2015); Smylie J., Martin C.M., Kaplan-Myrth N., Steele L., Tait C., Hogg W., Knowledge translation and indigenous knowledge, Int. J. Circumpolar Health, 63, pp. 139-143, (2004); Masinde M., Mwagha M., Tadesse T., Downscaling Africa’s drought forecasts through integration of indigenous and scientific drought forecasts using fuzzy cognitive maps, Geosciences (Switzerland), 8, 4, (2018); World Malaria Report 2019, Geneva, (2019); Thomson M.C., Munoz A.G., Cousin R., Shumake-Guillemot J., Climate drivers of vector-borne diseases in Africa and their relevance to control programmes, Infect. Dis. Poverty, 7, 1, pp. 1-22, (2018); Kurane I., The effect of global warming on infectious diseases, Osong Publ. Health Res. Perspect., 1, 1, pp. 4-9, (2010); Wu X., Lu Y., Zhou S., Chen L., Xu B., Impact of climate change on human infectious diseases: Empirical evidence and human adaptation, Environ. Int., 86, pp. 14-23, (2016); Amuakwa-Mensah F., Marbuah G., Mubanga M., Climate variability and infectious diseases nexus: Evidence from Sweden, Infect. Dis. Model, 2, 2, pp. 203-217, (2017); Cella W., Et al., Do climate changes alter the distribution and transmission of malaria? evidence assessment and recommendations for future studies, Rev. Soc. Bras. Med. Trop., 52, (2019); Gwarinda H.B., Tessema S.K., Raman J., Greenhouse B., Birkholtz L.M., Parasite genetic diversity reflects continued residual malaria transmission in Vhembe District, a hotspot in the Limpopo Province of South Africa, Malar J, 20, 1, (2021); Kanemba A., Nindi S.J., Kijazi A.L., Chang'A L.B., Liwenga E.T., The use of indigenous knowledge in weather and climate prediction in Mahenge and Ismani wards, Tanzania, J. Geogr. Reg. Plann., 6, 7, pp. 274-279, (2013); Masinde M., An effective drought early warning system for sub-Saharan Africa: Integrating modern and indigenous approaches, ACM International Conference Proceeding Series, 28, pp. 60-69, (2014); Armatas C.A., Venn T.J., McBride B.B., Watson A.E., Carver S.J., Opportunities to utilize traditional phenological knowledge to support adaptive management of social-ecological systems vulnerable to changes in climate and fire regimes, Ecol. Soc., 21, 1, (2016); Jiri O., Mafongoya P.L., Mubaya C., Mafongoya O., Seasonal climate prediction and adaptation using indigenous knowledge systems in agriculture systems in Southern Africa: A review, J. Agric. Sci., 8, 5, (2016); Akanbi A.K., Masinde M., Towards the development of a rule-based drought early warning expert systems using indigenous knowledge, 2018 International Conference on Advances in Big Data, Computing and Data Communication Systems, Icabcd 2018, (2018); Mbewe M., Phiri A., Siyambango N., Indigenous knowledge systems for local weather predictions: A case of Mukonchi chiefdom in Zambia, Environ. Nat. Resour. Res., 9, 2, (2019); Macherera M., Chimbari M.J., A review of studies on community based early warning systems, Jamba: J. Disast. Risk Stud., 8, 1, pp. 1-10, (2016); Son H.N., Chi D.T.L., Kingsbury A., Indigenous knowledge and climate change adaptation of ethnic minorities in the mountainous regions of Vietnam: A case study of the Yao people in Bac Kan Province, Agric. Syst., 176, (2019); Kom Z., Nethengwe N.S., Mpandeli N.S., Chikoore H., Determinants of small-scale farm-ers’ choice and adaptive strategies in response to climatic shocks in Vhembe District, South Africa, Geojournal, 87, 2, pp. 677-700, (2020); Nyetanyane J., Indigenous knowledge mobile based application that quantifies farmers’ season predictions with the help of scientific knowledge, Emerging Technologies for Developing Countries. AFRICATEK 2022. Lecture Notes of the Institute for Computer Sciences, Social Informatics and Telecommunications Engineering, Vol, (2023); Mafongoya O.M.P.L., Jiri O., Mubaya C.P., Using indigenous knowledge for seasonal quality prediction in managing climate risk in sub-Saharan Africa, Indigenous Knowledge Systems and Climate Change Management in Africa, pp. 43-66, (2017); 2009 IEEE International Conference on Fuzzy Systems: Proceedings ICC Jeju; Fuzzy Cognitive Maps; Axelrod R., Structure of Decision: The Cognitive Map of Political Elites, (1976); Nguyen H.T., Walker E.A., A First Course in Fuzzy Logic Front Cover, (2018); Gray S.A., Et al., Using fuzzy cognitive mapping as a participatory approach to analyze change, preferred states, and perceived resilience of social-ecological systems, Ecol. Soc., 20, 2, (2015); Mbele M., Masinde M., Mitigating the Impacts of Environmental Pollution in Lejweleputswa District through Integration of Local and Scientific Knowledge, pp. 77-88, (2020); Groumpos P., Modelling COVID-19 using Fuzzy Cognitive Maps (FCM), EAI Endo. Trans. Bioeng. Bioinform., 1, 2, (2021); FCM Expert: Software Tool for Scenario Analysis and Pattern Classification Based on Fuzzy Cognitive Maps; Papageorgiou E., Papageorgiou K., Dikopoulou Z., Mouhrir A., A Web-Based Tool for Fuzzy Cognitive Map Modeling; Time Series Forecasting Using Fuzzy Cognitive Maps: A Survey; Mwagha S.M., A Visual Weather Lore Verification Tool Using Fuzzy Cognitive Maps Based on Computer Vision, (2016); Mwagha S.M., Masinde M., Scientific Verification of Weather Lore for Drought Forecasting-The Role of Fuzzy Cognitive Mapping, (2015); Nozari M.A., Ghadikolaei A.S., Govindan K., Akbari V., Analysis of the sharing economy effect on sustainability in the transportation sector using fuzzy cognitive mapping, J. Clean Prod., 311, (2021)</t>
  </si>
  <si>
    <t xml:space="preserve">P. Phoobane; Walter Sisulu University, Mthatha, South Africa; email: mpmakoetlane@gmail.com</t>
  </si>
  <si>
    <t xml:space="preserve">Masinde M.; Möbs S.; Bagula A.</t>
  </si>
  <si>
    <t xml:space="preserve">6th EAI International Conference on Emerging Technologies for Developing Countries, AFRICATEK 2023</t>
  </si>
  <si>
    <t xml:space="preserve">11 December 2023 through 13 December 2023</t>
  </si>
  <si>
    <t xml:space="preserve">Arusha</t>
  </si>
  <si>
    <t xml:space="preserve">978-303163998-2</t>
  </si>
  <si>
    <t xml:space="preserve">2-s2.0-85199609550</t>
  </si>
  <si>
    <t xml:space="preserve">Tito M.H.; Arifuzzaman M.; Rahman M.S.; Khan S.; Chohan M.S.; Nasrin A.</t>
  </si>
  <si>
    <t xml:space="preserve">Tito, Mokammel Hossain (58659274000); Arifuzzaman, Md (6507790182); Rahman, Md. Siddiqur (57226527153); Khan, Shahzad (55966962000); Chohan, Muhammad Shahzad (57208781831); Nasrin, Alifa (58985794900)</t>
  </si>
  <si>
    <t xml:space="preserve">58659274000; 6507790182; 57226527153; 55966962000; 57208781831; 58985794900</t>
  </si>
  <si>
    <t xml:space="preserve">Predictive Modeling of Global Vector-Borne Diseases: Leveraging Machine Learning for Intervention Strategies</t>
  </si>
  <si>
    <t xml:space="preserve">This paper addresses the evolving landscape of global infectious diseases, emphasizing the pivotal role of vector-borne diseases in public health. Focusing on eleven formidable diseases, including Chikungunya, Dengue, Zika, Yellow Fever, West Nile Fever, Malaria, Rift Valley Fever, Tungiasis, Japanese Encephalitis, Plague, and Lyme Disease, the study utilizes machine learning algorithms for prediction, risk factor identification, and correlation analysis. Data, collected from diverse sources, undergoes thorough preprocessing, ensuring quality and consistency. Four machine learning models are employed-Multilayer Perceptron, Sequential Minimal Optimization, J48 Decision Tree, and Naive Bayes-revealing the Naive Bayes model as particularly promising with a 94% correlation coefficient and high precision. Association rules shed light on complex attribute relationships, guiding future research, and interventions. The ranked attributes, led by itchiness, provide valuable insights for understanding and mitigating vector-borne diseases. This research contributes to a deeper comprehension of these diseases, facilitating informed decision-making and effective public health strategies amid evolving global health challenges.  © 2024 IEEE.</t>
  </si>
  <si>
    <t xml:space="preserve">Bangladesh, UK,Saudi , Arabia</t>
  </si>
  <si>
    <t xml:space="preserve">data from multiple countries via public repositories, not country-specific</t>
  </si>
  <si>
    <t xml:space="preserve">- Public health records
- surveillance databases, 
- environmental factors
- demographics, 
- historical disease data</t>
  </si>
  <si>
    <t xml:space="preserve">Chikungunya, Dengue, Zika, Malaria, Yellow Fever, West Nile Fever, Rift Valley Fever, Japanese Encephalitis, Plague, Tungiasis, Lyme Disease</t>
  </si>
  <si>
    <t xml:space="preserve">Supervised learning</t>
  </si>
  <si>
    <t xml:space="preserve">- Naive Bayes 
- J48 Decision Tree 
- Multilayer Perceptron (MLP)
- Sequential Minimal Optimization (SVM)</t>
  </si>
  <si>
    <t xml:space="preserve">Correlation Coefficient (CC), RMSE, MAE, RAE, RRSE, Kappa Statistic, Precision, Recall, F-Measure, Processing Time</t>
  </si>
  <si>
    <t xml:space="preserve">- Data heterogeneity across sources 
- Risk of model overfitting 
- No mention of external validation across different populations 
- Limited generalizability despite promising Naive Bayes performance</t>
  </si>
  <si>
    <t xml:space="preserve">2024 ASU International Conference in Emerging Technologies for Sustainability and Intelligent Systems, ICETSIS 2024</t>
  </si>
  <si>
    <t xml:space="preserve">10.1109/ICETSIS61505.2024.10459646</t>
  </si>
  <si>
    <t xml:space="preserve">https://www.scopus.com/inward/record.uri?eid=2-s2.0-85190531939&amp;doi=10.1109%2fICETSIS61505.2024.10459646&amp;partnerID=40&amp;md5=035163d98b109ebebdb49f25120cb80b</t>
  </si>
  <si>
    <t xml:space="preserve">Animanl Science and Veterinary Medicine, Bangabandhu Sheikh Mujibur Rahman Science and Technology University, Gopalganj, Bangladesh; Civil and Environmental Engineering, King Faisal University, Al Hofuf, Saudi Arabia; Bangladesh Agricultural University (BAU), Department of Medicine, Mymensingh, Bangladesh; King Faisal University, Department of Biomedical Sciences, Al Hofuf, Saudi Arabia; Combined Military Hospital (CMH), Dhaka, Bangladesh</t>
  </si>
  <si>
    <t xml:space="preserve">Tito M.H., Animanl Science and Veterinary Medicine, Bangabandhu Sheikh Mujibur Rahman Science and Technology University, Gopalganj, Bangladesh; Arifuzzaman M., Civil and Environmental Engineering, King Faisal University, Al Hofuf, Saudi Arabia; Rahman M.S., Bangladesh Agricultural University (BAU), Department of Medicine, Mymensingh, Bangladesh; Khan S., King Faisal University, Department of Biomedical Sciences, Al Hofuf, Saudi Arabia; Chohan M.S., King Faisal University, Department of Biomedical Sciences, Al Hofuf, Saudi Arabia; Nasrin A., Combined Military Hospital (CMH), Dhaka, Bangladesh</t>
  </si>
  <si>
    <t xml:space="preserve">Association; J48 Tree; Machine Learning; MLP; Naïve Bayes; SVM</t>
  </si>
  <si>
    <t xml:space="preserve">Bayesian networks; Decision trees; Learning algorithms; Learning systems; Machine learning; Optimization; Public health; Risk assessment; Chikungunya; Infectious disease; Intervention strategy; J48 tree; Machine-learning; MLP; Naive bayes; Predictive models; SVM; Vector-borne disease; Diseases</t>
  </si>
  <si>
    <t xml:space="preserve">Winch P., Kendall C., Gubler D., Effectiveness of community participation in vector-borne disease control, Health Policy and Planning, 7, 4, pp. 342-351, (1992); Vector-borne diseases, Report of an informal expert consultation SEARO, New Delhi, pp. 7-8, (2023); Semenza J.C., Suk J.E., Vector-borne diseases and climate change: A European perspective, FEMS Microbiology Letters, 365, 2, (2018); Tabachnick W.J., Challenges in predicting climate and environmental effects on vector-borne disease episystems in a changing world, Journal of Experimental Biology, 213, 6, pp. 946-954, (2010); Tito M.H., Et al., A comparative study of ensemble machine learning algorithms for brucellosis disease prediction: Detection of brucellosis using artificial intelligence, Letters In Animal Biology, 3, 2, (2023); Dorea F.C., Et al., Vector-borne disease surveillance in livestock populations: A critical review of literature recommendations and implemented surveillance (BTV-8) in five European countries, Preventive Veterinary Medicine, 125, pp. 1-9, (2016); Medlock J.M., Hansford K.M., Vaux A.G.C., Cull B., Gillingham E., Leach S., Assessment of the Public Health Threats Posed by Vector-Borne Disease in the United Kingdom (UK), International Journal of Environmental Research and Public Health, 15, 10, (2018); Parham P.E., Et al., Climate, environmental and socio-economic change: Weighing up the balance in vector-borne disease transmission, Philosophical Transactions of the Royal Society B: Biological Sciences, 370, 1665, (2015); Tatem A.J., Huang Z., Das A., Qi Q., Roth J., Qiu Y., Air travel and vector-borne disease movement, Parasitology, 139, 14, pp. 1816-1830, (2012); Tol R.S.J., Dowlatabadi H., Vector-Borne Diseases, Development &amp; Climate Change, Integrated Assessment, 2, 4, pp. 173-181, (2001); Vector Borne Disease Prediction, (2023); Kaur I., Sandhu A.K., Kumar Y., Artificial Intelligence Techniques for Predictive Modeling of Vector-Borne Diseases and its Pathogens: A Systematic Review, Arch Computat Methods Eng, 29, 6, pp. 3741-3771, (2022); Kumar S., Srivastava A., Maity R., Modeling climate change impacts on vector-borne disease using machine learning models: Case study of Visceral leishmaniasis (Kala-azar) from Indian state of Bihar, Expert Systems with Applications, 237, (2024); Raizada S., Mala S., Shankar A., Vector Borne Disease Outbreak Prediction by Machine Learning, 2020 International Conference on Smart Technologies in Computing, Electrical and Electronics (ICSTCEE), pp. 213-218, (2020); Ch S., Et al., A Support Vector Machine-Firefly Algorithm based forecasting model to determine malaria transmission, Neurocomputing, 129, pp. 279-288, (2014); Mohapatra P., Tripathi N.K., Pal I., Shrestha S., Determining suitable machine learning classifier technique for prediction of malaria incidents attributed to climate of Odisha, International Journal of Environmental Health Research, 32, 8, pp. 1716-1732, (2022); Cruz A.P.D., Tumibay G.M., Predicting Tuberculosis Treatment Relapse: A Decision Tree Analysis of J48 for Data Mining, Journal of Computer and Communications, 7, 7, (2019); Sajana T., Narasingarao M.R., Classification of imbalanced malaria disease using naïve Bayesian algorithm, International Journal of Engineering &amp; Technology, 7, 2-7, pp. 786-790, (2018); Shaikh S.G., Kumar B.S., Narang G., Pachpor N.N., Diagnosis of Vector Borne Disease using Various Machine Learning Techniques, International Journal of Intelligent Systems and Applications in Engineering, 11, 4, (2023); Khare S., Gupta D., Association rule analysis in cardiovascular disease, 2016 Second International Conference on Cognitive Computing and Information Processing (CCIP), pp. 1-6, (2016); Saboori R., Salehi A.W., Vaidya P., Gupta G., Classification of Arrhythmia Using Machine Learning Techniques, Innovations in Information and Communication Technologies (IICT-2020), pp. 445-452, (2021); Witten I.H., Frank E., Hall M.A., Pal C.J., Data M., Practical machine learning tools and techniques, Data Mining, (2023)</t>
  </si>
  <si>
    <t xml:space="preserve">28 January 2024 through 29 January 2024</t>
  </si>
  <si>
    <t xml:space="preserve">979-835037222-9</t>
  </si>
  <si>
    <t xml:space="preserve">ASU Int. Conf. Emerg. Technol. Sustain. Intell. Syst., ICETSIS</t>
  </si>
  <si>
    <t xml:space="preserve">2-s2.0-85190531939</t>
  </si>
  <si>
    <t xml:space="preserve">Tomas M.C.A.; Ho D.M.P.; Mehrpouran S.P.; Santos M.M.P.J.</t>
  </si>
  <si>
    <t xml:space="preserve">Tomas, Mary Christine A. (57213263973); Ho, David Matthew P. (59407930000); Mehrpouran, Shirin P. (59407907500); Santos, Maegan Marie Pauline J. (59407843900)</t>
  </si>
  <si>
    <t xml:space="preserve">57213263973; 59407930000; 59407907500; 59407843900</t>
  </si>
  <si>
    <t xml:space="preserve">Recognizing Common Skin Diseases in the Philippines Using YOLOv5 Deep Learning</t>
  </si>
  <si>
    <t xml:space="preserve">This study addresses the pressing need for precise skin disease diagnostics in the Philippines. Leveraging YOLOv5 deep learning, the research verifies an accurate categorization system for prevalent conditions like Acne, Leprosy, and Psoriasis. Comparative analysis with ANN and SVM classifiers demonstrates the transformative impact of this approach on skin disease diagnosis. By expediting care and supporting dermatologists, the study charts a course for healthcare advancements, bridging critical gaps in Filipino dermatology. The methodology outlines the implementation of a Skin Disease Detection Model utilizing YOLOv5 Deep Learning within a robust Medical Image Analysis framework. Rigorous evaluation metrics highlight YOLOv5L's accuracy in identifying Leprosy and Warts, despite challenges in recognizing diseases like Atopic Dermatitis and Keratosis Pilaris. The research underscores YOLOv5L's potential while emphasizing the need for dataset refinement and model optimization. Recommendations include diversifying datasets, exploring hyperparameters, and incorporating additional disease categories, offering valuable insights for advancing dermatological diagnostics in the Philippines. © 2024 SPIE.</t>
  </si>
  <si>
    <t xml:space="preserve"> Philippines</t>
  </si>
  <si>
    <t xml:space="preserve">Imaging datasets (dermatological skin disease images), augmented with expert-annotated data</t>
  </si>
  <si>
    <t xml:space="preserve">Acne, Leprosy, Psoriasis, Keratosis Pilaris, Atopic Dermatitis, Warts</t>
  </si>
  <si>
    <t xml:space="preserve">YOLOv5L (deep learning) 
- Support Vector Machine (SVM)
- Artificial Neural Network (ANN)</t>
  </si>
  <si>
    <t xml:space="preserve">Mean Average Precision (mAP), Precision, Recall, Confusion Matrix</t>
  </si>
  <si>
    <t xml:space="preserve">- Imbalanced dataset 
- Difficulty recognizing certain diseases under poor lighting or uncommon presentation 
- YOLOv5 slightly underperformed compared to SVM/ANN in some categories 
- Precision varies by disease and configuration; model struggles with generalizability for low-sample diseases</t>
  </si>
  <si>
    <t xml:space="preserve">10.1117/12.3037975</t>
  </si>
  <si>
    <t xml:space="preserve">https://www.scopus.com/inward/record.uri?eid=2-s2.0-85208829258&amp;doi=10.1117%2f12.3037975&amp;partnerID=40&amp;md5=f734cb526c5dd2ea79782da12b500c07</t>
  </si>
  <si>
    <t xml:space="preserve">Mapua University, School of Information Technology, Makati City, Philippines</t>
  </si>
  <si>
    <t xml:space="preserve">Tomas M.C.A., Mapua University, School of Information Technology, Makati City, Philippines; Ho D.M.P., Mapua University, School of Information Technology, Makati City, Philippines; Mehrpouran S.P., Mapua University, School of Information Technology, Makati City, Philippines; Santos M.M.P.J., Mapua University, School of Information Technology, Makati City, Philippines</t>
  </si>
  <si>
    <t xml:space="preserve">Dermatological Diagnosis; Image Processing Techniques; Machine Learning Classifiers; Skin Disease Classification; Skin Disease Recognition; YOLOv5L Deep Learning Model</t>
  </si>
  <si>
    <t xml:space="preserve">Dermatology; Medical image processing; Dermatological diagnose; Disease classification; Image processing technique; Learning classifiers; Learning models; Machine learning classifier; Machine-learning; Skin disease; Skin disease classification; Skin disease recognition; YOLOv5L deep learning model; Dermatitis</t>
  </si>
  <si>
    <t xml:space="preserve">Zimmermann K. A., LiveScience, (2018); Hameed N., Shabbut A., Hossain M. A., A Computer-aided diagnosis system for classifying prominent skin lesions using machine learning, 2018 10th Computer Science and Electronic Engineering (CEEC), pp. 186-191, (2018); WORLD HEALTH RANKINGS, (2020); Goma J. D., Devaraj M., Recognizing Common Skin Diseases in the Philippines Using Image Processing and Machine Learning Classification, ICCBD '20: 2020 the 3rd International Conference on Computing and Big Data, pp. 68-72, (2020); Grace M. S. R. S., Manuel C., Interviewee, Personal Interview, (2018); Narang I., Sardana K., Bajpai R., Garg V. K., Seasonal aggravation of acne in summers and the effect of temperature and humidity in a study in a tropical setting, Journal of cosmetic dermatology, 18, 4, pp. 1098-1104, (2018); Kelbore A. G., Owiti P., Reid A. J., Bogino E. A., Wondewosen L., Dessu B. K., Pattern of skin diseases in children attending a dermatology clinic in a referral hospital in Wolaita Sodo, southern Ethiopia, BMC Dermatology, (2019); Schneider S. L., Kohli I., Hamzavi I. H., Council M. L., Rossi A. M., Emerging imaging technologies in dermatology: Part II: Applications and limitations, Journal of the American Academy of Dermatology, 80, 4, pp. 1121-1131, (2019); Wagner J., Artificial Intelligence in Medical Imaging, Radiol Technology, 90, 5, pp. 489-504, (2019); Nasr-Esfahani E., Samavi S., Karimi N., Soroushmehr S., Jafari M., Ward K., Najarian K., Melanoma detection by analysis of clinical images using convolutional neural network, 2016 38th Annual International Conference of the IEEE Engineering in Medicine and Biology Society (EMBC), (2016); MA H., A Computer-aided diagnosis system for classifying prominent skin lesions using machine learning, 2018 10th Computer Science and Electronic Engineering (CEEC), pp. 186-191, (2018); SRM S., MH J., Melanoma Detection by Analysis of Clinical Images Using Convolutional Neural Network, Annu Int Conf IEEE Eng Med Biol Soc, pp. 1373-1376, (2016); Deep Learning-based Computer-Aided Classifier Developed with a Small Dataset of Clinical Images Surpasses Board-certified Dermatologists in Skin Tumor Diagnosis, Br J Dermatology, 180, 2, pp. 373-381, (2019); Cleveland Clinic; Selig J., Expert.ai, (2022); Thomas M., Builtin, (2022); Argenziano G., Dermoscopy of pigmented skin lesions-a valuable tool for early diagnosis of melanoma, The Lancet. Oncology, 2, 7, pp. 443-449, (2001); Lopez A. R., Giro-i-Nieto X., Burdick J., Marques O., Skin Lesion Classification from Dermoscopic Images Using Deep Learning Techniques, Biomedical Engineering, (2017); Should neural nets be deeper the more complex the learning problem is?, AI StackExchange, (2020); Medium, Analytics Vidhya, (2021); Heydarzadeh M., ResearchGate, (2011); Nelson J., Roboflow, (2020); Supeshala C., Towards Data Science, (2020); Thakur A., Singh A., Feature Analysis Of Skin Disease Images Using, INTERNATIONAL JOURNAL OF SCIENTIFIC &amp; TECHNOLOGY RESEARCH, 9, 3, pp. 1633-1638, (2020); Melanoma - NCI Dictionary of Cancer Terms; Kumar N. V., Kumar P. V., Pramodh K., Karuna P. Y., Classification of Skin diseases using Image processing and SVM, 2019 International Conference on Vision Towards Emerging Trends in Communication and Networking (ViTECoN), (2019); Alam H., 20 Skin Diseases Dataset, (2022); Goel S., Hall B., Dermnet; Keratosis pilaris images, (2007); Great Learning, (2020); Sathyanarayana D. P., Lokku G., Image Texture Feature Extraction Using GLCM, International Journal of Scientific and Research Publications, 3, 5, (2013); Lee T., Ng V., Gallagher R., Coldman A., McLean D., Dullrazor: A Software Approach to Hair Removal from Images, Computer in Biology and Medicine, 27, 6, pp. 533-543, (1997); Bajaj L., Kumar H., Hasija Y., Automated System for Prediction of Skin Disease using Image Processing and Machine Learning, International Journal of Computer Applications, 180, 19, pp. 9-12, (2018); Kumar V. B., Kumar S. S., Saboo V., Dermatological disease detection, 2016 Third International Conference on Artificial Intelligence and Pattern Recognition (AIPR), (2016); Grace R. M. S. R. S., Manuel C., Interviewee, Personal Interview, (2018); Shoieb Doaa A., Youssef Sherin M., Aly Walid M., Computer-Aided Model for Skin Diagnosis Using Deep Learning, Journal of Image and Graphics, 4, 2, pp. 122-129, (2016)</t>
  </si>
  <si>
    <t xml:space="preserve">Wang Z.; Tian J.; Mandal M.</t>
  </si>
  <si>
    <t xml:space="preserve">16th International Conference on Digital Image Processing, ICDIP 2024</t>
  </si>
  <si>
    <t xml:space="preserve">Haikou</t>
  </si>
  <si>
    <t xml:space="preserve">978-151068290-0</t>
  </si>
  <si>
    <t xml:space="preserve">2-s2.0-85208829258</t>
  </si>
  <si>
    <t xml:space="preserve">Zehra T.; Marino J.; Wang W.; Frantsuzov G.; Nadeem S.</t>
  </si>
  <si>
    <t xml:space="preserve">Zehra, Talat (57222617661); Marino, Joseph (22734901400); Wang, Wendy (59156859200); Frantsuzov, Grigoriy (59156727900); Nadeem, Saad (57190281230)</t>
  </si>
  <si>
    <t xml:space="preserve">57222617661; 22734901400; 59156859200; 59156727900; 57190281230</t>
  </si>
  <si>
    <t xml:space="preserve">Rethinking Histology Slide Digitization Workflows for Low-Resource Settings</t>
  </si>
  <si>
    <t xml:space="preserve">Histology slide digitization is becoming essential for telepathology (remote consultation), knowledge sharing (education), and using the state-of-the-art artificial intelligence algorithms (augmented/automated end-to-end clinical workflows). However, the cumulative costs of digital multi-slide high-speed brightfield scanners, cloud/on-premises storage, and personnel (IT and technicians) make the current slide digitization workflows out-of-reach for limited-resource settings, further widening the health equity gap; even single-slide manual scanning commercial solutions are costly due to hardware requirements (high-resolution cameras, high-spec PC/workstation, and support for only high-end microscopes). In this work, we present a new cloud slide digitization workflow for creating scanner-quality whole-slide images (WSIs) from uploaded low-quality videos, acquired from cheap and inexpensive microscopes with built-in cameras. Specifically, we present a pipeline to create stitched WSIs while automatically deblurring out-of-focus regions, upsampling input 10× images to 40× resolution, and reducing brightness/contrast and light-source illumination variations. We demonstrate the WSI creation efficacy from our workflow on World Health Organization-declared neglected tropical disease, Cutaneous Leishmaniasis (prevalent only in the poorest regions of the world and only diagnosed by sub-specialist dermatopathologists, rare in poor countries), as well as other common pathologies on core biopsies of breast, liver, duodenum, stomach and lymph node. The code and pretrained models will be accessible via our GitHub (https://github.com/nadeemlab/DeepLIIF), and the cloud platform will be available at https://deepliif.org for uploading microscope videos and downloading/viewing WSIs with shareable links (no sign-in required) for telepathology and knowledge sharing. © The Author(s), under exclusive license to Springer Nature Switzerland AG 2024.</t>
  </si>
  <si>
    <t xml:space="preserve">Lecture Notes in Computer Science (including subseries Lecture Notes in Artificial Intelligence and Lecture Notes in Bioinformatics) </t>
  </si>
  <si>
    <t xml:space="preserve">15004 LNCS</t>
  </si>
  <si>
    <t xml:space="preserve">10.1007/978-3-031-72083-3_40</t>
  </si>
  <si>
    <t xml:space="preserve">https://www.scopus.com/inward/record.uri?eid=2-s2.0-85207647839&amp;doi=10.1007%2f978-3-031-72083-3_40&amp;partnerID=40&amp;md5=3c3f66a76feebe52694b60847f8eb965</t>
  </si>
  <si>
    <t xml:space="preserve">Jinnah Sindh Medical University, Karachi, Pakistan; Memorial Sloan Kettering Cancer Center, New York, United States</t>
  </si>
  <si>
    <t xml:space="preserve">Zehra T., Jinnah Sindh Medical University, Karachi, Pakistan; Marino J., Memorial Sloan Kettering Cancer Center, New York, United States; Wang W., Memorial Sloan Kettering Cancer Center, New York, United States; Frantsuzov G., Memorial Sloan Kettering Cancer Center, New York, United States; Nadeem S., Memorial Sloan Kettering Cancer Center, New York, United States</t>
  </si>
  <si>
    <t xml:space="preserve">cloud platform; limited-resource settings; neglected diseases; Slide digitization; stitching; whole slide images</t>
  </si>
  <si>
    <t xml:space="preserve">Dermatology; Diagnosis; Knowledge acquisition; Medical education; Medical imaging; mHealth; Cloud platforms; Digitisation; Histology slides; Limited-resource setting; Neglected disease; Slide digitization; Stitching; Telepathology; Whole slide images; Work-flows; Diseases</t>
  </si>
  <si>
    <t xml:space="preserve">National Institutes of Health, NIH; National Cancer Institute, NCI, (P30 CA008748); National Cancer Institute, NCI</t>
  </si>
  <si>
    <t xml:space="preserve">This research was funded in part through the NIH/NCI Cancer Center Support Grant P30 CA008748.</t>
  </si>
  <si>
    <t xml:space="preserve">Ahmad S., Obaid M.K., Taimur M., Shaheen H., Khan S.N., Niaz S., Ali R., Haleem S., Knowledge, attitude, and practices towards cutaneous leishmaniasis in referral cases with cutaneous lesions: A cross-sectional survey in remote districts of southern khyber pakhtunkhwa, pakistan, Plos One, 17, 5, (2022); Bilgic-Temel A., Murrell D.F., Uzun S., Cutaneous leishmaniasis: A neglected disfiguring disease for women, International Journal of women’s Dermatology, 5, 3, pp. 158-165, (2019); Farahani N., Parwani A.V., Pantanowitz L., Whole slide imaging in pathology: Advantages, limitations, and emerging perspectives, Pathology and Laboratory Medicine International, pp. 23-33, (2015); Handler M.Z., Patel P.A., Kapila R., Al-Qubati Y., Schwartz R.A., Cutaneous and mucocutaneous leishmaniasis: Differential diagnosis, diagnosis, histopathology, and management, Journal of the American Academy of Dermatology, 73, 6, pp. 911-926, (2015); Isola P., Zhu J.Y., Zhou T., Efros A.A., Image-to-image translation with conditional adversarial networks, Proceedings of the IEEE Conference on Computer Vision and Pattern Recognition, pp. 1125-1134, (2017); Krishna V., Joshi A., Vrabac D., Bulterys P., Yang E., Fernandez-Pol S., Ng A.Y., Rajpurkar P., Gloflow: Whole slide image stitching from video using optical flow and global image alignment, Medical Image Computing and Computer Assisted Intervention–MICCAI 2021: 24Th International Conference, Strasbourg, France, September 27–October 1, 2021, Proceedings, Part VIII 24. Pp. 519–528. Springer, (2021); Kupyn O., Martyniuk T., Wu J., Wang Z., Deblurgan-v2: Deblurring (orders-of-magnitude) faster and better, Proceedings of the IEEE/CVF International Conference on Computer Vision, pp. 8878-8887, (2019); Ledig C., Theis L., Huszar F., Caballero J., Cunningham A., Acosta A., Aitken A., Tejani A., Totz J., Wang Z., Et al., Photo-realistic single image super-resolution using a generative adversarial network, Proceedings of the IEEE Conference on Computer Vision and Pattern Recognition, pp. 4681-4690, (2017); W.H., et al.: Report of the first meeting of the who diagnostic technical advisory group for neglected tropical diseases: Geneva, switzerland, (2020); Pellikka M., Lahtinen V., A robust method for image stitching, Pattern Analysis and Applications, 24, 4, pp. 1847-1858, (2021); Rong R., Wang S., Zhang X., Wen Z., Cheng X., Jia L., Yang D.M., Xie Y., Zhan X., Xiao G., Enhanced pathology image quality with restore–generative adversarial network, The American Journal of Pathology, 193, 4, pp. 404-416, (2023); Sasidharan S., Saudagar P., Leishmaniasis: Where are we and where are we heading?, Parasitology Research, 120, pp. 1541-1554, (2021); Sun K., Chen Z., Wang G., Liu J., Ye X., Jiang Y.G., Bi-directional feature fusion generative adversarial network for ultra-high resolution pathological image virtual re-staining, Proceedings of the IEEE/CVF Conference on Computer Vision and Pattern Recognition, pp. 3904-3913, (2023); Devries H.J., Schallig H.D., Cutaneous leishmaniasis: A 2022 updated narrative review into diagnosis and management developments, American Journal of Clinical Dermatology, 23, 6, pp. 823-840, (2022); Wang X., Xie L., Dong C., Shan Y., Real-esrgan: Training real-world blind super-resolution with pure synthetic data, Proceedings of the IEEE/CVF International Conference on Computer Vision, pp. 1905-1914, (2021)</t>
  </si>
  <si>
    <t xml:space="preserve">S. Nadeem; Memorial Sloan Kettering Cancer Center, New York, United States; email: nadeems@mskcc.org</t>
  </si>
  <si>
    <t xml:space="preserve">Linguraru M.G.; Dou Q.; Feragen A.; Giannarou S.; Glocker B.; Lekadir K.; Schnabel J.A.</t>
  </si>
  <si>
    <t xml:space="preserve">27th International Conference on Medical Image Computing and Computer-Assisted Intervention, MICCAI 2024</t>
  </si>
  <si>
    <t xml:space="preserve">6 October 2024 through 10 October 2024</t>
  </si>
  <si>
    <t xml:space="preserve">Marrakesh</t>
  </si>
  <si>
    <t xml:space="preserve">978-303172082-6</t>
  </si>
  <si>
    <t xml:space="preserve">2-s2.0-85207647839</t>
  </si>
  <si>
    <t xml:space="preserve">Thomas A.R.; Johnson A.; Baasil Samaan A.A.; Johnson D.; Sabna N.</t>
  </si>
  <si>
    <t xml:space="preserve">Thomas, Aaggi Rose (59517881000); Johnson, Albert (59517881100); Baasil Samaan, A.A. (59518076800); Johnson, Dana (59518076900); Sabna, N. (55201199900)</t>
  </si>
  <si>
    <t xml:space="preserve">59517881000; 59517881100; 59518076800; 59518076900; 55201199900</t>
  </si>
  <si>
    <t xml:space="preserve">Revolutionizing Disaster Healthcare</t>
  </si>
  <si>
    <t xml:space="preserve">During times of disaster, the impact on public health can be profound, with challenges ranging from vector borne diseases like malaria to traumatic injuries such as bone fractures. However, the availability of medical professionals is often limited due to infrastructure damage and transportation challenges, leading to delays in diagnosis and treatment. To address these challenges, the paper propose a solution leveraging artificial intelligence (AI) technology to automate the detection of malaria and bone fractures using Deep Learning techniques, specifically Convolutional Neural Networks (CNNs). Datasets comprising images of malaria infected and uninfected cells, as well as fractured and normal bone X-rays, is collected and annotated which are then used to train and evaluate CNN models, including YOLOv5,YOLOv7,YOLOv8,ResNet and AlexNet. The best-performing model is integrated into a mobile application, allowing individuals without technical expertise to upload images and receive timely health assessments. By enhancing health issue detection and management in disaster situations, our approach aims to improve relief efforts and minimize the impact on public health. © 2024 IEEE.</t>
  </si>
  <si>
    <t xml:space="preserve">Proceedings - 2024 IEEE International Conference on Signal Processing, Informatics, Communication and Energy Systems: Harmonizing Signals, Data, and Energy: Bridging the Digital Future, SPICES 2024</t>
  </si>
  <si>
    <t xml:space="preserve">10.1109/SPICES62143.2024.10779897</t>
  </si>
  <si>
    <t xml:space="preserve">https://www.scopus.com/inward/record.uri?eid=2-s2.0-85215304665&amp;doi=10.1109%2fSPICES62143.2024.10779897&amp;partnerID=40&amp;md5=06d74eaa885b489be567cac7f935fa5c</t>
  </si>
  <si>
    <t xml:space="preserve">Rajagiri School of Engineering and Technology, Department of Electronics and Communication Engineering, Kerala, Kochi, India</t>
  </si>
  <si>
    <t xml:space="preserve">Thomas A.R., Rajagiri School of Engineering and Technology, Department of Electronics and Communication Engineering, Kerala, Kochi, India; Johnson A., Rajagiri School of Engineering and Technology, Department of Electronics and Communication Engineering, Kerala, Kochi, India; Baasil Samaan A.A., Rajagiri School of Engineering and Technology, Department of Electronics and Communication Engineering, Kerala, Kochi, India; Johnson D., Rajagiri School of Engineering and Technology, Department of Electronics and Communication Engineering, Kerala, Kochi, India; Sabna N., Rajagiri School of Engineering and Technology, Department of Electronics and Communication Engineering, Kerala, Kochi, India</t>
  </si>
  <si>
    <t xml:space="preserve">Blood smear images; Bone fracture; Convolutional neural network(CNN); Deep learning; Diagnostic approach; Malaria; X-rays</t>
  </si>
  <si>
    <t xml:space="preserve">Convolutional neural networks; Deep neural networks; Diagnosis; mHealth; Blood smear image; Blood smears; Bone fracture; Convolutional neural network; Deep learning; Diagnostic approach; Malaria; Medical professionals; Traumatic injury; Vector-borne disease; Diseases</t>
  </si>
  <si>
    <t xml:space="preserve">WHO World Malaria Report, (2017); WHO guidelines for malaria, WHO, (2021); Zemouri R., Zerhouni N., Racoceanu D., Deep learning in the biomedical applications: Recent and future status, Applied Sciences, 9, 8, (2019); Tobore I., Li J., Yuhang L., Et al., Deep learning intervention for health care challenges: Some biomedical domain considerations, JMIR MHealth and UHealth, 7, 8, (2019); Suzuki K., Overview of deep learning in medical imaging, Radiological Physics and Technology, 10, 3, pp. 257-273, (2017); Tavakoli N., Karimi M., Norouzi A., Karimi N., Samavi S., Soroushmehr S.M.R., Detection of abnormalities in mammograms using deep features, Journal of Ambient Intelligence and Humanized Computing, pp. 1-13, (2019); Dinesh R., Samuel J., Rajesh Kanna B., Tuberculosis (TB) detection system using deep neural networks, Neural Computing and Applications, 31, 5, pp. 1533-1545, (2019); Sivaramakrishnan R., Antani S., Xue Z., Candemir S., Jaeger S., Toma G.R., Visualizing Abnormalities in Chest Radiographs through Salient Network Activations in Deep Learning, Proceedings of the 2017 IEEE Life Sciences Conference (LSC, pp. 71-74, (2017)</t>
  </si>
  <si>
    <t xml:space="preserve">A.R. Thomas; Rajagiri School of Engineering and Technology, Department of Electronics and Communication Engineering, Kochi, Kerala, India; email: rosethomasaaggi@gmail.com</t>
  </si>
  <si>
    <t xml:space="preserve">2024 IEEE International Conference on Signal Processing, Informatics, Communication and Energy Systems, SPICES 2024</t>
  </si>
  <si>
    <t xml:space="preserve">20 September 2024 through 22 September 2024</t>
  </si>
  <si>
    <t xml:space="preserve">Kottayam</t>
  </si>
  <si>
    <t xml:space="preserve">979-835037613-5</t>
  </si>
  <si>
    <t xml:space="preserve">Proc. - IEEE Int. Conf. Signal Process., Informatics, Commun. Energy Syst.: Harmon. Signals, Data, Energy: Bridg. Digit. Future, SPICES</t>
  </si>
  <si>
    <t xml:space="preserve">2-s2.0-85215304665</t>
  </si>
  <si>
    <t xml:space="preserve">Muhammad Shameem P.; Malarvel M.</t>
  </si>
  <si>
    <t xml:space="preserve">Muhammad Shameem, P. (57469323800); Malarvel, Muthukumaran (57194420877)</t>
  </si>
  <si>
    <t xml:space="preserve">57469323800; 57194420877</t>
  </si>
  <si>
    <t xml:space="preserve">Revolutionizing Malaria Diagnosis: Precision Segmentation of Thin Blood Smears via Advanced U-Net Convolutional Architectures</t>
  </si>
  <si>
    <t xml:space="preserve">The most recent advances in deep learning have demonstrated considerable promise for medical image analysis, especially for the segmentation of thin blood smears, which are microscopic and used to diagnose malaria. This paper presents an improved Convolutional Neural Network (CNN) model for the segmentation of malaria parasites in thin blood smear images, which is based on the U-Net architecture. Our model aims to address the problems that are frequently present in microscopic images, such as overlapping cells and variable stain intensity. Specifically, our model is quite good at overcoming the inherent difficulties in microscopy imaging, especially when it comes to segmentation in conditions with overlapping cells, poor staining quality, and low contrast. Our model stands out for its ability to handle these complex scenarios, which is a major advancement over traditional segmentation strategies. The U-Net architecture is a perfect fit for this purpose because of its efficiency in segmenting biomedical images. We provide an extensive analysis of the model's performance, contrasting it with conventional segmentation techniques in terms of accuracy, sensitivity, and specificity.  © 2024 IEEE.</t>
  </si>
  <si>
    <t xml:space="preserve">diangostics</t>
  </si>
  <si>
    <t xml:space="preserve">2024 International Conference on Advances in Data Engineering and Intelligent Computing Systems, ADICS 2024</t>
  </si>
  <si>
    <t xml:space="preserve">10.1109/ADICS58448.2024.10533454</t>
  </si>
  <si>
    <t xml:space="preserve">https://www.scopus.com/inward/record.uri?eid=2-s2.0-85195177527&amp;doi=10.1109%2fADICS58448.2024.10533454&amp;partnerID=40&amp;md5=054303e411c3a3d0e3acc21577648a8c</t>
  </si>
  <si>
    <t xml:space="preserve">Hindustan Institute Of Technology And Science, Department Of Computer Science And Engineering, Chennai, India</t>
  </si>
  <si>
    <t xml:space="preserve">Muhammad Shameem P., Hindustan Institute Of Technology And Science, Department Of Computer Science And Engineering, Chennai, India; Malarvel M., Hindustan Institute Of Technology And Science, Department Of Computer Science And Engineering, Chennai, India</t>
  </si>
  <si>
    <t xml:space="preserve">Convolutional Neural Networks (CNNs); Deep Learning in Medical Imaging; Malaria Parasite Segmentation; Thin Blood Smear Analysis; U-Net Architecture</t>
  </si>
  <si>
    <t xml:space="preserve">Blood; Convolution; Convolutional neural networks; Deep learning; Diagnosis; Diseases; Image enhancement; Network architecture; Neural network models; Semantic Segmentation; Blood smears; Convolutional neural network; Deep learning in medical imaging; Malaria parasite; Malaria parasite segmentation; NET architecture; Overlapping cells; Thin blood smear analyse; U-net architecture; Medical imaging</t>
  </si>
  <si>
    <t xml:space="preserve">Kolawole E.O., Ayeni E.T., Abolade S.A., Ugwu S.E., Awoyinka T.B., Ofeh A.S., Okolo B.O., Malaria endemicity in sub-saharan Africa: Past and present issues in public health, Microbes and Infectious Diseases, 4, 1, pp. 242-251, (2023); Makler M.T., Palmer C.J., Ager A.L., A review of practical techniques for the diagnosis of malaria, Annals of tropical medicine and parasitology, 92, 4, pp. 419-434, (1998); Minaee S., Boykov Y., Porikli F., Plaza A., Kehtarnavaz N., Terzopoulos D., Image segmentation using deep learning: A survey, IEEE transactions on pattern analysis and machine intelligence, 44, 7, pp. 3523-3542, (2021); Ping Tian D., Et al., A review on image feature extraction and representation techniques, International Journal of Multimedia and Ubiquitous Engineering, 8, 4, pp. 385-396, (2013); Kumar I., Rawat J., Bhadauria H., A conventional study of edge detection technique in digital image processing, International Journal of Computer Science and Mobile Computing, 3, 4, pp. 328-334, (2014); Senthilkumaran N., Vaithegi S., Image segmentation by using thresholding techniques for medical images, Computer Science &amp; Engineering: An International Journal, 6, 1, pp. 1-13, (2016); Razzak M.I., Naz S., Zaib A., Deep learning for medical image processing: Overview, challenges and the future, Classification in BioApps: Automation of Decision Making, pp. 323-350, (2018); Zhang Q., Zhang L., Convolutional adaptive denoising autoencoders for hierarchical feature extraction, Frontiers of Computer Science, 12, pp. 1140-1148, (2018); Zhang J., Hu J., Image segmentation based on 2d otsu method with histogram analysis, 2008 international conference on computer science and software engineering, 6, pp. 105-108, (2008); Chen S., Haralick R.M., Recursive erosion, dilation, opening, and closing transforms, IEEE Transactions on image processing, 4, 3, pp. 335-345, (1995); Pinkaew A., Limpiti T., Trirat A., Automated classification of malaria parasite species on thick blood film using support vector machine, 2015 8th Biomedical Engineering International Conference (BMEiCON). IEEE, pp. 1-5, (2015); Murmu A., Kumar P., Dlrfnet: deep learning with random forest network for classification and detection of malaria parasite in blood smear, Multimedia Tools and Applications, pp. 1-23, (2024); Delgado-Ortet M., Molina A., Alferez S., Rodellar J., Merino A., A deep learning approach for segmentation of red blood cell images and malaria detection, Entropy, 22, 6, (2020); Umer M., Sadiq S., Ahmad M., Ullah S., Choi G.S., Mehmood A., A novel stacked cnn for malarial parasite detection in thin blood smear images, IEEE Access, 8, pp. 93782-93792, (2020); Malaria Cell Images Dataset, (2018); Yadav G., Maheshwari S., Agarwal A., Contrast limited adaptive histogram equalization based enhancement for real time video system, 2014 international conference on advances in computing, communications and informatics (ICACCI). IEEE, pp. 2392-2397, (2014); Ware C., Rose J., Rotating virtual objects with real handles, ACM Transactions on Computer-Human Interaction (TOCHI), 6, 2, pp. 162-180, (1999); Rajaraman S., Zamzmi G., Antani S.K., Novel loss functions for ensemble-based medical image classification, Plos one, 16, 12, (2021); Kumar K.K., Et al., An efficient image classification of malaria parasite using convolutional neural network and adam optimizer, Turkish Journal of Computer and Mathematics Education (TURCOMAT), 12, 2, pp. 3376-3384, (2021); Swastika W., Widodo R.B., Balqis G.A., Sitepu R., The effect of regularization on deep learning methods for detection of malaria infection, 2021 International Conference on Converging Technology in Electrical and Information Engineering (ICCTEIE). IEEE, pp. 87-90, (2021); Devi S.S., Singha J., Sharma M., Laskar R.H., Erythrocyte segmentation for quantification in microscopic images of thin blood smears, Journal of Intelligent &amp; Fuzzy Systems, 32, 4, pp. 2847-2856, (2017)</t>
  </si>
  <si>
    <t xml:space="preserve">M. Malarvel; Hindustan Institute Of Technology And Science, Department Of Computer Science And Engineering, Chennai, India; email: mmuthu@hindustanuniv.ac.in</t>
  </si>
  <si>
    <t xml:space="preserve">979-835036482-8</t>
  </si>
  <si>
    <t xml:space="preserve">Int. Conf. Adv. Data Eng. Intell. Comput. Syst., ADICS</t>
  </si>
  <si>
    <t xml:space="preserve">2-s2.0-85195177527</t>
  </si>
  <si>
    <t xml:space="preserve">SAMMI: Segment Anything Model for Malaria Identification</t>
  </si>
  <si>
    <t xml:space="preserve">Malaria, a life-threatening disease caused by the Plasmodium parasite, is a pressing global health challenge. Timely detection is critical for effective treatment. This paper introduces a novel computer-aided diagnosis system for detecting Plasmodium parasites in blood smear images, aiming to enhance automation and accessibility in comprehensive screening scenarios. Our approach integrates the Segment Anything Model for precise unsupervised parasite detection. It then employs a deep learning framework, combining Convolutional Neural Networks and Vision Transformer to accurately classify malaria-infected cells. We rigorously evaluate our system using the IML public dataset and compare its performance against various off-the-shelf object detectors. The results underscore the efficacy of our method, demonstrating superior accuracy in detecting and classifying malaria-infected cells. This innovative Computer-aided diagnosis system presents a reliable and near real-time solution for malaria diagnosis, offering significant potential for widespread implementation in healthcare settings. By automating the diagnosis process and ensuring high accuracy, our system can contribute to timely interventions, thereby advancing the fight against malaria globally. © 2024 by Paper published under CC license (CC BY-NC-ND 4.0).</t>
  </si>
  <si>
    <t xml:space="preserve">Proceedings of the International Joint Conference on Computer Vision, Imaging and Computer Graphics Theory and Applications</t>
  </si>
  <si>
    <t xml:space="preserve">Science and Technology Publications, Lda</t>
  </si>
  <si>
    <t xml:space="preserve">10.5220/0012325500003660</t>
  </si>
  <si>
    <t xml:space="preserve">https://www.scopus.com/inward/record.uri?eid=2-s2.0-85191308984&amp;doi=10.5220%2f0012325500003660&amp;partnerID=40&amp;md5=6e016676022649a78c9eac4517b81b1e</t>
  </si>
  <si>
    <t xml:space="preserve">Department of Mathematics and Computer Science, University of Cagliari, Italy</t>
  </si>
  <si>
    <t xml:space="preserve">Zedda L., Department of Mathematics and Computer Science, University of Cagliari, Italy; Loddo A., Department of Mathematics and Computer Science, University of Cagliari, Italy; Di Ruberto C., Department of Mathematics and Computer Science, University of Cagliari, Italy</t>
  </si>
  <si>
    <t xml:space="preserve">Ministero dell’Istruzione, dell’Università e della Ricerca, MIUR; National Recovery and Resilience Plan; European Commission, EC, (CUP F53C22000430001, 1056); European Commission, EC</t>
  </si>
  <si>
    <t xml:space="preserve">We acknowledge financial support under the National Recovery and Resilience Plan (NRRP), Mission 4 Component 2 Investment 1.5\u2014Call for tender No. 3277 published on December 30, 2021, by the Italian Ministry of University and Research (MUR) funded by the European Union\u2014NextGenerationEU. Project Code ECS0000038\u2014Project Title eINS Ecosystem of Innovation for Next Generation Sardinia\u2014CUP F53C22000430001\u2014Grant Assignment Decree No. 1056 adopted on June 23, 2022, by the Italian Ministry of University and Research (MUR).</t>
  </si>
  <si>
    <t xml:space="preserve">Arshad Q. A., Ali M., Hassan S., Chen C., Imran A., Rasul G., Sultani W., A dataset and benchmark for malaria life-cycle classification in thin blood smear images, Neural Comput. Appl, 34, 6, pp. 4473-4485, (2022); Croitoru F., Hondru V., Ionescu R. T., Shah M., Diffusion models in vision: A survey, IEEE Trans. Pattern Anal. Mach. Intell, 45, 9, pp. 10850-10869, (2023); Deng J., Dong W., Socher R., Li L.-J., Li K., FeiFei L., Imagenet: A large-scale hierarchical image database, 2009 IEEE conference on computer vision and pattern recognition, pp. 248-255, (2009); Dosovitskiy A., Beyer L., Kolesnikov A., Weissenborn D., Zhai X., Unterthiner T., Dehghani M., Minderer M., Heigold G., Gelly S., Uszkoreit J., Houlsby N., An image is worth 16x16 words: Transformers for image recognition at scale, 9th International Conference on Learning Representations, ICLR 2021, (2021); Khan S. H., Naseer M., Hayat M., Zamir S. W., Khan F. S., Shah M., Transformers in vision: A survey, ACM Comput. Surv, 54, 10s, (2022); Kirillov A., Mintun E., Ravi N., Mao H., Rolland C., Gustafson L., Xiao T., Whitehead S., Berg A. C., Lo W., Dollar P., Girshick R. B., Segment anything, CoRR, (2023); Lin T.-Y., Maire M., Belongie S., Bourdev L., Girshick R., Hays J., Perona P., Ramanan D., Zitnick C. L., Dollar P., Microsoft coco: Common objects in context, (2015); Liu Z., Hu H., Lin Y., Yao Z., Xie Z., Wei Y., Ning J., Cao Y., Zhang Z., Dong L., Wei F., Guo B., Swin transformer V2: scaling up capacity and resolution, IEEE/CVF Conference on Computer Vision and Pattern Recognition, CVPR 2022, pp. 11999-12009, (2022); Liu Z., Lin Y., Cao Y., Hu H., Wei Y., Zhang Z., Lin S., Guo B., Swin transformer: Hierarchical vision transformer using shifted windows, 2021 IEEE/CVF International Conference on Computer Vision, ICCV 2021, pp. 9992-10002, (2021); Liu Z., Mao H., Wu C., Feichtenhofer C., Darrell T., Xie S., A convnet for the 2020s, IEEE/CVF Conference on Computer Vision and Pattern Recognition, CVPR 2022, pp. 11966-11976, (2022); Loddo A., Ruberto C. D., Kocher M., Recent advances of malaria parasites detection systems based on mathematical morphology, Sensors, 18, 2, (2018); Loh D. R., Yong W. X., Yapeter J., Subburaj K., Chandramohanadas R., A deep learning approach to the screening of malaria infection: Automated and rapid cell counting, object detection and instance segmentation using mask R-CNN, Comput. Medical Imaging Graph, 88, (2021); Mukherjee S., Chatterjee S., Bandyopadhyay O., Biswas A., Detection of malaria parasites in thin blood smears using cnn-based approach, Computational Intelligence and Machine Learning, pp. 19-27, (2021); Narejo S., Pandey B., Esenarro Vargas D., Rodriguez C., Anjum M., Weapon detection using yolo v3 for smart surveillance system, Mathematical Problems in Engineering, 2021, pp. 1-9, (2021); Sengar N., Burget R., Dutta M., A vision transformer based approach for analysis of plasmodium vivax life cycle for malaria prediction using thin blood smear microscopic images, Computer Methods and Programs in Biomedicine, 224, (2022); Sultani W., Nawaz W., Javed S., Danish M. S., Saadia A., Ali M., Towards low-cost and efficient malaria detection, IEEE/CVF Conference on Computer Vision and Pattern Recognition, CVPR 2022, pp. 20655-20664, (2022); Vaswani A., Shazeer N., Parmar N., Uszkoreit J., Jones L., Gomez A. N., Kaiser L., Polosukhin I., Attention is all you need, Advances in Neural Information Processing Systems 30: Annual Conference on Neural Information Processing Systems 2017, pp. 5998-6008, (2017); Wang C., Bochkovskiy A., Liao H. M., Yolov7: Trainable bag-of-freebies sets new stateof-the-art for real-time object detectors, CoRR, (2022); World Malaria Report 2022, (2022); Woo S., Park J., Lee J., Kweon I. S., CBAM: convolutional block attention module, Computer Vision - ECCV 2018 - 15th European Conference, Munich, Germany, September 8-14, 2018, Proceedings, Part VII, volume 11211 of Lecture Notes in Computer Science, pp. 3-19, (2018); Zedda L., Loddo A., Di Ruberto C., A deep learning based framework for malaria diagnosis on high variation data set, Image Analysis and Processing - ICIAP 2022 - 21st International Conference, Lecce, Italy, May 23-27, 2022, Proceedings, Part II, volume 13232 of Lecture Notes in Computer Science, pp. 358-370, (2022); Zhao X., Ding W., An Y., Du Y., Yu T., Li M., Tang M., Wang J., Fast Segment Anything, (2023); Zou Z., Chen K., Shi Z., Guo Y., Ye J., Object detection in 20 years: A survey, Proc. IEEE, 111, 3, pp. 257-276, (2023)</t>
  </si>
  <si>
    <t xml:space="preserve">Radeva P.; Furnari A.; Bouatouch K.; Sousa A.A.</t>
  </si>
  <si>
    <t xml:space="preserve">19th International Joint Conference on Computer Vision, Imaging and Computer Graphics Theory and Applications, VISIGRAPP 2024</t>
  </si>
  <si>
    <t xml:space="preserve">27 February 2024 through 29 February 2024</t>
  </si>
  <si>
    <t xml:space="preserve">Rome</t>
  </si>
  <si>
    <t xml:space="preserve">Proc. Int. Jt. Conf. Comput. Vis. Imaging Comput. Graph. Theory Appl.</t>
  </si>
  <si>
    <t xml:space="preserve">2-s2.0-85191308984</t>
  </si>
  <si>
    <t xml:space="preserve">Teillet C.; Devillers R.; Tran A.; Marti R.; Demarchi M.; Catry T.; Rwagitinywa J.; Restrepo J.; Dessay N.; Roux E.</t>
  </si>
  <si>
    <t xml:space="preserve">Teillet, Claire (57225054585); Devillers, Rodolphe (6603780652); Tran, Annelise (7103072369); Marti, Renaud (59279149600); Demarchi, Marie (55672377800); Catry, Thibault (25722997300); Rwagitinywa, Joseph (59206820200); Restrepo, Johana (57211142076); Dessay, Nadine (6506003869); Roux, Emmanuel (55756795300)</t>
  </si>
  <si>
    <t xml:space="preserve">57225054585; 6603780652; 7103072369; 59279149600; 55672377800; 25722997300; 59206820200; 57211142076; 6506003869; 55756795300</t>
  </si>
  <si>
    <t xml:space="preserve">Spatial and temporal predictions of mosquito potential breeding sites and densities: integration of satellite imagery, in-situ data, and process-based modeling</t>
  </si>
  <si>
    <t xml:space="preserve">Dengue fever, primarily transmitted worldwide by the mosquito Aedes aegypti, poses significant public health challenges in tropical and subtropical regions. While effective vector control is crucial in the absence of reliable dengue vaccines, traditional control methods face obstacles like mosquito resistance to insecticides and a very high cost. By combining geospatial data, including satellite imagery, as descriptors, and entomological surveys as target variables in a Random Forest model, we predicted the number of potential mosquito breeding sites, derived the associated environmental carrying capacity for larvae, and used the Arbocarto process-based model to predict Ae.aegypti population densities in an urban region of French Guiana, South America. Our findings highlight that remote sensing data may help predict the number of potential breeding sites over urban areas. Our simulations indicate higher mosquito densities in urban residential areas and a strong spatial and temporal heterogeneity. These densities fluctuate according to intra-annual variations in temperature and precipitation, with higher densities associated with intermediate housing. A comparison with the conventional estimation of environmental carrying capacity for larvae in the current Arbocarto procedure highlights the advantages of our approach. Our study demonstrates the utility of integrating remote sensing with predictive modeling to enhance vector surveillance and control strategies, and provides a replicable approach for monitoring a dengue vector mosquito population in dynamic urban landscapes. © Author(s) 2024. CC BY 4.0 License.</t>
  </si>
  <si>
    <t xml:space="preserve">France</t>
  </si>
  <si>
    <t xml:space="preserve">Cayenne Island, French Guiana (municipalities: Cayenne, Matoury, Rémire-Montjoly)</t>
  </si>
  <si>
    <t xml:space="preserve">In-situ entomological survey data on mosquito breeding sites, Pléiades satellite imagery (0.5m–2m resolution), LiDAR-derived digital elevation model (DEM), Urban classification data (AUDeG) , Meteorological data (rainfall and temperature)</t>
  </si>
  <si>
    <t xml:space="preserve">Dengue fever (transmitted by Aedes aegypti)</t>
  </si>
  <si>
    <t xml:space="preserve">Random Forest, Arbocarto Process-Based Model</t>
  </si>
  <si>
    <t xml:space="preserve">- R² (0.90 for breeding site prediction, 0.82 for environmental carrying capacity) 
- RMSLE
- Wilcoxon test (to compare prediction methods)</t>
  </si>
  <si>
    <t xml:space="preserve">- Potential overfitting of RF model to local data - Lack of external validation data 
- Sampling bias due to operational use of entomological data 
- Carrying capacity estimation based on assumed larvae productivity (10 larvae per breeding site) 
- Urban classification dated (2019) vs satellite data (2022)</t>
  </si>
  <si>
    <t xml:space="preserve">10.5194/isprs-archives-XLVIII-3-2024-539-2024</t>
  </si>
  <si>
    <t xml:space="preserve">https://www.scopus.com/inward/record.uri?eid=2-s2.0-85213362574&amp;doi=10.5194%2fisprs-archives-XLVIII-3-2024-539-2024&amp;partnerID=40&amp;md5=1e170f5a40559c73a23c7962cec95f6e</t>
  </si>
  <si>
    <t xml:space="preserve">ESPACE-DEV (IRD, U. Montpellier, U. Guyane, U. La Reunion, U. Antilles, U. Perpignan, U. Nouvelle Calédonie), Montpellier, France; TETIS, U. Montpellier, AgroParisTech, CIRAD, CNRS, INRAE), Montpellier, France; DEMARCHI Marie, Montpellier, France; Collectivité Territoriale de Guyane (CTG), Direction de la Démoustication, Cayenne, French Guiana; International Joint Laboratory Sentinela (IRD, Oswaldo Cruz Foundation (Fiocruz), U. Brasília (UnB)), Montpellier, France</t>
  </si>
  <si>
    <t xml:space="preserve">Teillet C., ESPACE-DEV (IRD, U. Montpellier, U. Guyane, U. La Reunion, U. Antilles, U. Perpignan, U. Nouvelle Calédonie), Montpellier, France; Devillers R., ESPACE-DEV (IRD, U. Montpellier, U. Guyane, U. La Reunion, U. Antilles, U. Perpignan, U. Nouvelle Calédonie), Montpellier, France; Tran A., TETIS, U. Montpellier, AgroParisTech, CIRAD, CNRS, INRAE), Montpellier, France; Marti R., TETIS, U. Montpellier, AgroParisTech, CIRAD, CNRS, INRAE), Montpellier, France; Demarchi M., DEMARCHI Marie, Montpellier, France; Catry T., ESPACE-DEV (IRD, U. Montpellier, U. Guyane, U. La Reunion, U. Antilles, U. Perpignan, U. Nouvelle Calédonie), Montpellier, France; Rwagitinywa J., Collectivité Territoriale de Guyane (CTG), Direction de la Démoustication, Cayenne, French Guiana; Restrepo J., Collectivité Territoriale de Guyane (CTG), Direction de la Démoustication, Cayenne, French Guiana; Dessay N., ESPACE-DEV (IRD, U. Montpellier, U. Guyane, U. La Reunion, U. Antilles, U. Perpignan, U. Nouvelle Calédonie), Montpellier, France; Roux E., ESPACE-DEV (IRD, U. Montpellier, U. Guyane, U. La Reunion, U. Antilles, U. Perpignan, U. Nouvelle Calédonie), Montpellier, France, International Joint Laboratory Sentinela (IRD, Oswaldo Cruz Foundation (Fiocruz), U. Brasília (UnB)), Montpellier, France</t>
  </si>
  <si>
    <t xml:space="preserve">Aedes; machine learning; population dynamics model; remote sensing; vector control</t>
  </si>
  <si>
    <t xml:space="preserve">Mosquito control; Population statistics; Vector control (Electric machinery); Aedes; Environmental carrying capacities; In-situ process; Machine-learning; Population dynamic model; Process-based modeling; Remote-sensing; Spatial prediction; Temporal prediction; Vector control; Population dynamics</t>
  </si>
  <si>
    <t xml:space="preserve">Dispositif Institutionnel National d’Accès Mutualisé en Imagerie Satellitaire; PROGYSAT Interreg; Collectivité Territoriale de Guyane; French Occitanie Region; French space agency CNES</t>
  </si>
  <si>
    <t xml:space="preserve">We thank the \u201CCollectivit\u00E9 Territoriale de Guyane\u201D (CTG) for providing the breeding site dataset. We also thank all the participants of the \u2018Arbocarto\u2019 training in French Guiana in November 2023 for fruitful exchanges (Patrice Azor, Timoth\u00E9e Bonifay, Virginie Cebrian, Loreinzia Clarke, Medie Collet, Leo Destison, Jean Bernard Duchemin, Lo\u00EFc Epelboin, Amandine Guidez, Francky Mubenga, Johana Restrepo, Joseph Rwagitinywa, Stanislas Talaga). We also thank Juliette Guirado from AUDeG for useful discussions related to this study. Pl\u00E9iades images were provided by DINAMIS (\u201CDispositif Institutionnel National d\u2019Acc\u00E8s Mutualis\u00E9 en Imagerie Satellitaire\u201D). Pl\u00E9iades \u00A9 CNES 2022 Distribution AIRBUS DS. This work has been funded thanks to the French space agency CNES and the French Occitanie Region. It also received the support of the European PROGYSAT Interreg project.</t>
  </si>
  <si>
    <t xml:space="preserve">Arduino M., Mucci L.F., Santos L.M., Soares M.F., Importance of microenvironment to arbovirus vector distribution in an urban area, São Paulo, Brazil, Rev. Soc. Bras. Med. Trop, 53, (2020); Panorama n°4 de l’observatoire du foncier - Atlas des tissus urbains: Identification et description, (2019); Bailly S., Rousset D., Fritzell C., Hoze N., Ben Achour S., Berthelot L., Enfissi A., Vanhomwegen J., Salje H., Fernandes-Pellerin S., Saout M., Lavergne A., Manuguerra J.C., Carod J.-F., Djossou F., Cauchemez S., Flamand C., Spatial Distribution and Burden of Emerging Arboviruses in French Guiana, Viruses, 13, (2021); Bonnin L., Tran A., Herbreteau V., Marcombe S., Boyer S., Mangeas M., Menkes C., Predicting the Effects of Climate Change on Dengue Vector Densities in Southeast Asia through Process-Based Modeling, Environ. Health Perspect, 130, (2022); Bowman L.R., Runge-Ranzinger S., McCall P.J., Assessing the relationship between vector indices and dengue transmission: a systematic review of the evidence, PLoS Negl. Trop. Dis, 8, (2014); David M.R., Lourenco-de-Oliveira R., Freitas R.M., Container productivity, daily survival rates and dispersal of Aedes aegypti mosquitoes in a high income dengue epidemic neighbourhood of Rio de Janeiro: presumed influence of differential urban structure on mosquito biology, Mem. Inst. Oswaldo Cruz, 104, pp. 927-932, (2009); Dickens B.L., Sun H., Jit M., Cook A.R., Carrasco L.R., Determining environmental and anthropogenic factors which explain the global distribution of Aedes aegypti and Ae. albopictus, BMJ Glob. Health, 3, (2018); Epelboin Y., Chaney S.C., Guidez A., Habchi-Hanriot N., Talaga S., Wang L., Dusfour I., Successes and failures of sixty years of vector control in French Guiana: what is the next step?, Mem. Inst. Oswaldo Cruz, 113, (2018); Erguler K., Smith-Unna S.E., Waldock J., Proestos Y., Christophides G.K., Lelieveld J., Parham P.E., Large-Scale Modelling of the Environmentally-Driven Population Dynamics of Temperate Aedes albopictus (Skuse), PLOS ONE, 11, (2016); Fuller D.O., Troyo A., Calderon-Arguedas O., Beier J.C., Dengue vector (Aedes aegypti ) larval habitats in an urban environment of Costa Rica analysed with ASTER and QuickBird imagery, Int. J. Remote Sens, 31, pp. 3-11, (2010); Hesselbarth M.H.K., Sciaini M., With K.A., Wiegand K., Nowosad J., landscapemetrics: an open-source R tool to calculate landscape metrics, Ecography, 42, pp. 1648-1657, (2019); Kolimenakis A., Heinz S., Wilson M.L., Winkler V., Yakob L., Michaelakis A., Papachristos D., Richardson C., Horstick O., The role of urbanisation in the spread of Aedes mosquitoes and the diseases they transmit-A systematic review, PLoS Negl. Trop. Dis, 15, (2021); Kuhn M., Johnson K., Measuring Performance in Regression Models, Applied Predictive Modeling, pp. 95-100, (2013); Lorenz C., Castro M.C., Trindade P.M.P., Nogueira M.L., de Oliveira Lage M., Quintanilha J.A., Parra M.C., Dibo M.R., Favaro E.A., Guirado M.M., Chiaravalloti-Neto F., Predicting Aedes aegypti infestation using landscape and thermal features, Sci. Rep, 10, (2020); Machault V., Yebakima A., Etienne M., Vignolles C., Palany P., Tourre Y., Guerecheau M., Lacaux J.-P., Mapping Entomological Dengue Risk Levels in Martinique Using High-Resolution Remote-Sensing Environmental Data, ISPRS Int. J. Geo-Inf, 3, (2014); Marceau D.J., The Scale Issue in the Social and Natural Sciences, Can. J. Remote Sens, 25, pp. 347-356, (1999); Marti R., Castets M., Demarchi M., Catry T., Besnard G., Chouin S., Clement C., Esteve-Moussion I., Etienne M., Foussadier R., Habchi-Hanriot N., Jouanthoua F., L'Ambert G., Godal A., Tran A., ARBOCARTO: An operational spatial modeling tool to predict Aedes albopictus dynamics and the impact of vector control interventions [WWW Document], (2022); Moreno-Madrinan M.J., Crosson W.L., Eisen L., Estes S.M., Estes M.G., Hayden M., Hemmings S.N., Irwin D.E., Lozano-Fuentes S., Monaghan A.J., Quattrochi D., Welsh-Rodriguez C.M., Zielinski-Gutierrez E., Correlating Remote Sensing Data with the Abundance of Pupae of the Dengue Virus Mosquito Vector, Aedes aegypti, in Central Mexico, ISPRS Int. J. Geo-Inf, 3, pp. 732-749, (2014); Oliveira U., Soares-Filho B., Nunes F., Controlling the effects of sampling bias in biodiversity models, J. Biogeogr. n/a, (2024); Qureshi A., Keen E., Brown G., Cator L., The size of larval rearing container modulates the effects of diet amount and larval density on larval development in Aedes aegypti, PLOS ONE, 18, (2023); Richman R., Diallo D., Diallo M., Sall A.A., Faye O., Diagne C.T., Dia I., Weaver S.C., Hanley K.A., Buenemann M., Ecological niche modeling of Aedes mosquito vectors of chikungunya virus in southeastern Senegal, Parasit. Vectors, 11, (2018); Rodriguez Gonzalez C., Guzman C., Andreo V., Using VHR satellite imagery, OBIA and landscape metrics to improve mosquito surveillance in urban areas, Ecol. Inform, 77, (2023); Schmidt T.L., Elfekih S., Cao L.-J., Wei S.-J., Al-Fageeh M.B., Nassar M., Al-Malik A., Hoffmann A.A., Close Kin Dyads Indicate Intergenerational Dispersal and Barriers, Am. Nat, 201, pp. 65-77, (2023); Segal M.R., Machine Learning Benchmarks and Random Forest Regression, (2004); Teillet C., Devillers R., Tran A., Catry T., Marti R., Dessay N., Rwagitinywa J., Restrepo J., Roux E., Exploring fine-scale urban landscapes using satellite data to predict the distribution of Aedes mosquito breeding sites, Int. J. Health Geogr, 23, (2024); Teillet C., Pillot B., Catry T., Demagistri L., Lyszczarz D., Lang M., Couteron P., Barbier N., Adou Kouassi A., Gunther Q., Dessay N., Fast Unsupervised Multi-Scale Characterization of Urban Landscapes Based on Earth Observation Data, Remote Sens, 13, (2021); Tran A., L'Ambert G., Lacour G., Benoit R., Demarchi M., Cros M., Cailly P., Aubry-Kientz M., Balenghien T., Ezanno P., A Rainfall- and Temperature-Driven Abundance Model for Aedes albopictus Populations, Int. J. Environ. Res. Public. Health, 10, pp. 1698-1719, (2013); Tran A., Mangeas M., Demarchi M., Roux E., Degenne P., Haramboure M., Goff G.L., Damiens D., Gouagna L.-C., Herbreteau V., Dehecq J.-S., Complementarity of empirical and process-based approaches to modelling mosquito population dynamics with Aedes albopictus as an example-Application to the development of an operational mapping tool of vector populations, PLOS ONE, 15, (2020); Weeratunga P., Rodrigo C., Fernando S.D., Rajapakse S., Control methods for Aedes albopictus and Aedes aegypti, Cochrane Database Syst. Rev, 2017, (2017); Wilke A.B.B., Vasquez C., Carvajal A., Moreno M., Fuller D.O., Cardenas G., Petrie W.D., Beier J.C., Urbanization favors the proliferation of Aedes aegypti and Culex quinquefasciatus in urban areas of Miami-Dade County, Florida, Sci. Rep, 11, (2021); Wimberly M.C., Davis J.K., Evans M.V., Hess A., Newberry P.M., Solano-Asamoah N., Murdock C.C., Land cover affects microclimate and temperature suitability for arbovirus transmission in an urban landscape, PLoS Negl. Trop. Dis, 14, (2020)</t>
  </si>
  <si>
    <t xml:space="preserve">C. Teillet; ESPACE-DEV (IRD, U. Montpellier, U. Guyane, Montpellier, U. La Reunion, U. Antilles, U. Perpignan, U. Nouvelle Calédonie), France; email: claire.teillet@ird.fr</t>
  </si>
  <si>
    <t xml:space="preserve">Polidori L.; Gomes A.; Faure J-F.</t>
  </si>
  <si>
    <t xml:space="preserve">2024 Symposium on Beyond the Canopy: Technologies and Applications of Remote Sensing</t>
  </si>
  <si>
    <t xml:space="preserve">4 November 2024 through 8 November 2024</t>
  </si>
  <si>
    <t xml:space="preserve">2-s2.0-85213362574</t>
  </si>
  <si>
    <t xml:space="preserve">Gunawan W.; Purnomo H.; Dewi C.; Iriani A.; Sembiring I.</t>
  </si>
  <si>
    <t xml:space="preserve">Gunawan, Wawan (55710884000); Purnomo, Hindriyanto (42462221100); Dewi, Christine (57210169726); Iriani, Ade (56586091300); Sembiring, Irwan (57193795105)</t>
  </si>
  <si>
    <t xml:space="preserve">55710884000; 42462221100; 57210169726; 56586091300; 57193795105</t>
  </si>
  <si>
    <t xml:space="preserve">Systematic Literature Review: Disease Classification Modeling Using Deep Learning Algorithms</t>
  </si>
  <si>
    <t xml:space="preserve">This research focuses on models and algorithms used in studies of diseases such tuberculosis, malaria, diabetes, heart disease, and cancer. It also looks at long-term management, therapy, and prevention of chronic disease complications. The objective is to achieve a thorough understanding of the algorithms employed for various diseases, aiding in the development of more effective treatment strategies. Various algorithms, such as decision trees, SVM, Random Forest, Naive Bayes, and neural networks like RNN, LSTM, and CNN, are analyzed. The study finds that deep learning algorithms, when combined with data reduction techniques such as PCA and LDA, show significant results in disease modeling. These techniques enhance efficiency and accuracy in diagnosis, treatment, and prevention. This study uncovers how these algorithms can identify patterns, trends, and associations in large and complex health datasets. This contributes to new insights in disease research that deep learning algorithms show significant results in disease modeling with data reduction techniques such as PCA and LDA. This research also finds that deep learning algorithms can improve efficiency and accuracy in diagnosis, treatment, and disease prevention. The combination of PCA with deep learning algorithms such as LSTM, CNN, and GNN shows potential in improving predictive performance.s. © 2024 IEEE.</t>
  </si>
  <si>
    <t xml:space="preserve">diagnostics/treatment monitoring</t>
  </si>
  <si>
    <t xml:space="preserve">Proceedings - 2024 2nd International Conference on Technology Innovation and Its Applications, ICTIIA 2024</t>
  </si>
  <si>
    <t xml:space="preserve">10.1109/ICTIIA61827.2024.10761789</t>
  </si>
  <si>
    <t xml:space="preserve">https://www.scopus.com/inward/record.uri?eid=2-s2.0-85214534153&amp;doi=10.1109%2fICTIIA61827.2024.10761789&amp;partnerID=40&amp;md5=8205aa779deba4a85658337d18067ae7</t>
  </si>
  <si>
    <t xml:space="preserve">Satya Wacana Christian University, Faculty of Information Technology, Salatiga, Indonesia</t>
  </si>
  <si>
    <t xml:space="preserve">Gunawan W., Satya Wacana Christian University, Faculty of Information Technology, Salatiga, Indonesia; Purnomo H., Satya Wacana Christian University, Faculty of Information Technology, Salatiga, Indonesia; Dewi C., Satya Wacana Christian University, Faculty of Information Technology, Salatiga, Indonesia; Iriani A., Satya Wacana Christian University, Faculty of Information Technology, Salatiga, Indonesia; Sembiring I., Satya Wacana Christian University, Faculty of Information Technology, Salatiga, Indonesia</t>
  </si>
  <si>
    <t xml:space="preserve">Deep learning; disesases; LDA; PCA; SLR</t>
  </si>
  <si>
    <t xml:space="preserve">Malaria control; Classification models; Deep learning; Disease classification; Disease models; Disesasis; LDA; PCA; Reduction techniques; SLR; Systematic literature review; Contrastive Learning</t>
  </si>
  <si>
    <t xml:space="preserve">Zhang J., Et al., Studying patterns and predictors of HIV viral suppression using A Big Data approach: A research protocol, BMC Infect. Dis, 22, 1, pp. 1-12, (2022); Pinheiro L.I.C.C., Pereira M.L.D., Fernandez M.P., Filho F.M.V., De Abreu W.J.C.P., Pinheiro P.G.C.D., Application of Data Mining Algorithms for Dementia in People with HIV/AIDS, Hindawi Comput. Math. Methods Med, 2021, pp. 1-8, (2021); Flores A.A., Talavera A., Portilla E.E., Predicting the HIV/AIDS Knowledge among the Adolescent and Young Adult Population in Peru: Application of Quasi-Binomial Logistic Regression and Machine Learning Algorithms, MDPI Int. J. Environ. Res. Public Heal, 20, 7, pp. 1-29, (2023); Nisa S.U., Mahmood A., Ujager F.S., Malik M., HIV/AIDS predictive model using random forest based on sociodemographical, biological and behavioral data, Egypt. Informatics J, 24, 1, pp. 107-115, (2023); Rodriguez S.D., Et al., Machine learning outperformed logistic regression classification even with limit sample size: A model to predict pediatric HIV mortality and clinical progression to AIDS, PLoS One, 17, 10, pp. 1-13, (2022); Thiabaud A., Triulzi I., Orel E., Tal K., Keiser O., Social, behavioral, and cultural factors of HIV in Malawi: Semiautomated systematic review, J. Med. Internet Res, 22, 8, pp. 1-11, (2020); Hopkins K.L., Et al., Demographics and health profile on precursors of non-communicable diseases in adults testing for HIV in Soweto, South Africa: A cross-sectional study, BMJ Open, 9, 12, (2019); Tohari A., Chamidah N., Fatmawati, Modeling of HIV and AIDS in Indonesia Using Bivariate Negative Binomial Regression, IOP Conf. Ser. Mater. Sci. Eng, 546, 5, pp. 1-6, (2019); Verma D., Bose C., Tufchi N., Pant K., Tripathi V., Thapliyal A., An efficient framework for identification of Tuberculosis and Pneumonia in chest X-ray images using Neural Network, Procedia Comput. Sci, 171, pp. 217-224, (2020); Rahim A., Kusrini K., Luthfi E.T., Convolutional Neural Network untuk Kalasifikasi Penggunaan Masker, Inspir. J. Teknol. Inf. dan Komun, 10, 2, (2020); Akter S., Et al., AD-CovNet: An exploratory analysis using a hybrid deep learning model to handle data imbalance, predict fatality, and risk factors in Alzheimer's patients with COVID-19, ELSEVIER Comput. Biol. Med, 146, pp. 1-19, (2022); Kamina K.M., Mwalili S., Wanjoya A., The Modeling of a Stochastic SIR Model for HIV/AIDS Epidemic Using Gillespie's Algorithm, Int. J. Data Sci. Anal, 5, 6, pp. 117-122, (2019); Oliveira A., Faria B.M., Gaio A.R., Reis L.P., Data Mining in HIV-AIDS Surveillance System: Application to Portuguese Data, Springer J. Med. Syst, 41, 4, pp. 1-12, (2017); Manoochehri Z., Salari N., Rezaei M., Khazaie H., Manoochehri S., Pavah B.K., Comparison of support vector machine based on genetic algorithm with logistic regression to diagnose obstructive sleep apnea, J. Res. Med. Sci, pp. 1-7, (2018); Khaleel A.H., Aluhail G.A., Hussan B.M., A Weighted Voting of K-Nearest Neighbor Algorithm for Diabetes Mellitus, Int. J. Comput. Sci. Mob. Comput, 6, 1, pp. 43-51, (2017); Rastogi R., Bansal M., Diabetes prediction model using data mining techniques, Meas. Sensors, 25, pp. 1-9, (2023); Ozcan M., Peker S., A classification and regression treealgorithm for heart disease modeling and prediction, ELSEVIER Healthc. Anal, 3, pp. 1-9, (2023); Ye Z., Song P., Zheng D., Zhang X., Wu J., A Naive Bayes model on lung adenocarcinoma projection based on tumor microenvironment and weighted gene co-expression network analysis, Infectious Disease Modelling, 7, 3, pp. 498-509, (2022); Zhang X., Sun Y., Breast cancer risk prediction model based on C5.0 algorithm for postmenopausal women, 2018 Int. Conf. Secur. Pattern Anal. Cybern, pp. 321-325, (2018); Xie Y., Zhu C., Zhou W., Li Z., Liu X., Tu M., Evaluation of machine learning methods for formation lithology identification: A comparison of tuning processes and model performances, J. Pet. Sci. Eng, 160, pp. 182-193, (2018); Tu W., Et al., Machine learning models reveal neurocognitive impairment type and prevalence are associated with distinct variables in HIV/AIDS, Springer J. NeuroVirology, 26, pp. 41-51, (2020); Karatas G., Demir O., Sahingoz O.K., Increasing the Performance of Machine Learning-Based IDSs on an Imbalanced and Up-to-Date Dataset, IEEE Access, 8, pp. 32150-32162, (2020); Shi M., Et al., Machine learning-based in-hospital mortality prediction of HIV/AIDS patients with Talaromyces marneffei infection in Guangxi, China, PLoS Negl. Trop. Dis, 16, 5, pp. 1-18, (2022); Swathy M., Saruladha K., A comparative study of classification and prediction of Cardio-Vascular Diseases (CVD) using Machine Learning and Deep Learning techniques, Sci. ICT Express, 8, pp. 109-116, (2022); Fan J., Bai J., Li Z., Ortiz-Bobea A., Gomes C.P., A GNNRNN Approach for Harnessing Geospatial and Temporal Information: Application to Crop Yield Prediction, Proc. 36th AAAI Conf. Artif. Intell, 36, pp. 11873-11881, (2022); Idowu P.A., Aladekomo T.A., Agbelusi O., Alaba O.B., Balogun J.A., Idowu P.A., Survival model for pediatric HIV/AIDS patient using C4.5 decision tree algorithm, Int J Child Heal. Hum Dev, 10, 2, pp. 143-155, (2017); Jianguo W., Linyao X., Application of K-means Algorithm in Geological Disaster Monitoring System, Int. J. Adv. Network, Monit. Control, 3, 3, pp. 16-22, (2018); Khogali H.O., Mekid S., The blended future of automation and AI: Examining some long-term societal and ethical impact features, ELSEVIER Technol. Soc, 73, pp. 1-12, (2023); Reddy G.T., Et al., Analysis of Dimensionality Reduction Techniques on Big Data, IEEE Access, 8, pp. 54776-54788, (2020); Tharwat A., Schenck W., Using methods from dimensionality reduction for active learning with low query budget, IEEE Trans. Knowl. Data Eng, pp. 1-14, (2024); Deng S., Wang S., Rangwala H., Wang L., Ning Y., Cola-GNN: Cross-location Attention based Graph Neural Networks for Long-term ILI Prediction, Int. Conf. Inf. Knowl. Manag. Proc, pp. 245-254, (2020); Kabir M.F., Chen T., Ludwig S.A., A performance analysis of dimensionality reduction algorithms in machine learning models for cancer prediction, ELSEVIER Healthc. Anal, 3, pp. 1-9, (2023); Gyamerah S., Soori G.T., Korda D.R., Tawiah J.K., Akolgo E.A., Dapaah E.O., Comparative Analysis of Feature Extraction of High Dimensional Data Reduction Using Machine Learning Techniques, Am. J. Electr. Comput. Eng, 7, 2, pp. 27-39, (2023); Xiao B., Lam H.K., Xuan C., Wang Z., Yeatman E.M., Optimization for Interval Type-2 Polynomial Fuzzy Systems: A Deep Reinforcement Learning Approach, IEEE Trans. Artif. Intell, 4, 5, pp. 1269-1280, (2023); Xhafa F., Patnaik S., Editors A.Y.Z., Advances in Intelligent Systems and Interactive Applications, (2019); Mane P.D., Chaudhari C., Shitole S., Shaikh M., Sashte S., A Machine Learning Approach for Intrusion Detection, Int. J. Res. Appl. Sci. Eng. Technol, 11, 4, pp. 3811-3814, (2023); Ridgway J.P., Lee A., Devlin S., Kerman J., Mayampurath A., Machine Learning and Clinical Informatics for Improving HIV Care Continuum Outcomes, Springer Curr. HIV/AIDS Reports, 18, 3, pp. 229-236, (2021); Azis N., Et al., Mapping study using the unsupervised learning clustering approach, IOP Conf. Ser. Mater. Sci. Eng, 1088, 1, pp. 1-7, (2021); Pujianto U., Setiawan A.L., Rosyid H.A., Salah A.M.M., Comparison of Naive Bayes Algorithm and Decision Tree C4.5 for Hospital Readmission Diabetes Patients using HbA1c Measurement, Knowl. Eng. Data Sci, 2, 2, pp. 58-71, (2019); Zang Z., Et al., DMT-EV: An Explainable Deep Network for Dimension Reduction, IEEE Trans. Vis. Comput. Graph, 30, 3, pp. 1710-1727, (2024); Jonnalagadda A., Kulkarni S., Rodhiya A., Kolla H., Aditya K., A co-kurtosis based dimensionality reduction method for combustion datasets, Combust. Flame, 250, pp. 1-21, (2023); Komeili M., Armanfard N., Hatzinakos D., Multiview Feature Selection for Single-View Classification, IEEE Trans. Pattern Anal. Mach. Intell, 43, 10, pp. 3573-3586, (2021); Sandiwarno S., Niu Z., Nyamawe A.S., A Novel Hybrid Machine Learning Model for Analyzing E-Learning Users' Satisfaction, Int. J. Hum. Comput. Interact, pp. 1-22, (2023); Hu X., Zhao C., Wang G., A Traffic Light Dynamic Control Algorithm with Deep Reinforcement Learning Based on GNN Prediction, Assoc. Adv. Artif. Intell, (2021); Xu N., Wang P., Chen L., Tao J., Zhao J., MR-GNN: Multiresolution and dual graph neural network for predicting structured entity interactions, IJCAI Int. Jt. Conf. Artif. Intell, (2019)</t>
  </si>
  <si>
    <t xml:space="preserve">2nd International Conference on Technology Innovation and Its Applications, ICTIIA 2024</t>
  </si>
  <si>
    <t xml:space="preserve">979-835035161-3</t>
  </si>
  <si>
    <t xml:space="preserve">Proc. - Int. Conf. Technol. Innov. Its Appl., ICTIIA</t>
  </si>
  <si>
    <t xml:space="preserve">2-s2.0-85214534153</t>
  </si>
  <si>
    <t xml:space="preserve">Saran S.; Singh P.</t>
  </si>
  <si>
    <t xml:space="preserve">Saran, Sameer (7003795359); Singh, Priyanka (57225894935)</t>
  </si>
  <si>
    <t xml:space="preserve">7003795359; 57225894935</t>
  </si>
  <si>
    <t xml:space="preserve">Systematic Review on Citizen Science and Artificial Intelligence for Vector-Borne Diseases</t>
  </si>
  <si>
    <t xml:space="preserve">Vector-borne diseases (VBDs) pose a significant threat to public health globally. VBDs are a significant public health concern worldwide, with infections such as Malaria, Dengue Fever, Zika Virus, and Lyme Disease posing a threat to global health security. There is a need for innovative and effective strategies to control these diseases. One potential solution lies in the integration of citizen science and artificial intelligence technologies. Citizen science, which involves the participation of volunteers in scientific research, can greatly contribute to data collection and monitoring efforts for vector-borne diseases. Artificial intelligence can enhance the analysis of this data, leading to improved disease surveillance, prediction, and control strategies. Citizen Science involves active public participation in scientific research, data collection, and analysis, while AI and Machine Learning (ML) techniques offer powerful tools for processing and interpreting large datasets. By leveraging the power of citizen science and artificial intelligence, we can harness the collective efforts of volunteers and advanced technology to better understand, track, and mitigate the spread of vector-borne diseases. Through the combination of citizen science and artificial intelligence, a more comprehensive and efficient approach can be taken to gather data on vector-borne diseases, analyze the data, and inform public health interventions. This systematic review aims to explore the role of citizen science and artificial intelligence in addressing the challenges associated with vector-borne diseases. It will examine the existing literature on the use of citizen science and artificial intelligence in vector-borne disease research, including their applications, benefits, and limitations, in order to provide insights and recommendations for future research and public health strategies. © Author(s) 2024.</t>
  </si>
  <si>
    <t xml:space="preserve">India</t>
  </si>
  <si>
    <t xml:space="preserve">Multi-regional coverage across Southeast Asia, Sub-Saharan Africa, Mauritius, USA, and global data from citizen platforms</t>
  </si>
  <si>
    <t xml:space="preserve">- Crowdsourced and geotagged imagery 
- Mobile health app reports 
- Social media symptom logs 
- Environmental factors (weather, water stagnation, etc.) 
- Remote sensing and GIS datasets</t>
  </si>
  <si>
    <t xml:space="preserve">- Malaria 
- Dengue 
- Zika 
- Lyme Disease 
- West Nile Virus 
- Chikungunya 
- Gastroenteritis 
- Arboviruses</t>
  </si>
  <si>
    <t xml:space="preserve">Supervised learning, Deep learning, Convolutional Neural Networks (CNN), Transfer Learning, Ensemble Learning, Natural Language Processing (NLP)</t>
  </si>
  <si>
    <t xml:space="preserve">- CNN-based classification 
- Transfer learning (VGG, ResNet) 
- Max Voting &amp; Weighted Ensemble 
- NLP models for symptom text mining 
- Trajectory analysis models for mosquito flight data</t>
  </si>
  <si>
    <t xml:space="preserve">- Accuracy
- Sensitivity 
- Specificity 
- Precision, Recall, F1 Score 
- Matthews Correlation Coefficient (MCC)</t>
  </si>
  <si>
    <t xml:space="preserve">- Data quality and standardization challenges
- Limited interoperability across citizen science platforms 
- Sparse real-time surveillance data &lt;br&gt; - Ethical and privacy concerns 
- Uneven geographic coverage and model generalizability
- Dependency on volunteer participation consistency</t>
  </si>
  <si>
    <t xml:space="preserve">10.5194/isprs-archives-XLVIII-4-2024-397-2024</t>
  </si>
  <si>
    <t xml:space="preserve">https://www.scopus.com/inward/record.uri?eid=2-s2.0-85212474134&amp;doi=10.5194%2fisprs-archives-XLVIII-4-2024-397-2024&amp;partnerID=40&amp;md5=88dae55808b2b3e284cb246d1762b239</t>
  </si>
  <si>
    <t xml:space="preserve">Regional Remote Sensing Center-North, ISRO, Dept. of Space, New Delhi, 110049, India; UPES, School of Computer Science, Uttarakhand, Dehradun, 248007, India</t>
  </si>
  <si>
    <t xml:space="preserve">Saran S., Regional Remote Sensing Center-North, ISRO, Dept. of Space, New Delhi, 110049, India; Singh P., UPES, School of Computer Science, Uttarakhand, Dehradun, 248007, India</t>
  </si>
  <si>
    <t xml:space="preserve">Artificial Intelligence; Citizen Science; Machine Learning; Public Health; Vector-Borne Diseases</t>
  </si>
  <si>
    <t xml:space="preserve">Citizen science; Data collection; Dengue fevers; Health concerns; Lyme disease; Machine-learning; Scientific researches; Systematic Review; Vector-borne disease; Virus disease; Electronic health record</t>
  </si>
  <si>
    <t xml:space="preserve">Abdulsalam M., Ila M. A., Closing the Gap: Artificial Intelligence Integration for Advancing Chikungunya Virus Studies in Africa, Biological Sciences, 3, 4, pp. 493-502, (2023); Ajayi O. O., Wright-Ajayi B., Mosaku L. A., Davies G. K., Moneke K. C., Adeleke O. R., Mudele O., Application of satellite imagery for vector-borne disease monitoring in sub-Saharan Africa: An overview, GSC Advanced Research and Reviews, 18, 3, pp. 400-411, (2024); Alves A. N., Souza W. S., Borges D. L., Cotton pests classification in field-based images using deep residual networks, Computers and Electronics in Agriculture, 174, (2020); Bonney R., Phillips T. B., Ballard H. L., Enck J. W., Can citizen science enhance public understanding of science?, Public understanding of science, 25, 1, pp. 2-16, (2016); Berger K. A., Ginsberg H. S., Dugas K. D., Hamel L. H., Mather T. N., Adverse moisture events predict seasonal abundance of Lyme disease vector ticks (Ixodes scapularis), Parasites &amp; vectors, 7, pp. 1-8, (2014); Brock P. M., Fornace K. M., Grigg M. J., Anstey N. M., William T., Cox J., Kao R. R., Predictive analysis across spatial scales links zoonotic malaria to deforestation, Proceedings of the Royal Society B, 286, 1894, (2019); Caesar A. J., Gaines W., Gajendran R., Ram T., Lee A., Nwosu O., Soeffing C., Method for Effective Mosquito Data Classification to Identify Potential Hosts of Malaria with AI Implications, (2023); Caminade C., eo4 How to Model the Impact of Climate Change on Vector-Borne Diseases?, Climate, Ticks and Disease, 26, (2022); Carney R. M., Mapes C., Low R. D., Long A., Bowser A., Durieux D., Palmer J. R., Integrating global citizen science platforms to enable next-generation surveillance of invasive and vector mosquitoes, Insects, 13, 8, (2022); Chunara R., Aman S., Smolinski M., Brownstein J. S., Flu near you: an online self-reported influenza surveillance system in the USA, Online Journal of Public Health Informatics, (2013); Cochero J., Pattori L., Balsalobre A., Ceccarelli S., Marti G., A convolutional neural network to recognize Chagas disease vectors using mobile phone images, Ecological Informatics, 68, (2022); Deng AI, Predicting Disease Spread DrivenData, (2019); Diuk-Wasser M. A., Hoen A. G., Cislo P., Brinkerhoff R., Hamer S. A., Rowland M., Fish D., Human risk of infection with Borrelia burgdorferi, the Lyme disease agent, in eastern United States, The American journal of tropical medicine and hygiene, 86, 2, (2012); Faria F. A., Perre P., Zucchi R. A., Jorge L. R., Lewinsohn T. M., Rocha A., Torres R. D. S., Automatic identification of fruit flies (Diptera: Tephritidae), Journal of Visual Communication and Image Representation, 25, 7, pp. 1516-1527, (2014); Haklay M., Dorler D., Heigl F., Manzoni M., Hecker S., Vohland K., What is citizen science? The challenges of definition, The science of citizen science, (2021); Kurtah P., Takun Y., Nagowah L., Disease propagation prediction using machine learning for crowdsourcing mobile applications, 2019 7th International Conference on Information and Communication Technology (ICoICT), pp. 1-6, (2019); Laaksonen M., Sajanti E., Sormunen J. J., Penttinen R., Hanninen J., Ruohomaki K., Klemola T., Crowdsourcing-based nationwide tick collection reveals the distribution of Ixodes ricinus and I. persulcatus and associated pathogens in Finland, Emerging microbes &amp; infections, 6, 1, pp. 1-7, (2017); Liu K., Yin L., Zhang M., Kang M., Deng A. P., Li Q. L., Song T., Facilitating fine-grained intra-urban dengue forecasting by integrating urban environments measured from street-view images, Infectious Diseases of Poverty, 10, pp. 1-16, (2021); Maki E. C., Cohnstaedt L. W., Crowdsourcing for large-scale mosquito (Diptera: Culicidae) sampling, The Canadian Entomologist, 147, 1, pp. 118-123, (2015); Malone J. B., Nieto P., Tadesse A., Biology-based mapping of vector-borne parasites by geographic information systems and remote sensing, Parassitologia, 48, 1-2, pp. 77-79, (2006); Minakshi M., Bharti P., McClinton W. B., Mirzakhalov J., Carney R. M., Chellappan S., Automating the surveillance of mosquito vectors from trapped specimens using computer vision techniques, Proceedings of the 3rd ACM SIGCAS Conference on Computing and Sustainable Societies, pp. 105-115, (2020); Mohsan S. A. H., Zahra Q. U. A., Khan M. A., Alsharif M. H., Elhaty I. A., Jahid A., Role of drone technology helping in alleviating the COVID-19 pandemic, Micromachines, 13, 10, (2022); Moy B., Applications of Geospatial Modeling to Improve Public Health Surveillance and Control of West Nile Virus, (2016); Munoz J. P., Boger R., Dexter S., Low R., Li J., Image recognition of disease-carrying insects: a system for combating infectious diseases using image classification techniques and citizen science, (2018); Navin K., Krishnan M. M., Lavanya S., Shanthini A., A mobile health based smart hybrid epidemic surveillance system to support epidemic control programme in public health informatics, 2017 international conference on IoT and application (ICIOT), pp. 1-4, (2017); Omodior O., Saeedpour-Parizi M. R., Rahman M. K., Azad A., Clay K., Using convolutional neural networks for tick image recognition-a preliminary exploration, Experimental and Applied Acarology, 84, pp. 607-622, (2021); Othman M. K., Danuri M. S. N. M., Proposed conceptual framework of dengue active surveillance system (DASS) in Malaysia, 2016 International Conference on Information and Communication Technology (ICICTM), pp. 90-96, (2016); Palmer J. R., Oltra A., Collantes F., Delgado J. A., Lucientes J., Delacour S., Bartumeus F., Citizen science provides a reliable and scalable tool to track disease-carrying mosquitoes, Nature communications, 8, 1, pp. 1-13, (2017); Parra C., Cernuzzi L., Rojas R., Denis D., Rivas S., Paciello J., Holston J., Synergies between technology, participation, and citizen science in a community-based dengue prevention program, American Behavioral Scientist, 64, 13, pp. 1850-1870, (2020); Pataki B. A., Garriga J., Eritja R., Palmer J. R., Bartumeus F., Csabai I., Deep learning identification for citizen science surveillance of tiger mosquitoes, Scientific reports, 11, 1, (2021); Poh K. C., Evans J. R., Skvarla M. J., Machtinger E. T., All for One Health and One Health for All: considerations for successful citizen science projects conducting vector surveillance from animal hosts, Insects, 13, 6, (2022); Qing Y. A. O., Jin F. E. N. G., Jian T. A. N. G., XU W. G., ZHU X. H., YANG B. J., WANG L. J., Development of an automatic monitoring system for rice light-trap pests based on machine vision, Journal of Integrative Agriculture, 19, 10, pp. 2500-2513, (2020); Qureshi Y. M., Voloshin V., Facchinelli L., McCall P. J., Chervova O., Towers C. E., Towers D. P., Finding a Husband: Using Explainable AI to Define Male Mosquito Flight Differences, Biology, 12, 4, (2023); Rebelo A. R., Fagundes J. M., Digiampietri L. A., Francoy T. M., Biscaro H. H., A fully automatic classification of bee species from wing images, Apidologie, pp. 1-15, (2021); Sickweather -Sickness Forecasting &amp; Mapping, (2019); Smolinski M. S., Crawley A. W., Baltrusaitis K., Chunara R., Olsen J. M., Wojcik O., Brownstein J. S., Flu near you: crowdsourced symptom reporting spanning 2 influenza seasons, American journal of public health, 105, 10, pp. 2124-2130, (2015); Sutherst R. W., Global change and human vulnerability to vector-borne diseases, Clinical microbiology reviews, 17, 1, pp. 136-173, (2004); Tan Y. R., Agrawal A., Matsoso M. P., Katz R., Davis S. L., Winkler A. S., Yap P., A call for citizen science in pandemic preparedness and response: beyond data collection, BMJ Global Health, 7, 6, (2022); Tarter K. D., Levy C. E., Yaglom H. D., Adams L. E., Plante L., Casal M. G., Walker K. R., Using citizen science to enhance surveillance of Aedes aegypti in Arizona, 2015-17, Journal of the American Mosquito Control Association, 35, 1, pp. 11-18, (2019); Yan L., Ji N., Xu J., Liu M., Guan L., Liu K., Bai Y., Evaluating behavioral risk factor interventions for hypertensive and diabetic patient management in the national basic public health service programs from 2009, China CDC weekly, 4, 19, (2022)</t>
  </si>
  <si>
    <t xml:space="preserve">2-s2.0-85212474134</t>
  </si>
  <si>
    <t xml:space="preserve">Choudhary A.K.; Nausheen I.; Khan N.; Singh B.K.; Purbey S.</t>
  </si>
  <si>
    <t xml:space="preserve">Choudhary, Ashutosh Kumar (41461100900); Nausheen, Iram (56413047300); Khan, Nariman (59246282400); Singh, Brijendra Krishna (58612334200); Purbey, Suniti (56209130700)</t>
  </si>
  <si>
    <t xml:space="preserve">41461100900; 56413047300; 59246282400; 58612334200; 56209130700</t>
  </si>
  <si>
    <t xml:space="preserve">The Design of an efficient Bioinspired CNN Model for Automated Malaria Detection in Blood Smear Images</t>
  </si>
  <si>
    <t xml:space="preserve">The use of a bioinspired Convolutional Neural Network (CNN) model in this paper's unique automated method for malaria diagnosis in blood smear images. Extensive development in computer-aided diagnosis systems has been driven by the urgent need to fight malaria, a disease that poses a serious threat to life. However, the precision, accuracy, and recall rates of current approaches are constrained, which reduces their usefulness in real-world settings. The suggested approach places a strong emphasis on incorporating bioinspired ideas into the CNN model design to overcome these limitations. The bioinspired CNN model outperforms conventional CNN architectures in terms of greater specificity and expanded capabilities by taking inspiration from nature-inspired algorithms. This concept provides a considerable improvement over current methodologies by enabling more precise and reliable malaria detection process. The strategy that is being discussed combines machine learning strategies with extensive image processing capabilities. Through the use of several approaches, this integration makes it possible to provide a comprehensive solution to the problem of malaria detection. In comparison to conventional methods, experimental results show the proposed method to be effective, with precision rates of 3.9%, accuracy rates of 2.9%, and a surprising 3.5% increase in recall levels. Thus, this paper demonstrates the need for a novel strategy to malaria detection in light of the shortcomings of current techniques. By combining a bio-inspired CNN model with image processing and machine learning methods, it is possible to greatly improve the precision, accuracy, and recall rates for automated malaria identification in blood smear images. The results of this work show significant promise for developing the discipline of medical image analysis and supporting continuing global efforts to eradicate malaria for real-time scenarios. © 2024 American Institute of Physics Inc.. All rights reserved.</t>
  </si>
  <si>
    <t xml:space="preserve">10.1063/5.0221423</t>
  </si>
  <si>
    <t xml:space="preserve">https://www.scopus.com/inward/record.uri?eid=2-s2.0-85200403067&amp;doi=10.1063%2f5.0221423&amp;partnerID=40&amp;md5=d2e2c3a3b9bdacd0b4dbcc1731200487</t>
  </si>
  <si>
    <t xml:space="preserve">Department of IT, GMR Institute of Technology, Andhra Pradesh, Rajam, India; Department of Artificial Intelligence &amp; Data Science, Anjuman College of Engineering &amp; Technology, Nagpur, India; Department of Chemistry, NIT, Raipur, India; Department of Math’s, SSBSR Sharda University, Greater Noida, India; Department of CSE, GMR Institute of Technology, Andhra Pradesh, Rajam, India</t>
  </si>
  <si>
    <t xml:space="preserve">Choudhary A.K., Department of IT, GMR Institute of Technology, Andhra Pradesh, Rajam, India; Nausheen I., Department of Artificial Intelligence &amp; Data Science, Anjuman College of Engineering &amp; Technology, Nagpur, India; Khan N., Department of Chemistry, NIT, Raipur, India; Singh B.K., Department of Math’s, SSBSR Sharda University, Greater Noida, India; Purbey S., Department of CSE, GMR Institute of Technology, Andhra Pradesh, Rajam, India</t>
  </si>
  <si>
    <t xml:space="preserve">Automated Malaria Detection; Bioinspired CNN Model; Blood Smear Images; Image Processing; Machine Learning; Scenarios</t>
  </si>
  <si>
    <t xml:space="preserve">Fong Amaris W.M., Martinez C., Cortes-Cortes L.J., Et al., Image features for quality analysis of thick blood smears employed in malaria diagnosis, Malar J, 21, (2022); Shewajo F.A., Fante K.A., Tile-based microscopic image processing for malaria screening using a deep learning approach, BMC Med Imaging, 23, (2023); Raihan M., Nahid A.A., Malaria cell image classification by explainable artificial intelligence, Health Technol, 12, pp. 47-58, (2022); Kakkar B., Goyal M., Johri P., Et al., Artificial Intelligence-Based Approaches for Detection and Classification of Different Classes of Malaria Parasites Using Microscopic Images: A Systematic Review, Arch Computat Methods Eng, (2023); Arshad Q.A., Ali M., Hassan S., Et al., A dataset and benchmark for malaria life-cycle classification in thin blood smear images, Neural Comput &amp; Applic, 34, pp. 4473-4485, (2022); Yang Z., Benhabiles H., Hammoudi K., Et al., A generalized deep learning-based framework for assistance to the human malaria diagnosis from microscopic images, Neural Comput &amp; Applic, 34, pp. 14223-14238, (2022); Elangovan P., Nath M.K., A Novel Shallow ConvNet-18 for Malaria Parasite Detection in Thin Blood Smear Images, SN COMPUT. SCI., 2, (2021); Abdurahman F., Fante K.A., Aliy M., Malaria parasite detection in thick blood smear microscopic images using modified YOLOV3 and YOLOV4 models, BMC Bioinformatics, 22, (2021); Wilson K.J., Dhalla A., Meng Y., Et al., Retinal imaging technologies in cerebral malaria: a systematic review, Malar J, 22, (2023); Meng X., Ha Y., Tian J., Neighbor Correlated Graph Convolutional Network for multi-stage malaria parasite recognition, Multimed Tools Appl, 81, pp. 11393-11414, (2022); Li D., Ma Z., Residual attention learning network and SVM for malaria parasite detection, Multimed Tools Appl, 81, pp. 10935-10960, (2022); Villegas-Mendez A., Stafford N., Haley M.J., Et al., The plasma membrane calcium ATPase 4 does not influence parasite levels but partially promotes experimental cerebral malaria during murine blood stage malaria, Malar J, 20, (2021); Stanton M.C., Kalonde P., Zembere K., Et al., The application of drones for mosquito larval habitat identification in rural environments: a practical approach for malaria control?, Malar J, 20, (2021); Yu H., Mohammed F.O., Abdel Hamid M., Et al., Patient-level performance evaluation of a smartphone-based malaria diagnostic application, Malar J, 22, (2023); Sandip S., Chandrashekhara S.H., Magnetic Resonance Imaging of Cerebral Malaria, Indian J Pediatr, 88, pp. 1042-1043, (2021); Naserrudin N.A., Yong P.P.L., Monroe A., Et al., Seeing malaria through the eyes of affected communities: using photovoice to document local knowledge on zoonotic malaria causation and prevention practices among rural communities exposed to Plasmodium knowlesi malaria in Northern Borneo Island, Malar J, 22, (2023); Ben Abderrahim S., Gharsallaoui S., Ben Daly A., Et al., Imported malaria in adults: about a case of cerebral malaria, Egypt J Forensic Sci, 12, (2022); Colbert A.J., Co K., Lima-Cooper G., Et al., Towards the use of a smartphone imaging-based tool for point-of-care detection of asymptomatic low-density malaria parasitaemia, Malar J, 20, (2021)</t>
  </si>
  <si>
    <t xml:space="preserve">S. Purbey; Department of CSE, GMR Institute of Technology, Rajam, Andhra Pradesh, India; email: sunitynu@gmail.com</t>
  </si>
  <si>
    <t xml:space="preserve">Kumar A.; Agrawal A.</t>
  </si>
  <si>
    <t xml:space="preserve">AICTE; DSIR</t>
  </si>
  <si>
    <t xml:space="preserve">2023 International Conference on Smart and Innovative Development in Science, Engineering and Technology, SIDSET 2023</t>
  </si>
  <si>
    <t xml:space="preserve">16 August 2023 through 18 August 2023</t>
  </si>
  <si>
    <t xml:space="preserve">Durg</t>
  </si>
  <si>
    <t xml:space="preserve">2-s2.0-85200403067</t>
  </si>
  <si>
    <t xml:space="preserve">Anslam Sibi S.; Sivamohan S.; Prabhakaran S.; Albin S.B.</t>
  </si>
  <si>
    <t xml:space="preserve">Anslam Sibi, S. (57210260175); Sivamohan, S. (57192702904); Prabhakaran, Sindhuja (59155345200); Albin, Sahaya Burney (59155443900)</t>
  </si>
  <si>
    <t xml:space="preserve">57210260175; 57192702904; 59155345200; 59155443900</t>
  </si>
  <si>
    <t xml:space="preserve">The Resnet-50 Revolution: Leveraging Transfer Learning for Malaria Diagnosis</t>
  </si>
  <si>
    <t xml:space="preserve">This research is a novel methodology for malaria diagnosis that leverages the ResNet-50 deep learning architecture and transfer learning. This innovative approach aims to tackle the prevalent global health challenge of malaria, particularly in regions with limited resources. The study showcases the model's exceptional accuracy and generalization capabilities in identifying malaria from microscopic blood smear images, even when using a relatively small dataset. The methodology encompasses crucial steps such as dataset preprocessing, fine-tuning, and comprehensive performance evaluation. Results reveal that the proposed approach outperforms traditional methods and other deep learning models, demonstrating its robustness in handling variations in image quality and staining techniques. This breakthrough underscores the potential of advanced machine learning in proactive healthcare interventions, offering an affordable and precise solution for malaria diagnosis. The research holds promise for transformative impacts on disease management in resource-constrained settings and contributes to global healthcare efforts.  © 2024 IEEE.</t>
  </si>
  <si>
    <t xml:space="preserve">2nd International Conference on Artificial Intelligence and Machine Learning Applications: Healthcare and Internet of Things, AIMLA 2024</t>
  </si>
  <si>
    <t xml:space="preserve">10.1109/AIMLA59606.2024.10531528</t>
  </si>
  <si>
    <t xml:space="preserve">https://www.scopus.com/inward/record.uri?eid=2-s2.0-85195143518&amp;doi=10.1109%2fAIMLA59606.2024.10531528&amp;partnerID=40&amp;md5=fbe7cf56bc22ab5aeb3284c4ce282b52</t>
  </si>
  <si>
    <t xml:space="preserve">St. Joseph's Institute of Technology, Department of Information Technology, Chennai, India</t>
  </si>
  <si>
    <t xml:space="preserve">Anslam Sibi S., St. Joseph's Institute of Technology, Department of Information Technology, Chennai, India; Sivamohan S., St. Joseph's Institute of Technology, Department of Information Technology, Chennai, India; Prabhakaran S., St. Joseph's Institute of Technology, Department of Information Technology, Chennai, India; Albin S.B., St. Joseph's Institute of Technology, Department of Information Technology, Chennai, India</t>
  </si>
  <si>
    <t xml:space="preserve">Deep Learning; ResNet-50 model; Transfer Learning</t>
  </si>
  <si>
    <t xml:space="preserve">Deep learning; Diagnosis; Learning systems; Transfer learning; Architecture learning; Deep learning; Global health; Innovative approaches; Learning architectures; Learning Transfer; Malaria diagnosis; Novel methodology; Resnet-50 model; Transfer learning; Diseases</t>
  </si>
  <si>
    <t xml:space="preserve">Moeskops P., Et al., Deep Learning for Multi-task Medical Image Segmentation in Multiple Modalities, Medical Image Computing and Computer-Assisted Intervention-MICCAI 2016. Lecture Notes in Computer Science, 9901, (2016); Rajaraman S., Antani S.K., Poostchi M., Silamut K., Hossain M.A., Maude R.J., Jaeger S., Thoma G.R., Pre-trained Convolutional neural networks as feature extractors toward improved malaria parasite detection in blood images, (2018); Ersoy I., Bunyak F., Higgins J., Palaniappan K., Coupled edge profile geodesic active contours for red blood cell flow analysis, Proceedings of the 9th IEEE international symposium biomedical imaging., (2012); Sundermeyer M.-S., Ralf-Ney H., LSTM neural networks for language modeling, INTERSPEECH-2012, pp. 194-197, (2012); Liang Z., Powell A., Ersoy I., Et al., CNN based analysis for malaria diagnosis, International conference on bioinformatics and biomedicine (BIBM). IEEE, pp. 493-496, (2016); Habibzadeh M., Jannesari M., Rezaei Z., Baharvand H., Totonchi M., Automatic white blood cell classification using pre-trained deep learning models: Resnet and inception, Tenth International Conference on Machine Vision (ICMV 2017), (2018); Vehbi Olgac A., Karlik B., Performance Analysis of Various Activation Functions in Generalized MLP Architectures of Neural Networks, International Journal of Artificial Intelligence and Expert Systems., 1, pp. 111-122, (2011); Reyes A.K., Caicedo J.C., Camargo J.E., Fine-tuning Deep Convolutional Networks for Plant Recognition, CLEF (Working Notes)., (2015); Wichrowska O., Maheswaranathan N., Hoffman M.W., Colmenarejo S.G., Denil M., De Freitas N., Sohl-Dickstein J., Learned optimizers that scale and generalize, Proceedings of the 34th International Conference on Machine Learning, 70, pp. 3751-3760, (2017)</t>
  </si>
  <si>
    <t xml:space="preserve">S. Anslam Sibi; St. Joseph's Institute of Technology, Department of Information Technology, Chennai, India; email: anslam.sibi@gmail.com</t>
  </si>
  <si>
    <t xml:space="preserve">2nd International Conference on Artificial Intelligence and Machine Learning Applications, AIMLA 2024</t>
  </si>
  <si>
    <t xml:space="preserve">Namakkal</t>
  </si>
  <si>
    <t xml:space="preserve">979-835034922-1</t>
  </si>
  <si>
    <t xml:space="preserve">Int. Conf. Artif. Intell. Mach. Learn. Appl.: Healthc. Internet Things, AIMLA</t>
  </si>
  <si>
    <t xml:space="preserve">2-s2.0-85195143518</t>
  </si>
  <si>
    <t xml:space="preserve">Syfullah M.K.; Ali M.S.; Oishy A.M.; Hossain M.S.</t>
  </si>
  <si>
    <t xml:space="preserve">Syfullah, Md. Khalid (59024761300); Ali, Md. Santo (59534193400); Oishy, Asfia Moon (58476923000); Hossain, Md. Sozib (59533955900)</t>
  </si>
  <si>
    <t xml:space="preserve">59024761300; 59534193400; 58476923000; 59533955900</t>
  </si>
  <si>
    <t xml:space="preserve">Towards Early Dengue Diagnosis in Bangladesh: A Non-Invasive Prediction Model Based on Symptoms and Local Trends</t>
  </si>
  <si>
    <t xml:space="preserve">Dengue fever is a significant public health concern in Bangladesh, with a rising number of cases highlighting the need for early and accurate diagnosis. This study proposes a novel approach for early dengue diagnosis using a non-invasive predictive model based on external symptoms and local trends. Two datasets are prepared in the context of Bangladesh, one containing dengue cases with only external symptoms along with the month and district of affection. The other dataset contains statistical data on active dengue cases per month in Bangladesh from 2016 to 2023 and is used to capture seasonal trends. The number of cases is taken district-wise to determine the relation between dengue affection and active dengue cases in nearby areas. A two-step machine learning-based model is proposed, using machine learning-based time series forecasting models including the Long Short-Term Memory (LSTM) and Prophet models. The Prophet model performs better than the LSTM model, with lower MAE and RMSE values. A new dataset is created by merging the prediction of the first model with the external symptoms dataset's month and location attributes. Random Forest and XGBoost classifiers are used for case prediction on the second dataset and the merged dataset. The merged dataset has a top 82.3% accuracy, while the external symptoms dataset has a 92.5% accuracy. This approach aims to provide an efficient solution to improve early dengue diagnosis, ultimately facilitating timely intervention and resource allocation for effective disease management.  © 2024 IEEE.</t>
  </si>
  <si>
    <t xml:space="preserve">10.1109/PEEIACON63629.2024.10800244</t>
  </si>
  <si>
    <t xml:space="preserve">https://www.scopus.com/inward/record.uri?eid=2-s2.0-85216412317&amp;doi=10.1109%2fPEEIACON63629.2024.10800244&amp;partnerID=40&amp;md5=a20dbeeb28f1a625caed68ff37709d42</t>
  </si>
  <si>
    <t xml:space="preserve">Bangladesh Army University of Science and Technology, Saidpur, Bangladesh; Rajshahi University of Engineering &amp; Technology, Rajshahi, Bangladesh; Khulna University of Engineering &amp; Technology, Khulna, Bangladesh</t>
  </si>
  <si>
    <t xml:space="preserve">Syfullah M.K., Bangladesh Army University of Science and Technology, Saidpur, Bangladesh; Ali M.S., Rajshahi University of Engineering &amp; Technology, Rajshahi, Bangladesh; Oishy A.M., Rajshahi University of Engineering &amp; Technology, Rajshahi, Bangladesh; Hossain M.S., Khulna University of Engineering &amp; Technology, Khulna, Bangladesh</t>
  </si>
  <si>
    <t xml:space="preserve">Dengue Fever Prediction; External Symptom-based Dengue Prediction; Long Short Term Memory (LSTM); Random Forest; Time Series Forecast; XGBoost</t>
  </si>
  <si>
    <t xml:space="preserve">Bangladesh; Dengue fever prediction; Dengue fevers; External symptom-based dengue prediction; External symptoms; Long short term memory; Random forests; Short term memory; Time series forecasts; Xgboost; Prediction models</t>
  </si>
  <si>
    <t xml:space="preserve">Hasan M.J., Et al., Comparison of clinical manifestation of dengue fever in Bangladesh: an observation over a decade, BMC infectious diseases, 21, pp. 1-10, (2021); Datta S., Wattal C., Dengue NS1 antigen detection: a useful tool in early diagnosis of dengue virus infection, Indian J Med Microbiol, 28, 2, pp. 107-110, (2010); Sarwar M.T., Mamun M.A., Prediction of Dengue using Machine Learning Algorithms: Case Study Dhaka, 2022 4th International Conference on Electrical, Computer &amp; Telecommunication Engineering (ICECTE), pp. 1-6, (2022); Kesetyaningsih T.W., Andarini S., Sudarto S., Pramoedyo H., Determination of environmental factors affecting dengue incidence in Sleman District, Yogyakarta, Indonesia, African journal of infectious diseases, 12, 1 S, pp. 13-25, (2018); Morales I., Salje H., Saha S., Gurley E.S., Seasonal Distribution and Climatic Correlates of Dengue Disease in Dhaka, Bangladesh, Am J Trop Med Hyg, 94, 6, pp. 1359-1361, (2016); Sharmin S., Glass K., Viennet E., Harley D., Interaction of mean temperature and daily fluctuation influences dengue incidence in Dhaka, Bangladesh, PLoS neglected tropical diseases, 9, 7, (2015); Romeo-Aznar V., Picinini Freitas L., Goncalves Cruz O., King A.A., Pascual M., Fine-scale heterogeneity in population density predicts wave dynamics in dengue epidemics, Nature communications, 13, 1, (2022); Dey S.K., Et al., Prediction of dengue incidents using hospitalized patients, metrological and socio-economic data in Bangladesh: A machine learning approach, PLoS One, 17, 7, (2022); Lopez D., Enhanced Dengue Outbreak Prediction in Tamilnadu using Meteorological and Entomological data, (2023); Mayrose H., Et al., Machine Learning-Based Detection of Dengue from Blood Smear Images Utilizing Platelet and Lymphocyte Characteristics, Diagnostics, 13, 2, (2023); Islam M.S., Khushbu S.A., Azad Rabby A.S., Bhuiyan T., A Study on Dengue Fever in Bangladesh: Predicting the Probability of Dengue Infection with External Behavior with Machine Learning, 2021 5th International Conference on Intelligent Computing and Control Systems (ICICCS), pp. 1717-1721, (2021); Ong S.Q., Isawasan P., Ngesom A.M.M., Shahar H., Lasim A.M.M., Nair G., Predicting dengue transmission rates by comparing different machine learning models with vector indices and meteorological data, Scientific Reports, 13, 1, (2023); Sebastianelli A., Et al., A reproducible ensemble machine learning approach to forecast dengue outbreaks, Scientific Reports, 14, 1, (2024); Guo P., Et al., Developing a dengue forecast model using machine learning: A case study in China, PLoS neglected tropical diseases, 11, 10, (2017); Appice A., Gel Y.R., Iliev I., Lyubchich V., Malerba D., A Multi-Stage Machine Learning Approach to Predict Dengue Incidence: A Case Study in Mexico, IEEE Access, 8, pp. 52713-52725, (2020); Sarma D., Hossain S., Mittra T., Bhuiya M.A.M., Saha I., Chakma R., Dengue Prediction using Machine Learning Algorithms, 2020 IEEE 8th R10 Humanitarian Technology Conference (R10-HTC), pp. 1-6, (2020); Islam M.S., Khushbu S.A., Rabby A.S.A., Bhuiyan T., A Study on Dengue Fever in Bangladesh: Predicting the Probability of Dengue Infection with External Behavior with Machine Learning, 2021 5th International Conference on Intelligent Computing and Control Systems (ICICCS), pp. 1717-1721, (2021); Karim M.R., Sarker I., Bashar K., Changing patterns of climatic risk factors for the transmission of dengue fever in Bangladesh: count model approach, Journal of Public Health, pp. 1-10, (2023); Directorate General of Health Services (DGHS); Clarke J., Lim A., Gupte P., Et al., A global dataset of publicly available dengue case count data, Sci Data, 11, (2024); Dengue and severe dengue, (2023); Murti D.M.P., Pujianto U., Wibawa A.P., Akbar M.I., KNearest Neighbor (K-NN) based Missing Data Imputation, 2019 5th International Conference on Science in Information Technology (ICSITech), pp. 83-88, (2019); Yang X., Quam M.M.B., Zhang T., Sang S., Global burden for dengue and the evolving pattern in the past 30 years, Journal of Travel Medicine, 28, 8, (2021); Pedregosa F., Et al., Scikit-learn: Machine Learning in Python, Journal of Machine Learning Research, 12, pp. 2825-2830, (2011); Galvez R.M., Tarepe D.A., Predicting Dengue Outbreaks in Cagayan de Oro, Philippines Using Facebook Prophet and the ARIMA Model for Time Series Forecasting, JAMCS, 38, 9, pp. 9-22, (2023)</t>
  </si>
  <si>
    <t xml:space="preserve">M.K. Syfullah; Bangladesh Army University of Science and Technology, Saidpur, Bangladesh; email: khalidsyfullah3@gmail.com</t>
  </si>
  <si>
    <t xml:space="preserve">2-s2.0-85216412317</t>
  </si>
  <si>
    <t xml:space="preserve">Hyde B.; Paoli C.J.; Panjabi S.; Bettencourt K.C.; Bell Lynum K.S.; Selej M.</t>
  </si>
  <si>
    <t xml:space="preserve">Hyde, Bethany (58317111900); Paoli, Carly J. (56262268400); Panjabi, Sumeet (57740133800); Bettencourt, Katherine C. (58316454500); Bell Lynum, Karimah S. (56554249000); Selej, Mona (36504933400)</t>
  </si>
  <si>
    <t xml:space="preserve">58317111900; 56262268400; 57740133800; 58316454500; 56554249000; 36504933400</t>
  </si>
  <si>
    <t xml:space="preserve">A claims-based, machine-learning algorithm to identify patients with pulmonary arterial hypertension</t>
  </si>
  <si>
    <t xml:space="preserve">Many patients with pulmonary arterial hypertension (PAH) experience substantial delays in diagnosis, which is associated with worse outcomes and higher costs. Tools for diagnosing PAH sooner may lead to earlier treatment, which may delay disease progression and adverse outcomes including hospitalization and death. We developed a machine-learning (ML) algorithm to identify patients at risk for PAH earlier in their symptom journey and distinguish them from patients with similar early symptoms not at risk for developing PAH. Our supervised ML model analyzed retrospective, de-identified data from the US-based Optum® Clinformatics® Data Mart claims database (January 2015 to December 2019). Propensity score matched PAH and non-PAH (control) cohorts were established based on observed differences. Random forest models were used to classify patients as PAH or non-PAH at diagnosis and at 6 months prediagnosis. The PAH and non-PAH cohorts included 1339 and 4222 patients, respectively. At 6 months prediagnosis, the model performed well in distinguishing PAH and non-PAH patients, with area under the curve of the receiver operating characteristic of 0.84, recall (sensitivity) of 0.73, and precision of 0.50. Key features distinguishing PAH from non-PAH cohorts were a longer time between first symptom and the prediagnosis model date (i.e., 6 months before diagnosis); more diagnostic and prescription claims, circulatory claims, and imaging procedures, leading to higher overall healthcare resource utilization; and more hospitalizations. Our model distinguishes between patients with and without PAH at 6 months before diagnosis and illustrates the feasibility of using routine claims data to identify patients at a population level who might benefit from PAH-specific screening and/or earlier specialist referral. © 2023 Janssen Research &amp; Development, LLC. Pulmonary Circulation published by John Wiley &amp; Sons Ltd on behalf of Pulmonary Vascular Research Institute.</t>
  </si>
  <si>
    <t xml:space="preserve">United States</t>
  </si>
  <si>
    <t xml:space="preserve">demographics, insurance, treatment history, diagnosis codes, medications, physician specialty, imaging claims, hospitalization data</t>
  </si>
  <si>
    <t xml:space="preserve">Pulmonary Arterial Hypertension (PAH), a rare progressive cardiopulmonary disease</t>
  </si>
  <si>
    <t xml:space="preserve">Random Forest </t>
  </si>
  <si>
    <t xml:space="preserve">AUC, Recall, Precision, Recall, Specificity </t>
  </si>
  <si>
    <t xml:space="preserve">- Limited generalizability: not clinical EMRs
- No external validation across other databases
- PAH prevalence in real-world populations is extremely low vs dataset ratio - Potential bias from propensity score matching 
- Diagnosis confirmation relies on coded claims (ICD, procedures, prescriptions), not physician-reviewed charts</t>
  </si>
  <si>
    <t xml:space="preserve">Pulmonary Circulation</t>
  </si>
  <si>
    <t xml:space="preserve">e12237</t>
  </si>
  <si>
    <t xml:space="preserve">10.1002/pul2.12237</t>
  </si>
  <si>
    <t xml:space="preserve">https://www.scopus.com/inward/record.uri?eid=2-s2.0-85162130669&amp;doi=10.1002%2fpul2.12237&amp;partnerID=40&amp;md5=c7892eb68a3b2dff0eaaf9cffb6b36b9</t>
  </si>
  <si>
    <t xml:space="preserve">Janssen Business Technology Commercial Data Insights &amp; Data Science, Titusville, NJ, United States; Janssen Scientific Affairs, Inc., Titusville, NJ, United States; Actelion Pharmaceuticals US, Inc., Titusville, NJ, United States; Janssen R&amp;D Data Science, South San Francisco, CA, United States</t>
  </si>
  <si>
    <t xml:space="preserve">Hyde B., Janssen Business Technology Commercial Data Insights &amp; Data Science, Titusville, NJ, United States; Paoli C.J., Janssen Scientific Affairs, Inc., Titusville, NJ, United States; Panjabi S., Janssen Scientific Affairs, Inc., Titusville, NJ, United States; Bettencourt K.C., Actelion Pharmaceuticals US, Inc., Titusville, NJ, United States; Bell Lynum K.S., Actelion Pharmaceuticals US, Inc., Titusville, NJ, United States; Selej M., Janssen R&amp;D Data Science, South San Francisco, CA, United States</t>
  </si>
  <si>
    <t xml:space="preserve">early diagnosis; rare disease; real-world evidence</t>
  </si>
  <si>
    <t xml:space="preserve">polycyclic aromatic hydrocarbon; accuracy; acute coronary syndrome; aged; algorithm; anonymised data; Article; asthma; cardiovascular magnetic resonance; Charlson Comorbidity Index; chronic thromboembolic pulmonary hypertension; congenital heart disease; controlled study; coronary artery disease; data warehouse; decision tree; diagnostic test accuracy study; disease exacerbation; dyspnea; echocardiography; electrocardiography; electronic health record; fatigue; feasibility study; female; health care cost; health care policy; health care utilization; heart catheterization; heart failure; hospitalization; hospitalization cost; human; hypertension; lung artery pressure; machine learning; nuclear magnetic resonance imaging; patient referral; peripheral arterial disease; physician; prescription; prevalence; propensity score; public health service; pulmonary hypertension; random forest; recall; retrospective study; schistosomiasis; sociodemographics; supervised machine learning</t>
  </si>
  <si>
    <t xml:space="preserve">Actelion Pharmaceuticals US, Inc.; Janssen Pharmaceutical Company of Johnson &amp; Johnson; Mary Greenacre</t>
  </si>
  <si>
    <t xml:space="preserve">Medical writing support was provided by Mary Greenacre and Ify Sargeant on behalf of Twist Medical, and was funded by Actelion Pharmaceuticals US, Inc., a Janssen Pharmaceutical Company of Johnson &amp; Johnson. </t>
  </si>
  <si>
    <t xml:space="preserve">Humbert M., Gerry Coghlan J., Khanna D., Early detection and management of pulmonary arterial hypertension, Eur Respir Rev, 21, 126, pp. 306-312, (2012); Kiely D.G., Lawrie A., Humbert M., Screening strategies for pulmonary arterial hypertension, Eur Heart J Suppl, 21, pp. K9-20, (2019); Gibbs J.S.R., Making a diagnosis in PAH, Eur Respir Rev, 16, pp. 8-12, (2007); Humbert M., Sitbon O., Chaouat A., Bertocchi M., Habib G., Gressin V., Yaici A., Weitzenblum E., Cordier J.F., Chabot F., Dromer C., Pison C., Reynaud-Gaubert M., Haloun A., Laurent M., Hachulla E., Simonneau G., Pulmonary arterial hypertension in France: results from a national registry, Am J Respir Crit Care Med, 173, 9, pp. 1023-1030, (2006); Armstrong I., Harries C., Yorke J., The Impahct survey: living with pulmonary arterial hypertension, Am J Respir Crit Care Med [Internet], 183, (2011); Armstrong I., Rochnia N., Harries C., Bundock S., Yorke J., The trajectory to diagnosis with pulmonary arterial hypertension: a qualitative study, BMJ Open, 2, 2, (2012); Strange G., Gabbay E., Kermeen F., Williams T., Carrington M., Stewart S., Keogh A., Time from symptoms to definitive diagnosis of idiopathic pulmonary arterial hypertension: the delay study, Pulm Circ, 3, 1, pp. 89-94, (2013); Khou V., Anderson J.J., Strange G., Corrigan C., Collins N., Celermajer D.S., Dwyer N., Feenstra J., Horrigan M., Keating D., Kotlyar E., Lavender M., McWilliams T.J., Steele P., Weintraub R., Whitford H., Whyte K., Williams T.J., Wrobel J.P., Keogh A., Lau E.M., Diagnostic delay in pulmonary arterial hypertension: insights from the Australian and New Zealand pulmonary hypertension registry, Respirology, 25, 8, pp. 863-871, (2020); Weatherald J., Humbert M., The ‘great wait’ for diagnosis in pulmonary arterial hypertension, Respirology, 25, 8, pp. 790-792, (2020); Humbert M., Kovacs G., Hoeper M.M., Badagliacca R., Berger R.M.F., Brida M., Carlsen J., Coats A.J.S., Escribano-Subias P., Ferrari P., Ferreira D.S., Ardeschir G.H., Giannakoulas G., Kiely D.G., Mayer E., Meszaros G., Nagavci B., Olsson K.M., Pepke-Zaba J., Quint J.K., Radegran G., Simonneau G., Sitbon O., Tonia T., Toshner T., Vachiery J.-L., Vonk Noordegraaf A., Delcroix M., Rosenkranz S., 2022 ESC/ERS guidelines for the diagnosis and treatment of pulmonary hypertension, Eur Resp J, 61, (2023); Humbert M., Sitbon O., Chaouat A., Bertocchi M., Habib G., Gressin V., Yaici A., Weitzenblum E., Cordier J., Chabot F., Dromer C., Pison C., Reynaud-Gaubert M., Haloun A., Laurent M., Hachulla E., Cottin V., Degano B., Jais X., Montani D., Souza R., Simonneau G., Survival in patients with idiopathic, familial, and anorexigen-associated pulmonary arterial hypertension in the modern management era, Circulation, 122, 2, pp. 156-163, (2010); Thenappan T., Shah S.J., Rich S., Tian L., Archer S.L., Gomberg-Maitland M., Survival in pulmonary arterial hypertension: a reappraisal of the NIH risk stratification equation, Eur Respir J, 35, 5, pp. 1079-1087, (2010); Launay D., Sitbon O., Hachulla E., Mouthon L., Gressin V., Rottat L., Clerson P., Cordier J.F., Simonneau G., Humbert M., Survival in systemic sclerosis-associated pulmonary arterial hypertension in the modern management era, Ann Rheum Dis, 72, 12, pp. 1940-1946, (2013); Dimopoulos K., Inuzuka R., Goletto S., Giannakoulas G., Swan L., Wort S.J., Gatzoulis M.A., Improved survival among patients with Eisenmenger syndrome receiving advanced therapy for pulmonary arterial hypertension, Circulation, 121, 1, pp. 20-25, (2010); Launay D., Sitbon O., Le Pavec J., Savale L., Tcherakian C., Yaici A., Achouh L., Parent F., Jais X., Simonneau G., Humbert M., Long-term outcome of systemic sclerosis-associated pulmonary arterial hypertension treated with bosentan as first-line monotherapy followed or not by the addition of prostanoids or sildenafil, Rheumatology, 49, 3, pp. 490-500, (2010); Bohr A., Memarzadeh K., The rise of artificial intelligence in healthcare applications, Artificial intelligence in healthcare, pp. 25-60, (2020); Aung Y.Y.M., Wong D.C.S., Ting D.S.W., The promise of artificial intelligence: a review of the opportunities and challenges of artificial intelligence in healthcare, Br Med Bull, 139, 1, pp. 4-15, (2021); Lai H., Huang H., Keshavjee K., Guergachi A., Gao X., Predictive models for diabetes mellitus using machine learning techniques, BMC Endocr Disord, 19, 1, (2019); Kwon J., Kim K.-H., Jeon K.-H., Lee S.E., Lee H.Y., Cho H.J., Choi J.O., Jeon E.S., Kim M.S., Kim J.J., Hwang K.K., Chae S.C., Baek S.H., Kang S.M., Choi D.J., Yoo B.S., Kim K.H., Park H.Y., Cho M.C., Oh B.H., Artificial intelligence algorithm for predicting mortality of patients with acute heart failure, PLoS One, 14, 7, (2019); Kiely D.G., Doyle O., Drage E., Jenner H., Salvatelli V., Daniels F.A., Rigg J., Schmitt C., Samyshkin Y., Lawrie A., Bergemann R., Utilising artificial intelligence to determine patients at risk of a rare disease: idiopathic pulmonary arterial hypertension, Pulm Circ, 9, 4, pp. 1-9, (2019); Sprecher V.P., Didden E.M., Swerdel J.N., Muller A., Evaluation of code-based algorithms to identify pulmonary arterial hypertension and chronic thromboembolic pulmonary hypertension patients in large administrative databases, Pulm Circ, 10, 4, pp. 1-10, (2020); Memon H.A., Park M.H., Pulmonary arterial hypertension in women, Methodist Debakey Cardiovasc J, 13, 4, pp. 224-237, (2017); Deyo R., Adapting a clinical comorbidity index for use with ICD-9-cm administrative databases, JCE, 45, 6, pp. 613-619, (1992); Lundberg S., Lee S.; Burger C.D., Ghandour M., Padmanabhan Menon D., Helmi H., Benza R.L., Early intervention in the management of pulmonary arterial hypertension: clinical and economic outcomes, ClinicoEconomics Outcomes Res, 9, pp. 731-739, (2017); Tran-Duy A., Morrisroe K., Clarke P., Stevens W., Proudman S., Sahhar J., Nikpour M., Cost-effectiveness of combination therapy for patients with systemic sclerosis-related pulmonary arterial hypertension, J Am Heart Assoc, 10, 7, (2021); Bergemann R., Allsopp J., Jenner H., Daniels F.A., Drage E., Samyshkin Y., Schmitt C., Wood S., Kiely D.G., Lawrie A., High levels of healthcare utilization prior to diagnosis in idiopathic pulmonary arterial hypertension support the feasibility of an early diagnosis algorithm: the SPHInX project, Pulm Circ, 8, 4, pp. 1-9, (2018); Dufour R., Pruett J., Hu N., Lickert C., Stemkowski S., Tsang Y., Lane D., Drake W., Healthcare resource utilization and costs for patients with pulmonary arterial hypertension: real-world documentation of functional class, J Med Econ, 20, 11, pp. 1178-1186, (2017); Exposto F., Hermans R., Nordgren A., Taylor L., Sikander Rehman S., Ogley R., Davies E., Yesufu-Udechuku A., Beaudet A., Burden of pulmonary arterial hypertension in England: retrospective HES database analysis, Ther Adv Respir Dis, 15, (2021); Zozaya N., Abdalla F., Casado Moreno I., Crespo-Diz C., Ramirez Gallardo A.M., Rueda Soriano J., Alcala Galan M., Hidalgo-Vega A., The economic burden of pulmonary arterial hypertension in Spain, BMC Pulm Med, 22, 1, (2022); Campo A., Mathai S.C., Le Pavec J., Zaiman A.L., Hummers L.K., Boyce D., Housten T., Lechtzin N., Chami H., Girgis R.E., Hassoun P.M., Outcomes of hospitalisation for right heart failure in pulmonary arterial hypertension, Eur Respir J, 38, 2, pp. 359-367, (2011); Huynh T.N., Weigt S.S., Sugar C.A., Shapiro S., Kleerup E.C., Prognostic factors and outcomes of patients with pulmonary hypertension admitted to the intensive care unit, J Crit Care, 27, 6, pp. 739.e7-13, (2012); Deshwal H., Weinstein T., Sulica R., Advances in the management of pulmonary arterial hypertension, J Investig Med, 69, 7, pp. 1270-1280, (2021); Kogan E., Didden E.-M., Lee E., Nnewihe A., Stamatiadis D., Mataraso S., Quinn D., Rosenberg D., Chehoud C., Bridges C., A machine learning approach to identifying patients with pulmonary hypertension using real-world electronic health records, Int J Cardiol, 374, pp. 95-99, (2023); Schuler K.P., Hemnes A.R., Annis J., Farber-Eger E., Lowery B.D., Halliday S.J., Brittain E.L., An algorithm to identify cases of pulmonary arterial hypertension from the electronic medical record, Respir Res, 23, 1, (2022); Hanover L., Artificial intelligence saves payers time and money, Manag Healthc Exec [Internet], 31, 8, pp. 18-20, (2021); King R.</t>
  </si>
  <si>
    <t xml:space="preserve">B. Hyde; Janssen Business Technology Commercial Data Insights &amp; Data Science, Titusville, 08560, United States; email: bhyde1@its.jnj.com</t>
  </si>
  <si>
    <t xml:space="preserve">Pulm. Circ.</t>
  </si>
  <si>
    <t xml:space="preserve">2-s2.0-85162130669</t>
  </si>
  <si>
    <t xml:space="preserve">Majeed M.A.; Shafri H.Z.M.; Zulkafli Z.; Wayayok A.</t>
  </si>
  <si>
    <t xml:space="preserve">Majeed, Mokhalad A. (58134648300); Shafri, Helmi Zulhaidi Mohd (24072139200); Zulkafli, Zed (55765693100); Wayayok, Aimrun (57211373258)</t>
  </si>
  <si>
    <t xml:space="preserve">58134648300; 24072139200; 55765693100; 57211373258</t>
  </si>
  <si>
    <t xml:space="preserve">A Deep Learning Approach for Dengue Fever Prediction in Malaysia Using LSTM with Spatial Attention</t>
  </si>
  <si>
    <t xml:space="preserve">This research aims to predict dengue fever cases in Malaysia using machine learning techniques. A dataset consisting of weekly dengue cases at the state level in Malaysia from 2010 to 2016 was obtained from the Malaysia Open Data website and includes variables such as climate, geography, and demographics. Six different long short-term memory (LSTM) models were developed and compared for dengue prediction in Malaysia: LSTM, stacked LSTM (S-LSTM), LSTM with temporal attention (TA-LSTM), S-LSTM with temporal attention (STA-LSTM), LSTM with spatial attention (SA-LSTM), and S-LSTM with spatial attention (SSA-LSTM). The models were trained and evaluated on a dataset of monthly dengue cases in Malaysia from 2010 to 2016, with the task of predicting the number of dengue cases based on various climate, topographic, demographic, and land-use variables. The SSA-LSTM model, which used both stacked LSTM layers and spatial attention, performed the best, with an average root mean squared error (RMSE) of 3.17 across all lookback periods. When compared to three benchmark models (SVM, DT, ANN), the SSA-LSTM model had a significantly lower average RMSE. The SSA-LSTM model also performed well in different states in Malaysia, with RMSE values ranging from 2.91 to 4.55. When comparing temporal and spatial attention models, the spatial models generally performed better at predicting dengue cases. The SSA-LSTM model was also found to perform well at different prediction horizons, with the lowest RMSE at 4- and 5-month lookback periods. Overall, the results suggest that the SSA-LSTM model is effective at predicting dengue cases in Malaysia. © 2023 by the authors.</t>
  </si>
  <si>
    <t xml:space="preserve">10.3390/ijerph20054130</t>
  </si>
  <si>
    <t xml:space="preserve">https://www.scopus.com/inward/record.uri?eid=2-s2.0-85149661713&amp;doi=10.3390%2fijerph20054130&amp;partnerID=40&amp;md5=ff03394f1ee689a6d79a2c4a3d5f7239</t>
  </si>
  <si>
    <t xml:space="preserve">Department of Civil Engineering, Faculty of Engineering, Universiti Putra Malaysia (UPM), Selangor, Serdang, 43400, Malaysia; Geospatial Information Science Research Centre (GISRC), Faculty of Engineering, Universiti Putra Malaysia (UPM), Selangor, Serdang, 43400, Malaysia; Department of Biological and Agricultural Engineering, Faculty of Engineering, Universiti Putra Malaysia (UPM), Selangor, Serdang, 43400, Malaysia</t>
  </si>
  <si>
    <t xml:space="preserve">Majeed M.A., Department of Civil Engineering, Faculty of Engineering, Universiti Putra Malaysia (UPM), Selangor, Serdang, 43400, Malaysia; Shafri H.Z.M., Department of Civil Engineering, Faculty of Engineering, Universiti Putra Malaysia (UPM), Selangor, Serdang, 43400, Malaysia, Geospatial Information Science Research Centre (GISRC), Faculty of Engineering, Universiti Putra Malaysia (UPM), Selangor, Serdang, 43400, Malaysia; Zulkafli Z., Department of Civil Engineering, Faculty of Engineering, Universiti Putra Malaysia (UPM), Selangor, Serdang, 43400, Malaysia; Wayayok A., Department of Biological and Agricultural Engineering, Faculty of Engineering, Universiti Putra Malaysia (UPM), Selangor, Serdang, 43400, Malaysia</t>
  </si>
  <si>
    <t xml:space="preserve">dengue fever; LSTM; Malaysia; spatial attention; temporal attention</t>
  </si>
  <si>
    <t xml:space="preserve">Climate; Deep Learning; Dengue; Humans; Machine Learning; Malaysia; Malaysia; dengue fever; machine learning; public health; spatial analysis; temporal record; Article; climate; comparative study; deep learning; demographics; dengue; geography; land use; long short term memory network; machine learning; Malaysia; prediction; process development; quality control; spatial attention; temporal attention; human</t>
  </si>
  <si>
    <t xml:space="preserve">Murray N.E.A., Quam M.B., Wilder-Smith A., Epidemiology of dengue: Past, present and future prospects, Clin. Epidemiol, 5, (2013); Dengue Monthly; Al-Dubai S.A., Ganasegeran K., Mohanad Rahman A., Alshagga M.A., Saif-Ali R., Factors affecting dengue fever knowledge, attitudes and practices among selected urban, semi-urban and rural communities in Malaysia, Southeast Asian J. Trop. Med. Public Health, 44, pp. 37-49, (2013); Hochreiter S., Schmidhuber J., Long short-term memory, Neural Comput, 9, pp. 1735-1780, (1997); Nguyen V.-H., Tuyet-Hanh T.T., Mulhall J., Van Minh H., Duong T.Q., Van Chien N., Nhung N.T.T., Lan V.H., Cuong D., Bich N.N., Et al., Deep learning models for forecasting dengue fever based on climate data in Vietnam, PLoS Neglected Trop. Dis, 16, (2022); Sarma D., Hossain S., Mittra T., Bhuiya MA M., Saha I., Chakma R., Dengue prediction using machine learning algorithms, Proceedings of the 2020 IEEE 8th R10 Humanitarian Technology Conference (R10-HTC), pp. 1-6; Guo P., Liu T., Zhang Q., Wang L., Xiao J., Zhang Q., Luo G., Li Z., He J., Zhang Y., Et al., Developing a dengue forecast model using machine learning: A case study in China, PLoS Negl. Trop. Dis, 11, (2017); Shaukat K., Masood N., Mehreen S., Azmeen U., Dengue fever prediction: A data mining problem, J. Data Min. Genom. Proteom, pp. 1-5, (2015); Arafiyah R., Hermin F., Kartika I.R., Alimuddin A., Saraswati I., Classification of Dengue Haemorrhagic Fever (DHF) using SVM, naive bayes and random forest, Proceedings of the IOP Conference Series: Materials Science and Engineering, 434; Roster K., Rodrigues F.A., Neural networks for dengue prediction: A systematic review, arXiv, (2021); Dourjoy S.M.K., Rafi A.M.G.R., Tumpa Z.N., Saifuzzaman M., A comparative study on prediction of dengue fever using machine learning algorithm, Advances in Distributed Computing and Machine Learning, pp. 501-510, (2021); Zhao N., Charland K., Carabali M., Nsoesie E.O., Maheu-Giroux M., Rees E., Zinszer K., Machine learning and dengue forecasting: Comparing random forests and artificial neural networks for predicting dengue burden at national and sub-national scales in Colombia, PLoS Negl. Trop. Dis, 14, (2020); Salim NA M., Wah Y.B., Reeves C., Smith M., Yaacob WF W., Mudin R.N., Haque U., Prediction of dengue outbreak in Selangor Malaysia using machine learning techniques, Sci. Rep, 11, (2021); Iqbal N., Islam M., Machine learning for Dengue outbreak prediction: An outlook, Int. J. Adv. Res. Comput. Sci, 8, pp. 93-102, (2017); Doni A.R., Sasipraba T., LSTM-RNN Based Approach for Prediction of Dengue Cases in India, Ing. Syst. d’Inf, 25, pp. 327-335, (2020); Xu J., Xu K., Li Z., Tu T., Xu L., Liu Q., Developing a dengue forecast model using Long Short Term Memory neural networks method, bioRxiv, (2019); Saleh A.Y., Baiwei L., Dengue Prediction Using Deep Learning with Long Short-Term Memory, Proceedings of the 2021 1st International Conference on Emerging Smart Technologies and Applications (eSmarTA), pp. 1-5; Alfred R., Obit J.H., The roles of machine learning methods in limiting the spread of deadly diseases: A systematic review, Heliyon, 7, (2021); Mussumeci E., Coelho F.C., Machine-learning forecasting for Dengue epidemics-Comparing LSTM, Random Forest and Lasso regression, medRxiv, (2020); Nadda W., Boonchieng W., Boonchieng E., Dengue fever detection using Long short-term memory neural network, Proceedings of the 2020 17th International Conference on Electrical Engineering/Electronics, Computer, Telecommunications and Information Technology (ECTI-CON), pp. 755-758; Khaira U., Utomo P.E.P., Aryani R., Weni I., A comparison of SARIMA and LSTM in forecasting dengue hemorrhagic fever incidence in Jambi, Indonesia, J. Phys. Conf. Ser, 1566, (2020); Nadda W., Boonchieng W., Boonchieng E., Influenza, dengue and common cold detection using LSTM with fully connected neural network and keywords selection, BioData Min, 15, pp. 1-14, (2022); Wong C.L., Venneker R., Uhlenbrook S., Jamil AB M., Zhou Y., Variability of rainfall in Peninsular Malaysia, Hydrol. Earth Syst. Sci. Discuss, 6, pp. 5471-5503, (2009); Shepard D.S., Undurraga E.A., Halasa Y.A., Economic and disease burden of dengue in Southeast Asia, PLoS Negl. Trop. Dis, 7, (2013); Mohd-Zaki A.H., Brett J., Ismail E., L'Azou M., Epidemiology of dengue disease in Malaysia (2000–2012): A systematic literature review, PLoS Negl. Trop. Dis, 8, (2014); Diong J.Y., Yip W.S., MatAdam M.K., Chang N.K., Yunus F., Abdullah M.H., The definitions of the southwest monsoon climatological onset and withdrawal over Malaysian region, Malays. Meteorol. Dep, 3, pp. 1-30, (2015); Moten S., Yunus F., Ariffin M., Burham N., Yik D.J., Adam MK M., Sang Y.W., Statistics of Northeast Monsoon Onset, Withdrawal and Cold Surges in Malaysia, (2014)</t>
  </si>
  <si>
    <t xml:space="preserve">H.Z.M. Shafri; Department of Civil Engineering, Faculty of Engineering, Universiti Putra Malaysia (UPM), Serdang, Selangor, 43400, Malaysia; email: helmi@upm.edu.my</t>
  </si>
  <si>
    <t xml:space="preserve">2-s2.0-85149661713</t>
  </si>
  <si>
    <t xml:space="preserve">Bhuiyan M.; Islam M.S.</t>
  </si>
  <si>
    <t xml:space="preserve">Bhuiyan, Mosabbir (57989624500); Islam, Md Saiful (57214493822)</t>
  </si>
  <si>
    <t xml:space="preserve">57989624500; 57214493822</t>
  </si>
  <si>
    <t xml:space="preserve">A new ensemble learning approach to detect malaria from microscopic red blood cell images</t>
  </si>
  <si>
    <t xml:space="preserve">Malaria is a life-threatening parasitic disease spread by infected female Anopheles mosquitoes. After analyzing it, microscopists detect this disease from the sample of microscopic red blood cell images. A professional microscopist is required to conduct the detection process, such an analysis may be time-consuming and provide low-quality results for large-scale diagnoses. This paper develops an ensemble learning-based deep learning model to identify malaria parasites from red blood cell images. VGG16(Retrained), VGG19(Retrained), and DenseNet201(Retrained) are three models that are used in developing the adaptive weighted average ensemble models. To reduce the dispersion of predictions, a max voting ensemble technique is then applied in combination with adaptive weighted average ensemble models. A variety of image processing techniques are utilized including the data augmentation technique to increase the number of data and solve the overfitting problem of the model. Some other approaches of custom CNN, Transfer Learning, and CNN-Machine Learning (ML) classifier techniques are also implemented for comparing their performance with the ensemble learning model. The proposed ensemble learning model provides the best performance among all with an accuracy of 97.92% to classify parasitized and uninfected cells. Therefore, the deep learning model has the potential to diagnose malaria more accurately and automatically. © 2022 The Authors</t>
  </si>
  <si>
    <t xml:space="preserve">Sensors International</t>
  </si>
  <si>
    <t xml:space="preserve">10.1016/j.sintl.2022.100209</t>
  </si>
  <si>
    <t xml:space="preserve">https://www.scopus.com/inward/record.uri?eid=2-s2.0-85143118785&amp;doi=10.1016%2fj.sintl.2022.100209&amp;partnerID=40&amp;md5=098be0eb15c05e50f4b12f15c71ab3b0</t>
  </si>
  <si>
    <t xml:space="preserve">Department of Electronics and Telecommunication Engineering, Chittagong University of Engineering and Technology, Chattogram, 4349, Bangladesh; Department of Electrical and Electronic Engineering, Chittagong University of Engineering and Technology, Chattogram, 4349, Bangladesh</t>
  </si>
  <si>
    <t xml:space="preserve">Bhuiyan M., Department of Electronics and Telecommunication Engineering, Chittagong University of Engineering and Technology, Chattogram, 4349, Bangladesh; Islam M.S., Department of Electrical and Electronic Engineering, Chittagong University of Engineering and Technology, Chattogram, 4349, Bangladesh</t>
  </si>
  <si>
    <t xml:space="preserve">CNN; Deep learning; Ensemble; Machine learning; Malaria; Transfer learning</t>
  </si>
  <si>
    <t xml:space="preserve">Blood; Cells; Cytology; Deep learning; Diagnosis; Diseases; Quality control; Statistical methods; Blood cell images; Deep learning; Ensemble; Ensemble learning; Learning models; Machine-learning; Malaria; Red blood cell; Transfer learning; Weighted averages; Learning systems</t>
  </si>
  <si>
    <t xml:space="preserve">Ali R., Hardie R.C., Narayanan B.N., Kebede T.M., IMNets: deep learning using an incremental modular network synthesis approach for medical imaging applications, Appl. Sci., 12, 11, (2022); Badrinarayanan V., Kendall A., Cipolla R., SegNet: a deep convolutional encoder-decoder architecture for image segmentation, IEEE Trans. Pattern Anal. Mach. Intell., 39, 12, pp. 2481-2495, (2017); Bhuiyan M., Kabir A., Ahasan Kabir M., Vehicle speed prediction based on road status using machine learning, Adv. Res.Eng. Energy, 2, 1, pp. 1-9, (2020); (2021); Burke D., Malaria: causes, symptoms, and diagnosis. Healthline, (2019); Global Health, Division of Parasitic Diseases and Malaria, (2021); Delgado-Ortet M., Molina A., Alferez S., Rodellar J., Merino A., A deep learning approach for segmentation of red blood cell images and malaria detection, Entropy, 22, 6, (2020); Dong Y., Jiang Z., Shen H., David Pan W., Williams L.A., Reddy V.V.B., Benjamin W.H., Bryan A.W., Evaluations of deep convolutional neural networks for automatic identification of malaria infected cells, In 2017 IEEE EMBS International Conference on Biomedical &amp; Health Informatics (BHI), pp. 101-104, (2017); Fuhad K.M.F., Tuba J.F., Sarker M.R.A., Momen S., Mohammed N., Rahman T., Deep learning based automatic malaria parasite detection from blood smear and its smartphone based application, Diagnostics, 10, 5, (2020); Hayat M., Tahir M., Alarfaj F.K., Alturki R., Gazzawe F., NLP-BCH-Ens: NLP-based intelligent computational model for discrimination of malaria parasite, Comput. Biol. Med., 149, (2022); He K., Zhang X., Ren S., Sun J., Identity mappings in deep residual networks, European Conference on Computer Vision, pp. 630-645, (2016); Huang G., Liu Z., van der Maaten L., Weinberger K.Q., Densely connected convolutional networks, Proceedings of the IEEE Conference on Computer Vision and Pattern Recognition, pp. 4700-4708, (2017); Ioffe S., Szegedy C., Batch normalization: accelerating deep network training by reducing internal covariate shift, 32nd International Conference on Machine Learning, PMLR, pp. 448-456, (2015); Kingma D.P., Ba J.L., Adam: A Method for Stochastic Optimization, (2014); Krizhevsky A., Sutskever I., Hinton G.E., ImageNet classification with deep convolutional neural networks, Adv. Neural Inf. Process. Syst., 25, pp. 1097-1105, (2012); Lecun Y., Bengio Y., Convolutional networks for images, speech, and time-series, Handb.Brain.Theor. Neural Network., 3361, 10, pp. 255-258, (1995); Lecun Y., Bottou L., Bengio Y., Haffner P., Gradient-based learning applied to document recognition, Proc. IEEE, 86, 11, pp. 2278-2324, (1998); LeCun Y., Kavukcuoglu K., Farabet C., Convolutional networks and applications in vision, ISCAS 2010 - 2010 IEEE International Symposium on Circuits and Systems: Nano-Bio Circuit Fabrics and Systems, pp. 253-256, (2010); Liang Z., Powell A., Ersoy I., Poostchi M., Silamut K., Palaniappan K., Guo P., Hossain M.A., Sameer A., Maude R.J., Huang J.X., Jaeger S., Thoma G., CNN-based image analysis for malaria diagnosis, In 2016 IEEE International Conference on Bioinformatics and Biomedicine (BIBM), pp. 493-496, (2016); World Health organization (WHO), (2021); Maqsood A., Farid M.S., Khan M.H., Grzegorzek M., Deep malaria parasite detection in thin blood smear microscopic images, Appl. Sci., 11, 5, (2021); Narayanan B.N., Ali R., Hardie R.C., Performance analysis of machine learning and deep learning architectures for malaria detection on cell images, Applications of Machine Learning, (2019); LHNCBC; Poostchi M., Silamut K., Maude R.J., Jaeger S., Thoma G., Image analysis and machine learning for detecting malaria, Transl. Res., 194, pp. 36-55, (2018); Quan Q., Wang J., Liu L., An effective convolutional neural network for classifying red blood cells in malaria diseases, Interdiscipl. Sci. Comput. Life Sci., 12, 2, pp. 217-225, (2020); Rahman A., Zunair H., Sohel Rahman M., Quader Yuki J., Biswas S., Ashraful Alam M., Binte Alam N., Mahdy M.R.C., Improving Malaria Parasite Detection from Red Blood Cell Using Deep Convolutional Neural Networks, (2019); Keras; Keras; Sarkar S., Sharma R., Shah K., Malaria Detection from RBC Images Using Shallow Convolutional Neural Networks, (2020); Shang W., Sohn K., Almeida D., Lee H., Understanding and improving convolutional neural networks via concatenated rectified linear units, Proceedings of 33rd International Conference on Machine Learning (ICML2016), pp. 2217-2225, (2016); Simonyan K., Zisserman A., Very Deep Convolutional Networks for Large-Scale Image Recognition, (2014); Sourab S.Y., Kabir M.A., A comparison of hybrid deep learning models for pneumonia diagnosis from chest radiograms, Sensors International, 3, (2022); Sunarko B., Djuniadi, Bottema M., Iksan N., Hudaya K.A.N., Hanif M.S., Red blood cell classification on thin blood smear images for malaria diagnosis, J. Phys. Conf., 1444, 1, (2020); Szegedy C., Liu W., Jia Y., Sermanet P., Reed S., Anguelov D., Erhan D., Vanhoucke V., Rabinovich A., Going deeper with convolutions, Proceedings of the IEEE Conference on Computer Vision and Pattern Recognition, pp. 1-9, (2015); Zhao O.S., Kolluri N., Anand A., Chu N., Bhavaraju R., Ojha A., Tiku S., Nguyen D., Chen R., Morales A., Valliappan D., Patel J.P., Nguyen K., Convolutional neural networks to automate the screening of malaria in low-resource countries, PeerJ, 8, (2020)</t>
  </si>
  <si>
    <t xml:space="preserve">M.S. Islam; Department of Electrical and Electronic Engineering, Chittagong University of Engineering and Technology, Chattogram, 4349, Bangladesh; email: saiful05eee@cuet.ac.bd</t>
  </si>
  <si>
    <t xml:space="preserve">Sens. Int.</t>
  </si>
  <si>
    <t xml:space="preserve">2-s2.0-85143118785</t>
  </si>
  <si>
    <t xml:space="preserve">Hong Z.; Zhang S.; Li L.; Li Y.; Liu T.; Guo S.; Xu X.; Yang Z.; Zhang H.; Xu J.</t>
  </si>
  <si>
    <t xml:space="preserve">Hong, Zhong (57224130493); Zhang, Shiqing (8856978100); Li, Lu (57366267600); Li, Yinlong (57208761735); Liu, Ting (58387548100); Guo, Suying (57209773693); Xu, Xiaojuan (57118460400); Yang, Zhaoming (58075998000); Zhang, Haoyi (58075998100); Xu, Jing (57095181500)</t>
  </si>
  <si>
    <t xml:space="preserve">57224130493; 8856978100; 57366267600; 57208761735; 58387548100; 57209773693; 57118460400; 58075998000; 58075998100; 57095181500</t>
  </si>
  <si>
    <t xml:space="preserve">A Nomogram for Predicting Prognosis of Advanced Schistosomiasis japonica in Dongzhi County—A Case Study</t>
  </si>
  <si>
    <t xml:space="preserve">Backgrounds: Advanced schistosomiasis is the late stage of schistosomiasis, seriously jeopardizing the quality of life or lifetime of infected people. This study aimed to develop a nomogram for predicting mortality of patients with advanced schistosomiasis japonica, taking Dongzhi County of China as a case study. Method: Data of patients with advanced schistosomiasis japonica were collected from Dongzhi Schistosomiasis Hospital from January 2019 to July 2022. Data of patients were randomly divided into a training set and validation set with a ratio of 7:3. Candidate variables, including survival outcomes, demographics, clinical features, laboratory examinations, and ultrasound examinations, were analyzed and selected by LASSO logistic regression for the nomogram. The performance of the nomogram was assessed by concordance index (C-index), sensitivity, specificity, positive predictive value (PPV) and negative predictive value (NPV). The calibration of the nomogram was evaluated by the calibration plots, while clinical benefit was evaluated by decision curve and clinical impact curve analysis. Results: A total of 628 patients were included in the final analysis. Atrophy of the right liver, creatinine, ascites level III, N-terminal procollagen III peptide, and high-density lipoprotein were selected as parameters for the nomogram model. The C-index, sensitivity, specificity, PPV, and NPV of the nomogram were 0.97 (95% [CI]: [0.95–0.99]), 0.78 (95% [CI]: [0.64–0.87]), 0.97 (95% [CI]: [0.94–0.98]), 0.78 (95% [CI]: [0.64–0.87]), 0.97 (95% [CI]: [0.94–0.98]) in the training set; and 0.98 (95% [CI]: [0.94–0.99]), 0.86 (95% [CI]: [0.64–0.96]), 0.97 (95% [CI]: [0.93–0.99]), 0.79 (95% [CI]: [0.57–0.92]), 0.98 (95% [CI]: [0.94–0.99]) in the validation set, respectively. The calibration curves showed that the model fitted well between the prediction and actual observation in both the training set and validation set. The decision and the clinical impact curves showed that the nomogram had good clinical use for discriminating patients with high risk of death. Conclusions: A nomogram was developed to predict prognosis of advanced schistosomiasis. It could guide clinical staff or policy makers to formulate intervention strategies or efficiently allocate resources against advanced schistosomiasis. © 2023 by the authors.</t>
  </si>
  <si>
    <t xml:space="preserve">Tropical Medicine and Infectious Disease</t>
  </si>
  <si>
    <t xml:space="preserve">MDPI</t>
  </si>
  <si>
    <t xml:space="preserve">10.3390/tropicalmed8010033</t>
  </si>
  <si>
    <t xml:space="preserve">https://www.scopus.com/inward/record.uri?eid=2-s2.0-85146759399&amp;doi=10.3390%2ftropicalmed8010033&amp;partnerID=40&amp;md5=77ec4233d21e3b90fbf75cb6b3292476</t>
  </si>
  <si>
    <t xml:space="preserve">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Department of Schistosomiasis Control and Prevention, Anhui Institute of Parasitic Diseases, Hefei, 230061, China; Department of Clinical Treatment, Dongzhi Schistosomiasis Hospital, Chizhou, 247230, China</t>
  </si>
  <si>
    <t xml:space="preserve">Hong Z.,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Zhang S., Department of Schistosomiasis Control and Prevention, Anhui Institute of Parasitic Diseases, Hefei, 230061, China; Li L.,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Li Y.,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Liu T., Department of Schistosomiasis Control and Prevention, Anhui Institute of Parasitic Diseases, Hefei, 230061, China; Guo S.,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Xu X., Department of Schistosomiasis Control and Prevention, Anhui Institute of Parasitic Diseases, Hefei, 230061, China; Yang Z., Department of Clinical Treatment, Dongzhi Schistosomiasis Hospital, Chizhou, 247230, China; Zhang H., Department of Clinical Treatment, Dongzhi Schistosomiasis Hospital, Chizhou, 247230, China; Xu J.,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t>
  </si>
  <si>
    <t xml:space="preserve">advanced schistosomiasis; LASSO logistic regression; nomogram; prognosis</t>
  </si>
  <si>
    <t xml:space="preserve">creatinine; high density lipoprotein; n terminal procollagen iii peptide; procollagen; unclassified drug; adult; aged; Article; ascites; clinical feature; creatinine blood level; demographics; echography; female; human; laboratory test; least absolute shrinkage and selection operator; liver atrophy; machine learning; major clinical study; male; mortality; nomogram; predictive value; prognosis; risk factor; schistosomiasis japonica; sensitivity and specificity; survival</t>
  </si>
  <si>
    <t xml:space="preserve">Major national R&amp;D projects, (2018ZX10101–002-002); National Natural Science Foundation of China, NSFC, (82073619); National Natural Science Foundation of China, NSFC; National Key Research and Development Program of China, NKRDPC, (2021YFC2300800, 2021YFC2300804); National Key Research and Development Program of China, NKRDPC</t>
  </si>
  <si>
    <t xml:space="preserve">Supported by National Key Research and Development Program of China (No. 2021YFC2300800, 2021YFC2300804), National Science Foundation of China (Grant No. 82073619) and Major national R&amp;D projects (2018ZX10101–002-002).</t>
  </si>
  <si>
    <t xml:space="preserve">Aula O.P., McManus D.P., Jones M.K., Gordon C.A., Schistosomiasis with a Focus on Africa, Trop. Med. Infect. Dis, 6, (2021); Colley D.G., Bustinduy A.L., Secor W.E., King C.H., Human schistosomiasis, Lancet, 383, pp. 2253-2264, (2014); Deol A.K., Fleming F.M., Calvo-Urbano B., Walker M., Bucumi V., Gnandou I., Tukahebwa E.M., Jemu S., Mwingira U.J., Alkohlani A., Et al., Schistosomiasis—Assessing Progress toward the 2020 and 2025 Global Goals, N. Engl. J. Med, 381, pp. 2519-2528, (2019); Pisarski K., The Global Burden of Disease of Zoonotic Parasitic Diseases: Top 5 Contenders for Priority Consideration, Trop. Med. Infect. Dis, 4, (2019); Mohamed A.R., al Karawi M., Yasawy M.I., Schistosomal colonic disease, Gut, 31, pp. 439-442, (1990); Cheever A.W., A quantitative post-mortem study of Schistosomiasis mansoni in man, Am. J. Trop. Med. Hyg, 17, pp. 38-64, (1968); Richter J., Correia Dacal A.R., Vergetti Siqueira J.G., Poggensee G., Mannsmann U., Deelder A., Feldmeier H., Sonographic prediction of variceal bleeding in patients with liver fibrosis due to Schistosoma mansoni, Trop. Med. Int. Health, 3, pp. 728-735, (1998); Khalaf I., Shokeir A., Shalaby M., Urologic complications of genitourinary schistosomiasis, World J. Urol, 30, pp. 31-38, (2012); Kjetland E.F., Leutscher P.D., Ndhlovu P.D., A review of female genital schistosomiasis, Trends Parasitol, 28, pp. 58-65, (2012); Song L., Wu X., Zhang B., Liu J., Ning A., Wu Z., A cross-sectional survey comparing a free treatment program for advanced schistosomiasis japonica to a general assistance program, Parasitol. Res, 116, pp. 2901-2909, (2017); Hong Z., Li L., Zhang L., Wang Q., Xu J., Li S., Zhou X.N., Elimination of Schistosomiasis Japonica in China: From the One Health Perspective, China CDC Wkly, 4, pp. 130-134, (2022); Zhang J.F., Xu J., Bergquist R., Yu L.L., Yan X.L., Zhu H.Q., Wen L.Y., Development and Application of Diagnostics in the National Schistosomiasis Control Programme in The People’s Republic of China, Adv. Parasitol, 92, pp. 409-434, (2016); Deng W.C., Yang Z., Xie H.Q., Li Y.L., Liu J.X., Ding G.J., Zhu Y.H., Jing Q.S., Kong G.Q., Lin D.D., Et al., Diagnosis and treatment of schistosomiasis japonica-concensuses among ex- perts in Hunan, Hubei and Jiangxi provinces, Zhongguo Xue Xi Chong Bing Fang Zhi Za Zhi, 27, pp. 451-456, (2015); Jia T.W., Utzinger J., Deng Y., Yang K., Li Y.Y., Zhu J.H., King C.H., Zhou X.N., Quantifying quality of life and disability of patients with advanced schistosomiasis japonica, PLoS Negl. Trop. Dis, 5, (2011); Wu L.L., Hu H.H., Zhang X., Zhou X.N., Jia T.W., Wang C., Hong Z., Xu J., Cost-effectiveness analysis of the integrated control strategy for schistosomiasis japonica in a lake region of China: A case study, Infect. Dis. Poverty, 10, (2021); Hu F., Xie S.Y., Yuan M., Li Y.F., Li Z.J., Gao Z.L., Lan W.M., Liu Y.M., Xu J., Lin D.D., The Dynamics of Hepatic Fibrosis Related to Schistosomiasis and Its Risk Factors in a Cohort of China, Pathogens, 10, (2021); Zhang L.J., Xu Z.M., Yang F., He J.Y., Dang H., Li Y.L., Cao C.L., Xu J., Li S.Z., Zhou X.N., Progress of schistosomiasis control in People’s Republic of China in 2021, Zhongguo Xue Xi Chong Bing Fang Zhi Za Zhi, 34, pp. 329-336, (2022); Liang W., Yao J., Chen A., Lv Q., Zanin M., Liu J., Wong S., Li Y., Lu J., Liang H., Et al., Early triage of critically ill COVID-19 patients using deep learning, Nat. Commun, 11, (2020); Li G., Lian L., Huang S., Miao J., Cao H., Zuo C., Liu X., Zhu Z., Nomograms to predict 2-year overall survival and advanced schistosomiasis-specific survival after discharge: A competing risk analysis, J. Transl. Med, 18, (2020); LeCun Y., Bengio Y., Hinton G., Deep learning, Nature, 521, pp. 436-444, (2015); He C., Zhang Y., Cai Z., Lin X., Competing risk analyses of overall survival and cancer-specific survival in patients with combined hepatocellular cholangiocarcinoma after surgery, BMC Cancer, 19, (2019); Heo J., Yoon J.G., Park H., Kim Y.D., Nam H.S., Heo J.H., Machine Learning-Based Model for Prediction of Outcomes in Acute Stroke, Stroke, 50, pp. 1263-1265, (2019); Li G., Zhou X., Liu J., Chen Y., Zhang H., Chen Y., Liu J., Jiang H., Yang J., Nie S., Comparison of three data mining models for prediction of advanced schistosomiasis prognosis in the Hubei province, PLoS Negl. Trop. Dis, 12, (2018); Balachandran V.P., Gonen M., Smith J.J., DeMatteo R.P., Nomograms in oncology: More than meets the eye, Lancet Oncol, 16, pp. e173-e180, (2015); Zhou H., Zhang Y., Qiu Z., Chen G., Hong S., Chen X., Zhang Z., Huang Y., Zhang L., Nomogram to Predict Cause-Specific Mortality in Patients With Surgically Resected Stage I Non-Small-Cell Lung Cancer: A Competing Risk Analysis, Clin Lung Cancer, 19, pp. e195-e203, (2018); Liu L., Xie J., Wu W., Chen H., Li S., He H., Yu Y., Hu M., Li J., Zheng R., Et al., A simple nomogram for predicting failure of non-invasive respiratory strategies in adults with COVID-19: A retrospective multicentre study, Lancet Digit Health, 3, pp. e166-e174, (2021); Wu Y., Hu H., Cai J., Chen R., Zuo X., Cheng H., Yan D., A prediction nomogram for the 3-year risk of incident diabetes among Chinese adults, Sci. Rep, 10, (2020); Wang Y., Zhang Y., Wang K., Su Y., Zhuge J., Li W., Wang S., Yao H., Nomogram Model for Screening the Risk of Type II Diabetes in Western Xinjiang, China, Diabetes Metab. Syndr. Obes, 14, pp. 3541-3553, (2021); Li G., Huang S., Lian L., Song X., Sun W., Miao J., Li B., Yuan Y., Wu S., Liu X., Et al., Derivation and external validation of a model to predict 2-year mortality risk of patients with advanced schistosomiasis after discharge, EBioMedicine, 47, pp. 309-318, (2019); Collins G.S., Reitsma J.B., Altman D.G., Moons K.G., Transparent reporting of a multivariable prediction model for individual prognosis or diagnosis (TRIPOD): The TRIPOD statement, BMJ, 350, (2015); Garcia-Carretero R., Vigil-Medina L., Barquero-Perez O., Mora-Jimenez I., Soguero-Ruiz C., Goya-Esteban R., Ramos-Lopez J., Logistic LASSO and Elastic Net to Characterize Vitamin D Deficiency in a Hypertensive Obese Population, Metab. Syndr. Relat. Disord, 18, pp. 79-85, (2020); Mullah M.A.S., Hanley J.A., Benedetti A., LASSO type penalized spline regression for binary data, BMC Med. Res. Methodol, 21, (2021); Qu Y., Pan C., Guo S., Wu H., Dietary Intake and Asthma in Preschoolers: A Logistic Lasso Regression Analysis, Front Pediatr, 10, (2022); Wu J., Zhang H., Li L., Hu M., Chen L., Xu B., Song Q., A nomogram for predicting overall survival in patients with low-grade endometrial stromal sarcoma: A population-based analysis, Cancer Commun, 40, pp. 301-312, (2020); Fitzgerald M., Saville B.R., Lewis R.J., Decision curve analysis, JAMA, 313, pp. 409-410, (2015); Vickers A.J., Elkin E.B., Decision curve analysis: A novel method for evaluating prediction models, Med. Decis. Making, 26, pp. 565-574, (2006); Song L., Wu X., Ren J., Gao Z., Xu Y., Xie H., Li D., Gong Z., Hu F., Liu H., Et al., Assessment of the effect of treatment and assistance program on advanced patients with schistosomiasis japonica in China from 2009 to 2014, Parasitol. Res, 115, pp. 4267-4273, (2016); Yang F., Xu J., Lu S., Cao C.L., Li S.Z., Zhang L.J., Analysis on epidemiological characteristics of current advanced schistosomiasis cases in China based on the Epidemiological Dynamic Data Collection Platform (EDDC), Zhongguo Xue Xi Chong Bing Fang Zhi Za Zhi, 33, pp. 234-239, (2021); Ding Y.Y., Analysis of right hepatic lobe atrophy caused by advanced schistosomiasis by color Doppler ultrasound, Chin. J. Ctrl. Endem. Dis, 29, (2014); Yang K.H., Ge S.L., Zhang M.H., Chen H., Wang H., Han M.L., Du L.F., Investigation of the causes for right lobe atrophy in schistosomisis japonica patients using ultrasound, Chin. J. Med. Imaging Technol, 29, pp. 802-850, (2013); Adike A., Rakela J., Czaplicki C., Moss A., Carey E., Right hepatic lobe resection and thrombocytopenia, Ann. Hepatol, 16, pp. 10-11, (2017); Trotter J.F., Gillespie B.W., Terrault N.A., Abecassis M.M., Merion R.M., Brown R.S., Olthoff K.M., Hayashi P.H., Berg C.L., Fisher R.A., Et al., Laboratory test results after living liver donation in the adult-to-adult living donor liver transplantation cohort study, Liver Transpl, 17, pp. 409-417, (2011); Wang H.Q., Yang J., Yang J.Y., Wang W.T., Yan L.N., Low immediate postoperative platelet count is associated with hepatic insufficiency after hepatectomy, World J. Gastroenterol, 20, pp. 11871-11877, (2014); Amitrano L., Guardascione M.A., Brancaccio V., Balzano A., Coagulation disorders in liver disease, Semin Liver Dis, 22, pp. 83-96, (2002); Northup P.G., Caldwell S.H., Coagulation in liver disease: A guide for the clinician, Clin. Gastroenterol. Hepatol, 11, pp. 1064-1074, (2013); Kar R., Kar S.S., Sarin S.K., Hepatic coagulopathy-intricacies and challenges; a cross-sectional descriptive study of 110 patients from a superspecialty institute in North India with review of literature, Blood Coagul. Fibrinolysis, 24, pp. 175-180, (2013); Ali A.M., Kunugi H., Hypoproteinemia predicts disease severity and mortality in COVID-19: A call for action, Diagn Pathol, 16, (2021); Katalinic L., Premuzic V., Basic-Jukic N., Barisic I., Jelakovic B., Hypoproteinemia as a factor in assessing malnutrition and predicting survival on hemodialysis, J. Artif. Organs, 22, pp. 230-236, (2019); Sun W., Li G., Zhang J., Zhu J., Zhang Z., The role of nutritional assessment for predicting radiotherapy-induced adverse events in patients with gastric cancer, Br. J. Radiol, 95, (2022); Garbuzenko D.V., Arefyev N.O., Current approaches to the management of patients with cirrhotic ascites, World J. Gastroenterol, 25, pp. 3738-3752, (2019); Jiang H., Deng W., Zhou J., Ren G., Cai X., Li S., Hu B., Li C., Shi Y., Zhang N., Et al., Machine learning algorithms to predict the 1 year unfavourable prognosis for advanced schistosomiasis, Int. J. Parasitol, 51, pp. 959-965, (2021); Kikowicz M., Gozdowska J., Durlik M., Massive Ascites of Unknown Origin: A Case Report, Transplant. Proc, 52, pp. 2527-2529, (2020); Muhie O.A., Causes and Clinical Profiles of Ascites at University of Gondar Hospital, Northwest Ethiopia: Institution-Based Cross-Sectional Study, Can J. Gastroenterol. Hepatol, 2019, (2019); Chung M., Kozuch P., Treatment of malignant ascites, Curr. Treat. Options. Oncol, 9, pp. 215-233, (2008); Zhao R., Lu J., Shi Y., Zhao H., Xu K., Sheng J., Current management of refractory ascites in patients with cirrhosis, J. Int. Med. Res, 46, pp. 1138-1145, (2018); Li G.F., Teng Z., Tian J.G., Yu X., Yu X.Q., Sun X.D., Quality of life and its influencing factors of advanced schistosomiasis patients in Qingpu District, Shanghai, Zhongguo Xue Xi Chong Bing Fang Zhi Za Zhi, 26, pp. 303-307, (2014); Zhou R.H., Yu H.Q., Liu J.X., Xiao C.L., Pan J., Lai R.Y., Li L.L., Effect of rational emotive therapy on negative emotion in advanced schistosomiasis patients with repeated hospitalization, Zhongguo Xue Xi Chong Bing Fang Zhi Za Zhi, 32, pp. 308-310, (2020); Ottka C., Vapalahti K., Maatta A.M., Huuskonen N., Sarpanen S., Jalkanen L., Lohi H., High serum creatinine concentration is associated with metabolic perturbations in dogs, J. Vet. Intern. Med, 35, pp. 405-414, (2021); Conner B.J., Treating Hypoalbuminemia, Vet. Clin. N. Am. Small Anim. Pract, 47, pp. 451-459, (2017); Siew E.D., Matheny M.E., Choice of Reference Serum Creatinine in Defining Acute Kidney Injury, Nephron, 131, pp. 107-112, (2015); Cales P., Oberti F., Michalak S., Hubert-Fouchard I., Rousselet M.C., Konate A., Gallois Y., Ternisien C., Chevailler A., Lunel F., A novel panel of blood markers to assess the degree of liver fibrosis, Hepatology, 42, pp. 1373-1381, (2005); Zhang G.M., Bai S.M., Zhang G.M., Ma X.B., Goyal H., A Novel Method for Estimating Low-Density Lipoprotein (LDL) Levels: Total Cholesterol and Non-High-Density Lipoprotein (HDL) Can Be Used to Predict Abnormal LDL Level in an Apparently Healthy Population, Med. Sci. Monit, 24, pp. 1688-1692, (2018); Kosmas C.E., Christodoulidis G., Cheng J.W., Vittorio T.J., Lerakis S., High-density lipoprotein functionality in coronary artery disease, Am. J. Med. Sci, 347, pp. 504-508, (2014); Bosch N., Frishman W.H., Newer therapeutic strategies to alter high-density lipoprotein level and function, Cardiol. Rev, 22, pp. 17-24, (2014); Rye K.A., High density lipoprotein structure, function, and metabolism: A new Thematic Series, J. Lipid. Res, 54, pp. 2031-2033, (2013); Kon V., Yang H.C., Smith L.E., Vickers K.C., Linton M.F., High-Density Lipoproteins in Kidney Disease, Int. J. Mol. Sci, 22, (2021); Chen S.D., Fang L.L., Zhang C.X., Lian M.J., Diagnostic Value of HA, LN, CIV and PⅢNP in Patients With Liver Fibrosis and Cirrhosis of Hepatitis B, China Health Stand. Manag, 12, pp. 5-8, (2022); Hu F., Hu A.Z., Li Y.X., Tang G.C., Zhang B.L., Liu H.Y., Gao Z.L., Xu J., Ning A., Study on the clinical usefulness of the serum fibrosis index to diagnose hepatic fibrosis in patients with schistosomiasis, J. Pathog. Biol, 12, pp. 1130-1133, (2014)</t>
  </si>
  <si>
    <t xml:space="preserve">J. Xu;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email: xujing@nipd.chinacdc.cn</t>
  </si>
  <si>
    <t xml:space="preserve">Trop. Med. Infect. Dis.</t>
  </si>
  <si>
    <t xml:space="preserve">2-s2.0-85146759399</t>
  </si>
  <si>
    <t xml:space="preserve">Li S.; Sun X.; Li T.; Shi Y.; Xu B.; Deng Y.; Wang S.</t>
  </si>
  <si>
    <t xml:space="preserve">Li, Shan (58503097400); Sun, Xuguang (57861928400); Li, Ting (57193355506); Shi, Yanqing (57861367000); Xu, Binjie (58679630900); Deng, Yuyong (58679895600); Wang, Sifan (58678996400)</t>
  </si>
  <si>
    <t xml:space="preserve">58503097400; 57861928400; 57193355506; 57861367000; 58679630900; 58679895600; 58678996400</t>
  </si>
  <si>
    <t xml:space="preserve">A novel proteomic-based model for predicting colorectal cancer with Schistosoma japonicum co‐infection by integrated bioinformatics analysis and machine learning</t>
  </si>
  <si>
    <t xml:space="preserve">Schistosoma japonicum infection is an important public health problem and the S. japonicum infection is associated with a variety of diseases, including colorectal cancer. We collected the paraffin samples of CRC patients with or without S. japonicum infection according to standard procedures. Data-Independent Acquisition was used to identify differentially expressed proteins (DEPs), protein–protein interaction (PPI) network construction, Gene Ontology (GO) and Kyoto Encyclopedia of Genes and Genomes (KEGG) functional enrichment analysis and machine learning algorithms (least absolute shrinkage and selection operator (LASSO) regression) were used to identify candidate genes for diagnosing CRC with S. japonicum infection. To assess the diagnostic value, the nomogram and receiver operating characteristic (ROC) curve were developed. A total of 115 DEPs were screened, the DEPs that were discovered were mostly related with biological process in generation of precursor metabolites and energy,energy derivation by oxidation of organic compounds, carboxylic acid metabolic process, oxoacid metabolic process, cellular respiration aerobic respiration according to the analyses. Enrichment analysis showed that these compounds might regulate oxidoreductase activity, transporter activity, transmembrane transporter activity, ion transmembrane transporter activity and inorganic molecular entity transmembrane transporter activity. Following the development of PPI network and LASSO, 13 genes (hsd17b4, h2ac4, hla-c, pc, epx, rpia, tor1aip1, mindy1, dpysl5, nucks1, cnot2, ndufa13 and dnm3) were filtered, and 3 candidate hub genes were chosen for nomogram building and diagnostic value evaluation after machine learning. The nomogram and all 3 candidate hub genes (hsd17b4, rpia and cnot2) had high diagnostic values (area under the curve is 0.9556). The results of our study indicate that the combination of hsd17b4, rpia, and cnot2 may become a predictive model for the occurrence of CRC in combination with S. japonicum infection. This study also provides new clues for the mechanism research of S. japonicum infection and CRC. © 2023, The Author(s).</t>
  </si>
  <si>
    <t xml:space="preserve">BMC Medical Genomics</t>
  </si>
  <si>
    <t xml:space="preserve">10.1186/s12920-023-01711-8</t>
  </si>
  <si>
    <t xml:space="preserve">https://www.scopus.com/inward/record.uri?eid=2-s2.0-85175606028&amp;doi=10.1186%2fs12920-023-01711-8&amp;partnerID=40&amp;md5=7f34826fac2fec7fa254071c5a544b85</t>
  </si>
  <si>
    <t xml:space="preserve">Precision Preventive Medicine Laboratory of Basic Medical School, Jiujiang University, Jiujiang, 332005, China; Art School, Jiujiang University, Jiujiang, 332005, China; Affiliated Hospital of Jiujiang University, Jiujiang, 332005, China</t>
  </si>
  <si>
    <t xml:space="preserve">Li S., Precision Preventive Medicine Laboratory of Basic Medical School, Jiujiang University, Jiujiang, 332005, China; Sun X., Art School, Jiujiang University, Jiujiang, 332005, China; Li T., Affiliated Hospital of Jiujiang University, Jiujiang, 332005, China; Shi Y., Affiliated Hospital of Jiujiang University, Jiujiang, 332005, China; Xu B., Precision Preventive Medicine Laboratory of Basic Medical School, Jiujiang University, Jiujiang, 332005, China; Deng Y., Precision Preventive Medicine Laboratory of Basic Medical School, Jiujiang University, Jiujiang, 332005, China; Wang S., Precision Preventive Medicine Laboratory of Basic Medical School, Jiujiang University, Jiujiang, 332005, China</t>
  </si>
  <si>
    <t xml:space="preserve">Diagnostic values; Differentially expressed genes; Machine learning; Schistosoma Japonicum</t>
  </si>
  <si>
    <t xml:space="preserve">Animals; Coinfection; Colorectal Neoplasms; Computational Biology; Humans; Machine Learning; Proteomics; Schistosoma japonicum; Schistosomiasis japonica; carboxylic acid; organic compound; oxidoreductase; oxoacid; aged; Article; bioinformatics; biological activity; cell respiration; clinical article; clinical feature; coinfection; colorectal cancer; controlled study; diagnostic test accuracy study; diagnostic value; enzyme activity; female; gene identification; gene ontology; human; machine learning; male; metabolite; molecular dynamics; paraffin embedding; protein analysis; protein expression level; protein protein interaction; proteomics; receiver operating characteristic; retrospective study; schistosomiasis japonica; animal; coinfection; colorectal tumor; genetics; proteomics; Schistosoma japonicum</t>
  </si>
  <si>
    <t xml:space="preserve">oxidoreductase, 9035-73-8, 9035-82-9, 9037-80-3, 9055-15-6</t>
  </si>
  <si>
    <t xml:space="preserve">National Natural Science Foundation of China, NSFC, (32360888); National Natural Science Foundation of China, NSFC; Natural Science Foundation of Jiangxi Province, (20212BAB215031); Natural Science Foundation of Jiangxi Province</t>
  </si>
  <si>
    <t xml:space="preserve">This study was supported by Jiangxi Provincial Natural Science Foundation (20212BAB215031) and National Natural Science Foundation of China (32360888). </t>
  </si>
  <si>
    <t xml:space="preserve">Almoghrabi A., Mzaik O., Attar B., Schistosoma Japonicum Associated with Colorectal Cancer, ACG Case Rep J, 8, 5, (2021); Wong M.C., Ding H., Wang J., Chan P.S., Huang J., Prevalence and risk factors of Colorectal cancer in Asia, Intest Res, 17, 3, pp. 317-329, (2019); Plummer M., de Martel C., Vignat J., Ferlay J., Bray F., Franceschi S., Global burden of cancers attributable to Infections in 2012: a synthetic analysis, Lancet Glob Health, 4, pp. e609-e616, (2016); Hamid H.K.S., Schistosoma Japonicum-Associated Colorectal Cancer: a review, Am J Trop Med Hyg, 100, 3, pp. 501-505, (2019); Feng R.M., Zong Y.N., Cao S.M., Xu R.H., Current cancer situation in China: good or bad news from the 2018 Global Cancer statistics?, Cancer Commun (Lond), 39, 1, (2019); Qiu D.C., Hubbard A.E., Zhong B., Zhang Y., Spear R.C., A matched, case-control study of the association between Schistosoma japonicum and liver and colon cancers, in rural China, Ann Trop Med Parasitol, 99, 1, pp. 47-52, (2005); Brindley P.J., da Costa J.M., Sripa B., Why does Infection with some helminths cause cancer?, Trends Cancer, 1, 3, pp. 174-182, (2015); Chen C., Guo Q., Fu Z., Liu J., Lin J., Xiao K., Sun P., Cong X., Liu R., Hong Y., Reviews and advances in diagnostic research on Schistosoma Japonicum, Acta Trop, 213, (2021); Limaiem F., Sassi A., Mzabi S., Crohn’s Disease and schistosomiasis: a rare association, Pan Afr Med J, 25, (2016); Olveda D.U., Olveda R.M., McManus D.P., Cai P., Chau T.N., Lam A.K., Li Y., Harn D.A., Vinluan M.L., Ross A.G., The chronic enteropathogenic Disease schistosomiasis, Int J Infect Dis, 28, pp. 193-203, (2014); Mishima N., Jemu S.K., Kuroda T., Tabuchi K., Darcy A.W., Shimono T., Lamaningao P., Miyake M., Kanda S., Ng'ambi S., Et al., Hematobium schistosomiasis control for health management of labor force generation at Nkhotakota and Lilongwe in the Republic of Malawi-assumed to be related to occupational risk, Trop Med Health, 47, (2019); Siegel R.L., Miller K.D., Fuchs H.E., Jemal A., Cancer statistics, 2021, CA Cancer J Clin, 71, 1, pp. 7-33, (2021); Kim H., Wang K., Song M., Giovannucci E.L., A comparison of methods in estimating population attributable risk for Colorectal cancer in the United States, Int J Cancer, 148, 12, pp. 2947-2953, (2021); Rui-Mei F., Yi-Nan, Zong, Su-Mei, Cao, Rui-Hua: Current cancer situation in China: Good or bad news from the 2018 Global Cancer statistics, Cancer Communications (London, England), 39, 1, (2019); Wang Z., Du Z., Liu Y., Wang W., Liang M., Zhang A., Yang J., Comparison of the clinicopathological features and prognoses of patients with schistosomal and nonschistosomal Colorectal cancer, Oncol Lett, 19, 3, pp. 2375-2383, (2020); Wang W., Lu K., Wang L., Jing H., Pan W., Huang S., Xu Y., Bu D., Cheng M., Liu J., Et al., Comparison of non-schistosomal Colorectal cancer and schistosomal Colorectal cancer, World J Surg Oncol, 18, 1, (2020); Lodhia J., Mremi A., Pyuza J.J., Bartholomeo N., Herman A.M., Schistosomiasis and cancer: experience from a zonal hospital in Tanzania and opportunities for prevention, J Surg Case Rep, 2020, 5, (2020); Zaghloul M.S., Bladder cancer and schistosomiasis, J Egypt Natl Canc Inst, 24, 4, pp. 151-159, (2012); Chen T.T., Peng S., Wang Y., Hu Y., Shen Y., Xu Y., Yin J., Liu C., Cao J., Improvement of mitochondrial activity and fibrosis by Resveratrol Treatment in mice with Schistosoma japonicum Infection, Biomolecules, 9, 11, (2019); Chen T.T., Wu L.S., Hsu P.W., Pang C.Y., Lee K.M., Cheng P.C., Peng S.Y., Mitochondrial dynamics in the mouse liver infected by Schistosoma mansoni, Acta Trop, 148, pp. 13-23, (2015); Qin X., Liu C.Y., Xiong Y.L., Bai T., Zhang L., Hou X.H., Song J., The clinical features of chronic intestinal schistosomiasis-related intestinal lesions, BMC Gastroenterol, 21, 1, (2021); Eder B.V.A., Bosmuller H., Schubert T., Bissinger A.L., Sigmoid colon Cancer due to Schistosomiasis, Infection, 47, 6, pp. 1071-1072, (2019); He Y., Li J., Zhuang W., Yin L., Chen C., Li J., Chi F., Bai Y., Chen X.P., The inhibitory effect against collagen-induced arthritis by Schistosoma japonicum Infection is Infection stage-dependent, BMC Immunol, 11, (2010); Yokoyama S., A potential screening factor for accumulation of cholesteyl ester transfer protein deficiency in East Asia: Schistosoma Japonicum, Biochim Biophys Acta, 1841, 4, pp. 495-504, (2014); Tuffour I., Ayi I., Gwira T.M., Dumashie E., Ashong Y., Appiah-Opong R., Schistosoma Egg Antigen induces oncogenic alterations in human prostate cells, Anal Cell Pathol (Amst), 2018, (2018); Herrera L.A., Benitez-Bribiesca L., Mohar A., Ostrosky-Wegman P., Role of infectious Diseases in human carcinogenesis, Environ Mol Mutagen, 45, 2-3, pp. 284-303, (2005); Motallebnezhad M., Jadidi-Niaragh F., Qamsari E.S., Bagheri S., Gharibi T., Yousefi M., The immunobiology of myeloid-derived suppressor cells in cancer, Tumour Biol, 37, 2, pp. 1387-1406, (2016); Wu C., Du X., Tang L., Wu J., Zhao W., Guo X., Liu D., Hu W., Helmby H., Chen G., Et al., Schistosoma Japonicum SjE16.7 protein promotes Tumor Development via the receptor for Advanced Glycation End products (RAGE), Front Immunol, 11, (2020); Imai J., Ichikawa H., Mizukami H., Suzuki T., Watanabe N., Mine T., Colonic High-grade tubular Adenomas Associated with Schistosoma Japonicum, Tokai J Exp Clin Med, 41, 1, pp. 22-23, (2016); Robinson N., McComb S., Mulligan R., Dudani R., Krishnan L., Sad S., Type I interferon induces necroptosis in macrophages during Infection with Salmonella enterica serovar typhimurium, Nat Immunol, 13, 10, pp. 954-962, (2012); Sainz J., Rudolph A., Hein R., Hoffmeister M., Buch S., von Schonfels W., Hampe J., Schafmayer C., Volzke H., Frank B., Et al., Association of genetic polymorphisms in ESR2, HSD17B1, ABCB1, and SHBG genes with Colorectal cancer risk, Endocr Relat Cancer, 18, 2, pp. 265-276, (2011); Lu X., Ma P., Shi Y., Yao M., Hou L., Zhang P., Jiang L., NF-kappaB increased expression of 17beta-hydroxysteroid dehydrogenase 4 promotes HepG2 proliferation via inactivating estradiol, Mol Cell Endocrinol, 401, pp. 1-11, (2015); Huang H., Liu R., Huang Y., Feng Y., Fu Y., Chen L., Chen Z., Cai Y., Zhang Y., Chen Y., Acetylation-mediated degradation of HSD17B4 regulates the progression of Prostate cancer, Aging, 12, 14, pp. 14699-14717, (2020); Guo J., Zhang Q., Su Y., Lu X., Wang Y., Yin M., Hu W., Wen W., Lei Q.Y., Arginine methylation of ribose-5-phosphate isomerase A senses glucose to promote human Colorectal cancer cell survival, Sci China Life Sci, 63, 9, pp. 1394-1405, (2020); Chou Y.T., Chen L.Y., Tsai S.L., Tu H.C., Lu J.W., Ciou S.C., Wang H.D., Yuh C.H., Ribose-5-phosphate isomerase a overexpression promotes Liver cancer development in transgenic zebrafish via activation of ERK and beta-catenin pathways, Carcinogenesis, 40, 3, pp. 461-473, (2019); Ciou S.C., Chou Y.T., Liu Y.L., Nieh Y.C., Lu J.W., Huang S.F., Chou Y.T., Cheng L.H., Lo J.F., Chen M.J., Et al., Ribose-5-phosphate isomerase a regulates hepatocarcinogenesis via PP2A and ERK signaling, Int J Cancer, 137, 1, pp. 104-115, (2015); Chou Y.T., Jiang J.K., Yang M.H., Lu J.W., Lin H.K., Wang H.D., Yuh C.H., Identification of a noncanonical function for ribose-5-phosphate isomerase a promotes Colorectal cancer formation by stabilizing and activating beta-catenin via a novel C-terminal domain, PLoS Biol, 16, 1, (2018); Ying H., Kimmelman A.C., Lyssiotis C.A., Hua S., Chu G.C., Fletcher-Sananikone E., Locasale J.W., Son J., Zhang H., Coloff J.L., Et al., Oncogenic Kras maintains pancreatic tumors through regulation of anabolic glucose metabolism, Cell, 149, 3, pp. 656-670, (2012); Zwartjes C.G., Jayne S., van den Berg D.L., Timmers H.T., Repression of promoter activity by CNOT2, a subunit of the transcription regulatory Ccr4-not complex, J Biol Chem, 279, 12, pp. 10848-10854, (2004); Sohn E.J., Jung D.B., Lee H., Han I., Lee J., Lee H., Kim S.H., CNOT2 promotes proliferation and angiogenesis via VEGF signaling in MDA-MB-231 Breast cancer cells, Cancer Lett, 412, pp. 88-98, (2018); Kong A.T., Leprevost F.V., Avtonomov D.M., Mellacheruvu D., Nesvizhskii A.I., MSFragger: ultrafast and comprehensive peptide identification in mass spectrometry-based proteomics, Nat Methods, 14, 5, pp. 513-520, (2017); Yu G., Wang L.G., Han Y., He Q.Y., clusterProfiler: an R package for comparing biological themes among gene clusters, Omics, 16, 5, pp. 284-287, (2012); Schriml L.M., Arze C., Nadendla S., Chang Y.W., Mazaitis M., Felix V., Feng G., Kibbe W.A., Disease Ontology: a backbone for Disease semantic integration, Nucleic Acids Res, 40, Database issue, pp. D940-D946, (2012); Kibbe W.A., Arze C., Felix V., Mitraka E., Bolton E., Fu G., Mungall C.J., Binder J.X., Malone J., Vasant D., Et al., Disease Ontology 2015 update: an expanded and updated database of human Diseases for linking biomedical knowledge through Disease data, Nucleic Acids Res, 43, Database issue, pp. D1071-D1078, (2015); Kanehisa M., Goto S., KEGG: kyoto encyclopedia of genes and genomes, Nucleic Acids Res, 28, 1, pp. 27-30, (2000); Kanehisa M., Furumichi M., Sato Y., Kawashima M., Ishiguro-Watanabe M., KEGG for taxonomy-based analysis of pathways and genomes, Nucleic Acids Res, 51, D1, pp. D587-D592, (2023); Kanehisa M., Toward understanding the origin and evolution of cellular organisms, Protein Sci, 28, 11, pp. 1947-1951, (2019); Szklarczyk D., Kirsch R., Koutrouli M., Nastou K., Mehryary F., Hachilif R., Gable A.L., Fang T., Doncheva N.T., Pyysalo S., Et al., The STRING database in 2023: protein-protein association networks and functional enrichment analyses for any sequenced genome of interest, Nucleic Acids Res, 51, D1, pp. D638-d646, (2023)</t>
  </si>
  <si>
    <t xml:space="preserve">S. Li; Precision Preventive Medicine Laboratory of Basic Medical School, Jiujiang University, Jiujiang, 332005, China; email: slove0408@163.com</t>
  </si>
  <si>
    <t xml:space="preserve">BMC Med. Genomics</t>
  </si>
  <si>
    <t xml:space="preserve">2-s2.0-85175606028</t>
  </si>
  <si>
    <t xml:space="preserve">Qadri A.M.; Raza A.; Eid F.; Abualigah L.</t>
  </si>
  <si>
    <t xml:space="preserve">Qadri, Azam Mehmood (58303803900); Raza, Ali (59124303000); Eid, Fatma (57700172400); Abualigah, Laith (57190984712)</t>
  </si>
  <si>
    <t xml:space="preserve">58303803900; 59124303000; 57700172400; 57190984712</t>
  </si>
  <si>
    <t xml:space="preserve">A novel transfer learning-based model for diagnosing malaria from parasitized and uninfected red blood cell images</t>
  </si>
  <si>
    <t xml:space="preserve">Malaria represents a potentially fatal communicable illness triggered by the Plasmodium parasite. This disease is transmitted to humans through the bites of Anopheles mosquitoes that carry the infection. This disease has significant and devastating consequences on the health systems of fragile countries, particularly in sub-Saharan Africa. Malaria affects red blood cells by invading and replicating within them, destroying them, and releasing toxic byproducts into the bloodstream. The parasite's ability to stick and modify the surface of red blood cells can cause them to become sticky, obstructing blood flow in vital organs such as the brain and spleen. Therefore, efficient approaches for the early detection of malaria are critical to saving patients’ lives. The main aim of this study is to develop an efficient model for early malaria diagnosis. We used malaria images based on parasitized and uninfected red blood cells for the study experiments. We applied neural network-based approaches such as Neural Search Architecture Network (NASNet) and compared its performance with machine learning techniques. Moreover, we proposed a novel NNR (NASNet Random forest) method for feature engineering. The proposed NNR approach first extracts spatial features from input malaria images, then class prediction probability features are extracted from these spatial features. The feature set obtained from the data extraction trains machine learning models. Our comprehensive experiments show that the support vector machine outperformed state-of-the-art models, achieving a high-performance score of 99% and having an inference time near 0.025 s. We validated the performance using k-fold cross-validation and optimized the hyperparameters through tuning. Our proposed research has improved the early diagnosis of malaria and can assist medical specialists in reducing the mortality rate. © 2023 The Author(s)</t>
  </si>
  <si>
    <t xml:space="preserve">Decision Analytics Journal</t>
  </si>
  <si>
    <t xml:space="preserve">Elsevier Inc.</t>
  </si>
  <si>
    <t xml:space="preserve">10.1016/j.dajour.2023.100352</t>
  </si>
  <si>
    <t xml:space="preserve">https://www.scopus.com/inward/record.uri?eid=2-s2.0-85178045123&amp;doi=10.1016%2fj.dajour.2023.100352&amp;partnerID=40&amp;md5=dea5f89747761a95797e79912f4eb5c8</t>
  </si>
  <si>
    <t xml:space="preserve">Institute of Computer Science, Khwaja Fareed University of Engineering and Information Technology, Rahim Yar Khan, 64200, Pakistan; Technology Management, Stony Brook University, 11794, NY, United States; Department of Applied Artificial Intelligence, College of Computing and Informatics, Sungkyunkwan University, Seoul, 03063, South Korea; Computer Science Department, Al al-Bayt University, Mafraq, 25113, Jordan; Department of Electrical and Computer Engineering, Lebanese American University, Byblos, 13-5053, Lebanon; Hourani Center for Applied Scientific Research, Al-Ahliyya Amman University, Amman, 19328, Jordan; MEU Research Unit, Middle East University, Amman, 11831, Jordan; Applied Science Research Center, Applied science private university, Amman, 11931, Jordan; School of Computer Sciences, Universiti Sains Malaysia, Pulau Pinang, 11800, Malaysia; School of Engineering and Technology, Sunway University Malaysia, Petaling Jaya, 27500, Malaysia</t>
  </si>
  <si>
    <t xml:space="preserve">Qadri A.M., Institute of Computer Science, Khwaja Fareed University of Engineering and Information Technology, Rahim Yar Khan, 64200, Pakistan; Raza A., Institute of Computer Science, Khwaja Fareed University of Engineering and Information Technology, Rahim Yar Khan, 64200, Pakistan; Eid F., Technology Management, Stony Brook University, 11794, NY, United States, Department of Applied Artificial Intelligence, College of Computing and Informatics, Sungkyunkwan University, Seoul, 03063, South Korea; Abualigah L., Computer Science Department, Al al-Bayt University, Mafraq, 25113, Jordan, Department of Electrical and Computer Engineering, Lebanese American University, Byblos, 13-5053, Lebanon, Hourani Center for Applied Scientific Research, Al-Ahliyya Amman University, Amman, 19328, Jordan, MEU Research Unit, Middle East University, Amman, 11831, Jordan, Applied Science Research Center, Applied science private university, Amman, 11931, Jordan, School of Computer Sciences, Universiti Sains Malaysia, Pulau Pinang, 11800, Malaysia, School of Engineering and Technology, Sunway University Malaysia, Petaling Jaya, 27500, Malaysia</t>
  </si>
  <si>
    <t xml:space="preserve">Deep learning; Machine learning; Malaria diagnosis; Neural search architecture network; Red blood cells; Transfer learning</t>
  </si>
  <si>
    <t xml:space="preserve">Vijayalakshmi A., Rajesh Kanna B., Deep learning approach to detect malaria from microscopic images, Multimedia Tools Appl., 79, 21-22, pp. 15297-15317, (2020); White N.J., Malaria parasite clearance, Malaria J., 16, 1, (2017); Vandana T., Fidock D.A., Malaria parasite beats the heat, Nat. Microbiol., 6, 9, pp. 1105-1107, (2021); Rajaraman S., Antani S.K., Poostchi M., Silamut K., Hossain M.A., Maude R.J., Jaeger S., Thoma G.R., Pre-trained convolutional neural networks as feature extractors toward improved malaria parasite detection in thin blood smear images, PeerJ, 6, (2018); Liang Z., Powell A., Ersoy I., Poostchi M., Silamut K., Palaniappan K., Guo P., Hossain M.A., Sameer A., Maude R.J., Huang J.X., Jaeger S., Thoma G., CNN-based image analysis for malaria diagnosis, 2016 IEEE International Conference on Bioinformatics and Biomedicine (BIBM), pp. 493-496, (2016); Das D.K., Ghosh M., Pal M., Maiti A.K., Chakraborty C., Machine learning approach for automated screening of malaria parasite using light microscopic images, Micron, 45, pp. 97-106, (2013); Hawkes M., Katsuva J.P., Masumbuko C.K., Use and limitations of malaria rapid diagnostic testing by community health workers in war-torn Democratic Republic of Congo, Malaria J., 8, 1, pp. 1-8, (2009); Ross N.E., Pritchard C.J., Rubin D.M., Duse A.G., Automated image processing method for the diagnosis and classification of malaria on thin blood smears, Med. Biol. Eng. Comput., 44, pp. 427-436, (2006); Poostchi M., Ersoy I., Bansal A., Palaniappan K., Antani S., Jaeger S., Thoma G., Image analysis of blood slides for automatic malaria diagnosis, Proc. HI-POCT, 15, (2015); Abdelmaksoud E., El-Sappagh S., Barakat S., Abuhmed T., Elmogy M., Automatic diabetic retinopathy grading system based on detecting multiple retinal lesions, IEEE Access, 9, pp. 15939-15960, (2021); Junaid M., Ali S., Eid F., El-Sappagh S., Abuhmed T., Explainable machine learning models based on multimodal time-series data for the early detection of Parkinson's disease, Comput. Methods Programs Biomed., 234, (2023); Juraev F., El-Sappagh S., Abdukhamidov E., Ali F., Abuhmed T., Multilayer dynamic ensemble model for intensive care unit mortality prediction of neonate patients, J. Biomed. Inform., 135, (2022); El-Rashidy N., Abuhmed T., Alarabi L., El-Bakry H.M., Abdelrazek S., Ali F., El-Sappagh S., Sepsis prediction in intensive care unit based on genetic feature optimization and stacked deep ensemble learning, Neural Comput. Appl., pp. 1-30, (2022); Kakkar B., goyal M., Johri P., Kumar Y., Artificial intelligence-based approaches for detection and classification of different classes of malaria parasites using microscopic images: A systematic review, Arch. Comput. Methods Eng., pp. 1-20, (2023); Raza A., Rustam F., Siddiqui H.U.R., Diez I.D.L.T., Ashraf I., Predicting microbe organisms using data of living micro forms of life and hybrid microbes classifier, Plos One, 18, 4, (2023); Mahmood S.N., Mohammed S.S., Ismaeel A.G., Clarke H.G., Mahmood I.N., Aziz D.A., Alani S., Improved malaria cells detection using deep convolutional neural network, 2023 5th International Congress on Human-Computer Interaction, Optimization and Robotic Applications (HORA), pp. 1-4, (2023); Hu G., Guo Y., Wei G., Abualigah L., Genghis Khan shark optimizer: A novel nature-inspired algorithm for engineering optimization, Adv. Eng. Inform., 58, (2023); Ghasemi M., Zare M., Zahedi A., Akbari M.-A., Mirjalili S., Abualigah L., Geyser inspired algorithm: A new geological-inspired meta-heuristic for real-parameter and constrained engineering optimization, J. Bionic Eng., pp. 1-35, (2023); Ezugwu A.E., Agushaka J.O., Abualigah L., Mirjalili S., Gandomi A.H., Prairie dog optimization algorithm, Neural Comput. Appl., 34, 22, pp. 20017-20065, (2022); Agushaka J.O., Ezugwu A.E., Abualigah L., Gazelle optimization algorithm: a novel nature-inspired metaheuristic optimizer, Neural Comput. Appl., 35, 5, pp. 4099-4131, (2023); Rahim N., El-Sappagh S., Ali S., Muhammad K., Del Ser J., Abuhmed T., Prediction of alzheimer's progression based on multimodal deep-learning-based fusion and visual explainability of time-series data, Inf. Fusion, 92, pp. 363-388, (2023); Rehman A., Raza A., Alamri F.S., Alghofaily B., Saba T., Transfer learning-based smart features engineering for osteoarthritis diagnosis from knee X-ray images, IEEE Access, (2023); Nugroho H.A., Akbar S.A., Murhandarwati E.E.H., Feature extraction and classification for detection malaria parasites in thin blood smear, 2015 2nd International Conference on Information Technology, Computer, and Electrical Engineering (ICITACEE), pp. 197-201, (2015); Raza A., Qadri A.M., Akhtar I., Samee N.A., Alabdulhafith M., LogRF: An approach to human pose estimation using skeleton landmarks for physiotherapy fitness exercise correction, IEEE Access, (2023); Raza A., Munir K., Almutairi M., Younas F., Fareed M.M.S., Ahmed G., A novel approach to classify telescopic sensors data using bidirectional-gated recurrent neural networks, Appl. Sci., 12, 20, (2022); Salamah U., Sarno R., Arifin A.Z., Nugroho A.S., Rozi I.E., Asih P.B.S., A robust segmentation for malaria parasite detection of thick blood smear microscopic images, Int. J. Adv. Sci. Eng. Inf. Technol., 9, 4, pp. 1450-1459, (2019); Dutta A.K., Mageswari R.U., Gayathri A., Dallfin Bruxella J.M., Ishak M.K., Mostafa S.M., Hamam H., Barnacles mating optimizer with deep transfer learning enabled biomedical malaria parasite detection and classification, Comput. Intell. Neurosci., 2022, (2022); Masud M., Alhumyani H., Alshamrani S.S., Cheikhrouhou O., Ibrahim S., Muhammad G., Hossain M.S., Shorfuzzaman M., Leveraging deep learning techniques for malaria parasite detection using mobile application, Wirel. Commun. Mob. Comput., 2020, pp. 1-15, (2020); Sriporn K., Tsai C.-F., Tsai C.-E., Wang P., Analyzing malaria disease using effective deep learning approach, Diagnostics, 10, 10, (2020); Oyewola D.O., Dada E.G., Misra S., Damasevicius R., A novel data augmentation convolutional neural network for detecting malaria parasite in blood smear images, Appl. Artif. Intell., 36, 1, (2022); Suraksha S., Santhosh C., Vishwa B., Classification of malaria cell images using deep learning approach, 2023 Third International Conference on Advances in Electrical, Computing, Communication and Sustainable Technologies (ICAECT), pp. 1-5, (2023); Raza A., Rustam F., Mallampati B., Gali P., Ashraf I., Preventing crimes through gunshots recognition using novel feature engineering and meta-learning approach, IEEE Access, (2023); Alassaf A., Sikkandar M.Y., Intelligent deep transfer learning based malaria parasite detection and classification model using biomedical image, Comput. Mater. Continua, 72, 3, (2022); JUNEL SOLIS A., BioImage informatics II malaria dataset — kaggle, (2023); Raza A., Siddiqui H.U.R., Munir K., Almutairi M., Rustam F., Ashraf I., Ensemble learning-based feature engineering to analyze maternal health during pregnancy and health risk prediction, Plos One, 17, 11, (2022); Raza A., Munir K., Almutairi M., A novel deep learning approach for deepfake image detection, Appl. Sci., 12, 19, (2022); Hajizadeh R., Unconstrained neighbor selection for minimum reconstruction error-based K-NN classifiers, Complex Intell. Syst., pp. 1-16, (2023); Dumic D., Keco D., Masetic Z., Automatization of microscopy malaria diagnosis using computer vision and random forest method, IFAC-PapersOnLine, 55, 4, pp. 80-84, (2022); Zewude B.T., Debusho L.K., Diriba T.A., Multilevel logistic regression modelling to quantify variation in malaria prevalence in Ethiopia, Plos One, 17, 9, (2022); Ambiar M.F., Aditsania A., Kurniawan I., QSAR study on falcipain inhibitors as anti-malaria using genetic algorithm-support vector machine, 2022 5th International Conference of Computer and Informatics Engineering (IC2IE), pp. 287-293, (2022); El-Sappagh S., Abuhmed T., Kwak K.S., Alzheimer disease prediction model based on decision fusion of CNN-BiLSTM deep neural networks, Intelligent Systems and Applications: Proceedings of the 2020 Intelligent Systems Conference (IntelliSys) Volume 3, pp. 482-492, (2021); Abuhmed T., El-Sappagh S., Alonso J.M., Robust hybrid deep learning models for Alzheimer's progression detection, Knowl.-Based Syst., 213, (2021); Mondal S.K., Islam M., Faruque M.O., Turja M.S., Yusuf M.S.U., Efficient malaria cell image classification using deep convolutional neural network, Proceedings of International Conference on Information and Communication Technology for Development: ICICTD 2022, pp. 435-445, (2023); Thakur K., Kaur M., Kumar Y., A comprehensive analysis of deep learning-based approaches for prediction and prognosis of infectious diseases, Arch. Comput. Methods Eng., pp. 1-21, (2023); Qadri A.M., Raza A., Munir K., Almutairi M., Effective feature engineering technique for heart disease prediction with machine learning, IEEE Access, (2023); Qadir A.M., Abdalla P.A., Ghareb M.I., Malaria parasite identification from red blood cell images using transfer learning models, Passer J. Basic Appl. Sci., 4, Special issue, pp. 63-79, (2022)</t>
  </si>
  <si>
    <t xml:space="preserve">A. Raza; Institute of Computer Science, Khwaja Fareed University of Engineering and Information Technology, Rahim Yar Khan, 64200, Pakistan; email: ali.raza.scholarly@gmail.com; L. Abualigah; Institute of Computer Science, Khwaja Fareed University of Engineering and Information Technology, Rahim Yar Khan, 64200, Pakistan; email: aligah.2020@gmail.com</t>
  </si>
  <si>
    <t xml:space="preserve">Decis. Anal. J.</t>
  </si>
  <si>
    <t xml:space="preserve">2-s2.0-85178045123</t>
  </si>
  <si>
    <t xml:space="preserve">Nekkab N.; Obadia T.; Monteiro W.M.; Lacerda M.V.G.; White M.; Mueller I.</t>
  </si>
  <si>
    <t xml:space="preserve">Nekkab, Narimane (57194447514); Obadia, Thomas (55524149000); Monteiro, Wuelton M. (12345420700); Lacerda, Marcus V.G. (8836255900); White, Michael (57210894928); Mueller, Ivo (7006910183)</t>
  </si>
  <si>
    <t xml:space="preserve">57194447514; 55524149000; 12345420700; 8836255900; 57210894928; 7006910183</t>
  </si>
  <si>
    <t xml:space="preserve">Accelerating towards P. vivax elimination with a novel serological test-and-treat strategy: a modelling case study in Brazil</t>
  </si>
  <si>
    <t xml:space="preserve">Background: Plasmodium vivax malaria is challenging to control and eliminate. Treatment with radical cure drugs fails to target the hidden asymptomatic and hypnozoite reservoirs in populations. PvSeroTAT, a novel serological test-and-treat intervention using a serological diagnostic to screen hypnozoite carriers for radical cure eligibility and treatment, could accelerate P. vivax elimination. Methods: Using a previously developed mathematical model of P. vivax transmission adapted to the Brazilian context as a case study for implementation, we evaluate the public health impact of various deployment strategies of PvSeroTAT as a mass campaign. We compare relative reductions in prevalence, cases averted, glucose-6-phosphate dehydrogenase (G6PD) tests, and treatment doses of PvSeroTAT campaigns to strengthened case management alone or mass drug administration (MDA) campaigns across different settings. Findings: Deploying a single round of PvSeroTAT with 80% coverage to treat cases with a high efficacy radical cure regimen with primaquine is predicted to reduce point population prevalence by 22.5% [95% UI: 20.2%–24.8%] in a peri-urban setting with high transmission and by 25.2% [95% UI: 9.6%–42.2%] in an occupational setting with moderate transmission. In the latter example, while a single PvSeroTAT achieves 9.2% less impact on prevalence and averts 300 less cases per 100,000 than a single MDA (25.2% [95% UI: 9.6%–42.2%] point prevalence reduction versus 34.4% [95% UI: 24.9%–44%]), PvSeroTAT requires 4.6 times less radical cure treatments and G6PD tests. Layering strengthened case management and deploying four rounds of PvSeroTAT six months apart is predicted to reduce point prevalence by a mean of 74.1% [95% UI: 61.3%–86.3%] or more in low transmission settings with less than 10 cases per 1000 population. Interpretation: Modelling predicts that mass campaigns with PvSeroTAT are predicted to reduce P. vivax parasite prevalence across a range of transmission settings and require fewer resources than MDA. In combination with strengthened case management, mass campaigns of serological test-and-treat interventions can accelerate towards P. vivax elimination. Funding: This project was funded in part by the Bill and Melinda Gates Foundation and the National Health and Medical Research Council. © 2023 The Author(s)</t>
  </si>
  <si>
    <t xml:space="preserve">Brazil</t>
  </si>
  <si>
    <t xml:space="preserve">The Lancet Regional Health - Americas</t>
  </si>
  <si>
    <t xml:space="preserve">10.1016/j.lana.2023.100511</t>
  </si>
  <si>
    <t xml:space="preserve">https://www.scopus.com/inward/record.uri?eid=2-s2.0-85159602257&amp;doi=10.1016%2fj.lana.2023.100511&amp;partnerID=40&amp;md5=ed2d9d383ef0dd63879563b051ffd7f0</t>
  </si>
  <si>
    <t xml:space="preserve">Institut Pasteur, Université Paris Cité, G5 Épidémiologie et Analyse des Maladies Infectieuses, Paris, France; Swiss Tropical and Public Health Institute, Allschwil, Switzerland; University of Basel, Basel, Switzerland; Institut Pasteur, Université Paris Cité, Bioinformatics and Biostatistics Hub, Paris, France; Escola Superior de Ciências da Saúde, Universidade do Estado do Amazonas, Manaus, Brazil; Diretoria de Ensino e Pesquisa, Fundação de Medicina Tropical Dr. Heitor Vieira Dourado, Manaus, Brazil; Instituto Leônidas e Maria Deane, Fundação Oswaldo Cruz, Manaus, Brazil; Population Health &amp; Immunity Division, Walter and Eliza Hall Institute of Medical Research, Parkville, Australia; Department of Medical Biology, University of Melbourne, Melbourne, Australia</t>
  </si>
  <si>
    <t xml:space="preserve">Nekkab N., Institut Pasteur, Université Paris Cité, G5 Épidémiologie et Analyse des Maladies Infectieuses, Paris, France, Swiss Tropical and Public Health Institute, Allschwil, Switzerland, University of Basel, Basel, Switzerland; Obadia T., Institut Pasteur, Université Paris Cité, G5 Épidémiologie et Analyse des Maladies Infectieuses, Paris, France, Institut Pasteur, Université Paris Cité, Bioinformatics and Biostatistics Hub, Paris, France; Monteiro W.M., Escola Superior de Ciências da Saúde, Universidade do Estado do Amazonas, Manaus, Brazil, Diretoria de Ensino e Pesquisa, Fundação de Medicina Tropical Dr. Heitor Vieira Dourado, Manaus, Brazil; Lacerda M.V.G., Diretoria de Ensino e Pesquisa, Fundação de Medicina Tropical Dr. Heitor Vieira Dourado, Manaus, Brazil, Instituto Leônidas e Maria Deane, Fundação Oswaldo Cruz, Manaus, Brazil; White M., Institut Pasteur, Université Paris Cité, G5 Épidémiologie et Analyse des Maladies Infectieuses, Paris, France; Mueller I., Population Health &amp; Immunity Division, Walter and Eliza Hall Institute of Medical Research, Parkville, Australia, Department of Medical Biology, University of Melbourne, Melbourne, Australia</t>
  </si>
  <si>
    <t xml:space="preserve">Elimination; Malaria; Mass screening; Mathematical modelling; Plasmodium vivax; Radical cure; Serological diagnostics; Treatment</t>
  </si>
  <si>
    <t xml:space="preserve">chloroquine; glucose 6 phosphate dehydrogenase; isoniazid; primaquine; tafenoquine; Article; carbon nuclear magnetic resonance; controlled study; cost effectiveness analysis; directly observed therapy; disease transmission; drug metabolism; glucose 6 phosphate dehydrogenase deficiency; health care system; human; lung function; machine learning; malaria; malaria falciparum; mass drug administration; mathematical model; occupational exposure; parasite clearance; parasite prevalence; parasite transmission; Plasmodium falciparum; Plasmodium vivax; Plasmodium vivax malaria; polymerase chain reaction; prevalence; public health; serology; vaccination</t>
  </si>
  <si>
    <t xml:space="preserve">chloroquine, 132-73-0, 3545-67-3, 50-63-5, 54-05-7, 1446-17-9; glucose 6 phosphate dehydrogenase, 37259-83-9, 9001-40-5; isoniazid, 54-85-3, 62229-51-0, 65979-32-0; primaquine, 90-34-6; tafenoquine, 106635-80-7, 106635-81-8</t>
  </si>
  <si>
    <t xml:space="preserve">Brazilian Malaria Surveillance; P. vivax Serology for Elimination Partnership, (INV-024368); SIVEP-Malaria; Bill and Melinda Gates Foundation, BMGF, (OPP1180981); Bill and Melinda Gates Foundation, BMGF; National Health and Medical Research Council, NHMRC, (GNT1155075); National Health and Medical Research Council, NHMRC; Institut Pasteur</t>
  </si>
  <si>
    <t xml:space="preserve">Funding text 1: NN, TO, MTW, and IM received funding from the Bill and Melinda Gates Foundation ( INV024368 &amp; OPP1180981 ) and the Vivax Serology Partnerships (VISPA). NN has been in part supported by the Pasteur-Roux-Cantarini Fellowship by Institut Pasteur ( https://research.pasteur.fr/en/call/pasteur-roux-cantarini-fellowship_call-for-application_2019-autumn-session/ ). NN, IM, and MW are supported by the Supporting Preparedness in the Asia–Pacific Region through Knowledge (SPARK) project under the ASEAN-Pacific Infectious Disease and Response program (APIDDaR) ( https://www.spark.edu.au/ ). IM is supported by NHMRC Principal Research Fellowship ( GNT1155075 ) ( https://www.nhmrc.gov.au/funding/find-funding/research-fellowships ). MTW is supported by the P. vivax Serology for Elimination Partnership (Investment ID INV-024368) funded by The Bill &amp; Melinda Gates Foundation . ; Funding text 2: This project was funded in part by the Bill and Melinda Gates Foundation and the National Health and Medical Research Council.We would like to thank Dr Daniel Villela for contributions to model baseline assumptions and Dr Raquel Lana for analysis of the Brazilian Malaria Surveillance (SIVEP-Malaria) data. NN, TO, MTW, and IM received funding from the Bill and Melinda Gates Foundation (INV024368 &amp; OPP1180981) and the Vivax Serology Partnerships (VISPA). NN has been in part supported by the Pasteur-Roux-Cantarini Fellowship by Institut Pasteur (https://research.pasteur.fr/en/call/pasteur-roux-cantarini-fellowship_call-for-application_2019-autumn-session/). NN, IM, and MW are supported by the Supporting Preparedness in the Asia–Pacific Region through Knowledge (SPARK) project under the ASEAN-Pacific Infectious Disease and Response program (APIDDaR) (https://www.spark.edu.au/). IM is supported by NHMRC Principal Research Fellowship (GNT1155075) (https://www.nhmrc.gov.au/funding/find-funding/research-fellowships). MTW is supported by the P. vivax Serology for Elimination Partnership (Investment ID INV-024368) funded by The Bill &amp; Melinda Gates Foundation.</t>
  </si>
  <si>
    <t xml:space="preserve">Ferreira M.U., Corder R.M., Johansen I.C., Et al., Relative contribution of low-density and asymptomatic infections to Plasmodium vivax transmission in the Amazon: pooled analysis of individual participant data from population-based cross-sectional surveys, Lancet Reg Health Am, 9, (2022); Kho S., Qotrunnada L., Leonardo L., Et al., Hidden biomass of intact malaria parasites in the human spleen, N Eng J Med, 384, 21, pp. 2067-2069, (2021); Robinson L.J., Wampfler R., Betuela I., Et al., Strategies for understanding and reducing the Plasmodium vivax and Plasmodium ovale hypnozoite reservoir in Papua New Guinean children: a randomised placebo-controlled trial and mathematical model, PLoS Med, 12, 10, (2015); White M.T., Shirreff G., Karl S., Ghani A.C., Mueller I., Variation in relapse frequency and the transmission potential of Plasmodium vivax malaria, Proc Biol Sci, 283, 1827, (2016); White M.T., Walker P., Karl S., Et al., Mathematical modelling of the impact of expanding levels of malaria control interventions on Plasmodium vivax, Nat Commun, 9, 1, (2018); Stresman G., Sepulveda N., Fornace K., Et al., Association between the proportion of Plasmodium falciparum and Plasmodium vivax infections detected by passive surveillance and the magnitude of the asymptomatic reservoir in the community: a pooled analysis of paired health facility and community data, Lancet Infect Dis, 20, 8, pp. 953-963, (2020); Okell L.C., Bousema T., Griffin J.T., Ouedraogo A.L., Ghani A.C., Drakeley C.J., Factors determining the occurrence of submicroscopic malaria infections and their relevance for control, Nat Commun, 3, (2012); World Health O., Testing for G6PD deficiency for safe use of primaquine in radical cure of P. vivax and P. ovale: policy brief, (2016); Devine A., Battle K.E., Meagher N., Et al., Global economic costs due to vivax malaria and the potential impact of its radical cure: a modelling study, PLoS Med, 18, 6, (2021); Brito-Sousa J.D., Peixoto H.M., Devine A., Et al., Real-life quantitative G6PD screening in Plasmodium vivax patients in the Brazilian Amazon: a cost-effectiveness analysis, PLoS Negl Trop Dis, 16, 3, (2022); Chamma-Siqueira N.N., Negreiros S.C., Ballard S.-B., Et al., Higher-dose primaquine to prevent relapse of Plasmodium vivax malaria, New England Journal of Medicine, 386, 13, pp. 1244-1253, (2022); Nekkab N., Lana R., Lacerda M., Et al., Estimated impact of tafenoquine for Plasmodium vivax control and elimination in Brazil: a modelling study, PLoS Med, 18, 4, (2021); Hsiang M.S., Hwang J., Tao A.R., Et al., Mass drug administration for the control and elimination of Plasmodium vivax malaria: an ecological study from Jiangsu province, China, Malar J, 12, 1, (2013); Kondrashin A., Baranova A.M., Ashley E.A., Recht J., White N.J., Sergiev V.P., Mass primaquine treatment to eliminate vivax malaria: lessons from the past, Malar J, 13, 1, (2014); Thriemer K., Ley B., von Seidlein L., Towards the elimination of Plasmodium vivax malaria: implementing the radical cure, PLoS Med, 18, 4, (2021); Poirot E., Skarbinski J., Sinclair D., Kachur S.P., Slutsker L., Hwang J., Mass drug administration for malaria, Cochrane Database Syst Rev, 12, (2013); Sutanto I., Kosasih A., Elyazar I.R.F., Et al., Negligible impact of mass screening and treatment on mesoendemic malaria transmission at west timor in Eastern Indonesia: a cluster-randomized trial, Clin Infect Dis, 67, 9, pp. 1364-1372, (2018); Silva-Filho J.L., Lacerda M.V.G., Recker M., Wassmer S.C., Marti M., Costa F.T.M., Plasmodium vivax in hematopoietic niches: hidden and dangerous, Trends Parasitol, 36, 5, pp. 447-458, (2020); Longley R.J., White M.T., Takashima E., Et al., Development and validation of serological markers for detecting recent Plasmodium vivax infection, Nat Med, 26, 5, pp. 741-749, (2020); Obadia T., Nekkab N., Robinson L.J., Drakeley C., Mueller I., White M.T., Developing sero-diagnostic tests to facilitate Plasmodium vivax Serological Test-and-Treat approaches: modeling the balance between public health impact and overtreatment, BMC Med, 20, 1, (2022); Recht J., Ashley E.A., White N.J., Use of primaquine and glucose-6-phosphate dehydrogenase deficiency testing: divergent policies and practices in malaria endemic countries, PLoS Negl Trop Dis, 12, 4, (2018); Oliveira-Ferreira J., Lacerda M.V.G., Brasil P., Ladislau J.L.B., Tauil P.L., Daniel-Ribeiro C.T., Malaria in Brazil: an overview, Malar J, 9, 1, (2010); Souza P.F., Xavier D.R., Suarez Mutis M.C., Et al., Spatial spread of malaria and economic frontier expansion in the Brazilian Amazon, PLoS One, 14, 6, (2019); Siqueira A.M., Bassat Q., Rodovalho S., Lacerda M.V.G., Raising the red flag for malaria elimination and integrated fever surveillance in the Brazilian amazon, Lancet Global Health, 5, 3, pp. e257-e258, (2017); Siqueira A.M., Mesones-Lapouble O., Marchesini P., Et al., Plasmodium vivax landscape in Brazil: scenario and challenges, The American Society of Tropical Medicine and Hygiene, 95, 6_Suppl, pp. 87-96, (2016); Brito-Sousa J.D., Murta F., Vitor-Silva S., Et al., Real-life implementation of a G6PD deficiency screening qualitative test into routine vivax malaria diagnostic units in the Brazilian Amazon (SAFEPRIM study), PLoS Negl Trop Dis, 15, 5, (2021); The tafenoquine roll-out STudy (TRuST), (2022); Lana R., Nekkab N., Siqueira A.M., Et al., The top 1%: quantifying the unequal distribution of malaria in Brazil, Malar J, 20, 1, (2021); Laporta G.Z., Grillet M.E., Rodovalho S.R., Massad E., Sallum M.A.M., Reaching the malaria elimination goal in Brazil: a spatial analysis and time-series study, Infect Dis Pov, 11, 1, (2022); Dinelly K.M.O., Vitor-Silva S., Brito-Sousa J.D., Et al., Evaluation of the effect of supervised anti-malarial treatment on recurrences of Plasmodium vivax malaria, Malar J, 20, 1, (2021); Murta F.L.G., Marques L.L.G., Santos A.P.C., Et al., Perceptions about malaria among Brazilian gold miners in an Amazonian border area: perspectives for malaria elimination strategies, Malar J, 20, 1, (2021)</t>
  </si>
  <si>
    <t xml:space="preserve">N. Nekkab; Swiss Tropical and Public Health Institute, Allschwil, Switzerland; email: narimane.nekkab@swisstph.ch</t>
  </si>
  <si>
    <t xml:space="preserve">2667193X</t>
  </si>
  <si>
    <t xml:space="preserve">Lancet Reg. Health - Am.</t>
  </si>
  <si>
    <t xml:space="preserve">2-s2.0-85159602257</t>
  </si>
  <si>
    <t xml:space="preserve">Kuruppu H.; Wickramanayake W.P.R.H.; Jeewandara C.; Peranantharajah D.; Colambage H.S.; Perera L.; Gomes L.; Wijewickrama A.; Ogg G.S.; Malavige G.N.</t>
  </si>
  <si>
    <t xml:space="preserve">Kuruppu, Heshan (57223889180); Wickramanayake, W. P. Rivindu H. (58096604600); Jeewandara, Chandima (55866245900); Peranantharajah, Deneshan (58096582100); Colambage, H.S. (58096570200); Perera, Lahiru (57931471200); Gomes, Laksiri (55485733600); Wijewickrama, Ananda (21733902200); Ogg, Graham S. (7004817817); Malavige, Gathsaurie Neelika (8790348200)</t>
  </si>
  <si>
    <t xml:space="preserve">57223889180; 58096604600; 55866245900; 58096582100; 58096570200; 57931471200; 55485733600; 21733902200; 7004817817; 8790348200</t>
  </si>
  <si>
    <t xml:space="preserve">Adipokine levels and their association with clinical disease severity in patients with dengue</t>
  </si>
  <si>
    <t xml:space="preserve">Adipokines have not been studied in acute dengue, despite their emerging role in inducing and regulating inflammation. Therefore, we sought to identify adipokine levels in patients with varying severities of acute dengue to understand their role in disease pathogenesis. We determined the levels of leptin, resistin, omentin, adiponectin, as well as IFNβ, and NS1 using quantitative ELISA in patients with dengue fever (DF = 49) and dengue haemorrhagic fever (DHF = 22) at admission (febrile phase) and at the time of discharge (recovery phase). The viral loads and serotypes of all samples were quantified using quantitative real-time RT-PCR. Resistin levels (p = 0.04) and omentin (p = 0.006) levels were significantly higher in patients who developed DHF. Omentin levels in the febrile phase also correlated with the AST (Spearman’s r = 0.38, p = 0.001) and ALT levels (Spearman’s r = 0.24, p = 0.04); as well as serum leptin levels with both AST (Spearman’s r = 0.27, p = 0.02) and ALT (Spear-man’s r = 0.28, p = 0.02). Serum adiponectin levels in the febrile phase did not correlate with any of the other adipokines or with liver enzymes, but inversely correlated with CRP levels (Spearman’s r =-0.31, p = 0.008). Although not significant (p = 0.14) serum IFNβ levels were lower in the febrile phase in those who progressed to develop DHF (median 0, IQR 0 to 39.4 pg/ml), compared to those who had DF (median 37.1, IQR 0 to 65.6 pg.ml). The data suggest that adipokines are likely to play a role in the pathogenesis of dengue, which should be further explored for the potential to be used as prognostic markers and as therapeutic targets. © 2023 Kuruppu et al.</t>
  </si>
  <si>
    <t xml:space="preserve">e0011613</t>
  </si>
  <si>
    <t xml:space="preserve">10.1371/journal.pntd.0011613</t>
  </si>
  <si>
    <t xml:space="preserve">https://www.scopus.com/inward/record.uri?eid=2-s2.0-85171807129&amp;doi=10.1371%2fjournal.pntd.0011613&amp;partnerID=40&amp;md5=b75b4bad9ab5e5ae18b721b8e5711cd6</t>
  </si>
  <si>
    <t xml:space="preserve">Allergy, Immunology and Cell Biology Unit, Department of Immunology and Molecular Medicine, University of Sri Jayewardenepura, Nugegoda, Sri Lanka; National Institute of Infectious Diseases, Angoda, Sri Lanka; MRC Human Immunology Unit, MRC Weatherall Institute of Molecular Medicine, University of Oxford, Oxford, United Kingdom</t>
  </si>
  <si>
    <t xml:space="preserve">Kuruppu H., Allergy, Immunology and Cell Biology Unit, Department of Immunology and Molecular Medicine, University of Sri Jayewardenepura, Nugegoda, Sri Lanka; Wickramanayake W.P.R.H., Allergy, Immunology and Cell Biology Unit, Department of Immunology and Molecular Medicine, University of Sri Jayewardenepura, Nugegoda, Sri Lanka; Jeewandara C., Allergy, Immunology and Cell Biology Unit, Department of Immunology and Molecular Medicine, University of Sri Jayewardenepura, Nugegoda, Sri Lanka; Peranantharajah D., Allergy, Immunology and Cell Biology Unit, Department of Immunology and Molecular Medicine, University of Sri Jayewardenepura, Nugegoda, Sri Lanka; Colambage H.S., Allergy, Immunology and Cell Biology Unit, Department of Immunology and Molecular Medicine, University of Sri Jayewardenepura, Nugegoda, Sri Lanka; Perera L., Allergy, Immunology and Cell Biology Unit, Department of Immunology and Molecular Medicine, University of Sri Jayewardenepura, Nugegoda, Sri Lanka; Gomes L., Allergy, Immunology and Cell Biology Unit, Department of Immunology and Molecular Medicine, University of Sri Jayewardenepura, Nugegoda, Sri Lanka; Wijewickrama A., National Institute of Infectious Diseases, Angoda, Sri Lanka; Ogg G.S., MRC Human Immunology Unit, MRC Weatherall Institute of Molecular Medicine, University of Oxford, Oxford, United Kingdom; Malavige G.N., Allergy, Immunology and Cell Biology Unit, Department of Immunology and Molecular Medicine, University of Sri Jayewardenepura, Nugegoda, Sri Lanka, MRC Human Immunology Unit, MRC Weatherall Institute of Molecular Medicine, University of Oxford, Oxford, United Kingdom</t>
  </si>
  <si>
    <t xml:space="preserve">Adipokines; Adiponectin; Dengue; Fever; Humans; Leptin; Patient Acuity; Resistin; adipocytokine; adiponectin; beta interferon; C reactive protein; leptin; liver enzyme; resistin; adipocytokine; adiponectin; leptin; resistin; adult; alanine aminotransferase blood level; anorexia; arthralgia; Article; ascites; aspartate aminotransferase level; bleeding; blood analysis; cohort analysis; dengue; dengue hemorrhagic fever; Dengue virus; disease severity; enzyme linked immunosorbent assay; female; headache; hospital admission; hospital discharge; human; major clinical study; male; multiplex real time polymerase chain reaction; myalgia; nausea and vomiting; platelet count; pleura effusion; prognosis; protein blood level; real time reverse transcription polymerase chain reaction; serotype; shock; virus load; virus pathogenesis; fever; patient acuity</t>
  </si>
  <si>
    <t xml:space="preserve">adiponectin, 283182-39-8; C reactive protein, 9007-41-4; Adipokines, ; Adiponectin, ; Leptin, ; Resistin, </t>
  </si>
  <si>
    <t xml:space="preserve">QIAamp Viral RNA Mini Kit, Qiagen, United States</t>
  </si>
  <si>
    <t xml:space="preserve">Qiagen, United States</t>
  </si>
  <si>
    <t xml:space="preserve">National Institutes of Health, NIH, (5U01AI151788-02); Medical Research Council, MRC</t>
  </si>
  <si>
    <t xml:space="preserve">We are grateful to the NIH, USA (grant number 5U01AI151788-02 to GNM) and the UK Medical Research Council (to GSO). The funders had no role in study design, data collection and analysis, decision to publish, or preparation of the manuscript.</t>
  </si>
  <si>
    <t xml:space="preserve">Zeng Z, Zhan J, Chen L, Chen H, Cheng S., Global, regional, and national dengue burden from 1990 to 2017: A systematic analysis based on the global burden of disease study 2017, EClinicalMedicine, 32, (2021); Colon-Gonzalez FJ, Sewe MO, Tompkins AM, Sjodin H, Casallas A, Rocklov J, Et al., Projecting the risk of mosquito-borne diseases in a warmer and more populated world: a multi-model, multi-scenario inter-comparison modelling study, Lancet Planet Health, 5, 7, pp. e404-e14, (2021); Bhatt S, Gething PW, Brady OJ, Messina JP, Farlow AW, Moyes CL, Et al., The global distribution and burden of dengue, Nature, 496, 7446, pp. 504-507, (2013); Comprehensive guidelines for prevention and control of dengue fever and dengue hae-morrhagic fever, (2011); Figueiredo MA, Rodrigues LC, Barreto ML, Lima JW, Costa MC, Morato V, Et al., Allergies and diabetes as risk factors for dengue hemorrhagic fever: results of a case control study, PLoS neglected tropical diseases, 4, 6, (2010); Lee IK, Hsieh CJ, Lee CT, Liu JW., Diabetic patients suffering dengue are at risk for development of den-gue shock syndrome/severe dengue: Emphasizing the impacts of co-existing comorbidity(ies) and gly-cemic control on dengue severity, Journal of microbiology, immunology, and infection = Wei mian yu gan ran za zhi, (2018); Tsheten T, Clements ACA, Gray DJ, Adhikary RK, Furuya-Kanamori L, Wangdi K., Clinical predictors of severe dengue: a systematic review and meta-analysis, Infect Dis Poverty, 10, 1, (2021); Sangkaew S, Ming D, Boonyasiri A, Honeyford K, Kalayanarooj S, Yacoub S, Et al., Risk predictors of progression to severe disease during the febrile phase of dengue: a systematic review and meta-analy-sis, The Lancet infectious diseases, 21, 7, pp. 1014-1026, (2021); Malavige GN, Ogg GS., Pathogenesis of vascular leak in dengue virus infection, Immunology, 151, 3, pp. 261-269, (2017); Malavige GN, Jeewandara C, Ogg GS., Dysfunctional Innate Immune Responses and Severe Dengue, Front Cell Infect Microbiol, 10, (2020); Brasier AR, Ju H, Garcia J, Spratt HM, Victor SS, Forshey BM, Et al., A three-component biomarker panel for prediction of dengue hemorrhagic fever, The American journal of tropical medicine and hygiene, 86, 2, pp. 341-348, (2012); Singla M, Kar M, Sethi T, Kabra SK, Lodha R, Chandele A, Et al., Immune Response to Dengue Virus Infection in Pediatric Patients in New Delhi, India—Association of Viremia, Inflammatory Mediators and Monocytes with Disease Severity, PLoS neglected tropical diseases, 10, 3, (2016); Rendeiro AF, Casano J, Vorkas CK, Singh H, Morales A, DeSimone RA, Et al., Profiling of immune dys-function in COVID-19 patients allows early prediction of disease progression, Life Sci Alliance, 4, 2, (2021); Patel MM, York IA, Monto AS, Thompson MG, Fry AM., Immune-mediated attenuation of influenza illness after infection: opportunities and challenges, Lancet Microbe, 2, 12, pp. e715-e25, (2021); Malavige GN, Jeewandara C, Ogg GS., Dengue and COVID-19: two sides of the same coin, Journal of biomedical science, 29, 1, (2022); Zhao X, Gang X, He G, Li Z, Lv Y, Han Q, Et al., Obesity Increases the Severity and Mortality of Influenza and COVID-19: A Systematic Review and Meta-Analysis, Front Endocrinol (Lausanne), 11, (2020); Honce R, Schultz-Cherry S., Impact of Obesity on Influenza A Virus Pathogenesis, Immune Response, and Evolution, Frontiers in immunology, 10, (2019); Fonseka CL, Hardman CS, Woo J, Singh R, Nahler J, Yang J, Et al., Dengue virus co-opts innate type 2 pathways to escape early control of viral replication, Commun Biol, 5, 1, (2022); Perez-Galarza J, Procel C, Canadas C, Aguirre D, Pibaque R, Bedon R, Et al., Immune Response to SARS-CoV-2 Infection in Obesity and T2D: Literature Review, Vaccines (Basel), 9, 2, (2021); Pavel-Tanasa M, Constantinescu D, Cianga CM, Anisie E, Mereuta AI, Tuchilus CG, Et al., Adipokines, and not vitamin D, associate with antibody immune responses following dual BNT162b2 vaccination within individuals younger than 60 years, Frontiers in immunology, 13, (2022); Fasshauer M, Bluher M., Adipokines in health and disease, Trends Pharmacol Sci, 36, 7, pp. 461-470, (2015); Flikweert AW, Kobold ACM, van der Sar-van der Brugge S, Heeringa P, Rodenhuis-Zybert IA, Bijzet J, Et al., Circulating adipokine levels and COVID-19 severity in hospitalized patients, Int J Obes (Lond), pp. 1-12, (2022); Jiang Y, Yi C, Yi Y, Jin Q, Kang AS, Li J, Et al., Adiponectin exacerbates influenza infection in elderly individuals via IL-18, Signal Transduct Target Ther, 5, 1, (2020); Silva T, Jeewandara C, Gomes L, Gangani C, Mahapatuna SD, Pathmanathan T, Et al., Urinary leukotri-enes and histamine in patients with varying severity of acute dengue, PloS one, 16, 2, (2021); Beatty PR, Puerta-Guardo H, Killingbeck SS, Glasner DR, Hopkins K, Harris E., Dengue virus NS1 triggers endothelial permeability and vascular leak that is prevented by NS1 vaccination, Science transla-tional medicine, 7, 304, (2015); Nunes PCG, Nogueira RMR, Heringer M, Chouin-Carneiro T, Damasceno Dos Santos Rodrigues C, de Filippis AMB, Et al., NS1 Antigenemia and Viraemia Load: Potential Markers of Progression to Dengue Fatal Outcome?, Viruses, 10, 6, (2018); Shyamali NLA, Mahapatuna SD, Gomes L, Wijewickrama A, Ogg GS, Malavige GN., Risk Factors for Elevated Serum Lipopolysaccharide in Acute Dengue and Association with Clinical Disease Severity, Trop Med Infect Dis, 5, 4, (2020); Li Y, Yang Q, Cai D, Guo H, Fang J, Cui H, Et al., Resistin, a Novel Host Defense Peptide of Innate Immunity, Frontiers in immunology, 12, (2021); Modhiran N, Watterson D, Muller DA, Panetta AK, Sester DP, Liu L, Et al., Dengue virus NS1 protein activates cells via Toll-like receptor 4 and disrupts endothelial cell monolayer integrity, Science transla-tional medicine, 7, 304, (2015); Niersmann C, Rohrig K, Bluher M, Roden M, Herder C, Carstensen-Kirberg M., Increased Release of Proinflammatory Proteins in Primary Human Adipocytes and Activation of the Inflammatory NFkB, p38, and ERK Pathways upon Omentin Treatment, Obesity facts, 13, 2, pp. 221-236, (2020); Zabetian-Targhi F, Mirzaei K, Keshavarz SA, Hossein-Nezhad A., Modulatory Role of Omentin-1 in Inflammation: Cytokines and Dietary Intake, J Am Coll Nutr, 35, 8, pp. 670-678, (2016); Zhou Y, Zhang B, Hao C, Huang X, Li X, Huang Y, Et al., Omentin-A Novel Adipokine in Respiratory Dis-eases, International journal of molecular sciences, 19, 1, (2017); Kukla M, Menzyk T, Dembinski M, Winiarski M, Garlicki A, Bociaga-Jasik M, Et al., Anti-inflammatory adipokines: chemerin, vaspin, omentin concentrations and SARS-CoV-2 outcomes, Sci Rep, 11, 1, (2021); Yi L, Cheng D, Zhang K, Huo X, Mo Y, Shi H, Et al., Intelectin contributes to allergen-induced IL-25, IL-33, and TSLP expression and type 2 response in asthma and atopic dermatitis, Mucosal immunology, 10, 6, pp. 1491-1503, (2017); Pang J, Hsu JP, Yeo TW, Leo YS, Lye DC., Diabetes, cardiac disorders and asthma as risk factors for severe organ involvement among adult dengue patients: A matched case-control study, Sci Rep, 7, (2017); Vuong NL, Le Duyen HT, Lam PK, Tam DTH, Vinh Chau NV, Van Kinh N, Et al., C-reactive protein as a potential biomarker for disease progression in dengue: a multi-country observational study, BMC Med, 18, 1, (2020); Al-Hamodi Z, Al-Habori M, Al-Meeri A, Saif-Ali R., Association of adipokines, leptin/adiponectin ratio and C-reactive protein with obesity and type 2 diabetes mellitus, Diabetol Metab Syndr, 6, 1, (2014)</t>
  </si>
  <si>
    <t xml:space="preserve">G.N. Malavige; Allergy, Immunology and Cell Biology Unit, Department of Immunology and Molecular Medicine, University of Sri Jayewardenepura, Nugegoda, Sri Lanka; email: gathsaurie.malavige@ndm.ox.ac.uk</t>
  </si>
  <si>
    <t xml:space="preserve">2-s2.0-85171807129</t>
  </si>
  <si>
    <t xml:space="preserve">Fasihfar Z.; Rokhsati H.; Sadeghsalehi H.; Ghaderzadeh M.; Gheisari M.</t>
  </si>
  <si>
    <t xml:space="preserve">Fasihfar, Zohre (36570328000); Rokhsati, Hamidreza (57215868360); Sadeghsalehi, Hamidreza (57811747400); Ghaderzadeh, Mustafa (56042755800); Gheisari, Mehdi (57196006880)</t>
  </si>
  <si>
    <t xml:space="preserve">36570328000; 57215868360; 57811747400; 56042755800; 57196006880</t>
  </si>
  <si>
    <t xml:space="preserve">Al-driven malaria diagnosis: developing a robust model for accurate detection and classification of malaria parasites</t>
  </si>
  <si>
    <t xml:space="preserve">Background: Malaria remains a significant global health problem, with a high incidence of cases and a substantial number of deaths yearly. Early identification and accurate diagnosis play a crucial role in effective malaria treatment. However, underdiagnosis presents a significant challenge in reducing mortality rates, and traditional laboratory diagnosis methods have limitations in terms of time consumption and error susceptibility. To overcome these challenges, researchers have increasingly utilized Machine Learning techniques, specifically neural networks, which provide faster, cost-effective, and highly accurate diagnostic capabilities. Methods: This study aimed to compare the performance of a traditional neural network (NN) with a convolutional neural network (CNN) in the diagnosis and classification of different types of malaria using blood smear images. We curated a comprehensive malaria dataset comprising 1,920 images obtained from 84 patients suspected of having various malaria strains. The dataset consisted of 624 images of Falciparum, 548 images of Vivax, 588 images of Ovale, and 160 images from suspected healthy individuals, obtained from local hospitals in Iran. To ensure precise analysis, we developed a unique segmentation model that effectively eliminated therapeutically beneficial cells from the image context, enabling accurate analysis using artificial intelligence algorithms. Results: The evaluation of the traditional NN and the proposed 6-layer CNN model for image classification yielded average accuracies of 95.11% and 99.59%, respectively. These results demonstrate that the CNN, as a primary algorithm of deep neural networks (DNN), outperforms the traditional NN in analyzing different classes of malaria images. The CNN model demonstrated superior diagnostic performance, delivering enhanced accuracy and reliability in the classifying of malaria cases. Conclusion: This research underscores the potential of ML technologies, specifically CNNs, in improving malaria diagnosis and classification. By leveraging advanced image analysis techniques, including the developed segmentation model, CNN showcased remarkable proficiency in accurately identifying and classifying various malaria parasites from blood smear images. The adoption of machine learning-based approaches holds promise for more effective management and treatment of malaria, addressing the challenges of underdiagnosis and improving patient outcomes. © 2023, Iranian Pediatric Hematology and Oncology Society. All rights reserved.</t>
  </si>
  <si>
    <t xml:space="preserve">Iranian Journal of Blood and Cancer</t>
  </si>
  <si>
    <t xml:space="preserve">Iranian Pediatric Hematology and Oncology Society</t>
  </si>
  <si>
    <t xml:space="preserve">https://www.scopus.com/inward/record.uri?eid=2-s2.0-85175335771&amp;partnerID=40&amp;md5=703139190be43ab6b77d4d8d5db9a1d4</t>
  </si>
  <si>
    <t xml:space="preserve">Faculty Member Electrical and Computer Engineering Department, Hakim Sabzevari University, Iran; Department of Computer, Control and Management Engineering, Sapienza University of Rome, Italy; Department of Neuroscience, Faculty of Advanced Technologies in Medicine, Iran University of Medical Sciences, Tehran, Iran; Department of Artificial Intelligence, Smart University of Medical Science, Tehran, Iran; Department of Cognitive Computing Institute of Computer Science and Engineering, Saveetha School of Engineering Saveetha Institute of Medical and Technical Sciences, Chennai, India</t>
  </si>
  <si>
    <t xml:space="preserve">Fasihfar Z., Faculty Member Electrical and Computer Engineering Department, Hakim Sabzevari University, Iran; Rokhsati H., Department of Computer, Control and Management Engineering, Sapienza University of Rome, Italy; Sadeghsalehi H., Department of Neuroscience, Faculty of Advanced Technologies in Medicine, Iran University of Medical Sciences, Tehran, Iran; Ghaderzadeh M., Department of Artificial Intelligence, Smart University of Medical Science, Tehran, Iran; Gheisari M., Department of Cognitive Computing Institute of Computer Science and Engineering, Saveetha School of Engineering Saveetha Institute of Medical and Technical Sciences, Chennai, India</t>
  </si>
  <si>
    <t xml:space="preserve">Artificial Neural Network; Convolutional Neural Network; Deep Learning; Image Processing; Malaria Parasites</t>
  </si>
  <si>
    <t xml:space="preserve">Poostchi M, Ersoy I, McMenamin K, Gordon E, Palaniappan N, Pierce S, Et al., Malaria parasite detection and cell counting for human and mouse using thin blood smear microscopy, J Med Imaging, 5, 4, (2018); Diaz G, Gonzalez FA, Romero E., A semi-automatic method for quantification and classification of erythrocytes infected with malaria parasites in microscopic images, J Biomed Inform, 42, 2, pp. 296-307, (2009); Poostchi M, Ersoy I, McMenamin K, Gordon E, Palaniappan N, Pierce S, Et al., Malaria parasite detection and cell counting for human and mouse using thin blood smear microscopy, J Med Imaging, 5, 4, (2018); Litjens G, Kooi T, Bejnordi BE, Setio AAA, Ciompi F, Ghafoorian M, Et al., A survey on deep learning in medical image analysis, Medical Image Analysis, 42, pp. 60-88, (2017); Razzak MI., Automatic detection and classification of malarial parasite, Int J Biometrics Bioinforma, 9, 1, pp. 1-12, (2015); Pattanaik PA, Swarnkar T, Sheet D., Object detection technique for malaria parasite in thin blood smear images, 2017 IEEE International Conference on Bioinformatics and Biomedicine (BIBM), pp. 2120-2123, (2017); Ross NE, Pritchard CJ, Rubin DM, Duse AG., Automated image processing method for the diagnosis and classification of malaria on thin blood smears, Med Biol Eng Comput, 44, pp. 427-436, (2006); Landier J, Parker DM, Thu AM, Carrara VI, Lwin KM, Bonnington CA, Et al., The role of early detection and treatment in malaria elimination, Malar J, 15, 1, (2016); Kalkan SC, Sahingoz OK., Deep Learning Based Classification of Malaria from Slide Images, 2019 Scientific Meeting on Electrical-Electronics &amp; Biomedical Engineering and Computer Science (EBBT), pp. 1-4, (2019); Aqeel S, Haider Z, Khan W., Towards digital diagnosis of malaria: How far have we reached?, J Microbiol Methods, 204, (2023); Gourisaria MK, Das S, Sharma R, Rautaray SS, Pandey M., A deep learning model for malaria disease detection and analysis using deep convolutional neural networks, Int J Emerg Technol, 11, 2, pp. 699-704, (2020); Mustafa WA, Alquran H, Aihsan MZ, Saifizi M, Khairunizam W, Abdul-Nasir AS, Et al., Malaria parasite diagnosis using computational techniques: a comprehensive review, Journal of Physics: Conference Series, (2021); Jdey I, Hcini G, Ltifi H., Deep learning and machine learning for Malaria detection: overview, challenges and future directions, (2022); ghi M, Asadi F, Hosseini A, Bashash D, Abolghasemi H, Roshanpour A., Machine Learning in Detection and Classification of Leukemia Using Smear Blood Images: A Systematic Review, Sci Program, 2021, (2021); Sadoughi F, Ghaderzadeh M., A hybrid particle swarm and neural network approach for detection of prostate cancer from benign hyperplasia of prostate, e-Health-For Continuity of Care, pp. 481-485, (2014); Garavand A, Behmanesh A, Aslani N, Sadeghsalehi H, Ghaderzadeh M., Towards Diagnostic Aided Systems in Coronary Artery Disease Detection: A Comprehensive Multiview Survey of the State of the Art, Int J Intell Syst, 2023, (2023); Hosseini A, Eshraghi MA, Taami T, Sadeghsalehi H, Hoseinzadeh Z, Ghaderzadeh M, Et al., A mobile application based on efficient lightweight CNN model for classification of B-ALL cancer from non-cancerous cells: A design and implementation study, Informatics Med Unlocked, 39, (2023); Gheisari M, Ebrahimzadeh F, Rahimi M, Moazzamigodarzi M, Liu Y, Dutta Pramanik PK, Et al., Deep learning: Applications, architectures, models, tools, and frameworks: A comprehensive survey, CAAI Trans Intell Technol, (2023); AI-Driven Malaria Diagnosis: Developing a Robust Model for Accurate Detection and Classification of Malaria Parasites; Movellan JR., Tutorial on Gabor filters, Open source Doc, 40, pp. 1-23, (2002); Kermany DS, Goldbaum M, Cai W, Valentim CCS, Liang H, Baxter SL, Et al., Identifying medical diagnoses and treatable diseases by image-based deep learning, Cell, 172, 5, (2018); Loddo A, Di Ruberto C, Kocher M., Recent advances of malaria parasites detection systems based on mathematical morphology, Sensors, 18, 2, (2018); Cantrell K, Erenas MM, de Orbe-Paya I, Capitan-Vallvey LF., Use of the hue parameter of the hue, saturation, value color space as a quantitative analytical parameter for bitonal optical sensors, Anal Chem, 82, 2, pp. 531-542, (2010); Forcado MRG, Estrada JE., Model development of marble quality identification using thresholding, sobel edge detection and gabor filter in a mobile platform, (2019); Kamarainen J-K, Kyrki V, Kalviainen H., Invariance properties of Gabor filter-based features-overview and applications, IEEE Trans image Process, 15, 5, pp. 1088-1099, (2006); Ghaderzadeh M, Eshraghi MA, Asadi F, Hosseini A, Jafari R, Bashash D, Et al., Efficient Framework for Detection of COVID-19 Omicron and Delta Variants Based on Two Intelligent Phases of CNN Models, Comput Math Methods Med, 2022, (2022); Ghaderzadeh M, Asadi F, Jafari R, Bashash D, Abolghasemi H, Aria M., Deep Convolutional Neural Network-Based Computer-Aided Detection System for COVID-19 Using Multiple Lung Scans: Design and Implementation Study, J Med Internet Res, 23, 4, (2021)</t>
  </si>
  <si>
    <t xml:space="preserve">H. Rokhsati; Department of Computer, Control and Management Engineering, Sapienza University of Rome, Italy; email: rokhsati.1960699@studenti.uniromal.it; M. Gheisari; Department of Cognitive Computing Institute of Computer Science and Engineering, Saveetha School of Engineering Saveetha Institute of Medical and Technical Sciences, Chennai, India; email: Mustaf.ghaderzadeh@sbmu.ac.ir</t>
  </si>
  <si>
    <t xml:space="preserve">Iran. J. Blood Cancer</t>
  </si>
  <si>
    <t xml:space="preserve">2-s2.0-85175335771</t>
  </si>
  <si>
    <t xml:space="preserve">Chen S.; Zhao S.; Huang C.</t>
  </si>
  <si>
    <t xml:space="preserve">Chen, Sirui (57211952650); Zhao, Shengjie (56328424800); Huang, Chenxi (57196056436)</t>
  </si>
  <si>
    <t xml:space="preserve">57211952650; 56328424800; 57196056436</t>
  </si>
  <si>
    <t xml:space="preserve">An Automatic Malaria Disease Diagnosis Framework Integrating Blockchain-Enabled Cloud-Edge Computing and Deep Learning</t>
  </si>
  <si>
    <t xml:space="preserve">Malaria is a life-threatening disease, which mainly occurs in developing countries and regions with poor sanitary conditions. Early diagnosis of malaria will effectively decrease the death rate. In this article, we develop an automatic malaria disease diagnosis framework integrating blockchain-enabled cloud-edge computing and deep learning. The diagnosis task is divided into malaria parasite segmentation from blood smear images and classification of parasite species and stages. To meet the massive demand for deep learning training, we design a diagnosis pipeline that is deployed in a cloud-edge paradigm to utilize both local and remote resources. At edge nodes, preprocessed data sets are classified by U-Net in a supervised approach to generate coarse probability maps. Then, the normalized images and generated probability maps are uploaded to the cloud server. At the cloud, the uploaded probability maps are used to weakly supervise the stacked dilated U-Net (SDU-Net) to segment infected cells. Further classifications of malaria parasites species and stages are conducted by a pretrained MobileNet V1. The blockchain technology is adopted during the data transmission process. The diagnosis results will be sent back to the original local hospital immediately through the cloud. Our framework improves the diagnosis accuracy and eases the burden of deep learning training. Evaluation on real data collection MP-IDB demonstrated the effectiveness of our method.  © 2014 IEEE.</t>
  </si>
  <si>
    <t xml:space="preserve">IEEE Internet of Things Journal</t>
  </si>
  <si>
    <t xml:space="preserve">10.1109/JIOT.2023.3304526</t>
  </si>
  <si>
    <t xml:space="preserve">https://www.scopus.com/inward/record.uri?eid=2-s2.0-85167790799&amp;doi=10.1109%2fJIOT.2023.3304526&amp;partnerID=40&amp;md5=ea4d365703c491b3f6a1e6ede98ea40c</t>
  </si>
  <si>
    <t xml:space="preserve">Tongji University, School of Software Engineering, The Engineering Research Center of Key Software Technologies for Smart City Perception and Planning, Ministry of Education, The Key Laboratory of Embedded System and Service Computing, Ministry of Education, Shanghai, 201804, China; Xiamen University, School of Informatics, Xiamen, 361005, China</t>
  </si>
  <si>
    <t xml:space="preserve">Chen S., Tongji University, School of Software Engineering, The Engineering Research Center of Key Software Technologies for Smart City Perception and Planning, Ministry of Education, The Key Laboratory of Embedded System and Service Computing, Ministry of Education, Shanghai, 201804, China; Zhao S., Tongji University, School of Software Engineering, The Engineering Research Center of Key Software Technologies for Smart City Perception and Planning, Ministry of Education, The Key Laboratory of Embedded System and Service Computing, Ministry of Education, Shanghai, 201804, China; Huang C., Xiamen University, School of Informatics, Xiamen, 361005, China</t>
  </si>
  <si>
    <t xml:space="preserve">blockchain-enabled cloudâÂ€Â"edge computing; deep learning; malaria parasite diagnosis</t>
  </si>
  <si>
    <t xml:space="preserve">Deep learning; Developing countries; Diseases; Edge computing; Image segmentation; Learning systems; Block-chain; Blockchain enabled cloud-edge computing; Cloud-computing; Deep learning; Edge computing; Machine-learning; Malaria parasite; Malaria parasite diagnose; Blockchain</t>
  </si>
  <si>
    <t xml:space="preserve">Shanghai Science and Technology Innovation Action Plan Project, (22511105300); National Natural Science Foundation of China, NSFC, (61936014); Science and Technology Commission of Shanghai Municipality, STCSM, (2021SHZDZX0100); National Key Research and Development Program of China, NKRDPC, (2019YFB2102300); Fundamental Research Funds for the Central Universities</t>
  </si>
  <si>
    <t xml:space="preserve">This work was supported in part by the National Key Research and Development Project under Grant 2019YFB2102300; in part by the National Natural Science Foundation of China under Grant 61936014; in part by the Shanghai Municipal Science and Technology Major Project under Grant 2021SHZDZX0100; in part by the Shanghai Science and Technology Innovation Action Plan Project under Grant 22511105300; and in part by the Fundamental Research Funds for the Central Universities.</t>
  </si>
  <si>
    <t xml:space="preserve">Quinn J.A., Andama A., Munabi I., Kiwanuka F.N., Automated blood smear analysis for mobile malaria diagnosis, Mobile Point-of-Care Monitors Diagnostic Device Design, 31; Rosado L., Da Costa J.M.C., Elias D., Cardoso J.S., A review of automatic malaria parasites detection and segmentation in microscopic images, Anti-Infect. Agents, 14, 1, pp. 11-22, (2016); Poostchi M., Silamut K., Maude R.J., Jaeger S., Thoma G., Image analysis and machine learning for detecting malaria, Transl. Res, 194, pp. 36-55, (2018); Zhou X., Liang W., Kevin I., Wang K., Yang L.T., Deep correlation mining based on hierarchical hybrid networks for heterogeneous big data recommendations, IEEE Trans. Comput. Social Syst, 8, 1, pp. 171-178, (2021); Sivaraman V., Gharakheili H.H., Vishwanath A., Boreli R., Mehani O., Network-level security and privacy control for smart-home IoT devices, Proc. IEEE 11th Int. Conf. Wireless Mobile Comput., Netw. Commun. (WiMob), pp. 163-167, (2015); Wang S., Et al., U-net using stacked dilated convolutions for medical image segmentation, (2020); Howard A.G., Et al., Mobilenets: Efficient convolutional neural networks for mobile vision applications, (2017); Loddo A., Ruberto C.D., Kocher M., Prod'Hom G., MP-IDB: The malaria parasite image database for image processing and analysis, Proc. 1st Int. Anal. Biomed. Inf. SIPAIM Workshop, Granada, Spain, pp. 57-65, (2018); Nanoti A., Jain S., Gupta C., Vyas G., Detection of malaria parasite species and life cycle stages using microscopic images of thin blood smear, Proc. Int. Conf. Invent. Comput. Technol. (ICICT), 1, pp. 1-6, (2016); Makkapati V.V., Rao R.M., Segmentation of malaria parasites in peripheral blood smear images, Proc. IEEE Int. Conf. Acoust. Speech Signal Process, pp. 1361-1364, (2009); Kareem S., Kale I., Morling R.C., Automated P. falciparum detection system for post-treatment malaria diagnosis using modified annular ring ratio method, Proc. UKSim 14th Int. Conf. Comput. Modelling Simulat, pp. 432-436, (2012); Anggraini D., Nugroho A.S., Pratama C., Rozi I.E., Pragesjvara V., Gunawan M., Automated status identification of microscopic images obtained from malaria thin blood smears using Bayes decision: A study case in plasmodium falciparum, Proc. Int. Conf. Adv. Comput. Sci. Inf. Syst, pp. 347-352, (2011); Zou L.-H., Chen J., Zhang J., Garcia N., Malaria cell counting diagnosis within large field of view, Proc. Int. Conf. Digit. Image Comput. Techn. Appl, pp. 172-177, (2010); Abdul-Nasir A.S., Mashor M.Y., Mohamed Z., Colour image segmentation approach for detection of malaria parasites using various colour models and k-means clustering, WSEAS Trans. Biol. Biomed, 10, 1, pp. 41-55, (2013); Khan N.A., Pervaz H., Latif A.K., Musharraf A., Saniya, Unsupervised identification of malaria parasites using computer vision, Proc. 11th Int. Joint Conf. Comput. Sci. Softw. Eng. (JCSSE), pp. 263-267, (2014); Muda T.Z.T., Salam R.A., Blood cell image segmentation using hybrid k-means and median-cut algorithms, Proc. IEEE Int. Conf. Control Syst. Comput. Eng, pp. 237-243, (2011); Tek F.B., Dempster A.G., Kale I., Malaria parasite detection in peripheral blood images, Proc. BMVC, pp. 347-356, (2006); Zhou X., Liang W., Kevin I., Wang K., Shimizu S., Multi-modality behavioral influence analysis for personalized recommendations in health social media environment, IEEE Trans. Comput. Social Syst, 6, 5, pp. 888-897, (2019); Liang Z., Et al., CNN-based image analysis for malaria diagnosis, Proc. IEEE Int. Conf. Bioinf. Biomed. (BIBM), pp. 493-496, (2016); Dong Y., Jiang Z., Shen H., Pan W.D., Classification accuracies of malaria infected cells using deep convolutional neural networks based on decompressed images, Proc. SoutheastCon, pp. 1-6, (2017); Dong Y., Et al., Evaluations of deep convolutional neural networks for automatic identification of malaria infected cells, Proc. IEEE EMBS Int. Conf. Biomed. Health Inform. (BHI), pp. 101-104, (2017); Gopakumar G.P., Swetha M., Sai Siva G., Sai S.G.R.K., Convolutional neural network-based malaria diagnosis from focus stack of blood smear images acquired using custom-built slide scanner, J. Biophoton, 11, 3, (2018); Bibin D., Nair M.S., Punitha P., Malaria parasite detection from peripheral blood smear images using deep belief networks, IEEE Access, 5, pp. 9099-9108, (2017); Hung J., Carpenter A., Applying faster R-CNN for object detection on malaria images, Proc. IEEE Conf. Comput. Vis. Pattern Recognit. Workshops, pp. 56-61, (2017); Sifat M.M.H., Islam M.M., A fully automated system to detect malaria parasites and their stages from the blood smear, Proc. IEEE Region 10 Symp. (TENSYMP), pp. 1351-1354, (2020); Maity M., Jaiswal A., Gantait K., Chatterjee J., Mukherjee A., Quantification of malaria parasitaemia using trainable semantic segmentation and capsnet, Pattern Recognit. Lett, 138, pp. 88-94, (2020); Ronneberger O., Fischer P., Brox T., U-net: Convolutional networks for biomedical image segmentation, Proc. Int. Conf. Med. Image Comput. Comput. Assist. Intervent, pp. 234-241, (2015); Lin D., Tang Y., Edge computing-based mobile health system: Network architecture and resource allocation, IEEE Syst. J, 14, 2, pp. 1716-1727, (2020); Sacco A., Esposito F., Marchetto G., Kolar G., Schwetye K., On edge computing for remote pathology consultations and computations, IEEE J. Biomed. Health Inform, 24, 9, pp. 2523-2534, (2020); Li X., Et al., COMEC: Computation offloading for video-based heart rate detection app in mobile edge computing, Proc. IEEE Int. Conf Parallel Distrib. Process. Appl. Ubiquitous Comput. Commun. Big Data Cloud Comput. Social Comput. Netw. Sustain. Comput. Commun. (ISPA/IUCC/BDCloud/SocialCom/SustainCom), pp. 1038-1039, (2018); Zhou X., Li Y., Liang W., CNN-RNN based intelligent recommendation for Online medical pre-diagnosis support, IEEE/ACM Trans. Comput. Biol. Bioinf, 18, 3, pp. 912-921, (2021); Liu X., Zhou P., Qiu T., Wu D.O., Blockchain-enabled contextual online learning under local differential privacy for coronary heart disease diagnosis in mobile edge computing, IEEE J. Biomed. Health Inform, 24, 8, pp. 2177-2188, (2020); Zhou X., Et al., Hierarchical federated learning with social context clustering-based participant selection for Internet of Medical Things applications, IEEE Trans. Comput. Social Syst, 10, 4, pp. 1742-1751, (2023); Getreuer P., Automatic color enhancement (ACE) and its fast implementation, Image Process. Line, 2, pp. 266-277, (2012); Zhou Z.-H., A brief introduction to weakly supervised learning, Nat. Sci. Rev, 5, 1, pp. 44-53, (2018); Weng W., Zhu X., INet: Convolutional networks for biomedical image segmentation, IEEE Access, 9, pp. 16591-16603, (2021); Yu F., Koltun V., Multi-scale context aggregation by dilated convolutions, Proc. ICLR, pp. 1-13, (2016); Feng X., Yang J., Laine A.F., Angelini E.D., Discriminative localization in CNNs for weakly-supervised segmentation of pulmonary nodules, Proc. Int. Conf. Med. Image Comput. Comput.-Assist. Intervent, pp. 568-576, (2017); Komissarov V., Shafikov N.Y., Zimin Y.S., Kinetics of the reactions of ozone with substituted ethylenes, Kinetics catalysis, 45, 4, pp. 483-487, (2004); Zhou Z., Siddiquee M.M.R., Tajbakhsh N., Liang J., UNet++: A nested U-Net architecture for medical image segmentation, Proc. 4th Int. Deep Learn. Med. Image Anal. Multimodal Learn. Clin. Decis. Support, Granada, Spain, pp. 3-11, (2018); Badrinarayanan V., Kendall A., Cipolla R., SegNet: A deep convolutional encoder-decoder architecture for image segmentation, IEEE Trans. Pattern Anal. Mach. Intell, 39, 12, pp. 2481-2495, (2017); Simonyan K., Zisserman A., Very deep convolutional networks for large-scale image recognition, Proc. Int. Conf. Learn. Represent., ICLR, pp. 1-14, (2015); He K., Zhang X., Ren S., Sun J., Deep residual learning for image recognition, Proc. IEEE Conf. Comput. Vis. Pattern Recognit, pp. 770-778, (2016); Oktay O., Et al., Attention U-Net: Learning where to look for the pancreas, Proc. Med. Imag. Deep Learn, pp. 1-10, (2018)</t>
  </si>
  <si>
    <t xml:space="preserve">S. Zhao; Tongji University, School of Software Engineering, The Engineering Research Center of Key Software Technologies for Smart City Perception and Planning, Ministry of Education, The Key Laboratory of Embedded System and Service Computing, Ministry of Education, Shanghai, 201804, China; email: shengjiezhao@tongji.edu.cn</t>
  </si>
  <si>
    <t xml:space="preserve">IEEE Internet Things J.</t>
  </si>
  <si>
    <t xml:space="preserve">2-s2.0-85167790799</t>
  </si>
  <si>
    <t xml:space="preserve">Macalinao M.L.M.; Fornace K.M.; Reyes R.A.; Hall T.; Bareng A.P.N.; Adams J.H.; Huon C.; Chitnis C.E.; Luchavez J.S.; Tetteh K.K.A.; Yui K.; Hafalla J.C.R.; Espino F.E.J.; Drakeley C.J.</t>
  </si>
  <si>
    <t xml:space="preserve">Macalinao, Maria Lourdes M. (57195732444); Fornace, Kimberly M. (24472918000); Reyes, Ralph A. (57202547531); Hall, Tom (56581134200); Bareng, Alison Paolo N. (57200551970); Adams, John H. (7404782646); Huon, Christèle (36477270000); Chitnis, Chetan E. (6701570125); Luchavez, Jennifer S. (15840146800); Tetteh, Kevin K.A. (6602755595); Yui, Katsuyuki (7005706137); Hafalla, Julius Clemence R. (6602893493); Espino, Fe Esperanza J. (6603136775); Drakeley, Chris J. (7003491251)</t>
  </si>
  <si>
    <t xml:space="preserve">57195732444; 24472918000; 57202547531; 56581134200; 57200551970; 7404782646; 36477270000; 6701570125; 15840146800; 6602755595; 7005706137; 6602893493; 6603136775; 7003491251</t>
  </si>
  <si>
    <t xml:space="preserve">Analytical approaches for antimalarial antibody responses to confirm historical and recent malaria transmission: an example from the Philippines</t>
  </si>
  <si>
    <t xml:space="preserve">Background: Assessing the status of malaria transmission in endemic areas becomes increasingly challenging as countries approach elimination. Serology can provide robust estimates of malaria transmission intensities, and multiplex serological assays allow for simultaneous assessment of markers of recent and historical malaria exposure. Methods: Here, we evaluated different statistical and machine learning methods for analyzing multiplex malaria-specific antibody response data to classify recent and historical exposure to Plasmodium falciparum and Plasmodium vivax. To assess these methods, we utilized samples from a health-facility based survey (n = 9132) in the Philippines, where we quantified antibody responses against 8 P. falciparum and 6 P. vivax-specific antigens from 3 sites with varying transmission intensity. Findings: Measurements of antibody responses and seroprevalence were consistent with the 3 sites’ known endemicity status. Among the models tested, a machine learning (ML) approach (Random Forest model) using 4 serological markers (PfGLURP R2, Etramp5.Ag1, GEXP18, and PfMSP119) gave better predictions for P. falciparum recent infection in Palawan (AUC: 0.9591, CI 0.9497–0.9684) than individual antigen seropositivity. Although the ML approach did not improve P. vivax infection predictions, ML classifications confirmed the absence of recent exposure to P. falciparum and P. vivax in both Occidental Mindoro and Bataan. For predicting historical P. falciparum and P. vivax transmission, seroprevalence and seroconversion rates based on cumulative exposure markers AMA1 and MSP119 showed reliable trends in the 3 sites. Interpretation: Our study emphasizes the utility of serological markers in predicting recent and historical exposure in a sub-national elimination setting, and also highlights the potential use of machine learning models using multiplex antibody responses to improve assessment of the malaria transmission status of countries aiming for elimination. This work also provides baseline antibody data for monitoring risk in malaria-endemic areas in the Philippines. Funding: Newton Fund,Philippine Council for Health Research and Development,UK Medical Research Council. © 2023</t>
  </si>
  <si>
    <t xml:space="preserve">Philippines</t>
  </si>
  <si>
    <t xml:space="preserve">The Lancet Regional Health - Western Pacific</t>
  </si>
  <si>
    <t xml:space="preserve">10.1016/j.lanwpc.2023.100792</t>
  </si>
  <si>
    <t xml:space="preserve">https://www.scopus.com/inward/record.uri?eid=2-s2.0-85159894999&amp;doi=10.1016%2fj.lanwpc.2023.100792&amp;partnerID=40&amp;md5=42e0182f3d4af5c314ca6ffc5f177701</t>
  </si>
  <si>
    <t xml:space="preserve">Department of Parasitology and National Reference Laboratory for Malaria and Other Parasites, Research Institute for Tropical Medicine, Department of Health, Muntinlupa City, Philippines; Faculty of Infectious and Tropical Diseases, Department of Infection Biology, London School of Hygiene and Tropical Medicine, London, United Kingdom; School of Tropical Medicine and Global Health, Nagasaki University, Nagasaki, Japan; Institute of Biodiversity, Animal Health &amp; Comparative Medicine, University of Glasgow, Glasgow, United Kingdom; University of South Florida, Tampa, 33612, FL, United States; Malaria Parasite Biology and Vaccines Unit, Department of Parasites and Insect Vectors, Institut Pasteur, Paris, France; Shionogi Global Infectious Diseases Division, Institute of Tropical Medicine, Nagasaki University, Nagasaki, Japan</t>
  </si>
  <si>
    <t xml:space="preserve">Macalinao M.L.M., Department of Parasitology and National Reference Laboratory for Malaria and Other Parasites, Research Institute for Tropical Medicine, Department of Health, Muntinlupa City, Philippines, Faculty of Infectious and Tropical Diseases, Department of Infection Biology, London School of Hygiene and Tropical Medicine, London, United Kingdom, School of Tropical Medicine and Global Health, Nagasaki University, Nagasaki, Japan; Fornace K.M., Faculty of Infectious and Tropical Diseases, Department of Infection Biology, London School of Hygiene and Tropical Medicine, London, United Kingdom, Institute of Biodiversity, Animal Health &amp; Comparative Medicine, University of Glasgow, Glasgow, United Kingdom; Reyes R.A., Department of Parasitology and National Reference Laboratory for Malaria and Other Parasites, Research Institute for Tropical Medicine, Department of Health, Muntinlupa City, Philippines; Hall T., Faculty of Infectious and Tropical Diseases, Department of Infection Biology, London School of Hygiene and Tropical Medicine, London, United Kingdom; Bareng A.P.N., Department of Parasitology and National Reference Laboratory for Malaria and Other Parasites, Research Institute for Tropical Medicine, Department of Health, Muntinlupa City, Philippines; Adams J.H., University of South Florida, Tampa, 33612, FL, United States; Huon C., Malaria Parasite Biology and Vaccines Unit, Department of Parasites and Insect Vectors, Institut Pasteur, Paris, France; Chitnis C.E., Malaria Parasite Biology and Vaccines Unit, Department of Parasites and Insect Vectors, Institut Pasteur, Paris, France; Luchavez J.S., Department of Parasitology and National Reference Laboratory for Malaria and Other Parasites, Research Institute for Tropical Medicine, Department of Health, Muntinlupa City, Philippines; Tetteh K.K.A., Faculty of Infectious and Tropical Diseases, Department of Infection Biology, London School of Hygiene and Tropical Medicine, London, United Kingdom; Yui K., School of Tropical Medicine and Global Health, Nagasaki University, Nagasaki, Japan, Shionogi Global Infectious Diseases Division, Institute of Tropical Medicine, Nagasaki University, Nagasaki, Japan; Hafalla J.C.R., Faculty of Infectious and Tropical Diseases, Department of Infection Biology, London School of Hygiene and Tropical Medicine, London, United Kingdom; Espino F.E.J., Department of Parasitology and National Reference Laboratory for Malaria and Other Parasites, Research Institute for Tropical Medicine, Department of Health, Muntinlupa City, Philippines; Drakeley C.J., Faculty of Infectious and Tropical Diseases, Department of Infection Biology, London School of Hygiene and Tropical Medicine, London, United Kingdom</t>
  </si>
  <si>
    <t xml:space="preserve">Analytical approaches; Machine learning; Malaria; Multiplex serology; Serosurveillance</t>
  </si>
  <si>
    <t xml:space="preserve">parasite antigen; protozoon antibody; adolescent; adult; antibody response; Article; child; controlled study; disease elimination; disease surveillance; disease transmission; endemic disease; female; geographic distribution; health survey; human; machine learning; major clinical study; malaria; malaria falciparum; male; nonhuman; Philippines; Plasmodium falciparum; Plasmodium vivax; Plasmodium vivax malaria; prediction; random forest; seroconversion; seroprevalence; statistical analysis; trend study</t>
  </si>
  <si>
    <t xml:space="preserve">Ellaine de la Fuente; Natural Products Laboratory-DPSM in University; Wellcome Trust, WT; Newton Fund; Nagasaki University; Medical Research Council, MRC, (MR/N019199/1); Royal Society, (221963/Z/20/Z); Philippine Council for Health Research and Development, DOST-PCHRD</t>
  </si>
  <si>
    <t xml:space="preserve">Funding text 1: Newton Fund, Philippine Council for Health Research and Development, UK Medical Research Council.This study was supported by the Newton Fund, Philippine Council for Health Research and Development, and UK Medical Research Council through funding received for the ENSURE project (MR/N019199/1). We also express our gratitude to the ENSURE team, especially Carol Joy Sarsadiaz, Hennessey Sabanal, Beaulah Boncayao, and Ellaine de la Fuente, who assisted in the conduct of serological assays, as well as Dr. Catalino Demetria of RITM Special Pathogens Laboratory, who provided technical assistance and RITM Immunology laboratory, Natural Products Laboratory-DPSM in University of the Philippines-Manila, for access to their Luminex 200 instruments. Also, we thank the local governments and health staff of Palawan, Occidental Mindoro, and Bataan for their invaluable support to our research. This work is also supported by the Nagasaki University's “Doctoral Program for World-leading Innovative and Smart Education” for Global Health, KENKYU SHIDO KEIHI. KMF was supported by a Sir Henry Dale Fellowship jointly funded by the Wellcome Trust and Royal Society (grant no 221963/Z/20/Z).; Funding text 2: This study was supported by the Newton Fund, Philippine Council for Health Research and Development , and UK Medical Research Council through funding received for the ENSURE project ( MR/N019199/1 ). We also express our gratitude to the ENSURE team, especially Carol Joy Sarsadiaz, Hennessey Sabanal, Beaulah Boncayao, and Ellaine de la Fuente, who assisted in the conduct of serological assays, as well as Dr. Catalino Demetria of RITM Special Pathogens Laboratory, who provided technical assistance and RITM Immunology laboratory, Natural Products Laboratory-DPSM in University of the Philippines-Manila, for access to their Luminex 200 instruments. Also, we thank the local governments and health staff of Palawan, Occidental Mindoro, and Bataan for their invaluable support to our research. This work is also supported by the Nagasaki University's “Doctoral Program for World-leading Innovative and Smart Education” for Global Health, KENKYU SHIDO KEIHI. KMF was supported by a Sir Henry Dale Fellowship jointly funded by the Wellcome Trust and Royal Society (grant no 221963/Z/20/Z ). </t>
  </si>
  <si>
    <t xml:space="preserve">World Health Organization, Progress towards subnational elimination in the Philippines, (2014); World Health Organization, World malaria report 2019, (2019); Drakeley C.J., Corran P.H., Coleman P.G., Et al., Estimating medium- and long-term trends in malaria transmission by using serological markers of malaria exposure, Proc Natl Acad Sci U S A, 102, 14, pp. 5108-5113, (2005); Cotter C., Sturrock H.J.W., Hsiang M.S., Et al., The changing epidemiology of malaria elimination: new strategies for new challenges, Lancet, 382, 9895, pp. 900-911, (2013); malERA Refresh Consultative Panel on Characterising the Reservoir and Measuring Transmission, malERA: An updated research agenda for characterising the reservoir and measuring transmission in malaria elimination and eradication, PLoS Med, 14, 11, (2017); World Health Organization, A framework for malaria elimination, (2017); Fowkes F.J., Richards J.S., Simpson J.A., Beeson J.G., The relationship between anti-merozoite antibodies and incidence of Plasmodium falciparum malaria: a systematic review and meta-analysis, PLoS Med, 7, 1, (2010); Folegatti P.M., Siqueira A.M., Monteiro W.M., Lacerda M.V., Drakeley C.J., Braga E.M., A systematic review on malaria sero-epidemiology studies in the Brazilian Amazon: insights into immunological markers for exposure and protection, Malar J, 16, 1, (2017); van den Hoogen L.L., Griffin J.T., Cook J., Et al., Serology describes a profile of declining malaria transmission in Farafenni, the Gambia, Malar J, 14, 1, (2015); Pothin E., Ferguson N.M., Drakeley C.J., Ghani A.C., Estimating malaria transmission intensity from Plasmodium falciparum serological data using antibody density models, Malar J, 15, 1, (2016); Kerkhof K., Sluydts V., Willen L., Et al., Serological markers to measure recent changes in malaria at population level in Cambodia, Malar J, 15, 1, (2016); Idris Z.M., Chan C.W., Mohammed M., Et al., Serological measures to assess the efficacy of malaria control programme on Ambae Island, Vanuatu, Parasit Vectors, 10, 1, (2017); Ssewanyana I., Arinaitwe E., Nankabirwa J.I., Et al., Avidity of anti-malarial antibodies inversely related to transmission intensity at three sites in Uganda, Malar J, 16, 1, (2017); Wu L., Mwesigwa J., Affara M., Et al., Sero-epidemiological evaluation of malaria transmission in the Gambia before and after mass drug administration, BMC Med, 18, 1, (2020); Corran P., Coleman P., Riley E., Drakeley C., Serology: a robust indicator of malaria transmission intensity?, Trends Parasitol, 23, 12, pp. 575-582, (2007); Stanisic D.I., Fowkes F.J., Koinari M., Et al., Acquisition of antibodies against Plasmodium falciparum merozoites and malaria immunity in young children and the influence of age, force of infection, and magnitude of response, Infect Immun, 83, 2, pp. 646-660, (2015); Niass O., Saint-Pierre P., Niang M., Et al., Modelling dynamic change of malaria transmission in holoendemic setting (Dielmo, Senegal) using longitudinal measures of antibody prevalence to Plasmodium falciparum crude schizonts extract, Malar J, 16, 1, (2017); Fouda G.G., Leke R.F., Long C., Et al., Multiplex assay for simultaneous measurement of antibodies to multiple Plasmodium falciparum antigens, Clin Vaccine Immunol, 13, 12, pp. 1307-1313, (2006); Ondigo B.N., Park G.S., Gose S.O., Et al., Standardization and validation of a cytometric bead assay to assess antibodies to multiple Plasmodium falciparum recombinant antigens, Malar J, 11, (2012); Perraut R., Richard V., Varela M.L., Et al., Comparative analysis of IgG responses to Plasmodium falciparum MSP1p19 and PF13-DBL1alpha1 using ELISA and a magnetic bead-based duplex assay (MAGPIX(R)-Luminex) in a Senegalese meso-endemic community, Malar J, 13, 1, (2014); Koffi D., Toure A.O., Varela M.L., Et al., Analysis of antibody profiles in symptomatic malaria in three sentinel sites of Ivory Coast by using multiplex, fluorescent, magnetic, bead-based serological assay (MAGPIX), Malar J, 14, 1, (2015); Wu L., Hall T., Ssewanyana I., Et al., Optimisation and standardisation of a multiplex immunoassay of diverse Plasmodium falciparum antigens to assess changes in malaria transmission using sero-epidemiology, Wellcome Open Res, 4, (2019); Helb D.A., Tetteh K.K., Felgner P.L., Et al., Novel serologic biomarkers provide accurate estimates of recent Plasmodium falciparum exposure for individuals and communities, Proc Natl Acad Sci U S A, 112, 32, pp. E4438-E4447, (2015); Wu L., Mwesigwa J., Affara M., Et al., Antibody responses to a suite of novel serological markers for malaria surveillance demonstrate strong correlation with clinical and parasitological infection across seasons and transmission settings in the Gambia, BMC Med, 18, 1, (2020); Longley R.J., White M.T., Takashima E., Et al., Development and validation of serological markers for detecting recent Plasmodium vivax infection, Nat Med, 26, 5, pp. 741-749, (2020); Coutts S.P., King J.D., Pa'au M., Et al., Prevalence and risk factors associated with lymphatic filariasis in American Samoa after mass drug administration, Trop Med Health, 45, 1, (2017); van den Hoogen L.L., Presume J., Romilus I., Et al., Quality control of multiplex antibody detection in samples from large-scale surveys: the example of malaria in Haiti, Sci Rep, 10, 1, (2020); Collins C.R., Withers-Martinez C., Bentley G.A., Batchelor A.H., Thomas A.W., Blackman M.J., Fine mapping of an epitope recognized by an invasion-inhibitory monoclonal antibody on the malaria vaccine candidate apical membrane antigen 1, J Biol Chem, 282, 10, pp. 7431-7441, (2007); Burghaus P.A., Holder A.A., Expression of the 19-kilodalton carboxy-terminal fragment of the Plasmodium falciparum merozoite surface protein-1 in Escherichia coli as a correctly folded protein, Mol Biochem Parasitol, 64, 1, pp. 165-169, (1994); Theisen M., Vuust J., Gottschau A., Jepsen S., Hogh B., Antigenicity and immunogenicity of recombinant glutamate-rich protein of Plasmodium falciparum expressed in Escherichia coli, Clin Diagn Lab Immunol, 2, 1, pp. 30-34, (1995); van den Hoogen L.L., Walk J., Oulton T., Et al., Antibody responses to antigenic targets of recent exposure are associated with low-density parasitemia in controlled human Plasmodium falciparum infections, Front Microbiol, 9, January, pp. 1-11, (2019); Spielmann T., Fergusen D.J., Beck H.P., etramps, a new Plasmodium falciparum gene family coding for developmentally regulated and highly charged membrane proteins located at the parasite-host cell interface, Mol Biol Cell, 14, 4, pp. 1529-1544, (2003); Raj D.K., Nixon C.P., Nixon C.E., Et al., Antibodies to PfSEA-1 block parasite egress from RBCs and protect against malaria infection, Science, 344, 6186, pp. 871-877, (2014); Polley S.D., Conway D.J., Cavanagh D.R., Et al., High levels of serum antibodies to merozoite surface protein 2 of Plasmodium falciparum are associated with reduced risk of clinical malaria in coastal Kenya, Vaccine, 24, 19, pp. 4233-4246, (2006); Taylor R.R., Smith D.B., Robinson V.J., McBride J.S., Riley E.M., Human antibody response to Plasmodium falciparum merozoite surface protein 2 is serogroup specific and predominantly of the immunoglobulin G3 subclass, Infect Immun, 63, 11, pp. 4382-4388, (1995); Chuquiyauri R., Molina D.M., Moss E.L., Et al., Genome-Scale protein microarray comparison of human antibody responses in Plasmodium vivax relapse and reinfection, Am J Trop Med Hyg, 93, 4, pp. 801-809, (2015); Franca C.T., Hostetler J.B., Sharma S., Et al., An antibody screen of a Plasmodium vivax antigen library identifies novel merozoite proteins associated with clinical protection, PLoS Negl Trop Dis, 10, 5, (2016); Franca C.T., He W.Q., Gruszczyk J., Et al., Plasmodium vivax reticulocyte binding proteins are key targets of naturally acquired immunity in young Papua New Guinean children, PLoS Negl Trop Dis, 10, 9, (2016); Ntumngia F.B., Schloegel J., Barnes S.J., Et al., Conserved and variant epitopes of Plasmodium vivax duffy binding protein as targets of inhibitory monoclonal antibodies, Infect Immun, 80, 3, pp. 1203-1208, (2012); Hester J., Chan E.R., Menard D., Et al., De novo assembly of a field isolate genome reveals novel Plasmodium vivax erythrocyte invasion genes, PLoS Negl Trop Dis, 7, 12, (2013); Menard D., Chan E.R., Benedet C., Et al., Whole genome sequencing of field isolates reveals a common duplication of the duffy binding protein gene in Malagasy Plasmodium vivax strains, PLoS Negl Trop Dis, 7, 11, (2013); Hubbard A., Munoz I.D., Decker A., Et al., Time-dependent prediction and evaluation of variable importance using superlearning in high-dimensional clinical data, J Trauma Acute Care Surg, 75, 1, pp. S53-S60, (2013); van den Hoogen L.L., Bareng P., Alves J., Et al., Comparison of commercial ELISA kits to confirm the absence of transmission in malaria elimination settings, Front Public Health, 8, (2020); Fornace K.M., Brock P.M., Abidin T.R., Et al., Environmental risk factors and exposure to the zoonotic malaria parasite Plasmodium knowlesi across northern Sabah, Malaysia: a population-based cross-sectional survey, Lancet Planet Health, 3, 4, pp. e179-e186, (2019); Arnold B.F., van der Laan M.J., Hubbard A.E., Et al., Measuring changes in transmission of neglected tropical diseases, malaria, and enteric pathogens from quantitative antibody levels, PLoS Neglected Trop Dis, 11, 5, pp. 1-20, (2017); Fornace K.M., Herman L.S., Abidin T.R., Et al., Exposure and infection to Plasmodium knowlesi in case study communities in Northern Sabah, Malaysia and Palawan, the Philippines, PLoS Negl Trop Dis, 12, 6, (2018); Sepulveda N., Stresman G., White M.T., Drakeley C.J., Current mathematical models for analyzing anti-malarial antibody data with an eye to malaria elimination and eradication, J Immunol Res, 2015, (2015); Fornace K.M., Surendra H., Abidin T.R., Et al., Use of mobile technology-based participatory mapping approaches to geolocate health facility attendees for disease surveillance in low resource settings, Int J Health Geogr, 17, 1, (2018); van den Hoogen L.L., Stresman G., Presume J., Et al., Selection of antibody responses associated with Plasmodium falciparum infections in the context of malaria elimination, Front Immunol, 11, May, (2020); Rogier E., Nace D., Dimbu P.R., Et al., Framework for characterizing longitudinal antibody response in children after Plasmodium falciparum infection, Front Immunol, 12, March, (2021); Chotirat S., Nekkab N., Kumpitak C., Et al., Application of 23 novel serological markers for identifying recent exposure to Plasmodium vivax parasites in an endemic population of western Thailand, Front Microbiol, 12, (2021); Rosado J., Pelleau S., Cockram C., Et al., Multiplex assays for the identification of serological signatures of SARS-CoV-2 infection: an antibody-based diagnostic and machine learning study, Lancet Microbe, 2, 2, pp. e60-e69, (2021); Reyes R.A., Fornace K.M., Macalinao M.L.M., Et al., Enhanced health facility surveys to support malaria control and elimination across different transmission settings in the Philippines, Am J Trop Med Hyg, 104, 3, pp. 968-978, (2021); Rosas-Aguirre A., Speybroeck N., Llanos-Cuentas A., Et al., Hotspots of malaria transmission in the Peruvian Amazon: rapid assessment through a parasitological and serological survey, PLoS One, 10, 9, (2015); Biggs J., Raman J., Cook J., Et al., Serology reveals heterogeneity of Plasmodium falciparum transmission in northeastern South Africa: implications for malaria elimination, Malar J, 16, 1, (2017); Fowkes F.J.I., Boeuf P., Beeson J.G., Immunity to malaria in an era of declining malaria transmission, Parasitology, 143, pp. 139-153, (2016); World Health Organization, WHO malaria policy advisory committee meeting: meeting report, October 2017, (2017)</t>
  </si>
  <si>
    <t xml:space="preserve">C.J. Drakeley; Faculty of Infectious and Tropical Diseases, Department of Infection Biology, London School of Hygiene and Tropical Medicine, London, United Kingdom; email: Chris.Drakeley@lshtm.ac.uk</t>
  </si>
  <si>
    <t xml:space="preserve">Lancet. Reg. Health. West. Pac.</t>
  </si>
  <si>
    <t xml:space="preserve">2-s2.0-85159894999</t>
  </si>
  <si>
    <t xml:space="preserve">Onno J.; Ahmad Khan F.; Daftary A.; David P.-M.</t>
  </si>
  <si>
    <t xml:space="preserve">Onno, Julien (57894292400); Ahmad Khan, Faiz (36143097200); Daftary, Amrita (16229731600); David, Pierre-Marie (36124500600)</t>
  </si>
  <si>
    <t xml:space="preserve">57894292400; 36143097200; 16229731600; 36124500600</t>
  </si>
  <si>
    <t xml:space="preserve">Artificial intelligence-based computer aided detection (AI-CAD) in the fight against tuberculosis: Effects of moving health technologies in global health</t>
  </si>
  <si>
    <t xml:space="preserve">Computer Aided Detection software based on Artificial Intelligence (AI-CAD), combined with chest X-rays have recently been promoted as an easy fix for a complex problem: ending TB by 2030. WHO has recommended the use of such imaging devices in 2021 and many partnerships have helped propose benchmark analysis and technology comparisons to facilitate their “market access”. Our aim is to examine the socio-political and health issues that stem from using AI-CAD technology in a global health context conceptualized as a set of practice and ideas organizing global intervention “in the life of others”. We also question how this technology, which is not yet fully implemented in routine use, may limit or amplify some inequalities in the care of tuberculosis. We describe AI-CAD through Actor-Network-Theory framework to understand the global assemblage and composite activities associated with detection through AI-CAD, and interrogate how the technology itself may consolidate a specific configuration of “global health”. We explore the various dimensions of AI-CAD “health effects model”: technology design, development, regulation, institutional competition, social interaction and health cultures. On a broader level, AI-CAD represents a new version of global health's accelerationist model centered on “moving and autonomous-presumed technologies”. We finally present key aspects in our research which help discuss the theories mobilized: AI-CAD ambivalent insertion in global health, the social lives of its data: from efficacy to markets and AI-CAD human care and maintenance it requires. We reflect on the conditions that will affect AI-CAD use and its promises. In the end, the risk of new detection technologies such as AI-CAD is indeed that the fight against TB could be reduced to one that is purely technical and technological, with neglect to its social determinants and effects. © 2023 Elsevier Ltd</t>
  </si>
  <si>
    <t xml:space="preserve">Social Science and Medicine</t>
  </si>
  <si>
    <t xml:space="preserve">10.1016/j.socscimed.2023.115949</t>
  </si>
  <si>
    <t xml:space="preserve">https://www.scopus.com/inward/record.uri?eid=2-s2.0-85160079201&amp;doi=10.1016%2fj.socscimed.2023.115949&amp;partnerID=40&amp;md5=8e03fc03da12d47c0669fd98cb373dfb</t>
  </si>
  <si>
    <t xml:space="preserve">Faculty of Pharmacy, University of Montréal, Montréal, Canada; OBVIA, Observatoire sur les impacts sociétaux de l'intelligence artificielle et du numérique, Québec, Canada; School of Global Health &amp; Dahdaleh Institute of Global Health Research, York University, Canada; Departments of Medicine &amp; Epidemiology, Biostatistics &amp; Occupational Health, McGill University, Montréal, Canada; Centre for the AIDS Programme of Research in South Africa (CAPRISA), University of KwaZulu Natal, South Africa</t>
  </si>
  <si>
    <t xml:space="preserve">Onno J., Faculty of Pharmacy, University of Montréal, Montréal, Canada, OBVIA, Observatoire sur les impacts sociétaux de l'intelligence artificielle et du numérique, Québec, Canada; Ahmad Khan F., OBVIA, Observatoire sur les impacts sociétaux de l'intelligence artificielle et du numérique, Québec, Canada, Departments of Medicine &amp; Epidemiology, Biostatistics &amp; Occupational Health, McGill University, Montréal, Canada; Daftary A., School of Global Health &amp; Dahdaleh Institute of Global Health Research, York University, Canada, Centre for the AIDS Programme of Research in South Africa (CAPRISA), University of KwaZulu Natal, South Africa; David P.-M., Faculty of Pharmacy, University of Montréal, Montréal, Canada, OBVIA, Observatoire sur les impacts sociétaux de l'intelligence artificielle et du numérique, Québec, Canada</t>
  </si>
  <si>
    <t xml:space="preserve">Artificial intelligence (AI); Computer aided detection; Equity; Global health; Health technologies; Tuberculosis</t>
  </si>
  <si>
    <t xml:space="preserve">Artificial Intelligence; Computers; Humans; Tuberculosis; artificial intelligence; health care; health services; public health; software; tuberculosis; Article; artificial intelligence; biomedical technology assessment; computer aided design; global health; health care access; health care organization; health equity; hepatitis C; human; Human immunodeficiency virus infection; malaria; medical research; public health; social interaction; social life; tropical disease; tuberculosis; diagnostic imaging; tuberculosis</t>
  </si>
  <si>
    <t xml:space="preserve">Observatoire international, (CAD4TB); Fonds de Recherche du Québec-Société et Culture, FRQSC, (268938); Canadian Institutes of Health Research, IRSC; Fonds de Recherche du Québec - Santé, FRQS; Fonds de recherche du Québec, FRQ</t>
  </si>
  <si>
    <t xml:space="preserve">Funding text 1: This research has been fund by the OBVIA (Observatoire international sur les impacts sociétaux de l’IA et du numérique, from the Fonds de Recherche de Québec) (Project number: FRQSC , 268938 ).; Funding text 2: This research has been fund by the OBVIA (Observatoire international sur les impacts sociétaux de l'IA et du numérique, from the Fonds de Recherche de Québec) (Project number: FRQSC, 268938).PMD declares operating grants from publicly funded research agencies to study computer-aided detection of tuberculosis on chest x-rays (the Canadian Institutes of Health Research, Fonds de Recherche Québec Santé, and Observatoire international sur les impacts sociétaux de l'IA et du numérique [from the Fonds de Recherche de Québec]).FAK declares operating grants and salary support from publicly funded research agencies to study computer-aided detection of tuberculosis on chest x-rays (the Canadian Institutes of Health Research, Fonds de Recherche Québec Santé, and Observatoire international sur les impacts sociétaux de l'IA et du numérique [from the Fonds de Recherche de Québec]). FAK reports participating in a technical consultation on WHO prequalification requirements for computer aided detection software for tuberculosis. FAK reports that the following developers of computer-aided detection software provided his research group with either free or reduced pricing access to their software for evaluative research, and that the groups did not have any role in the study design, analysis, result interpretation, or decision to publish previous research and the submitted work: Delft (Netherlands, makers of CAD4TB), qure. ai (India, makers of qXR), and Lunit (South Korea, makers of LUNIT INSIGHT).</t>
  </si>
  <si>
    <t xml:space="preserve">Acevedo-Garcia D., Residential segregation and the epidemiology of infectious diseases, Soc. Sci. Med., 51, 8, (2000); Adams V., Metrics: what Counts in Global Health, (2016); Ahmad Khan F., Majidulla A., Tavaziva G., Nazish A., Abidi S.K., Benedetti A., Menzies D., Johnston J.C., Khan A.J., Saeed S., Chest X-ray analysis with deep learning-based software as a triage test for pulmonary tuberculosis: a prospective study of diagnostic accuracy for culture-confirmed disease, The Lancet Digital Health, 2, 11, pp. 573-581, (2020); Ahmad Khan F., Pande T., Tessema B., Song R., Benedetti A., Pai P., Lonnroth K., Denkinger C.M., Computer-Aided Reading of Tuberculosis Chest Radiography: Moving the Research Agenda Forward to Inform Policy, Eur. Respir. J., 50, 1, (2017); (2023); Al Dahdah M., Digitalisation de la santé au Sud: quand les firmes du numérique décident de l'accès au soin, Mouvements, 98, pp. 120-132, (2019); Al Dahdah M., From evidence-based to market-based MHealth: itinerary of a mobile (for) development project, Sci. Technol. Hum. Val., 44, 6, pp. 1048-1067, (2019); Barrett R., Creswell J., Sahu S., Qin Z.Z., User perspectives on the use of X-rays and computer-aided detection for TB, Int. J. Tubercul. Lung Dis., 26, 11, pp. 1083-1085, (2022); Beisel U., What might we learn from ANT for studying health care issues in the majority world, and what might ANT learn in turn, The Routledge Companion to ANT, pp. 246-255, (2019); Biruk C., Cooking Data: Culture and Politics in an African Research World, (2018); Brown T., Craddock S., Ingram A., Critical interventions in global health: governmentality, risk, and assemblage, Ann. Assoc. Am. Geogr., 102, 5, pp. 1182-1189, (2012); Brown T., Cueto M., Fee E., The world health organization and the transition: from, International” to “Global” Public Health, 96, pp. 62-72, (2005); Casper J.M., Morrison D.R., Medical sociology and technology: critical engagements, J. Health Soc. Behav., 51, (2010); Codlin A.J., Dao T.P., Vo L.N.Q., Forse R.J., Van Truong V., Dang H.M., Nguyen L.H.T., Nguyen H.B., Nguyen N.V., Sidney-Annerstedt K., Squire B., Lonnroth K., Caws M., Independent evaluation of 12 artificial intelligence solutions for the detection of tuberculosis, Sci. Rep., 11, (2021); Cowan D., Morgan M., Mcdermont M., Nominations: an actor-network approach, Hous. Stud., 24, 3, pp. 281-300, (2009); Cresswell K.M., Worth A., Sheikh A., Actor-Network Theory and its role in understanding the implementation of information technology developments in healthcare, BMC Med. Inf. Decis. Making, 10, 1, (2010); Cruz T.M., The social life of biomedical data: capturing, obscuring, and envisioning care in the digital safety-net, Soc. Sci. Med., 294, (2022); Denis J., Pontille D., Le soin des choses: politiques de la maintenance, (2022); Desrosieres A., The Politics of Large Numbers: A History of Statistical Reasoning, (1998); David P.M., Onno J., Keshavjee S., Faiz A.K., Conditions required for the artificial intelligence-based computer-aided detection tuberculosis to attain its global health potential, Lancet Digital Health, (2022); Duclos V., Global eHealth Designing spaces of care in the era of global connectivity, Medicine Anthropology Theory, 2, pp. 154-164, (2015); Dunn J., Larocque M., Van Dyk D., Vides E., Khan F.-A., Wong T., Long R., Alvarez G.-G., Chapter 12: an introductory guide to tuberculosis care to improve cultural competence for health care workers and public health professionals serving Indigenous Peoples of Canada, Canadian Journal of Respiratory, Critical Care, and Sleep Medicine, 6, pp. 184-193, (2022); Engel N., Innovating tuberculosis diagnostics for the point of care, Anthropological and Ethnographic Approaches to Understanding Tuberculosis and its Control, pp. 166-184, (2020); Fejerskov A.M., The new technopolitics of development and the global South as a laboratory of technological experimentation, Sci. Technol. Hum. Val., 42, 5, pp. 947-968, (2017); Diagnosis for All, (2023); Geissler P.W., The Archipelago of public health. Comments on the landscape of medical research in 21st century Africa, Making and Unmaking Public Health in Africa. Ethnographic and Historical Perspectives, pp. 231-256, (2014); Gerdon F., Bach R.L., Kern C., Kreuter F., Social impacts of algorithmic decision-making: a research agenda for the social sciences, Big Data &amp; Society, 9, 1, (2022); Green J., Thorogood N., Qualitative Methods for Health Research. Fourth Ed. Introducing Qualitative Methods, (2018); Habib S.S., Asad Zaidi M.S., Jamal W.Z., Azeemi K.S., Khan S., Khowaja S., Domki A.K., Khan A., Ahmad Khan F., Gender-based differences in community-wide screening for pulmonary tuberculosis in karachi, Pakistan: an observational study of 311 732 individuals undergoing screening, Thorax, 77, 3, pp. 298-299, (2022); Hacker M.E., Binz C., Navigating institutional complexity in socio-technical transitions, Environ. Innov. Soc. Transit., 40, pp. 367-381, (2021); Hardon A., Pool R., Anthropologists in global health experiments, Med. Anthropol., 35, 5, pp. 447-451, (2016); Harper I., Anthropology, DOTS and understanding TB control in Nepal, J. Biosoc. Sci., 38, 1, pp. 57-67, (2006); Harper I., Khatri R., Diagnosing tuberculosis: a case study from Nepal, Anthropological and Ethnographic Approaches to Understanding Tuberculosis and its Control, pp. 259-277, (2020); Hess D., Ethnography and the development of science and technology studies, Sage Handbook of Ethnography, 2001, pp. 234-245, (2001); Hofmann B., Svenaeus F., How medical technologies shape the experience of illness, Life Sciences, Society and Policy, 14, 1, (2018); Huffman S.A., Veen J., Hennink M.M., McFarland D.A., Exploitation, vulnerability to tuberculosis and access to treatment among Uzbek labor migrants in Kazakhstan, Soc. Sci. Med., 74, 6, pp. 864-872, (2012); Janes C.R., Corbett K.K., Anthropology and global health, Annu. Rev. Anthropol., 38, 1, pp. 167-183, (2009); Kelly A.H., Lezaun J., Street A., Global health, accelerated: rapid diagnostics and the fragile solidarities of ‘emergency R&amp;D, Econ. Soc., 51, 2, pp. 187-210, (2022); Kik S.V., Gelaw S.M., Ruhwald M., Song R., Khan F.A., Et al., Diagnostic accuracy of chest x-ray interpretation for tuberculosis by three artificial intelligence-based software in a screening use-case: an individual patient meta-analysis of global data, medRxiv, (2022); King N.B., Technological fixes and antimicrobial resistance, Ethics and Drug Resistance: Collective Responsibility for Global Public Health, pp. 309-319, (2020); Koch E., Beyond suspicion: evidence, (un)certainty, and tuberculosis in Georgian prisons, Am. Ethnol., 33, 1, pp. 50-62, (2006); Lakoff A., Collier S.J., Biosecurity Interventions: Global Health and Security in Question, (2008); Latour B., Reassembling the Social: an Introduction to Actor-Network-Theory, (2005); Lupton D., Digital Health: Critical and Cross-Disciplinary Perspectives, (2018); Macdonald H., Harper I., Understanding Tuberculosis and its Control, (2019); Melendez J., Sanchez C.I., Philipsen R.H.H.M., Maduskar P., van Ginneken B., Multiple-instance learning for computer-aided detection of tuberculosis, Proc. SPIE 9035, Medical Imaging 2014: Computer-Aided Diagnosis, (2014); Mignot L., Schultz E., Artificial intelligence innovations in radiology put to the test by health system regulations, Réseaux, 232-233, pp. 65-97, (2022); Morozov E., To Save Everything, Click Here: the Folly of Techno-Solutionism, (2013); Mutendi M., Macdonald H., We are like bubblegum: underground narratives of tuberculosis among South African miners, Anthropology Southern Africa, 41, 4, pp. 284-295, (2018); Okolo C.T., Optimizing human-centered AI for healthcare in the global South, Patterns, 3, 2, (2022); Ollila E., Restructuring global health policy-making: the role of global public-private partnerships, Commercialization of Health Care: Global and Local Dynamics and Policy Responses, pp. 187-200, (2005); Ong A., Collier S.J., Global Assemblages: Technology, Politics, and Ethics as Anthropological Problems, (2005); Packard R., A History of Global Health: Interventions into the Lives of Other Peoples, (2016); Petersen A., Digital Health and Technological Promise: A Sociological Enquiry, (2019); Pierce R., AI in healthcare: solutions, challenges, and dilemmas in medical decision-making, Voices in Medical Sociology, (2019); Pinch T.J., Bijker W.E., The social construction of facts and artefacts: or how the sociology of science and the sociology of technology might benefit each other, Soc. Stud. Sci., 14, 3, pp. 399-441, (1984); Prior L., Repositioning documents in social research, Sociology, 42, 5, pp. 821-836, (2008); Prout A., Actor-network theory, technology and medical sociology: an illustrative analysis of the metered dose inhaler, Sociol. Health Illness, 18, 2, pp. 198-219, (1996); Qin Z.Z., Screening and Triage for TB Using Computer-Aided Detection (CAD) Technology and Ultra-portable X-Ray Systems: A Practical Guide, Stop TB Partnership, (2021); Qin Z.Z., Ahmed S., Sarker M.S., Paul K., Adel A.S.S., Naheyan T., Barrett R., Banu S., Creswell J., Tuberculosis detection from chest x-rays for triaging in a high tuberculosis-burden setting: an evaluation of five artificial intelligence algorithms, The Lancet Digital Health, 3, 9, (2021); Quet M., Al Dahdah M., Technologies without borders? The digitization of society in a postcolonial world, Sci. Technol. Soc., 25, 3, pp. 363-367, (2020); Rabkin M., El-Sadr W.M., Why reinvent the wheel? Leveraging the lessons of HIV scale-up to confront non-communicable diseases, Global Publ. Health, 6, 3, pp. 247-256, (2011); Ruckenstein M., Dow Schull N., The datafication of health, Annu. Rev. Anthropol., 46, 1, pp. 261-278, (2017); Ruckert A., Labonte R., Public–private partnerships (ppps) in global health: the good, the bad and the ugly, Third World Q., 35, 9, pp. 1598-1614, (2014); Ruppert E., Law J., Savage M., Reassembling social science methods: the challenge of digital devices, Theor. Cult. Soc., 30, 4, pp. 22-46, (2013); Saria V., New machine, old cough: technology and tuberculosis in patna, Frontiers in Sociology, 5, 18, (2020); Schwalbe N., Wahl B., Artificial intelligence and the future of global health, Lancet, 395, pp. 1579-1586, (2020); Street A., Deep Diagnostics, Humanitarian devices goods/Little development devices, Limn 9, (2017); Storeng K.T., Prince R.J., Mishra A., The politics of health systems strengthening, Garci Routledge Handbook on the Politics of Global Health, (2018); Taylor L., Broeders D., In the name of Development: power, profit and the datafication of the global South, Geoforum, 64, pp. 229-237, (2015); Briefing Note: Chest Radiography and Computer-Aided Detection (CAD) Solutions for Tuberculosis Programs, (2021); Timmermans S., Kaufman R., Technologies and health inequities, Annu. Rev. Sociol., 46, 1, pp. 583-602, (2020); van Ginneken B., Katsuragawa S., ter Haar Romeny B.M., Doi K., Viergever M.A., Automatic detection of abnormalities in chest radiographs using local texture analysis, IEEE Trans. Med. Imag., 21, 2, pp. 139-149, (2002); van Ginneken B., Tuberculosis detection from chest radiographs: stop training radiologists now, Radiology, 306, pp. 138-139, (2022); World Health Organization, The End TB Strategy, (2015); World Health Organization, Chest Radiography in Tuberculosis Detection: Summary of Current WHO Recommendations and Guidance on Programmatic Approaches, (2016); World Health Organization, WHO Consolidated Guidelines on Tuberculosis. Module 2: Systematic Screening for Tuberculosis Disease, (2021); World Health Organization, WHO Consolidated Guidelines on Tuberculosis. Module 3: Diagnosis – Rapid Diagnostics for Tuberculosis Detection 2021 Update, (2021); World Health Organization, Determining the Local Calibration of Computer-Assisted Detection (CAD) Thresholds and Other Parameters. A Toolkit to Support the Effective Use of CAD for TB Screening, (2021); 35, (2002)</t>
  </si>
  <si>
    <t xml:space="preserve">P.-M. David; Faculty of Pharmacy, University of Montréal, Montréal, Canada; email: pierre-marie.david@umontreal.ca</t>
  </si>
  <si>
    <t xml:space="preserve">SSMDE</t>
  </si>
  <si>
    <t xml:space="preserve">Soc. Sci. Med.</t>
  </si>
  <si>
    <t xml:space="preserve">2-s2.0-85160079201</t>
  </si>
  <si>
    <t xml:space="preserve">Kittichai V.; Kaewthamasorn M.; Samung Y.; Jomtarak R.; Naing K.M.; Tongloy T.; Chuwongin S.; Boonsang S.</t>
  </si>
  <si>
    <t xml:space="preserve">Kittichai, Veerayuth (35503529300); Kaewthamasorn, Morakot (14033023800); Samung, Yudthana (6508114491); Jomtarak, Rangsan (36473218200); Naing, Kaung Myat (57224307999); Tongloy, Teerawat (57193333016); Chuwongin, Santhad (57212696483); Boonsang, Siridech (15064031100)</t>
  </si>
  <si>
    <t xml:space="preserve">35503529300; 14033023800; 6508114491; 36473218200; 57224307999; 57193333016; 57212696483; 15064031100</t>
  </si>
  <si>
    <t xml:space="preserve">Automatic identification of medically important mosquitoes using embedded learning approach-based image-retrieval system</t>
  </si>
  <si>
    <t xml:space="preserve">Mosquito-borne diseases such as dengue fever and malaria are the top 10 leading causes of death in low-income countries. Control measure for the mosquito population plays an essential role in the fight against the disease. Currently, several intervention strategies; chemical-, biological-, mechanical- and environmental methods remain under development and need further improvement in their effectiveness. Although, a conventional entomological surveillance, required a microscope and taxonomic key for identification by professionals, is a key strategy to evaluate the population growth of these mosquitoes, these techniques are tedious, time-consuming, labor-intensive, and reliant on skillful and well-trained personnel. Here, we proposed an automatic screening, namely the deep metric learning approach and its inference under the image-retrieval process with Euclidean distance-based similarity. We aimed to develop the optimized model to find suitable miners and suggested the robustness of the proposed model by evaluating it with unseen data under a 20-returned image system. During the model development, well-trained ResNet34 are outstanding and no performance difference when comparing five data miners that showed up to 98% in its precision even after testing the model with both image sources: stereomicroscope and mobile phone cameras. The robustness of the proposed—trained model was tested with secondary unseen data which showed different environmental factors such as lighting, image scales, background colors and zoom levels. Nevertheless, our proposed neural network still has great performance with greater than 95% for sensitivity and precision, respectively. Also, the area under the ROC curve given the learning system seems to be practical and empirical with its value greater than 0.960. The results of the study may be used by public health authorities to locate mosquito vectors nearby. If used in the field, our research tool in particular is believed to accurately represent a real-world scenario. © 2023, The Author(s).</t>
  </si>
  <si>
    <t xml:space="preserve">10.1038/s41598-023-37574-3</t>
  </si>
  <si>
    <t xml:space="preserve">https://www.scopus.com/inward/record.uri?eid=2-s2.0-85163762489&amp;doi=10.1038%2fs41598-023-37574-3&amp;partnerID=40&amp;md5=55edb6462cb3c54ff0d2abf98111d641</t>
  </si>
  <si>
    <t xml:space="preserve">Faculty of Medicine, King Mongkut’s Institute of Technology Ladkrabang, Bangkok, Thailand; Veterinary Parasitology Research Unit, Faculty of Veterinary Science, Chulalongkorn University, Bangkok, Thailand; Faculty of Tropical Medicine, Mahidol University, Bangkok, Thailand; Faculty of Science and Technology, Suan Dusit University, Bangkok, Thailand; College of Advanced Manufacturing Innovation, King Mongkut’s Institute of Technology Ladkrabang, Bangkok, Thailand; Department of Electrical Engineering, School of Engineering, King Mongkut’s Institute of Technology Ladkrabang, Bangkok, Thailand</t>
  </si>
  <si>
    <t xml:space="preserve">Kittichai V., Faculty of Medicine, King Mongkut’s Institute of Technology Ladkrabang, Bangkok, Thailand; Kaewthamasorn M., Veterinary Parasitology Research Unit, Faculty of Veterinary Science, Chulalongkorn University, Bangkok, Thailand; Samung Y., Faculty of Tropical Medicine, Mahidol University, Bangkok, Thailand; Jomtarak R., Faculty of Science and Technology, Suan Dusit University, Bangkok, Thailand; Naing K.M., College of Advanced Manufacturing Innovation, King Mongkut’s Institute of Technology Ladkrabang, Bangkok, Thailand; Tongloy T., College of Advanced Manufacturing Innovation, King Mongkut’s Institute of Technology Ladkrabang, Bangkok, Thailand; Chuwongin S., College of Advanced Manufacturing Innovation, King Mongkut’s Institute of Technology Ladkrabang, Bangkok, Thailand; Boonsang S., Department of Electrical Engineering, School of Engineering, King Mongkut’s Institute of Technology Ladkrabang, Bangkok, Thailand</t>
  </si>
  <si>
    <t xml:space="preserve">Animals; Cell Phone; Culicidae; Female; Group Processes; Labor, Obstetric; Learning; Pregnancy; animal; female; group process; labor; learning; mosquito; pregnancy</t>
  </si>
  <si>
    <t xml:space="preserve">College of Advanced Manufacturing Innovation; Office of the Permanent Secretary; Thailand Science Research and Innovation Fund Chulalongkorn University, (FOOD66310010); National Research Council of Thailand, NRCT, (NRCT5-RSA63001-10); National Research Council of Thailand, NRCT; King Mongkut's Institute of Technology Ladkrabang, KMITL; Ministry of Higher Education, Science, Research and Innovation, Thailand, MHESRI; Thailand Science Research and Innovation, TSRI</t>
  </si>
  <si>
    <t xml:space="preserve">Funding text 1: This work (Research grant for New Scholar, Grant No. RGNS 65 - 212) was financially supported by Office of the Permanent Secretary, Ministry of Higher Education, Science, Research and Innovation (OPS MHESI), Thailand Science Research and Innovation (TSRI) and King Mongkut’s Institute of Technology Ladkrabang. We are grateful to the National Research Council of Thailand (NRCT) [NRCT5-RSA63001-10], who have provided financial support for the research project. M.K. was funded by Thailand Science Research and Innovation Fund Chulalongkorn University (FOOD66310010). We also thank the College of Advanced Manufacturing Innovation, King Mongkut’s Institute of Technology, Ladkrabang who have provided the deep learning platform and software to support the research project. ; Funding text 2: This work (Research grant for New Scholar, Grant No. RGNS 65 - 212) was financially supported by Office of the Permanent Secretary, Ministry of Higher Education, Science, Research and Innovation (OPS MHESI), Thailand Science Research and Innovation (TSRI) and King Mongkut’s Institute of Technology Ladkrabang. We are grateful to the National Research Council of Thailand (NRCT) [NRCT5-RSA63001-10], who have provided financial support for the research project. M.K. was funded by Thailand Science Research and Innovation Fund Chulalongkorn University (FOOD66310010). We also thank the College of Advanced Manufacturing Innovation, King Mongkut’s Institute of Technology, Ladkrabang who have provided the deep learning platform and software to support the research project.</t>
  </si>
  <si>
    <t xml:space="preserve">Monitoring health for the SDGs, sustainable development goals, WHO. World Health Statistics, (2022); Sanchez-Ortiz A., Arista-Jalife A., Cedillo-Hernandez M., Nakano-Miyatake M., Robles-Camarillo D., Jimenez C.-V., pp. 155-160, (2017); Global Vector Control Response 2017–2030—Background Document to Inform Deliberations during the 70th Session of the World Health Assembly, WHO, 47, (2017); Yang H.P., Ma C.S., Wen H., Zhan Q.B., Wang X.L., A tool for developing an automatic insect identification system based on wing outlines, Sci. Rep., 5, (2015); Pictorial identification key of important disease vectors in the WHO South-East Asia Region, World Health Organization, (2020); Rueda L.M., Pictorial Keys for the Identification of Mosquitoes (Diptera: Culicidae) Associated with Dengue Virus Transmission, (2004); Rattanarithikul R., Et al., Illustrated keys to the mosquitoes of Thailand. IV. Anopheles, Southeast Asian J Trop Med Public Health, 37, pp. 1-128, (2006); Jourdain F., Et al., Identification of mosquitoes (Diptera: Culicidae): An external quality assessment of medical entomology laboratories in the MediLabSecure Network, Parasites Vectors, 11, (2018); Park J., Kim D.I., Choi B., Kang W., Kwon H.W., Classification and morphological analysis of vector mosquitoes using deep convolutional neural networks, Sci. Rep., 10, (2020); Taai K., Et al., An effective method for the identification and separation of Anopheles minimus, the primary malaria vector in Thailand, and its sister species Anopheles harrisoni, with a comparison of their mating behaviors, Parasites Vectors, 10, (2017); Motta D., Et al., Application of convolutional neural networks for classification of adult mosquitoes in the field, PLoS ONE, 14, (2019); Kothera L., Byrd B., Savage H.M., Duplex real-time PCR assay distinguishes Aedes aegypti from Ae. albopictus (Diptera: Culicidae) using DNA from sonicated first-instar larvae, J Med Entomol, 54, pp. 1567-1572, (2017); Rochlin I., Santoriello M.P., Mayer R.T., Campbell S.R., Improved high-throughput method for molecular identification of Culex mosquitoes, J. Am. Mosq. Control Assoc., 23, pp. 488-491, (2007); Shahhosseini N., Et al., DNA barcodes corroborating identification of mosquito species and multiplex real-time PCR differentiating Culex pipiens complex and Culex torrentium in Iran, PLoS ONE, 13, (2018); Kim K., Hyun J., Kim H., Lim H., Myung H., A deep learning-based automatic mosquito sensing and control system for urban mosquito habitats, Sensors (Basel), (2019); Kittichai V., Et al., Deep learning approaches for challenging species and gender identification of mosquito vectors, Sci. Rep., 11, (2021); Rustam F., Et al., Vector mosquito image classification using novel RIFS feature selection and machine learning models for disease epidemiology, Saudi J. Biol. Sci., 29, pp. 583-594, (2022); Adebiyi M., Adebiyi A.A., OKesola J.O., Arowolo M.O., ICA learning approach for predicting RNA-Seq data using KNN and decision tree classifiers, Int. J. Adv. Sci. Technol., 29, pp. 12273-12282, (2020); Arowolo M.O., ICA learning approach for predicting of RNA-SEQ malaria vector data classification using SVM kernel algorithms, J. Eng. Sci. Technol., 17, pp. 2891-2903, (2022); Arowolo M.O., Adebiyi M.O., Adebiyi A.A., Olugbara O., Optimized hybrid investigative based dimensionality reduction methods for malaria vector using KNN classifer, J. Big Data, 8, pp. 1-14, (2021); Arowolo M.O., Awotunde J.B., Ayegba P., Haroon-Sulyman S.O., Relevant gene selection using ANOVA-ant colony optimisation approach for malaria vector data classification, Int. J. Model. Identif. Control, 41, pp. 12-21, (2022); Arthur B.J., Emr K.S., Wyttenbach R.A., Hoy R.R., Mosquito (Aedes aegypti) flight tones: Frequency, harmonicity, spherical spreading, and phase relationships, J. Acoust. Soc. Am., 135, pp. 933-941, (2014); Mukundarajan H., Hol F.J., Castillo E.A., Newby C., Prakash M., Using mobile phones as acoustic sensors for high-throughput mosquito surveillance, Elife, (2017); Menda G., Et al., The long and short of hearing in the mosquito Aedes aegypti, Curr. Biol., 29, pp. 709-714, (2019); Ortiz A.S., Tunnermann H., Teramoto T., Shouno H., International Conference on Parallel and Distributed Processing Techniques and Applications, pp. 320-325, (2018); Arista-Jalife A., Nakano M., Garcia-Nonoal Z., Robles-Camarillo D., Perez-Meana H., Arista-Viveros H.A., Aedes mosquito detection in its larval stage using deep neural networks, Knowl.-Based Syst., (2020); Shumkov M.A., Methods of detection of Aedes mosquito eggs in the soil, Med. Parazitol. (Mosk.), 35, pp. 615-617, (1966); Asmai S., Zukhairin M.N., Jaya A., Rahman A.F., Abas Z., Mosquito larvae detection using deep learning, Int. J. Innov. Technol. Explor. Eng., 8, pp. 804-809, (2019); Lorenz C., Ferraudo A.S., Suesdek L., Artificial Neural Network applied as a methodology of mosquito species identification, Acta Trop., 152, pp. 165-169, (2015); Mwanga E.P., Et al., Using transfer learning and dimensionality reduction techniques to improve generalisability of machine-learning predictions of mosquito ages from mid-infrared spectra, BMC Bioinformat., 24, (2023); Merchan F., Contreras K., Gittens R.A., Loaiza J.R., Sanchez-Galan J.E., Deep metric learning for the classification of MALDI-TOF spectral signatures from multiple species of neotropical disease vectors, Artif. Intell. Life Sciences, 3, (2023); Muller H., Michoux N., Bandon D., Geissbuhler A., A review of content-based image retrieval systems in medical applications-clinical benefits and future directions, Int. J. Med. Inform., 73, pp. 1-23, (2004); Zin N.A.M., Journal of Physics: Conference Series, 1019; Zheng Y., Jiang Z., Zhang H., Xie F., Ma Y., Shi H., Zhao Y., Histopathological whole slide image analysis using context-based CBIR, IEEE Trans. Med. Imaging, 37, pp. 1641-1652, (2018); Zhong A., Li X., Wu D., Ren H., Kim K., Kim Y., Buch V., Neumark N., Bizzo B., Tak W.Y., Park S.Y., Deep metric learning-based image retrieval system for chest radiograph and its clinical applications in COVID-19, Med. Image Anal., (2021); Wang X., Hua Y., Kodirov E., Robertson N.M., Ranked list loss for deep metric learning, IEEE Trans. Pattern Anal. Mach. Intell., (2021); Wang Z., Liu T., Two-stage method based on triplet margin loss for pig face recognition, Comput. Electron. Agric., (2022); Zhang Y., Zhong Q., Ma L., Xie D., Pu S., Learning Incremental Triplet Margin for Person Re-Identification, Proceedings of the AAAI Conference on Artificial Intelligence, pp. 9243-9250; Pal A., Et al., Deep metric learning for cervical image classification, IEEE Access, 9, pp. 53266-53275, (2021); Sundgaard J.V., Et al., Deep metric learning for otitis media classification, Med. Image Anal., 71, (2021); Luo S., Et al., Rare bioparticle detection via deep metric learning, RSC Adv., 11, pp. 17603-17610, (2021); Diagram image retrieval and analysis: Challenges and opportunities, Inproceedings of the IEEE/CVF Conference on Computer Vision and Pattern Recognition (CVPR) Workshops, pp. 180-181; Fang J., Fu H., Liu J., Deep triplet hashing network for case-based medical image retrieval, Med. Image Anal., 69, (2021); Reena M.R., Ameer P.M., A content-based image retrieval system for the diagnosis of lymphoma using blood micrographs: An incorporation of deep learning with a traditional learning approach, Comput. Biol. Med., 145, (2022); Zhong A., Et al., Deep metric learning-based image retrieval system for chest radiograph and its clinical applications in COVID-19, Med. Image Anal., 70, (2021); Aboagye-Antwi F., Et al., Transmission indices and microfilariae prevalence in human population prior to mass drug administration with ivermectin and albendazole in the Gomoa District of Ghana, Parasites Vectors, 8, (2015); Yang H., Et al., Deep learning for automated detection of cyst and tumors of the jaw in panoramic radiographs, J. Clin. Med., (2020); LeCun Y., Bengio Y., Hinton G., Deep learning, Nature, 521, pp. 436-444, (2015); Nguyen A.H.L., Et al., Myzomyia and Pyretophorus series of Anopheles mosquitoes acting as probable vectors of the goat malaria parasite Plasmodium caprae in Thailand, Sci. Rep., 13, (2023); Nguyen A.H.L., Et al., Molecular characterization of anopheline mosquitoes from the goat malaria-endemic areas of Thailand, Med. Vet. Entomol., (2023); da Silva Motta D., Badaro R., Santos A.F., Use of Artificial Intelligence on the Control of Vector-Borne Diseases, Vectors and Vector-Borne Zoonotic Diseases., (2018); YOLOv3: An Incremental Improvement, . Arxiv, 2767, (2018); Wang Z., Walsh K., Koirala A., Mango fruit load estimation using a video based MangoYOLO—Kalman filter-Hungarian algorithm method, Sensors (Basel), (2019); He K., Zhang X., Ren S., Sun J., Deep residual learning for image recognition, IEEE Conference on Computer Vision and Pattern Recognition, pp. 770-778, (2016); Wang X., Han X., Huang W., Dong D., Scott M.R., Multi-similarity loss with general pair weighting for deep metric learning, In Proceedings of the IEEE/CVF Conference on Computer Vision and Pattern Recognition., pp. 5022-5030; Markov I., W. D. Improving cross-domain hate speech detection by reducing the false positive rate. in Fourth Workshop on NLP for Internet Freedom: Censorship, Disinformation, and Propaganda (NLP4IF, pp. 17-22, (2021); Liu C., Guo Y., Li S., Chang F., ACF based region proposal extraction for YOLOv3 network towards high-performance cyclist detection in high resolution images, Sensors (Basel), (2019); Xing E., Jordan M., Russell S.J., Ng A., Distance metric learning, with application to clustering with side-information, Inproceedings of the 15Th International Conference on Neural Information Processing Systems, pp. 521-528; Musgrave K., Belongie S., Lim S.-N., Pytorch Metric Learning. Arxiv, 2008, (2020); Wang Q., Et al., Deep learning approach to peripheral leukocyte recognition, PLoS ONE, 14, (2019); Pataki B.A., Et al., Deep learning identification for citizen science surveillance of tiger mosquitoes, Sci. Rep., 11, (2021); Adhane G., Dehshibi M.M., Masip D., A deep convolutional neural network for classification of Aedes albopictus mosquitoes, IEEE Access, 9, pp. 72681-72690, (2021); Wang C., Xin C., Xu Z., A novel deep metric learning model for imbalanced fault diagnosis and toward open-set classification, Knowl.-Based Syst., 220, (2021); Gui X., Et al., A quadruplet deep metric learning model for imbalanced time-series fault diagnosis, Knowl.-Based Syst., (2022); Okayasu K., Yoshida K., Fuchida M., Nakamura A., Vision-based classification of mosquito species: Comparison of conventional and deep learning methods, Appl. Sci., (2019); Medronho R.A., Camara V.M., Macrini L., Classification of containers with Aedes aegypti pupae using a Neural Networks model, PLoS Negl. Trop. Dis., 12, (2018); Matek C., Schwarz S., Spiekermann K., Marr C., Human-level recognition of blast cells in acute myeloid leukaemia with convolutional neural networks, Nat. Mach. Intell., 1, pp. 538-544, (2019); Saiwichai T., Laojun S., Chaiphongpachara T., Sumruayphol S., Species identification of the major Japanese Encephalitis vectors within the Culex vishnui Subgroup (Diptera: Culicidae) in Thailand using geometric morphometrics and DNA barcoding, Insects, 14, (2023); Faizah A.N., Et al., Evaluating the competence of the primary vector, Culex tritaeniorhynchus, and the invasive mosquito species, Aedes japonicus japonicus, in transmitting three Japanese encephalitis virus genotypes, PLoS Negl. Trop. Dis., 14, (2020); Monteiro F.J.C., Et al., Prevalence of dengue, Zika and chikungunya viruses in Aedes (Stegomyia) aegypti (Diptera: Culicidae) in a medium-sized city, Amazon, Brazil, Rev. Inst. Med. Trop. Sao Paulo, 62, (2020); Couret J., Et al., Delimiting cryptic morphological variation among human malaria vector species using convolutional neural networks, PLoS Negl. Trop. Dis., 14, (2020); Yurayart N., Kaewthamasorn M., Tiawsirisup S., Vector competence of Aedes albopictus (Skuse) and Aedes aegypti (Linnaeus) for Plasmodium gallinaceum infection and transmission, Vet. Parasitol., 241, pp. 20-25, (2017); Nugraheni Y.R., Et al., Myzorhynchus series of Anopheles mosquitoes as potential vectors of Plasmodium bubalis in Thailand, Sci. Rep., 12, (2022); Chan H.P., Samala R.K., Hadjiiski L.M., Zhou C., Deep learning in medical image analysis, Adv. Exp. Med. Biol., 1213, pp. 3-21, (2020); Kohlberger T., Et al., Whole-slide image focus quality: Automatic assessment and impact on AI cancer detection, J. Pathol. Inform., 10, (2019); Jiji G.W., Raj P.J., Diagnosis of a dermatological lesion using intelligent feature selection technique, Imaging Sci. J., 66, pp. 303-313, (2018); Zhao D.Z., Et al., A Swin Transformer-based model for mosquito species identification, Sci. Rep., 12, (2022); Cen J., Yun P., Cai J., Wang M.Y., Liu M., Deep metric learning for open world semantic segmentation, ICCV, (2021)</t>
  </si>
  <si>
    <t xml:space="preserve">S. Boonsang; Department of Electrical Engineering, School of Engineering, King Mongkut’s Institute of Technology Ladkrabang, Bangkok, Thailand; email: Siridech.Bo@kmitl.ac.th</t>
  </si>
  <si>
    <t xml:space="preserve">2-s2.0-85163762489</t>
  </si>
  <si>
    <t xml:space="preserve">Corzo-Gómez J.; Guzmán-Aquino S.; Vargas-De-León C.; Megchún-Hernández M.; Briones-Aranda A.</t>
  </si>
  <si>
    <t xml:space="preserve">Corzo-Gómez, Josselin (57194686396); Guzmán-Aquino, Susana (58615365800); Vargas-De-León, Cruz (37073501700); Megchún-Hernández, Mauricio (57211326720); Briones-Aranda, Alfredo (6506081901)</t>
  </si>
  <si>
    <t xml:space="preserve">57194686396; 58615365800; 37073501700; 57211326720; 6506081901</t>
  </si>
  <si>
    <t xml:space="preserve">Bayesian Analysis Used to Identify Clinical and Laboratory Variables Capable of Predicting Progression to Severe Dengue among Infected Pediatric Patients</t>
  </si>
  <si>
    <t xml:space="preserve">The current contribution aimed to evaluate the capacity of the naive Bayes classifier to predict the progression of dengue fever to severe infection in children based on a defined set of clinical conditions and laboratory parameters. This case-control study was conducted by reviewing patient files in two public hospitals in an endemic area in Mexico. All 99 qualifying files showed a confirmed diagnosis of dengue. The 32 cases consisted of patients who entered the intensive care unit, while the 67 control patients did not require intensive care. The naive Bayes classifier could identify factors predictive of severe dengue, evidenced by 78% sensitivity, 91% specificity, a positive predictive value of 8.7, a negative predictive value of 0.24, and a global yield of 0.69. The factors that exhibited the greatest predictive capacity in the model were seven clinical conditions (tachycardia, respiratory failure, cold hands and feet, capillary leak leading to the escape of blood plasma, dyspnea, and alterations in consciousness) and three laboratory parameters (hypoalbuminemia, hypoproteinemia, and leukocytosis). Thus, the present model showed a predictive and adaptive capacity in a small pediatric population. It also identified attributes (i.e., hypoalbuminemia and hypoproteinemia) that may strengthen the WHO criteria for predicting progression to severe dengue. © 2023 by the authors.</t>
  </si>
  <si>
    <t xml:space="preserve">Children</t>
  </si>
  <si>
    <t xml:space="preserve">10.3390/children10091508</t>
  </si>
  <si>
    <t xml:space="preserve">https://www.scopus.com/inward/record.uri?eid=2-s2.0-85172163619&amp;doi=10.3390%2fchildren10091508&amp;partnerID=40&amp;md5=a170f754873cf8715984d0ca8779bd60</t>
  </si>
  <si>
    <t xml:space="preserve">Escuela de Ciencias Químicas Sede Ocozocoautla, Universidad Autónoma de Chiapas, Ocozocoautla de Espinosa, 29140, Mexico; Facultad de Medicina Humana, Universidad Autónoma de Chiapas, Tuxtla Gutiérrez, 29050, Mexico; Escuela Superior de Medicina, Instituto Politécnico Nacional, Ciudad de México, 07338, Mexico; División de Investigación Hospital Juárez de México, Ciudad de México, 07760, Mexico; Hospital de Especialidades Pediátricas, Tuxtla Gutiérrez, 29045, Mexico</t>
  </si>
  <si>
    <t xml:space="preserve">Corzo-Gómez J., Escuela de Ciencias Químicas Sede Ocozocoautla, Universidad Autónoma de Chiapas, Ocozocoautla de Espinosa, 29140, Mexico, Facultad de Medicina Humana, Universidad Autónoma de Chiapas, Tuxtla Gutiérrez, 29050, Mexico; Guzmán-Aquino S., Escuela Superior de Medicina, Instituto Politécnico Nacional, Ciudad de México, 07338, Mexico; Vargas-De-León C., Escuela Superior de Medicina, Instituto Politécnico Nacional, Ciudad de México, 07338, Mexico, División de Investigación Hospital Juárez de México, Ciudad de México, 07760, Mexico; Megchún-Hernández M., Facultad de Medicina Humana, Universidad Autónoma de Chiapas, Tuxtla Gutiérrez, 29050, Mexico, Hospital de Especialidades Pediátricas, Tuxtla Gutiérrez, 29045, Mexico; Briones-Aranda A., Facultad de Medicina Humana, Universidad Autónoma de Chiapas, Tuxtla Gutiérrez, 29050, Mexico</t>
  </si>
  <si>
    <t xml:space="preserve">children; data mining; naive Bayes classifier; severe dengue; Youden’s J statistic</t>
  </si>
  <si>
    <t xml:space="preserve">alanine aminotransferase; albumin; alkaline phosphatase; aspartate aminotransferase; bilirubin; bilirubin glucuronide; C reactive protein; creatinine; hemoglobin; protein; adolescent; Article; artificial intelligence; Bayesian learning; case control study; child; classifier; controlled study; data mining; dengue; erythrocyte count; female; hematocrit; hospitalization; human; incidence; intensive care; leukocyte count; lymphocyte count; machine learning; major clinical study; male; neutrophil count; pediatric patient; platelet count; predictive value; receiver operating characteristic; reverse transcription polymerase chain reaction; sensitivity and specificity; urea nitrogen blood level; virus detection</t>
  </si>
  <si>
    <t xml:space="preserve">alanine aminotransferase, 9000-86-6, 9014-30-6; alkaline phosphatase, 9001-78-9; aspartate aminotransferase, 9000-97-9; bilirubin, 18422-02-1, 635-65-4; bilirubin glucuronide, 27071-67-6; C reactive protein, 9007-41-4; creatinine, 19230-81-0, 60-27-5; hemoglobin, 9008-02-0; protein, 67254-75-5</t>
  </si>
  <si>
    <t xml:space="preserve">PRODEP; Programa para el Desarrollo Profesional Docente; Consejo Nacional de Ciencia y Tecnología, CONACYT</t>
  </si>
  <si>
    <t xml:space="preserve">Funding text 1: The investigation was partially supported by the Programa para el Desarrollo Profesional Docente (PRODEP).; Funding text 2: The authors are grateful to the hospital authorities for supporting the effort to carry out the current project. J.C.G. is thankful for a fellowship from PRODEP and S.G.A. for a fellowship from CONACYT. </t>
  </si>
  <si>
    <t xml:space="preserve">Bhatt S., Gething P.W., Brady O.J., Messina J.P., Farlow A.W., Moyes C.L., Drake J.M., Brownstein J.S., Hoen A.G., Sankoh O., Et al., The global distribution and burden of dengue, Nature, 496, pp. 504-507, (2013); San Martin J.L., Brathwaite O., Zambrano B., Solorzano J.O., Bouckenooghe A., Dayan G.H., Guzman M.G., The Epidemiology of Dengue in the Americas over the Last Three Decades: A Worrisome Reality, Am. J. Trop. Med. Hyg, 82, pp. 128-135, (2010); Messina J.P., Brady O.J., Golding N., Kraemer M.U.G., Wint G.R.W., Ray S.E., Pigott D.M., Shearer F.M., Johnson K., Earl L., Et al., The current and future global distribution and population at risk of dengue, Nat. Microbiol, 4, pp. 1508-1515, (2019); Dengue; Dos Santos T.H., Martin J.L.S., Castellanos L.G., Espinal M.A., Dengue in the Americas: Honduras’ worst outbreak, Lancet, 394, (2019); Panorama Epidemiológico de Dengue 2018, Availaboratory le Online: Panorama Epidemiológico de Dengue 2018—Semana Epidemiológica 52|Secretaría de Salud|Gobierno|gob.mx; De Antonio R., Amaya-Tapia G., Ibarra-Nieto G., Huerta G., Damaso S., Incidence of dengue illness in Mexican people aged 6 months to 50 years old: A prospective cohort study conducted in Jalisco, PLoS ONE, 16, (2021); Dengue: Guidelines for Diagnosis, Treatment, Prevention and Control, (2009); Schaefer T.J., Panda P.K., Wolford R.W., Dengue Fever, StatPearls, (2023); Rodenhuis-Zybert I.A., Wilschut J., Smit J.M., Dengue virus life cycle: Viral and host factors modulating infectivity, Cell. Mol. Life Sci. CMLS, 67, pp. 2773-2786, (2010); Guidelines for the Clinical Diagnosis and Treatment of Dengue, Chikungunya, and Zika; Toledo J., George L., Martinez E., Lazaro A., Han W.W., Coelho G.E., Runge Ranzinger S., Horstick O., Relevance of Non-communicable Comorbidities for the Development of the Severe Forms of Dengue: A Systematic Literature Review, PLoS Neglected Trop. Dis, 10, (2016); Macias A.E., Werneck G.L., Castro R., Mascarenas C., Coudeville L., Morley D., Recamier V., Guergova-Kuras M., Etcheto A., Puentes-Rosas E., Et al., Mortality among Hospitalized Dengue Patients with Comorbidities in Mexico, Brazil, and Colombia, Am. J. Trop. Med. Hyg, 105, pp. 102-109, (2021); Fonseca-Portilla R., Martinez-Gil M., Morgenstern-Kaplan D., Risk factors for hospitalization and mortality due to dengue fever in a Mexican population: A retrospective cohort study, Int. J. Infect. Dis, 110, pp. 332-336, (2021); Lam P.K., Ngoc T.V., Thu Thuy T.T., Hong Van N.T., Nhu Thuy T.T., Hoai Tam D.T., Dung N.M., Tien N.T.H., Kieu N.T.T., Simmons C.P., Et al., The value of daily platelet counts for predicting dengue shock syndrome: Results from a prospective observational study of 2301 Vietnamese children with dengue, PLoS Neglected Trop. Dis, 11, (2017); Dey S.K., Rahman M.M., Howlader A., Siddiqi U.R., Uddin K.M.M., Borhan R., Rahman E.U., Prediction of dengue incidents using hospitalized patients, metrological and socio-economic data in Bangladesh: A machine learning approach, PLoS ONE, 17, (2022); Nguyen M.T., Ho T.N., Nguyen V.V., Nguyen T.H., Ha M.T., Ta V.T., Nguyen L.D., Phan L., Han K.Q., Duong T.H., Et al., An Evidence-Based Algorithm for Early Prognosis of Severe Dengue in the Outpatient Setting, Clin. Infect. Dis. Off. Publ. Infect. Dis. Soc. Am, 64, pp. 656-663, (2017); Huy B.V., Toan N.V., Prognostic indicators associated with progresses of severe dengue, PLoS ONE, 17, (2022); Thach T.Q., Eisa H.G., Hmeda A.B., Faraj H., Thuan T.M., Abdelrahman M.M., Awadallah M.G., Ha N.X., Noeske M., Abdul Aziz J.M., Et al., Predictive markers for the early prognosis of dengue severity: A systematic review and meta-analysis, PLoS Neglected Trop. Dis, 15, (2021); Djossou F., Vesin G., Elenga N., Demar M., Epelboin L., Walter G., Abboud P., Le-Guen T., Rousset D., Moreau B., Et al., A predictive score for hypotension in patients with confirmed dengue fever in Cayenne Hospital, French Guiana, Trans. R. Soc. Trop. Med. Hyg, 110, pp. 705-713, (2016); Van de Schoot R., Depaoli S., King R., Kramer B., Martens K., Tadesse M.G., Vannucci M., Gelman A., Veen D., Willemsen J., Et al., Bayesian statistics and modelling, Nat. Rev. Methods Primers, 1, (2021); Chen D.G., Fraser M.W., A Bayesian Approach to Sample Size Estimation and the Decision to Continue Program Development in Intervention Research, J. Soc. Soc. Work. Res, 8, pp. 457-470, (2017); Van Eeden W.A., Luo C., Van Hemert A.M., Carlier I.V.E., Penninx B.W., Wardenaar K.J., Hoos H., Giltay E.J., Predicting the 9-year course of mood and anxiety disorders with automated machine learning: A comparison between auto-sklearn, naïve Bayes classifier, and traditional logistic regression, Psychiatry Res, 299, (2021); Bone C., Simmonds-Buckley M., Thwaites R., Sandford D., Merzhvynska M., Rubel J., Deisenhofer A.K., Lutz W., Delgadillo J., Dynamic prediction of psychological treatment outcomes: Development and validation of a prediction model using routinely collected symptom data, Lancet Digit. Health, 3, pp. e231-e240, (2021); Tomasiuk R., Dabrowski J., Smykiewicz J., Wiacek M., Predictors of COVID-19 Hospital Treatment Outcome, Int. J. Gen. Med, 14, pp. 10247-10256, (2021); Aswi A., Cramb S.M., Moraga P., Mengersen K., Bayesian spatial and spatio-temporal approaches to modelling dengue fever: A systematic review, Epidemiol. Infect, 147, (2018); Gomez-Gomez M., Danglot-Banck C., Huerta Alvarado S.G., Garcia de la Torre G., El estudio de casos y controles: Su diseño, análisis e interpretación, en investigación clínica, Rev. Mex. Pediatr, 70, pp. 257-263, (2003); Martinez D., Papuzinski C., Stojanova J., Arancibia M., General concepts in biostatistics and clinical epidemiology: Observational studies with case-control design, Medwave, 19, (2019); Schapire R.E., The Boosting Approach to Machine Learning: An Overview, Nonlinear Estimation and Classification, 171, (2003); Walley W.J., Dzeroski S., Biological Monitoring: A Comparison between Bayesian, Neural and Machine Learning Methods of Water Quality Classification, Environmental Software Systems, (1996); Kamarudin M.H., Maple C., Watson T., Safa N.S., A LogitBoost-Based Algorithm for Detecting Known and Unknown Web Attacks, IEEE Access, 5, pp. 26190-26200, (2017); Bandeira A.P., Aplicação de Rede Neural Artificial para o Reconhecimento do Diabetes Mellitus Gestacional com Marcadores Não-Glicêmicos, Master’s Thesis, (2015); Aler R., Tutorial Weka 3.6.0 Contenidos 2009; Hernandez Rosales D.E., Modelado de la Capacidad Funcional Articular de la Mano Usando Algoritmos de Inteligencia Artificial en Pacientes con Artritis Reumatoide, Master’s Thesis, (2017); Cifuentes L., Cerda J., Clinical use of diagnostic tests (Part 2). Clinical application and usefulness of a diagnostic test, Rev. Chil. Infectol, 27, pp. 316-319, (2010); Witten I.H., Frank E., Hall M.A., Pal C.J., Data Mining: Practical Machine Learning Tools and Techniques, (2011); Pone S.M., Hokerberg Y.H., de Oliveira R., Daumas R.P., Pone T.M., Pone M.V., Brasil P., Clinical and laboratory oratory signs associated to serious dengue disease in hospitalized children, J. Pediatr, 92, pp. 464-471, (2016); Cerda J., Cifuentes L., Uso de curvas ROC en investigación clínica: Aspectos teórico-prácticos, Rev. Chil. Infectol, 29, pp. 138-141, (2012); Phakhounthong K., Chaovalit P., Jittamala P., Blacksell S.D., Carter M.J., Turner P., Chheng K., Sona S., Kumar V., Day N.P.J., Et al., Predicting the severity of dengue fever in children on admission based on clinical features and laboratory oratory indicators: Application of classification tree analysis, BMC Pediatr, 18, (2018); Sangkaew S., Ming D., Boonyasiri A., Honeyford K., Kalayanarooj S., Yacoub S., Dorigatti I., Holmes A., Risk predictors of progression to severe disease during the febrile phase of dengue: A systematic review and meta-analysis, Lancet Infect. Dis, 21, pp. 1014-1026, (2021); Arora S.K., Nandan D., Sharma A., Benerjee P., Singh D.P., Predictors of severe dengue amongst children as per the revised WHO classification, J. Vector Borne Dis, 58, pp. 329-334, (2021); Tsheten T., Clements A.C.A., Gray D.J., Adhikary R.K., Furuya-Kanamori L., Wangdi K., Clinical predictors of severe dengue: A systematic review and meta-analysis, Infect. Dis. Poverty, 10, (2021); Tamibmaniam J., Hussin N., Cheah W.K., Ng K.S., Muninathan P., Proposal of a Clinical Decision Tree Algorithm Using Factors Associated with Severe Dengue Infection, PLoS ONE, 11, (2016); Wang C.C., Liu S.F., Liao S.C., Lee K., Liu J.W., Lin A.S., Lin M.C., Acute respiratory failure in adult patients with dengue virus infection, Am. J. Trop. Med. Hyg, 77, pp. 151-158, (2007); Abhay A.S., Kattoor S., Paul D., Antony T.P., Clinical course and outcome of dengue fever patients admitted with respiratory manifestations, Pulmon, 22, pp. 217-223, (2020); Gelman A., Simpson D., Betancourt M., The prior can often only be understood in the context of the likelihood, Entropy, 19, (2017); Nuzzo R.L., An Introduction to Bayesian Data Analysis for Correlations, PM R J. Inj. Funct. Rehabil, 9, pp. 1278-1282, (2017); Johnson A.E., Pollard T.J., Shen L., Lehman L.W., Feng M., Ghassemi M., Moody B., Szolovits P., Celi L.A., Mark R.G., MIMIC-III 2016, a freely accessible critical care database, Sci. Data, 3, (2016); Gutierrez G., Artificial Intelligence in the Intensive Care Unit, Crit. Care, 24, (2020); Greco M., Caruso P.F., Cecconi M., Artificial Intelligence in the Intensive Care Unit, Semin. Respir. Crit. Care Med, 42, pp. 2-9, (2021); Bayesian statistics and modelling, Nat. Rev. Methods Primers, 1, (2021); Sehlabana M.A., Maposa D., Boateng A., Modelling Malaria Incidence in the Limpopo Province, South Africa: Comparison of Classical and Bayesian Methods of Estimation, Int. J. Environ. Res. Public Health, 17, (2020)</t>
  </si>
  <si>
    <t xml:space="preserve">A. Briones-Aranda; Facultad de Medicina Humana, Universidad Autónoma de Chiapas, Tuxtla Gutiérrez, 29050, Mexico; email: alfredo.briones@unach.mx</t>
  </si>
  <si>
    <t xml:space="preserve">Child.</t>
  </si>
  <si>
    <t xml:space="preserve">2-s2.0-85172163619</t>
  </si>
  <si>
    <t xml:space="preserve">Prasad R.; Patel R.S.; Mishra S.P.; Singh A.; Abhinay A.; Singh T.B.</t>
  </si>
  <si>
    <t xml:space="preserve">Prasad, Rajniti (7402378268); Patel, Raghvendra Singh (57213028291); Mishra, S.P. (37117403200); Singh, Ankur (57201438487); Abhinay, Abhishek (55751636000); Singh, Tej Bali (55878016000)</t>
  </si>
  <si>
    <t xml:space="preserve">7402378268; 57213028291; 37117403200; 57201438487; 55751636000; 55878016000</t>
  </si>
  <si>
    <t xml:space="preserve">Cerebrospinal fluid tumor necrosis factor-alpha (TNF-a) levels in children with cerebral malaria</t>
  </si>
  <si>
    <t xml:space="preserve">This prospective cross-sectional study evaluated the diagnostic and prognostic role of cerebrospinal fluid (CSF) tumor necrosis factor-alpha (TNF-a) in children with cerebral malaria (CM) and its role in the differentiation of CM from non-cerebral severe malaria. CSF TNF-a was measured using a human TNF-a enzyme-linked immunosorbent assay kit of 39 cases of CM and 19 cases of non-cerebral severe malaria. CSF TNF-a levels were significantly higher in CM (p &lt; 0.001). Based on the receiver operating characteristics curve, a cutoff value of CSF TNF-a was 5.7 pg/ml for diagnosis of CM with sensitivity, specificity, positive predictive value (PPV) and negative predictive value (NPV) of 87.2%, 94.7%, 97.1% and 78.3% respectively. The cutoff value of CSF TNF-a was 13.7 pg/ml for predicting adverse outcomes in CM with sensitivity, specificity, PPV and NPV of 100%, 96.8%, 88.9% and 100%, respectively. However, the cutoff value of CSF TNF-a was 4.96 pg/ml for predicting adverse outcomes in non-cerebral severe malaria with a sensitivity, specificity, PPV and NPV of 100%, 94.1%, 88.9% and 100% respectively. So, CSF TNF-a is an excellent biomarker and can be used as a diagnostic and prognostic tool. More studies are needed to establish CSF TNF-a as a predictor of neurological sequelae. © The Author(s) [2023]. Published by Oxford University Press. All rights reserved.</t>
  </si>
  <si>
    <t xml:space="preserve">Journal of Tropical Pediatrics</t>
  </si>
  <si>
    <t xml:space="preserve">fmad032</t>
  </si>
  <si>
    <t xml:space="preserve">10.1093/tropej/fmad032</t>
  </si>
  <si>
    <t xml:space="preserve">https://www.scopus.com/inward/record.uri?eid=2-s2.0-85173439748&amp;doi=10.1093%2ftropej%2ffmad032&amp;partnerID=40&amp;md5=4ce4a2d4c574003d58e8c7e852ee3844</t>
  </si>
  <si>
    <t xml:space="preserve">Department of Pediatrics, Institute of Medical Sciences, Banaras Hindu University, Varanasi, 221005, India; Department of Biochemistry, Institute of Medical Sciences, Banaras Hindu University, Varanasi, 221005, India; Department of Biostatistics, Institute of Medical Sciences, Banaras Hindu University, Varanasi, 221005, India</t>
  </si>
  <si>
    <t xml:space="preserve">Prasad R., Department of Pediatrics, Institute of Medical Sciences, Banaras Hindu University, Varanasi, 221005, India; Patel R.S., Department of Pediatrics, Institute of Medical Sciences, Banaras Hindu University, Varanasi, 221005, India; Mishra S.P., Department of Biochemistry, Institute of Medical Sciences, Banaras Hindu University, Varanasi, 221005, India; Singh A., Department of Pediatrics, Institute of Medical Sciences, Banaras Hindu University, Varanasi, 221005, India; Abhinay A., Department of Pediatrics, Institute of Medical Sciences, Banaras Hindu University, Varanasi, 221005, India; Singh T.B., Department of Biostatistics, Institute of Medical Sciences, Banaras Hindu University, Varanasi, 221005, India</t>
  </si>
  <si>
    <t xml:space="preserve">cerebral malaria; cerebrospinal fluid (CSF); tumor necrosis factor-alpha (TNF-a)</t>
  </si>
  <si>
    <t xml:space="preserve">Child; Cross-Sectional Studies; Humans; Malaria, Cerebral; Prospective Studies; ROC Curve; Tumor Necrosis Factor-alpha; glucose; protein; tumor necrosis factor; tumor necrosis factor; acidosis; adverse outcome; anemia; anorexia; area under the curve; Article; bleeding; cerebral malaria; child; clinical article; clinical feature; consciousness disorder; controlled study; cross-sectional study; cytochemistry; diagnostic test accuracy study; diagnostic value; dyspnea; female; fever; headache; hematuria; hepatomegaly; human; hypoglycemia; jaundice; kidney disease; leukocyte count; lung edema; lymphocyte; male; observational study; pallor; predictive value; preschool child; prognosis; prospective study; protein cerebrospinal fluid level; receiver operating characteristic; seizure; sensitivity and specificity; shock; somnolence; splenomegaly; cerebrospinal fluid</t>
  </si>
  <si>
    <t xml:space="preserve">glucose, 50-99-7, 84778-64-3, 8027-56-3; protein, 67254-75-5; Tumor Necrosis Factor-alpha, </t>
  </si>
  <si>
    <t xml:space="preserve">World malaria report 2021: World Health Organization, (2021); Murphy SC, Breman JG., Gaps in the childhood malaria burden in Africa: cerebral malaria, neurological sequelae, anemia, respiratory distress, hypoglycemia, and complications of pregnancy, Am J Trop Med Hyg, 64, pp. 57-67, (2001); Song X, Wei W, Cheng W, Et al., Cerebral malaria induced by Plasmodium falciparum: clinical features, pathogenesis, diagnosis, and treatment, Front Cell Infect Microbiol, 12, (2022); Birbeck GL, Molyneux ME, Kaplan PW, Et al., Blantyre Malaria Project Epilepsy Study (BMPES) of neurological outcomes in retinopathy-positive paediatric cerebral malaria survivors: a prospective cohort study, Lancet Neurol, 9, pp. 1173-1181, (2010); Taylor TE, Fu WJ, Carr RA, Et al., Differentiating the pathologies of cerebral malaria by postmortem parasite counts, Nat Med, 10, pp. 143-145, (2004); Perry VH, Andersson PB, Gordon S., Macrophages and inflammation in the central nervous system, Trends Neurosci, 16, pp. 268-273, (1993); Lee SC, Liu W, Dickson DW, Et al., Cytokine production by human fetal microglia and astrocytes. Differential induction by lipopolysaccharide and IL-1 beta, J Immunol, 150, pp. 2659-2667, (1993); Gutierrez EG, Banks WA, Kastin AJ., Murine tumor necrosis factor alpha is transported from blood to brain in the mouse, J Neuroimmunol, 47, pp. 169-176, (1993); McCarron RM, Wang L, Racke MK, Et al., Cytokine-regulated adhesion between encephalitogenic T lymphocytes and cerebrovascular endothelial cells, J Neuroimmunol, 43, pp. 23-30, (1993); Bazzoni F, Beutler B., The tumor necrosis factor ligand and receptor families, N Engl J Med, 334, pp. 1717-1725, (1996); Gimenez F, Barraud de Lagerie S, Fernandez C, Et al., Tumor necrosis factor alpha in the pathogenesis of cerebral malaria, Cell Mol Life Sci, 60, pp. 1623-1635, (2003); Grau GE, Taylor TE, Molyneux ME, Et al., Tumor necrosis factor and disease severity in children with falciparum malaria, N Engl J Med, 320, pp. 1586-1591, (1989); Kwiatkowski D, Sambou I, Twumasi P, Et al., TNF concentration in fatal cerebral, non-fatal cerebral, and uncomplicated Plasmodium falciparum malaria, Lancet, 336, pp. 1201-1204, (1990); Leao L, Puty B, Dolabela MF, Et al., Association of cerebral malaria and TNF-a levels: a systematic review, BMC Infect Dis, 20, (2020); Esamai F, Ernerudh J, Janols H, Et al., Cerebral malaria in children: serum and cerebrospinal fluid TNF-alpha and TGF-beta levels and their relationship to clinical outcome, J Trop Pediatr, 49, pp. 216-223, (2003); John CC, Panoskaltsis-Mortari A, Opoka RO, Et al., Cerebrospinal fluid cytokine levels and cognitive impairment in cerebral malaria, Am J Trop Med Hyg, 78, pp. 198-205, (2008); Shabani E, Ouma BJ, Idro R, Et al., Elevated cerebrospinal fluid tumour necrosis factor is associated with acute and long-term neurocognitive impairment in cerebral malaria, Parasite Immunol, 39, (2017); Udomsangpetch R, Chivapat S, Viriyavejakul P, Et al., Involvement of cytokines in the histopathology of cerebral malaria, Am J Trop Med Hyg, 57, pp. 501-506, (1997); Brown H, Turner G, Rogerson S, Et al., Cytokine expression in the brain in human cerebral malaria, J Infect Dis, 180, pp. 1742-1746, (1999); Armah H, Dodoo AK, Wiredu EK, Et al., High-level cerebellar expression of cytokines and adhesion molecules in fatal, paediatric, cerebral malaria, Ann Trop Med Parasitol, 99, pp. 629-647, (2005)</t>
  </si>
  <si>
    <t xml:space="preserve">R. Prasad; Department of Pediatrics, Institute of Medical Sciences, Banaras Hindu University, Varanasi, 221005, India; email: rajnitip@gmail.com</t>
  </si>
  <si>
    <t xml:space="preserve">JTRPA</t>
  </si>
  <si>
    <t xml:space="preserve">J. Trop. Pediatr.</t>
  </si>
  <si>
    <t xml:space="preserve">2-s2.0-85173439748</t>
  </si>
  <si>
    <t xml:space="preserve">Carney R.M.; Long A.; Low R.D.; Zohdy S.; Palmer J.R.B.; Elias P.; Bartumeus F.; Njoroge L.; Muniafu M.; Uelmen J.A.; Rahola N.; Chellappan S.</t>
  </si>
  <si>
    <t xml:space="preserve">Carney, Ryan M. (14043146300); Long, Alex (57877157500); Low, Russanne D. (57188628398); Zohdy, Sarah (36731932400); Palmer, John R.B. (55693526000); Elias, Peter (56545169600); Bartumeus, Frederic (55313792200); Njoroge, Laban (37047560300); Muniafu, Maina (6507099263); Uelmen, Johnny A. (57056497500); Rahola, Nil (36182487300); Chellappan, Sriram (7003601784)</t>
  </si>
  <si>
    <t xml:space="preserve">14043146300; 57877157500; 57188628398; 36731932400; 55693526000; 56545169600; 55313792200; 37047560300; 6507099263; 57056497500; 36182487300; 7003601784</t>
  </si>
  <si>
    <t xml:space="preserve">Citizen Science as an Approach for Responding to the Threat of Anopheles stephensi in Africa</t>
  </si>
  <si>
    <t xml:space="preserve">Even as novel technologies emerge and medicines advance, pathogen-transmitting mosquitoes pose a deadly and accelerating public health threat. Detecting and mitigating the spread of Anopheles stephensi in Africa is now critical to the fight against malaria, as this invasive mosquito poses urgent and unprecedented risks to the continent. Unlike typical African vectors of malaria, An. stephensi breeds in both natural and artificial water reservoirs, and flourishes in urban environments. With An. stephensi beginning to take hold in heavily populated settings, citizen science surveillance supported by novel artificial intelligence (AI) technologies may offer impactful opportunities to guide public health decisions and community-based interventions. Coalitions like the Global Mosquito Alert Consortium (GMAC) and our freely available digital products can be incorporated into enhanced surveillance of An. stephensi and other vector-borne public health threats. By connecting local citizen science networks with global databases that are findable, accessible, interoperable, and reusable (FAIR), we are leveraging a powerful suite of tools and infrastructure for the early detection of, and rapid response to, (re)emerging vectors and diseases. © 2023 The Author(s).</t>
  </si>
  <si>
    <t xml:space="preserve">Citizen Science: Theory and Practice</t>
  </si>
  <si>
    <t xml:space="preserve">Ubiquity Press</t>
  </si>
  <si>
    <t xml:space="preserve">10.5334/cstp.616</t>
  </si>
  <si>
    <t xml:space="preserve">https://www.scopus.com/inward/record.uri?eid=2-s2.0-85175231725&amp;doi=10.5334%2fcstp.616&amp;partnerID=40&amp;md5=9acd1f5619cbaa4e3225e403b0d620c0</t>
  </si>
  <si>
    <t xml:space="preserve">Department of Integrative Biology, University of South Florida (USF), Tampa, 33620, FL, United States; Woodrow Wilson International Center for Scholars, Washington, 20007, DC, United States; Institute for Global Environmental Strategies, Arlington, 22202, VA, United States; US President’s Malaria Initiative, Entomology Branch, US Centers for Disease Control and Prevention, Atlanta, 30333, GA, United States; Department of Political and Social Sciences, Universitat Pompeu Fabra, Barcelona, 08005, Spain; Department of Geography, University of Lagos, Nigeria; Centre d’Estudis Avançats de Blanes (CEAB-CSIC), Blanes, 17300, Spain; Centre de Recerca Ecològica i Aplicacions Forestals (CREAF), Cerdanyola del Vallès, 08193, Spain; Institució Catalana de Recerca i Estudis Avançats (ICREA), Barcelona, 08010, Spain; Section of Invertebrates Zoology, National Museums of Kenya, Museum Hill Road, Nairobi, Kenya; School of Pharmacy and Health Sciences, United States International University, Nairobi, Kenya; MIVEGEC Unit, Montpellier University, IRD, CNRS, Montpellier, France; Department of Computer Science and Engineering, University of South Florida, Tampa, 33620, FL, United States</t>
  </si>
  <si>
    <t xml:space="preserve">Carney R.M., Department of Integrative Biology, University of South Florida (USF), Tampa, 33620, FL, United States; Long A., Woodrow Wilson International Center for Scholars, Washington, 20007, DC, United States; Low R.D., Institute for Global Environmental Strategies, Arlington, 22202, VA, United States; Zohdy S., US President’s Malaria Initiative, Entomology Branch, US Centers for Disease Control and Prevention, Atlanta, 30333, GA, United States; Palmer J.R.B., Department of Political and Social Sciences, Universitat Pompeu Fabra, Barcelona, 08005, Spain; Elias P., Department of Geography, University of Lagos, Nigeria; Bartumeus F., Centre d’Estudis Avançats de Blanes (CEAB-CSIC), Blanes, 17300, Spain, Centre de Recerca Ecològica i Aplicacions Forestals (CREAF), Cerdanyola del Vallès, 08193, Spain, Institució Catalana de Recerca i Estudis Avançats (ICREA), Barcelona, 08010, Spain; Njoroge L., Section of Invertebrates Zoology, National Museums of Kenya, Museum Hill Road, Nairobi, Kenya; Muniafu M., School of Pharmacy and Health Sciences, United States International University, Nairobi, Kenya; Uelmen J.A., Department of Integrative Biology, University of South Florida (USF), Tampa, 33620, FL, United States; Rahola N., MIVEGEC Unit, Montpellier University, IRD, CNRS, Montpellier, France; Chellappan S., Department of Computer Science and Engineering, University of South Florida, Tampa, 33620, FL, United States</t>
  </si>
  <si>
    <t xml:space="preserve">Africa; Anopheles stephensi; artificial intelligence; citizen science; malaria; mosquito</t>
  </si>
  <si>
    <t xml:space="preserve">AIM-COST, (853271, 874735); Dutch National Research Agenda, (HR19-00336, NWA/00686468); H-MIP, (2020/2094); National Science Foundationunder GrantNo.IIS-2014547; National Science Foundation, NSF, (IIS-2014547); National Science Foundation, NSF; National Aeronautics and Space Administration, NASA, (NNX16AE28A); National Aeronautics and Space Administration, NASA; European Commission, EC, (CA17108); European Commission, EC; Consejo Superior de Investigaciones Científicas, CSIC</t>
  </si>
  <si>
    <t xml:space="preserve">Funding text 1: This research was funded by the National Science Foundationunder GrantNo.IIS-2014547(R.M.C.,S.C.,R.D.L.). Additional financial support for this study was provided by the US President’s Malaria Initiative. We thank Landon Van Dyke from the US Department of State for fundamental contributions to the GMOD. The GLOBE Observer app and citizen science programming are supported through National Aeronautics and Space Administration (NASA) cooperative agreement NNX16AE28A to the Institute for Global Environmental Strategies (IGES) for the NASA Earth Science Education Collaborative (NESEC, PI: Theresa Schwerin). F.B. and J.R.B.P. acknowledge funding from: (a) the European Commission, under Grants CA17108 (AIM-COST Action), 874735 (VEO), 853271 (H-MIP), and 2020/2094 (NextGenerationEU, through CSIC’s Global Health Platform, PTI Salud Global); (b) the Dutch National Research Agenda (NWA), under Grant NWA/00686468; and (c) “la Caixa” Foundation, under Grant HR19-00336.; Funding text 2: This research was funded by the National Science Foundation under Grant No. IIS-2014547 (R.M.C., S.C., R.D.L.). Additional financial support for this study was provided by the US President’s Malaria Initiative. We thank Landon Van Dyke from the US Department of State for fundamental contributions to the GMOD. The GLOBE Observer app and citizen science programming are supported through National Aeronautics and Space Administration (NASA) cooperative agreement NNX16AE28A to the Institute for Global Environmental Strategies (IGES) for the NASA Earth Science Education Collaborative (NESEC, PI: Theresa Schwerin). F.B. and J.R.B.P. acknowledge funding from: (a) the European Commission, under Grants CA17108 (AIM-COST Action), 874735 (VEO), 853271 (H-MIP), and 2020/2094 (NextGenerationEU, through CSIC’s Global Health Platform, PTI Salud Global); (b) the Dutch National Research Agenda (NWA), under Grant NWA/00686468; and (c) “la Caixa” Foundation, under Grant HR19-00336.</t>
  </si>
  <si>
    <t xml:space="preserve">Ahmed A, Irish SR, Zohdy S, Yoshimizu M, Tadesse FG., Strategies for conducting Anopheles stephensi surveys in non-endemic areas, Acta Tropica, 236, (2022); Amos HM, Starke MJ, Rogerson TM, Colon Robles M, Andersen T, Boger R, Campbell BA, Low RD, Nelson P, Overoye D, Taylor JE, Weaver KL, Ferrell TM, Kohl H, Schwerin TG., GLOBE Observer data: 2016–2019, Earth and Space Science, 7, 8, (2020); Ashepet MG, Jacobs L, Van Oudheusden M, Huyse T., Wicked solution for wicked problems: citizen science for vector-borne disease control in Africa, Trends in Parasitology, 37, 2, pp. 93-96, (2021); Asingizwe D, Poortvliet PM, Koenraadt CJ, Van Vliet AJ, Murindahabi MM, Ingabire C, Mutesa L, Feindt PH., Applying citizen science for malaria prevention in Rwanda: an integrated conceptual framework, NJASWageningen Journal of Life Sciences, 86, pp. 111-122, (2018); Azam FB, Carney RM, Kariev S, Nallan K, Subramanian M, Sampath G, Kumar A, Chellappan S., Classifying stages in the gonotrophic cycle of mosquitoes from images using computer vision techniques; Balkew M, Mumba P, Yohannes G, Abiy E, Getachew D, Yared S, Irish S., An update on the distribution, bionomics, and insecticide susceptibility of Anopheles stephensi in Ethiopia, 2018–2020, Malaria Journal, 20, 1, pp. 1-13, (2021); Bartumeus F, Oltra A, Palmer JRB., Citizen Science: A Gateway for Innovation in Disease-Carrying Mosquito Management?, Trends in Parasitology, 34, 9, pp. 727-729, (2018); Carney RM, Mapes C, Low RD, Long A, Bowser A, Durieux D, Rivera K, Dekramanjian B, Bartumeus F, Guerrero D, Seltzer CE, Azam F, Chellappan S, Palmer JRB., Integrating global citizen science platforms to enable next-generation surveillance of invasive and vector mosquitoes, Insects, 13, 8, (2022); (2020); About CitSci Africa Association, (2021); Coetzee M., Key to the females of Afrotropical Anopheles mosquitoes (Diptera: Culicidae), Malaria Journal, 19, pp. 1-20, (2020); de Santi VP, Khaireh BA, Chiniard T, Pradines B, Taudon N, Larreche S, Mohamed AB, de Laval F, Berger F, Gala F, Mokrane M, Benoit N, Malan L, Abdi AA, Briolant S., Role of Anopheles stephensi mosquitoes in malaria outbreak, Djibouti, 2019, Emerging Infectious Diseases, 27, 6, pp. 1697-1700, (2021); Elias P, Shonowo A, de Sherbinin A, Hultquist C, Danielsen F, Cooper C, Mondardini MR, Faustman E, Bowser A, Minster J-B, van Deventer M, Popescu I., Mapping the landscape of citizen science in Africa: assessing their potential contributions to SDGs 6 &amp; 11 on access to clean water and sanitation and on sustainable cities, Citi Sci Theory &amp; Practice, 8, 1, pp. 1-13, (2023); Eritja R, Delacour-Estrella S, Ruiz-Arrondo I, Gonzalez MA, Barcelo C, Garcia-Perez AL, Lucientes J, Miranda MA, Bartumeus F., At the tip of an iceberg: citizen science and active surveillance collaborating to broaden the known distribution of Aedes japonicus in Spain, Parasites &amp; Vectors, 14, 1, (2021); Eritja R, Ruiz-Arrondo I, Delacour-Estrella S, Schaffner F, Alvarez-Chachero J, Bengoa M, Puig M-A, Melero-Alcibar R, Oltra A, Bartumeus F., First detection of Aedes japonicus in Spain: an unexpected finding triggered by citizen science, Parasites &amp; Vectors, 12, 1, (2019); Faulde MK, Rueda LM, Khaireh BA., First record of the Asian malaria vector Anopheles stephensi and its possible role in the resurgence of malaria in Djibouti, Horn of Africa, Acta Tropica, 139, pp. 39-43, (2014); Fischer H, Cho H, Storksdieck M., Going beyond hooked participants: The nibble-and-drop framework for classifying citizen science participation, Citiz. Sci. Theory Pract, 6, (2021); Garcia P, Diaz RE, Anderson CV, Andrianjafy TM, de Beer L, Edmonds DA, Carney RM., Mosquito bite-induced color change in chameleon skin; Vector alert: Anopheles stephensi invasion and spread, (2019); Global Mosquito Observations Dashboard; The Mobile Economy Sub-Saharan Africa 2022, (2022); Ingle P, Kimura M, Bowser A, Fisk J, Long A, Low R, Nelson P., Aligning GLOBE Observer Mosquito Habitat Mapper and Land Cover Citizen Science Datasets to Open Geospatial Consortium Standards, AGU Fall Meeting Abstracts, 2021, pp. IN55E-0279, (2021); Panosian C, Gelband H, Saving Lives, Buying Time: Economics of Malaria Drugs in an Age of Resistance, (2004); Iyaloo D, Bheecarry A, Lamperouge N, Ramdonee R, Bin Elahee K, Bhoobun H, Baldet T, Rasamoelina H, Girod R, Irish S, Carney R, Carter T, Zohdy S., Is Anopheles stephensi in the Indian Ocean region? Mauritius as a model system for integrated and multisectoral vector surveillance and coordination, ASTMH Late-Breaker Abstract, (2022); Juznic-Zonta Z, Sanpera-Calbet I, Eritja R, Palmer JR, Escobar A, Garriga J, Zittra C., Mosquito alert: leveraging citizen science to create a GBIF mosquito occurrence dataset, Gigabyte, 2022, pp. 1-11, (2022); Low R, Boger R, Nelson P, Kimura M., GLOBE Mosquito Habitat Mapper citizen science data 2017–2020, GeoHealth, 5, 10, (2021); Low RD, Schwerin TG, Boger RA, Soeffing C, Nelson PV, Bartlett D, Clark A., Building international capacity for citizen scientist engagement in mosquito surveillance and mitigation: The GLOBE Program’s GLOBE Observer Mosquito Habitat Mapper, Insects, 13, 7, (2022); Minakshi M, Bharti P, McClinton WB, Mirzakhalov J, Carney RM, Chellappan S., Automating the surveillance of mosquito vectors from trapped specimens using computer vision techniques, Proceedings of the 3rd ACM SIGCAS Conference on Computing and Sustainable Societies, pp. 105-115, (2020); Minakshi M, Bharti P, Bhuiyan T, Kariev S, Chellappan S., A framework based on deep neural networks to extract anatomy of mosquitoes from images, Scientific Reports, 10, 1, (2020); Mnzava AP, Macdonald MB, Knox TB, Temu EA, Shiff CJ., Malaria vector control at a crossroads: public health entomology and the drive to elimination, Transactions of The Royal Society of Tropical Medicine and Hygiene, 108, 9, pp. 550-554, (2014); Murindahabi MM, Asingizwe D, Poortvliet PM, van Vliet AJH, Hakizimana E, Mutesa L, Takken W, Koenraadt CJM., A citizen science approach for malaria mosquito surveillance and control in Rwanda, Wagening. J. Life Sci. 86–87, pp. 101-110, (2018); Murindahabi MM, Hoseni A, Corne Vreugdenhil LC, Koenraadt CJM., Citizen science for monitoring the spatial and temporal dynamics of malaria vectors in relation to environmental risk factors in Ruhuha, Rwanda, Malar J, 20, (2021); Mwangungulu SP, Sumaye RD, Limwagu AJ, Siria DJ, Kaindoa EW, Okumu FO., Crowdsourcing vector surveillance: Using community knowledge and experiences to predict densities and distribution of outdoor-biting mosquitoes in rural Tanzania, PLoS ONE, 11, (2016); Boost African research in exchange for debt relief, Nature, (2023); Ochomo EO, Milanoi S, Abong'o B, Onyango B, Muchoki M, Omoke D, Kariuki L., Molecular surveillance leads to the first detection of Anopheles stephensi in Kenya, (2023); Palmer J, Et al., Global Mosquito Alert. Citizen Science: Innovation in Open Science, Society and Policy, (2018); Palmer JR, Oltra A, Collantes F, Delgado JA, Lucientes J, Delacour S, Bartumeus F., Citizen science provides a reliable and scalable tool to track disease-carrying mosquitoes, Nature Communications, 8, 1, (2017); Pataki BA, Garriga J, Eritja R, Palmer JR, Bartumeus F, Csabai I., Deep learning identification for citizen science surveillance of tiger mosquitoes, Sci. Rep, 11, (2021); Singh OP, Kaur T, Sharma G, Kona MP, Mishra S, Kapoor N, Mallick PK., Molecular tools for early detection of invasive malaria vector Anopheles stephensi mosquitoes, Emerging Infectious Diseases, 29, 1, pp. 36-44, (2023); Sinka ME, Pironon S, Massey NC, Et al., A new malaria vector in Africa: Predicting the expansion range of Anopheles stephensi and identifying the urban populations at risk, Proceedings of the National Academy of Sciences of the United States of America, (2020); Sousa LB, Craig A, Chitkara U, Fricker S, Web C, Williams C, Baldock K., Methodological diversity in citizen science mosquito surveillance: A scoping review, Citizen Science: Theory and Practice, 7, 1, (2022); Number of smartphone subscriptions in Sub-Saharan Africa from 2011 to 2027, (2022); Surendran SN, Sivabalakrishnan K, Sivasingham A., Anthropogenic factors driving recent range expansion of the malaria vector Anopheles stephensi, Frontiers in public health, (2019); Tadesse FG, Ashine T, Et al., Anopheles stephensi mosquitoes as vectors of Plasmodium vivax and P. falciparum, Horn of Africa, 2019, Emerging Infectious Diseases, 27, 2, (2021); Tadesse FG, Emiru T, Getachew D, Bousema T., Anopheles stephensi is implicated in an outbreak of Plasmodium falciparum parasites that carry markers of drug and diagnostic resistance in Dire Dawa City, (2023); Tyson E, Bowser A, Palmer J., Et al., Global mosquito alert – Wilson Center, (2018); Uelmen JA, Mapes CD, Prasauskas A, Boohene C, Burns L, Stuck J, Carney RM., A habitat model for disease vector Aedes aegypti in the Tampa Bay Area, Florida, Journal of the American Mosquito Control Association, 39, 2, pp. 96-107, (2023); PMI action plan to respond to the threat of Anopheles stephensi in Africa, (2023); Villena OC, Ryan SJ, Murdock CC, Johnson LR., Temperature impacts the environmental suitability for malaria transmission by Anopheles gambiae and Anopheles stephensi, Ecology, 103, 8, (2022); Whittaker C, Hamlet A, Sherrard-Smith E, Winskill P, Cuomo-Dannenburg G, Walker PG, Sinka M, Pironon S, Kumar A, Ghani A, Bhatt S, Churcher TS., Seasonal dynamics of Anopheles stephensi and its implications for mosquito detection and emergent malaria control in the Horn of Africa, Proceedings of the National Academy of Sciences, 120, 8, (2023); Leveraging Resource Wealth During the Low Carbon Transition, (2023); UNICEF/UNDP/World Bank/ WHO Special Programme for Research and Training in Tropical Diseases: Global vector control response 2017–2030, (2017); World malaria report 2021, (2021); Fact sheet about malaria, (2022); World malaria report 2022, (2022); WHO launches new initiative to stop the spread of invasive malaria vector in Africa, (2022); Malaria threats map, (2023); Vector alert: Anopheles stephensi invasion and spread in Africa and Sri Lanka, (2023)</t>
  </si>
  <si>
    <t xml:space="preserve">R.M. Carney; Department of Integrative Biology, University of South Florida (USF), Tampa, 33620, United States; email: ryancarney@usf.edu</t>
  </si>
  <si>
    <t xml:space="preserve">Citiz. Sci. Theory Practice</t>
  </si>
  <si>
    <t xml:space="preserve">2-s2.0-85175231725</t>
  </si>
  <si>
    <t xml:space="preserve">Minarno A.E.; Aripa L.; Azhar Y.; Munarko Y.</t>
  </si>
  <si>
    <t xml:space="preserve">Minarno, Agus Eko (57222160033); Aripa, Laofin (58352058500); Azhar, Yufis (57204198767); Munarko, Yuda (56411906600)</t>
  </si>
  <si>
    <t xml:space="preserve">57222160033; 58352058500; 57204198767; 56411906600</t>
  </si>
  <si>
    <t xml:space="preserve">Classification of Malaria Cell Image Using Inception-V3 Architecture</t>
  </si>
  <si>
    <t xml:space="preserve">Malaria is a severe global public health problem caused by the bite of infected mosquitoes. It can be cured, but only with early detection and effective, quick treatment. It can cause severe conditions if not properly diagnosed and treated at an early stage. In the worst scenario, it can cause death. This study aims at focusing on classifying malaria cell images. Malaria is classified as a dangerous disease caused by the bite of the female Anophles mosquito. As such, it leads to mortality when immediate action and treatment fails to be administered. In particular, this study aims to classify malaria cell images by utilizing the Inception-V3 architecture. In this study, training was conducted on 27,558 malaria cell image data through Inception-V3 architecture by proposing 3 scenarios. The proposed scenario 1 model applies the SGD optimizer to generate a loss value of 0.13 and an accuracy value of 0.95; scenario 2 model applies the Adam optimizer to generate a loss value of 0.09 and an accuracy value of 0.96; and lastly scenario 3 implements the RMSprop optimizer to generate a loss value of 0.08 and an accuracy value of 0.97. Applying the three scenarios, the results of the study apparently indicate that the Inception-V3 model using the RMSprop optimizer is capable of providing the best accuracy results with an accuracy of 97% with the lowest loss value, compared to scenario 1 and scenario 2. Further, the test results confirms that the proposed model in this study is capable of classifying malaria cells effectively. © 2023, Politeknik Negeri Padang. All rights reserved.</t>
  </si>
  <si>
    <t xml:space="preserve">10.30630/joiv.7.2.1301</t>
  </si>
  <si>
    <t xml:space="preserve">https://www.scopus.com/inward/record.uri?eid=2-s2.0-85162958910&amp;doi=10.30630%2fjoiv.7.2.1301&amp;partnerID=40&amp;md5=f92eba55c03db99b3fbfbb10f04d40aa</t>
  </si>
  <si>
    <t xml:space="preserve">Universitas Muhammadiyah Malang, Jl. Tlogomas No. 246, Malang, 65144, Indonesia</t>
  </si>
  <si>
    <t xml:space="preserve">Minarno A.E., Universitas Muhammadiyah Malang, Jl. Tlogomas No. 246, Malang, 65144, Indonesia; Aripa L., Universitas Muhammadiyah Malang, Jl. Tlogomas No. 246, Malang, 65144, Indonesia; Azhar Y., Universitas Muhammadiyah Malang, Jl. Tlogomas No. 246, Malang, 65144, Indonesia; Munarko Y., Universitas Muhammadiyah Malang, Jl. Tlogomas No. 246, Malang, 65144, Indonesia</t>
  </si>
  <si>
    <t xml:space="preserve">classification; Convolutional neural networks; inception-v3; Malaria</t>
  </si>
  <si>
    <t xml:space="preserve">Militante S. v., Malaria Disease Recognition through Adaptive Deep Learning Models of Convolutional Neural Network, ICETAS 2019-2019 6th IEEE International Conference on Engineering, Technologies and Applied Sciences, (2019); Qanbar M. M., Tasdemir S., Detection of Malaria Diseases with Residual Attention Network, International Journal of Intelligent Systems and Applications in Engineering, 7, 4, pp. 238-244, (2019); Kami T., Zein A., Analisis M. I., Sainstech: Jurnal Penelitian dan Pengkajian Sains dan Teknologi Pendeteksian Penyakit Malaria Menggunakan Medical Images Analisis Dengan Deep Learning Python, 29, 1, pp. 28-29, (2019); Loh D. R., Yong W. X., Yapeter J., Subburaj K., Chandramohanadas R., A deep learning approach to the screening of malaria infection: Automated and rapid cell counting, object detection and instance segmentation using Mask R-CNN, Computerized Medical Imaging and Graphics, 88, (2021); Rahman A., Et al., Improving Malaria Parasite Detection from Red Blood Cell using Deep Convolutional Neural Networks, (2019); Abubakar A., Ajuji M., Yahya I. U., DeepFMD: Computational Analysis for Malaria Detection in Blood-Smear Images Using Deep-Learning Features, Applied System Innovation, 4, 4, (2021); Supranelfy Y., Oktarina R., Gambaran Perilaku Pencegahan Penyakit Malaria di Sumatera Selatan (Analisis Lanjut Riskesdas 2018), Balaba: Jurnal Litbang Pengendalian Penyakit Bersumber Binatang Banjarnegara, pp. 19-28, (2021); Sai Bharadwaj Reddy A., Sujitha Juliet D., Transfer learning with RESNET-50 for malaria cell-image classification, Proceedings of the 2019 IEEE International Conference on Communication and Signal Processing, ICCSP 2019, pp. 945-949, (2019); Masud M., Et al., Leveraging Deep Learning Techniques for Malaria Parasite Detection Using Mobile Application, Wirel Commun Mob Comput, (2020); Sayyed A. Q. M. S., Saha D., Hossain A. R., Shahnaz C., Effectiveness of Convolutional and Capsule network in Malaria Parasite Detection, 2019 IEEE International Conference on Signal Processing, Information, Communication and Systems, SPICSCON 2019, pp. 68-73, (2019); Alnussairi M. H. D., Ibrahim A. A., Malaria parasite detection using deep learning algorithms based on (CNNs) technique, Computers and Electrical Engineering, 103, (2022); Jena K. K., Kumar Bhoi S., Mallick C., Mohapatra D., Swain P., Classification of Malaria Parasitized and Uninfected Images Using Machine Learning Approach, Proceedings of the 5th International Conference on I-SMAC (IoT in Social, Mobile, Analytics and Cloud), I-SMAC 2021, pp. 1274-1279, (2021); Razin W. R. W. M., Gunawan T. S., Kartiwi M., Yusoff N. Md., Malaria Parasite Detection and Classification using CNN and YOLOv5 Architectures, pp. 277-281, (2022); Deelder W., Et al., Using deep learning to identify recent positive selection in malaria parasite sequence data, Malar J, 20, 1, pp. 1-9, (2021); Arowolo M. O., Adebiyi M., Adebiyi A., Okesola O., PCA Model for RNA-Seq Malaria Vector Data Classification Using KNN and Decision Tree Algorithm, 2020 International Conference in Mathematics, Computer Engineering and Computer Science, ICMCECS 2020, (2020); Fuhad K. M. F., Tuba J. F., Sarker M. R. A., Momen S., Mohammed N., Rahman T., Deep Learning Based Automatic Malaria Parasite Detection from Blood Smear and Its Smartphone Based Application, Diagnostics, 10, 5, (2020); Comert G., Begashaw N., Turhan-Comert A., Malaria Outbreak Detection with Machine Learning Methods, bioRxiv, (2020); Nkiruka O., Prasad R., Clement O., Prediction of malaria incidence using climate variability and machine learning, Inform Med Unlocked, 22, (2021); Lee Y. W., Choi J. W., Shin E. H., Machine learning model for predicting malaria using clinical information, Comput Biol Med, 129, (2021); Sayyed A. Q. M. S., Saha D., Hossain A. R., Shahnaz C., Effectiveness of Convolutional and Capsule network in Malaria Parasite Detection, 2019 IEEE International Conference on Signal Processing, Information, Communication and Systems, SPICSCON 2019, pp. 68-73, (2019); Andika L. A., Pratiwi H., Handajani S. S., Lingga Aji Andika 1, Hasih Pratiwi 2, and Sri Sulistijowati Handajani 3 1, Indonesian Journal of Statistics and Its Applications, 3, 3, pp. 331-340, (2019); Sriporn K., Tsai C. F., Tsai C. E., Wang P., Analyzing Malaria Disease Using Effective Deep Learning Approach, Diagnostics, 10, 744, (2020); Suriya M., Chandran V., Sumithra M. G., Enhanced deep convolutional neural network for malarial parasite classification, International Journal of Computers and Applications, pp. 1-10, (2019); Cell Image Malaria Dataset; NIH: Cell Image Malaria Dataset; Rahman A., Zunair H., Reme T. R., Rahman M. S., Mahdy M. R. C., A comparative analysis of deep learning architectures on high variation malaria parasite classification dataset, Tissue Cell, 69, (2021); Harahap M., Jefferson J., Barti S., Samosir S., Turnip C. A., Implementation of Convolutional Neural Network in the classification of red blood cells have affected of malaria, SinkrOn, 5, 2, pp. 199-207, (2020); Permana S. D. H., Saputra G., Arifitama B., Yaddarabullah W. Caesarendra, Rahim R., Classification of bird sounds as an early warning method of forest fires using Convolutional Neural Network (CNN) algorithm, Journal of King Saud University-Computer and Information Sciences, (2021); Liang Z., Et al., CNN-based image analysis for malaria diagnosis, Proceedings-2016 IEEE International Conference on Bioinformatics and Biomedicine, BIBM 2016, pp. 493-496, (2017); Szegedy C., Vanhoucke V., Ioffe S., Shlens J., Wojna Z., Rethinking the Inception Architecture for Computer Vision, Proceedings of the IEEE Computer Society Conference on Computer Vision and Pattern Recognition, 2016, pp. 2818-2826, (2016); Wirayasa I. K. A., Comparison of Convolutional Neural Networks Model Using Different Optimizers for Image Classification International Journal of Sciences: Comparison of Convolutional Neural Networks Model Using Different Optimizers for Image Classification, (2021); Bhatia Y., Bajpayee A., Raghuvanshi D., Mittal H., v2 and Recurrent Neural Network, 2019 Twelfth International Conference on Contemporary Computing (IC3), pp. 1-6, (2019); Shah D., Kawale K., Shah M., Randive S., Mapari R., Malaria Parasite Detection Using Deep Learning: (Beneficial to humankind), Proceedings of the International Conference on Intelligent Computing and Control Systems, ICICCS 2020, pp. 984-988, (2020); Sai Bharadwaj Reddy A., Sujitha Juliet D., Transfer learning with RESNET-50 for malaria cell-image classification, Proceedings of the 2019 IEEE International Conference on Communication and Signal Processing, ICCSP 2019, pp. 945-949, (2019)</t>
  </si>
  <si>
    <t xml:space="preserve">Y. Munarko; Universitas Muhammadiyah Malang, Malang, Jl. Tlogomas No. 246, 65144, Indonesia; email: yuda@umm.ac.id</t>
  </si>
  <si>
    <t xml:space="preserve">2-s2.0-85162958910</t>
  </si>
  <si>
    <t xml:space="preserve">Bogado J.V.; Schaerer C.E.; Stalder D.H.; Martínez G.</t>
  </si>
  <si>
    <t xml:space="preserve">Bogado, Juan V. (58105348500); Schaerer, Christian E. (15027359800); Stalder, Diego H. (55612170900); Martínez, Giohanna (58312841200)</t>
  </si>
  <si>
    <t xml:space="preserve">58105348500; 15027359800; 55612170900; 58312841200</t>
  </si>
  <si>
    <t xml:space="preserve">Cluster-based LSTM models to improve Dengue cases forecast</t>
  </si>
  <si>
    <t xml:space="preserve">Public health problems such as dengue fever need accurate forecasts so governments can take effective preventive measures. Machine learning, in particular deep learning (DL) have become increasingly popular as the volume of data increases continuously. Nevertheless, performing accurate predictions in areas with fewer cases can be challenging. When we apply DL models using long short-term memory (LSTM) in different cities considering weekly dengue incidence and climate, some models may present heterogeneous behaviors and poor accuracy because of the need for more data. To mitigate this problem, clustering analysis across time series is performed based on scores to measure the clustering quality in 217 Paraguayan cities. First, we compare the raw and feature-based clustering techniques considering several metrics. Our results indicate that hierarchical clustering combined with Spearman correlation is the most appropriate approach. Finally, several LSTM models built using clustering results were compared. The root-mean-square error confirms that the clustered models improve accuracy by 19.48 ± 18.80%. Finally, we present a comparison between one-dimensional statistical clustering and our best clustering setup. The main contribution of this work is a technique that can improve the performance of time series models that combine information from similar time series and weather data. © 2023 Latin American Center for Informatics Studies. All Rights Reserved.</t>
  </si>
  <si>
    <t xml:space="preserve">CLEI Eletronic Journal (CLEIej)</t>
  </si>
  <si>
    <t xml:space="preserve">Latin American Center for Informatics Studies</t>
  </si>
  <si>
    <t xml:space="preserve">10.19153/cleiej.26.1.4</t>
  </si>
  <si>
    <t xml:space="preserve">https://www.scopus.com/inward/record.uri?eid=2-s2.0-85161830885&amp;doi=10.19153%2fcleiej.26.1.4&amp;partnerID=40&amp;md5=c30859f153a7157d7fd38c475a356051</t>
  </si>
  <si>
    <t xml:space="preserve">National University of Asunción, Polythecnic School, San Lorenzo, Paraguay; National University of Asunción, Engineering School, San Lorenzo, Paraguay</t>
  </si>
  <si>
    <t xml:space="preserve">Bogado J.V., National University of Asunción, Polythecnic School, San Lorenzo, Paraguay; Schaerer C.E., National University of Asunción, Polythecnic School, San Lorenzo, Paraguay; Stalder D.H., National University of Asunción, Engineering School, San Lorenzo, Paraguay; Martínez G., National University of Asunción, Engineering School, San Lorenzo, Paraguay</t>
  </si>
  <si>
    <t xml:space="preserve">dengue; epidemiology; LSTM; times series forecasting</t>
  </si>
  <si>
    <t xml:space="preserve">FEEI-PROCIENCIA-CONACYTPRONII; Ministerio de Salud Pública y Bienestar Social</t>
  </si>
  <si>
    <t xml:space="preserve">Authors acknowledge the financial support given by PINV15-706 COMIDENCO and FEEI-PROCIENCIACONACYT project POSG17-62. JVB, DHS and CES acknowledges the FEEI-PROCIENCIA-CONACYTPRONII. The authors acknowledge the Ministerio de Salud Pública y Bienestar Social (MSPBS) for the data and fruitful discussions on topics of this work.</t>
  </si>
  <si>
    <t xml:space="preserve">Brauer F., Castillo-Chavez C., Feng Z., Dengue fever and the Zika virus, Mathematical Models in Epidemiology, pp. 409-425, (2019); Kularatne S. A., Dengue fever, BMJ, 351, (2015); Waterman S. H., Gubler D. J., Dengue fever, Clinics in dermatology, 7, 1, pp. 117-122, (1989); Guzman M. G., Halstead S. B., Artsob H., Et al., Dengue: A continuing global threat, Nature Reviews Microbiology, 8, (2010); Romero D., Olivero J., Real R., Guerrero J. C., Applying fuzzy logic to assess the biogeographical risk of dengue in South America, Parasites &amp; vectors, 12, 1, (2019); Enfermedades transmitidas por vectores, Boletín epidemiológico, 30, (2013); Codeco C., Coelho F., Cruz O., Oliveira S., Castro T., Bastos L., Infodengue: A nowcasting system for the surveillance of arboviruses in Brazil, Revue d’Épidémiologie et de Santé Publique, 66, (2018); Perez-Estigarribia P. E., Bliman P.-A., Schaerer C. E., A class of fast-slow models for adaptive resistance evolution, Theoretical Population Biology, 135, pp. 32-48, (2020); De Lima T. F. M., Lana R. M., de Senna Carneiro T. G., Et al., Dengueme: A tool for the modeling and simulation of dengue spatiotemporal dynamics, International journal of environmental research and public health, 13, 9, (2016); Andraud M., Hens N., Marais C., Beutels P., Dynamic epidemiological models for Dengue transmission: A systematic review of structural approaches, Plos one, 7, 11, (2012); Martinez M. G., Stalder D. H., Schaerer C. E., Bogado J. V., Feature selection within time series clustering, Proceedings of the 3rd South American International Industrial Engineering and Operations Management Conference, (2022); Arias-Michel R., Garcia-Torres M., Schaerer C. E., Divina F., Feature selection using approximate multivariate markov blankets, Hybrid Artificial Intelligent Systems, pp. 114-125, (2016); Gomez-Guerrero S., Sosa-Cabrera G., Garcia-Torres M., Ortiz-Samudio I., Schaerer C. E., Multivariate symmetrical uncertainty as a measure for interaction in categorical patterned datasets, the Entropy 2021: The Scientific Tool of the 21st Century, pp. 114-125, (2021); Sosa-Cabrera G., Garcia-Torres M., Gomez-Guerrero S., Schaerer C. E., Divina F., A multivariate approach to the symmetrical uncertainty measure: Application to feature selection problem, Information Sciences, 494, pp. 1-20, (2019); Shi Y., Liu X., Kok S.-Y., Et al., Three-month real-time dengue forecast models: An early warning system for outbreak alerts and policy decision support in Singapore, Environmental health perspectives, 124, 9, pp. 1369-1375, (2016); Silva F. D., Santos A. M. d., Correa R. d. G. C. F., Caldas A. d. J. M., Temporal relationship between rainfall, temperature and occurrence of dengue cases in São Luís, Maranhão, Brazil, Ciencia &amp; saude coletiva, 21, pp. 641-646, (2016); Ramirez-Soto M. C., Machuca J. V. B., Stalder D. H., Champin D., Martinez-Fernandez M. G., Schaerer C. E., Sir-si model with a gaussian transmission rate: Understanding the dynamics of dengue outbreaks in lima, peru, Plos one, 18, 4, (2023); Johansson M. A., Reich N. G., Hota A., Brownstein J. S., Santillana M., Evaluating the performance of infectious disease forecasts: A comparison of climate-driven and seasonal dengue forecasts for Mexico, Scientific reports, 6, pp. 33-707, (2016); Jiang S., Xiao R., Wang L., Et al., Combining deep neural networks and classical time series regression models for forecasting patient flows in Hong Kong, IEEE Access, 7, pp. 118965-118974, (2019); Sun D., Wang M., Li A., A multimodal deep neural network for human breast cancer prognosis prediction by integrating multi-dimensional data, IEEE/ACM transactions on computational biology and bioinformatics, 16, 3, pp. 841-850, (2018); Min S., Lee B., Yoon S., Deep learning in bioinformatics, Briefings in bioinformatics, 18, 5, pp. 851-869, (2017); Mello-Roman J. D., Mello-Roman J. C., Gomez-Guerrero S., Garcia-Torres M., Predictive Models for the Medical Diagnosis of Dengue: A Case Study in Paraguay, Computational and mathematical methods in medicine, 2019, (2019); Liu L., Han M., Zhou Y., Wang Y., LSTM recurrent neural networks for influenza trends prediction, International Symposium on Bioinformatics Research and Applications, pp. 259-264, (2018); Wang L., Chen J., Marathe M., TDEFSI: Theory-guided deep learning-based epidemic forecasting with synthetic information, ACM Transactions on Spatial Algorithms and Systems (TSAS), 6, 3, pp. 1-39, (2020); Xu J., Xu K., Li Z., Et al., Forecast of dengue cases in 20 chinese cities based on the deep learning method, International Journal of Environmental Research and Public Health, 17, 2, (2020); Khotimah P. H., Rozie A. F., Nugraheni E., Arisal A., Suwarningsih W., Purwarianti A., Deep learning for dengue fever event detection using online news, 2020 International Conference on Radar, Antenna, Microwave, Electronics, and Telecommunications (ICRAMET), pp. 261-266, (2020); Harumy T., Chan H., Sodhy G., Prediction for dengue fever in indonesia using neural network and regression method, Journal of Physics: Conference Series, 1566, (2020); Mussumeci E., Coelho F. C., Large-scale multivariate forecasting models for Dengue-LSTM versus random forest regression, Spatial and Spatio-temporal Epidemiology, 35, pp. 100-372, (2020); Bandara K., Bergmeir C., Smyl S., Forecasting across time series databases using recurrent neural networks on groups of similar series: A clustering approach, Expert Systems with Applications, 140, pp. 112-896, (2020); Bogado J. V., Stalder D. H., Schaerer C. E., Gomez-Guerrero S., Time series clustering to improve dengue cases forecasting with deep learning, 2021 XLVII Latin American Computing Conference (CLEI), pp. 1-10, (2021); Riveros E. G. S., Gomez-Guerrero S., Schaerer C. E., Categorical PCA and Multiple Correlation in the study of the incidence of Dengue fever in communities of Paraguay, Proceeding Series of the Brazilian Society of Computational and Applied Mathematics, 6, 2, (2018); Gomez-Guerrero S., Schaerer C., Rojas de Arias A., Mello J., Estigarribia H., Construcción de un modelo de incidencia de dengue aplicado a comunidades de Paraguay, Segundo Encuentro de investigadores, Sociedad Científica del Paraguay, (2017); Bogado J. V., Stalder D., Gomez-Guerrero S., Schaerer C. E., Deep learning-based dengue cases forecasting with synthetic data, Proceeding Series of the Brazilian Society of Computational and Applied Mathematics, 7, 1, (2020); Dirección Nacional de Aeronáutica Civil, (2015); Liao T. W., Clustering of time series dataÃ¢ÂÂa survey, Pattern recognition, 38, 11, pp. 1857-1874, (2005); Arthur D., Vassilvitskii S., K-means++: The advantages of careful seeding, (2006); Murtagh F., Contreras P., Algorithms for hierarchical clustering: An overview, Wiley Interdisciplinary Reviews: Data Mining and Knowledge Discovery, 2, 1, pp. 86-97, (2012); Ester M., Kriegel H.-P., Sander J., Xu X., Et al., A density-based algorithm for discovering clusters in large spatial databases with noise, Kdd, 96, pp. 226-231, (1996); Hochreiter S., Schmidhuber J., Long short-term memory, Neural computation, 9, 8, pp. 1735-1780, (1997); Schmidhuber J., Deep learning in neural networks: An overview, Neural networks, 61, pp. 85-117, (2015); Bouktif S., Fiaz A., Ouni A., Serhani M. A., Optimal deep learning LSTM model for electric load forecasting using feature selection and genetic algorithm: Comparison with machine learning approaches, Energies, 11, 7, (2018); Josef P., Skipper S., Jonathan T., Statsmodels.tsa.stattools.adfuller, (2013); Kingma D. P., Ba J., Adam: A method for stochastic optimization, (2014); Hyndman R. J., Wang E., Laptev N., Large-scale unusual time series detection, 2015 IEEE international conference on data mining workshop (ICDMW), pp. 1616-1619, (2015); Ogbuabor G., Ugwoke F., Clustering algorithm for a healthcare dataset using silhouette score value, International Journal of Computer Science &amp; Information Technology, 10, 2, pp. 27-37, (2018); Hubert L., Arabie P., Comparing partitions, Journal of classification, 2, 1, pp. 193-218, (1985)</t>
  </si>
  <si>
    <t xml:space="preserve">CLEI Electr. J. (CLEIej)</t>
  </si>
  <si>
    <t xml:space="preserve">2-s2.0-85161830885</t>
  </si>
  <si>
    <t xml:space="preserve">Hardy A.; Haji K.; Abbas F.; Hassan J.; Ali A.; Yussuf Y.; Cook J.; Rosu L.; Houri-Yafin A.; Vigodny A.; Oakes G.; Majambere S.; Worrall E.</t>
  </si>
  <si>
    <t xml:space="preserve">Hardy, Andy (51863973800); Haji, Khamis (55628762900); Abbas, Faiza (57209712503); Hassan, Juma (57412062400); Ali, Abdullah (36900151400); Yussuf, Yussuf (57411792500); Cook, Jackie (25229589900); Rosu, Laura (57216853500); Houri-Yafin, Arnon (57028502700); Vigodny, Arbel (57943958300); Oakes, Gregory (57216672641); Majambere, Silas (16687086700); Worrall, Eve (57203034138)</t>
  </si>
  <si>
    <t xml:space="preserve">51863973800; 55628762900; 57209712503; 57412062400; 36900151400; 57411792500; 25229589900; 57216853500; 57028502700; 57943958300; 57216672641; 16687086700; 57203034138</t>
  </si>
  <si>
    <t xml:space="preserve">Cost and quality of operational larviciding using drones and smartphone technology</t>
  </si>
  <si>
    <t xml:space="preserve">Background: Larval Source Management (LSM) is an important tool for malaria vector control and is recommended by WHO as a supplementary vector control measure. LSM has contributed in many successful attempts to eliminate the disease across the Globe. However, this approach is typically labour-intensive, largely due to the difficulties in locating and mapping potential malarial mosquito breeding sites. Previous studies have demonstrated the potential for drone imaging technology to map malaria vector breeding sites. However, key questions remain unanswered related to the use and cost of this technology within operational vector control. Methods: Using Zanzibar (United Republic of Tanzania) as a demonstration site, a protocol was collaboratively designed that employs drones and smartphones for supporting operational LSM, termed the Spatial Intelligence System (SIS). SIS was evaluated over a four-month LSM programme by comparing key mapping accuracy indicators and relative costs (both mapping costs and intervention costs) against conventional ground-based methods. Additionally, malaria case incidence was compared between the SIS and conventional study areas, including an estimation of the incremental cost-effectiveness of switching from conventional to SIS larviciding. Results: The results demonstrate that the SIS approach is significantly more accurate than a conventional approach for mapping potential breeding sites: mean % correct per site: SIS = 60% (95% CI 32–88%, p = 0.02), conventional = 18% (95% CI − 3–39%). Whilst SIS cost more in the start-up phase, overall annualized costs were similar to the conventional approach, with a simulated cost per person protected per year of $3.69 ($0.32 to $15.12) for conventional and $3.94 ($0.342 to $16.27) for SIS larviciding. The main economic benefits were reduced labour costs associated with SIS in the pre-intervention baseline mapping of habitats. There was no difference in malaria case incidence between the three arms. Cost effectiveness analysis showed that SIS is likely to provide similar health benefits at similar costs compared to the conventional arm. Conclusions: The use of drones and smartphones provides an improved means of mapping breeding sites for use in operational LSM. Furthermore, deploying this technology does not appear to be more costly than a conventional ground-based approach and, as such, may represent an important tool for Malaria Control Programmes that plan to implement LSM. © 2023, BioMed Central Ltd., part of Springer Nature.</t>
  </si>
  <si>
    <t xml:space="preserve">10.1186/s12936-023-04713-0</t>
  </si>
  <si>
    <t xml:space="preserve">https://www.scopus.com/inward/record.uri?eid=2-s2.0-85173117681&amp;doi=10.1186%2fs12936-023-04713-0&amp;partnerID=40&amp;md5=55fa9fd7c4962291ad33046c702dc180</t>
  </si>
  <si>
    <t xml:space="preserve">Deptartment of Geography and Earth Sciences, Aberystwyth University, Aberystwyth, United Kingdom; Zanzibar Malaria Elimination Programme, Zanzibar, Tanzania; PharmAccess Foundation, Dar Es Salaam, Tanzania; Ministry of Health, Revolutionary Government of Zanzibar, Zanzibar, Tanzania; Tanzanian Flying Labs, Dar Es Salaam, Tanzania; MRC International Statistics and Epidemiology Group, London School Hygiene and Tropical Medicine, London, United Kingdom; Liverpool School of Tropical Medicine, London, United Kingdom; Zzapp Malaria, Jerusalem, Israel; Valent BioSciences, Oslo, Norway</t>
  </si>
  <si>
    <t xml:space="preserve">Hardy A., Deptartment of Geography and Earth Sciences, Aberystwyth University, Aberystwyth, United Kingdom; Haji K., Deptartment of Geography and Earth Sciences, Aberystwyth University, Aberystwyth, United Kingdom; Abbas F., PharmAccess Foundation, Dar Es Salaam, Tanzania; Hassan J., Zanzibar Malaria Elimination Programme, Zanzibar, Tanzania; Ali A., Ministry of Health, Revolutionary Government of Zanzibar, Zanzibar, Tanzania; Yussuf Y., Tanzanian Flying Labs, Dar Es Salaam, Tanzania; Cook J., MRC International Statistics and Epidemiology Group, London School Hygiene and Tropical Medicine, London, United Kingdom; Rosu L., Liverpool School of Tropical Medicine, London, United Kingdom; Houri-Yafin A., Zzapp Malaria, Jerusalem, Israel; Vigodny A., Zzapp Malaria, Jerusalem, Israel; Oakes G., Deptartment of Geography and Earth Sciences, Aberystwyth University, Aberystwyth, United Kingdom; Majambere S., Valent BioSciences, Oslo, Norway; Worrall E., Liverpool School of Tropical Medicine, London, United Kingdom</t>
  </si>
  <si>
    <t xml:space="preserve">larvicidal agent; adult; Anopheles arabiensis; Article; artificial intelligence; controlled study; cost; cost effectiveness analysis; disease surveillance; economic aspect; geographic mapping; habitat; incidence; labor; larvicidal activity; malaria; nonhuman; spatial analysis; Tanzania; technology; unmanned aerial vehicle; vector control</t>
  </si>
  <si>
    <t xml:space="preserve">Innovative Vector Control Consortium; Sazani Associates; Bill and Melinda Gates Foundation, BMGF</t>
  </si>
  <si>
    <t xml:space="preserve">Funding text 1: All authors reviewed and edited the manuscript. AH, JC, LR and EW wrote the main manuscript. The project was original conceived by AH, KH, FA, AA, YY, JC, AH-Y, SM and EW. Original data was acquired and analysed by AH, JH, YY, JC, LR, AH-Y, AV, GO and EW. Protocols were designed by AH, KH, YY, JC, AH-Y, GO, SM and EW. Funding for this work was secured by AH, JC, EW, AH-Y, SM, FA, KH and AA. ; Funding text 2: We thank Sazani Associates for leading the community engagement programme before the deployment of drones and for their assistance in collecting cost data. We thank Prosper Chaki (Ifakara Health Institute) for leading the larviciding and mapping training programme with community volunteers. We thank the vital contribution of a number of community volunteers for their involvement in mapping and larviciding activities. Finally, we acknowledge the contributions of our late friend and colleague Khamis Haji. His guiding hand and friendship will be sorely missed.</t>
  </si>
  <si>
    <t xml:space="preserve">Cohen J.M., Okumu F., Moonen B., The fight against malaria: diminishing gains and growing challenges, Sci Transl Med., 14, (2022); McCann R.S., Kabaghe A.N., Moraga P., Gowelo S., Mburu M.M., Tizifa T., Et al., The effect of community-driven larval source management and house improvement on malaria transmission when added to the standard malaria control strategies in Malawi: a cluster-randomized controlled trial, Malar J, 20, (2021); Mapua S.A., Finda M.F., Nambunga I.H., Msugupakulya B.J., Ukio K., Chaki P.P., Et al., Addressing key gaps in implementation of mosquito larviciding to accelerate malaria vector control in southern Tanzania: results of a stakeholder engagement process in local district councils, Malar J, 20, (2021); Russell T.L., Farlow R., Min M., Espino E., Mnzava A., Burkot T.R., Capacity of national malaria control programmes to implement vector surveillance: a global analysis, Malar J, 19, (2020); Mosha J.F., Kulkarni M.A., Lukole E., Matowo N.S., Pitt C., Messenger L.A., Et al., Effectiveness and cost-effectiveness against malaria of three types of dual-active-ingredient long-lasting insecticidal nets (LLINs) compared with pyrethroid-only LLINs in Tanzania: a four-arm, cluster-randomised trial, Lancet, 399, pp. 1227-1241, (2022); Kilian A., Obi E., Mansiangi P., Abilio A.P., Haji K.A., Blaufuss S., Et al., Variation of physical durability between LLIN products and net use environments: summary of findings from four African countries, Malar J, 20, (2021); Asale A., Kussa D., Girma M., Mbogo C., Mutero C.M., Community based integrated vector management for malaria control: lessons from three years’ experience (2016–2018) in Botor-Tolay district, southwestern Ethiopia, BMC Public Health, 19, (2019); Okumu F., Finda M., Key characteristics of residual malaria transmission in two Districts in South-Eastern Tanzania-implications for improved control, J Infect Dis, 223, pp. S143-S154, (2021); Russell T.L., Govella N.J., Azizi S., Drakeley C.J., Kachur S.P., Killeen G.F., Increased proportions of outdoor feeding among residual malaria vector populations following increased use of insecticide-treated nets in rural Tanzania, Malar J, 10, (2011); Sougoufara S., Ottih E.C., Tripet F., The need for new vector control approaches targeting outdoor biting Anopheline malaria vector communities, Parasit Vectors, 13, (2020); Sangbakembi-Ngounou C., Costantini C., Longo-Pendy N.M., Ngoagouni C., Akone-Ella O., Rahola N., Et al., Diurnal biting of malaria mosquitoes in the Central African Republic indicates residual transmission may be “out of control, Proc Natl Acad Sci USA, 119, (2022); Cross D.E., Thomas C., McKeown N., Siaziyu V., Healey A., Willis T., Et al., Geographically extensive larval surveys reveal an unexpected scarcity of primary vector mosquitoes in a region of persistent malaria transmission in western Zambia, Parasit Vectors, 14, (2021); Dongus S., Nyika D., Kannady K., Mtasiwa D., Mshinda H., Fillinger U., Et al., Participatory mapping of target areas to enable operational larval source management to suppress malaria vector mosquitoes in Dar es Salaam, Tanzania Int J Health Geogr, 6, (2007); Dambach P., Baernighausen T., Traore I., Ouedraogo S., Sie A., Sauerborn R., Et al., Reduction of malaria vector mosquitoes in a large-scale intervention trial in rural Burkina Faso using Bti based larval source management, Malar J, 18, (2019); Tusting L.S., Thwing J., Sinclair D., Fillinger U., Gimnig J., Bonner K.E., Et al., Mosquito larval source management for controlling malaria, Cochrane Database Syst Rev, (2013); Kitron U., Spielman A., Suppression of transmission of malaria through source reduction: antianopheline measures applied in Israel, the United States, and Italy, Rev Infect Dis, 11, pp. 391-406, (1989); Feng X., Feng J., Zhang L., Tu H., Xia Z., Vector control in China, from malaria endemic to elimination and challenges ahead, Infect Dis Poverty, 11, (2022); Premaratne R., Wickremasinghe R., Ranaweera D., Hevawitharana M., Pieris L., Et al., Technical and operational underpinnings of malaria elimination from Sri Lanka, Malar J, 18, (2019); Fillinger U., Lindsay S.W., Larval source management for malaria control in Africa: myths and reality, Malar J, 10, (2011); Geissbuhler Y., Kannady K., Chaki P.P., Emidi B., Govella N.J., Mayagaya V., Et al., Microbial larvicide application by a large-scale, community-based program reduces malaria infection prevalence in urban Dar es Salaam, Tanzania PLoS ONE, 4, (2009); Worrall E., Fillinger U., Large-scale use of mosquito larval source management for malaria control in Africa: a cost analysis, Malar J, 10, (2011); Phiri M.D., McCann R.S., Kabaghe A.N., van den Berg H., Malenga T., Gowelo S., Et al., Cost of community-led larval source management and house improvement for malaria control: a cost analysis within a cluster-randomized trial in a rural district in Malawi, Malar J, 20, (2021); Lwetoijera D., Harris C., Kiware S., Dongus S., Devine G., McCall P., Et al., Effective autodissemination of pyriproxyfen to breeding sites by the exophilic malaria vector Anopheles arabiensis in semi-field settings in Tanzania, Malar J, 13, (2014); Lwetoijera D., Kiware S., Okumu F., Devine G.J., Majambere S., Autodissemination of pyriproxyfen suppresses stable populations of Anopheles arabiensis under semi-controlled settings, Malar J, 18, (2019); Mukabana W.R., Welter G., Ohr P., Tingitana L., Makame M.H., Ali A.S., Et al., Drones for area-wide larval source management of malaria mosquitoes, Drones, 6, (2022); Hardy A., Makame M., Cross D., Majambere S., Msellem M., Using low-cost drones to map malaria vector habitats, Parasit Vectors, 10, (2017); Stanton M.C., Kalonde P., Zembere K., Hoek Spaans R., Jones C.M., The application of drones for mosquito larval habitat identification in rural environments: a practical approach for malaria control?, Malar J, 20, (2021); Carrasco-Escobar G., Manrique E., Ruiz-Cabrejos J., Saavedra M., Alava F., Bickersmith S., Et al., High-accuracy detection of malaria vector larval habitats using drone-based multispectral imagery, PLoS Negl Trop Dis, 13, (2019); Fornace K.M., Drakeley C.J., William T., Espino F., Cox J., Mapping infectious disease landscapes: unmanned aerial vehicles and epidemiology, Trends Parasitol, 30, pp. 514-519, (2014); Trujillano F., Garay G.J., Alatrista-Salas H., Byrne I., Nunez-Del-Prado M., Chan K., Et al., Mapping malaria vector habitats in west africa: drone imagery and deep learning analysis for targeted vector surveillance, Remote Sens (Basel), 15, (2023); Vigodny A., Ben Aharon M., Wharton-Smith A., Fialkoff Y., Houri-Yafin A., Braganca F., Et al., Digitally managed larviciding as a cost-effective intervention for urban malaria: operational lessons from a pilot in São Tomé and Príncipe guided by the Zzapp system, Malar J, 22, (2023); Bjorkman A., Shakely D., Ali A.S., Morris U., Mkali H., Abbas A.K., Et al., From high to low malaria transmission in Zanzibar-challenges and opportunities to achieve elimination, BMC Med, 17, (2019); Haji K.A., Khatib B.O., Smith S., Ali A.S., Devine G.J., Coetzee M., Et al., Challenges for malaria elimination in Zanzibar: pyrethroid resistance in malaria vectors and poor performance of long-lasting insecticide nets, Parasit Vectors, 6, (2013); Basic demographic and social-economic profile, Tanzania, Zanzibar, (2014); (2022); (2021); Hardy A., Oakes G., Hassan J., Yussuf Y., Improved use of drone imagery for malaria vector control through technology-assisted digitizing (TAD), Remote Sens, 14, (2022); Runge M., Mapua S., Nambunga I., Smith T.A., Chitnis N., Okumu F., Et al., Evaluation of different deployment strategies for larviciding to control malaria: a simulation study, Malar J, 20, (2021); Rahman R., Lesser A., Mboera L., Kramer R., Cost of microbial larviciding for malaria control in rural Tanzania, Trop Med Int Health, 21, pp. 1468-1475, (2016); Hardy A., Proctor M., MacCallum C., Shawe J., Abdalla S., Ali R., Et al., Conditional trust: community perceptions of drone use in malaria control in Zanzibar, Technol Soc, 68, (2022); Hanrahan B.V., Maitland C., Brown T., Chen A., Kagame F., Birir B., Agency and extraction in emerging industrial drone applications, Proc ACM Hum-Comput Interact, 4, pp. 1-21, (2021); Global vector control response 2017–2030 World Health Organization, (2017); Mukabana W.R., Kannady K., Kiama G.M., Ijumba J.N., Mathenge E.M., Kiche I., Et al., Ecologists can enable communities to implement malaria vector control in Africa, Malar J, 5, (2006)</t>
  </si>
  <si>
    <t xml:space="preserve">A. Hardy; Deptartment of Geography and Earth Sciences, Aberystwyth University, Aberystwyth, United Kingdom; email: ajh13@aber.ac.uk</t>
  </si>
  <si>
    <t xml:space="preserve">2-s2.0-85173117681</t>
  </si>
  <si>
    <t xml:space="preserve">Hutchinson D.; Kunasekaran M.; Quigley A.; Moa A.; MacIntyre C.R.</t>
  </si>
  <si>
    <t xml:space="preserve">Hutchinson, D. (57700356200); Kunasekaran, M. (57201293444); Quigley, A. (57218667000); Moa, A. (24478912400); MacIntyre, C.R. (7005082840)</t>
  </si>
  <si>
    <t xml:space="preserve">57700356200; 57201293444; 57218667000; 24478912400; 7005082840</t>
  </si>
  <si>
    <t xml:space="preserve">Could it be monkeypox? Use of an AI-based epidemic early warning system to monitor rash and fever illness</t>
  </si>
  <si>
    <t xml:space="preserve">Objectives: The EPIWATCH artificial intelligence (AI) system scans open-source data using automated technology and can be used to detect early warnings of infectious disease outbreaks. In May 2022, a multicountry outbreak of Mpox in non-endemic countries was confirmed by the World Health Organization. This study aimed to identify signals of fever and rash-like illness using EPIWATCH and, if detected, determine if they represented potential Mpox outbreaks. Study design: The EPIWATCH AI system was used to detect global signals for syndromes of rash and fever that may have represented a missed diagnosis of Mpox from 1 month prior to the initial case confirmation in the United Kingdom (7 May 2022) to 2 months following. Methods: Articles were extracted from EPIWATCH and underwent review. A descriptive epidemiologic analysis was conducted to identify reports pertaining to each rash-like illness, locations of each outbreak and report publication dates for the entries from 2022, with 2021 as a control surveillance period. Results: Reports of rash-like illnesses in 2022 between 1 April and 11 July (n = 656 reports) were higher than in the same period in 2021 (n = 75 reports). The data showed an increase in reports from July 2021 to July 2022, and the Mann–Kendall trend test showed a significant upward trend (P = 0.015). The most frequently reported illness was hand-foot-and-mouth disease, and the country with the most reports was India. Conclusions: Vast open-source data can be parsed using AI in systems such as EPIWATCH to assist in the early detection of disease outbreaks and monitor global trends. © 2023 The Royal Society for Public Health</t>
  </si>
  <si>
    <t xml:space="preserve">surveillace/outbreak prediction</t>
  </si>
  <si>
    <t xml:space="preserve">Public Health</t>
  </si>
  <si>
    <t xml:space="preserve">10.1016/j.puhe.2023.05.010</t>
  </si>
  <si>
    <t xml:space="preserve">https://www.scopus.com/inward/record.uri?eid=2-s2.0-85161705074&amp;doi=10.1016%2fj.puhe.2023.05.010&amp;partnerID=40&amp;md5=b7c806b7ab981cc711c93c619abdb9a8</t>
  </si>
  <si>
    <t xml:space="preserve">Kirby Institute, University of New South Wales, NSW, Australia</t>
  </si>
  <si>
    <t xml:space="preserve">Hutchinson D., Kirby Institute, University of New South Wales, NSW, Australia; Kunasekaran M., Kirby Institute, University of New South Wales, NSW, Australia; Quigley A., Kirby Institute, University of New South Wales, NSW, Australia; Moa A., Kirby Institute, University of New South Wales, NSW, Australia; MacIntyre C.R., Kirby Institute, University of New South Wales, NSW, Australia</t>
  </si>
  <si>
    <t xml:space="preserve">Artificial intelligence; Communicable diseases; Emerging; Mpox; Orthopoxvirus; Public health surveillance</t>
  </si>
  <si>
    <t xml:space="preserve">Animals; Artificial Intelligence; Disease Outbreaks; Epidemics; Exanthema; Humans; Monkeypox; United Kingdom; smallpox vaccine; artificial intelligence; disease spread; disease transmission; early warning system; public health; Article; artificial intelligence; chickenpox; communicable disease; epidemic; fever; hand foot and mouth disease; herpes simplex; human; machine learning; missed diagnosis; monkeypox; Orthopoxvirus; public health surveillance; rash; syphilis; United Kingdom; Zika virus; animal; artificial intelligence; epidemic; rash</t>
  </si>
  <si>
    <t xml:space="preserve">Balvi Filantropic Fund; National Health and Medical Research Council, NHMRC, (1137582)</t>
  </si>
  <si>
    <t xml:space="preserve">The study was supported by the Balvi Filantropic Fund. C. Raina MacIntyre is supported by a NHMRC Principal Research Fellowship, grant no. 1137582. </t>
  </si>
  <si>
    <t xml:space="preserve">MacIntyre C.R., Chen X., Kunasekaran M., Quigley A., Lim S., Stone H., Et al., Artificial intelligence in public health: the potential of epidemic early warning systems, J Int Med Res, 51, 3, (2023); MacIntyre C.R., Lim S., Quigley A., Preventing the next pandemic: use of artificial intelligence for epidemic monitoring and alerts, Cell Rep Med, 3, 12, (2022); Puca C., Trent M., Using the surveillance tool EpiWATCH to rapidly detect global mumps outbreaks, Global Biosecurity, 2, 1, (2020); EPIWATCH - About: EPIWATCH, (2022); Multi-country monkeypox outbreak in non-endemic countries: World Health Organization, (2022); 2022 monkeypox outbreak global map: centers for disease control and prevention, (2022); Monkeypox - key facts: World health organization, (2022); Nguyen P.Y., Ajisegiri W.S., Costantino V., Chughtai A.A., MacIntyre C.R., Reemergence of human monkeypox and declining population immunity in the context of urbanization, Nigeria, 2017-2020, Emerg Infect Dis, 27, 4, pp. 1007-1014, (2021); Poland G.A., Kennedy R.B., Tosh P.K., Prevention of monkeypox with vaccines: a rapid review, Lancet Infect Dis, 22, 12, pp. e349-e358, (2022); Thornhill J.P., Barkati S., Walmsley S., Rockstroh J., Antinori A., Harrison L.B., Et al., Monkeypox virus infection in humans across 16 countries — April–June 2022, N Engl J Med, 388, pp. 679-691, (2022); MacIntyre C.R., Monkeypox is not a global emergency for now, says WHO. 3 things we need to know next about how it's mutating and spreading: the Conversation, (2022); Ricco M., Ferraro P., Camisa V., Satta E., Zaniboni A., Ranzieri S., Et al., When a neglected tropical disease goes global: knowledge, attitudes and practices of Italian physicians towards monkeypox, preliminary results, Trop Med Infect Dis, 7, 7, (2022); Sallam M., Al-Mahzoum K., Dardas L., Al-Tammemi A., Al-Salahat K., Bakri F., Et al., Updated: knowledge of human monkeypox and its relation to conspiracy beliefs among students in Jordanian health schools: filling the knowledge gap on emerging zoonotic viruses, Medicina (Kaunas, Lithuania), 58, (2022); Meyer H., Perrichot M., Stemmler M., Emmerich P., Schmitz H., Varaine F., Et al., Outbreaks of disease suspected of being due to human monkeypox virus infection in the democratic Republic of Congo in 2001, J Clin Microbiol, 40, 8, pp. 2919-2921, (2002); Lederman E.R., Reynolds M.G., Karem K., Braden Z., Learned-Orozco L.A., Wassa-Wassa D., Et al., Prevalence of Antibodies against orthopoxviruses among residents of likouala region, republic of Congo: evidence for monkeypox virus exposure, Am J Trop Med Hyg, 77, 6, pp. 1150-1156, (2007); Bragazzi N.L., Khamisy-Farah R., Tsigalou C., Mahroum N., Converti M., Attaching a stigma to the LGBTQI+ community should be avoided during the monkeypox epidemic, J Med Virol, 95, (2022); Fleischauer A.T., Kile J.C., Davidson M., Fischer M., Karem K.L., Teclaw R., Et al., Evaluation of human-to-human transmission of monkeypox from infected patients to health care workers, Clin Infect Dis, 40, 5, pp. 689-694, (2005); Thornhill J.P., Palich R., Ghosn J., Walmsley S., Moschese D., Cortes C.P., Et al., Human monkeypox virus infection in women and non-binary individuals during the 2022 outbreaks: a global case series, Lancet, 400, 10367, pp. 1953-1965, (2022); Pan D., Sze S., Nazareth J., Martin C.A., Al-Oraibi A., Baggaley R.F., Et al., Monkeypox in the UK: arguments for a broader case definition, Lancet, 399, 10344, pp. 2345-2346, (2022); Hennessee I., Shelus V., McArdle C.E., Wolf M., Schatzman S., Carpenter A., Et al., Epidemiologic and clinical features of children and Adolescents aged &lt;18 Years with monkeypox - United States, May 17–September 24, 2022, MMWR Morb Mortal Wkly Rep, 71, 44, pp. 1407-1411, (2022); Joi P., What is behind the sudden international spread of monkeypox?, (2022); Tomato flu: Narayana health, (2022); Data analysis and statistical solution for Microsoft Excel, (2017); IBM SPSS Statistics for windows, version 220, (2013); Malaysia reports 32-fold increase in hand, foot and mouth disease in 2022, (2022); Cohen E., Testing is crucial to getting monkeypox under control, but there's a 'shocking' lack of demand: CNN, (2022); Monkeypox: case definitions, (2022); Courtney-Guy S., Russia ‘planned to use monkeypox as a bioweapon’, report warned, (2022); MacIntyre C.R., Reevaluating the risk of smallpox reemergence, Mil Med, 185, 7-8, pp. e952-e957, (2020)</t>
  </si>
  <si>
    <t xml:space="preserve">D. Hutchinson; Biosecurity Research Program, Kirby Institute, UNSW, Sydney, Gate 9, High Street, Randwick, 2052, Australia; email: dani.hutchinson@protonmail.com</t>
  </si>
  <si>
    <t xml:space="preserve">PUHEA</t>
  </si>
  <si>
    <t xml:space="preserve">2-s2.0-85161705074</t>
  </si>
  <si>
    <t xml:space="preserve">Kamana E.; Zhao J.</t>
  </si>
  <si>
    <t xml:space="preserve">Kamana, Eric (57558996100); Zhao, Jijun (57191637253)</t>
  </si>
  <si>
    <t xml:space="preserve">57558996100; 57191637253</t>
  </si>
  <si>
    <t xml:space="preserve">Deep learning hybrid model for analyzing and predicting the impact of imported malaria cases from Africa on the rise of Plasmodium falciparum in China before and during the COVID-19 pandemic</t>
  </si>
  <si>
    <t xml:space="preserve">Background Plasmodium falciparum cases are rising in China due to the imported malaria cases from African countries. The main goal of this study is to examine the impact of imported malaria cases in African countries on the rise of P. falciparum cases in China before and during the COVID-19 pandemic. Methods A generalized regression model was used to investigate the association of time trends between imported malaria cases from 45 African countries and P. falciparum cases in 31 provinces of China from 2012 to 2018 before the COVID-19 pandemic and during the COVID-19 pandemic from October 2020 to May 2021. Based on the analysis, we proposed a statistical and deep learning hybrid approach to model the resurgence of malaria in China using monthly data of P. falciparum from 2004 to 2016. This study builds a hybrid model known as the ARIMA-GRU approach for modeling the P. falciparum cases in all provinces of China and the number of malaria deaths in China before and during the COVID-19 pandemic. Results The analysis showed an emerging link between the rise of imported malaria cases from Africa and P. falciparum cases in many provinces of China. Many imported malaria cases from Africa were P. falciparum cases. The proposed deep learning model achieved a high prediction accuracy score on the testing dataset of 96%. Conclusion The study provided an analysis of the reduction of P. falciparum cases and deaths caused by imported P. falciparum cases during the COVID-19 pandemic due to the control measures regarding the limitation of international travel in China. The Chinese government has to prepare the imported malaria control measures after the normalization of international travel, to prevent the resurgence of malaria disease in China. © 2023 Kamana, Zhao. This is an open access article distributed under the terms of the Creative Commons Attribution License, which permits unrestricted use, distribution, and reproduction in any medium, provided the original author and source are credited.</t>
  </si>
  <si>
    <t xml:space="preserve">e0287702</t>
  </si>
  <si>
    <t xml:space="preserve">10.1371/journal.pone.0287702</t>
  </si>
  <si>
    <t xml:space="preserve">https://www.scopus.com/inward/record.uri?eid=2-s2.0-85179014853&amp;doi=10.1371%2fjournal.pone.0287702&amp;partnerID=40&amp;md5=42ae182a7cbaece57bbbb8c32c56ef97</t>
  </si>
  <si>
    <t xml:space="preserve">Complexity Science Institute, Qingdao University, Qingdao, China</t>
  </si>
  <si>
    <t xml:space="preserve">Kamana E., Complexity Science Institute, Qingdao University, Qingdao, China; Zhao J., Complexity Science Institute, Qingdao University, Qingdao, China</t>
  </si>
  <si>
    <t xml:space="preserve">Africa; China; COVID-19; Deep Learning; Humans; Malaria; Malaria, Falciparum; Pandemics; Plasmodium falciparum; Travel; Article; China; convolutional neural network; coronavirus disease 2019; deep learning; disease surveillance; disease transmission; human; long short term memory network; malaria; pandemic; Plasmodium falciparum; prediction; simulation; time series analysis; trend study; Africa; coronavirus disease 2019; malaria; malaria falciparum; pandemic; Plasmodium falciparum; travel</t>
  </si>
  <si>
    <t xml:space="preserve">Checkley Anna M., Et al., Risk factors for mortality from imported falciparum malaria in the United Kingdom over 20 years: an observational study, Bmj, 344, (2012); Askling Helena H., Et al., Management of imported malaria in Europe, Malaria journal, 11, 1, pp. 1-15, (2012); Androula Pavli, Maltezou Helena C., Malaria and travellers visiting friends and relatives, Travel medicine and infectious disease, 8, 3, pp. 161-168, (2010); Yiting Xie, Et al., Molecular epidemiological surveillance of Africa and Asia imported malaria in Wuhan, Central China: comparison of diagnostic tools during 2011-2018, Malaria Journal, 19, 1, pp. 1-14, (2020); Lai S., Wardrop N. A., Huang Z., Bosco C., Sun J., Bird T., Et al., Plasmodium falciparum malaria importation from Africa to China and its mortality: an analysis of driving factors, Scientific reports, 6, 1, pp. 1-9, (2016); Qian Zhang, Et al., The epidemiology of Plasmodium vivax and Plasmodium falciparum malaria in China, 2004-2012: from intensified control to elimination, Malaria Journal, 13, 1, pp. 1-9, (2014); Sheng Zhou, Et al., Trends of imported malaria in China 2010-2014: analysis of surveillance data, Malaria Journal, 15, 1, pp. 1-8, (2016); Li Zhongjie, Et al., Epidemiologic features of overseas imported malaria in the People's Republic of China, Malaria Journal, 15, 1, pp. 1-9, (2016); Sun Q., Yang Y., Xiao N., Zhou S., Lin K., Wang D., Et al., Malaria Imported from Ghana by Returning Gold Miners, China, 2013, Emerging infectious diseases, 21, 5, (2015); Yaobao Liu, Et al., Malaria in overseas labourers returning to China: an analysis of imported malaria in Jiangsu Province, 2001-2011, Malaria Journal, 13, 1, pp. 1-9, (2014); De Wu Z. D., Lin R., Mao Q., Lu W., Ruan C., Cen Y., Et al., Malaria Surveillance of Entry People During the COVID-19 Epidemic-Guangdong Province, China, October 2020-May 2021, China CDC Weekly, 3, 38, pp. 799-802, (2021); Wang X., He Z., Wu W., Liang Z., Li X., Ren H., Et al., Screening and diagnosis of two imported malaria cases under the situation of epidemic prevention and control of COVID-19, Acta Parasitologica et Medica Entomologica Sinica, pp. 71-75, (2021); Jian-hai Y. I. N., Li Z. H. A. N. G., Hong T. U., He-jun Z. H. O. U., Zhi-gui X. I. A., Analysis of case-based malaria surveillance and response during the period of COVID-19 outbreak in China, Chinese Journal of Parasitology and Parasitic Diseases, 39, 4, (2021); Rahmadani F., Lee H., Hybrid deep learning-based epidemic prediction framework of COVID-19: South Korea case, Applied Sciences, 10, 23, (2020); Zhang G., Liu X., Prediction and control of COVID-19 spreading based on a hybrid intelligent model, Plos one, 16, 2, (2021); Verma H., Mandal S., Gupta A., Temporal deep learning architecture for prediction of COVID-19 cases in India, Expert Systems with Applications, (2022); Absar N., Uddin N., Khandaker M. U., Ullah H., The efficacy of deep learning based LSTM model in forecasting the outbreak of contagious diseases, Infectious Disease Modelling, 7, 1, pp. 170-183, (2022); China disease prevention and control center for infectious disease prevention and control, (2019); Feng J., Tu H., Zhang L., Xia Z., Zhou S., Imported Malaria Cases-China, 2012-2018, China CDC Weekly, 2, 17, (2020); Zhang L., Tu H., Zhou S., Xia Z., Feng J., Malaria Deaths-China, 2011-2020, China CDC Weekly, 3, 17, (2021); Khandelwal I., Adhikari R., Verma G., Time series forecasting using hybrid ARIMA and ANN models based on DWT decomposition, Procedia Computer Science, 48, 1, pp. 173-179, (2015); Zhang R., Song H., Chen Q., Wang Y., Wang S., Li Y., Comparison of ARIMA and LSTM for prediction of hemorrhagic fever at different time scales in China, Plos one, 17, 1, (2022); Panigrahi S., Behera H., A hybrid ETS-ANN model for time series forecasting, Engineering Applications of Artificial Intelligence, 66, pp. 49-59, (2017); Jing-diao C. H. E. N., Rong-xing L. I. N., Zhuo-hui D. E. N. G., Bo P. A. N., Fu-quan P. E. I., Wen-cheng L. U., Et al., Analysis on the epidemic situation of imported malaria in Guangdong Province from 2011 to 2019, Journal of Tropical Diseases and Parasitology, 18, 4, (2020); Yang H. L., Baloch Z., Xu J. W., Sun X. D., Lin Z. R., Zhou Y. W., Et al., Malaria: elimination tale from Yunnan Province of China and new challenges for reintroduction, Infectious Diseases of Poverty, 10, pp. 86-89, (2021); Ding C., Huang C., Zhou Y., Fu X., Liu X., Wu J., Et al., Malaria in China: a longitudinal population-based surveillance study, Epidemiology &amp; Infection, 148, (2020); Lin H., Lu L., Tian L., Zhou S., Wu H., Bi Y., Et al., Spatial and temporal distribution of falciparum malaria in China, Malaria Journal, 8, 1, pp. 1-9, (2009); Noda H., A Model to Estimate the Effect of International Traffic on Malaria Cases: The Case of Japan from 1999 to 2021, International Journal of Environmental Research and Public Health, 19, 2, (2022)</t>
  </si>
  <si>
    <t xml:space="preserve">E. Kamana; Complexity Science Institute, Qingdao University, Qingdao, China; email: Kameri16@yahoo.com; J. Zhao; Complexity Science Institute, Qingdao University, Qingdao, China; email: jjzhao@qdu.edu.cn</t>
  </si>
  <si>
    <t xml:space="preserve">2-s2.0-85179014853</t>
  </si>
  <si>
    <t xml:space="preserve">Shambhu S.; Koundal D.; Das P.</t>
  </si>
  <si>
    <t xml:space="preserve">Shambhu, Shankar (57218870233); Koundal, Deepika (55446289500); Das, Prasenjit (57196049683)</t>
  </si>
  <si>
    <t xml:space="preserve">57218870233; 55446289500; 57196049683</t>
  </si>
  <si>
    <t xml:space="preserve">Deep learning-based computer assisted detection techniques for malaria parasite using blood smear images</t>
  </si>
  <si>
    <t xml:space="preserve">Malaria remains a significant global health concern, impacting various regions worldwide. Achieving effective treatment and reducing mortality rates hinges on early and accurate diagnosis. In the year 2021, the World Health Organization (WHO) reported a staggering 619,000 deaths attributed to malaria. Additionally, approximately 214 million individuals were afflicted by this disease during that period. Hence, this study introduces two distinct deep-learning algorithms tailored for malaria disease classification. The first method employs a binary classifier convolutional neural network (CNN) model, attaining an accuracy (ACC) of 90.20%. The second method introduces a customized CNN model that exhibits even greater ACC, reaching an impressive 96.02%. These advanced deep learning (DL) techniques hold the potential to enhance the precision (PRE) and efficiency of malaria diagnosis, ultimately facilitating early disease detection. The study provides comprehensive insights into the proposed models. Model 1 involves malaria disease classification employing a CNN-based binary classifier, while Model 2 adopts a customized CNN architecture. The methodology section elucidates the details of these models, their design, and the execution of experiments undertaken to evaluate their performance. Notably, the proposed method is juxtaposed with the state-of-the-art approach, demonstrating superior results in accurately discerning infected and uninfected malaria blood cell images. © 2023 Shankar Shambhu et al. License.</t>
  </si>
  <si>
    <t xml:space="preserve">International Journal of Advanced Technology and Engineering Exploration</t>
  </si>
  <si>
    <t xml:space="preserve">Accent Social and Welfare Society</t>
  </si>
  <si>
    <t xml:space="preserve">10.19101/IJATEE.2023.10101218</t>
  </si>
  <si>
    <t xml:space="preserve">https://www.scopus.com/inward/record.uri?eid=2-s2.0-85170044755&amp;doi=10.19101%2fIJATEE.2023.10101218&amp;partnerID=40&amp;md5=cb38551a4cfe31f765492166ba8ffa58</t>
  </si>
  <si>
    <t xml:space="preserve">Chitkara University School of Engineering &amp; Technology, Chitkara University, Himachal Pradesh, India; School of Computer Science, University of Petroleum and Energy Studies, Dehradun, India</t>
  </si>
  <si>
    <t xml:space="preserve">Shambhu S., Chitkara University School of Engineering &amp; Technology, Chitkara University, Himachal Pradesh, India; Koundal D., School of Computer Science, University of Petroleum and Energy Studies, Dehradun, India; Das P., Chitkara University School of Engineering &amp; Technology, Chitkara University, Himachal Pradesh, India</t>
  </si>
  <si>
    <t xml:space="preserve">Binary classifier; Customized CNN model; Deep learning; Image classification; Malaria classification; Parasite detection</t>
  </si>
  <si>
    <t xml:space="preserve">Ross and the discovery that mosquitoes transmit malaria parasites; May Z, Aziz SS., Automated quantification and classification of malaria parasites in thin blood smears, international conference on signal and image processing applications, pp. 369-373, (2013); Gilles HM., Management of severe and complicated malaria. A practical handbook, (1991); Murphy SC, Breman JG., Gaps in the childhood malaria burden in Africa: cerebral malaria, neurological sequelae, anemia, respiratory distress, hypoglycemia, and complications of pregnancy, The Intolerable Burden of Malaria: A New Look at the Numbers: Supplement to Volume 64 (1) of the American Journal of Tropical Medicine and Hygiene, (2001); Sachs J, Malaney P., The economic and social burden of malaria, Nature, 415, 6872, pp. 680-685, (2002); Chahar R, Dubey AK, Narang SK., A review and meta-analysis of machine intelligence approaches for mental health issues and depression detection, International Journal of Advanced Technology and Engineering Exploration, 8, 83, pp. 1279-1314, (2021); Rosado L, Correia DCJM, Elias D, CJ S, A review of automatic malaria parasites detection and segmentation in microscopic images, Anti-Infective Agents, 14, 1, pp. 11-22, (2016); Tek FB, Dempster AG, Kale I., Computer vision for microscopy diagnosis of malaria, Malaria Journal, 8, pp. 1-4, (2009); Razin WR, Gunawan TS, Kartiwi M, Yusoff NM., Malaria parasite detection and classification using CNN and YOLOv5 architectures, 8th international conference on smart instrumentation, measurement and applications 2022, pp. 277-281; Poostchi M, Silamut K, Maude RJ, Jaeger S, Thoma G., Image analysis and machine learning for detecting malaria, Translational Research, 194, pp. 36-55, (2018); Alharbi AH, Lin M, Ashwini B, Jabarulla MY, Shah MA., Detection of peripheral malarial parasites in blood smears using deep learning models, Computational Intelligence and Neuroscience, 2022, pp. 1-11, (2022); Marques G, Ferreras A, De LTI., An ensemble-based approach for automated medical diagnosis of malaria using EfficientNet, Multimedia Tools and Applications, 81, 19, pp. 28061-28078, (2022); Fuhad KM, Tuba JF, Sarker MR, Momen S, Mohammed N, Rahman T., Deep learning based automatic malaria parasite detection from blood smear and its smartphone based application, Diagnostics, 10, 5, pp. 1-22, (2020); Simon A, Vinayakumar R, Sowmya V, Soman KP, Gopalakrishnan EA., A deep learning approach for patch-based disease diagnosis from microscopic images, classification techniques for medical image analysis and computer aided diagnosis 2019, pp. 109-127; Dubey A, Gupta U, Jain S., Medical data clustering and classification using TLBO and machine learning algorithms, Computers, Materials and Continua, 70, 3, pp. 4523-4543, (2021); Maqsood A, Farid MS, Khan MH, Grzegorzek M., Deep malaria parasite detection in thin blood smear microscopic images, Applied Sciences, 11, 5, pp. 1-19, (2021); Rajaraman S, Silamut K, Hossain MA, Ersoy I, Maude RJ, Jaeger S, Et al., Understanding the learned behavior of customized convolutional neural networks toward malaria parasite detection in thin blood smear images, Journal of Medical Imaging, 5, 3, pp. 1-11, (2018); Raj M, Sharma R, Sain D., A deep convolutional neural network for detection of malaria parasite in thin blood smear images, 10th international conference on communication systems and network technologies 2021, pp. 510-514; Minarno AE, Aripa L, Azhar Y, Munarko Y., Classification of malaria cell image using inception-V3 architecture, JOIV: International Journal on Informatics Visualization, 7, 2, pp. 273-278, (2023); Silka W, Wieczorek M, Silka J, Wozniak M., Malaria detection using advanced deep learning architecture, Sensors, 23, 3, pp. 1-21, (2023); Krishnadas P, Chadaga K, Sampathila N, Rao S, Prabhu S., Classification of malaria using object detection models, Informatics, 9, 4, pp. 1-18, (2022); Sifat MM, Islam MM., A fully automated system to detect malaria parasites and their stages from the blood smear, region 10 symposium 2020, pp. 1351-1354; Sampathila N, Shet N, Basu A., Computational approach for diagnosis of malaria through classification of malaria parasite from microscopic image of blood smear, Biomedical Research, 29, 18, pp. 3464-3468, (2018); Li D, Ma Z., Residual attention learning network and SVM for malaria parasite detection, Multimedia Tools and Applications, 81, 8, pp. 10935-10960, (2022); Roy K, Sharmin S, Mukta RM, Sen A., Detection of malaria parasite in Giemsa blood sample using image processing, International Journal of Computer Science and Information Technology, 10, 1, pp. 55-65, (2018); Nayak S, Kumar S, Jangid M., Malaria detection using multiple deep learning approaches, 2019 2nd international conference on intelligent communication and computational techniques, pp. 292-297, (2019); Maduri PK, Agrawal S, Rai A, Chaubey S., Malaria detection using image processing and machine learning, 3rd international conference on advances in computing, communication control and networking 2021, pp. 1789-1792; Francies ML, Ata MM, Mohamed MA., A robust multiclass 3D object recognition based on modern YOLO deep learning algorithms, Concurrency and Computation: Practice and Experience, 34, 1, (2022); Setyawan D, Wardoyo R, Wibowo ME, Murhandarwati EE, Jamilah J., Malaria classification using convolutional neural network: a review, sixth international conference on informatics and computing 2021, pp. 1-9; Hung J, Carpenter A., Applying faster R-CNN for object detection on malaria images, proceedings of the IEEE conference on computer vision and pattern recognition workshops, pp. 56-61, (2017); Var E, Tek FB., Malaria parasite detection with deep transfer learning, 3rd international conference on computer science and engineering, pp. 298-302, (2018); Yang F, Poostchi M, Yu H, Zhou Z, Silamut K, Yu J, Et al., Deep learning for smartphone-based malaria parasite detection in thick blood smears, IEEE Journal of Biomedical and Health Informatics, 24, 5, pp. 1427-1438, (2019); Iradukunda O, Che H, Uwineza J, Bayingana JY, Bin-imam MS, Niyonzima I., Malaria disease prediction based on machine learning, international conference on signal, information and data processing, pp. 1-7, (2019); Prakash SS, Kovoor BC, Visakha K., Convolutional neural network based malaria parasite infection detection using thin microscopic blood smear samples, second international conference on inventive research in computing applications 2020, pp. 308-313; Shekar G, Revathy S, Goud EK., Malaria detection using deep learning, 4th international conference on trends in electronics and informatics (48184) 2020, pp. 746-750; Umer M, Sadiq S, Ahmad M, Ullah S, Choi GS, Mehmood A., A novel stacked CNN for malarial parasite detection in thin blood smear images, IEEE Access, 8, pp. 93782-93792, (2020); Joshi AM, Das AK, Dhal S., Deep learning based approach for malaria detection in blood cell images, region 10 conference 2020, pp. 241-246; Paul A, Bania RK., Malaria parasite classification using deep convolutional neural network, international conference on computational intelligence and computing applications 2021, pp. 1-6; Aimi SAN, Yusoff M, Zeehaida M., Colour image segmentation approach for detection of malaria parasites using various colour models and k-means clustering, WSEAS Transactions on Biology and Biomedicine, 10, 1, pp. 41-55, (2013); Savkare SS, Narote SP., Automatic detection of malaria parasites for estimating parasitemia, International Journal of Computer Science and Security, 5, 3, pp. 310-315, (2011); Patel M, Shah M., Transfer learning with fine-tuned deep CNN model for COVID-19 diagnosis from chest X-ray images, International Journal of Advanced Technology and Engineering Exploration, 10, 103, pp. 720-740, (2023); Jameela T, Athota K, Singh N, Gunjan VK, Kahali S., Deep learning and transfer learning for malaria detection, Computational Intelligence and Neuroscience, 2022, pp. 1-14, (2022); Shah D, Kawale K, Shah M, Randive S, Mapari R., Malaria parasite detection using deep learning:(beneficial to humankind), 4th international conference on intelligent computing and control systems 2020, pp. 984-988; Fatima T, Farid MS., Automatic detection of Plasmodium parasites from microscopic blood images, Journal of Parasitic Diseases, 44, 1, pp. 69-78, (2020); Sharma A, Vaishampayan C, Santlani K, Sunhare M, Arya M, Gupta S., Malaria parasite detection using deep learning, International Journal for Research in Applied Science &amp; Engineering Technology, 8, pp. 163-168, (2020); Vijayalakshmi A., Deep learning approach to detect malaria from microscopic images, Multimedia Tools and Applications, 79, pp. 15297-15317, (2020); Rajaraman S, Antani SK, Poostchi M, Silamut K, Hossain MA, Maude RJ, Et al., Pre-trained convolutional neural networks as feature extractors toward improved malaria parasite detection in thin blood smear images, Peer J, 6, (2018)</t>
  </si>
  <si>
    <t xml:space="preserve">S. Shambhu; Chitkara University School of Engineering &amp; Technology, Chitkara University, Himachal Pradesh, India; email: shankar.shambhu@chitkarauniversity.edu.in</t>
  </si>
  <si>
    <t xml:space="preserve">Int. J. Adv. Technol. Eng. Explor.</t>
  </si>
  <si>
    <t xml:space="preserve">All Open Access; Bronze Open Access</t>
  </si>
  <si>
    <t xml:space="preserve">2-s2.0-85170044755</t>
  </si>
  <si>
    <t xml:space="preserve">Hevia-Montiel N.; Haro P.; Guillermo-Cordero L.; Perez-Gonzalez J.</t>
  </si>
  <si>
    <t xml:space="preserve">Hevia-Montiel, Nidiyare (56000866700); Haro, Paulina (25633862900); Guillermo-Cordero, Leonardo (56297162600); Perez-Gonzalez, Jorge (56198041400)</t>
  </si>
  <si>
    <t xml:space="preserve">56000866700; 25633862900; 56297162600; 56198041400</t>
  </si>
  <si>
    <t xml:space="preserve">Deep Learning–Based Segmentation of Trypanosoma cruzi Nests in Histopathological Images</t>
  </si>
  <si>
    <t xml:space="preserve">The use of artificial intelligence has shown good performance in the medical imaging area, in particular the deep learning methods based on convolutional neural networks for classification, detection, and/or segmentation tasks. The task addressed in this research work is the segmentation of amastigote nests from histological microphotographs in the study of Trypanosoma cruzi infection (Chagas disease) implementing a U-Net convolutional network architecture. For the nests’ segmentation, a U-Net architecture was trained on histological images of an acute-stage murine experimental model performing a 5-fold cross-validation, while the final tests were carried out with data unseen by the U-Net from three image groups of different experimental models. During the training stage, the obtained results showed an average accuracy of 98.19 ± 0.01, while in the case of the final tests, an average accuracy of 99.9 ± 0.1 was obtained for the control group, as well as 98.8 ± 0.9 and 99.1 ± 0.8 for two infected groups; in all cases, high sensitivity and specificity were observed in the results. We can conclude that the use of a U-Net architecture proves to be a relevant tool in supporting the diagnosis and analysis of histological images for the study of Chagas disease. © 2023 by the authors.</t>
  </si>
  <si>
    <t xml:space="preserve">Electronics (Switzerland)</t>
  </si>
  <si>
    <t xml:space="preserve">10.3390/electronics12194144</t>
  </si>
  <si>
    <t xml:space="preserve">https://www.scopus.com/inward/record.uri?eid=2-s2.0-85173869069&amp;doi=10.3390%2felectronics12194144&amp;partnerID=40&amp;md5=2264183d35456269a0b44a61e709299e</t>
  </si>
  <si>
    <t xml:space="preserve">Unidad Académica del Instituto de Investigaciones en Matemáticas Aplicadas y en Sistemas del Estado de Yucatán, Universidad Nacional Autónoma de México, Km 4.5. Carretera Mérida-Tetiz, Yucatan, Ucú, 97357, Mexico; Instituto de Investigaciones en Ciencias Veterinarias, Universidad Autónoma de Baja California, Baja California, Mexicali, 21386, Mexico; Facultad de Medicina Veterinaria y Zootecnia, Universidad Autónoma de Yucatán, Km. 15.5. Carretera Mérida-Xmatkuil, Yucatan, Tizapán, 97100, Mexico</t>
  </si>
  <si>
    <t xml:space="preserve">Hevia-Montiel N., Unidad Académica del Instituto de Investigaciones en Matemáticas Aplicadas y en Sistemas del Estado de Yucatán, Universidad Nacional Autónoma de México, Km 4.5. Carretera Mérida-Tetiz, Yucatan, Ucú, 97357, Mexico; Haro P., Instituto de Investigaciones en Ciencias Veterinarias, Universidad Autónoma de Baja California, Baja California, Mexicali, 21386, Mexico; Guillermo-Cordero L., Facultad de Medicina Veterinaria y Zootecnia, Universidad Autónoma de Yucatán, Km. 15.5. Carretera Mérida-Xmatkuil, Yucatan, Tizapán, 97100, Mexico; Perez-Gonzalez J., Unidad Académica del Instituto de Investigaciones en Matemáticas Aplicadas y en Sistemas del Estado de Yucatán, Universidad Nacional Autónoma de México, Km 4.5. Carretera Mérida-Tetiz, Yucatan, Ucú, 97357, Mexico</t>
  </si>
  <si>
    <t xml:space="preserve">automatic nest segmentation; chagas disease; convolutional neural network; deep learning; histopathological imaging; Trypanosoma cruzi infection</t>
  </si>
  <si>
    <t xml:space="preserve">UNAM-PAPIIT, (IA104622, IT101422)</t>
  </si>
  <si>
    <t xml:space="preserve">This work was supported by UNAM-PAPIIT Programs IT101422 and IA104622. The APC was funded by IT101422.</t>
  </si>
  <si>
    <t xml:space="preserve">Liu X., Gao K., Liu B., Pan C., Liang K., Yan L., Ma J., He F., Zhang S., Pan S., Et al., Advances in Deep Learning-Based Medical Image Analysis, Health Data Sci, 2021, (2021); Pan X., Li L., Yang H., Liu Z., Yang J., Zhao L., Fan Y., Accurate segmentation of nuclei in pathological images via sparse reconstruction and deep convolutional networks, Neurocomputing, 229, pp. 88-99, (2017); Pan X., Cheng J., Hou F., Lan R., Lu C., Li L., Feng Z., Wang H., Liang C., Liu Z., Et al., SMILE: Cost-sensitive multi-task learning for nuclear segmentation and classification with imbalanced annotations, Med. Image Anal, 88, (2023); Del Toro O.J., Quantitative Analysis of Medical Images: Finding Relevant Regions-of-Interest for Medical Decision Support, Ph.D. Thesis, (2017); del Toro O.J., Otalora S., Andersson M., Euren K., Hedlund M., Rousson M., Muller H., Atzori M., Analysis of Histopathology Images, Biomedical Texture Analysis, pp. 281-314, (2017); Lidani K.C.F., Andrade F.A., Bavia L., Damasceno F.S., Beltrame M.H., Messias-Reason I.J., Sandri T.L., Chagas Disease: From Discovery to a Worldwide Health Problem, Front. Public Health, 7, (2019); Fuentes-Vicente J.A.D., Vidal-Lopez D.G., Flores-Villegas A.L., Moreno-Rodriguez A., Alba-Alvarado M.C.D., Salazar-Schettino P.M., Rodriguez-Lopez M.H., Gutierrez-Cabrera A.E., Trypanosoma cruzi: A review of biological and methodological factors in Mexican strains, Acta Trop, 195, pp. 51-57, (2019); Lima F., Oliveira P., Mortara R., Silveira J., Bahia D., The challenge of Chagas’ disease: Has the human pathogen, Trypanosoma cruzi, learned how to modulate signaling events to subvert host cells?, New Biotechnol, 27, pp. 837-843, (2010); Nunes M.C.P., Beaton A., Acquatella H., Bern C., Bolger A.F., Echeverria L.E., Dutra W.O., Gascon J., Morillo C.A., Oliveira-Filho J., Et al., Chagas Cardiomyopathy: An Update of Current Clinical Knowledge and Management: A Scientific Statement From the American Heart Association, Circulation, 138, pp. e169-e209, (2018); Uc-Cetina V., Bito-Loeza C., Ruiz-Pina H., Chagas Parasites Detection through Gaussian Discriminant Analysis, Abstr. Appl, 8, pp. 6-17, (2013); Uc-Cetina V., Brito-Loeza C., Ruiz-Pina H., Chagas Parasite Detection in Blood Images Using AdaBoost, Comput. Math. Methods Med, 2015, (2015); Morais M.C.C., Silva D., Milagre M.M., de Oliveira M.T., Pereira T., Silva J.S., da F. Costa L., Minoprio P., Junior R.M.C., Gazzinelli R., Et al., Automatic detection of the parasite Trypanosoma cruzi in blood smears using a machine learning approach applied to mobile phone images, PeerJ, 10, (2022); Ojeda-Pat A., Martin-Gonzalez A., Soberanis-Mukul R., Convolutional Neural Network U-Net for Trypanosoma cruzi Segmentation, Intelligent Computing Systems, pp. 118-131, (2020); Mehanian C., Jaiswal M., Delahunt C., Thompson C., Horning M., Hu L., McGuire S., Ostbye T., Mehanian M., Wilson B., Et al., Computer-Automated Malaria Diagnosis and Quantitation Using Convolutional Neural Networks, Proceedings of the 2017 IEEE International Conference on Computer Vision Workshops (ICCVW); Gorriz M., Aparicio A., Raventos B., Vilaplana V., Sayrol E., Lopez-Codina D., Leishmaniasis Parasite Segmentation and Classification Using Deep Learning, Articulated Motion and Deformable Objects, pp. 53-62, (2018); Taylor L., Nitschke G., Improving Deep Learning with Generic Data Augmentation, Proceedings of the 2018 IEEE Symposium Series on Computational Intelligence (SSCI); Shorten C., Khoshgoftaar T.M., A survey on Image Data Augmentation for Deep Learning, J. Big Data, 6, (2019); Gonzalez R., Woods R., Digital Image Processing, (2017); Zhang W., Sun X., Zhou L., Xie X., Zhao W., Liang Z., Zhuang P., Dual-branch collaborative learning network for crop disease identification, Front. Plant Sci, 14, (2023); Zhang W., Li Z., Sun H.H., Zhang Q., Zhuang P., Li C., SSTNet: Spatial, Spectral, and Texture Aware Attention Network Using Hyperspectral Image for Corn Variety Identification, IEEE Geosci. Remote Sens. Lett, 19, (2022); Ronneberger O., Fischer P., Brox T., U-Net: Convolutional Networks for Biomedical Image Segmentation, Lecture Notes in Computer Science, pp. 234-241, (2015); Sanchez-Patino N., Toriz-Vazquez A., Hevia-Montiel N., Perez-Gonzalez J., Convolutional Neural Networks for Chagas’ Parasite Detection in Histopathological Images, Proceedings of the 2021 43rd Annual International Conference of the IEEE Engineering in Medicine &amp; Biology Society (EMBC); Putzu L., Fumera G., An Empirical Evaluation of Nuclei Segmentation from H&amp;E Images in a Real Application Scenario, Appl. Sci, 10, (2020); Vuola A.O., Akram S.U., Kannala J., Mask-RCNN and U-Net Ensembled for Nuclei Segmentation, Proceedings of the 2019 IEEE 16th International Symposium on Biomedical Imaging (ISBI 2019); Siddique N., Paheding S., Elkin C.P., Devabhaktuni V., U-Net and Its Variants for Medical Image Segmentation: A Review of Theory and Applications, IEEE Access, 9, pp. 82031-82057, (2021); Martin D., An Empirical Approach to Grouping and Segmentation, Ph.D. Thesis, (2002); Lipton Z.C., Elkan C., Naryanaswamy B., Optimal Thresholding of Classifiers to Maximize F1 Measure, Machine Learning and Knowledge Discovery in Databases, pp. 225-239, (2014); Diamantidis N., Karlis D., Giakoumakis E., Unsupervised stratification of cross-validation for accuracy estimation, Artif. Intell, 116, pp. 1-16, (2000); Flach P., Machine Learning, (2012); Jackson D.A., Somers K.M., Harvey H.H., Similarity coefficients: Measures of co-ocurrence and association or simply measures of occurrence?, Am. Nat, 133, pp. 436-453, (1989); Tan P.N., Steinbach M., Kumar V., Introduction to Data Mining, (2006); Costa M.G.F., Campos J.P.M., de Aquino e Aquino G., de Albuquerque Pereira W.C., Filho C.F.F.C., Evaluating the performance of convolutional neural networks with direct acyclic graph architectures in automatic segmentation of breast lesion in US images, BMC Med. Imaging, 19, (2019); Noguera J.L.V., Ayala H.L., Schaerer C.E., Rolon M., Mathematical morphology for counting Trypanosoma cruzi amastigotes, Proceedings of the 2013 XXXIX Latin American Computing Conference (CLEI); de Souza Relli C., Facon J., Ayala H.L., Britto A.D.S., Automatic counting of trypanosomatid amastigotes in infected human cells, Comput. Biol. Med, 89, pp. 222-235, (2017); Centeno C.A., Voos J.A., Salamero M.A., Donet L., Dogliani M., Casasnovas S., Osimani C., LoPresti S., Automated parasitaemia quantification in mice infected with Trypanosoma cruzi, Proceedings of the 2020 IEEE Congreso Bienal de Argentina (ARGENCON); Soberanis-Mukul R., Uc-Cetina V., Brito-Loeza C., Ruiz-Pina H., An automatic algorithm for the detection of Trypanosoma cruzi parasites in blood sample images, Comput. Methods Programs Biomed, 112, pp. 633-639, (2013); Moon S., Siqueira-Neto J.L., Moraes C.B., Yang G., Kang M., Freitas-Junior L.H., Hansen M.A.E., An Image-Based Algorithm for Precise and Accurate High Throughput Assessment of Drug Activity against the Human Parasite Trypanosoma cruzi, PLoS ONE, 9, (2014); Dias J.C.P., Ramos A.N., Gontijo E.D., Luquetti A., Shikanai-Yasuda M.A., Coura J.R., Torres R.M., da Cunha Melo J.R., de Almeida E.A., de Oliveira W., Et al., 2nd Brazilian Consensus on Chagas Disease, 2015, Rev. Soc. Bras. Med. Trop, 49, pp. 3-60, (2016); Guideline for Diagnosis and Treatment of Chagas, (2019)</t>
  </si>
  <si>
    <t xml:space="preserve">N. Hevia-Montiel; Unidad Académica del Instituto de Investigaciones en Matemáticas Aplicadas y en Sistemas del Estado de Yucatán, Universidad Nacional Autónoma de México, Ucú, Km 4.5. Carretera Mérida-Tetiz, Yucatan, 97357, Mexico; email: nidiyare.hevia@iimas.unam.mx</t>
  </si>
  <si>
    <t xml:space="preserve">2-s2.0-85173869069</t>
  </si>
  <si>
    <t xml:space="preserve">Vu D.M.; Krystosik A.R.; Ndenga B.A.; Mutuku F.M.; Ripp K.; Liu E.; Bosire C.M.; Heath C.; Chebii P.; Maina P.W.; Jembe Z.; Malumbo S.L.; Amugongo J.S.; Ronga C.; Okuta V.; Mutai N.; Makenzi N.G.; Litunda K.A.; Mukoko D.; King C.H.; LaBeaud A.D.</t>
  </si>
  <si>
    <t xml:space="preserve">Vu, David M. (12780374900); Krystosik, Amy R. (57190291221); Ndenga, Bryson A. (6507028915); Mutuku, Francis M. (13006192600); Ripp, Kelsey (49663917400); Liu, Elizabeth (59168034300); Bosire, Carren M. (57219616004); Heath, Claire (57194156513); Chebii, Philip (57209237079); Maina, Priscilla Watiri (57209238696); Jembe, Zainab (57209236442); Malumbo, Said Lipi (58509873200); Amugongo, Jael Sagina (57219614945); Ronga, Charles (57209235730); Okuta, Victoria (57219617850); Mutai, Noah (59164502900); Makenzi, Nzaro G. (59167908600); Litunda, Kennedy A. (59168550200); Mukoko, Dunstan (6506069514); King, Charles H. (7401525576); LaBeaud, A. Desiree (15051976500)</t>
  </si>
  <si>
    <t xml:space="preserve">12780374900; 57190291221; 6507028915; 13006192600; 49663917400; 59168034300; 57219616004; 57194156513; 57209237079; 57209238696; 57209236442; 58509873200; 57219614945; 57209235730; 57219617850; 59164502900; 59167908600; 59168550200; 6506069514; 7401525576; 15051976500</t>
  </si>
  <si>
    <t xml:space="preserve">Detection of acute dengue virus infection, with and without concurrent malaria infection, in a cohort of febrile children in Kenya, 2014-2019, by clinicians or machine learning algorithms</t>
  </si>
  <si>
    <t xml:space="preserve">Poor access to diagnostic testing in resource limited settings restricts surveillance for emerging infections, such as dengue virus (DENV), to clinician suspicion, based on history and exam observations alone. We investigated the ability of machine learning to detect DENV based solely on data available at the clinic visit. We extracted symptom and physical exam data from 6,208 pediatric febrile illness visits to Kenyan public health clinics from 2014-2019 and created a dataset with 113 clinical features. Malaria testing was available at the clinic site. DENV testing was performed afterwards. We randomly sampled 70% of the dataset to develop DENV and malaria prediction models using boosted logistic regression, decision trees and random forests, support vector machines, naïve Bayes, and neural networks with 10-fold cross validation, tuned to maximize accuracy. 30% of the dataset was reserved to validate the models. 485 subjects (7.8%) had DENV, and 3,145 subjects (50.7%) had malaria. 220 (3.5%) subjects had co-infection with both DENV and malaria. In the validation dataset, clinician accuracy for diagnosis of malaria was high (82% accuracy, 85% sensitivity, 80% specificity). Accuracy of the models for predicting malaria diagnosis ranged from 53-69% (35-94% sensitivity, 11-80% specificity). In contrast, clinicians detected only 21 of 145 cases of DENV (80% accuracy, 14% sensitivity, 85% specificity). Of the six models, only logistic regression identified any DENV case (8 cases, 91% accuracy, 5.5% sensitivity, 98% specificity). Without diagnostic testing, interpretation of clinical findings by humans or machines cannot detect DENV at 8% prevalence. Access to point-of-care diagnostic tests must be prioritized to address global inequities in emerging infections surveillance. Copyright: © 2023 Vu et al. This is an open access article distributed under the terms of the Creative Commons Attribution License, which permits unrestricted use, distribution, and reproduction in any medium, provided the original author and source are credited.</t>
  </si>
  <si>
    <t xml:space="preserve">Kenya</t>
  </si>
  <si>
    <t xml:space="preserve">e0001950</t>
  </si>
  <si>
    <t xml:space="preserve">10.1371/journal.pgph.0001950</t>
  </si>
  <si>
    <t xml:space="preserve">https://www.scopus.com/inward/record.uri?eid=2-s2.0-85195692107&amp;doi=10.1371%2fjournal.pgph.0001950&amp;partnerID=40&amp;md5=766e52b3fe5aac2b26462f189cfda196</t>
  </si>
  <si>
    <t xml:space="preserve">Department of Pediatrics, Division of Infectious Diseases, Stanford University School of Medicine, Stanford, CA, United States; Centre for Global Health Research, Kenya Medical Research Institute, Kisumu, Kenya; Department of Environment and Health Sciences, Technical University of Mombasa, Mombasa, Kenya; University of Global Health Equity, Butaro, Rwanda; Department of Pure and Applied Sciences, Technical University of Mombasa, Mombasa, Kenya; Vector-Borne Diseases Unit, Msambweni County Referral Hospital, Msambweni, Kwale, Kenya; Vector-Borne Diseases Unit, Diani Health Center, Kwale, Ukunda, Kenya; Paediatric Department, Obama Children's Hospital, Jaramogi Oginga Odinga Referral Hospital, Kisumu, Kenya; Vector-Borne Diseases Unit, Ministry of Health, Nairobi, Kenya; Department of Pathology, Center for Global Health and Diseases, Case Western Reserve University School of Medicine, Cleveland, OH, United States</t>
  </si>
  <si>
    <t xml:space="preserve">Vu D.M., Department of Pediatrics, Division of Infectious Diseases, Stanford University School of Medicine, Stanford, CA, United States; Krystosik A.R., Department of Pediatrics, Division of Infectious Diseases, Stanford University School of Medicine, Stanford, CA, United States; Ndenga B.A., Centre for Global Health Research, Kenya Medical Research Institute, Kisumu, Kenya; Mutuku F.M., Department of Environment and Health Sciences, Technical University of Mombasa, Mombasa, Kenya; Ripp K., University of Global Health Equity, Butaro, Rwanda; Liu E., Department of Pediatrics, Division of Infectious Diseases, Stanford University School of Medicine, Stanford, CA, United States; Bosire C.M., Department of Pure and Applied Sciences, Technical University of Mombasa, Mombasa, Kenya; Heath C., Department of Pediatrics, Division of Infectious Diseases, Stanford University School of Medicine, Stanford, CA, United States; Chebii P., Vector-Borne Diseases Unit, Msambweni County Referral Hospital, Msambweni, Kwale, Kenya; Maina P.W., Vector-Borne Diseases Unit, Msambweni County Referral Hospital, Msambweni, Kwale, Kenya; Jembe Z., Vector-Borne Diseases Unit, Diani Health Center, Kwale, Ukunda, Kenya; Malumbo S.L., Vector-Borne Diseases Unit, Msambweni County Referral Hospital, Msambweni, Kwale, Kenya; Amugongo J.S., Vector-Borne Diseases Unit, Msambweni County Referral Hospital, Msambweni, Kwale, Kenya; Ronga C., Centre for Global Health Research, Kenya Medical Research Institute, Kisumu, Kenya; Okuta V., Paediatric Department, Obama Children's Hospital, Jaramogi Oginga Odinga Referral Hospital, Kisumu, Kenya; Mutai N., Centre for Global Health Research, Kenya Medical Research Institute, Kisumu, Kenya; Makenzi N.G., Department of Pure and Applied Sciences, Technical University of Mombasa, Mombasa, Kenya; Litunda K.A., Department of Pure and Applied Sciences, Technical University of Mombasa, Mombasa, Kenya; Mukoko D., Vector-Borne Diseases Unit, Ministry of Health, Nairobi, Kenya; King C.H., Department of Pediatrics, Division of Infectious Diseases, Stanford University School of Medicine, Stanford, CA, United States, Department of Pathology, Center for Global Health and Diseases, Case Western Reserve University School of Medicine, Cleveland, OH, United States; LaBeaud A.D., Department of Pediatrics, Division of Infectious Diseases, Stanford University School of Medicine, Stanford, CA, United States</t>
  </si>
  <si>
    <t xml:space="preserve">Stanford Maternal and Child Health Research Institute, MCHRI; Stanford Medicine Research IT; National Institute of Allergy and Infectious Diseases, NIAID; Stanford School of Medicine Research Office; National Center for Research Resources, NCRR; Lucille Packard Foundation for Children's Health, and Spectrum; Stanford Center for Clinical &amp; Translational Research &amp; Education, (UL1 TR 001085, KL2 TR 001083); National Institutes of Health, NIH, (K23 AI127909, R01 AI102918); National Center for Advancing Translational Sciences, NCATS, (KL2 TR001085)</t>
  </si>
  <si>
    <t xml:space="preserve">This work was supported by the National Institute of Allergy and Infectious Diseases at the National Institutes of Health [NIH K23 AI127909] to D.M.V. and [NIH R01 AI102918] to A.D.L.; the Stanford Maternal &amp; Child Health Research Institute, Lucille Packard Foundation for Children's Health, and Spectrum (the Stanford Center for Clinical &amp; Translational Research &amp; Education) [KL2 TR 001083, UL1 TR 001085] to D.M.V. The funders of the study had no role in study design, data collection, data analysis, data interpretation, or writing of the report, or in the decision to submit the paper for publication. The Stanford REDCap platform (http://redcap.stanford.edu) is developed and operated by Stanford Medicine Research IT team. The REDCap platform services at Stanford are subsidized by a) Stanford School of Medicine Research Office, and b) the National Center for Research Resources and the National Center for Advancing Translational Sciences, National Institutes of Health, through grant KL2 TR001085.</t>
  </si>
  <si>
    <t xml:space="preserve">Hooft AM, Ripp K, Ndenga B, Mutuku F, Vu D, Baltzell K, Et al., Principles, practices and knowledge of clinicians when assessing febrile children: a qualitative study in Kenya, Malar J, 16, (2017); Van Den Berg HA., Occam's razor: from Ockham's via moderna to modern data science, Sci Prog, 101, pp. 261-272, (2018); Kotepui M, Kotepui KU, Milanez GDJ, Masangkay FR., Prevalence of and risk factors for severe malaria caused by Plasmodium and dengue virus co-infection: a systematic review and meta-analysis, Infectious Diseases of Poverty, 9, (2020); Salam N, Mustafa S, Hafiz A, Chaudhary AA, Deeba F, Parveen S., Global prevalence and distribution of coinfection of malaria, dengue and chikungunya: a systematic review, BMC Public Health, 18, (2018); Shah MM, Ndenga BA, Mutuku FM, Vu DM, Grossi-Soyster EN, Okuta V, Et al., High dengue burden and circulation of 4 virus serotypes among children with undifferentiated fever, Kenya, 2014-2017, Emerg Infect Dis, 26, pp. 2638-2650, (2020); Vu DM, Mutai N, Heath CJ, Vulule JM, Mutuku FM, Ndenga BA, Et al., Unrecognized dengue virus infections in children, western Kenya, 2014-2015, Emerging Infect Dis, 23, pp. 1915-1917, (2017); Hortion J, Mutuku FM, Eyherabide AL, Vu DM, Boothroyd DB, Grossi-Soyster EN, Et al., Acute flavivirus and alphavirus infections among children in two different areas of Kenya, 2015, Am J Trop Med Hyg, 100, pp. 170-173, (2019); Grossi-Soyster EN, Cook EAJ, de Glanville WA, Thomas LF, Krystosik AR, Lee J, Et al., Serological and spatial analysis of alphavirus and flavivirus prevalence and risk factors in a rural community in western Kenya, PLoS Negl Trop Dis, 11, (2017); Vu DM, Banda T, Teng CY, Heimbaugh C, Muchiri EM, Mungai PL, Et al., Dengue and West Nile virus transmission in children and adults in coastal Kenya, Am J Trop Med Hyg, 96, pp. 141-143, (2017); Simo FBN, Bigna JJ, Kenmoe S, Ndangang MS, Temfack E, Moundipa PF, Et al., Dengue virus infection in people residing in Africa: a systematic review and meta-analysis of prevalence studies, Sci Rep, 9, (2019); Gainor EM, Harris E, LaBeaud AD., Uncovering the burden of dengue in Africa: Considerations on magnitude, misdiagnosis, and ancestry, Viruses, 14, (2022); Fernandez E, Smieja M, Walter SD, Loeb M., A predictive model to differentiate dengue from other febrile illness, BMC Infectious Diseases, 16, (2016); Macedo Hair G, Fonseca Nobre F, Brasil P., Characterization of clinical patterns of dengue patients using an unsupervised machine learning approach, BMC Infectious Diseases, 19, (2019); Khan A, Ndenga Bryson, Mutuku Francis, Bosire Carren M., Okuta Victoria, Ronga Charles O., Et al., Majority of pediatric dengue virus infections in Kenya do not meet 2009 WHO criteria for dengue diagnosis, PLOS Global Public Health, 2, (2022); Martin S, Mutuku F, Sessions J, Lee J, Mukoko D, Malhotra I, Et al., Factors associated with early childhood stunted growth in a 2012-2015 birth cohort monitored in the rural Msambweni area of coastal Kenya: a cross-sectional study, BMC Pediatr, 20, (2020); de Onis M, Onyango AW, Borghi E, Siyam A, Nishida C, Siekmann J., Development of a WHO growth reference for school-aged children and adolescents, Bull World Health Organ, 85, pp. 660-667, (2007); Myatt M, Guevarra E., zscorer: Child Anthropometry z-Score Calculator, (2019); Varni JW, Burwinkle TM, Seid M., The PedsQL as a pediatric patient-reported outcome: reliability and validity of the PedsQL Measurement Model in 25,000 children, Expert Rev Pharmacoecon Outcomes Res, 5, pp. 705-719, (2005); Lanciotti RS, Calisher CH, Gubler DJ, Chang GJ, Vorndam AV., Rapid detection and typing of dengue viruses from clinical samples by using reverse transcriptase-polymerase chain reaction, J Clin Micro-biol, 30, pp. 545-551, (1992); R: A language and environment for statistical computing, (2020); Venables W, Ripley B., Modern applied statistics with S. Fourth, (2002); da Silva Neto SR, Tabosa Oliveira T, Teixeira IV, Aguiar de Oliveira SB, Souza Sampaio V, Lynn T, Et al., Machine learning and deep learning techniques to support clinical diagnosis of arboviral diseases: A systematic review, PLoS Negl Trop Dis, 16, (2022); Stekhoven DJ., missForest: Nonparametric missing value imputation using random forest, (2022); Kuhn M, Wing J, Weston S, Williams A, Keefer C, Engelhardt A, Et al., caret: Classification and regression training, (2022); 2010 Kenya Malaria Indicator Survey, (2011); Dengue: Guidelines for Diagnosis, Treatment, Prevention and Control, (2009); Hoyos W, Aguilar J, Toro M., Dengue models based on machine learning techniques: A systematic literature review, Artif Intell Med, 119, (2021); Lim JK, Matendechero SH, Alexander N, Lee J-S, Lee KS, Namkung S, Et al., Clinical and epidemiologic characteristics associated with dengue fever in Mombasa, Kenya, Int J Infect Dis, 100, pp. 207-215, (2020); Nyamwaya DK, Otiende M, Mwango L, Kariuki SM, Otieno B, Omuoyo DO, Et al., Incidence of chikungunya virus infections among Kenyan children with neurological disease, 2014-2018: A cohort study, PLOS Medicine, 19, (2022); Peterson I, Kapito-Tembo A, Bauleni A, Nyirenda O, Pensulo P, Still W, Et al., Overdiagnosis of malaria illness in an endemic setting: A facility-based surveillance study in Malawi, Am J Trop Med Hyg, 104, pp. 2123-2130, (2021)</t>
  </si>
  <si>
    <t xml:space="preserve">D.M. Vu; Department of Pediatrics, Division of Infectious Diseases, Stanford University School of Medicine, Stanford, United States; email: davidvu@stanford.edu</t>
  </si>
  <si>
    <t xml:space="preserve">2-s2.0-85195692107</t>
  </si>
  <si>
    <t xml:space="preserve">Shaikh, Salim G. (57671794000); Kumar, B. Suresh (58946787000); Narang, Geetika (14829403500); Pachpor, N.N. (56543535100)</t>
  </si>
  <si>
    <t xml:space="preserve">Diagnosis of Vector Borne Disease using Various Machine Learning Techniques</t>
  </si>
  <si>
    <t xml:space="preserve">Vector-borne diseases (VBDs) are one of the most serious human health issues, impacting millions of people each year in every corner of the globe. Multiple decision-making techniques are employed in this study to give a better diagnosis of VBDs. It assesses alternative illnesses with opposing symptoms. It is difficult to precisely define the weight of criteria and the ranking of alternatives (diseases) for each criterion. The proposed method is used to diagnose VBDs such as malaria, chikungunya, and dengue fever. In this paper, we proposed a prediction of VBD using various supervised machine learning classification algorithms. The Weka 3.7 machine learning framework has been used for the classification of data. The algorithms used, such as SVM, Naive Bayes, Adaboost, decision tree, ANN, etc., In extensive experimental analysis, we observed the SVM prediction had better detection and classification accuracy over the other machine-earning classes. For evaluation, we used 3000 records of patient data. The modified SVM (mSVM) achieves 100% accuracy for different cross validations. © 2023, Ismail Saritas. All rights reserved.</t>
  </si>
  <si>
    <t xml:space="preserve">International Journal of Intelligent Systems and Applications in Engineering</t>
  </si>
  <si>
    <t xml:space="preserve">Ismail Saritas</t>
  </si>
  <si>
    <t xml:space="preserve">4s</t>
  </si>
  <si>
    <t xml:space="preserve">https://www.scopus.com/inward/record.uri?eid=2-s2.0-85161384036&amp;partnerID=40&amp;md5=45eedd122f92001247c6a188179c5803</t>
  </si>
  <si>
    <t xml:space="preserve">Department of CSE, Amity University, Jaiapur, India; Computer Department Kalsekar Technical Campus, New Panvel, Mumbai, India; Department of CSE, Sanjay Ghodawat University, Kolhapur, India; Dept CSE. TCOER, Pune, India; IIMS, Pune, India</t>
  </si>
  <si>
    <t xml:space="preserve">Shaikh S.G., Department of CSE, Amity University, Jaiapur, India, Computer Department Kalsekar Technical Campus, New Panvel, Mumbai, India; Kumar B.S., Department of CSE, Sanjay Ghodawat University, Kolhapur, India; Narang G., Dept CSE. TCOER, Pune, India; Pachpor N.N., IIMS, Pune, India</t>
  </si>
  <si>
    <t xml:space="preserve">detection and classification; disease detection; Medicine diagnosis; supervised machine learning; vector borne disease</t>
  </si>
  <si>
    <t xml:space="preserve">Vijayakumar V., Malathi D., Subramaniyaswamy V., Saravanan P., Logesh R., Fog computing-based intelligent healthcare system for the detection and prevention of mosquito-borne diseases, Computers in Human Behavior, 100, pp. 275-285, (2019); Inokuchi M., Dumre S. P., Mizukami S., Tun M. M. N., Kamel M. G., Manh D. H., Hirayama K., Association between dengue severity and plasma levels of denguespecific IgE and chymase, Archives of virology, 163, 9, (2018); Iqbal N., Islam M., Machine learning for dengue outbreak prediction: A performance evaluation of different prominent classifiers, Informatica, 43, 3, (2019); Taneja P., Gautam N., Hybrid Classification Method for Dengue Prediction, International Journal of Engineering and Advanced Technology (IJEAT), (2019); Guzman M. G., Kouri G., Dengue and dengue hemorrhagic fever in the Americas: lessons and challenges, Journal of Clinical Virology, 27, 1, pp. 1-13, (2003); San Martin J. L., Brathwaite O., Zambrano B., Solorzano J. O., Bouckenooghe A., Dayan G. H., Guzman M. G., The epidemiology of dengue in the Americas over the last three decades: a worrisome reality, The American journal of tropical medicine and hygiene, 82, 1, (2010); Shepard D. S., Undurraga E. A., Betancourt-Cravioto M., Guzman M. G., Halstead S. B., Harris E., Gubler D. J., Approaches to refining estimates of global burden and economics of dengue, PLoS neglected tropical diseases, 8, 11, (2014); Ibrahim F., Taib M. N., Abas W. A. B. W., Guan C. C., Sulaiman S., A novel dengue fever (DF) and dengue haemorrhagic fever (DHF) analysis using artificial neural network (ANN), Computer methods and programs in biomedicine, 79, 3, pp. 273-281, (2005); Gomes A. L. V., Wee L. J., Khan A. M., Gil L. H., Marques E. T., Calzavara-Silva C. E., Tan T. W., Classification of dengue fever patients based on gene expression data using support vector machines, PloS one, 5, 6, (2010); Guo P., Liu T., Zhang Q., Wang L., Xiao J., Zhang Q., Ma W., Developing a dengue forecast model using machine learning: A case study in China, PLoS neglected tropical diseases, 11, 10, (2017); Carvajal T. M., Viacrusis K. M., Hernandez L. F. T., Ho H. T., Amalin D. M., Watanabe K., Machine learning methods reveal the temporal pattern of dengue incidence using meteorological factors in metropolitan Manila, Philippines, BMC infectious diseases, 18, 1, pp. 1-15, (2018); Isinkaye F. O., Folajimi Y. O., Ojokoh B. A., Recommendation systems: Principles, methods and evaluation, Egyptian informatics journal, 16, 3, pp. 261-273, (2015); Indhumathi K., Kumar K. S., A review on prediction of seasonal diseases based on climate change using big data, Materials Today: Proceedings, 37, pp. 2648-2652, (2021); Alfred R., Obit J. H., The roles of machine learning methods in limiting the spread of deadly diseases: A systematic review, Heliyon, 7, 6, (2021); Reddy D. N., Machine Learning Algorithms for Detection: A Survey and Classification, Turkish Journal of Computer and Mathematics Education (TURCOMAT), 12, 10, pp. 3468-3475, (2021); alias Balamurugan S. A., Mallick M. M., Chinthana G., Improved prediction of dengue outbreak using combinatorial feature selector and classifier based on entropy weighted score based optimal ranking, Informatics in Medicine Unlocked, 20, (2020); Ye J., Moreno-Madrinan M. J., Comparing different spatio-temporal modeling methods in dengue fever data analysis in Colombia during 2012–2015, Spatial and Spatiotemporal Epidemiology, 34, (2020); Mussumeci E., Coelho F. C., Large-scale multivariate forecasting models for Dengue-LSTM versus random forest regression, Spatial and Spatio-temporal Epidemiology, 35, (2020); Chakraborty T., Chattopadhyay S., Ghosh I., Forecasting dengue epidemics using a hybrid methodology, Physica A: Statistical Mechanics and its Applications, 527, (2019); Appice A., Gel Y. R., Iliev I., Lyubchich V., Malerba D., A multi-stage machine learning approach to predict dengue incidence: a case study in Mexico, Ieee Access, 8, pp. 52713-52725, (2020); Gambhir S., Malik S. K., Kumar Y., PSO-ANN based diagnostic model for the early detection of dengue disease, New Horizons in Translational Medicine, 4, 1-4, pp. 1-8, (2017); Mello-Roman J. D., Mello-Roman J. C., Gomez-Guerrero S., Garcia-Torres M., Predictive models for the medical diagnosis of dengue: a case study in Paraguay, Computational and mathematical methods in medicine, (2019); Portugal I., Alencar P., Cowan D., The use of machine learning algorithms in recommender systems: A systematic review, Expert Systems with Applications, 97, pp. 205-227, (2018); Vairale V.S., Shukla S., Recommendation Framework for Diet and Exercise Based on Clinical Data: A Systematic Review, Data Science and Big Data Analytics, pp. 333-346, (2019); Shatte A.B., Hutchinson D.M., Teague S.J., Machine learning in mental health: a scoping review of methods and applications, Psychological medicine, 49, 9, pp. 1426-1448, (2019); Yuvaraj N., SriPreethaa K.R., Diabetes prediction in healthcare systems using machine learning algorithms on Hadoop cluster, Cluster Computing, 22, 1, pp. 1-9, (2019); Singh Jaswinder, Sharma Sandeep, Prediction of Cervical Cancer Using Machine Learning Techniques, International Journal of Applied Engineering Research, 14, 11, pp. 2570-2577, (2019); Sahoo A.K., Pradhan C., Barik R.K., Dubey H., DeepReco: Deep Learning Based Health Recommender System Using Collaborative Filtering, Computation, 7, 2, (2019); Waqar M., Majeed N., Dawood H., Daud A., Aljohani N.R., An adaptive doctorrecommender system, Behaviour &amp; Information Technology, (2019); Hussein A.S., Omer W., Li X., Ati M., Accurate and reliable recommender system for chronic disease diagnosis, GLOBAL HEALTH, The First International Conference on Global Health Challenges Venice, (2012); Janani M., Yuvaraj N., Social Interaction and Stress-Based Recommendations for Elderly Healthcare Support System—A Survey, Advances in Big Data and Cloud Computing, pp. 291-303, (2019); Sahoo A.K., Mallik S., Pradhan C., Mishra B.S.P., Barik R.K., Das H., Intelligence-Based Health Recommendation System Using Big Data Analytics, Big Data Analytics for Intelligent Healthcare Management, pp. 227-246, (2019); Martinez-Perez B., De La Torre-Diez I., Lopez-Coronado M., Privacy and security in mobile health apps: a review and recommendations, Journal of medical systems, 39, 1, pp. 1-8, (2015); Hii Y.L, Rocklov. J, Ng N., Short Term Effects of Weather on Hand, Foot and Mouth Disease, PLoS ONE, 6, (2011); . B Lopman, Armstrong. B, Atchison. C and Gray, J.J. Host, Weather and Virological Factors Drive Norovirus Epidemiology: Time-Series Analysis of Laboratory Surveillance Data in England and Wales, PLoS ONE, 4, (2009); Huang X, Williams. G, Clements A.C.A, Hu W., Imported Dengue Cases, Weather Variation and Autochthonous Dengue Incidence in Cairns, Australia, PLoS ONE, 8, (2013); . T Liu, Zhang . Y, Lin . H, Xiao . J, Zeng . W, Rutherford . S, Tong S, A large temperature fluctuation may trigger an epidemic erythromelalgia outbreak in China, Sci. Rep, 5, (2015); Implications of temperature variation for malaria parasite development across Africa, Sci. Rep, 3, (2013); Noden B.H., Kent M.D., Beier J.C., The impact of variations in temperature on early Plasmodium falciparum development in Anopheles stephensi, Parasitology, 111, pp. 539-545, (1995); . W Liang, Gu . X, Li . X, . K Zhang, Wu . K, Pang . M, Merrill J, Liu K, Mapping the epidemic changes and risks of hemorrhagic fever with renal syndrome in Shaanxi Province, China, 2005– 2016, Sci. Rep, 8, (2018)</t>
  </si>
  <si>
    <t xml:space="preserve">Internat. J. Intel. Syst. Appl. Eng.</t>
  </si>
  <si>
    <t xml:space="preserve">2-s2.0-85161384036</t>
  </si>
  <si>
    <t xml:space="preserve">Villanes A.; Healey C.G.</t>
  </si>
  <si>
    <t xml:space="preserve">Villanes, Andrea (56050707800); Healey, Christopher G. (7005893610)</t>
  </si>
  <si>
    <t xml:space="preserve">56050707800; 7005893610</t>
  </si>
  <si>
    <t xml:space="preserve">Domain-specific text dictionaries for text analytics</t>
  </si>
  <si>
    <t xml:space="preserve">We investigate the use of sentiment dictionaries to estimate sentiment for large document collections. Our goal in this paper is a semiautomatic method for extending a general sentiment dictionary for a specific target domain in a way that minimizes manual effort. General sentiment dictionaries may not contain terms important to the target domain or may score terms in ways that are inappropriate for the target domain. We combine statistical term identification and term evaluation using Amazon Mechanical Turk to extend the EmoLex sentiment dictionary to a domain-specific study of dengue fever. The same approach can be applied to any term-based sentiment dictionary or target domain. We explain how terms are identified for inclusion or re-evaluation and how Mechanical Turk generates scores for the identified terms. Examples are provided that compare EmoLex sentiment estimates before and after it is extended. We conclude by describing how our sentiment estimates can be integrated into an epidemiology surveillance system that includes sentiment visualization and discussing the strengths and limitations of our work. © 2022, The Author(s), under exclusive licence to Springer Nature Switzerland AG.</t>
  </si>
  <si>
    <t xml:space="preserve">International Journal of Data Science and Analytics</t>
  </si>
  <si>
    <t xml:space="preserve">10.1007/s41060-022-00344-x</t>
  </si>
  <si>
    <t xml:space="preserve">https://www.scopus.com/inward/record.uri?eid=2-s2.0-85134239714&amp;doi=10.1007%2fs41060-022-00344-x&amp;partnerID=40&amp;md5=fbc15dd735951dfc38e044dcc0179f56</t>
  </si>
  <si>
    <t xml:space="preserve">Department of Computer Science and Institute for Advanced Analytics, North Carolina State University, 890 Oval Drive, Raleigh, 27695-8206, NC, United States</t>
  </si>
  <si>
    <t xml:space="preserve">Villanes A., Department of Computer Science and Institute for Advanced Analytics, North Carolina State University, 890 Oval Drive, Raleigh, 27695-8206, NC, United States; Healey C.G., Department of Computer Science and Institute for Advanced Analytics, North Carolina State University, 890 Oval Drive, Raleigh, 27695-8206, NC, United States</t>
  </si>
  <si>
    <t xml:space="preserve">Dengue fever; Sentiment; Text analytics</t>
  </si>
  <si>
    <t xml:space="preserve">Amazon's mechanical turks; Dengue fevers; Document collection; Domain specific; Re-evaluation; Semiautomatic methods; Sentiment; Sentiment dictionaries; Target domain; Text analytics; Artificial intelligence</t>
  </si>
  <si>
    <t xml:space="preserve">Alharbi M., Laramee R.S., SoS TextViz: an extend survey of surveys on text visualization, Computers, 8, 1, pp. 143-152, (2019); Dou W., Liu S., Topic- and time-oriented visual text analysis, IEEE Comput. Gr. Vis., 36, 4, pp. 8-13, (2016); Kucher K., Paradis C., Kerren A., State of the art in sentiment visualization, Comput. Gr. Forum, 37, 1, pp. 71-96, (2017); Shepard D.S., Halasa Y.A., Tyagi B.K., Adhish S.V., Nandan D., Karthiga K.S., Chellaswamy V., Gaba M., Arora N.K., Economic and disease burden of dengue illness in India, Am. J. Trop. Med. Hyg., 91, 6, pp. 1235-1242, (2014); Plutchik R., A general psychoevolutionary theory of emotion, Theories of Emotion: Emotion, Theory, Research, and Experience, pp. 3-31, (1980); Mohammad S.M., Turney P.D., Crowdsourcing a word-emotion association lexicon, Comput. Intell., 29, 3, pp. 436-465, (2013); Liu B., Zhang L., A survey of opinion mining and sentiment analysis, Mining Text Data, pp. 415-463, (2012); Mohammad S.M., Sentiment analysis: detecting valence, emotions, and other affectual states from text, Emotional Measurement, pp. 201-237, (2015); Pang B., Lee L., Opinion mining and sentiment analysis, Found. Trends Inf. Retr., 2, 1-2, pp. 1-135, (2008); Zhang L., Wang S., Liu B., Deep learning for sentiment analysis: a survey, WIREs Data Min. Knowl. Discov., 8, 4, pp. 1-25, (2018); Russell J.A., A circumplex model of affect, J. Personal. Soc. Psychol., 39, 6, pp. 1161-1178, (1980); Russell J.A., Feldman Barrett L., The structure of current affect: controversies and emerging consensus, Curr. Dir. Psychol. Sci., 8, 1, pp. 10-14, (1999); Pang B., Lee L., A sentimental education: Sentiment analysis using subjectivity summarization based on minimum cuts, Proceedings of the 42Nd Annual Meeting of the Association for Computational Linguistics (ACL ’04), pp. 271-278, (2004); Pang B., Lee L., Vithyanathan S., Thumbs up? Sentiment classification using machine learning techniques, Proceedings of the 2002 Conference on Empirical Methods in Natural Language Processing (EMNLP 2002), pp. 79-86, (2002); Turney P., Thumbs up or thumbs down? Semantic orientation applied to unsupervised classification of reviews, Proceedings of the 40Th Annual Meeting of the Association for Computational Linguistics (ACL ’02), pp. 417-424, (2002); Bonata V., Janardhan N., A comprehensive study on lxicon based approaches for sentiment analysis, Asian J. Comput. Sci. Technol., 8, S2, pp. 1-6, (2019); Dibattista J., The best python sentiment analysis package (+ 1 Huge Mistake).; Li Z., Wei Y., Zhang Y., Yang Q., Hierarchical attention transfer network for cross-domain sentiment classification, Proceedings of the Thirty-Second AAAI Conference on Artifical Intelligence (AAAI-18), pp. 5852-5859, (2018); Zhang K., Zhang K., Zhang M., Zhao H., Liu W., Wei W., Incorporating dynamic semantics into pre-trained language model for aspect-based sentiment analysis, Findings of the Association for Computational Linguistics (ACL 2022), pp. 3599-3610, (2022); Kenton J.D., Chang M.-W., Toutanova L.K., BERT: Pre-training of deep bidirectional transforms for language understanding, Proceedings of the 2019 Annual Conference of the North American Chapter of the Association for Computational Linguistics-Human Language Technologies (NAACL-HLT 2019), pp. 4171-4189, (2019); Brown T., Mann B., Ryder N., Subbiah M., Kaplan J.D., Dhariwal P., Neelakantan A., Shyam P., Sastry G., Askell A., Agarwal S., Herbert-Voss A., Krueger G., Henighan T., Child R., Ramesh A., Ziegler D., Wu J., Winter C., Hesse C., Chen M., Sigler E., Litwin M., Gray S., Chess B., Clark J., Berner C., McCandlish S., Radford A., Sutskever I., Amodei D., Language models are few-shot learners, Advances in Neural Information Processing Systems 33 (Neurlps 2020), pp. 1877-1901, (2020); Lewis M., Liu Y., Goya N., Ghazvininejad M., Mohamed A., Levy O., Stoyanov V., Zettlemoyer L., BART: Denoising sequence-to-sequence pre-training for natural language generation, translation, and comprehension, In: Proceedings of the 58Th Annual Meeting of the Association for Computational Linguistics (ACL 2020, pp. 7871-7880, (2020); Song K., Tan X., Qin T., Lu U.L.T., MASS: Masked sequence to sequence pre-training for language generation, Proceedings of the 36Th International Conference on Machine Learning (ICML 2019), pp. 5926-5936, (2019); Pepe A., Bollen J., Between conjecture and memento: Shaping a collective emotional perception of the future, AAAI Spring Symposium on Emotion, Personality, and Social Behavior, pp. 111-116, (2008); Mislove A., Lehmann S., Ahn Y.-Y., Onnela J.-P., Rosenquist J.N., Pulse of the Nation: U.S. Mood Throughout the Day Inferred from Twitter.; Thelwall M., Buckley K., Paltoglou G., Cai D., Kappas A., Sentiment strength detection in short informal text, J. Am. Soc. Inf. Sci. Technol., 61, 12, pp. 2544-2558, (2010); Tausczik Y.R., Pennebaker J.W., The psychological meaning of words: LIWC and computerized text analysis methods, J. Lang. Soc. Psychol., 29, 1, pp. 25-54, (2010); Baccianella S., Esuli A., Sebastiani F., SentiWordNet 3.0: An enhanced lexical resource for sentiment analysis and opinion mining, Proceedings of the 7Th International Conference on Language Resources and Evaluation (LREC ’10), pp. 2200-2204, (2010); Warriner A.B., Kuperman V., Brysbaert M., Norms of valence, arousal, and dominance for 13,915 English lemmas, Behav. Res. Methods, 45, 4, pp. 1191-1207, (2013); Cao N., Lin Y.-R., Sun X., Lazer D., Liu S., Huamin Q., Whisper: Tracing the spatiotemporal process of information diffusion in real time, IEEE Trans Vis. Comput. Gr., 18, 12, pp. 2649-2658, (2012); Cao N., Lu L., Lin Y.-R., Wang F., SocialHelix: Visual analysis of sentiment divergence in social media, J. Vis., 18, 2, pp. 221-235, (2014); Wu Y., Liu S., Yan K., Liu M., Wu F., OpinionFlow: visual analysis of opinion diffusion on social media, IEEE Trans. Vis. Comput. Gr., 20, 12, pp. 1763-1772, (2014); Liu Y., Wang H., Landis S., Macjejewski R., A visual analytics framework for identifying topic drivers in media events, IEEE Trans. Vis. Comput. Gr., 24, 9, pp. 2501-2515, (2017); El-Assady M., Gold V., Acevedo C., Collins C., Keim D., ConToVi: multi-party conversation exploration using topic-space views, Comput. Gr. Forum, 35, 3, pp. 431-440, (2016); El-Assady M., Sevastjanova R., Keim D., Collins C., ThreadReconstructor: modeling reply-chains to untangle conversational text through visual analytics, Comput. Gr. Forum, 37, 3, pp. 351-365, (2018); Hoque E., Carenini G., ConVis: a visual text analytic system for exploring blog conversations, Comput. Gr. Forum, 33, 3, pp. 221-230, (2014); Hoque E., Carenini G., MultiConVis: A visual text analysis system for exploring a collection of online conversations, Proceedings of the 21St International Conference on Intelligent User Interfaces (IUI ’16), pp. 96-107, (2016); Mohammad S.M., Sobhani P., Kiritchenko S., Stance and sentiment in tweets, ACM Trans. Int. Technol., 17, 3, (2017); Kucher K., Martins R.M., Paradis C., Kerren A., StanceVis Prime: visual analysis of sentiment and stance in social media texts, J. Vis., 23, 6, pp. 1015-1034, (2020); Wei F., Shixia L., Yangqiu S., Shimei P., Zhou M.X., Qian W., Lei S., Li T., Qiang Z., TIARA: Interactive, topic-based visual text summarization and analysis, Proceedings of the 16Th SIGKDD International Conference on Knowledge Discovery and Data Mining (KDD 2010), pp. 153-162, (2010); Dork M., Gruen D., Williamson C., Carpendale S., A visual backchannel for large-scale events, IEEE Trans. Vis. Comput. Gr., 16, 6, pp. 1129-1138, (2010); Mohammad S.M., Challenges in sentiment analysis, A Practical Guide to Sentiment Analysis, pp. 61-83, (2016); Prevention and Control of Dengue and Dengue Hemorrhagic Fever: Comprehensive Guidelines, (1999); Bhatt S., Gething P.W., Brady O.J., Messina J.P., Farlow A.W., Moyes C.L., Drake J.M., Brownstein J.S., Hoen A.G., Sankoh O., The global distribution and burden of dengue, Nature, 496, 7446, (2013); Montoya M., Gresh L., Mercado J.C., Williams K.L., Vargas M.J., Gutierrez G., Kuan G., Gordon A., Balmaseda A., Harris E., Symptomatic versus inapparent outcome in repeat dengue virus infections is influenced by the time interval between infections and study year, PLoS Negl. Trop. Dis., 7, 8, (2013); Moreira L.A., Iturbe-Ormaetxe I., Jeffery J.A., Lu G., Pyke A.T., Hedges L.M., Rocha B.C., Hall-Mendelin S., Day A., Riegler M., A Wolbachia symbiont in Aedes Aegypti limits infection with dengue, chikungunya, and plasmodium, Cell, 139, 7, pp. 1268-1278, (2009); Olkowski S., Forshey B.M., Morrison A.C., Rocha C., Vilcarromero S., Halsey E.S., Kochel T.J., Scott T.W., Stoddard S.T., Reduced risk of disease during postsecondary dengue virus infections, J. Infect. Dis., 208, 6, pp. 1026-1033, (2013); Reyes M., Mercado J.C., Standish K., Matute J.C., Ortega O., Moraga B., Aviles W., Henn M.R., Balmaseda A., Kuan G., Index cluster study of dengue virus infection in Nicaragua, Am. J. Trop. Med. Hyg., 83, 3, pp. 683-689, (2010); Shepard D.S., Undurraga E.A., Halasa Y.A., Economic and disease burden of dengue in southeast asia, PLoS Negl. Trop. Dis., 7, 2, (2013); Lozano R., Naghavi M., Foreman K., Lim S., Shibuya K., Aboyans V., Abraham J., Adair T., Aggarwal R., Ahn S.Y., Global and regional mortality from 235 causes of death for 20 age groups in 1990 and 2010: a systematic analysis for the Global Burden of Disease Study 2010, Lancet, 380, 9859, pp. 2095-2128, (2012); World Health Organization: Setting Priorities in Communicable Disease Surveillance, (2006); Brownstein J.S., Freifeld C.C., Reis B.Y., Mandl K.D., Surveillance sans frontières: internet-based emerging infectious disease intelligence and the HealthMap project, PLoS Med., 5, 7, (2008); Davies S.E., The challenge to know and control: disease outbreak surveillance and alerts in China and India, Glob. Pub. Health, 7, 7, pp. 695-716, (2012); Farrington C.P., Andrews N.J., Beale A.D., Catchpole M.A., A statistical algorithm for the early detection of outbreaks of infectious disease, J. Royal Stat. Soc. Series A (Statistics in Society), 159, 3, pp. 547-563, (1996); Liu Y., China’s public health-care system: facing the challenges, Bull. World Health Organ., 82, 7, pp. 532-538, (2004); Thacker S.B., Qualters J.R., Lee L.M., Public health surveillance in the United States: evolution and challenges, MMWR Surveill. Summ., 61, pp. 3-9, (2012); Beatty M.E., Stone A., Fitzsimons D.W., Hanna J.N., Lam S.K., Vong S., Guzman M.G., Mendez-Galvan J.F., Halstead S.B., Letson G.W., Best practices in dengue surveillance: a report from the Asia-Pacific and Americas dengue prevention boards, PLoS Negl. Trop. Dis., 4, 11, (2010); Konowitz P.M., Petrossian G.A., Rose D.N., The underreporting of disease and physicians’ knowledge of reporting requirements, Pub. Health Rep., 99, 1, (1984); McKenzie J.F., Pinger R.R., An Introduction to Community Health, (2013); Singh J., Dinkar A., Atam V., Himanshu D., Gupta K.K., Usman K., Misra R., Awareness and outcome of changing trends in clinical profile of dengue fever: a retrospective analysis of dengue epidemic from January to December 2014 at a tertiary care hospital, J. Assoc. Phys. India, 65, (2017); Fisher R.A., Statistical Methods for Research Workers, (1925); Upton G.J., Fisher’s exact test, J. Royal Stat. Soc. Series A, 155, 3, pp. 395-402, (1992); Kelly J.T., Loepp E., Distinction without a difference? An assessment of MTurk worker types, Res. Polit., (2020); Sherlock A., Florence Nightingale’s “Rose” Diagram, (2021); Villanes A., Griffiths E., Rappa M., Healey C.G., Dengue fever surveillance in India using text mining in public media, Am. J. Trop. Med. Hyg., 98, pp. 181-191, (2018); Agarwal A., Fu W., Menzies T., What is wrong with topic modeling? And how to fix it using search-based software engineering, Inf. Softw. Technol., 98, pp. 74-88, (2018); Blei D.M., Ng A.Y., Jordan M.I., Latent Dirichlet allocation, J. Mach. Learn., 3, 4-5, pp. 993-1022, (2003); Villanes A., Epidemiological Disease Surveillance Using Public Media Text Mining, (2019)</t>
  </si>
  <si>
    <t xml:space="preserve">C.G. Healey; Department of Computer Science and Institute for Advanced Analytics, North Carolina State University, Raleigh, 890 Oval Drive, 27695-8206, United States; email: healey@ncsu.edu</t>
  </si>
  <si>
    <t xml:space="preserve">2364415X</t>
  </si>
  <si>
    <t xml:space="preserve">Int. J. Data Sci. Anal.</t>
  </si>
  <si>
    <t xml:space="preserve">2-s2.0-85134239714</t>
  </si>
  <si>
    <t xml:space="preserve">Ndong Ngomo J.M.; Mawili-Mboumba D.P.; M’Bondoukwé N.P.; Ditombi B.M.; Koumba Lengongo J.V.; Batchy Ognagosso F.B.; Bouyou-Akotet M.K.</t>
  </si>
  <si>
    <t xml:space="preserve">Ndong Ngomo, Jacques Mari (56700431400); Mawili-Mboumba, Denise Patricia (6507580550); M’Bondoukwé, Noé Patrick (59157850100); Ditombi, Bridy Moutombi (57211445103); Koumba Lengongo, Jeanne Vanessa (57197775225); Batchy Ognagosso, Fanny Bertrande (57218443553); Bouyou-Akotet, Marielle Karine (6603550448)</t>
  </si>
  <si>
    <t xml:space="preserve">56700431400; 6507580550; 59157850100; 57211445103; 57197775225; 57218443553; 6603550448</t>
  </si>
  <si>
    <t xml:space="preserve">Drug Resistance Molecular Markers of Plasmodium falciparum and Severity of Malaria in Febrile Children in the Sentinel Site for Malaria Surveillance of Melen in Gabon: Additional Data from the Plasmodium Diversity Network African Network</t>
  </si>
  <si>
    <t xml:space="preserve">The objective of this study was to analyze the relationship between the frequency of artemisinin-based combination (ACT) drug resistance molecular markers and clinical forms of P. falciparum malaria and parasitemia. A cross-sectional study was carried out between January and April 2014 at the Operational Clinical Research Unit of Melen in febrile children aged 12 to 240 months with a Plasmodium sp. infection. A total of 3 mL of peripheral blood collected from an EDTA tube was used for leukocyte depletion. DNA mutation detection was performed by next generation sequencing (NGS). A total of 1075 patients were screened for malaria. Among them, 384 had a Plasmodium infection. P. falciparum mono-infection was found in 98.9% of the patients. Pfcrt-326T mutation was found in all isolates, while 37.9% had Pfmdr2-484I mutant allele. The highest median parasite densities were found in patients infected by parasites carrying the CVIET haplotype of the Pfcrt gene. The different genetic profiles found here, and their variations according to clinical and biological signs of severe malaria, are additional arguments for the surveillance of P. falciparum strains. © 2023 by the authors.</t>
  </si>
  <si>
    <t xml:space="preserve">10.3390/tropicalmed8040184</t>
  </si>
  <si>
    <t xml:space="preserve">https://www.scopus.com/inward/record.uri?eid=2-s2.0-85153714354&amp;doi=10.3390%2ftropicalmed8040184&amp;partnerID=40&amp;md5=34f90149a355dcea964e6e353b2fbce3</t>
  </si>
  <si>
    <t xml:space="preserve">Faculty of Medicine, Department of Parasitology and Mycology, Université des Sciences de la Santé, BP 4009, Libreville, Gabon</t>
  </si>
  <si>
    <t xml:space="preserve">Ndong Ngomo J.M., Faculty of Medicine, Department of Parasitology and Mycology, Université des Sciences de la Santé, BP 4009, Libreville, Gabon; Mawili-Mboumba D.P., Faculty of Medicine, Department of Parasitology and Mycology, Université des Sciences de la Santé, BP 4009, Libreville, Gabon; M’Bondoukwé N.P., Faculty of Medicine, Department of Parasitology and Mycology, Université des Sciences de la Santé, BP 4009, Libreville, Gabon; Ditombi B.M., Faculty of Medicine, Department of Parasitology and Mycology, Université des Sciences de la Santé, BP 4009, Libreville, Gabon; Koumba Lengongo J.V., Faculty of Medicine, Department of Parasitology and Mycology, Université des Sciences de la Santé, BP 4009, Libreville, Gabon; Batchy Ognagosso F.B., Faculty of Medicine, Department of Parasitology and Mycology, Université des Sciences de la Santé, BP 4009, Libreville, Gabon; Bouyou-Akotet M.K., Faculty of Medicine, Department of Parasitology and Mycology, Université des Sciences de la Santé, BP 4009, Libreville, Gabon</t>
  </si>
  <si>
    <t xml:space="preserve">ART resistance; Gabon; malaria clinical forms; molecular markers; parasitaemia; Plasmodium falciparum</t>
  </si>
  <si>
    <t xml:space="preserve">amodiaquine; antimalarial agent; artemisinin; benflumetol; chloroquine; dihydroartemisinin; exonuclease; ferredoxin; genomic DNA; mefloquine; molecular marker; piperaquine; allele; Anopheles funestus; Anopheles gambiae; antimalarial drug resistance; Article; blood smear; child; codon; cross-sectional study; disease severity; disease surveillance; dry season; female; fever; Gabon; gene; gene mutation; genetic background; genetic profile; genetic variability; genome-wide association study; Giemsa stain; haplotype; high throughput sequencing; human; infant; leukopenia; major clinical study; malaria falciparum; male; pfcrt gene; Plasmodium falciparum; rainy season; real time polymerase chain reaction; sex ratio; single nucleotide polymorphism</t>
  </si>
  <si>
    <t xml:space="preserve">amodiaquine, 69-44-3, 86-42-0; artemisinin, 63968-64-9; benflumetol, 82186-77-4; chloroquine, 132-73-0, 3545-67-3, 50-63-5, 54-05-7, 1446-17-9; dihydroartemisinin, 71939-50-9, 81496-81-3; exonuclease, 37228-74-3; ferredoxin, 9040-09-9; mefloquine, 51773-92-3, 53230-10-7; piperaquine, 4085-31-8</t>
  </si>
  <si>
    <t xml:space="preserve">UK Research and Innovation, UKRI; Wellcome Trust, (098051); Medical Research Council, MRC, (G0600718)</t>
  </si>
  <si>
    <t xml:space="preserve">This work was supported by the Medical Research Council UK (grant G0600718) and the Wellcome Trust (grant 098051) and carried out by the Plasmodium Diversity Network African (PDNA).</t>
  </si>
  <si>
    <t xml:space="preserve">World Malaria Report 2022, (2022); Lalloo D.G., Shingadia D., Bell D.J., Beeching N.J., Whitty C.J.M., Chiodini P.L., UK Malaria Treatment Guidelines 2016, J. Infect, 72, pp. 635-649, (2016); Word Malaria Report 2021, (2021); Dondorp A.M., Nosten F., Yi P., Das D., Phyo A.P., Tarning J., Lwin K.M., Ariey F., Hanpithakpong W., Lee S.J., Et al., Artemisinin Resistance in Plasmodium Falciparum Malaria, N. Engl. J. Med, 361, pp. 455-467, (2009); Fairhurst R.M., Dondorp A.M., Medicine M.T., Kingdom U., Artemisinin-Resistant Plasmodium falciparum Malaria, Microbiol. Spectr, 4, pp. 1-25, (2016); Duru V., Khim N., Leang R., Kim S., Domergue A., Kloeung N., Ke S., Chy S., Eam R., Khean C., Et al., Plasmodium Falciparum Dihydroartemisinin-Piperaquine Failures in Cambodia Are Associated with Mutant K13 Parasites Presenting High Survival Rates in Novel Piperaquine in Vitro Assays: Retrospective and Prospective Investigations, BMC Med, 13, (2015); Plasmodium M., Genomic Epidemiology of Artemisinin Resistant Malaria, Epidemiol. Glob. Health Microbiol. Infect. Dis; Straimer J., Gnadig N.F., Witkowski B., Amaratunga C., Duru V., Ramadani A.P., Dacheux M., Khim N., Zhang L., Lam S., Et al., K13-Propeller Mutations Confer Artemisinin Resistance in Plasmodium Falciparum Clinical Isolates, Science, 347, pp. 428-431, (2015); Ariey F., Witkowski B., Amaratunga C., Beghain J., Ma L., Lim P., Leang R., Duong S., Sreng S., A molecular marker of artemisinin-resistant Plasmodium falciparum malaria, Nature, 505, pp. 50-55, (2016); Miotto O., Amato R., Ashley E.A., Macinnis B., Dhorda M., Imwong M., Woodrow C., Manske M., Stalker J., Genetic architecture of artemisinin-resistant Plasmodium falciparum, Nat. Genet, 47, pp. 226-234, (2015); Nyunt M.H., Wang B., Aye K.M., Aye K.H., Han J.H., Lee S.K., Han K.T., Htut Y., Han E.T., Molecular Surveillance of Artemisinin Resistance Falciparum Malaria among Migrant Goldmine Workers in Myanmar, Malar. J, 16, (2017); Nyunt M.H., Soe M.T., Myint H.W., Oo H.W., Aye M.M., Han S.S., Zaw N.N., Cho C., Aung P.Z., Kyaw K.T., Et al., Clinical and Molecular Surveillance of Artemisinin Resistant Falciparum Malaria in Myanmar (2009–2013), Malar. J, 16, (2017); Otienoburu S.D., Suay I., Garcia S., Thomas N.V., Srisutham S., Bjorkman A., Humphreys G.S., An Online Mapping Database of Molecular Markers of Drug Resistance in Plasmodium Falciparum: The ACT Partner Drug Molecular Surveyor, Malar. J, 18, (2019); Wootton J.C., Feng X., Ferdig M.T., Cooper R.A., Mu J., Baruch D.I., Magill A.J., Su X.Z., Genetic Diversity and Chloroquine Selective Sweeps in Plasmodium Falciparum, Nature, 418, pp. 320-323, (2002); Sanchez C.P., Stein W.D., Lanzer M., Is PfCRT a Channel or a Carrier? Two Competing Models Explaining Chloroquine Resistance in Plasmodium Falciparum, Trends Parasitol, 23, pp. 332-339, (2007); Amato R., Lim P., Miotto O., Neal A.T., Sreng S., Suon S., Drury E., Europe PMC Funders Group Genetic Markers Associated with Dihydroartemisinin—Piperaquine Failure in Plasmodium Falciparum Malaria in Cambodia: A Genotype-Phenotype Association Study, Lancet Infect. Dis, 17, pp. 164-173, (2017); Otienoburu S.D., Ascofare O.M., Schramm B., Jullien V., Jones J.J., Zolia Y.M., Houze P., Ashley E.A., Kiechel J.R., Guerin P.J., Selection of Plasmodium Falciparum Pfcrt and Pfmdr1 Polymorphisms after Treatment with Artesunate—Amodiaquine Fixed Dose Combination or Artemether—Lumefantrine in Liberia, Malar. J, 15, (2016); Frank M., Lehners N., Mayengue P.I., Gabor J., Dal-bianco M., Kombila D.U., Ngoma G.M., Supan C., Lell B., Ntoumi F., Et al., A Thirteen-Year Analysis of Plasmodium Falciparum Populations Reveals High Conservation of the Mutant Pfcrt Haplotype despite the Withdrawal of Chloroquine from National Treatment Guidelines in Gabon, Malar. J, 10, (2011); Nzondo S.M., Kouna L.C., Mourembou G., Boundenga L., Karl R., Limoukou I., Matsiegui P.B., Zoleko R.M., Mbatchi B., Raoult D., Et al., Malaria in Urban, Semi-Urban and Rural Areas of Southern of Gabon: Comparison of the Pfmdr 1 and Pfcrt Genotypes from Symptomatic Children, Malar. J, 15, (2016); Mawili-mboumba D.P., Akotet M.K.B., Kendjo E., Nzamba J., Medang M.O., Increase in Malaria Prevalence and Age of at Risk Population in Different Areas of Gabon, Malar. J, 12, (2013); Ndong Ngomo M.J., Abang Ekouaghe P.L., M'boundoukowe N.P., Koumba Lengongo J.V., Mawili-Mboumba D.P., Bouyou-Akotet M.K., Profil Clinico-Biologique Du Paludisme Grave Dans Un Contexte de Transition Épidémiologique, Congress of the Ivorian Society of Parasitology and Mycology, (2016); Mourou J.R., Coffinet T., Jarjaval F., Pradines B., Amalvict R., Rogier C., Kombila M., Pages F., Malaria Transmission and Insecticide Resistance of Anopheles Gambiae in Libreville and Port-Gentil, Gabon, Malar. J, 9, (2010); (2005); Planche T., Krishna S., Kombila M., Engel K., Faucher J.F., Kremsner P.G., Kingdom U., Hospital A.S., Humanparasitologie S., Comparison of Methods for the Rapid Laboratory Assessment of Children with Malaria, Am. J. Trop. Med. Hyg, 65, pp. 599-602, (2001); Chenet S.M., Okoth S.A., Kelley J., Lucchi N., Huber C.S., Vreden S., Macedo De Oliveira A., Barnwell J.W., Udhayakumar V., Adhin M.R., Molecular Profile of Malaria Drug Resistance Markers of Plasmodium Falciparum in Suriname, Antimicrob. Agents Chemother, 61, pp. 1-8, (2017); Price R.N., Cassar C., Brockman A., Duraisingh M., White N.J., Nosten F., Krishna S., Al P.E.T., Hemother A.N.A.G.C., The Pfmdr1 Gene Is Associated with a Multidrug-Resistant Phenotype in Plasmodium Falciparum from the Western Border of Thailand, Antimicrob. Agents Chemother, 43, pp. 2943-2949, (1999); Veiga M.I., Dhingra S.K., Henrich P.P., Straimer J., Gna N., Uhlemann A., Martin R.E., Lehane A.M., Fidock D.A., Globally Prevalent PfMDR1 Mutations Modulate Plasmodium falciparum susceptibility to artemisinin-based combination therapies, Nat. Commun, 7, (2016); Fidock D.A., Nomura T., Talley A.K., Cooper R.A., Dzekunov S.M., Ferdig M.T., Ursos L.M.B., Sidhu S., Deitsch K.W., Su X., Et al., Mutations in the P. falciparum Digestive Vacuole Transmembrane Protein PfCRT and Evidence for Their Role in Chloroquine Resistance, Mol. Cell, 6, pp. 861-871, (2000); Kamau E., Campino S., Amenga-etego L., Drury E., Ishengoma D., Johnson K., Mumba D., Kekre M., Yavo W., Mead D., Et al., K13-Propeller Polymorphisms in Plasmodium Falciparum Parasites from Sub-Saharan Africa, J. Infect. Dis, 211, pp. 1352-1355, (2015); Wellems T.E., Plowe C., V Chloroquine-Resistant Malaria, pp. 770-776, (1990); Venkatesan M., Gadalla N.B., Stepniewska K., Dahal P., Nsanzabana C., Moriera C., Price R.N., Rosenthal P.J., Dorsey G., Sutherland C.J., Et al., Polymorphisms in Plasmodium Falciparum Chloroquine Resistance Transporter and Multidrug Resistance 1 Genes: Parasite Risk Factors That Affect Treatment Outcomes for P. falciparum Malaria after Artemether-Lumefantrine and Artesunate-Amodiaquine, Am. J. Trop. Med. Hyg, 91, pp. 833-843, (2014); Malmberg M., Ferreira P.E., Tarning J., Ursing J., Ngasala B., Bjorkman A., Martensson A., Gil J.P., Plasmodium Falciparum Drug Resistance Phenotype as Assessed by Patient Antimalarial Drug Levels and Its Association with Pfmdr1 Polymorphisms, J. Infect. Dis, 207, pp. 842-847, (2013); Leroy D., Macintyre F., Adoke Y., Ouoba S., Barry A., Mombo-Ngoma G., Ndong Ngomo J.M., Varo R., Dossou Y., Tshefu A.K., Et al., African Isolates Show a High Proportion of Multiple Copies of the Plasmodium Falciparum Plasmepsin-2 Gene, a Piperaquine Resistance Marker, Malar. J, 18, pp. 1-11, (2019); Mawili-Mboumba D.P., Ngomo J.M.N., Maboko F., Guiyedi V., Mbina J.R.M., Kombila M., Akotet M.K.B., Pfcrt 76T and Pfmdr1 86Y Allele Frequency in Plasmodium Falciparum Isolates and Use of Self-Medication in a Rural Area of Gabon, Trans. R. Soc. Trop. Med. Hyg, 108, pp. 729-734, (2014); Zhou R., Zhang H., Yang C., Liu Y., Zhao Y., Li S., Qian D., Xu B., Molecular Mutation Profile of Pfcrt in Plasmodium Falciparum Isolates Imported from Africa in Henan Province, Malar. J, 15, (2016); Ishengoma D.S., Mandara C.I., Francis F., Talundzic E., Lucchi N.W., Ngasala B., Kabanywanyi A.M., Mahende M.K., Kamugisha E., Kavishe R.A., Et al., Efficacy and Safety of Artemether-Lumefantrine for the Treatment of Uncomplicated Malaria and Prevalence of Pfk13 and Pfmdr1 Polymorphisms after a Decade of Using Artemisinin—Based Combination Therapy in Mainland Tanzania, Malar. J, 18, (2019); Voumbo-Matoumona D.F., Kouna L.C., Madamet M., Maghendji-Nzondo S., Pradines B., Lekana-Douki J.B., Prevalence of Plasmodium Falciparum Antimalarial Drug Resistance Genes in Southeastern Gabon from 2011 to 2014, Infect. Drug Resist, 11, pp. 1329-1338, (2018); Koussounda F.K., Jeyaraj S., Nguetse C.N., Nkonganyi C.N., Kokou K.C., Beka M.K.E., Ntoumi F., Molecular Surveillance of Plasmodium Falciparum Drug Resistance in the Republic of Congo: Four and Nine Years after the Introduction of Artemisinin - Based Combination Therapy, Malar. J, 16, (2017); Mbaye A., Dieye B., Ndiaye Y.D., Bei A.K., Muna A., Deme A.B., Yade M.S., Diongue K., Gaye A., Ndiaye I.M., Et al., Selection of N86F184D1246 Haplotype of Pfmrd1 Gene by Artemether—Lumefantrine Drug Pressure on Plasmodium Falciparum Populations in Senegal, Malar. J, 15, (2016); Nguetse C.N., Adegnika A.A., Agbenyega T., Ogutu B.R., Krishna S., Kremsner P.G., Velavan T.P., Molecular Markers of Anti-Malarial Drug Resistance in Central, West and East African Children with Severe Malaria, Malar. J, 16, (2017)</t>
  </si>
  <si>
    <t xml:space="preserve">J.M. Ndong Ngomo; Faculty of Medicine, Department of Parasitology and Mycology, Université des Sciences de la Santé, Libreville, BP 4009, Gabon; email: 06etindong@gmail.com</t>
  </si>
  <si>
    <t xml:space="preserve">2-s2.0-85153714354</t>
  </si>
  <si>
    <t xml:space="preserve">Tiwari S.; Kursange S.; Goyal A.; Safi D.</t>
  </si>
  <si>
    <t xml:space="preserve">Tiwari, Smrati (57197202575); Kursange, Samarth (58753064400); Goyal, Aman (58722039600); Safi, Darsh (58752829400)</t>
  </si>
  <si>
    <t xml:space="preserve">57197202575; 58753064400; 58722039600; 58752829400</t>
  </si>
  <si>
    <t xml:space="preserve">Efficacy of Pulse Methylprednisolone in Treatment of Acute Respiratory Distress Syndrome due to Malaria: A Randomized Controlled Clinical Trial</t>
  </si>
  <si>
    <t xml:space="preserve">Objective: To study the efficacy of pulse methylprednisolone (MPS) therapy in patients with malaria-associated acute respiratory distress syndrome (ARDS). Materials and methods: The study was a randomized, single-blind, placebo-controlled trial with a total sample size of 44 patients. The total random number table was used on a computer for randomization. The sample size was divided into either the study group that received pulse MPS therapy along with the standard therapy to manage acute lung injury (ALI)/ARDS or the control group that received a placebo in the form of 100 mL of normal saline with the standard therapy to manage ALI/ARDS. The primary outcome was defined as either death of the patient or discharge from the hospital. The sequential organ failure assessment (SOFA) score, the lung injury score (LIS), duration of stay in the medical intensive care unit (MICU), number of days for which mechanical ventilation was required, and the rate of secondary infections between the study and the control groups were also calculated. Statistically significant differences among continuous variables were analyzed by t-test, and differences between categorical variables were assessed by Chi-squared test. Results: A total of 30 patients passed initial screening, out of which 60% were males and 40% were females. About 73.3% of the patients fell between the age groups of 36–45 years. A total of 20 patients (66.7%) were discharged from the hospital, while the remaining 10 patients succumbed to death in the intensive care unit (ICU) (33.3%). The outcome of death or discharge was found to be independent of the use of pulse MPS therapy (p = 0.44). No statistically significant difference was found between the partial pressure of oxygen (PaO2)/fraction of inspired oxygen (FiO2) ratio, SOFA score, and LIS between the two groups. Furthermore, the differences between the mean duration of stay in the MICU, the mean duration for the provision of mechanical ventilation (p = 0.41), and the rate of secondary infections (p = 0.46) remained unaffected with the use of pulse MPS therapy. Conclusion: Pulse MPS therapy has not shown any clear-cut benefit in the management of malaria-associated ARDS, and in fact, the continuous use of this treatment in hospitals may lead to worsened outcomes. A novel, effective therapy for this grave complication needs to be developed to reduce the morbidity and mortality in such patients, which is frequently encountered. The development of a robust surveillance system is required for adequate monitoring and early diagnosis of this complication, along with larger multicentric randomized clinical trials. ©TheAuthor(s). 2023.</t>
  </si>
  <si>
    <t xml:space="preserve">Journal of Association of Physicians of India</t>
  </si>
  <si>
    <t xml:space="preserve">10.59556/japi.71.0379</t>
  </si>
  <si>
    <t xml:space="preserve">https://www.scopus.com/inward/record.uri?eid=2-s2.0-85179117180&amp;doi=10.59556%2fjapi.71.0379&amp;partnerID=40&amp;md5=576eba7f67f9d8acc5be9b457c98b763</t>
  </si>
  <si>
    <t xml:space="preserve">Department of Medicine, Seth GS Medical College, King Edward Memorial (KEM) Hospital, Maharashtra, Mumbai, India</t>
  </si>
  <si>
    <t xml:space="preserve">Tiwari S., Department of Medicine, Seth GS Medical College, King Edward Memorial (KEM) Hospital, Maharashtra, Mumbai, India; Kursange S., Department of Medicine, Seth GS Medical College, King Edward Memorial (KEM) Hospital, Maharashtra, Mumbai, India; Goyal A., Department of Medicine, Seth GS Medical College, King Edward Memorial (KEM) Hospital, Maharashtra, Mumbai, India; Safi D., Department of Medicine, Seth GS Medical College, King Edward Memorial (KEM) Hospital, Maharashtra, Mumbai, India</t>
  </si>
  <si>
    <t xml:space="preserve">Adult; Female; Glucocorticoids; Humans; Length of Stay; Malaria; Male; Methylprednisolone; Middle Aged; Pulse Therapy, Drug; Respiration, Artificial; Respiratory Distress Syndrome; Single-Blind Method; Treatment Outcome; Young Adult; glucocorticoid; methylprednisolone; adult; artificial ventilation; complication; controlled study; drug pulse therapy; female; human; length of stay; malaria; male; middle aged; randomized controlled trial; respiratory distress syndrome; single blind procedure; treatment outcome; young adult</t>
  </si>
  <si>
    <t xml:space="preserve">methylprednisolone, 6923-42-8, 83-43-2; Glucocorticoids, ; Methylprednisolone, </t>
  </si>
  <si>
    <t xml:space="preserve">Snow RW, Guerra CA, Noor AM, Et al., The global distribution of clinical episodes of plasmodium falciparum malaria, Nature, 434, 7030, pp. 214-217, (2005); Metha SR, Joshi V, Lazar AI., Unusual acute and chronic complications of malaria, J Assoc Physicians India, 44, 7, pp. 451-453, (1996); Mohan A, Sharma SK, Bollineni S., Acute lung injury and acute respiratory distress syndrome in malaria, J Vector Borne Dis, 45, 3, pp. 179-193, (2008); Krishnan A, Karnad DR., Severe falciparum malaria: an important cause of multiple organ failure in Indian intensive care unit patients, Crit Care Med, 31, 9, pp. 2278-2284, (2003); Eichacker PQ, Gerstenberger EP, Banks SM, Et al., Meta-analysis of acute lung injury and acute respiratory distress syndrome trials testing low tidal volumes, Am J Respir Crit Care Med, 166, 11, pp. 1510-1514, (2002); Guerin C., The preventive role of higher PEEP in treating severely hypoxemic ARDS, Minerva Anestesiol, 77, 8, pp. 835-845, (2011); Ashbaugh D, Bigelow DB, Petty T, Et al., Acute respiratory distress in adults, Lancet, 2, 7511, pp. 319-323, (1967); Murray JF, Matthay MA, Luce JM, Et al., An expanded definition of the adult respiratory distress syndrome, Am Rev Respir Dis, 138, 3, pp. 720-723, (1988); Lambden S, Laterre PF, Levy MM, Et al., The SOFA score—development, utility and challenges of accurate assessment in clinical trials, Crit Care, 23, 1, (2019); Kangelaris KN, Calfee CS, May AK, Et al., Is there still a role for the lung injury score in the era of the Berlin definition ARDS?, Ann Intensive Care, 4, 1, (2014); Magazine R, Rao S, Chogtu B, Et al., Epidemiological profile of acute respiratory distress syndrome patients: a tertiary care experience, Lung India, 34, 1, pp. 38-42, (2017); Bhadade RR, De Souza RA, Harde MJ, Et al., Clinical characteristics and outcomes of patients with acute lung injury and ARDS, J Postgrad Med, 57, 4, pp. 286-290, (2011); Vigg A, Mantri S, Vigg A, Et al., Clinical profile of ARDS, J Assoc Physicians India, 51, pp. 855-858, (2003); Weigelt JA, Norcross JF, Borman KR, Et al., Early steroid therapy for respiratory failure, Arch Surg, 120, 5, pp. 536-540, (1985); Complement activation and corticosteroid therapy in the development of the adult respiratory distress syndrome, Chest, 91, 6, pp. 850-854, (1987); Bernard GR, Luce JM, Sprung CL, Et al., High-dose corticosteroids in patients with the adult respiratory distress syndrome, N Engl J Med, 317, 25, pp. 1565-1570, (1987); Methylprednisolone infusion in early severe ARDS: results of a randomized controlled trial, Chest, 131, 4, pp. 954-963, (2007); Takaki M, Ichikado K, Kawamura K, Et al., The negative effect of initial high-dose methylprednisolone and tapering regimen for acute respiratory distress syndrome: a retrospective propensity matched cohort study, Crit Care, 21, 1, (2017); Bone RC, Fisher CJ, Clemmer TP, Et al., Early methylprednisolone treatment for septic syndrome and the adult respiratory distress syndrome, Chest, 92, 6, pp. 1032-1036, (1987); Mishra SK, Mohanty S, Mohanty A, Et al., Management of severe and complicated malaria, J Postgrad Med, 52, 4, pp. 281-287, (2006); Elzein F, Mohammed N, Ali N, Et al., Pulmonary manifestation of Plasmodiumfalciparummalaria: case reports and review of the literature, Respir Med Case Rep, 22, pp. 83-86, (2017); Jindal SK, Aggarwal AN, Gupta D., Adult respiratory distress syndrome in the tropics, Clin Chest Med, 23, 2, pp. 445-455, (2002)</t>
  </si>
  <si>
    <t xml:space="preserve">J. Assoc.Phys. India</t>
  </si>
  <si>
    <t xml:space="preserve">2-s2.0-85179117180</t>
  </si>
  <si>
    <t xml:space="preserve">El-Bana S.; Al-Kabbany A.; Elragal H.M.; El-Khamy S.</t>
  </si>
  <si>
    <t xml:space="preserve">El-Bana, Shimaa (57215605720); Al-Kabbany, Ahmad (24469752200); Elragal, Hassan M. (6506915348); El-Khamy, Said (56036145100)</t>
  </si>
  <si>
    <t xml:space="preserve">57215605720; 24469752200; 6506915348; 56036145100</t>
  </si>
  <si>
    <t xml:space="preserve">Evaluating the Potential of Wavelet Pooling on Improving the Data Efficiency of Light-Weight CNNs</t>
  </si>
  <si>
    <t xml:space="preserve">Wavelet pooling (WP) in neural network architectures has recently demonstrated more discriminative power than traditional pooling methods. This is mainly because the latter suffer from spatial information loss while wavelet pooling harnesses the power of spectral information. However, the potential of WP in increasing the data efficiency and the extent of this potential have not been investigated yet. Data efficiency refers to the volume of training data required to attain a certain performance level during inference, e.g., recognition accuracy. In this research, we are concerned with evaluating the data efficiency of WP in light-weight architectures-MobileNets. Across a wide variety of seven datasets/applications including object recognition (CIFAR-10, STL-10, CINIC-10, and Intel Image Classification datasets) and diagnostic imaging (colon diseases, brain tumors, and malaria cell images datasets), and while considering classification accuracy as a performance metric, we show that WP achieves an average data saving that exceeds 30% compared to traditional pooling techniques. For other performance measures, namely, precision, recall, and F1-score, we report an average of 30% data saving for object recognition datasets and 22% saving for diagnostic imaging datasets. By focusing on a light-weight architecture, this research further emphasizes the significance of wavelet pooling in training and testing resources-challenged settings such as the applications of edge computing and green deep learning.  © 2013 IEEE.</t>
  </si>
  <si>
    <t xml:space="preserve">10.1109/ACCESS.2023.3280191</t>
  </si>
  <si>
    <t xml:space="preserve">https://www.scopus.com/inward/record.uri?eid=2-s2.0-85161037433&amp;doi=10.1109%2fACCESS.2023.3280191&amp;partnerID=40&amp;md5=c19b2a4a42f0f33d3a839980c7273620</t>
  </si>
  <si>
    <t xml:space="preserve">Alexandria University, Department of Electrical Engineering, Alexandria, 21544, Egypt; Arab Academy for Science, Technology, and Maritime Transport, Intelligent Systems Laboratory, Alexandria, 21937, Egypt; VRapeutic Inc., Department of Research and Development, Cairo, 11613, Egypt</t>
  </si>
  <si>
    <t xml:space="preserve">El-Bana S., Alexandria University, Department of Electrical Engineering, Alexandria, 21544, Egypt; Al-Kabbany A., Arab Academy for Science, Technology, and Maritime Transport, Intelligent Systems Laboratory, Alexandria, 21937, Egypt, VRapeutic Inc., Department of Research and Development, Cairo, 11613, Egypt; Elragal H.M., Alexandria University, Department of Electrical Engineering, Alexandria, 21544, Egypt; El-Khamy S., Alexandria University, Department of Electrical Engineering, Alexandria, 21544, Egypt</t>
  </si>
  <si>
    <t xml:space="preserve">classification; CNNs; MobileNet; pooling; spectral information; wavelet</t>
  </si>
  <si>
    <t xml:space="preserve">Classification (of information); Deep learning; Diagnosis; Energy efficiency; Mobile telecommunication systems; Network architecture; Neural networks; Object detection; Object recognition; Computational modelling; Convolutional neural network; Light weight; Mobile communications; Mobilenet; Objects recognition; Pooling; Spectral information; Training data; Wavelet; Computer architecture</t>
  </si>
  <si>
    <t xml:space="preserve">Cao K., Liu Y., Meng G., Sun Q., An overview on edge computing research, IEEE Access, 8, pp. 85714-85728, (2020); Kum S., Oh S., Yeom J., Moon J., Optimization of edge resources for deep learning application with batch and model management, Sensors, 22, 17; Xu J., Zhou W., Fu Z., Zhou H., Li L., A survey on green deep learning, CoRR, pp. 1-61; Cazenavette G., Wang T., Torralba A., Efros A.A., Zhu J., Dataset distillation by matching training trajectories, Proc. IEEE/CVF Conf. Comput. Vis. Pattern Recognit. (CVPR), pp. 10708-10717, (2022); Karystinos G.N., Pados D.A., On overfitting, generalization, and randomly expanded training sets, IEEE Trans. Neural Netw., 11, 5, pp. 1050-1057, (2000); Yang S., Xie Z., Peng H., Xu M., Sun M., Li P., Dataset pruning: Reducing training data by examining generalization influence; Ghojogh B., Crowley M., Principal sample analysis for data reduction, Proc. IEEE Int. Conf. Big Knowl. (ICBK), pp. 350-357, (2018); Fortuna-Cervantes J.M., Ramirez-Torres M.T., Mejia-Carlos M., Murguia J.S., Martinez-Carranza J., Soubervielle-Montalvo C., Guerra-Garcia C.A., Texture and materials image classification based on wavelet pooling layer in CNN, Appl. Sci., 12, 7; Brito A.D.S., Vieira M.B., de Andrade M.L.S.C., Feitosa R.Q., Giraldi G.A., Combining max-pooling and wavelet pooling strategies for semantic image segmentation, Expert Syst. Appl., 183; Li Q., Shen L., 3D WaveUNet: 3D wavelet integrated encoder–decoder network for neuron segmentation; El-Khamy S., Al-Kabbany A., El-Bana S., Less is more: Matched wavelet pooling-based light-weight CNNs with application to image classification, IEEE Access, 10, pp. 59592-59602, (2022); El-Khamy S., Al-Kabbany A., El-Bana S., Going shallower with MobileNets: On the impact of wavelet pooling, Proc. 38th Nat. Radio Sci. Conf. (NRSC), 1, 2021, pp. 126-138; El-Khamy S.E., Al-Kabbany A., El-Bana S., MLRS-CNN-DWTPL: A new enhanced multi-label remote sensing scene classification using deep neural networks with wavelet pooling layers, Proc. Int. Telecommun. Conf. (ITC-Egypt), pp. 1-5, (2021); Liu P., Zhang H., Lian W., Zuo W., Multi-level wavelet convolutional neural networks, IEEE Access, 7, pp. 74973-74985, (2019); Williams T., Li R., Wavelet pooling for convolutional neural networks, Proc. Int. Conf. Learn. Represent., pp. 1-12, (2018); Mall R., Jumutc V., Langone R., Suykens J.A.K., Representative subsets for big data learning using k-NN graphs, Proc. IEEE Int. Conf. Big Data (Big Data), pp. 37-42, (2014); Bachem O., Lucic M., Krause A., Practical coreset constructions for machine learning, (2017); Lapedriza A., Pirsiavash H., Bylinskii Z., Torralba A., Are all training examples equally valuable?, (2013); Krizhevsky A., Sutskever I., Hinton G.E., ImageNet classification with deep convolutional neural networks, Proc. Adv. Neural Inf. Process. Syst., 25, pp. 1097-1105, (2012); Yu F., Koltun V., Multi-scale context aggregation by dilated convolutions, (2015); Szegedy C., Vanhoucke V., Ioffe S., Shlens J., Wojna Z., Rethinking the inception architecture for computer vision, Proc. IEEE Conf. Comput. Vis. Pattern Recognit. (CVPR), pp. 2818-2826, (2016); Paoletti M.E., Haut J.M., Fernandez-Beltran R., Plaza J., Plaza A.J., Pla F., Deep pyramidal residual networks for spectral–spatial hyperspectral image classification, IEEE Trans. Geosci. Remote Sens., 57, 2, pp. 740-754, (2019); Howard A.G., Zhu M., Chen B., Kalenichenko D., Wang W., Weyand T., Andreetto M., Adam H., MobileNets: Efficient convolutional neural networks for mobile vision applications, (2017); Huang G., Liu Z., Van Der Maaten L., Weinberger K.Q., Densely connected convolutional networks, Proc. IEEE Conf. Comput. Vis. Pattern Recognit. (CVPR), pp. 2261-2269, (2017); Krizhevsky A., Hinton G., Learning multiple layers of features from tiny images, (2009); Darlow L.N., Crowley E.J., Antoniou A., Storkey A.J., CINIC-10 is not ImageNet or CIFAR-10, (2018); Coates A., Ng A., Lee H., An analysis of single-layer networks in unsupervised feature learning, Proc. 14th Int. Conf. Artif. Intell. Statist., pp. 215-223, (2011); Intel Image Classification Dataset; Yang Y., Newsam S., Bag-of-visual-words and spatial extensions for land-use classification, Proc. 18th SIGSPATIAL Int. Conf. Adv. Geograph. Inf. Syst., pp. 270-279, (2010); WCE Curated Colon Disease Dataset; Malaria Cell Images Dataset; Brain Tumor MRI Dataset; Cheng J., Et al., Enhanced performance of brain tumor classification via tumor region augmentation and partition, PLoS One, 10, 10, (2015); Freeman I., Roese-Koerner L., Kummert A., EffNet: An efficient structure for convolutional neural networks, Proc. 25th IEEE Int. Conf. Image Process. (ICIP), pp. 6-10, (2018); Rahimzadeh M., Parvin S., Safi E., Mohammadi M.R., Wise-SrNet: A novel architecture for enhancing image classification by learning spatial resolution of feature maps; Lu Z., Sreekumar G., Goodman E., Banzhaf W., Deb K., Boddeti V.N., Neural architecture transfer, IEEE Trans. Pattern Anal. Mach. Intell., 43, 9, pp. 2971-2989; Yu Y., Adu K., Tashi N., Anokye P., Wang X., Ayidzoe M.A., RMAF: ReLU-memristor-like activation function for deep learning, IEEE Access, 8, pp. 72727-72741, (2020); Krizhevsky A., Sutskever I., Hinton G.E., ImageNet classification with deep convolutional neural networks, Commun. ACM, 60, 6, pp. 84-90, (2017); Goyal P., Duval Q., Seessel I., Caron M., Misra I., Sagun L., Joulin A., Bojanowski P., Vision models are more robust and fair when pretrained on uncurated images without supervision; Kabir H.M.D., Abdar M., Khosravi A., Jalali S.M.J., Atiya A.F., Nahavandi S., Srinivasan D., SpinalNet: Deep neural network with gradual input, IEEE Trans. Artif. Intell., 21; Pishchik E., Trainable activations for image classification, 2023; Sohn K., Berthelot D., Carlini N., Zhang Z., Zhang H., Raffel C.A., Cubuk E.D., Kurakin A., Li C.-L., FixMatch: Simplifying semi-supervised learning with consistency and confidence, Proc. Adv. Neural Inf. Process. Syst., 33, 2020, pp. 596-608; Bruno A., Moroni D., Martinelli M., Efficient adaptive ensembling for image classification; Suman S., Hussin F., Malik A., Ho S., Hilmi I., Leow A., Goh K.-L., Feature selection and classification of ulcerated lesions using statistical analysis for WCE images, Appl. Sci., 7, 10, (2017); Oksuz C., Urhan O., Gullu M.K., Brain tumor classification using the fused features extracted from expanded tumor region, Biomed. Signal Process. Control, 72, 2022; Xia G., Hu J., Hu F., Shi B., Bai X., Zhong Y., Zhang L., Lu X., AID: A benchmark data set for performance evaluation of aerial scene classification, IEEE Trans. Geosci. Remote Sens., 55, 7, pp. 3965-3981, (2017); Maqsood A., Farid M.S., Khan M.H., Grzegorzek M., Deep malaria parasite detection in thin blood smear microscopic images, Appl. Sci., 11, 5; Montalbo F.J.P., Diagnosing gastrointestinal diseases from endoscopy images through a multi-fused CNN with auxiliary layers, alpha dropouts, and a fusion residual block, Biomed. Signal Process. Control, 76, 2022; Han X., Zhong Y., Cao L., Zhang L., Pre-trained AlexNet architecture with pyramid pooling and supervision for high spatial resolution remote sensing image scene classification, Remote Sens, 9, 8, (2017); Anwer R.M., Khan F.S., van de Weijer J., Molinier M., Laaksonen J., Binary patterns encoded convolutional neural networks for texture recognition and remote sensing scene classification, ISPRS J. Photogramm. Remote Sens., 138, pp. 74-85, (2018); Ilse M., Tomczak J., Welling M., Attention-based deep multiple instance learning, Proc. Int. Conf. Mach. Learn., pp. 2127-2136, (2018); Bi Q., Qin K., Li Z., Zhang H., Xu K., Xia G., A multiple-instance densely-connected ConvNet for aerial scene classification, IEEE Trans. Image Process., 29, pp. 4911-4926, (2020); Afshar P., Plataniotis K.N., Mohammadi A., Capsule networks for brain tumor classification based on MRI images and coarse tumor boundaries, Proc. IEEE Int. Conf. Acoust., Speech Signal Process. (ICASSP), pp. 1368-1372, (2019); Bi Q., Qin K., Zhang H., Li Z., Xu K., RADC-Net: A residual attention based convolution network for aerial scene classification, Neurocomputing, 377, pp. 345-359, (2020); Afshar P., Mohammadi A., Plataniotis K.N., Brain tumor type classification via capsule networks, Proc. 25th IEEE Int. Conf. Image Process. (ICIP), pp. 3129-3133, (2018); Cao R., Fang L., Lu T., He N., Self-attention-based deep feature fusion for remote sensing scene classification, IEEE Geosci. Remote Sens. Lett., 18, 1, pp. 43-47, (2021); Cheng J., Huang W., Cao S., Yang R., Yang W., Yun Z., Wang Z., Feng Q., Enhanced performance of brain tumor classification via tumor region augmentation and partition, PLoS ONE, 10, 10, (2015); Cheng G., Yang C., Yao X., Guo L., Han J., When deep learning meets metric learning: Remote sensing image scene classification via learning discriminative CNNs, IEEE Trans. Geosci. Remote Sens., 56, 5, pp. 2811-2821, (2018); Mondal A., Shrivastava V.K., A novel Parametric Flatten-p Mish activation function based deep CNN model for brain tumor classification, Comput. Biol. Med., 150</t>
  </si>
  <si>
    <t xml:space="preserve">A. Al-Kabbany; Arab Academy for Science, Technology, and Maritime Transport, Intelligent Systems Laboratory, Alexandria, 21937, Egypt; email: alkabbany@ieee.org</t>
  </si>
  <si>
    <t xml:space="preserve">2-s2.0-85161037433</t>
  </si>
  <si>
    <t xml:space="preserve">Handous M.; Turki I.; Ghram A.; BenMaiz S.; Bensalem J.; Basdouri N.; Soltani M.; Bassalah F.; Kharmachi H.</t>
  </si>
  <si>
    <t xml:space="preserve">Handous, Mariem (57377738900); Turki, Imed (57219940800); Ghram, Abdejelil (6603046483); BenMaiz, Samia (57194043566); Bensalem, Jihen (58081905200); Basdouri, Nourhene (57378056200); Soltani, Mohamed (58081385900); Bassalah, Farah (58081905300); Kharmachi, Habib (6506443689)</t>
  </si>
  <si>
    <t xml:space="preserve">57377738900; 57219940800; 6603046483; 57194043566; 58081905200; 57378056200; 58081385900; 58081905300; 6506443689</t>
  </si>
  <si>
    <t xml:space="preserve">Evaluation of the immune response of dogs after a mass vaccination campaign against rabies in Tunisia</t>
  </si>
  <si>
    <t xml:space="preserve">Background: Rabies (RABV) is an enzootic disease in Tunisia, with dogs being the primary reservoir. Vaccinating dogs is the key to eradicate rabies. Regional Veterinary Services conduct nationwide immunisation campaigns on an annual basis. Evaluation of the immune response is still important to make sure that the vaccination is effective in the conditions of the Tunisian field. In this paper, the FAVN technique was used to test rabies antibody dynamics in dogs from three distinct Tunisian areas observed for one year following a mass vaccination campaign. Results: On day 30 after vaccination, 75% of all dogs vaccinated during the campaign were sero-positive (titres greater than or equal to 0.5 transformed IU/ml). On day 180, 48% of all dogs were sero-positive. Only 25.6% of primary-vaccinated dogs remained sero-positive on day 180 and 7% on day 365, whereas 91% of previously sero-positive dogs remained sero-positive on day 365. Conclusions: Although a single rabies vaccine is successful at stimulating an immunological response, it is recommended that primary-vaccinated dogs have a second booster between one and three months after the initial vaccination to maintain seropositivity. To achieve the rabies eradication objective, all dogs should receive an annual booster to maintain effective immunological protection. © 2023, The Author(s).</t>
  </si>
  <si>
    <t xml:space="preserve">Tunisia</t>
  </si>
  <si>
    <t xml:space="preserve">BMC Veterinary Research</t>
  </si>
  <si>
    <t xml:space="preserve">10.1186/s12917-023-03582-8</t>
  </si>
  <si>
    <t xml:space="preserve">https://www.scopus.com/inward/record.uri?eid=2-s2.0-85147023475&amp;doi=10.1186%2fs12917-023-03582-8&amp;partnerID=40&amp;md5=c7360b8153a1bd49983bc1179a6bba2a</t>
  </si>
  <si>
    <t xml:space="preserve">University of Tunis El Manar, Rabies Laboratory, Institut Pasteur of Tunis, Tunis, Tunisia; Contagious Diseases, Zoonoses and Health Legislation Department, University of Manouba, National School of Veterinary Medicine, Sidi Thabet, Tunisia; University of Tunis El Manar, Laboratory of Epidemiology and Veterinary Microbiology, Institut Pasteur of Tunis, Tunis, Tunisia</t>
  </si>
  <si>
    <t xml:space="preserve">Handous M., University of Tunis El Manar, Rabies Laboratory, Institut Pasteur of Tunis, Tunis, Tunisia; Turki I., University of Tunis El Manar, Rabies Laboratory, Institut Pasteur of Tunis, Tunis, Tunisia, Contagious Diseases, Zoonoses and Health Legislation Department, University of Manouba, National School of Veterinary Medicine, Sidi Thabet, Tunisia; Ghram A., University of Tunis El Manar, Rabies Laboratory, Institut Pasteur of Tunis, Tunis, Tunisia, University of Tunis El Manar, Laboratory of Epidemiology and Veterinary Microbiology, Institut Pasteur of Tunis, Tunis, Tunisia; BenMaiz S., University of Tunis El Manar, Rabies Laboratory, Institut Pasteur of Tunis, Tunis, Tunisia; Bensalem J., University of Tunis El Manar, Rabies Laboratory, Institut Pasteur of Tunis, Tunis, Tunisia; Basdouri N., University of Tunis El Manar, Rabies Laboratory, Institut Pasteur of Tunis, Tunis, Tunisia; Soltani M., University of Tunis El Manar, Rabies Laboratory, Institut Pasteur of Tunis, Tunis, Tunisia; Bassalah F., University of Tunis El Manar, Rabies Laboratory, Institut Pasteur of Tunis, Tunis, Tunisia; Kharmachi H., University of Tunis El Manar, Rabies Laboratory, Institut Pasteur of Tunis, Tunis, Tunisia</t>
  </si>
  <si>
    <t xml:space="preserve">Dogs; FAVN; Immune response; Rabies virus</t>
  </si>
  <si>
    <t xml:space="preserve">Animals; Antibodies, Viral; Dog Diseases; Dogs; Immunity; Immunization Programs; Mass Vaccination; Rabies; Rabies Vaccines; Tunisia; Vaccination; neutralizing antibody; rabies vaccine; rabies vaccine; virus antibody; adult; animal experiment; antibody titer; Article; dog; female; immune response; male; mass immunization; nonhuman; nutrition; rabies; Rabies virus; seroconversion; temperature; vaccination; vaccination coverage; virus neutralization; animal; dog; dog disease; epidemiology; immunity; mass immunization; preventive health service; rabies; Tunisia; vaccination; veterinary medicine</t>
  </si>
  <si>
    <t xml:space="preserve">Antibodies, Viral, ; Rabies Vaccines, </t>
  </si>
  <si>
    <t xml:space="preserve">Ministry of Higher Education and Research of Tunisia, (LEMV-LR11IPT03); Regional Commission; Ministry of Health, MOH; Ministère de l’Enseignement Supérieur et de la Recherche Scientifique, MESRS, (LR11IP03); Institut Pasteur de Tunis, IPT</t>
  </si>
  <si>
    <t xml:space="preserve">Funding text 1: The Tunisian Ministry of Higher Education and Scientific Research funded this research (LR11IP03). The funding body played no part in the study's design, data collection, analysis, interpretation, or article writing. ; Funding text 2: We are grateful to Dr Fethi Ben ounis, Dr Nadia Azzabi, Dr Zohra Landolsi, Dr Khalil Fakhfekh, Dr Eya Dhrif and their colleagues from the Regional Commission for agricultural development of Manouba, Dr Taoufik Chikhaoui and his colleagues from the Regional Commission for agricultural development of Bizerte and Dr Abderrazek Tlili, Dr Ghaith Bessoussa, Dr Khansa Haj Ali, Dr Salma Boughanmi, Dr Nadia Hemriti and their colleagues from Regional commission for agricultural development of Ben arous. We would also thank Mr Hichem Ghribi, Mr Samir Ghribi, Mr Samir Taraoui, and Mr Adel Slema for transport logistics. We are also thankful to the owners who participated in this study. Our thanks also go to Mr Muhamad Umai Khan and Mr Slim Zriba for linguistic correction. Thanks are also addressed to the Institut Pasteur of Tunis, the Ministry of Health, and the Ministry of Higher Education and Research of Tunisia (LEMV-LR11IPT03 project) for their funding.; Funding text 3: We are grateful to Dr Fethi Ben ounis, Dr Nadia Azzabi, Dr Zohra Landolsi, Dr Khalil Fakhfekh, Dr Eya Dhrif and their colleagues from the Regional Commission for agricultural development of Manouba, Dr Taoufik Chikhaoui and his colleagues from the Regional Commission for agricultural development of Bizerte and Dr Abderrazek Tlili, Dr Ghaith Bessoussa, Dr Khansa Haj Ali, Dr Salma Boughanmi, Dr Nadia Hemriti and their colleagues from Regional commission for agricultural development of Ben arous. We would also thank Mr Hichem Ghribi, Mr Samir Ghribi, Mr Samir Taraoui, and Mr Adel Slema for transport logistics. We are also thankful to the owners who participated in this study. Our thanks also go to Mr Muhamad Umai Khan and Mr Slim Zriba for linguistic correction. Thanks are also addressed to the Institut Pasteur of Tunis, the Ministry of Health, and the Ministry of Higher Education and Research of Tunisia (LEMV-LR11IPT03 project) for their funding. </t>
  </si>
  <si>
    <t xml:space="preserve">Coleman P.G., Dye C., Immunization coverage required to prevent outbreaks of dog rabies, Vaccine, 14, pp. 185-186, (1996); Lucas C.H.A., Pino F.V., Baer G., Morales P.K., Cedillo V.G., Blanco M.A.L., Et al., Rabies control in Mexico, Dev Biol, 131, pp. 167-175, (2008); Lembo T., Hampson K., Kaare M.T., Ernest E., Knobel D., Kazwala R.R., Et al., The Feasibility of Canine Rabies Elimination in Africa: Dispelling Doubts with Data, PLoS Negl Trop Dis., 4, (2010); Zinsstag J., Lechenne M., Laager M., Mindekem R., Naissengar S., Oussiguere A., Et al., Vaccination of dogs in an African city interrupts rabies transmission and reduces human exposure, Sci Transl Med., 9, (2017); WHO Expert Consultation on Rabies: third report, (2018); Jeon S., Cleaton J., Meltzer M.I., Kahn E.B., Pieracci E.G., Blanton J.D., Et al., Determining the post-elimination level of vaccination needed to prevent re-establishment of dog rabies, PLoS Negl Trop Dis., 13, (2019); Suzuki K., Gonzalez E.T., Ascarrunz G., Loza A., Perez M., Ruiz G., Et al., Antibody response to an anti-rabies vaccine in a dog population under field conditions in Bolivia, Zoonoses Public Health, 55, pp. 414-420, (2008); Expert committee on rabies, 8th report, (1992); Lugelo A., Hampson K., Czupryna A., Bigambo M., McElhinney L.M., Marston D.A., Et al., Investigating the Efficacy of a Canine Rabies Vaccine Following Storage Outside of the Cold-Chain in a Passive Cooling Device, Front Vet Sci., 8, (2021); Ashok A., Brison M., LeTallec Y., Improving cold chain systems: Challenges and solutions, Vaccine, 35, pp. 2217-2223, (2017); Lloyd J., Lydon P., Ouhichi R., Zaffran M., Reducing the loss of vaccines from accidental freezing in the cold chain: The experience of continuous temperature monitoring in Tunisia, Vaccine, 33, pp. 902-907, (2015); Haddad N., Serological evaluation of the efficacy of an antirabies vaccine in field dogs in Tunisia, Ann Rech Vét Ann Vet Res, 18, pp. 63-67, (1987); Seghaier C., Tlatli A., Aubert M., Cliquet F., Hammami S., Aouina T., Rabies mass vaccination campaigns in Tunisia: are vaccinated dogs correctly immunized?, Am J Trop Med Hyg, 61, pp. 879-884, (1999); Mansfield K.L., Sayers R., Fooks A.R., Burr P.D., Snodgrass D., Factors affecting the serological response of dogs and cats to rabies vaccination, Vet Rec, 154, pp. 423-426, (2004); Kennedy L.J., Lunt M., Barnes A., McElhinney L., Fooks A.R., Baxter D.N., Et al., Factors influencing the antibody response of dogs vaccinated against rabies, Vaccine, 25, pp. 8500-8507, (2007); Jakel V., Konig M., Cussler K., Hanschmann K., Thiel H.-J., Factors influencing the antibody response to vaccination against rabies, Dev Biol, 131, pp. 431-437, (2008); Wallace R.M., Pees A., Blanton J.B., Moore S.M., Risk factors for inadequate antibody response to primary rabies vaccination in dogs under one year of age, Rupprecht CE. PLoS Negl Trop Dis., 11, (2017); Koutchoukali M.A., Blancou J., Chappuis G., Tixier G., Eloit M., Ganiere J.P., Réponse sérologique du chien après primovaccination antirabique a l’aide de vaccins adjuvés ou non, (1985); Day M.J., Immune system development in the dog and cat, J Comp Pathol juill, 137, pp. S10-S15, (2007); Morters M.K., McKinley T.J., Horton D.L., Cleaveland S., Schoeman J.P., Restif O., Et al., Achieving Population-Level Immunity to Rabies in Free-Roaming Dogs in Africa and Asia, PLoS Negl Trop Dis, 8, (2014); Morters M.K., McNabb S., Horton D.L., Fooks A.R., Schoeman J.P., Whay H.R., Et al., Effective vaccination against rabies in puppies in rabies endemic regions, Vet Rec, 177, (2015); Minke J.M., Bouvet J., Cliquet F., Wasniewski M., Guiot A.L., Lemaitre L., Et al., Comparison of antibody responses after vaccination with two inactivated rabies vaccines, Vet Microbiol, 133, pp. 283-286, (2009); Pimburage R.M.S., Gunatilake M., Wimalaratne O., Balasuriya A., Perera K.A.D.N., Sero-prevalence of virus neutralizing antibodies for rabies in different groups of dogs following vaccination, BMC Vet Res, 13, (2017); Tepsumethanon W., Polsuwan C., Lumlertdaecha B., Khawplod P., Hemachudha T., Chutivongse S., Et al., Immune response to rabies vaccine in Thai dogs: a preliminary report, Vaccine, 9, pp. 627-630, (1991); Berndtsson L.T., Nyman A.-K.J., Rivera E., Klingeborn B., Factors associated with the success of rabies vaccination of dogs in Sweden, Acta Vet Scand., 53, (2011); Sihvonen L., Kulonen K., Neuvonen E., Pekkanen K., Rabies antibodies in vaccinated dogs, Acta Vet Scand, 36, pp. 87-91, (1995); Fernandes K.G., Martins M., Amaral B.P., Cargnelutti J.F., Weiblen R., Flores E.F., Antibodies against rabies virus in dogs with and without history of vaccination in Santa Maria - RS - Brazil, Ciênc Rural, 47, (2017); Darkaoui S., Fassi Fihri O., Schereffer J.L., Aboulfidaa N., Wasniewski M., Zouine K., Et al., Immunogenicity and efficacy of Rabivac vaccine for animal rabies control in Morocco, Clin Exp Vaccine Res, 5, pp. 60-69, (2016); Trujillo-Rojas L.M., Martinez-Gutierrez M., Ruiz-Saenz J., Low level of the immune response against rabies virus in dogs and cats, a cross-sectional study in sheltered animals, Santander, Colombia Pesqui Veterinária Bras, 38, pp. 2109-2116, (2018); Aubert M., Practical significance of rabies antibodies in cats and dogs: -EN- -FR- -ES-, Rev Sci Tech OIE., 11, 3, pp. 735-760, (1992); Johnson N., Cunningham A.F., Fooks A.R., The immune response to rabies virus infection and vaccination, Vaccine., 28, 23, pp. 3896-3901, (2010); Handous M., Rabies in Tunisia: The situation over 30 years, Tenth EURL Workshop for Rabies, (2018); Rabies (Infection with Rabies virus and other lyssaviruses), World Organization of Animal Health, (2018); Rupprecht C.E., Fooks A.R., Abela-Ridder B., Laboratory techniques in rabies, (2018); Cliquet F., Aubert M., Sagne L., Development of a fluorescent antibody virus neutralisation test (FAVN test) for the quantitation of rabies-neutralising antibody, J Immunol Methods, 212, pp. 79-87, (1998)</t>
  </si>
  <si>
    <t xml:space="preserve">M. Handous; University of Tunis El Manar, Rabies Laboratory, Institut Pasteur of Tunis, Tunis, Tunisia; email: mariem.handous@pasteur.tn</t>
  </si>
  <si>
    <t xml:space="preserve">BMC Vet. Res.</t>
  </si>
  <si>
    <t xml:space="preserve">2-s2.0-85147023475</t>
  </si>
  <si>
    <t xml:space="preserve">Coulibaly J.T.; Silue K.D.; Armstrong M.; de León Derby M.D.; D'Ambrosio M.V.; Fletcher D.A.; Keiser J.; Fisher K.; Andrews J.R.; Bogoch I.I.</t>
  </si>
  <si>
    <t xml:space="preserve">Coulibaly, Jean T. (41260999100); Silue, Kigbafori D. (7801507055); Armstrong, Maxim (57201643331); de León Derby, María Díaz (57190001865); D'Ambrosio, Michael V. (56018558600); Fletcher, Daniel A. (7202087947); Keiser, Jennifer (32867784000); Fisher, Karla (58062628000); Andrews, Jason R. (15058787200); Bogoch, Isaac I. (6506268396)</t>
  </si>
  <si>
    <t xml:space="preserve">41260999100; 7801507055; 57201643331; 57190001865; 56018558600; 7202087947; 32867784000; 58062628000; 15058787200; 6506268396</t>
  </si>
  <si>
    <t xml:space="preserve">High Sensitivity of Mobile Phone Microscopy Screening for Schistosoma haematobium in Azaguié, Côte d'Ivoire</t>
  </si>
  <si>
    <t xml:space="preserve">Schistosomiasis infections continue to impact African settings disproportionately, and there is an urgent need for novel tools to evaluate infection control and elimination strategies at the community level. Mobile phone microscopes are portable and semiautomated devices with multiple applications for screening neglected tropical diseases. In a community-based schistosomiasis screening program in Azaguié, Côte d'Ivoire, mobile phone microscopy demonstrated a sensitivity of 85.7% (95% CI: 69.7-95.2%) and specificity of 93.3% (95% CI: 87.7-96.9%) for Schistosoma haematobium identification compared with conventional light microscopy, and 95% sensitivity (95% CI: 74.1-99.8%) with egg concentrations of five or more per 10 mL of urine. Mobile phone microscopy is a promising tool for schistosomiasis control and elimination efforts. Copyright © 2023 The author(s)</t>
  </si>
  <si>
    <t xml:space="preserve">Côte d'Ivoire</t>
  </si>
  <si>
    <t xml:space="preserve">10.4269/ajtmh.22-0527</t>
  </si>
  <si>
    <t xml:space="preserve">https://www.scopus.com/inward/record.uri?eid=2-s2.0-85146193409&amp;doi=10.4269%2fajtmh.22-0527&amp;partnerID=40&amp;md5=d79aec0009fe31d5fb87cae7a89d2170</t>
  </si>
  <si>
    <t xml:space="preserve">Unité de Formation et de Recherche Biosciences, Université Félix Houphouët-Boigny, Abidjan, Cote d'Ivoire; Centre Suisse de Recherches Scientifiques en Côte d'Ivoire, Abidjan, Cote d'Ivoire; Department of Bioengineering, University of California, Berkeley, Berkeley, CA, United States; Biological Systems and Engineering Division, Lawrence Berkeley National Laboratory, University of California, Berkeley, Berkeley, CA, United States; Chan Zuckerberg Biohub, San Francisco, CA, United States; Swiss Tropical and Public Health Institute, Allschwil, Switzerland; University of Basel, Basel, Switzerland; Divisions of General Internal Medicine and Infectious Diseases, Toronto General Hospital, University Health Network, Toronto, Canada; Division of Infectious Diseases and Geographic Medicine, Stanford University School of Medicine, Stanford, CA, United States; Department of Medicine, University of Toronto, Toronto, Canada</t>
  </si>
  <si>
    <t xml:space="preserve">Coulibaly J.T., Unité de Formation et de Recherche Biosciences, Université Félix Houphouët-Boigny, Abidjan, Cote d'Ivoire, Centre Suisse de Recherches Scientifiques en Côte d'Ivoire, Abidjan, Cote d'Ivoire; Silue K.D., Unité de Formation et de Recherche Biosciences, Université Félix Houphouët-Boigny, Abidjan, Cote d'Ivoire, Centre Suisse de Recherches Scientifiques en Côte d'Ivoire, Abidjan, Cote d'Ivoire; Armstrong M., Department of Bioengineering, University of California, Berkeley, Berkeley, CA, United States; de León Derby M.D., Department of Bioengineering, University of California, Berkeley, Berkeley, CA, United States; D'Ambrosio M.V., Department of Bioengineering, University of California, Berkeley, Berkeley, CA, United States; Fletcher D.A., Department of Bioengineering, University of California, Berkeley, Berkeley, CA, United States, Biological Systems and Engineering Division, Lawrence Berkeley National Laboratory, University of California, Berkeley, Berkeley, CA, United States, Chan Zuckerberg Biohub, San Francisco, CA, United States; Keiser J., Swiss Tropical and Public Health Institute, Allschwil, Switzerland, University of Basel, Basel, Switzerland; Fisher K., Divisions of General Internal Medicine and Infectious Diseases, Toronto General Hospital, University Health Network, Toronto, Canada; Andrews J.R., Division of Infectious Diseases and Geographic Medicine, Stanford University School of Medicine, Stanford, CA, United States; Bogoch I.I., Divisions of General Internal Medicine and Infectious Diseases, Toronto General Hospital, University Health Network, Toronto, Canada, Department of Medicine, University of Toronto, Toronto, Canada</t>
  </si>
  <si>
    <t xml:space="preserve">Animals; Cell Phone; Cote d'Ivoire; Humans; Microscopy; Schistosoma haematobium; Schistosomiasis; adolescent; Article; child; clinical article; clinical assessment; controlled study; diagnostic test accuracy study; disease clearance; fluorescence; human; infection control; microscopy; mobile phone microscopy; parasite egg count; parasite identification; prevalence; quality control; Schistosoma haematobium; schistosomiasis haematobia; sensitivity and specificity; urinalysis; animal; Cote d'Ivoire; epidemiology; microscopy; mobile phone; Schistosoma haematobium; schistosomiasis</t>
  </si>
  <si>
    <t xml:space="preserve">New Frontiers in Research Fund, (NFRFE-2020-00922); Ontario Alternative Funding Plan Innovation Fund; Canadian Institutes of Health Research, IRSC, (480161); Canadian Institutes of Health Research, IRSC</t>
  </si>
  <si>
    <t xml:space="preserve">Financial support: I. I. B. is supported by the Ontario Alternative Funding Plan Innovation Fund, the New Frontiers in Research Fund (NFRFE-2020-00922), and the Canadian Institutes of Health Research (480161).</t>
  </si>
  <si>
    <t xml:space="preserve">Global, regional, and national incidence, prevalence, and years lived with disability for 328 diseases and injuries for 195 countries, 1990-2016: a systematic analysis for the Global Burden of Disease Study 2016, Lancet, 390, pp. 1211-1259, (2017); Colley DG, Bustinduy AL, Secor WE, King CH, Human schistosomiasis, Lancet, 383, pp. 2253-2264, (2014); Diagnostic Target Product Profiles for Monitoring, Evaluation and Surveillance of Schistosomiasis Control Programmes, (2021); Vasiman A, Stothard JR, Bogoch II, Mobile phone devices and handheld microscopes as diagnostic platforms for malaria and neglected tropical diseases (NTDs) in low-resource settings: a systematic review, historical perspective and future outlook, Adv Parasitol, 103, pp. 151-173, (2019); Rajchgot J, Coulibaly JT, Keiser J, Utzinger J, Lo NC, Mondry MK, Andrews JR, Bogoch II, Mobile-phone and handheld microscopy for neglected tropical diseases, PLoS Negl Trop Dis, 11, (2017); Armstrong M, Harris AR, D'Ambrosio MV, Coulibaly JT, Essien-Baidoo S, Ephraim RKD, Andrews JR, Bogoch II, Fletcher DA, Point-of-care sample preparation and automated quantitative detection of Schistosoma haematobium using mobile phone microscopy, Am J Trop Med Hyg, 106, pp. 1442-1449, (2022); Peters PA, Mahmoud AA, Warren KS, Ouma JH, Siongok TK, Field studies of a rapid, accurate means of quantifying Schistosoma haematobium eggs in urine samples, Bull World Health Organ, 54, pp. 159-162, (1976); D'Ambrosio MV, Et al., Point-of-care quantification of blood-borne filarial parasites with a mobile phone microscope, Sci Transl Med, 7, (2015); Prevention and Control of Schistosomiasis and Soil-Transmitted Helminthiasis: Report of a WHO Expert Committee, (2002); Kura K, Hardwick RJ, Truscott JE, Toor J, Hollingsworth TD, Anderson RM, The impact of mass drug administration on Schistosoma haematobium infection: what is required to achieve morbidity control and elimination?, Parasit Vectors, 13, (2020); Linder E, Grote A, Varjo S, Linder N, Lebbad M, Lundin M, Diwan V, Hannuksela J, Lundin J, On-chip imaging of Schistosoma haematobium eggs in urine for diagnosis by computer vision, PLoS Negl Trop Dis, 7, (2013); Holmstrom O, Et al., Point-of-care mobile digital microscopy and deep learning for the detection of soil-transmitted helminths and Schistosoma haematobium, Glob Health Action, 10, (2017); Peralta JM, Cavalcanti MG, Is POC-CCA a truly reliable test for schistosomiasis diagnosis in low endemic areas? The trace results controversy, PLoS Negl Trop Dis, 12, (2018); Assare RK, Tra-Bi MI, Coulibaly JT, Corstjens PLAM, Ouattara M, Hurlimann € E, van Dam GJ, Utzinger J, N'Goran EK, Accuracy of two circulating antigen tests for the diagnosis and surveillance of Schistosoma mansoni infection in low-endemicity settings of Côte d'Ivoire, Am J Trop Med Hyg, 105, pp. 677-683, (2021)</t>
  </si>
  <si>
    <t xml:space="preserve">I.I. Bogoch; Divisions of General Internal Medicine and Infectious Diseases, Toronto General Hospital, Toronto, 14EN 209, 200 Elizabeth St., M5G 2C4, Canada; email: isaac.bogoch@uhn.ca</t>
  </si>
  <si>
    <t xml:space="preserve">2-s2.0-85146193409</t>
  </si>
  <si>
    <t xml:space="preserve">Rosenthal M.R.; Ng C.L.</t>
  </si>
  <si>
    <t xml:space="preserve">Rosenthal, Melissa R. (57218255271); Ng, Caroline L. (36747470400)</t>
  </si>
  <si>
    <t xml:space="preserve">57218255271; 36747470400</t>
  </si>
  <si>
    <t xml:space="preserve">High-content imaging as a tool to quantify and characterize malaria parasites</t>
  </si>
  <si>
    <t xml:space="preserve">In 2021, Plasmodium falciparum was responsible for 619,000 reported malaria-related deaths. Resistance has been detected to every clinically used antimalarial, urging the development of novel antimalarials with uncompromised mechanisms of actions. High-content imaging allows researchers to collect and quantify numerous phenotypic properties at the single-cell level, and machine learning-based approaches enable automated classification and clustering of cell populations. By combining these technologies, we developed a method capable of robustly differentiating and quantifying P. falciparum asexual blood stages. These phenotypic properties also allow for the quantification of changes in parasite morphology. Here, we demonstrate that our analysis can be used to quantify schizont nuclei, a phenotype that previously had to be enumerated manually. By monitoring stage progression and quantifying parasite phenotypes, our method can discern stage specificity of new compounds, thus providing insight into the compound's mode of action. © 2023 The Authors</t>
  </si>
  <si>
    <t xml:space="preserve">Cell Reports Methods</t>
  </si>
  <si>
    <t xml:space="preserve">10.1016/j.crmeth.2023.100516</t>
  </si>
  <si>
    <t xml:space="preserve">https://www.scopus.com/inward/record.uri?eid=2-s2.0-85162049436&amp;doi=10.1016%2fj.crmeth.2023.100516&amp;partnerID=40&amp;md5=ec19efbd0653dfe32f51c48af07e397f</t>
  </si>
  <si>
    <t xml:space="preserve">Department of Pathology and Microbiology, University of Nebraska Medical Center, Omaha, 68198, NE, United States; Global Center for Health Security, University of Nebraska Medical Center, Omaha, 68198, NE, United States; Department of Biology, University of Omaha, Omaha, 68182, NE, United States</t>
  </si>
  <si>
    <t xml:space="preserve">Rosenthal M.R., Department of Pathology and Microbiology, University of Nebraska Medical Center, Omaha, 68198, NE, United States; Ng C.L., Department of Pathology and Microbiology, University of Nebraska Medical Center, Omaha, 68198, NE, United States, Global Center for Health Security, University of Nebraska Medical Center, Omaha, 68198, NE, United States, Department of Biology, University of Omaha, Omaha, 68182, NE, United States</t>
  </si>
  <si>
    <t xml:space="preserve">CP: Imaging; CP: Microbiology; drug discovery; drug resistance; high-content imaging; machine learning; malaria; parasites; Plasmodium falciparum</t>
  </si>
  <si>
    <t xml:space="preserve">Animals; Antimalarials; Parasites; Plasmodium falciparum; Schizonts; antimalarial agent; Article; asexual reproduction; cell organelle; controlled study; high content imaging; machine learning; malaria; nonhuman; parasite development; parasite identification; phenotype; Plasmodium falciparum; schizont; animal; parasite</t>
  </si>
  <si>
    <t xml:space="preserve">Antimalarials, </t>
  </si>
  <si>
    <t xml:space="preserve">Michael Wyler; Trinh Nguyen; National Institute of General Medical Sciences, NIGMS, (P20 GM121316); National Institute of Allergy and Infectious Diseases, NIAID, (R21 AI137900); University of Nebraska Medical Center, UNMC</t>
  </si>
  <si>
    <t xml:space="preserve">Funding text 1: We are grateful to Dr. Saint Patrick Reid ( UNMC ) for use of the Operetta CLS High-Content Imaging and Analysis System and for helpful discussions. We would also like to thank Trinh Nguyen, Michael Wyler, and Serena Cervantes at PerkinElmer for their helpful discussions about these analyses. Funding for this work was provided by NIH NIAID R21 AI137900 to C.L.N. as well as a pilot grant to C.L.N. under NIH NIGMS P20 GM121316 (overall grant awarded to Dr. R.E. Lewis). C.L.N. also gratefully acknowledges her UNMC Start-up Funds and a UNMC Diversity Fund Grant. ; Funding text 2: We are grateful to Dr. Saint Patrick Reid (UNMC) for use of the Operetta CLS High-Content Imaging and Analysis System and for helpful discussions. We would also like to thank Trinh Nguyen, Michael Wyler, and Serena Cervantes at PerkinElmer for their helpful discussions about these analyses. Funding for this work was provided by NIH NIAID R21 AI137900 to C.L.N. as well as a pilot grant to C.L.N. under NIH NIGMS P20 GM121316 (overall grant awarded to Dr. R.E. Lewis). C.L.N. also gratefully acknowledges her UNMC Start-up Funds and a UNMC Diversity Fund Grant. Conceptualization, C.L.N.; methodology, M.R.R. and C.L.N.; investigation, formal analysis, validation, and visualization, M.R.R.; writing – original draft, M.R.R.; writing – review &amp; editing, M.R.R. and C.L.N.; supervision, resources, and funding acquisition, C.L.N. The authors declare no competing interests. One or more of the authors of this paper self-identifies as an underrepresented ethnic minority in their field of research or within their geographical location. One or more of the authors of this paper self-identifies as a gender minority in their field of research. One or more of the authors of this paper received support from a program designed to increase minority representation in their field of research.</t>
  </si>
  <si>
    <t xml:space="preserve">World Malaria Report, (2022); Bannister L.H., Hopkins J.M., Fowler R.E., Krishna S., Mitchell G.H., A brief illustrated guide to the ultrastructure of Plasmodium falciparum asexual blood stages, Parasitol. Today, 16, pp. 427-433, (2000); Jun G., Lee J.S., Jung Y.J., Park J.W., Quantitative determination of Plasmodium parasitemia by flow cytometry and microscopy, J. Kor. Med. Sci., 27, pp. 1137-1142, (2012); Desjardins R.E., Canfield C.J., Haynes J.D., Chulay J.D., Quantitative assessment of antimalarial activity in vitro by a semiautomated microdilution technique, Antimicrob. Agents Chemother., 16, pp. 710-718, (1979); Smeijsters L.J., Zijlstra N.M., Franssen F.F., Overdulve J.P., Simple, fast, and accurate fluorometric method to determine drug susceptibility of Plasmodium falciparum in 24-well suspension cultures, Antimicrob. Agents Chemother., 40, pp. 835-838, (1996); Quashie N.B., de Koning H.P., Ranford-Cartwright L.C., An improved and highly sensitive microfluorimetric method for assessing susceptibility of Plasmodium falciparum to antimalarial drugs in vitro, Malar. J., 5, (2006); Baniecki M.L., Wirth D.F., Clardy J., High-throughput Plasmodium falciparum growth assay for malaria drug discovery, Antimicrob. Agents Chemother., 51, pp. 716-723, (2007); Abiodun O.O., Gbotosho G.O., Ajaiyeoba E.O., Happi C.T., Hofer S., Wittlin S., Sowunmi A., Brun R., Oduola A.M.J., Comparison of SYBR Green I-PicoGreen-and [3H]-hypoxanthine-based assays for in vitro antimalarial screening of plants from Nigerian ethnomedicine, Parasitol. Res., 106, pp. 933-939, (2010); Gamo F.J., Sanz L.M., Vidal J., de Cozar C., Alvarez E., Lavandera J.L., Vanderwall D.E., Green D.V.S., Kumar V., Hasan S., Et al., Thousands of chemical starting points for antimalarial lead identification, Nature, 465, pp. 305-310, (2010); Orjuela-Sanchez P., Duggan E., Nolan J., Frangos J.A., Carvalho L.J., A lactate dehydrogenase ELISA-based assay for the in vitro determination of Plasmodium berghei sensitivity to anti-malarial drugs, Malar. J., 11, (2012); Noedl H., Bronnert J., Yingyuen K., Attlmayr B., Kollaritsch H., Fukuda M., Simple histidine-rich protein 2 double-site sandwich enzyme-linked immunosorbent assay for use in malaria drug sensitivity testing, Antimicrob. Agents Chemother., 49, pp. 3575-3577, (2005); Li Q., Gerena L., Xie L., Zhang J., Kyle D., Milhous W., Development and validation of flow cytometric measurement for parasitemia in cultures of P. falciparum vitally stained with YOYO-1, Cytometry A., 71, pp. 297-307, (2007); Plouffe D., Brinker A., McNamara C., Henson K., Kato N., Kuhen K., Nagle A., Adrian F., Matzen J.T., Anderson P., Et al., In silico activity profiling reveals the mechanism of action of antimalarials discovered in a high-throughput screen, Proc. Natl. Acad. Sci. USA, 105, pp. 9059-9064, (2008); Duffy S., Avery V.M., Development and optimization of a novel 384-well anti-malarial imaging assay validated for high-throughput screening, Am. J. Trop. Med. Hyg., 86, pp. 84-92, (2012); Lotharius J., Gamo-Benito F.J., Angulo-Barturen I., Clark J., Connelly M., Ferrer-Bazaga S., Parkinson T., Viswanath P., Bandodkar B., Rautela N., Et al., Repositioning: the fast track to new anti-malarial medicines?, Malar. J., 13, (2014); Avery V.M., Bashyam S., Burrows J.N., Duffy S., Papadatos G., Puthukkuti S., Sambandan Y., Singh S., Spangenberg T., Waterson D., Willis P., Screening and hit evaluation of a chemical library against blood-stage Plasmodium falciparum, Malar. J., 13, (2014); Edlin C.D., Morgans G., Winks S., Duffy S., Avery V.M., Wittlin S., Waterson D., Burrows J., Bryans J., Identification and in-vitro ADME assessment of a series of novel anti-malarial agents suitable for hit-to-lead chemistry, ACS Med. Chem. Lett., 3, pp. 570-573, (2012); Moon S., Lee S., Kim H., Freitas-Junior L.H., Kang M., Ayong L., Hansen M.A.E., An image analysis algorithm for malaria parasite stage classification and viability quantification, PLoS One, 8, (2013); Lee Y.Q., Goh A.S.P., Ch'ng J.H., Nosten F.H., Preiser P.R., Pervaiz S., Yadav S.K., Tan K.S.W., A high-content phenotypic screen reveals the disruptive potency of quinacrine and 3',4'-dichlorobenzamil on the digestive vacuole of Plasmodium falciparum, Antimicrob. Agents Chemother., 58, pp. 550-558, (2014); Chia W.N., Lee Y.Q., Tan K.S.W., Imaging flow cytometry for the screening of compounds that disrupt the Plasmodium falciparum digestive vacuole, Methods, 112, pp. 211-220, (2017); Chia W., Gomez-Lorenzo M.G., Castellote I., Tong J.X., Chandramohanadas R., Thu Chu T.T., Shen W., Go M.L., de Cozar C., Crespo B., Et al., High-content phenotypic screen of a focused TCAMS drug library identifies novel disruptors of the malaria parasite calcium dynamics, ACS Chem. Biol., 16, pp. 2348-2372, (2021); Cervantes S., Prudhomme J., Carter D., Gopi K.G., Li Q., Chang Y.T., Le Roch K.G., High-content live cell imaging with RNA probes: advancements in high-throughput antimalarial drug discovery, BMC Cell Biol., 10, (2009); Cervantes S., Stout P.E., Prudhomme J., Engel S., Bruton M., Cervantes M., Carter D., Tae-Chang Y., Hay M.E., Aalbersberg W., Et al., High content live cell imaging for the discovery of new antimalarial marine natural products, BMC Infect. Dis., 12, (2012); Lucantoni L., Silvestrini F., Signore M., Siciliano G., Eldering M., Dechering K.J., Avery V.M., Alano P., A simple and predictive phenotypic High Content Imaging assay for Plasmodium falciparum mature gametocytes to identify malaria transmission blocking compounds, Sci. Rep., 5, (2015); Lucantoni L., Duffy S., Adjalley S.H., Fidock D.A., Avery V.M., Identification of MMV malaria box inhibitors of Plasmodium falciparum early-stage gametocytes using a luciferase-based high-throughput assay, Antimicrob. Agents Chemother., 57, pp. 6050-6062, (2013); Duffy S., Avery V.M., Identification of inhibitors of Plasmodium falciparum gametocyte development, Malar. J., 12, (2013); Plouffe D.M., Wree M., Du A.Y., Meister S., Li F., Patra K., Lubar A., Okitsu S.L., Flannery E.L., Kato N., Et al., High-throughput assay and discovery of small molecules that interrupt malaria transmission, Cell Host Microbe, 19, pp. 114-126, (2016); Miguel-Blanco C., Lelievre J., Delves M.J., Bardera A.I., Presa J.L., Lopez-Barragan M.J., Ruecker A., Marques S., Sinden R.E., Herreros E., Imaging-based high-throughput screening assay to identify new molecules with transmission-blocking potential against Plasmodium falciparum female gamete formation, Antimicrob. Agents Chemother., 59, pp. 3298-3305, (2015); Meister S., Plouffe D.M., Kuhen K.L., Bonamy G.M.C., Wu T., Barnes S.W., Bopp S.E., Borboa R., Bright A.T., Che J., Et al., Imaging of Plasmodium liver stages to drive next-generation antimalarial drug discovery, Science, 334, pp. 1372-1377, (2011); Roth A., Maher S.P., Conway A.J., Ubalee R., Chaumeau V., Andolina C., Kaba S.A., Vantaux A., Bakowski M.A., Thomson-Luque R., Et al., A comprehensive model for assessment of liver stage therapies targeting Plasmodium vivax and Plasmodium falciparum, Nat. Commun., 9, (2018); Maher S.P., Vantaux A., Chaumeau V., Chua A.C.Y., Cooper C.A., Andolina C., Peneau J., Rouillier M., Rizopoulos Z., Phal S., Et al., Probing the distinct chemosensitivity of Plasmodium vivax liver stage parasites and demonstration of 8-aminoquinoline radical cure activity in vitro, Sci. Rep., 11, (2021); Maher S.P., Vantaux A., Cooper C.A., Chasen N.M., Cheng W.T., Joyner C.J., Manetsch R., Witkowski B., Kyle D., A phenotypic screen for the liver stages of Plasmodium vivax, Bio. Protoc., 11, (2021); Botnar A., Lawrence G., Maher S.P., Vantaux A., Witkowski B., Shiau J.C., Merino E.F., De Vore D., Yang C., Murray C., Et al., Alkyne modified purines for assessment of activation of Plasmodium vivax hypnozoites and growth of pre-erythrocytic and erythrocytic stages in Plasmodium spp, Int. J. Parasitol., 52, pp. 733-744, (2022); Garvey C.M., Spiller E., Lindsay D., Chiang C.T., Choi N.C., Agus D.B., Mallick P., Foo J., Mumenthaler S.M., A high-content image-based method for quantitatively studying context-dependent cell population dynamics, Sci. Rep., 6, (2016); Fisch D., Yakimovich A., Clough B., Wright J., Bunyan M., Howell M., Mercer J., Frickel E., Defining host-pathogen interactions employing an artificial intelligence workflow, Elife, 8, (2019); Ashdown G.W., Dimon M., Fan M., Sanchez-Roman Teran F., Witmer K., Gaboriau D.C.A., Armstrong Z., Ando D.M., Baum J., A machine learning approach to define antimalarial drug action from heterogeneous cell-based screens, Sci. Adv., 6, (2020); Moras M., Lefevre S.D., Ostuni M.A., From erythroblasts to mature red blood cells: organelle clearance in mammals, Front. Physiol., 8, (2017); Diez-Silva M., Dao M., Han J., Lim C.T., Suresh S., Shape and biomechanical characteristics of human red blood cells in health and disease, MRS Bull., 35, pp. 382-388, (2010); Tek F., Dempster A., Kale I., Blood cell segmentation using minimum area watershed and circle radon transformations, Computational Imaging and Vision, pp. 441-454, (2005); Di Ruberto C., Dempster A., Khan S., Jarra B., Morphological image processing for evaluating malaria disease, Lecture Notes in Computer Science, pp. 739-748, (2001); Ross N.E., Pritchard C.J., Rubin D.M., Duse A.G., Automated image processing method for the diagnosis and classification of malaria on thin blood smears, Med. Biol. Eng. Comput., 44, pp. 427-436, (2006); Le M.T., Bretschneider T.R., Kuss C., Preiser P.R., A novel semi-automatic image processing approach to determine Plasmodium falciparum parasitemia in Giemsa-stained thin blood smears, BMC Cell Biol., 9, (2008); Diaz G., Gonzalez F.A., Romero E., A semi-automatic method for quantification and classification of erythrocytes infected with malaria parasites in microscopic images, J. Biomed. Inf., 42, pp. 296-307, (2009); Wellems T.E., Panton L.J., Gluzman I.Y., do Rosario V.E., Gwadz R.W., Walker-Jonah A., Krogstad D.J., Chloroquine resistance not linked to mdr-like genes in a Plasmodium falciparum cross, Nature, 345, pp. 253-255, (1990); Sidhu A.B.S., Verdier-Pinard D., Fidock D.A., Chloroquine resistance in Plasmodium falciparum malaria parasites conferred by pfcrt mutations, Science, 298, pp. 210-213, (2002); Valderramos S.G., Valderramos J.C., Musset L., Purcell L.A., Mercereau-Puijalon O., Legrand E., Fidock D.A., Identification of a mutant PfCRT-mediated chloroquine tolerance phenotype in Plasmodium falciparum, PLoS Pathog., 6, (2010); Patel J.J., Thacker D., Tan J.C., Pleeter P., Checkley L., Gonzales J.M., Deng B., Roepe P.D., Cooper R.A., Ferdig M.T., Chloroquine susceptibility and reversibility in a Plasmodium falciparum genetic cross, Mol. Microbiol., 78, pp. 770-787, (2010); Giavarina D., Understanding Bland altman analysis, Biochem. Med., 25, pp. 141-151, (2015); Zhang Y., Asante K.S., Jung A., Stage-dependent inhibition of chloroquine on Plasmodium falciparum in vitro, J. Parasitol., 72, pp. 830-836, (1986); Soni S., Dhawan S., Rosen K.M., Chafel M., Chishti A.H., Hanspal M., Characterization of events preceding the release of malaria parasite from the host red blood cell, Blood Cells Mol. Dis., 35, pp. 201-211, (2005); Witkowski B., Amaratunga C., Khim N., Sreng S., Chim P., Kim S., Lim P., Mao S., Sopha C., Sam B., Et al., Novel phenotypic assays for the detection of artemisinin-resistant Plasmodium falciparum malaria in Cambodia: in-vitro and ex-vivo drug-response studies, Lancet Infect. Dis., 13, pp. 1043-1049, (2013); Stokes B.H., Yoo E., Murithi J.M., Luth M.R., Afanasyev P., da Fonseca P.C.A., Winzeler E.A., Ng C.L., Bogyo M., Fidock D.A., Covalent Plasmodium falciparum-selective proteasome inhibitors exhibit a low propensity for generating resistance in vitro and synergize with multiple antimalarial agents, PLoS Pathog., 15, pp. e1007722-e1107750, (2019); Reilly H.B., Wang H., Steuter J.A., Marx A.M., Ferdig M.T., Quantitative dissection of clone-specific growth rates in cultured malaria parasites, Int. J. Parasitol., 37, pp. 1599-1607, (2007); Dorin-Semblat D., Sicard A., Doerig C., Ranford-Cartwright L., Doerig C., Disruption of the PfPK7 gene impairs schizogony and sporogony in the human malaria parasite Plasmodium falciparum, Eukaryot. Cell, 7, pp. 279-285, (2008); Rovira-Graells N., Aguilera-Simon S., Tinto-Font E., Cortes A., New assays to characterise growth-related phenotypes of Plasmodium falciparum reveal variation in density-dependent growth inhibition between parasite lines, PLoS One, 11, (2016); Jankowska-Dollken M., Sanchez C.P., Cyrklaff M., Lanzer M., Overexpression of the HECT ubiquitin ligase PfUT prolongs the intraerythrocytic cycle and reduces invasion efficiency of Plasmodium falciparum, Sci. Rep., 9, (2019); Tinto-Font E., Michel-Todo L., Russell T.J., Casas-Vila N., Conway D.J., Bozdech Z., Llinas M., Cortes A., A heat-shock response regulated by the PfAP2-HS transcription factor protects human malaria parasites from febrile temperatures, Nat. Microbiol., 6, pp. 1163-1174, (2021); Perrin A.J., Bisson C., Faull P.A., Renshaw M.J., Lees R.A., Fleck R.A., Saibil H.R., Snijders A.P., Baker D.A., Blackman M.J., Malaria parasite schizont egress antigen-1 plays an essential role in nuclear segregation during schizogony, mBio, 12, (2021); Stirling D.R., Swain-Bowden M.J., Lucas A.M., Carpenter A.E., Cimini B.A., Goodman A., CellProfiler 4: improvements in speed, utility and usability, BMC Bioinf., 22, (2021); Piccinini F., Balassa T., Szkalisity A., Molnar C., Paavolainen L., Kujala K., Buzas K., Sarazova M., Pietiainen V., Kutay U., Et al., Advanced Cell Classifier: user-friendly machine-learning-based software for discovering phenotypes in high-content imaging data, Cell Syst., 4, pp. 651-655.e5, (2017); Hung J., Goodman A., Ravel D., Lopes S.C.P., Rangel G.W., Nery O.A., Malleret B., Nosten F., Lacerda M.V.G., Ferreira M.U., Et al., Keras R-CNN: library for cell detection in biological images using deep neural networks, BMC Bioinf., 21, (2020); Caicedo J.C., Roth J., Goodman A., Becker T., Karhohs K.W., Broisin M., Molnar C., McQuin C., Singh S., Theis F.J., Carpenter A.E., Evaluation of deep learning strategies for nucleus segmentation in fluorescence images, Cytometry A., 95, pp. 952-965, (2019); Heaton A., Miripol J., Aster R., Hartman P., Dehart D., Rzad L., Grapka B., Davisson W., Buchholz D.H., Use of Adsol preservation solution for prolonged storage of low viscosity AS-1 red blood cells, Br. J. Haematol., 57, pp. 467-478, (1984); Kite W.A., Melendez-Muniz V.A., Moraes Barros R.R., Wellems T.E., Sa J.M., Alternative methods for the Plasmodium falciparum artemisinin ring-stage survival assay with increased simplicity and parasite stage-specificity, Malar. J., 15, (2016); Sonoiki E., Ng C.L., Lee M.C.S., Guo D., Zhang Y.K., Zhou Y., Alley M.R.K., Ahyong V., Sanz L.M., Lafuente-Monasterio M.J., Et al., A potent antimalarial benzoxaborole targets a Plasmodium falciparum cleavage and polyadenylation specificity factor homologue, Nat. Commun., 8, (2017); Ng C.L., Siciliano G., Lee M.C.S., de Almeida M.J., Corey V.C., Bopp S.E., Bertuccini L., Wittlin S., Kasdin R.G., Le Bihan A., Et al., CRISPR-Cas9-modified pfmdr1 protects Plasmodium falciparum asexual blood stages and gametocytes against a class of piperazine-containing compounds but potentiates artemisinin-based combination therapy partner drugs, Mol. Microbiol., 101, pp. 381-393, (2016)</t>
  </si>
  <si>
    <t xml:space="preserve">C.L. Ng; Department of Pathology and Microbiology, University of Nebraska Medical Center, Omaha, 68198, United States; email: caroline.ng@unmc.edu</t>
  </si>
  <si>
    <t xml:space="preserve">Cell. Rep. Method.</t>
  </si>
  <si>
    <t xml:space="preserve">2-s2.0-85162049436</t>
  </si>
  <si>
    <t xml:space="preserve">Musaev J.; Anorboev A.; Seo Y.-S.; Nguyen N.T.; Hwang D.</t>
  </si>
  <si>
    <t xml:space="preserve">Musaev, Javokhir (57226386156); Anorboev, Abdulaziz (57923432700); Seo, Yeong-Seok (25723680700); Nguyen, Ngoc Thanh (7403180310); Hwang, Dosam (35118943000)</t>
  </si>
  <si>
    <t xml:space="preserve">57226386156; 57923432700; 25723680700; 7403180310; 35118943000</t>
  </si>
  <si>
    <t xml:space="preserve">ICNN-Ensemble: An Improved Convolutional Neural Network Ensemble Model for Medical Image Classification</t>
  </si>
  <si>
    <t xml:space="preserve">Deep learning (DL) classification has become a major research topic in the areas of cancer prediction, image cell classification, and image classification in medicine. Furthermore, DL classification is the core of other subfields. Owing to various forms of ensemble models, DL models have achieved state-of-the-art performances in fields such as medicine. However, the existing models cannot solve the problem of generalization perfectly and proposed solutions only for tasks with specific datasets. Most state-of-the-art classification models presented their results in ImageNet dataset, and models elaborate on the insights of the dataset. Nonetheless, model architectures or pretrained models cannot provide the same accurate results for datasets with different classes than ImageNet. Hence, this research proposes an improved convolutional neural network ensemble (ICNN-Ensemble) based on the representation of high-resolution image channels (RHRIC) and a systematic model dropout ensemble (SMDE). ICNN-Ensemble exploits image channels after applying RHRIC and RGB images in their original forms, which accesses more residual feature connections and represents more insight into image channels. Furthermore, SMDE is applied to choose ensemble members, considering the changes of the accurate prediction field (APF) in the ICNN-Ensemble model. In addition, the proposed model executes ensembling during the test set prediction, which allows the model to be trained with larger batches and images compared to ensemble model's final results during training, allowing maximal effective usage of the graphics processing unit (GPU). Despite the small size of the model, the results of benchmarking for Malaria cell images dataset clearly illustrated that the ICNN-Ensemble model achieved significantly more accurate results than other base state-of-the-art models. © 2013 IEEE.</t>
  </si>
  <si>
    <t xml:space="preserve">10.1109/ACCESS.2023.3303966</t>
  </si>
  <si>
    <t xml:space="preserve">https://www.scopus.com/inward/record.uri?eid=2-s2.0-85167839627&amp;doi=10.1109%2fACCESS.2023.3303966&amp;partnerID=40&amp;md5=1c61e4caff242209fc073cfa8fac24ac</t>
  </si>
  <si>
    <t xml:space="preserve">Yeungnam University, Department of Computer Engineering, Gyeongsan, 38541, South Korea; Wroclaw University of Science and Technology, Faculty of Information and Communication Technology, Wroclaw, 50-370, Poland; Nguyen Tat Thanh University, Faculty of Information Technology, Ho Chi Minh City, 70000, Viet Nam</t>
  </si>
  <si>
    <t xml:space="preserve">Musaev J., Yeungnam University, Department of Computer Engineering, Gyeongsan, 38541, South Korea; Anorboev A., Yeungnam University, Department of Computer Engineering, Gyeongsan, 38541, South Korea; Seo Y.-S., Yeungnam University, Department of Computer Engineering, Gyeongsan, 38541, South Korea; Nguyen N.T., Wroclaw University of Science and Technology, Faculty of Information and Communication Technology, Wroclaw, 50-370, Poland, Nguyen Tat Thanh University, Faculty of Information Technology, Ho Chi Minh City, 70000, Viet Nam; Hwang D., Yeungnam University, Department of Computer Engineering, Gyeongsan, 38541, South Korea</t>
  </si>
  <si>
    <t xml:space="preserve">accurate prediction field; Representation of high-resolution image channels; systematic model dropout</t>
  </si>
  <si>
    <t xml:space="preserve">Classification (of information); Computer graphics; Computer graphics equipment; Convolution; Deep learning; Diseases; Forecasting; Graphics processing unit; Image enhancement; Image representation; Job analysis; Medical imaging; Neural networks; Personnel training; Program processors; Accurate prediction; Accurate prediction field; Computational modelling; Deep learning; Ensemble learning; High-resolution images; Image channels; Images classification; Predictive models; Representation learning; Representation of high-resolution image channel; Systematic model dropout; Systematic modeling; Task analysis; Image classification</t>
  </si>
  <si>
    <t xml:space="preserve">Olimov B., Koh S.-J., Kim J., AEDCN-Net: Accurate and efficient deep convolutional neural network model for medical image segmentation, IEEE Access, 9, pp. 154194-154203; Olimov B.A.U., Veluvolu K.C., Paul A., Kim J., UzADL: Anomaly detection and localization using graph Laplacian matrix-based unsupervised learning method, Comput. Ind. Eng., 171; Pritt M., Chern G., Satellite image classification with deep learning, Proc. IEEE Appl. Imag. Pattern Recognit. Workshop (AIPR), pp. 1-7, (2017); Martinazzo A., Espadoto M., Hirata N.S.T., Self-supervised learning for astronomical image classification, Proc. 25th Int. Conf. Pattern Recognit. (ICPR), pp. 4176-4182, (2021); Ayyub S.R.N.M., Manjramkar A., Fruit disease classification and identification using image processing, Proc. 3rd Int. Conf. Comput. Methodologies Commun. (ICCMC), pp. 754-758, (2019); Adhitya Y., Prakosa S.W., Koppen M., Leu J.-S., Feature extraction for cocoa bean digital image classification prediction for smart farming application, Agronomy, 10, 11, (2020); Ali F., El-Sappagh S., Islam S.M.R., Kwak D., Ali A., Imran M., Kwak K.-S., A smart healthcare monitoring system for heart disease prediction based on ensemble deep learning and feature fusion, Inf. Fusion, 63, pp. 208-222; Gaikwad D.P., Thool R.C., Intrusion detection system using bagging ensemble method of machine learning, Proc. Int. Conf. Comput. Commun. Control Autom., pp. 291-295, (2015); Alqurashi T., Wang W., Clustering ensemble method, Int. J. Mach. Learn. Cybern., 10, 6, pp. 1227-1246, (2019); Chen Y., Wang Y., Gu Y., He X., Ghamisi P., Jia X., Deep learning ensemble for hyperspectral image classification, IEEE J. Sel. Topics Appl. Earth Observ. Remote Sens., 12, 6, pp. 1882-1897, (2019); Chen Z., Duan J., Kang L., Qiu G., Class-imbalanced deep learning via a class-balanced ensemble, IEEE Trans. Neural Netw. Learn. Syst., 33, 10, pp. 5626-5640, (2022); Ronneberger O., Fischer P., Brox T., U-Net: Convolutional networks for biomedical image segmentation, (2015); Xin R., Zhang J., Shao Y., Complex network classification with convolutional neural network, Tsinghua Sci. Technol., 25, 4, pp. 447-457, (2020); Liu N., Li X., Qi E., Xu M., Li L., Gao B., A novel ensemble learning paradigm for medical diagnosis with imbalanced data, IEEE Access, 8, pp. 171263-171280; Tolstikhin I., Houlsby N., Kolesnikov A., Beyer L., Zhai X., Unterthiner T., Yung J., Steiner A., Keysers D., Uszkoreit J., Lucic M., Dosovitskiy A., MLP-mixer: An all-MLP architecture for vision; Qummar S., Khan F.G., Shah S., Khan A., Shamshirband S., Rehman Z.U., Khan I.A., Jadoon W., A deep learning ensemble approach for diabetic retinopathy detection, IEEE Access, 7, pp. 150530-150539, (2019); Krawczyk B., Minku L.L., Gama J., Stefanowski J., Wozniak M., Ensemble learning for data stream analysis: A survey, Inf. Fusion, 37, pp. 132-156, (2017); Yu Z., Luo P., You J., Wong H.-S., Leung H., Wu S., Zhang J., Han G., Incremental semi-supervised clustering ensemble for high dimensional data clustering, IEEE Trans. Knowl. Data Eng., 28, 3, pp. 701-714, (2016); Chu Y., Shan X., Chen T., Jiang M., Wang Y., Wang Q., Salahub D.R., Xiong Y., Wei D.-Q., DTI-MLCD: Predicting drug-target interactions using multi-label learning with community detection method, Briefings Bioinf, 22, 3, (2021); Lu X., Zhang J., Li T., Zhang Y., Hyperspectral image classification based on semi-supervised rotation forest, Remote Sens, 9, 9, (2017); Sabottke C.F., Spieler B.M., The effect of image resolution on deep learning in radiography, Radiology: Artif. Intell., 2, 1; Fred Agarap A., Deep learning using rectified linear units (ReLU), (2018); Gattulli V., Impedovo D., Pirlo G., Semeraro G., Early dementia identification: On the use of random handwriting strokes, Proc. Int. Graphonomics Conf., pp. 285-300, (2022); Marques G., Ferreras A., de la Torre-Diez I., An ensemble-based approach for automated medical diagnosis of malaria using EfficientNet, Multimedia Tools Appl, 81, 19, pp. 28061-28078, (2022); Laeli A.R., Rustam Z., Pandelaki J., Tuberculosis detection based on chest X-rays using ensemble method with CNN feature extraction, Proc. Int. Conf. Decis. Aid Sci. Appl. (DASA), pp. 682-686, (2021); Ganaie M.A., Hu M., Malik A.K., Tanveer M., Suganthan P.N., Ensemble deep learning: A review; Manna A., Kundu R., Kaplun D., Sinitca A., Sarkar R., A fuzzy rank-based ensemble of CNN models for classification of cervical cytology, Sci. Rep., 11, 1; Ghosal S., Sarkar M., Sarkar R., NoFED-Net: Nonlinear fuzzy ensemble of deep neural networks for human activity recognition, IEEE Internet Things J, 9, 18, pp. 17526-17535; Dey S., Bhattacharya R., Malakar S., Schwenker F., Sarkar R., CovidConvLSTM: A fuzzy ensemble model for COVID-19 detection from chest X-rays, Exp. Syst. Appl., 206, 2022; Guo F., Liu J., Li M., Huang T., Zhang Y., Li D., Zhou H., A concise TSK fuzzy ensemble classifier integrating dropout and bagging for high-dimensional problems, IEEE Trans. Fuzzy Syst., 30, 8, pp. 3176-3190, (2022); Deb S.D., Jha R.K., Breast UltraSound image classification using fuzzy-rank-based ensemble network, Biomed. Signal Process. Control, 85, 2023; Day O., Khoshgoftaar T.M., A survey on heterogeneous transfer learning, J. Big Data, 4, 1, pp. 1-42, (2017); Gomes H.M., Barddal J.P., Enembreck F., Bifet A., A survey on ensemble learning for data stream classification, ACM Comput. Surv., 50, 2, pp. 1-36, (2018); Mienye I.D., Sun Y., A survey of ensemble learning: Concepts, algorithms, applications, and prospects, IEEE Access, 10, pp. 99129-99149; Kadkhodaei H.R., Moghadam A.M.E., Dehghan M., HBoost: A heterogeneous ensemble classifier based on the boosting method and entropy measurement, Exp. Syst. Appl., 157; Abba S.I., Abdulkadir R.A., Gaya M.S., Saleh M.A., Esmaili P., Jibril M.B., Neuro-fuzzy ensemble techniques for the prediction of turbidity in water treatment plant, Proc. 2nd Int. Conf. IEEE Nigeria Comput., pp. 1-6, (2019); Shen Z., Chen X., Garibaldi J.M., A fuzzy aggregation based ensemble framework for accurate and stable feature selection, Proc. IEEE Int. Conf. Fuzzy Syst., 2021, pp. 1-7; Hosseinpour Z., Arefi M.M., Mozafari N., Luo H., Yin S., An ensemble-based fuzzy rough active learning approach for broken rotor bar detection in nonstationary environment, IEEE Trans. Instrum. Meas., 71, pp. 1-8; Kaczmarek-Majer K., Kiersztyn A., Experimental evaluation of the accuracy of an ensemble of fuzzy methods for classification of episodes in bipolar disorder, Proc. IEEE Int. Conf. Fuzzy Syst., 2022, pp. 1-7; Wu M., Jiang X., Du K., Xu Y., Zhang W., Ensemble machine learning algorithm for predicting acute kidney injury in patients admitted to the neurointensive care unit following brain surgery, Sci. Rep., 13, 1, (2023); Suganthi N.M., Jemin V.M., Rama P., Chandralekha E., Chronic kidney disease detection using AdaBoosting ensemble method and K-fold cross validation, Proc. Int. Conf. Automat., Comput. Renew. Syst., 2022, pp. 979-983; Xiong Z., Zhang H., Chen Y., Song Y., Deep ensemble learning network for kidney lesion detection, Proc. Chin. Automat. Congr., pp. 3841-3846, (2019); Wang Y., Wei Y., Wu Q., Yang H., Li J., An acute kidney injury prediction model based on ensemble learning algorithm, Proc. 10th Int. Conf. Inf. Technol. Med. Educ., pp. 18-22, (2019); Nikhila, Chronic kidney disease prediction using machine learning ensemble algorithm, Proc. Int. Conf. Comput., Commun., Intell. Syst., pp. 476-480, (2021); Chaurasia V., Pandey M.K., Pal S., Chronic kidney disease: A prediction and comparison of ensemble and basic classifiers performance, Hum.-Intell. Syst. Integr., 4, 1-2, pp. 1-10; Yang W., Deng L., PreDBA: A heterogeneous ensemble approach for predicting protein-DNA binding affinity, Sci. Rep., 10, 1, (2020); Dietterich T.G., Approximate statistical tests for comparing supervised classification learning algorithms, Neural Comput, 10, 7, pp. 1895-1923, (1998); Duong T.H., Nguyen N.T., Jo G.S., A method for integration of WordNet-based ontologies using distance measures, Proc. Int. Conf. Knowl.-Based Intell. Inf. Eng. Syst., pp. 210-219, (2008); Nguyen N.T., Conflicts of ontologies—Classification and consensus-based methods for resolving, Proc. Int. Conf. Knowl.-Based Intell. Inf. Eng. Syst., pp. 267-274, (2006); Nguyen N.T., Sobecki J., Using consensus methods to construct adaptive interfaces in multimodal web-based systems, Universal Access Inf. Soc., 2, 4, pp. 342-358, (2003)</t>
  </si>
  <si>
    <t xml:space="preserve">Y.-S. Seo; Yeungnam University, Department of Computer Engineering, Gyeongsan, 38541, South Korea; email: ysseo@yu.ac.kr</t>
  </si>
  <si>
    <t xml:space="preserve">2-s2.0-85167839627</t>
  </si>
  <si>
    <t xml:space="preserve">Bhatt I.S.; Washnik N.J.; Kingsbury S.; Deshpande A.K.; Kingsbury H.; Bhagavan S.G.; Michel K.; Dias R.; Torkamani A.</t>
  </si>
  <si>
    <t xml:space="preserve">Bhatt, Ishan Sunilkumar (56856646600); Washnik, Nilesh J. (57188702671); Kingsbury, Sarah (58549633800); Deshpande, Aniruddha K. (56591639700); Kingsbury, Hailey (58549673800); Bhagavan, Srividya Grama (59454744300); Michel, Klayre (58549512700); Dias, Raquel (56245117700); Torkamani, Ali (16481696600)</t>
  </si>
  <si>
    <t xml:space="preserve">56856646600; 57188702671; 58549633800; 56591639700; 58549673800; 59454744300; 58549512700; 56245117700; 16481696600</t>
  </si>
  <si>
    <t xml:space="preserve">Identifying Health-Related Conditions Associated with Tinnitus in Young Adults</t>
  </si>
  <si>
    <t xml:space="preserve">Objective: The present study investigated the epidemic of tinnitus in college-aged young adults. Our first objective was to identify health conditions associated with tinnitus in young adults. The second objective was to evaluate the predictive utility of some known risk factors. Study design: A cross-sectional design was used to investigate the prevalence and risk factors for tinnitus. Setting: A questionnaire was distributed, reaching out to a large college-aged population. A total of 2258 young adults aged 18–30 years were recruited from April 2021 to February 2022. Interventions: A questionnaire was administered to investigate the epidemiology of tinnitus in a population of college-aged young adults. Results: About 17.7% of young adults reported bothersome tinnitus perception lasting for ≥5 min in the last 12 months. The prevalence of chronic tinnitus (bothersome tinnitus for ≥1 year) and acute tinnitus (bothersome tinnitus for &lt;1 year) was 10.6% and 7.1%, respectively. About 19% of the study sample reported at least one health condition. Individuals reporting head injury, hypertension, heart disease, scarlet fever, and malaria showed significantly higher odds of reporting chronic tinnitus. Meningitis and self-reported hearing loss showed significant associations with bothersome tinnitus. The prevalence of chronic tinnitus was significantly higher in males reporting high noise exposure, a positive history of reoccurring ear infections, European ethnic background, and a positive health history. Risk modeling showed that noise exposure was the most important risk factor for chronic tinnitus, followed by sex, reoccurring ear infections, and a history of any health condition. A positive history of COVID-19 and self-reported severity showed no association with tinnitus. Individuals reporting reoccurring ear infections showed a significantly higher prevalence of COVID-19. Conclusions: While young adults with health conditions are at a higher risk of reporting tinnitus, the predictive utility of a positive health history remains relatively low, possibly due to weak associations between health conditions and tinnitus. Noise, male sex, reoccurring ear infections, European ethnicity, and a positive health history revealed higher odds of reporting chronic tinnitus than their counterparts. These risk factors collectively explained about 16% variability in chronic tinnitus, which highlights the need for identifying other risk factors for chronic tinnitus in young adults. © 2023 by the authors.</t>
  </si>
  <si>
    <t xml:space="preserve">Audiology Research</t>
  </si>
  <si>
    <t xml:space="preserve">10.3390/audiolres13040048</t>
  </si>
  <si>
    <t xml:space="preserve">https://www.scopus.com/inward/record.uri?eid=2-s2.0-85168777940&amp;doi=10.3390%2faudiolres13040048&amp;partnerID=40&amp;md5=eb3eb92cbe810efa4138ef9f4fb05063</t>
  </si>
  <si>
    <t xml:space="preserve">Department of Communication Sciences and Disorders, University of Iowa, Iowa City, 52242, IA, United States; Department of Hearing Speech and Language Sciences, Ohio University, Athens, 45701, OH, United States; Department of Speech-Language-Hearing Sciences, Hofstra University, Hempstead, 11549, NY, United States; Department of Microbiology and Cell Science, University of Florida, Gainesville, 32603, FL, United States; Department of Integrative Structural and Computational Biology, Scripps Science Institute, La Jolla, 92037, CA, United States</t>
  </si>
  <si>
    <t xml:space="preserve">Bhatt I.S., Department of Communication Sciences and Disorders, University of Iowa, Iowa City, 52242, IA, United States; Washnik N.J., Department of Hearing Speech and Language Sciences, Ohio University, Athens, 45701, OH, United States; Kingsbury S., Department of Communication Sciences and Disorders, University of Iowa, Iowa City, 52242, IA, United States; Deshpande A.K., Department of Speech-Language-Hearing Sciences, Hofstra University, Hempstead, 11549, NY, United States; Kingsbury H., Department of Communication Sciences and Disorders, University of Iowa, Iowa City, 52242, IA, United States; Bhagavan S.G., Department of Communication Sciences and Disorders, University of Iowa, Iowa City, 52242, IA, United States; Michel K., Department of Communication Sciences and Disorders, University of Iowa, Iowa City, 52242, IA, United States; Dias R., Department of Microbiology and Cell Science, University of Florida, Gainesville, 32603, FL, United States; Torkamani A., Department of Integrative Structural and Computational Biology, Scripps Science Institute, La Jolla, 92037, CA, United States</t>
  </si>
  <si>
    <t xml:space="preserve">cochlear synaptopathy; COVID-19; epidemiology; noise; prevalence; risk factor; tinnitus; tinnitus phenotypes</t>
  </si>
  <si>
    <t xml:space="preserve">adult; Article; coronavirus disease 2019; cross-sectional study; diabetes mellitus; disease severity; ear infection; epidemic; female; fever; head injury; health survey; heart disease; human; hypertension; machine learning; major clinical study; malaria; male; meningitis; questionnaire; receiver operating characteristic; risk assessment; risk factor; scarlet fever; tinnitus; young adult</t>
  </si>
  <si>
    <t xml:space="preserve">National Institute on Deafness and Other Communication Disorders, NIDCD, (R21DC016704-01A1); National Institute on Deafness and Other Communication Disorders, NIDCD</t>
  </si>
  <si>
    <t xml:space="preserve">The research was funded by the National Institute on Deafness and Other Communication Disorders Grant R21DC016704-01A1.</t>
  </si>
  <si>
    <t xml:space="preserve">Shargorodsky J., Curhan G.C., Farwell W.R., Prevalence and Characteristics of Tinnitus among US Adults, Am. J. Med, 123, pp. 711-718, (2010); Understanding the Facts, (2020); Alterman T., Steege A.L., Li J., Petersen M.R., Muntaner C., Ethnic, Racial, and Gender Variations in Health among Farm Operators in the United States, Ann. Epidemiol, 18, pp. 179-186, (2008); Masterson E.A., Sweeney M.H., Deddens J.A., Themann C.L., Wall D.K., Prevalence of Workers with Shifts in Hearing by Industry: A Comparison of OSHA and NIOSH Hearing Shift Criteria, J. Occup. Environ. Med, 56, pp. 446-455, (2014); Bhatt J.M., Lin H.W., Bhattacharyya N., Prevalence, Severity, Exposures, and Treatment Patterns of Tinnitus in the United States, JAMA Otolaryngol. Head Neck Surg, 142, pp. 959-965, (2016); Bhatt J.M., Bhattacharyya N., Lin H.W., Relationships between Tinnitus and the Prevalence of Anxiety and Depression, Laryngoscope, 127, pp. 466-469, (2017); Cronlein T., Langguth B., Pregler M., Kreuzer P.M., Wetter T.C., Schecklmann M., Insomnia in Patients with Chronic Tinnitus: Cognitive and Emotional Distress as Moderator Variables, J. Psychosom. Res, 83, pp. 65-68, (2016); Pinto P.C.L., Marcelos C.M., Mezzasalma M.A., Osterne F.J.V., de Melo Tavares de Lima M.A., Nardi A.E., Tinnitus and Its Association with Psychiatric Disorders: Systematic Review, J. Laryngol. Otol, 128, pp. 660-664, (2014); Jafari Z., Kolb B.E., Mohajerani M.H., Age-Related Hearing Loss and Tinnitus, Dementia Risk, and Auditory Amplification Outcomes, Ageing Res. Rev, 56, (2019); Langguth B., Landgrebe M., Kleinjung T., Sand G.P., Hajak G., Tinnitus and Depression, World J. Biol. Psychiatry Off. J. World Fed. Soc. Biol. Psychiatry, 12, pp. 489-500, (2011); Pattyn T., Van Den Eede F., Vanneste S., Cassiers L., Veltman D.J., Van De Heyning P., Sabbe B.C.G., Tinnitus and Anxiety Disorders: A Review, Hear. Res, 333, pp. 255-265, (2016); Bhatt I.S., Prevalence of and Risk Factors for Tinnitus and Tinnitus-Related Handicap in a College-Aged Population, Ear Hear, 39, pp. 517-526, (2018); Mahboubi H., Oliaei S., Kiumehr S., Dwabe S., Djalilian H.R., The Prevalence and Characteristics of Tinnitus in the Youth Population of the United States, Laryngoscope, 123, pp. 2001-2008, (2013); Savastano M., Marioni G., de Filippis C., Tinnitus in Children without Hearing Impairment, Int. J. Pediatr. Otorhinolaryngol, 73, pp. S13-S15, (2009); Berg A.L., Serpanos Y.C., High Frequency Hearing Sensitivity in Adolescent Females of a Lower Socioeconomic Status over a Period of 24 Years (1985–2008), J. Adolesc. Health, 48, pp. 203-208, (2011); Weilnhammer V., Gerstner D., Huss J., Schreiber F., Alvarez C., Steffens T., Herr C., Heinze S., Exposure to Leisure Noise and Intermittent Tinnitus among Young Adults in Bavaria: Longitudinal Data from a Prospective Cohort Study, Int. J. Audiol, 61, pp. 89-96, (2022); Breinbauer H.A., Anabalon J.L., Gutierrez D., Carcamo R., Olivares C., Caro J., Output Capabilities of Personal Music Players and Assessment of Preferred Listening Levels of Test Subjects: Outlining Recommendations for Preventing Music-Induced Hearing Loss, Laryngoscope, 122, pp. 2549-2556, (2012); Vogel I., van de Looij-Jansen P.M., Mieloo C.L., Burdorf A., de Waart F., Risky Music Listening, Permanent Tinnitus and Depression, Anxiety, Thoughts about Suicide and Adverse General Health, PLoS ONE, 9, (2014); Vogel I., Verschuure H., van der Ploeg C.P.B., Brug J., Raat H., Adolescents and MP3 Players: Too Many Risks, Too Few Precautions, Pediatrics, 123, pp. e953-e958, (2009); Rawool V.W., Colligon-Wayne L.A., Auditory Lifestyles and Beliefs Related to Hearing Loss among College Students in the USA, Noise Health, 10, pp. 1-10, (2008); Gilles A., Van Hal G., De Ridder D., Wouters K., Van de Heyning P., Epidemiology of Noise-Induced Tinnitus and the Attitudes and Beliefs towards Noise and Hearing Protection in Adolescents, PLoS ONE, 8, (2013); Bhagat S.P., Davis A.M., Modification of Otoacoustic Emissions Following Ear-Level Exposure to MP3 Player Music, Int. J. Audiol, 47, pp. 751-760, (2008); Keppler H., Dhooge I., Maes L., D'haenens W., Bockstael A., Philips B., Swinnen F., Vinck B., Short-Term Auditory Effects of Listening to an MP3 Player, Arch. Otolaryngol. Head Neck Surg, 136, pp. 538-548, (2010); Kujawa S.G., Liberman M.C., Adding Insult to Injury: Cochlear Nerve Degeneration after “Temporary” Noise-Induced Hearing Loss, J. Neurosci, 29, pp. 14077-14085, (2009); Hickox A.E., Liberman M.C., Is Noise-Induced Cochlear Neuropathy Key to the Generation of Hyperacusis or Tinnitus?, J. Neurophysiol, 111, pp. 552-564, (2014); Chen F., Zhao F., Mahafza N., Lu W., Detecting Noise-Induced Cochlear Synaptopathy by Auditory Brainstem Response in Tinnitus Patients With Normal Hearing Thresholds: A Meta-Analysis, Front. Neurosci, 15, (2021); Yang P., Ma W., Zheng Y., Yang H., Lin H., A Systematic Review and Meta-Analysis on the Association between Hypertension and Tinnitus, Int. J. Hypertens, 2015, (2015); Chavez-Delgado M.E., Vazquez-Granados I., Rosales-Cortes M., Velasco-Rodriguez V., Cochleovestibular dysfunction in patients with diabetes mellitus, hypertension and dyslipidemia, Acta Otorrinolaringol. Esp, 63, pp. 93-101, (2012); Borghi C., Brandolini C., Prandin M.G., Dormi A., Modugno G.C., Pirodda A., Prevalence of Tinnitus in Patients Withhypertension and the Impact of Different Anti Hypertensive Drugs on the Incidence of Tinnitus: A Prospective, Single-Blind, Observational Study, Curr. Ther. Res. Clin. Exp, 66, pp. 420-432, (2005); Sogebi O.A., Characterization of Tinnitus in Nigeria, Auris. Nasus. Larynx, 40, pp. 356-360, (2013); Nowak K., Banaszewski J., Dabrowski P., Szymiec E., Szyfter W., Tinnitus in systemic diseases, Otolaryngol. Pol, 56, pp. 213-216, (2002); Baguley D.M., Bartnik G., Kleinjung T., Savastano M., Hough E.A., Troublesome Tinnitus in Childhood and Adolescence: Data from Expert Centres, Int. J. Pediatr. Otorhinolaryngol, 77, pp. 248-251, (2013); Degeest S., Corthals P., Dhooge I., Keppler H., The Impact of Tinnitus Characteristics and Associated Variables on Tinnitus-Related Handicap, J. Laryngol. Otol, 130, pp. 25-31, (2016); Park B., Choi H.G., Lee H.-J., An S.-Y., Kim S.W., Lee J.S., Hong S.K., Kim H.-J., Analysis of the Prevalence of and Risk Factors for Tinnitus in a Young Population, Otol. Neurotol, 35, pp. 1218-1222, (2014); Almufarrij I., Munro K.J., One Year on: An Updated Systematic Review of SARS-CoV-2, COVID-19 and Audio-Vestibular Symptoms, Int. J. Audiol, 60, pp. 935-945, (2021); Beukes E.W., Baguley D.M., Jacquemin L., Lourenco M.P.C.G., Allen P.M., Onozuka J., Stockdale D., Kaldo V., Andersson G., Manchaiah V., Changes in Tinnitus Experiences During the COVID-19 Pandemic, Front. Public Health, 8, (2020); Savtale S., Hippargekar P., Bhise S., Kothule S., Prevalence of Otorhinolaryngological Symptoms in Covid 19 Patients, Indian J. Otolaryngol. Head Neck Surg, 74, pp. 3378-3384, (2022); Fidan V., Akin O., Koyuncu H., Rised Sudden Sensorineural Hearing Loss during COVID-19 Widespread, Am. J. Otolaryngol, 42, (2021); Rhman S., Abdel Wahid A., COVID-19 and Sudden Sensorineural Hearing Loss, a Case Report, Otolaryngol. Case Rep, 16, (2020); Degen C., Lenarz T., Willenborg K., Acute Profound Sensorineural Hearing Loss After COVID-19 Pneumonia, Mayo Clin. Proc, 95, pp. 1801-1803, (2020); Goshtasbi K., Abouzari M., Risbud A., Mostaghni N., Muhonen E.G., Martin E., Djalilian H.R., Tinnitus and Subjective Hearing Loss Are More Common in Migraine: A Cross-Sectional NHANES Analysis, Otol. Neurotol, 42, pp. 1329-1333, (2021); Bohning D., Multinomial Logistic Regression Algorithm, Ann. Inst. Stat. Math, 44, pp. 197-200, (1992); Noble W.S., What Is a Support Vector Machine?, Nat. Biotechnol, 24, pp. 1565-1567, (2006); Biau G., Scornet E., A Random Forest Guided Tour, TEST, 25, pp. 197-227, (2016); Kataria A., Singh M., A Review of Data Classification Using K-Nearest Neighbour Algorithm, Int. J. Emerg. Technol. Adv. Eng, 3, pp. 354-360, (2013); Wickramasinghe I., Kalutarage H., Naive Bayes: Applications, Variations and Vulnerabilities: A Review of Literature with Code Snippets for Implementation, Soft Comput, 25, pp. 2277-2293, (2021); Chen T., He T., Benesty M., Khotilovich V., Tang Y., Cho H., Chen K., Mitchell R., Cano I., Zhou T., Xgboost: Extreme Gradient Boosting, 1, pp. 1-4, (2015); Refaeilzadeh P., Tang L., Liu H., Cross-Validation, Encyclopedia of Database Systems, pp. 532-538, (2009); Mandrekar J.N., Receiver Operating Characteristic Curve in Diagnostic Test Assessment, J. Thorac. Oncol, 5, pp. 1315-1316, (2010); Bradley A.P., The Use of the Area under the ROC Curve in the Evaluation of Machine Learning Algorithms, Pattern Recognit, 30, pp. 1145-1159, (1997); Lundberg S.M., Lee S.I., A unified approach to interpreting model predictions, Advances in Neural Information Processing Systems, 30, (2017); Rosing S.N., Schmidt J.H., Wedderkopp N., Baguley D.M., Prevalence of Tinnitus and Hyperacusis in Children and Adolescents: A Systematic Review, BMJ Open, 6, (2016); Nemholt S., Schmidt J.H., Wedderkopp N., Baguley D.M., A Cross-Sectional Study of the Prevalence and Factors Associated With Tinnitus and/or Hyperacusis in Children, Ear Hear, 41, pp. 344-355, (2020); Narayanan S.S., Murali M., Lucas J.C., Sykes K.J., Micronutrients in Tinnitus: A National Health and Nutrition Examination Survey Analysis, Am. J. Otolaryngol, 43, (2022); McCormack A., Edmondson-Jones M., Somerset S., Hall D., A Systematic Review of the Reporting of Tinnitus Prevalence and Severity, Hear. Res, 337, pp. 70-79, (2016); Loprinzi P.D., Lee H., Gilham B., Cardinal B.J., Association between Accelerometer-Assessed Physical Activity and Tinnitus, NHANES 2005–2006, Res. Q. Exerc. Sport, 84, pp. 177-185, (2013); Loprinzi P.D., Maskalick S., Brown K., Gilham B., Association between Depression and Tinnitus in a Nationally Representative Sample of US Older Adults, Aging Ment. Health, 17, pp. 714-717, (2013); Folmer R.L., McMillan G.P., Austin D.F., Henry J.A., Audiometric Thresholds and Prevalence of Tinnitus among Male Veterans in the United States: Data from the National Health and Nutrition Examination Survey, 1999–2006, J. Rehabil. Res. Dev, 48, pp. 503-516, (2011); Spankovich C., Gonzalez V.B., Su D., Bishop C.E., Self Reported Hearing Difficulty, Tinnitus, and Normal Audiometric Thresholds, the National Health and Nutrition Examination Survey 1999–2002, Hear. Res, 358, pp. 30-36, (2018); Loprinzi P.D., Cardinal B.J., Gilham B., NHANES: No significant link between cardiorespiratory fitness and tinnitus, Hear. J, 64, pp. 34-36, (2011); Reavis K.M., Henry J.A., Marshall L.M., Carlson K.F., Prevalence of Self-Reported Depression Symptoms and Perceived Anxiety Among Community-Dwelling U.S. Adults Reporting Tinnitus, Perspect. ASHA Spec. Interes. Groups, 5, pp. 959-970, (2020); Nondahl D.M., Cruickshanks K.J., Huang G.-H., Klein B.E.K., Klein R., Nieto F.J., Tweed T.S., Tinnitus and Its Risk Factors in the Beaver Dam Offspring Study, Int. J. Audiol, 50, pp. 313-320, (2011); Jury M.A., Flynn M.C., Auditory and Vestibular Sequelae to Traumatic Brain Injury: A Pilot Study, N. Z. Med. J, 114, pp. 286-288, (2001); Kreuzer P.M., Landgrebe M., Vielsmeier V., Kleinjung T., De Ridder D., Langguth B., Trauma-Associated Tinnitus, J. Head Trauma Rehabil, 29, pp. 432-442, (2014); Ceranic B.J., Prasher D.K., Raglan E., Luxon L.M., Tinnitus after Head Injury: Evidence from Otoacoustic Emissions, J. Neurol. Neurosurg. Psychiatry, 65, pp. 523-529, (1998); Kreuzer P.M., Landgrebe M., Schecklmann M., Staudinger S., Langguth B., Trauma-Associated Tinnitus: Audiological, Demographic and Clinical Characteristics, PLoS ONE, 7, (2012); Vernon J.A., Press L.S., Characteristics of Tinnitus Induced by Head Injury, Arch. Otolaryngol. Head. Neck Surg, 120, pp. 547-551, (1994); Negrila-Mezei A., Enache R., Sarafoleanu C., Tinnitus in Elderly Population: Clinic Correlations and Impact upon QoL, J. Med. Life, 4, pp. 412-416, (2011); Patel S.D., Patel S., Finberg A., Shah V.N., Mittal R., Eshraghi A.A., Association Between Tinnitus and Hypertension: A Cross-Sectional Analysis of the National Health and Nutrition Examination Survey, Otol. Neurotol, 43, pp. 766-772, (2022); Wang L.Y., Young T.-H., Hepatitis, Gallbladder Hydrops, Splenomegaly, and Ascites in a Child with Scarlet Fever, Pediatr. Emerg. Care, 28, pp. 1215-1217, (2012); Blake C.J., On the Etiology of Acquired Deaf-Mutism, Having Especial Reference to the Effects of Scarlet Fever, Bost. Med. Surg. J, 83, pp. 405-408, (1870); Williams H.J., Otitis Media and Orbital Cellulitis Complicating Scarlet Fever: Preliminary Report on Loss of Hearing from This Disease, Arch. Otolaryngol, 29, pp. 82-89, (1939); Fraser G.R., Epidemiology of Profound Childhood Deafness, Audiology, 13, pp. 335-341, (1974); Jozefowicz-Korczynska M., Pajor A., Lucas Grzelczyk W., The Ototoxicity of Antimalarial Drugs-A State of the Art Review, Front. Neurol, 12, (2021); Sindhusake D., Golding M., Wigney D., Newall P., Jakobsen K., Mitchell P., Factors Predicting Severity of Tinnitus: A Population-Based Assessment, J. Am. Acad. Audiol, 15, pp. 269-280, (2004); Hearing Loss Due to Recreational Exposure to Loud Sounds: A Review, (2015); Jiang W., Zhao F., Guderley N., Manchaiah V., Daily Music Exposure Dose and Hearing Problems Using Personal Listening Devices in Adolescents and Young Adults: A Systematic Review, Int. J. Audiol, 55, pp. 197-205, (2016); Johnson O., Andrew B., Walker D., Morgan S., Aldren A., British University Students’ Attitudes towards Noise-Induced Hearing Loss Caused by Nightclub Attendance, J. Laryngol. Otol, 128, pp. 24-29, (2014); Hunter A., Attitudes, Risk Behavior, and Noise Exposure among Young Adults with Hearing Problems: Identifying a Typology, Semin. Hear, 38, pp. 332-347, (2017); NIOSH Criteria for a Recommended Standard: Occupational Noise Exposure: Revised Criteria, 1998, pp. 98-126, (1998); Fink D., Mayes J., Unsafe at Any Sound: Hearing Loss and Tinnitus in Personal Audio System Users, Proc. Meet. Acoust, 43, (2021); Rabinowitz P., Cantley L.F., Galusha D., Trufan S., Swersey A., Dixon-Ernst C., Ramirez V., Neitzel R., Assessing Hearing Conservation Program Effectiveness: Results of a Multisite Assessment, J. Occup. Environ. Med, 60, pp. 29-35, (2018); Eldred K., Gannon W., Von Gierke H., Criteria for Short Time Exposure of Personnel to High Intensity Jet Aircraft Noise, (1955); Liberman M.C., Kujawa S.G., Cochlear Synaptopathy in Acquired Sensorineural Hearing Loss: Manifestations and Mechanisms, Hear. Res, 349, pp. 138-147, (2017); Fernandez K.A., Guo D., Micucci S., De Gruttola V., Liberman M.C., Kujawa S.G., Noise-Induced Cochlear Synaptopathy with and Without Sensory Cell Loss, Neuroscience, 427, pp. 43-57, (2020); Engdahl B., Krog N.H., Kvestad E., Hoffman H.J., Tambs K., Occupation and the Risk of Bothersome Tinnitus: Results from a Prospective Cohort Study (HUNT), BMJ Open, 2, (2012); Gopinath B., McMahon C.M., Rochtchina E., Karpa M.J., Mitchell P., Incidence, Persistence, and Progression of Tinnitus Symptoms in Older Adults: The Blue Mountains Hearing Study, Ear Hear, 31, pp. 407-412, (2010); Henderson E., Testa M.A., Hartnick C., Prevalence of Noise-Induced Hearing-Threshold Shifts and Hearing Loss among US Youths, Pediatrics, 127, pp. e39-e46, (2011); Khedr E.M., Ahmed M.A., Shawky O.A., Mohamed E.S., El Attar G.S., Mohammad K.A., Epidemiological Study of Chronic Tinnitus in Assiut, Egypt, Neuroepidemiology, 35, pp. 45-52, (2010); Sindhusake D., Golding M., Newall P., Rubin G., Jakobsen K., Mitchell P., Risk Factors for Tinnitus in a Population of Older Adults: The Blue Mountains Hearing Study, Ear Hear, 24, pp. 501-507, (2003); Xu X., Bu X., Zhou L., Xing G., Liu C., Wang D., An Epidemiologic Study of Tinnitus in a Population in Jiangsu Province, China, J. Am. Acad. Audiol, 22, pp. 578-585, (2011); Amali A., Hosseinzadeh N., Samadi S., Nasiri S., Zebardast J., Sensorineural Hearing Loss in Patients with Chronic Suppurative Otitis Media: Is There a Significant Correlation?, Electron. Physician, 9, pp. 3823-3827, (2017); Rosenfeld R.M., Shin J.J., Schwartz S.R., Coggins R., Gagnon L., Hackell J.M., Hoelting D., Hunter L.L., Kummer A.W., Payne S.C., Et al., Clinical Practice Guideline: Otitis Media with Effusion (Update), Otolaryngol. Neck Surg, 154, pp. S1-S41, (2016); Harris A.S., Elhassan H.A., Flook E.P., Why Are Ototopical Aminoglycosides Still First-Line Therapy for Chronic Suppurative Otitis Media? A Systematic Review and Discussion of Aminoglycosides versus Quinolones, J. Laryngol. Otol, 130, pp. 2-7, (2016); Parrino D., Frosolini A., Gallo C., De Siati R.D., Spinato G., de Filippis C., Tinnitus Following COVID-19 Vaccination: Report of Three Cases, Int. J. Audiol, 61, pp. 526-529, (2022); Chapman S.J., Hill A.V.S., Human Genetic Susceptibility to Infectious Disease, Nat. Rev. Genet, 13, pp. 175-188, (2012); Rundle C.W., Presley C.L., Militello M., Barber C., Powell D.L., Jacob S.E., Atwater A.R., Watsky K.L., Yu J., Dunnick C.A., Hand Hygiene during COVID-19: Recommendations from the American Contact Dermatitis Society, J. Am. Acad. Dermatol, 83, pp. 1730-1737, (2020); Chen X., Ren L., Xue X., Yu N., Liu P., Shen W., Zhou H., Wang B., Zhou J., Yang S., Et al., The Comorbidity of Depression and Anxiety Symptoms in Tinnitus Sufferers: A Network Analysis, Brain Sci, 13, (2023); Bhatt I.S., Wilson N., Dias R., Torkamani A., A Genome-Wide Association Study of Tinnitus Reveals Shared Genetic Links to Neuropsychiatric Disorders, Sci. Rep, 12, (2022); Clifford R.E., Maihofer A.X., Stein M.B., Ryan A.F., Nievergelt C.M., Novel Risk Loci in Tinnitus and Causal Inference With Neuropsychiatric Disorders Among Adults of European Ancestry, JAMA Otolaryngol. Head Neck Surg, 146, pp. 1015-1025, (2020); Radez J., Reardon T., Creswell C., Lawrence P.J., Evdoka-Burton G., Waite P., Why Do Children and Adolescents (Not) Seek and Access Professional Help for Their Mental Health Problems? A Systematic Review of Quantitative and Qualitative Studies, Eur. Child Adolesc. Psychiatry, 30, pp. 183-211, (2021)</t>
  </si>
  <si>
    <t xml:space="preserve">I.S. Bhatt; Department of Communication Sciences and Disorders, University of Iowa, Iowa City, 52242, United States; email: ishan-bhatt@uiowa.edu; N.J. Washnik; Department of Hearing Speech and Language Sciences, Ohio University, Athens, 45701, United States; email: washnik@ohio.edu</t>
  </si>
  <si>
    <t xml:space="preserve">Audiol. Res.</t>
  </si>
  <si>
    <t xml:space="preserve">2-s2.0-85168777940</t>
  </si>
  <si>
    <t xml:space="preserve">Gallini N.; Hancock R.E.W.; Lester R.; Sharp B.; Wasan K.M.</t>
  </si>
  <si>
    <t xml:space="preserve">Gallini, Nancy (6603430106); Hancock, Robert E. W. (57221756886); Lester, Richard (15051914100); Sharp, Brett (58785797500); Wasan, Kishor M. (7006741955)</t>
  </si>
  <si>
    <t xml:space="preserve">6603430106; 57221756886; 15051914100; 58785797500; 7006741955</t>
  </si>
  <si>
    <t xml:space="preserve">Implementation and impact of the global access principles at the University of British Columbia: current successes and future challenges</t>
  </si>
  <si>
    <t xml:space="preserve">In 2007, the University of British Columbia (UBC) was the first university in Canada to establish and adopt global access (GA) principles. Toward implementing these principles, UBC then identified a set of strategies for providing affordable access to new UBC-developed technologies throughout low- and middle-income countries and among vulnerable populations. In this perspective, we provide an update of UBC’s progress over the past 15 years made on several technologies that fall under the GA principles. The technologies reported on are wide-ranging, including an oral medication for the treatment of leishmaniasis; peptides for potential use against malaria, and various bacterial, viral and fungal infections; a portable vaccine cooler; a diagnostic technology to detect severe sepsis; and an SMS Messaging System to monitor and support patients with HIV, TB and COVID-19. We identify challenges faced by the researchers in implementing the GA principles for these technologies and potential solutions for overcoming them through creative licensing and partnerships with public and private sectors, governments, local companies, and communities. As the UBC example illustrates, universities across the globe have an opportunity to make a significant social impact on improving global health of vulnerable populations and on supporting local infrastructures for sustaining these improvements. Copyright © 2023 Gallini, Hancock, Lester, Sharp and Wasan.</t>
  </si>
  <si>
    <t xml:space="preserve">Canada</t>
  </si>
  <si>
    <t xml:space="preserve">Frontiers in Pharmacology</t>
  </si>
  <si>
    <t xml:space="preserve">10.3389/fphar.2023.1271618</t>
  </si>
  <si>
    <t xml:space="preserve">https://www.scopus.com/inward/record.uri?eid=2-s2.0-85180900866&amp;doi=10.3389%2ffphar.2023.1271618&amp;partnerID=40&amp;md5=6c196530b836d94ce0645cd389841ec6</t>
  </si>
  <si>
    <t xml:space="preserve">Vancouver School of Economics, The University of British Columbia, Vancouver, BC, Canada; The Neglected Global Diseases Initiative, The University of British Columbia, Vancouver, BC, Canada; Department of Microbiology and Immunology, Faculty of Science, The University of British Columbia, Vancouver, BC, Canada; Department of Medicine, Division of Infectious Diseases, The University of British Columbia, Vancouver, BC, Canada; University-Industry Liaison Office, The University of British Columbia, Vancouver, BC, Canada; Department of Urologic Sciences, Faculty of Medicine, The University of British Columbia, Vancouver, BC, Canada</t>
  </si>
  <si>
    <t xml:space="preserve">Gallini N., Vancouver School of Economics, The University of British Columbia, Vancouver, BC, Canada, The Neglected Global Diseases Initiative, The University of British Columbia, Vancouver, BC, Canada; Hancock R.E.W., The Neglected Global Diseases Initiative, The University of British Columbia, Vancouver, BC, Canada, Department of Microbiology and Immunology, Faculty of Science, The University of British Columbia, Vancouver, BC, Canada; Lester R., The Neglected Global Diseases Initiative, The University of British Columbia, Vancouver, BC, Canada, Department of Medicine, Division of Infectious Diseases, The University of British Columbia, Vancouver, BC, Canada; Sharp B., University-Industry Liaison Office, The University of British Columbia, Vancouver, BC, Canada; Wasan K.M., The Neglected Global Diseases Initiative, The University of British Columbia, Vancouver, BC, Canada, Department of Urologic Sciences, Faculty of Medicine, The University of British Columbia, Vancouver, BC, Canada</t>
  </si>
  <si>
    <t xml:space="preserve">essential medicines; global access principles; infectious diseases; neglected diseases; telemedicine</t>
  </si>
  <si>
    <t xml:space="preserve">amphotericin B; vaccine; antibiotic resistance; Article; artificial intelligence; biodiversity; coronavirus disease 2019; drug efficacy; global access principles; health care facility; human; Human immunodeficiency virus infection; immunotherapy; leishmaniasis; low income country; malaria; mental health; middle income country; mycosis; natural language processing; pandemic; parameters; public health; severe sepsis; Staphylococcus aureus; tuberculosis; visceral leishmaniasis</t>
  </si>
  <si>
    <t xml:space="preserve">amphotericin B, 1397-89-3, 30652-87-0</t>
  </si>
  <si>
    <t xml:space="preserve">Babili A., Nsanzimana S., Rwagasore E., Lester R.T., SMS-based digital health intervention in Rwanda's home-based care program for remote management of COVID-19 cases and contacts: a qualitative study of sustainability and scalability, Front. Digit. Health, 4, (2023); Baghela A., An A., Zhang P., Acton E., Gauthier J., Brunet-Ratnasingham E., Et al., Predicting severity in COVID-19 disease using sepsis blood gene expression signatures, Sci. Rep, 13, (2023); Baghela A., Pena O.M., Lee A.H., Baquir B., Falsafi R., An A., Et al., Predicting sepsis severity at first clinical presentation: the role of endotypes and mechanistic signatures, eBiomedicine, 75, (2022); Bishai D.M., Champion C., Steele M.E., Thompson L., Product development partnerships hit their stride: lessons from developing a meningitis vaccine for Africa, Health Aff, 30, 6, pp. 1058-1064, (2011); Bottazzi M.E., Hotez P.J., Running the Gauntlet": formidable challenges in advancing neglected tropical diseases vaccines from development through licensure, and a "Call to Action, Hum. Vaccines Immunother, 15, 10, pp. 2235-2242, (2019); Cockburn I., Lanjouw J., Schankerman M., Patents and the global diffusion of new drugs, Am. Econ. Rev, 106, 1, pp. 136-164, (2016); Guebert J., Bubela T., Implementing socially responsible licensing for global health: beyond neglected diseases, Sci. Transl. Med, 6, 260, (2014); Gupta R., Gabrielsen B., StevenFerguson M., Nature's medicines: traditional knowledge and intellectual property management. Case studies from the National Institutes of Health (NIH), USA, Case Stud. Natl. Institutes Health (NIH), U. S. A. Curr. Drug Discov. Technol, 2, 4, pp. 203-219, (2005); Herder M., Gold E.R., Murthy S., University technology transfer has failed to improve access to global health products during the COVID-19 pandemic, Healthc. Policy, 17, 4, pp. 15-25, (2022); Lanjouw J., Intellectual property and the availability of pharmaceuticals in poor countries, (2002); Mahoney R.T., Product development partnerships: case studies of a new mechanism for health technology innovation, Health Res. Policy Syst, 9, (2011); Mansour S., de la Fuente-Nunez C., Hancock R.E.W., Peptide IDR-1018: modulating the immune system and targeting bacterial biofilms to treat antibiotic-resistant bacterial infections, J. Pept. Res, 21, pp. 323-329, (2015); Maskus K., Parallel importation in pharmaceuticals: implications for competition and prices in developing countries, (2001); Keeping the promise: product development partnerships’ role in the new age of health research and product development, (2021); Nguyen T.-Y., Shahzad M., Veras J., Recent experiences in policy implementation of socially responsible licensing in selective universities across europe and North America: identify key provisions to promote global access to health technologies, (2018); Patel A.R., Kessler J., Braithwaite R.S., Nucifora K.A., Thirumurthy H., Zhou Q., Et al., Economic evaluation of mobile phone text message interventions to improve adherence to HIV therapy in Kenya, Medicine (Baltimore), 96, 7, (2017); Ramachandran R., Commentary: fulfilling the promise of global access licensing principles to enable equitable access, Health Policy, 17, 4, pp. 37-44, (2022); Rudd K.E., Johnson S.C., Agesa K.M., Shackelford K.A., Tsoi D., Kievlan D.R., Et al., Global, regional, and national sepsis incidence and mortality, 1990–2017: analysis for the Global Burden of Disease Study, Lancet, 395, pp. 200-211, (2002); Tannoury M., Attieh Z., The influence of emerging markets on the pharmaceutical industry, Curr. Ther. Res, 86, C, pp. 19-22, (2017); Wasan K.M., Thornton S.J., Bell I., Goulding R.E., Gretes M., Gray A.P., Et al., “The global access initiative at the University of British Columbia (UBC)”,Availability of UBC discoveries and technologies to the developing world, J. Pharm. Sci, 98, 3, pp. 791-794, (2009)</t>
  </si>
  <si>
    <t xml:space="preserve">K.M. Wasan; The Neglected Global Diseases Initiative, The University of British Columbia, Vancouver, Canada; email: Kishor.Wasan@ubc.ca</t>
  </si>
  <si>
    <t xml:space="preserve">Front. Pharmacol.</t>
  </si>
  <si>
    <t xml:space="preserve">2-s2.0-85180900866</t>
  </si>
  <si>
    <t xml:space="preserve">Pokhrel K.; Sanin C.; Sakib M.K.H.; Islam M.R.; Szczerbicki E.</t>
  </si>
  <si>
    <t xml:space="preserve">Pokhrel, Kushal (55734393200); Sanin, Cesar (11639622700); Sakib, Md. Kowsar Hossain (58712092500); Islam, Md Rafiqul (58267785600); Szczerbicki, Edward (7004603162)</t>
  </si>
  <si>
    <t xml:space="preserve">55734393200; 11639622700; 58712092500; 58267785600; 7004603162</t>
  </si>
  <si>
    <t xml:space="preserve">Improved Skin Disease Classification with Mask R-CNN and Augmented Dataset</t>
  </si>
  <si>
    <t xml:space="preserve">Skin diseases are a significant global health concern, impacting millions worldwide. Severe diseases like psoriasis and dermatitis can coexist with more benign skin issues like acne and eczema. Primary care physicians in tropical areas often treat patients with skin issues in locations where onchocerciasis and tinea imbricate are prominent, such infections might even take center stage. Usually, skin illnesses are disregarded medically and considered cosmetic, but they can have serious psychosocial effects, especially at an early age, and very few global studies have attempted to quantify the frequency of skin diseases. Nevertheless, the ability to make an accurate diagnosis at an early stage is crucial for successful treatment of complex diseases. However, Skin disease identification is a complex process. We introduce a state-of-the-art approach that uses Mask R-CNN in conjunction with an augmented dataset from the HAM10000 from the Harvard University Open Data Repository to achieve close to 80% accuracy in skin disease classification. We provide an in-depth analysis of our approach, covering data preprocessing, model architecture, training, and evaluation, along with detailed tables presenting training and testing results and associated hyperparameters. © 2023 Taylor &amp; Francis Group, LLC.</t>
  </si>
  <si>
    <t xml:space="preserve">Cybernetics and Systems</t>
  </si>
  <si>
    <t xml:space="preserve">Taylor and Francis Ltd.</t>
  </si>
  <si>
    <t xml:space="preserve">10.1080/01969722.2023.2296254</t>
  </si>
  <si>
    <t xml:space="preserve">https://www.scopus.com/inward/record.uri?eid=2-s2.0-85180519737&amp;doi=10.1080%2f01969722.2023.2296254&amp;partnerID=40&amp;md5=294f5cda4256a3697830e40a605f4ccb</t>
  </si>
  <si>
    <t xml:space="preserve">Business Information Systems, Australian Institute of Higher Education, Sydney, Australia; School of Computer Science, Taylors University, Subang Jaya, Malaysia; Faculty of Management and Economics, Gdansk University of Technology, Gdansk, Poland</t>
  </si>
  <si>
    <t xml:space="preserve">Pokhrel K., Business Information Systems, Australian Institute of Higher Education, Sydney, Australia; Sanin C., Business Information Systems, Australian Institute of Higher Education, Sydney, Australia; Sakib M.K.H., School of Computer Science, Taylors University, Subang Jaya, Malaysia; Islam M.R., Business Information Systems, Australian Institute of Higher Education, Sydney, Australia; Szczerbicki E., Faculty of Management and Economics, Gdansk University of Technology, Gdansk, Poland</t>
  </si>
  <si>
    <t xml:space="preserve">Artificial neural network; convolutional neural network; image classification; image processing; mask R-CNN; skin disease detection</t>
  </si>
  <si>
    <t xml:space="preserve">Classification (of information); Complex networks; Convolutional neural networks; Dermatology; Diagnosis; Image classification; Image enhancement; Large dataset; Open Data; Tropics; Convolutional neural network; Disease classification; Disease detection; Global health; Health concerns; Images classification; Images processing; Mask R-CNN; Skin disease; Skin disease detection; Diseases</t>
  </si>
  <si>
    <t xml:space="preserve">Bagheri F., Tarokh M.J., Ziaratban M., Skin Lesion Segmentation from Dermoscopic Images by Using Mask r-Cnn, Retina-Deeplab, and Graph-Based Methods, Biomedical Signal Processing and Control, 67, (2021); Bickers D.R., Athar M., Oxidative Stress in the Pathogenesis of Skin Disease, The Journal of Investigative Dermatology, 126, 12, pp. 2565-2575, (2006); Cao G., Song W., Zhao Z., Gastric Cancer Diagnosis with Mask R-CNN, 2019 11th International Conference on Intelligent Human-Machine Systems and Cybernetics (IHMSC), pp. 60-63, (2019); Chen L., Li S., Bai Q., Yang J., Jiang S., Miao Y., Review of Image Classification Algorithms Based on Convolutional Neural Networks, Remote Sensing, 13, 22, (2021); He K., Gkioxari G., Dollar P., Girshick R., Mask r-Cnn, pp. 2980-2988, (2017); Jin J., Song M.H., Kim S.D., Jin D., Mask r-Cnn Models to Purify Medical Images of Training Sets, 2021 International Conference on e-Health and Bioengineering (EHB), pp. 1-4, (2021); Khan M.A., Akram T., Zhang Y.-D., Sharif M., Attributes Based Skin Lesion Detection and Recognition: A Mask r-Cnn and Transfer Learning-Based Deep Learning Framework, Pattern Recognition Letters, 143, pp. 58-66, (2021); Liang Y., He R., Li Y., Wang Z., Simultaneous Segmentation and Classification of Breast Lesions from Ultrasound Images Using Mask R-CNN, 2019 IEEE International Ultrasonics Symposium (IUS), pp. 1470-1472, (2019); Liu M., Dong J., Dong X., Yu H., Qi L., Segmentation of Lung Nodule in ct Images Based on Mask r-Cnn, 2018 9th International Conference on Awareness Science and Technology (iCAST), pp. 1-6, (2018); Pabitha C., Vanathi B., Densemask Rcnn: A Hybrid Model for Skin Burn Image Classification and Severity Grading, Neural Processing Letters, 53, 1, pp. 319-337, (2021); Padma T., Kumari C.U., Yamini D., Pravallika K., Bhargavi K., Nithya M., Image Segmentation Using Mask r-Cnn for Tumor Detection from Medical Images, 2022 International Conference on Electronics and Renewable Systems (ICEARS), pp. 1015-1021, (2022); Pokhrel K., Giri S., Karki S., Sanin C., Skin Disease Detection as Unsupervised Classification with Autoencoder and Experience-Based Augmented Intelligence (AI), Conference on Innovative Technologies in Intelligent Systems and Industrial Applications, pp. 949-958, (2022); Revanda A.R., Fatichah C., Suciati N., Classification of Acute Lymphoblastic Leukemia on White Blood Cell Microscopy Images Based on Instance Segmentation Using Mask R-CNN, 15, pp. 625-637, (2022); Ronneberger O., Fischer P., Brox T., U-Net: Convolutional Networks for Biomedical Image Segmentation, Springer, 18, pp. 234-241, (2015); Sahin M.E., Ulutas H., Yuce E., Erkoc M.F., Detection and Classification of Covid-19 by Using Faster r-Cnn and Mask r-Cnn on ct Images, Neural Computing &amp; Applications, 35, 18, pp. 13597-13611, (2023); Shu J.H., Nian F.D., Yu M.H., Li X., An Improved Mask r-Cnn Model for Multiorgan Segmentation, Mathematical Problems in Engineering, 2020, pp. 1-11, (2020); Sugiharti E., Arifudin R., Efrilianda D.A., Susilo A.B., Putra N.D., Mask Region-Based Convolutional Neural Network for Detection of Skin Cancer, AIP Conference Proceedings, 2614, (2023); Tschandl P., Rosendahl C., Kittler H., The ham10000 Dataset, a Large Collection of Multi-Source Dermatoscopic Images of Common Pigmented Skin Lesions, Scientific Data, 5, 1, (2018); Vuola A.O., Akram S.U., Kannala J., Mask-Rcnn and u-Net Ensembled for Nuclei Segmentation, 2019 IEEE 16th International Symposium on Biomedical Imaging (ISBI 2019), pp. 208-212, (2019)</t>
  </si>
  <si>
    <t xml:space="preserve">C. Sanin; Business Information Systems, Australian Institute of Higher Education, Sydney, Australia; email: c.sanin@aih.edu.au</t>
  </si>
  <si>
    <t xml:space="preserve">CYSYD</t>
  </si>
  <si>
    <t xml:space="preserve">Cybern Syst</t>
  </si>
  <si>
    <t xml:space="preserve">2-s2.0-85180519737</t>
  </si>
  <si>
    <t xml:space="preserve">Jahan R.; Alam S.</t>
  </si>
  <si>
    <t xml:space="preserve">Jahan, Rashke (58913973100); Alam, Shahzad (56008033400)</t>
  </si>
  <si>
    <t xml:space="preserve">58913973100; 56008033400</t>
  </si>
  <si>
    <t xml:space="preserve">Improving Classification Accuracy Using Hybrid Machine Learning Algorithms on Malaria Dataset †</t>
  </si>
  <si>
    <t xml:space="preserve">Machine learning algorithms are integrated into computer-aided design (CAD) methodologies to support medical practitioners in diagnosing patient disorders. This research seeks to enhance the accuracy of classifying malaria-infected erythrocytes (RBCs) through the fusion of machine learning algorithms, resulting in a hybrid classifier. The primary phases involve data preprocessing, segmentation, feature extraction, and RBC classification. This paper introduces a novel hybrid machine learning algorithm, employing two combinations of supervised algorithms. The initial combination encompasses stochastic gradient descent (SGD), logistic regression, and decision tree, while the second employs stochastic gradient descent (SGD), Xgboost, and random forest. The proposed approach, implemented using Python programming, presents an innovative hybrid machine learning algorithm. Through a comparative analysis between individual algorithms and the proposed hybrid algorithm, the paper demonstrates heightened accuracy in classifying malaria data, thus aiding medical practitioners in diagnosis. Among these algorithms, SGD, logistic regression, and decision tree yield individual accuracy rates of 90.63%, 92.23%, and 93.43%, respectively, while the hybrid algorithm achieves 95.64% accuracy on the same dataset. The second hybrid algorithm, combining SGD, Xgboost, and random forest, outperforms the initial hybrid version. Individually, these algorithms achieve accuracy rates of 90.63%, 95.86%, and 96.11%. When the proposed hybrid algorithm is applied to the same dataset, accuracy is further enhanced to 96.22%. © 2023 by the authors.</t>
  </si>
  <si>
    <t xml:space="preserve">Engineering Proceedings</t>
  </si>
  <si>
    <t xml:space="preserve">10.3390/ASEC2023-15924</t>
  </si>
  <si>
    <t xml:space="preserve">https://www.scopus.com/inward/record.uri?eid=2-s2.0-85186448340&amp;doi=10.3390%2fASEC2023-15924&amp;partnerID=40&amp;md5=7978df8051bccf0240c2c03034b18601</t>
  </si>
  <si>
    <t xml:space="preserve">Department of Computer Engineering, Jamia Millia Islamia, New Delhi, 110025, India</t>
  </si>
  <si>
    <t xml:space="preserve">Jahan R., Department of Computer Engineering, Jamia Millia Islamia, New Delhi, 110025, India; Alam S., Department of Computer Engineering, Jamia Millia Islamia, New Delhi, 110025, India</t>
  </si>
  <si>
    <t xml:space="preserve">adaboost; content-based image retrieval (CBIR); decision tree algorithm; image processing; logistic regression; malaria; random forest; SGD; voting classifier; Xgboost</t>
  </si>
  <si>
    <t xml:space="preserve">Kaur J., Malarial positive image retrieval using Content Based Retrieval Systems, System, 70, (2015); Sarrafzadeh O., Dehnavi A.M., Nucleus and cytoplasm segmentation in microscopic images using K-means clustering and region growing, Adv. Biomed. Res, 4, (2015); Rakshit P., Bhowmik K., Detection of presence of parasites in human RBC in case of diagnosing malaria using image processing, Proceedings of the 2013 IEEE Second International Conference on Image Information Processing (ICIIP-2013), pp. 329-334; Kaewkamnerd S., Uthaipibull C., Intarapanich A., Pannarut M., Chaotheing S., Tongsima S., An automatic device for detection and classification of malaria parasite species in thick blood film, BMC Bioinform, 13, (2012); Dave I.R., Upla K.P., Computer aided diagnosis of Malaria disease for thin and thick blood smear microscopic images, Proceedings of the 2017 4th International Conference on Signal Processing and Integrated Networks (SPIN), pp. 561-565; Chakrabortya K., A Combined Algorithm for Malaria Detection from Thick Smear Blood Slides, J. Health Med. Inform, 6, pp. 645-652, (2015); Imran Razzak M., Informatics H., Automatic Detection and Classification of Malarial Parasite, Int. J. Biom. Bioinforma, 9, pp. 1-12, (2015); Ijaz M., Alfian G., Syafrudin M., Rhee J., Hybrid Prediction Model for Type 2 Diabetes and Hypertension Using DBSCAN-Based Outlier Detection, Synthetic Minority over Sampling Technique (SMOTE), and Random Forest, Appl. Sci, 8, (2018); Anitha Avula V., Asha A., Improving Prediction Accuracy Using Hybrid Machine Learning Algorithm on Medical Datasets, Int. J. Sci. Eng. Res, 9, pp. 1461-1467, (2018); Charpe K., Bairagi V.K., Desarda S., Barshikar S., A Novel Method for Automatic Detection of Malaria Parasite Stage in Microscopic Blood Image, Int. J. Comput. Appl, 128, pp. 32-37, (2015); Bairagi V.K., Charpe K.C., Comparison of texture features used for classification of life stages of malaria parasite, Int. J. Biomed. Imaging, 2016, (2016); Devi S.S., Roy A., Singha J., Sheikh S.A., Laskar R.H., Malaria infected erythrocyte classification based on a hybrid classifier using microscopic images of thin blood smear, Multimed. Tools Appl, 77, pp. 631-660, (2018)</t>
  </si>
  <si>
    <t xml:space="preserve">R. Jahan; Department of Computer Engineering, Jamia Millia Islamia, New Delhi, 110025, India; email: rashkecs57@gmail.com</t>
  </si>
  <si>
    <t xml:space="preserve">Eng. Proc.</t>
  </si>
  <si>
    <t xml:space="preserve">2-s2.0-85186448340</t>
  </si>
  <si>
    <t xml:space="preserve">Tandale B.V.; Narang R.; Kumar G.V.; Jain M.; Tomar S.J.; Deshmukh P.S.</t>
  </si>
  <si>
    <t xml:space="preserve">Tandale, Babasaheb V. (15020037100); Narang, Rahul (16684115500); Kumar, G. Vijay (57209912902); Jain, Manish (55853966900); Tomar, Shilpa J. (57216857429); Deshmukh, Pravin S. (58708913200)</t>
  </si>
  <si>
    <t xml:space="preserve">15020037100; 16684115500; 57209912902; 55853966900; 57216857429; 58708913200</t>
  </si>
  <si>
    <t xml:space="preserve">Infectious Causes of Acute Encephalitis Syndrome in India – Decadal Change and the Way Forward</t>
  </si>
  <si>
    <t xml:space="preserve">The diagnosis and management of encephalitis were previously largely based on clinical grounds and minimal laboratory investigations. Japanese encephalitis (JE) gets considered as the probable diagnosis in most encephalitis cases. However, reports of JE in adults and the elderly are increasing after the JE vaccine introduction among children in 2006. The Nipah virus (NiV) emerged in 2002 and continues to afflict humans in new geographic areas. Many other infections cause encephalitis, including Chandipura, chikungunya, dengue, and West Nile. Significant advances in diagnostic testing like multiplex testing panels and metagenomic approaches along with sequencing have helped in the detection of new etiologies. Recent years have witnessed an increase in climate-sensitive zoonotic diseases with encephalitis. This highlights the importance of the One Health approach in studying the impact of climate change-associated infectious diseases on human health. The government of India’s efforts to develop health research infrastructure would help future responses to emerging infectious disease epidemics. © 2023, Indian Academy of Pediatrics.</t>
  </si>
  <si>
    <t xml:space="preserve">Indian Pediatrics</t>
  </si>
  <si>
    <t xml:space="preserve">10.1007/s13312-023-2982-6</t>
  </si>
  <si>
    <t xml:space="preserve">https://www.scopus.com/inward/record.uri?eid=2-s2.0-85176414247&amp;doi=10.1007%2fs13312-023-2982-6&amp;partnerID=40&amp;md5=0f67e5eef389796f5ccce2600eab265b</t>
  </si>
  <si>
    <t xml:space="preserve">Epidemiology Group, ICMR - National Institute of Virology, Maharashtra, Pune, 411001, India; Department of Microbiology, All India Institute of Medical Sciences, Bibinagar, Telangana, Hyderabad, India; Department of Paediatrics, Kakatiya Medical College, Telangana, Warangal, India; Department of Paediatrics, Mahatma Gandhi Institute of Medical Sciences, Maharashtra, Sewagram, India; Department of Microbiology (Project Scientist), Government Medical College, Maharashtra, Nagpur, India</t>
  </si>
  <si>
    <t xml:space="preserve">Tandale B.V., Epidemiology Group, ICMR - National Institute of Virology, Maharashtra, Pune, 411001, India; Narang R., Department of Microbiology, All India Institute of Medical Sciences, Bibinagar, Telangana, Hyderabad, India; Kumar G.V., Department of Paediatrics, Kakatiya Medical College, Telangana, Warangal, India; Jain M., Department of Paediatrics, Mahatma Gandhi Institute of Medical Sciences, Maharashtra, Sewagram, India; Tomar S.J., Epidemiology Group, ICMR - National Institute of Virology, Maharashtra, Pune, 411001, India; Deshmukh P.S., Department of Microbiology (Project Scientist), Government Medical College, Maharashtra, Nagpur, India</t>
  </si>
  <si>
    <t xml:space="preserve">Diagnosis; Etiology; Management; One health; Recent advances</t>
  </si>
  <si>
    <t xml:space="preserve">Japanese encephalitis vaccine; Article; artificial intelligence; case fatality rate; chikungunya; climate change; clinical research; dengue; diagnostic test; encephalitis; epidemic; government; human; India; Japanese encephalitis; laboratory; managed care; medical research; metagenomics; morbidity; mortality rate; Nipah virus; ofacute encephalitis syndrome; One Health; primary medical care; public health; secondary care center; systematic review (topic); West Nile fever; West Nile virus</t>
  </si>
  <si>
    <t xml:space="preserve">Panagariya A., Jain R.S., Gupta S., Et al., Herpes simplex encephalitis in North West India, Neurol India, 49, pp. 360-365, (2001); Kabilan L., Ramesh S., Srinivasan S., Et al., Hospital- and laboratory-based investigations of hospitalized children with central nervous system-related symptoms to assess Japanese ence-phalitis virus etiology in Cuddalore District, Tamil Nadu, India, J Clin Microbiol, 42, pp. 2813-2815, (2004); Ranjan P., Gore M., Selvaraju S., Et al., Decline in Japanese encephalitis, Kushinagar District, Uttar Pradesh, India, Emerg Infect Dis, 20, pp. 1406-1407, (2014); Jain P., Prakash S., Khan D.N., Et al., Aetiology of acute encephalitis syndrome in Uttar Pradesh, India from 2014 to 2016, J Vector Borne Dis, 54, pp. 311-316, (2017); Tandale B.V., Tomar S.J., Bondre V.P., Et al., Infectious causes of acute encephalitis syndrome hospitalizations in Central India, 2018–20, J Clin Virol Off Publ Pan Am Soc Clin Virol, 153, (2022); Adhya D., Dutta K., Basu A., Japanese encephalitis in India: risk of an epidemic in the National Capital Region, Int Health, 5, pp. 166-168, (2013); Chadha M.S., Arankalle V.A., Jadi R.S., Et al., An outbreak of Chandipura virus encephalitis in the eastern districts of Gujarat state, India, Am J Trop Med Hyg, 73, pp. 566-570, (2005); Thomas B., Chandran P., Lilabi M.P., Et al., Nipah virus infection in Kozhikode, Kerala, south India, in 2018: Epidemiology of an outbreak of an emerging disease, Indian J Community Med Off Publ Indian Assoc Prev Soc Med, 44, pp. 383-387, (2019); Rao B.L., Basu A., Wairagkar N.S., Et al., A large outbreak of acute encephalitis with high fatality rate in children in Andhra Pradesh, India, in 2003, associated with Chandipura virus, Lancet Lond Engl, 364, pp. 869-874, (2004); Tandale B.V., Tikute S.S., Arankalle V.A., Et al., Chandipura virus: a major cause of acute encephalitis in children in North Telangana, Andhra Pradesh, India, J Med Virol, 80, pp. 118-124, (2008); Vasanthapuram R., Shahul Hameed S.K., Desai A., Et al., Dengue virus is an under-recognised causative agent of acute encephalitis syndrome (AES): Results from a four year AES surveillance study of Japanese encephalitis in selected states of India, Int J Infect Dis, 84, pp. S19-S24, (2019); Ministry of Health and Family Welfare, Government of India. Accessed on, (2023); Singh A., Mitra M., Sampath G., Et al., A Japanese encephalitis vaccine from india induces durable and cross-protective immunity against temporally and spatially wide-ranging global field strains, J Infect Dis, 212, pp. 715-725, (2015); Chandran S., Arjun R., Sasidharan A., Et al., Clinical performance of film array meningitis/encephalitis multiplex polymerase chain reaction panel in central nervous system infections, Indian J Crit Care Med, 26, pp. 67-70, (2022); Ramachandran P.S., Wilson M.R., Metagenomics for neurological infections - expanding our imagination, Nat Rev Neurol, 16, pp. 547-556, (2020); Kennedy P., Quan P.L., Lipkin W., Viral Encephalitis of unknown cause: Current perspective and recent advances, Viruses, 9, (2017); Sharma S., Mishra D., Aneja S., Et al., Consensus guidelines on evaluation and management of suspected acute viral encephalitis in children in India, Indian Pediatr, 49, pp. 810-897, (2012); Ravi V., Hameed S.K.S., Desai A., Et al., An algorithmic approach to identifying the aetiology of acute encephalitis syndrome in India: results of a 4-year enhanced surveillance study, Lancet Glob Health, 10, pp. e685-e693, (2022); Ratho R.K., Mishra B., Hassan S., Indirect immuno-fluorescence test: role in seroepidemiology and serodiagnosis of herpes simplex viral infections, Indian J Pathol Microbiol, 47, pp. 582-585, (2004); Sapkal G.N., Bondre V.P., Fulmali P.V., Et al., Enteroviruses in patients with acute encephalitis, Uttar Pradesh, India, Emerg Infect Dis, 15, pp. 295-298, (2009); Folly A.J., Dorey-Robinson D., Hernandez-Triana L.M., Et al., Temperate conditions restrict Japanese encephalitis virus infection to the mid-gut and prevents systemic dissemination in Culex pipiens mosquitoes, Sci Rep, 11, (2021); Anukumar B., Sapkal G.N., Tandale B.V., Et al., West nile encephalitis outbreak in Kerala, India, 2011, J Clin Virol, 61, pp. 152-155, (2014); Jain P., Prakash S., Tripathi P.K., Et al., Emergence of Orientia tsutsugamushi as an important cause of acute encephalitis syndrome in India, PLoS Negl Trop Dis, 12, (2018); Das B.K., Mohanty S., Sahoo P.K., Association of leptospirosis and scrub typhus in acute encephalitis syndrome in a tertiary care hospital in Odisha, India, Trans R Soc Trop Med Hyg, 115, pp. 1088-1090, (2021); Chatterjee P., Japanese encephalitis outbreak in India, Lancet Neurol, 4, (2005); Islam M.A., Cavestro C., Alam S.S., Et al., Encephalitis in patients with Covid-19: A systematic evidence-based analysis, Cells, 11, (2022); Ye M., Ren Y., Lv T., Encephalitis as a clinical manifestation of COVID-19, Brain Behav Immun, 88, pp. 945-946, (2020); Misra U.K., Mani V.E., Kalita J., A Cost-effective approach to the diagnosis and management of acute infectious encephalitis, Eur Neurol, 77, pp. 66-74, (2017); Li G.H., Ning Z.J., Liu Y.M., Li X.H., Neurological manifestations of dengue infection, Front Cell Infect Microbiol, 7, (2017); Soares C.N., Cabral-Castro M.J., Peralta J.M., Et al., Review of the etiologies of viral meningitis and encephalitis in a dengue endemic region, J Neurol Sci, 303, pp. 75-79, (2011); Furuya-Kanamori L., Gyawali N., Mills D.J., Et al., The emergence of Japanese encephalitis in Australia and the implications for a vaccination strategy, Trop Med Infect Dis, 7, (2022); Carlson C.J., Albery G.F., Merow C., Et al., Climate change increases cross-species viral transmission risk, Nature, 607, pp. 555-562, (2022); Operational Guidelines for PM Ayushman Bharat Health Infrastructure Mission, Ministry of Health and Family Welfare Government of India, (2021); Bush J., How AI is taking the scut work out of health care, Harvard Business Review, (2018); Davenport T., Kalakota R., The potential for artificial intelligence in healthcare, Future Health J, 6, pp. 94-98, (2019)</t>
  </si>
  <si>
    <t xml:space="preserve">B.V. Tandale; Epidemiology Group, ICMR - National Institute of Virology, Pune, Maharashtra, 411001, India; email: tandale.bv@gov.in</t>
  </si>
  <si>
    <t xml:space="preserve">INPDA</t>
  </si>
  <si>
    <t xml:space="preserve">Indian Pediatr.</t>
  </si>
  <si>
    <t xml:space="preserve">2-s2.0-85176414247</t>
  </si>
  <si>
    <t xml:space="preserve">Lokmic-Tomkins Z.; Davies S.; Bhandari D.; Robinson E.; Manser R.; Dunne B.; von Gerich H.</t>
  </si>
  <si>
    <t xml:space="preserve">Lokmic-Tomkins, Zerina (14026848400); Davies, Shauna (57146070800); Bhandari, Dinesh (57218875051); Robinson, Eddie (55762856200); Manser, Renee (7004091318); Dunne, Ben (35069178900); von Gerich, Hanna (57392225200)</t>
  </si>
  <si>
    <t xml:space="preserve">14026848400; 57146070800; 57218875051; 55762856200; 7004091318; 35069178900; 57392225200</t>
  </si>
  <si>
    <t xml:space="preserve">Interconnectedness of digital health, climate change and respiratory care: navigating an environmentally sustainable path forward</t>
  </si>
  <si>
    <t xml:space="preserve">Planetary health connects human health to surrounding natural systems reliant on preserving nine planetary boundaries. Excessive fossil-fuel use, plastic consumption and our lifestyles have led to environmental pollution, pushing climate change, biodiversity loss, freshwater availability, disrupted nutrient cycles and land use into an uncertain future. Climate change affects respiratory health through increased air pollution, allergen level changes, extreme heat, more frequent bushfires and changes in vector-borne disease distribution. Communities and healthcare systems require innovative solutions to address these challenges. Digital health interventions hold great promise as they support respiratory care by improving access to care, more personalised healthcare plans, therapy adherence, remote monitoring, risk identification and patient education. However, while technologies such as electronic medical records and telemedicine can reduce healthcare emissions, they also contribute to environmental pollution. By designing and delivering digital health services with reduced greenhouse gas emissions, environmentally sustainable production and responsible recycling, a balance between safe quality care and minimal environmental impact is possible. © ERS 2023.</t>
  </si>
  <si>
    <t xml:space="preserve">ERS Monograph</t>
  </si>
  <si>
    <t xml:space="preserve">European Respiratory Society</t>
  </si>
  <si>
    <t xml:space="preserve">10.1183/2312508X.10001523</t>
  </si>
  <si>
    <t xml:space="preserve">https://www.scopus.com/inward/record.uri?eid=2-s2.0-85187100941&amp;doi=10.1183%2f2312508X.10001523&amp;partnerID=40&amp;md5=c866c82b94959a09a1335837437c9c35</t>
  </si>
  <si>
    <t xml:space="preserve">School of Nursing and Midwifery, Monash University, Melbourne, VIC, Australia; Victorian Heart Institute, Melbourne, VIC, Australia; Faculty of Nursing, University of Regina, Regina, SK, Canada; School of Nursing and Midwifery, Faculty of Medicine, Nursing and Health Sciences, Monash University, Melbourne, VIC, Australia; School of Public Health, University of Adelaide, Adelaide, SA, Australia; Dept of Respiratory Medicine, The Royal Melbourne Hospital, Parkville, VIC, Australia; Dept of Internal Medicine, Peter MacCallum Cancer Centre, Parkville, VIC, Australia; Dept of Cardiothoracic Surgery, The Royal Melbourne Hospital, Parkville, VIC, Australia; Dept of Nursing Science, University of Turku, Turku, Finland</t>
  </si>
  <si>
    <t xml:space="preserve">Lokmic-Tomkins Z., School of Nursing and Midwifery, Monash University, Melbourne, VIC, Australia, Victorian Heart Institute, Melbourne, VIC, Australia; Davies S., Faculty of Nursing, University of Regina, Regina, SK, Canada; Bhandari D., School of Nursing and Midwifery, Faculty of Medicine, Nursing and Health Sciences, Monash University, Melbourne, VIC, Australia, School of Public Health, University of Adelaide, Adelaide, SA, Australia; Robinson E., School of Nursing and Midwifery, Monash University, Melbourne, VIC, Australia; Manser R., Dept of Respiratory Medicine, The Royal Melbourne Hospital, Parkville, VIC, Australia, Dept of Internal Medicine, Peter MacCallum Cancer Centre, Parkville, VIC, Australia; Dunne B., Dept of Internal Medicine, Peter MacCallum Cancer Centre, Parkville, VIC, Australia, Dept of Cardiothoracic Surgery, The Royal Melbourne Hospital, Parkville, VIC, Australia; von Gerich H., Dept of Nursing Science, University of Turku, Turku, Finland</t>
  </si>
  <si>
    <t xml:space="preserve">allergen; carbon monoxide; desflurane; fossil fuel; fresh water; air pollution; Article; artificial intelligence; biodiversity; cardiovascular disease; climate change; decision support system; dengue; digital divide; digital health; electronic medical record; electronic prescribing; environment; environmental health; environmental impact; environmentally sustainable path; fever; forest fire; health care access; health education; health service; heart rate; heat stress; human; information dissemination; lifestyle; malaria; mortality; nutrient cycle; particulate matter; patient education; physical activity; planetary health; remote sensing; respiratory care; robotics; social media; telemedicine</t>
  </si>
  <si>
    <t xml:space="preserve">carbon monoxide, 630-08-0; desflurane, 57041-67-5</t>
  </si>
  <si>
    <t xml:space="preserve">Planetary Health; Whitmee S, Haines A, Beyrer C, Et al., Safeguarding human health in the Anthropocene epoch: report of The Rockefeller Foundation–Lancet Commission on planetary health, Lancet, 386, pp. 1973-2028, (2015); de Castaneda RR, Villers J, Guzman CAF, Et al., One health and planetary health research: leveraging differences to grow together, Lancet Planet Health, 7, pp. e109-e111, (2023); Planetary Boundaries; Rockstrom J, Steffen W, Noone K, Et al., Planetary boundaries: exploring the safe operating space for humanity, Ecol Soc, 14, (2009); Rockstrom J, Steffen W, Noone K, Et al., A safe operating space for humanity, Nature, 461, pp. 472-475, (2009); Steffen W, Richardson K, Rockstrom J, Et al., Planetary boundaries: guiding human development on a changing planet, Science, 347, (2015); Persson L, Carney Almroth BM, Collins CD, Et al., Outside the safe operating space of the planetary boundary for novel entities, Environ Sci Technol, 56, pp. 1510-1521, (2022); United Nations Framework Convention on Climate Change, (1992); The Causes of Climate Change; Emissions Gap Report 2021, (2022); Sixth Assessment Cycle (AR6) Climate Change 2022: Impacts, Adaptation and Vulnerability 2022, (2022); Pichler PP, Jaccard IS, Weisz U, Et al., International comparison of health care carbon footprints, Environ Res Lett, 14, (2019); Romanello M, di Napoli C, Drummond P, Et al., The 2022 report of the Lancet Countdown on health and climate change: health at the mercy of fossil fuels, Lancet, 400, pp. 1619-1654, (2022); Operational Framework for Building Climate Resilient Health Systems, (2015); Karliner J, Osewe P, Neira M, Et al., Momentum builds for health-care climate action, Lancet, 402, pp. 595-597, (2023); Sendai Framework Terminology on Disaster Risk Reduction; d'Amato G, Holgate ST, Pawankar R, Et al., Meteorological conditions, climate change, new emerging factors, and asthma and related allergic disorders. A statement of the World Allergy Organization, World Allergy Organ J, 8, (2015); Tennison I, Roschnik S, Ashby B, Et al., Health care’s response to climate change: a carbon footprint assessment of the NHS in England, Lancet Planet Health, 5, pp. e84-e92, (2021); Lenzen M, Malik A, Li M, Et al., The environmental footprint of health care: a global assessment, Lancet Planet Health, 4, pp. e271-e279, (2020); Lokmic-Tomkins Z, Borda A, Humphrey K., Designing digital health applications for climate change mitigation and adaptation, Med J Aust, 218, pp. 106-110, (2023); d'Amato G, Chong-Neto HJ, Monge Ortega OP, Et al., The effects of climate change on respiratory allergy and asthma induced by pollen and mold allergens, Allergy, 75, pp. 2219-2228, (2020); Gennaro DA, Lorenzo C, Mariella DA, Et al., Climate change and respiratory diseases, Eur Respir Rev, 23, (2014); Kinney PL., Interactions of climate change, air pollution, and human health, Curr Environ Health Rep, 5, pp. 179-186, (2018); Andersen ZJ, Vicedo-Cabrera AM, Hoffmann B, Et al., Climate change and respiratory disease: clinical guidance for healthcare professionals, Breathe (Sheff), 19, (2023); Advancing the Science of Climate Change, (2010); Health Impacts of Ozone 2023; Burbank AJ., Risk factors for respiratory viral infections: a spotlight on climate change and air pollution, J Asthma Allergy, 16, pp. 183-194, (2023); Ella Kissi-Debrah, (2021); Hill W, Lim EL, Weeden CE, Et al., Lung adenocarcinoma promotion by air pollutants, Nature, 616, pp. 159-167, (2023); Southerland VA, Brauer M, Mohegh A, Et al., Global urban temporal trends in fine particulate matter (PM&lt;sub&gt;2.5&lt;/sub&gt;) and attributable health burdens: estimates from global datasets, Lancet Planet Health, 6, pp. e139-e146, (2022); Ambient (Outdoor) Air Pollution 2022; Obermeier WA, Lehnert LW, Kammann CI, Et al., Reduced CO&lt;sub&gt;2&lt;/sub&gt; fertilization effect in temperate C3 grasslands under more extreme weather conditions, Nat Clim Change, 7, pp. 137-141, (2017); Wayne P, Foster S, Connolly J, Et al., Production of allergenic pollen by ragweed (Ambrosia artemisiifolia L.) is increased in CO&lt;sub&gt;2&lt;/sub&gt;-enriched atmospheres, Ann Aller Asthma Immunol, 88, pp. 279-282, (2002); Ziska LH, Bunce JA, Goins EW., Characterization of an urban-rural CO&lt;sub&gt;2&lt;/sub&gt;/temperature gradient and associated changes in initial plant productivity during secondary succession, Oecologia, 139, pp. 454-458, (2004); Cockcroft DW., Epidemic thunderstorm asthma, Lancet Planet Health, 2, pp. e236-e237, (2018); Cheng J, Xu Z, Bambrick H, Et al., Cardiorespiratory effects of heatwaves: a systematic review and meta-analysis of global epidemiological evidence, Environ Res, 177, (2019); Jehn M, Donaldson G, Kiran B, Et al., Tele-monitoring reduces exacerbation of COPD in the context of climate change – a randomized controlled trial, Environ Health, 12, (2013); Aguilera R, Corringham T, Gershunov A, Et al., Wildfire smoke impacts respiratory health more than fine particles from other sources: observational evidence from Southern California, Nat Commun, 12, (2021); Chen G, Guo Y, Yue X, Et al., Mortality risk attributable to wildfire-related PM&lt;sub&gt;2.5&lt;/sub&gt; pollution: a global time series study in 749 locations, Lancet Planet Health, 5, pp. e579-e587, (2021); Borchers Arriagada N, Palmer AJ, Bowman DMJS, Et al., Unprecedented smoke-related health burden associated with the 2019–20 bushfires in eastern Australia, Med J Aust, 213, pp. 282-283, (2020); Rando RJ, Kwon CW, Lefante JJ., Exposures to thoracic particulate matter, endotoxin, and glucan during post-Hurricane Katrina restoration work, New Orleans 2005–2012, J Occup Environ Hyg, 11, pp. 9-18, (2014); Campbell-Lendrum D, Manga L, Bagayoko M, Et al., Climate change and vector-borne diseases: what are the implications for public health research and policy?, Philos Trans R Soc B: Biol Sci, 370, (2015); Rhea JR, Caroline B, Ruth N, Et al., Health effects of climate change: an overview of systematic reviews, BMJ Open, 11, (2021); Kharwadkar S, Attanayake V, Duncan J, Et al., The impact of climate change on the risk factors for tuberculosis: a systematic review, Environ Res, 212, (2022); Urrutia-Pereira M, Chong-Neto HJ, Winders T A, Et al., Environmental impact of inhaler devices on respiratory care: a narrative review, J Bras Pneumol, 48, (2022); Wilkinson A, Maslova E, Janson C, Et al., Environmental sustainability in respiratory care: an overview of the healthCARe-Based envirONmental Cost of Treatment (CARBON) Programme, Adv Ther, 39, pp. 2270-2280, (2022); Parker J., Environmentally friendly inhalers: issues for the general practice consultation, Br J Gen Pract, 72, pp. 484-485, (2022); Robinson J., Greener inhalers: are we setting the wrong targets?, Pharmaceutical J, 307, (2021); d'Adamo I., Adopting a circular economy: current practices and future perspectives, Soc Sci, 8, (2019); Digital Health; Soobiah C, Cooper M, Kishimoto V, Et al., Identifying optimal frameworks to implement or evaluate digital health interventions: a scoping review protocol, BMJ Open, 10, (2020); Lokmic-Tomkins Z, Bhandari D, Bain C, Et al., Lessons learned from natural disasters around digital health technologies and delivering quality healthcare, Int J Environ Res Public Health, 20, (2023); Cobos-Campos R, Cordero-Guevara JA, Apinaniz A, Et al., The impact of digital health on smoking cessation, Interact J Med Res, 12, (2023); Green S, Davis M., Environmental effect of smoking cessation, Can Fam Physician, 67, pp. 882-883, (2021); Ford KL, West AB, Bucher A, Et al., Personalized digital health communications to increase COVID-19 vaccination in underserved populations: a double diamond approach to behavioral design, Front Digit Health, 4, (2022); Dobrosielski DA, Papandreou C, Patil SP, Et al., Diet and exercise in the management of obstructive sleep apnoea and cardiovascular disease risk, Eur Respir Rev, 26, (2017); Lokmic-Tomkins Z, Davies S, Block LJ, Et al., Assessing the carbon footprint of digital health interventions: a scoping review, J Am Med Inform Assoc, 29, pp. 2128-2139, (2022); Rahimi-Ardabili H, Magrabi F, Coiera E., Digital health for climate change mitigation and response: a scoping review, J Am Med Inform Assoc, 29, pp. 2140-2152, (2022); Holmner A, Rocklov J, Ng N, Et al., Climate change and eHealth: a promising strategy for health sector mitigation and adaptation, Glob Health Action, 5, (2012); Rautela R, Arya S, Vishwakarma S, Et al., E-waste management and its effects on the environment and human health, Sci Total Environ, 773, (2021); Cox NS, Dal Corso S, Hansen H, Et al., Telerehabilitation for chronic respiratory disease, Cochrane Database Syst Rev, 1, (2021); Turley M, Porter C, Garrido T, Et al., Use of electronic health records can improve the health care industry’s environmental footprint, Health Aff (Millwood), 30, pp. 938-946, (2011); Davlantes E, Henderson S, Ferguson RW, Et al., Use of electronic medical records to conduct surveillance of malaria among Peace Corps volunteers, JAMIA Open, 2, pp. 498-504, (2019); McAlister S, Barratt AL, Bell KJ, Et al., The carbon footprint of pathology testing, Med J Aust, 212, pp. 377-382, (2020); Carini E, Villani L, Pezzullo AM, Et al., The impact of digital patient portals on health outcomes, system efficiency, and patient attitudes: updated systematic literature review, J Med Internet Res, 23, (2021); Cheong SHR, Ng YJX, Lau Y, Et al., Wearable technology for early detection of COVID-19: a systematic scoping review, Prev Med, 162, (2022); Tumusiime DK, Agaba G, Kyomuhangi T, Et al., Introduction of mobile phones for use by volunteer community health workers in support of integrated community case management in Bushenyi District, Uganda: development and implementation process, BMC Health Serv Res, 14, (2014); Lee JM, Kim SJ, Min HY., The effects of smartphone-based nebulizer therapy education on parents’ knowledge and confidence of performance in caring for children with respiratory disease, J Pediatr Nurs, 36, pp. 13-19, (2017); Choi JY, George M, Yun SY., Development of a smartphone application for Korean patients with chronic obstructive pulmonary disease: self-monitoring based action plans, Appl Nurs Res, 61, (2021); McKie R, Tapper J., Chaos after Heat Crashes Computers at Leading London Hospitals; Kwan JL, Lo L, Ferguson J, Et al., Computerised clinical decision support systems and absolute improvements in care: meta-analysis of controlled clinical trials, BMJ, 370, (2020); Chou WYS, Gaysynsky A, Cappella JN., Where we go from here: health misinformation on social media, Am J Public Health, 110, pp. S273-S275, (2020); Anikeeva O, Steenkamp M, Arbon P., The future of social media use during emergencies in Australia: insights from the 2014 Australian and New Zealand disaster and emergency management conference social media workshop, Aust J Emerg Manag, 30, pp. 22-26, (2015); Broadbent E, Garrett J, Jepsen N, Et al., Using robots at home to support patients with chronic obstructive pulmonary disease: pilot randomized controlled trial, J Med Internet Res, 20, (2018); Sarker S, Jamal L, Ahmed SF, Et al., Robotics and artificial intelligence in healthcare during COVID-19 pandemic: a systematic review, Rob Auton Syst, 146, (2021); Nam JG, Hwang EJ, Kim J, Et al., AI improves nodule detection on chest radiographs in a health screening population: a randomized controlled trial, Radiology, 307, (2023); Rolnick D, Donti PL, Kaack LH, Et al., Tackling climate change with machine learning, ACM Comput Surv, 55, (2022); Rubab S, Khan MM, Uddin F, Et al., A study on AI-based waste management strategies for the COVID-19 pandemic, ChemBioEng Rev, 9, pp. 212-226, (2022); Welk B, McArthur E, Zorzi AP., Association of virtual care expansion with environmental sustainability and reduced patient costs during the COVID-19 pandemic in Ontario, Canada, JAMA Netw Open, 5, (2022); Soaring e-Waste Affects the Health of Millions of Children; Strubell E, Ganesh A, McCallum A., Energy and policy considerations for deep learning in NLP, Proceedings of the 57th Annual Meeting of the Association for Computational Linguistics, (2019); Bloomfield PS, Clutton-Brock P, Pencheon E, Et al., Artificial intelligence in the NHS: climate and emissions, J Clim Change Health, 4, (2021); Maher H, Meinecke H, Gromier D, Et al., How AI Can Be a Powerful Tool in the Fight Against Climate Change, (2022); Bousquet J., Electronic clinical decision support system (eCDSS) in the management of asthma: from theory to practice, Eur Respir J, 53, (2019); Lokmic Z, Hallenstein L, Penington A., Parental experience of prenatal diagnosis of lymphatic malformation, Lymphology, 50, pp. 16-26, (2017); WHO Guidance on Research Methods for Health Emergency and Disaster Risk Management, (2021); Freeman WD, Sanghavi DK, Sarab MS, Et al., Robotics in simulated COVID-19 patient room for health care worker effector tasks: preliminary, feasibility experiments, Mayo Clin Proc Innov Qual Outcomes, 5, pp. 161-170, (2021); Sayed AS, Ammar HH, Shalaby R., Centralized multi-agent mobile robots SLAM and navigation for COVID-19 field hospitals, 2020 2nd Novel Intelligent and Leading Emerging Sciences Conference (NILES), pp. 444-449, (2020); Naumann S, Dick M, Kern E, Et al., The GREENSOFT model: a reference model for green and sustainable software and its engineering, Sustain Comput, 1, pp. 294-304, (2011); Environmentally sustainable health systems: a strategic document, (2017); Berkhout F, Hertin J., Impacts of Information and Communication Technologies on Environmental Sustainability: Speculations and Evidence, (2001); Verdecchia R, Lago P, Ebert C, Et al., Green IT and green software, IEEE Softw, 38, pp. 7-15, (2021); Javed A, Shahid MA, Sharif M YM., Energy consumption in mobile phones, Int J Comput Netw Inf Secur, 9, pp. 18-28, (2017); Garcia-Berna JA, Fernandez-Aleman JL, de Gea JMC, Et al., Energy efficiency in software: a case study on sustainability in personal health records, J Clean Prod, 282, (2021); Procaccianti G, Morisio M, Ardito K, Et al., Profiling power consumption on desktop computer systems, Information and Communication on Technology for the Fight against Global Warming. ICT-GLOW 2011. Lecture Notes in Computer Science, 6868, (2011); Salam U, Khan SU., Developing green and sustainable software: success factors for vendors, 2016 7th IEEE International Conference on Software Engineering and Service Science (ICSESS), (2016); Ibrahim SRA, Yahaya J, Sallehudin H, Et al., Green software process assessment: the theoretical framework, Turk J Comput Math Educ, 12, pp. 2011-2016, (2021); McCool J, Dobson R, Muinga N, Et al., Factors influencing the sustainability of digital health interventions in low-resource settings: lessons from five countries, J Glob Health, 10, (2020); Sijm-Eeken ME, Arkenaar W, Jaspers MW, Et al., Medical informatics and climate change: a framework for modeling green healthcare solutions, J Am Med Inform Assoc, 29, pp. 2083-2088, (2022)</t>
  </si>
  <si>
    <t xml:space="preserve">Z. Lokmic-Tomkins; School of Nursing and Midwifery, Monash University, Melbourne, Australia; email: zerina.tomkins@monash.edu</t>
  </si>
  <si>
    <t xml:space="preserve">2312508X</t>
  </si>
  <si>
    <t xml:space="preserve">ERS Monogr.</t>
  </si>
  <si>
    <t xml:space="preserve">2-s2.0-85187100941</t>
  </si>
  <si>
    <t xml:space="preserve">Usuda J.N.; Plaça D.R.; Fonseca D.L.M.; Marques A.H.C.; Filgueiras I.S.; Chaves V.G.B.; Adri A.S.; Torrentes-Carvalho A.; Hirata M.H.; Freire P.P.; Catar R.; Cabral-Miranda G.; Schimke L.F.; Moll G.; Cabral-Marques O.</t>
  </si>
  <si>
    <t xml:space="preserve">Usuda, Júlia Nakanishi (57862208300); Plaça, Desirée Rodrigues (57194203962); Fonseca, Dennyson Leandro M. (57224745464); Marques, Alexandre H. C. (57204944809); Filgueiras, Igor Salerno (57214758945); Chaves, Victor Gabriel Bastos (58547003700); Adri, Anny Silva (58547868600); Torrentes-Carvalho, Amanda (36017588100); Hirata, Mario Hiroyuki (7403352127); Freire, Paula Paccielli (57191484188); Catar, Rusan (8720781600); Cabral-Miranda, Gustavo (55986892000); Schimke, Lena F. (24437467900); Moll, Guido (41961439300); Cabral-Marques, Otavio (54784081900)</t>
  </si>
  <si>
    <t xml:space="preserve">57862208300; 57194203962; 57224745464; 57204944809; 57214758945; 58547003700; 58547868600; 36017588100; 7403352127; 57191484188; 8720781600; 55986892000; 24437467900; 41961439300; 54784081900</t>
  </si>
  <si>
    <t xml:space="preserve">Interferome signature dynamics during the anti-dengue immune response: a systems biology characterization</t>
  </si>
  <si>
    <t xml:space="preserve">Dengue virus (DENV) infection manifests as a febrile illness with three distinct phases: early acute, late acute, and convalescent. Dengue can result in clinical manifestations with different degrees of severity, dengue fever, dengue hemorrhagic fever, and dengue shock syndrome. Interferons (IFNs) are antiviral cytokines central to the anti-DENV immune response. Notably, the distinct global signature of type I, II, and III interferon-regulated genes (the interferome) remains uncharacterized in dengue patients to date. Therefore, we performed an in-depth cross-study for the integrative analysis of transcriptome data related to DENV infection. Our systems biology analysis shows that the anti-dengue immune response is characterized by the modulation of numerous interferon-regulated genes (IRGs) enriching, for instance, cytokine-mediated signaling (e.g., type I and II IFNs) and chemotaxis, which is then followed by a transcriptional wave of genes associated with cell cycle, also regulated by the IFN cascade. The adjunct analysis of disease stratification potential, followed by a transcriptional meta-analysis of the interferome, indicated genes such as IFI27, ISG15, and CYBRD1 as potential suitable biomarkers of disease severity. Thus, this study characterizes the landscape of the interferome signature in DENV infection, indicating that interferome dynamics are a crucial and central part of the anti-dengue immune response. Copyright © 2023 Usuda, Plaça, Fonseca, Marques, Filgueiras, Chaves, Adri, Torrentes-Carvalho, Hirata, Freire, Catar, Cabral-Miranda, Schimke, Moll and Cabral-Marques.</t>
  </si>
  <si>
    <t xml:space="preserve">10.3389/fimmu.2023.1243516</t>
  </si>
  <si>
    <t xml:space="preserve">https://www.scopus.com/inward/record.uri?eid=2-s2.0-85168705871&amp;doi=10.3389%2ffimmu.2023.1243516&amp;partnerID=40&amp;md5=d1b0958f8a390fa34a8859bf8f8c38f8</t>
  </si>
  <si>
    <t xml:space="preserve">Department of Clinical and Toxicological Analyses, School of Pharmaceutical Sciences, University of São Paulo, São Paulo, Brazil; Interunit PostGraduate Program on Bioinformatics, Institute of Mathematics and Statistics, University of São Paulo, São Paulo, Brazil; Departament of Immunology, Institute of Biomedical Sciences, University of São Paulo, São Paulo, Brazil; Departament of Immunobiology, Institute of Biology, Federal Fluminense University, Niterói, Brazil; Departament of Nephrology and Internal Intensive Care Medicine, Charité University Hospital, Berlin, Germany; Department of Medicine, Division of Molecular Medicine, University of São Paulo School of Medicine, São Paulo, Brazil; Laboratory of Medical Investigation 29, University of São Paulo School of Medicine, São Paulo, Brazil; Network of Immunity in Infection, Malignancy, Autoimmunity (NIIMA), Universal Scientific Education and Research Network (USERN), SP, São Paulo, Brazil</t>
  </si>
  <si>
    <t xml:space="preserve">Usuda J.N., Department of Clinical and Toxicological Analyses, School of Pharmaceutical Sciences, University of São Paulo, São Paulo, Brazil; Plaça D.R., Department of Clinical and Toxicological Analyses, School of Pharmaceutical Sciences, University of São Paulo, São Paulo, Brazil; Fonseca D.L.M., Interunit PostGraduate Program on Bioinformatics, Institute of Mathematics and Statistics, University of São Paulo, São Paulo, Brazil; Marques A.H.C., Departament of Immunology, Institute of Biomedical Sciences, University of São Paulo, São Paulo, Brazil; Filgueiras I.S., Departament of Immunology, Institute of Biomedical Sciences, University of São Paulo, São Paulo, Brazil; Chaves V.G.B., Department of Clinical and Toxicological Analyses, School of Pharmaceutical Sciences, University of São Paulo, São Paulo, Brazil; Adri A.S., Department of Clinical and Toxicological Analyses, School of Pharmaceutical Sciences, University of São Paulo, São Paulo, Brazil; Torrentes-Carvalho A., Departament of Immunobiology, Institute of Biology, Federal Fluminense University, Niterói, Brazil; Hirata M.H., Department of Clinical and Toxicological Analyses, School of Pharmaceutical Sciences, University of São Paulo, São Paulo, Brazil; Freire P.P., Department of Clinical and Toxicological Analyses, School of Pharmaceutical Sciences, University of São Paulo, São Paulo, Brazil, Departament of Immunology, Institute of Biomedical Sciences, University of São Paulo, São Paulo, Brazil; Catar R., Departament of Nephrology and Internal Intensive Care Medicine, Charité University Hospital, Berlin, Germany; Cabral-Miranda G., Departament of Immunology, Institute of Biomedical Sciences, University of São Paulo, São Paulo, Brazil; Schimke L.F., Departament of Immunology, Institute of Biomedical Sciences, University of São Paulo, São Paulo, Brazil, Department of Medicine, Division of Molecular Medicine, University of São Paulo School of Medicine, São Paulo, Brazil, Laboratory of Medical Investigation 29, University of São Paulo School of Medicine, São Paulo, Brazil; Moll G., Departament of Nephrology and Internal Intensive Care Medicine, Charité University Hospital, Berlin, Germany; Cabral-Marques O., Department of Clinical and Toxicological Analyses, School of Pharmaceutical Sciences, University of São Paulo, São Paulo, Brazil, Interunit PostGraduate Program on Bioinformatics, Institute of Mathematics and Statistics, University of São Paulo, São Paulo, Brazil, Departament of Immunology, Institute of Biomedical Sciences, University of São Paulo, São Paulo, Brazil, Department of Medicine, Division of Molecular Medicine, University of São Paulo School of Medicine, São Paulo, Brazil, Laboratory of Medical Investigation 29, University of São Paulo School of Medicine, São Paulo, Brazil, Network of Immunity in Infection, Malignancy, Autoimmunity (NIIMA), Universal Scientific Education and Research Network (USERN), SP, São Paulo, Brazil</t>
  </si>
  <si>
    <t xml:space="preserve">dengue; DENV; interferome; interferon; transcriptome</t>
  </si>
  <si>
    <t xml:space="preserve">Antiviral Agents; Cell Cycle; Cytokines; Humans; Interferons; Systems Biology; biological marker; interferon; antivirus agent; cytokine; acute myeloid leukemia; Article; bioinformatics; cytokine signaling; dengue; dengue hemorrhagic fever; dengue shock syndrome; Dengue virus; differential expression analysis; dynamic exercise; fever; gene expression; gene ontology; genetic marker; genetic transcription; human; immune response; interferon regulated gene; lipid metabolism; machine learning; metabolomics; metagenomics; mortality; peripheral blood mononuclear cell; phagocytosis; principal component analysis; receiver operating characteristic; signal transduction; systems biology; transcriptomics; cell cycle; genetics; meta analysis</t>
  </si>
  <si>
    <t xml:space="preserve">Antiviral Agents, ; Cytokines, ; Interferons, </t>
  </si>
  <si>
    <t xml:space="preserve">Center for Regenerative Therapies; PROEX, (88887.848413/2023-00); Horizon 2020 Framework Programme, H2020, (733006, 754995, 779293); Bone Cancer Research Trust, BCRT; Deutsche Forschungsgemeinschaft, DFG, (CA2816/1-1); Fundação de Amparo à Pesquisa do Estado de São Paulo, FAPESP, (2018/18886-9, 2020/11710-2, 2020/16246-2, 2021/03675-5, 2023/03841-8); Coordenação de Aperfeiçoamento de Pessoal de Nível Superior, CAPES; Bundesministerium für Bildung und Forschung, BMBF; Conselho Nacional de Desenvolvimento Científico e Tecnológico, CNPq, (102430/2022-5, 309482/2022-4); Berlin-Brandenburg School for Regenerative Therapies, BSRT, (GSC203); Berlin Institute of Health, BIH</t>
  </si>
  <si>
    <t xml:space="preserve">We thank the São Paulo Research Foundation (FAPESP) (grants: 2021/03675-5 to JU; 2020/16246-2 to DF; 2023/03841-8 to VC; 2020/11710-2 to DP; and 2018/18886-9 to OC-M) for financial support. We acknowledge the Brazilian Federal Agency for Support and Evaluation of Graduate Education (CAPES/PROEX) (grant 88887.848413/2023-00 to AA) and the National Council for Scientific and Technological Development (CNPq) Brazil (grants: 102430/2022-5 to LS; 309482/2022-4 to OC-M). The contributions by GM were made possible by funding from the German Federal Ministry for Education and Research (BMBF) and the German Research Foundation (DFG; project EXPAND-PD; CA2816/1-1) through the Berlin Institute of Health (BIH)-Center for Regenerative Therapies (BCRT) and the Berlin-Brandenburg School for Regenerative Therapies (BSRT, GSC203), respectively, and in part by the European Union’s Horizon 2020 Research and Innovation Program under grant agreements No 733006 (PACE) and 779293 (HIPGEN) and 754995 (EU-TRAIN). </t>
  </si>
  <si>
    <t xml:space="preserve">Harapan H., Michie A., Sasmono R.T., Imrie A., Dengue: A minireview, Viruses, 12, (2020); Ending the neglect to attain the Sustainable Development Goals: A road map for neglected tropical diseases 2021–2030. Overview, (2021); Guzman M.G., Gubler D.J., Izquierdo A., Martinez E., Halstead S.B., Dengue infection, Nat Rev Dis Primers, 2, (2016); Dengue: guidelines for diagnosis, treatment, prevention, and control, (2009); Sun P., Garcia J., Comach G., Vahey M.T., Wang Z., Forshey B.M., Et al., Sequential waves of gene expression in patients with clinically defined dengue illnesses reveal subtle disease phases and predict disease severity, PloS Negl Trop Dis, 7, (2013); Hoang L.T., Lynn D.J., Henn M., Birren B.W., Lennon N.J., Le P.T., Et al., The early whole-blood transcriptional signature of dengue virus and features associated with progression to dengue shock syndrome in Vietnamese children and young adults, J Virol, 84, (2010); Simmons C.P., Farrar J.J., van Vinh Chau N., Wills B., Dengue, New Engl J Med, 366, (2012); Kawai T., Akira S., Innate immune recognition of viral infection, Nat Immunol, 7, (2006); Mesev E.V., LeDesma R.A., Ploss A., Decoding type I and III interferon signalling during viral infection, Nat Microbiol, 4, (2019); Ngono A.E., Shresta S., Immune response to dengue and zika, Annu Rev Immunol, 36, pp. 279-308, (2018); Levy D.E., Marie I.J., Durbin J.E., Induction and function of type I and III interferon in response to viral infection, Curr Opin Virol, 1, (2011); Katze M.G., He Y., Gale M., Viruses and interferon: a fight for supremacy, Nat Rev Immunol, 2, (2002); Simmons C.P., Popper S., Dolocek C., Chau T.N.B., Griffiths M., Dung N.T.P., Et al., Patterns of host genome—Wide gene transcript abundance in the peripheral blood of patients with acute dengue hemorrhagic fever, J Infect Dis, 195, (2007); Tolfvenstam T., Lindblom A., Schreiber M.J., Ling L., Chow A., Ooi E.E., Et al., Characterization of early host responses in adults with dengue disease, BMC Infect Dis, 11, (2011); Kwissa M., Nakaya H.I., Onlamoon N., Wrammert J., Villinger F., Perng G.C., Et al., Dengue virus infection induces expansion of a CD14+CD16+ Monocyte population that stimulates plasmablast differentiation, Cell Host Microbe, 16, (2014); Elong Ngono A., Chen H.-W., Tang W.W., Joo Y., King K., Weiskopf D., Et al., Protective role of cross-reactive CD8 T cells against dengue virus infection, EBioMedicine, 13, (2016); Hsu Y.-L., Shi S.-F., Wu W.-L., Ho L.-J., Lai J.-H., Protective roles of interferon-induced protein with tetratricopeptide repeats 3 (IFIT3) in dengue virus infection of human lung epithelial cells, PloS One, 8, (2013); Perry S.T., Buck M.D., Lada S.M., Schindler C., Shresta S., STAT2 mediates innate immunity to dengue virus in the absence of STAT1 via the type I interferon receptor, PloS Pathog, 7, (2011); Jones M., Davidson A., Hibbert L., Gruenwald P., Schlaak J., Ball S., Et al., Dengue virus inhibits alpha interferon signaling by reducing STAT2 expression, J Virol, 79, (2005); Munoz-Jordan J.L., Sanchez-Burgos G.G., Laurent-Rolle M., Garcia-Sastre A., Inhibition of interferon signaling by dengue virus, Proc Natl Acad Sci U.S.A, 100, (2003); Hoang L.T., Lynn D.J., Henn M., Birren B.W., Lennon N.J., Le P.T., Et al., Whole blood gene expression in Vietnamese dengue patients. GEO accession GSE25001, (2010); Ling L., Tolfvenstam T., Lindblom A., Hibberd M.L., Genome-wide gene expression analysis of human whole-blood samples in in response to dengue disease. GEO accession GSE28405, (2011); Naim A.N., Tolfvenstam T., Lindblom A., Hibberd M.L., Global transcriptional assessment of consecutive samples from patients with dengue infection with association to dengue virus IgG serostatus. GEO accession GSE28988, (2014); Naim A.N., Tolfvenstam T., Fink K., Hibberd M.L., Genome-wide gene expression analysis of human whole-blood samples during acute dengue disease and early convalescence. GEO accession GSE28991, (2014); Sun P., Garcia J., Comach G., Vahey M.T., Wang Z., Forshey B.M., Et al., Sequential waves of gene expression in patients with clinically defined Dengue illnesses reveal subtle disease phases and predict disease severity. GEO accession GSE43777, (2013); Popper S., Dengue patients whole blood. GEO accession GSE40628, (2012); Nakaya H.I., Kwissa M., Pulendran B., Systems biological analysis of immunity to dengue. GEO accession GSE51808, (2014); Barrett T., Wilhite S.E., Ledoux P., Evangelista C., Kim I.F., Tomashevsky M., Et al., NCBI GEO: archive for functional genomics data sets—update, Nucleic Acids Res, 41, (2013); Ritchie M.E., Phipson B., Wu D., Hu Y., Law C.W., Shi W., Et al., limma powers differential expression analyses for RNA-sequencing and microarray studies, Nucleic Acids Res, 43, (2015); Rusinova I., Forster S., Yu S., Kannan A., Masse M., Cumming H., Et al., INTERFEROME v2.0: an updated database of annotated interferon-regulated genes, Nucleic Acids Res, 41, (2013); Krzywinski M.I., Schein J.E., Birol I., Connors J., Gascoyne R., Horsman D., Et al., Circos: An information aesthetic for comparative genomics, Genome Res, 19, (2009); Khan A., Mathelier A., Intervene: a tool for intersection and visualization of multiple gene or genomic region sets, BMC Bioinf, 18, (2017); Gould J., Morpheus, (2022); Chen E.Y., Tan C.M., Kou Y., Duan Q., Wang Z., Meirelles G.V., Et al., Enrichr: interactive and collaborative HTML5 gene list enrichment analysis tool, BMC Bioinf, 14, (2013); Supek F., Bosnjak M., Skunca N., Smuc T., REVIGO summarizes and visualizes long lists of gene ontology terms, PloS One, 6, (2011); Brunson J.C., ggalluvial: layered grammar for alluvial plots, J Open Source Softw, 5, (2020); Yu G., Wang L.-G., Han Y., He Q.-Y., clusterProfiler: an R package for comparing biological themes among gene clusters, OMICS: A J Integr Biol, 16, (2012); Zhou G., Soufan O., Ewald J., Hancock R.E.W., Basu N., Xia J., NetworkAnalyst 3.0: a visual analytics platform for comprehensive gene expression profiling and meta-analysis, Nucleic Acids Res, 47, (2019); Ringner M., What is principal component analysis, Nat Biotechnol, 26, (2008); Trendafilov N., Gallo M., PCA and other dimensionality-reduction techniques, International Encyclopedia of Education (Fourth Edition), (2023); Kassambara A., Mundt F., factoextra: Extract and Visualize the Results of Multivariate Data Analyses, (2020); Wickham H., ggplot2: Elegant Graphics for Data Analysis, (2016); Attali D., Baker C., ggExtra: Add Marginal Histograms to “ggplot2”, and More “ggplot2” Enhancements, (2022); Breiman L., Random forests, Mach Learn, 45, pp. 5-32, (2001); Liaw A., Wiener M., Classification and regression by randomForest, R News, 2, pp. 18-22, (2002); Leek J.T., Johnson W.E., Parker H.S., Jaffe A.E., Storey J.D., The sva package for removing batch effects and other unwanted variation in high-throughput experiments, Bioinformatics, 28, (2012); Prado CA de S., Fonseca D.L.M., Singh Y., Filgueiras I.S., Baiocchi G.C., Placa D.R., Et al., Integrative systems immunology uncovers molecular networks of the cell cycle that stratify COVID-19 severity, J Med Virol, 95, (2023); Sayers E.W., Bolton E.E., Brister J.R., Canese K., Chan J., Comeau D.C., Et al., Database resources of the national center for biotechnology information, Nucleic Acids Res, 50, (2021); UniProt: the universal protein knowledgebase in 2021, Nucleic Acids Res, 49, (2021); Ank N., West H., Bartholdy C., Eriksson K., Thomsen A.R., Paludan S.R., Lambda Interferon (IFN-λ), a type III IFN, is induced by viruses and IFNs and displays potent antiviral activity against select virus infections in vivo, J Virol, 80, (2006); Vilcek J., Novel interferons, Nat Immunol, 4, pp. 8-9, (2003); Stetson D.B., Medzhitov R., Type I interferons in host defense, Immunity, 25, (2006); Lee A.J., Ashkar A.A., The dual nature of type I and type II interferons, Front Immunol, 9, (2018); De La Cruz Hernandez S.I., Puerta-Guardo H., Flores-Aguilar H., Gonzalez-Mateos S., Lopez-Martinez I., Ortiz-Navarrete V., Et al., A strong interferon response correlates with a milder dengue clinical condition, J Clin Virol, 60, (2014); Shresta S., Kyle J.L., Snider H.M., Basavapatna M., Beatty P.R., Harris E., Interferon-dependent immunity is essential for resistance to primary dengue virus infection in mice, whereas T- and B-cell-dependent immunity are less critical, J Virol, 78, (2004); Munoz-Jordan J.L., Subversion of interferon by dengue virus, Curr Top Microbiol Immunol, 338, pp. 35-44, (2010); Becquart P., Wauquier N., Nkoghe D., Ndjoyi-Mbiguino A., Padilla C., Souris M., Et al., Acute dengue virus 2 infection in Gabonese patients is associated with an early innate immune response, including strong interferon alpha production, BMC Infect Dis, 10, (2010); Chong M.K., Ng M.L., Significance of cell cycle manipulation in the establishment of dengue virus and west Nile virus infection, Int J Infect Dis, 12, (2008); Murgue B., Cassar O., Guigon M., Chungue E., Dengue virus inhibits human hematopoietic progenitor growth in vitro, J Infect Dis, 175, (1997); Kurane I., Innis B.L., Nimmannitya S., Nisalak A., Meager A., Ennis F.A., High levels of interferon alpha in the sera of children with dengue virus infection, Am J Trop Med Hyg, 48, (1993); Green S., Vaughn D.W., Kalayanarooj S., Nimmannitya S., Suntayakorn S., Nisalak A., Et al., Early immune activation in acute dengue illness is related to development of plasma leakage and disease severity, J Infect Dis, 179, (1999); Sun S., Zhang X., Tough D., Sprent J., Multiple effects of immunostimulatory DNA on T cells and the role of type I interferons, Springer Semin Immunopathol, 22, pp. 77-84, (2000); Becker S., Interferon-γ accelerates immune proliferation via its effect on monocyte HLA-DR expression, Cell Immunol, 91, (1985); Schoggins J.W., Wilson S.J., Panis M., Murphy M.Y., Jones C.T., Bieniasz P., Et al., A diverse range of gene products are effectors of the type I interferon antiviral response, Nature, 472, (2011); Zanini F., Robinson M.L., Croote D., Sahoo M.K., Sanz A.M., Ortiz-Lasso E., Et al., Virus-inclusive single-cell RNA sequencing reveals the molecular signature of progression to severe dengue, Proc Natl Acad Sci U.S.A, 115, (2018); Jiang C., He C., Kan J., Guan H., Zhou T., Yang Y., Integrative bulk and single-cell transcriptome profiling analysis reveals IFI27 as a novel interferon-stimulated gene in dengue, J Med Virol, 95, (2023); Monaco G., Lee B., Xu W., Mustafah S., Hwang Y.Y., Carre C., Et al., RNA-seq signatures NorMalized by mRNA abundance allow absolute deconvolution of human immune cell types, Cell Rep, 26, pp. 1627-1640, (2019); Meertens L., Carnec X., Lecoin M.P., Ramdasi R., Guivel-Benhassine F., Lew E., Et al., The TIM and TAM families of phosphatidylserine receptors mediate dengue virus entry, Cell Host Microbe, 12, (2012); Jain A., Chaturvedi U.C., Dengue in infants: an overview, FEMS Immunol Med Microbiol, 59, (2010); Soo K.-M., Khalid B., Ching S.-M., Chee H.-Y., Meta-analysis of dengue severity during infection by different dengue virus serotypes in primary and secondary infections, PloS One, 11, (2016); Fialho L.G., Torrentes-Carvalho A., Cunha R.V., Faria N., Gandini M., Cipitelli M., Et al., Induced nitric oxide synthase (iNOS) and indoleamine 2,3-dioxygenase (IDO) detection in circulating monocyte subsets from Brazilian patients with Dengue-4 virus, Virol Rep, 7, pp. 9-19, (2017); Carabali M., Hernandez L.M., Arauz M.J., Villar L.A., Ridde V., Why are people with dengue dying? A scoping review of determinants for dengue mortality, BMC Infect Dis, 15, (2015); Te H., Sriburin P., Rattanamahaphoom J., Sittikul P., Hattasingh W., Chatchen S., Et al., Association between nutritional status and dengue severity in Thai children and adolescents, PloS Negl Trop Dis, 16, (2022)</t>
  </si>
  <si>
    <t xml:space="preserve">J.N. Usuda; Department of Clinical and Toxicological Analyses, School of Pharmaceutical Sciences, University of São Paulo, São Paulo, Brazil; email: julia.usuda@usp.br; D.R. Plaça; Department of Clinical and Toxicological Analyses, School of Pharmaceutical Sciences, University of São Paulo, São Paulo, Brazil; email: desiree.placa@usp.br; O. Cabral-Marques; Department of Clinical and Toxicological Analyses, School of Pharmaceutical Sciences, University of São Paulo, São Paulo, Brazil; email: otavio.cmarques@usp.br</t>
  </si>
  <si>
    <t xml:space="preserve">2-s2.0-85168705871</t>
  </si>
  <si>
    <t xml:space="preserve">Pereira D.B.; Martins J.G.; Oliveira M.S.; Lima-Júnior R.S.; Rocha L.C.; Andrade S.L.; Procópio R.E.L.</t>
  </si>
  <si>
    <t xml:space="preserve">Pereira, D.B. (58751503400); Martins, J.G. (57200504741); Oliveira, M.S. (58751475600); Lima-Júnior, R.S. (58751488300); Rocha, L.C. (58359405800); Andrade, S.L. (58751428800); Procópio, R.E.L. (35273374600)</t>
  </si>
  <si>
    <t xml:space="preserve">58751503400; 57200504741; 58751475600; 58751488300; 58359405800; 58751428800; 35273374600</t>
  </si>
  <si>
    <t xml:space="preserve">Leishmanicidal activity of the venoms of the Scorpions Brotheas amazonicus and Tityus metuendus; [Atividade leishmanicida dos venenos dos escorpiões Brotheas amazonicus e Tityus metuendus]</t>
  </si>
  <si>
    <t xml:space="preserve">Leishmaniasis is a vector-transmitted zoonosis caused by different species of the genus Leishmania, with a wide clinical spectrum. It is a public health problem aggravated by a series of limitations regarding treatment. In the search for new therapeutic alternatives, scorpion venoms are a source of multifunctional molecules that act against the natural resistance of pathogens. This work evaluated the antileishmanial potential of Brotheas amazonicus and Tityus metuendus venoms against the promastigote forms of Leishmania amazonensis e Leishmania guyanensis. The venoms of B. amazonicus and T. metuendus were evaluated for their constituents using Fourier Transform Infrared (FTIR). Growth inhibition and death of promastigotes were evaluated in the presence of diferente crude venom concentrations (100 µg/mL, 50 µg/mL, 10 µg/mL, 1 µg/mL) after one hour of incubation at 25 °C. The FTIR spectra of both venoms exhibited bands in approximate regions, revealing that both exhibit similar functional groups. Crude venom from both scorpion species showed similar or superior leishmanicidal effects to the standart drug N-methylglucamine antimoniate. At the highest concentration of 100 µg/mL, cultures of L. guyanensis treated with the venom of B. amazonicus showed the highest mortality percentages, above 28%, while T. metuendus venom showed the highest activity against L. amazonensis, with mortality above 7%. This preliminar study demonstrates that B. amazonicus and T. metuendus venoms can be important tools in the search for new drugs Against leishmaniasis. Next step involves evaluating the activity against the amastigote forms and purifying the venom proteins in order to identify the best anti-leishmania candidates. © 2023, Instituto Internacional de Ecologia. All rights reserved.</t>
  </si>
  <si>
    <t xml:space="preserve">Brazilian Journal of Biology</t>
  </si>
  <si>
    <t xml:space="preserve">Instituto Internacional de Ecologia</t>
  </si>
  <si>
    <t xml:space="preserve">e276872</t>
  </si>
  <si>
    <t xml:space="preserve">10.1590/1519-6984.276872</t>
  </si>
  <si>
    <t xml:space="preserve">https://www.scopus.com/inward/record.uri?eid=2-s2.0-85179018170&amp;doi=10.1590%2f1519-6984.276872&amp;partnerID=40&amp;md5=93c585007bef094b80f9f97909403e15</t>
  </si>
  <si>
    <t xml:space="preserve">Universidade do Estado do Amazonas – UEA, Escola Superior de Ciências da Saúde – ESA, AM, Manaus, Brazil; Instituto Nacional de Pesquisas da Amazônia – INPA, AM, Manaus, Brazil; Universidade do Estado do Amazonas – UEA, Escola Normal Superior – ENS, AM, Manaus, Brazil</t>
  </si>
  <si>
    <t xml:space="preserve">Pereira D.B., Universidade do Estado do Amazonas – UEA, Escola Superior de Ciências da Saúde – ESA, AM, Manaus, Brazil; Martins J.G., Instituto Nacional de Pesquisas da Amazônia – INPA, AM, Manaus, Brazil; Oliveira M.S., Universidade do Estado do Amazonas – UEA, Escola Superior de Ciências da Saúde – ESA, AM, Manaus, Brazil; Lima-Júnior R.S., Universidade do Estado do Amazonas – UEA, Escola Normal Superior – ENS, AM, Manaus, Brazil; Rocha L.C., Universidade do Estado do Amazonas – UEA, Escola Superior de Ciências da Saúde – ESA, AM, Manaus, Brazil; Andrade S.L., Universidade do Estado do Amazonas – UEA, Escola Superior de Ciências da Saúde – ESA, AM, Manaus, Brazil; Procópio R.E.L., Universidade do Estado do Amazonas – UEA, Escola Superior de Ciências da Saúde – ESA, AM, Manaus, Brazil</t>
  </si>
  <si>
    <t xml:space="preserve">Brazilian Amazon; cutaneus leishmaniasis; Leishmania amazonenses; Leishmania guyanensis</t>
  </si>
  <si>
    <t xml:space="preserve">Animals; Humans; Leishmaniasis; Scorpions; Venoms; venom; animal; human; leishmaniasis; scorpion</t>
  </si>
  <si>
    <t xml:space="preserve">Venoms, </t>
  </si>
  <si>
    <t xml:space="preserve">Fundação de Amparo à Pesquisa do Estado do Amazonas, FAPEAM; Universidade do Estado do Amazonas, UEA</t>
  </si>
  <si>
    <t xml:space="preserve">The authors gratefully acknowledge Universidade do Estado do Amazonas - UEA, and Fundação de Amparo à Pesquisa do Estado do Amazonas - FAPEAM for supporting this research.</t>
  </si>
  <si>
    <t xml:space="preserve">ALEMAYEHU B., ALEMAYEHU M., Leishmaniasis: a review on parasite, vector and reservoir host, Health Science Journal, 11, 4, (2017); ALMAAYTAH A., ALBALAS Q., Scorpion venom peptides with no disulfide bridges: a review, Peptides, 51, pp. 35-45, (2014); ALVES T.D.A., In vitro evaluation of the leishmanicida activity of fungi isolated from soil samples from the Amazon region, (2019); ANVERSA L., TIBURCIO M.G.S., RICHINI-PEREIRA V.B., RAMIREZ L.E., Human leishmaniasis in Brazil: a general review, Revista da Associação Médica Brasileira, 64, 3, pp. 281-289, (2018); BATISTA C.V.F., MARTINS J.G., RESTANO-CASSULINI R., CORONAS F.I.V., ZAMUDIO F.Z., PROCOPIO R., POSSANI L.D., Venom characterization of the Amazonian scorpion Tityus metuendus, Toxicon, 143, pp. 51-58, (2018); BERTANI R., GIUPPONI A.P.L., MORENO-GONZALES J.A., Escorpiões do Brasil: lista dos gêneros e espécies de escorpiões registrados para o Brasil (Arachnida, Scorpiones), (2021); BORGES A., DELGADO O., SILVA S., BRAVO J., VELASCO E., ASTUDILLO L.R., SOUZA L., Isolation and characterization of a peptide from the venom of Tityus gonzalespongai (scorpions, Buthidae) with activity of Leishmania (Leishmania) mexicana promastigotes, Saber, 25, 4, pp. 399-413, (2013); BORGES A., SILVA S., OP DEN CAMP H.J., VELASCO E., ALVAREZ M., ALFONZO M.J., JORQUERA A., SOUSA L., DELGADO O., In vitro leishmanicidal activity of Tityus discrepans scorpion venom, Parasitology Research, 99, 2, pp. 167-173, (2006); Doenças tropicais negligenciadas, (2021); BRAZIL T.K., PORTO T.J., Os escorpiões, (2010); CAMPOS J.F.D.F., In vitro leishmanicida action of miltefosine on promastigote forms of Leishmania (Leishmania) amazonensis, Leishmania (Viannia) guyanensis, Leishmania (Viannia) braziliensis and na in vitro study of its efficacy in the treatment of experimental cutaneous leishmaniasis, (2008); CARVALHO S.H., FREZARD F., PEREIRA N.P., MOURA A.S., RAMOS L.M.Q.C., CARVALHO G.B., ROCHA M.O.C., American tegumentary leishmaniasis in Brazil: a critical review of the current therapeutic approach with systemic meglumine antimoniate and short-term possibilities for an alternative treatment, Tropical Medicine &amp; International Health, 24, 4, pp. 380-391, (2019); COATES J., Interpretation of infrared spectra, a practical approach, Encyclopedia of analytical chemistry, pp. 10-11, (2000); DU Q., HOU X., WANG L., ZHANG Y., XI X., WANG H., ZHOU M., DUAN J., WEI M., CHEN T., SHAW C., AaeAP1 and AaeAP2: novel antimicrobial peptides from the venom of the scorpion, Androctonus aeneas: structural characterisation, molecular cloning of biosynthetic precursor-encoding cDNAs and engineering of analogues with enhanced antimicrobial and anticancer activities, Toxins, 7, 2, pp. 219-237, (2015); DUENAS-CUELLAR R.A., KUSHMERICK C., NAVES L.A., BATISTA I.F., GUERRERO-VARGAS J.A., PIRES JUNIOR O.R., Cm38: a new antimicrobial peptide active against Klebsiella pneumoniae is homologus to Cn11, Protein and Peptide Letters, 22, 2, pp. 164-172, (2015); GHORBAN DADRAS O., MIR MOHAMMAD SADEGHI A., FARHANGIL N., FOROUHAR N., MOHAMMADPOUR N., AVADI M.R., Preparation, characterization and in vitro studies of chitosan nanoparticles containing Androctonus crassicauda scorpion venom, Journal of Applied Chemical Research, 7, 3, pp. 35-46, (2013); GOMEZ RAVE L.J., MUNOZ BRAVO A.X., SERRA CASTRILLO J., ROMAN MARIN L.M., CORREDOR PEREIRA C., Scorpion venom: new promise in the treatment of cancer, Acta Biologica Colombiana, 24, 2, pp. 213-223, (2019); HIGA A., NORONHA M.D., LOPEZ-LOZANO J.L., Degradation of Aα and Bβ chains from bovine fibrinogen by serine proteases of the Amazonian scorpion Brotheas amazonicus, BMC Proceedings, 8, (2014); IHSANULLAH M., YOUSUF M.J., AHMAD N., MASOOD Z., MAJEED S., HASSAN H.U., IBRAHIM M., KHOOHARO A.R., KHOOHARO E., MASTOI A.H., ZAFAR N., SHAIKH F.M., Prevalence of cutaneous leishmaniasis in the largest populated city Karachi, Pakistan, Brazilian Journal of Biology = Revista Brasileira de Biologia, 83, (2023); MANDAL G., MANDAL S., SHARMA M., CHARRET K. S., PAPADOPOULOU B., BHATTACHARJEE H., MUKHOPADHYAY R., Species-specific antimonial sensitivity in Leishmania is driven by post-transcriptional regulation of AQP1, PLoS Neglected Tropical Diseases, 9, 2, (2015); MARQUES S.A., MERLOTTO M.R., RAMOS P.M., MARQUES M., American tegumentary leishmaniasis: severe side effects of pentavalent antimonial in a patient with chronic renal failure, Anais Brasileiros de Dermatologia, 94, 3, pp. 355-357, (2019); MARQUES-NETO L.M., TRENTINI M.M., NEVES R.C., RESENDE D.P., PROCOPIO V.O., COSTA A.C., KIPNIS A., MORTARI M.R., SCHWARTZ E.F., JUNQUEIRA-KIPNIS A.P., Antimicrobial and chemotactic activity of scorpion-derived peptide, ToAP2, against Mycobacterium massiliensis, Toxins, 10, 6, (2018); MARTINS J.G., SANTOS G.C., PROCOPIO R.E.L., ARANTES E.C., BORDON K.C.F., Scorpion species of medical importance in the Brazilian Amazon: a review to identify knowledge gaps, The Journal of Venomous Animals and Toxins Including Tropical Diseases, 27, (2021); NUNES D.C., FIGUEIRA M.M., LOPES D.S., SOUZA D.L., IZIDORO L.F., FERRO E.A., SOUZA M.A., RODRIGUES R.S., RODRIGUES V.M., YONEYAMA K.A., BnSP-7 toxin, a basic phospholipase A2 from Bothrops pauloensis snake venom, interferes with proliferation, ultrastructure and infectivity of Leishmania (Leishmania) amazonensis, Parasitology, 140, 7, pp. 844-854, (2013); OLIVEIRA R.S., PIMENTEL K.B.A., MOURA M.L., ARAGAO C.F., GUIMARAES-E-SILVA A.S., BEZERRA J.M.T., MELO M.N., PINHEIRO V.C.S., Clinical, epidemiological and climatic factors related to the occurrence of cutaneous leishmaniasis in an endemic area in northeastern Brazil, Brazilian Journal of Biology = Revista Brasileira de Biologia, 81, 3, pp. 557-565, (2021); Leishmaniasis: epidemiological report of the Americas [online], (2019); PINHO N., WISNIEWSKI J.R., DIAS-LOPES G., SABOIA-VAHIA L., BOMBACA A.C.S., MESQUITA-RODRIGUES C., MENNA-BARRETO R., CUPOLILLO E., JESUS J.B., PADRON G., CUERVO P., In-depth quantitative proteomics uncovers specie-specific metabolic programs in Leishmania (Viannia) species, PLoS Neglected Tropical Diseases, 14, 8, (2020); RINALDI S., VIANNA R.M., GOULART P.D.S., DUARTE A.C., Biological activities and antitumor action of peptides isolated from scorpion venom of the genus Tityus: a review, Brazilian Journal of Health and Pharmacy, 3, 2, pp. 1-14, (2021); SOLANO-GODOY J.A., GONZALEZ-GOMEZ J.C., TORRES-BONILLA K.A., FLORIANO R.S., MIGUEL A.T.S.F., MURILLO-ARANGO W., Comparison of biological activities of Tityus pachyurus venom from two Colombian regions, The Journal of Venomous Animals and Toxins Including Tropical Diseases, 27, (2021); SOUZA W.D., Electron microscopy techniques applied to Biological Sciences, (2007); SUNTER J., GULL K., Shape, form, function and Leishmania pathogenicity: from textbook descriptions to biological understanding, Open Biology, 7, 9, (2017); TELES G.D.C., FONSECA F.R., GONCALVES M.J.F., American tegumentary leishmaniasis in the Brazilian Amazon from 2010 to 2014, Revista do Instituto de Medicina Tropical de São Paulo, 61, (2019); TEMPONE A.G., ANDRADE JUNIOR H.F., Bothrops moojeni venom kills Leishmania spp. with hydrogen peroxide generated by its L-amino acid oxidase, Biochemical and Biophysical Research Communications, 280, 3, pp. 620-624, (2001); YILDIZ ZEYREK F., TOPRAK S., OKTEM OKULLU S., GURSES G., YENTUR DONI N., KURT O., Kara Akrep (Androctonus crassicauda) venomunun Leishmania tropica promastigotları üzerindeki in vitro etkinliği [in vitro efficacy of the venome of Black Scorpion (Androctonus crassicauda) on Leishmania tropica promastigotes, Mikrobiyoloji Bulteni, 55, 4, pp. 635-641, (2021); ZHAO Z.L., SHU T., FENG X.Q., Study of biomechanical, anatomical, and physiological properties of scorpion stingers for developing biomimetic materials, Materials Science and Engineering C, 58, pp. 1112-1121, (2016)</t>
  </si>
  <si>
    <t xml:space="preserve">R.E.L. Procópio; Universidade do Estado do Amazonas – UEA, Escola Superior de Ciências da Saúde – ESA, Manaus, AM, Brazil; email: rudiprocopio@gmail.com</t>
  </si>
  <si>
    <t xml:space="preserve">Braz. J. Biol.</t>
  </si>
  <si>
    <t xml:space="preserve">2-s2.0-85179018170</t>
  </si>
  <si>
    <t xml:space="preserve">de Arias A.R.; Borges A.; Cortes D.D.</t>
  </si>
  <si>
    <t xml:space="preserve">de Arias, Antonieta Rojas (57211203350); Borges, Adolfo (23392145800); Cortes, Diego Dorigo (58695420400)</t>
  </si>
  <si>
    <t xml:space="preserve">57211203350; 23392145800; 58695420400</t>
  </si>
  <si>
    <t xml:space="preserve">Luring Triatomines (Hemiptera: Reduviidae) into a Trap: Aliphatic and Aromatic Aldehydes as Attractants of Triatoma infestans</t>
  </si>
  <si>
    <t xml:space="preserve">1 to Triatoma infestans, the Chagas disease vector, laboratory tests were conducted using individual compounds and mixtures to evaluate their potential use in baited traps for intradomicile population dynamics analysis. Commercial samples of hexanal, nonanal, and benzaldehyde were used at 95% purity. The experiments were performed at 25C and 65% relative humidity using two procedures: a glass arena with filter papers impregnated with 1, 5, and 10 mL of the tested compounds and a double-choice olfactometer. Attraction was scored positively if the insect remained more than 30 seconds on one of the surfaces. The results of the study showed that hexanal was attractive to females at higher concentrations (5–10 mL; P, 0.0001), and IV instar nymphs were only attracted at the highest concentration (10 mL; P, 0.01). Nonanal was attractive to IV instar nymphs at 1 and 5 mL (P, 0.0001), whereas males and females were more attracted at 1 mL (P, 0.01 and P, 0.05, respectively). Benzaldehyde showed significant differences with respect to controls, attracting females at low concentrations (1 mL; P, 0.0001) and IV instar nymphs at 5 and 10 mL (P, 0.0001 and P, 0.001, respectively). In the olfactometer, the 60:40 hexanal/nonanal mixture was the most effective. In conclusion, this study demonstrated that the aliphatic and aromatic aldehydes studied here, both individually and in mixtures, could be used as effective attractants for T. infestans in intradomicile-baited traps. These results suggest that mixtures of these compounds could be implemented in field trials for Chagas disease surveillance. © 2023 American Society of Tropical Medicine and Hygiene. All rights reserved.</t>
  </si>
  <si>
    <t xml:space="preserve">10.4269/ajtmh.23-0277</t>
  </si>
  <si>
    <t xml:space="preserve">https://www.scopus.com/inward/record.uri?eid=2-s2.0-85176494943&amp;doi=10.4269%2fajtmh.23-0277&amp;partnerID=40&amp;md5=d69c9c7624bbb3fb87e796fca2bf0ea2</t>
  </si>
  <si>
    <t xml:space="preserve">Centro para el Desarrollo de la Investigacion Cientıfica, Manduvira 635 between 15 de agosto and O’Leary, Asuncion, Paraguay; Centro para el Desarrollo de la Investigacion Cientıfica (CEDIC), Manduvira 635 entre 15 de agosto y Oleary, Asuncion, 1255, Paraguay</t>
  </si>
  <si>
    <t xml:space="preserve">de Arias A.R., Centro para el Desarrollo de la Investigacion Cientıfica, Manduvira 635 between 15 de agosto and O’Leary, Asuncion, Paraguay, Centro para el Desarrollo de la Investigacion Cientıfica (CEDIC), Manduvira 635 entre 15 de agosto y Oleary, Asuncion, 1255, Paraguay; Borges A., Centro para el Desarrollo de la Investigacion Cientıfica, Manduvira 635 between 15 de agosto and O’Leary, Asuncion, Paraguay; Cortes D.D., Centro para el Desarrollo de la Investigacion Cientıfica, Manduvira 635 between 15 de agosto and O’Leary, Asuncion, Paraguay</t>
  </si>
  <si>
    <t xml:space="preserve">Animals; Benzaldehydes; Chagas Disease; Female; Humans; Male; Triatoma; aldehyde; benzaldehyde; benzaldehyde derivative; n-hexanal; nonanal; Article; Chagas disease; concentration (parameter); controlled study; experiment; female; humidity; male; monitoring; nonhuman; nymph; Reduviidae; Triatoma infestans; animal; Chagas disease; human; Triatoma</t>
  </si>
  <si>
    <t xml:space="preserve">benzaldehyde, 100-52-7; nonanal, 124-19-6; benzaldehyde, ; Benzaldehydes, ; n-hexanal, ; nonanal, </t>
  </si>
  <si>
    <t xml:space="preserve">MERCOSUR, (03/11); Mercosur FOCEM; Consejo Nacional de Ciencia y Tecnología, CONACYT, (2014 PINV 037); Consejo Nacional de Ciencia y Tecnología, CONACYT</t>
  </si>
  <si>
    <t xml:space="preserve">Financial support: This study received financial support from and CONACyT Project 2014 PINV 037, the Structural Convergence Funds from Mercosur FOCEM/MERCOSUR COF N°03/11.</t>
  </si>
  <si>
    <t xml:space="preserve">Guerenstein PG, Guerin PM, Olfactory responses of the blood-sucking bug Triatoma infestans to odours of vertebrate hosts, J Exp Biol, 204, (2001); Syed Z, Chemical ecology and olfaction in arthropod vectors of diseases, Curr Opin Insect Sci, 10, pp. 83-89, (2015); Liu F, Chen Z, Ye Z, Liu N, The olfactory chemosensation of hematophagous hemipteran insects, Front Physiol, 12, (2021); Abad-Franch F, Noireau F, Paucar A, Aguilar HM, Carpio C, Racines J, The use of live-bait traps for the study of sylvatic Rhodnius populations (Hemiptera: Reduviidae) in palm trees, Trans R Soc Trop Med Hyg, 94, pp. 629-630, (2000); Noireau F, Et al., Trapping triatominae in sylvatic habits, Mem Inst Oswaldo Cruz, 97, pp. 61-63, (2002); Forlani L, Pedrini N, Girotti JR, Mijailovsky SJ, Cardozo RM, Gentile AG, Hernandez-Su arez CM, Rabinovich JE, Juarez MP, Biological control of the Chagas disease vector Triatoma infestans with the entomopathogenic fungus Beauveria bassiana combined with an aggregation cue: field, laboratory and mathematical modeling assessment, PLoS Negl Trop Dis, 9, (2015); Eliceche DP, Achinelly MF, Silvestre C, Micieli MV, Marti GA., Entomopathogenic nematodes (Heterorhabditidae and Steinernematidae), to control Triatoma infestans populations (Hemiptera: Reduviidae), Chagas disease vector, Biol Control, 165, (2022); Guerenstein PG, Lorenzo MG, Nunez J, Lazzari CR, Baker’s yeast, an attractant for baiting traps for Chagas’ disease vectors, Experientia, 51, pp. 834-837, (1995); Lorenzo MG, Reisenman CE, Lazzari CR, Triatoma infestans can be captured under natural conditions using yeast-baited traps, Acta Trop, 70, pp. 277-284, (1998); Pedrini N, Mijailovsky SJ, Girotti JR, Stariolo R, Cardozo RM, Gentile A, Juarez MP, Control of pyrethroid-resistant Chagas disease vectors with entomopathogenic fungi, PLoS Negl Trop Dis, 3, (2009); Mota T, Et al., A multi-species bait for Chagas disease vectors, PLoS Negl Trop Dis, 8, (2014); Barrozo RB, Lazzari CR, Orientation behaviour of the blood-sucking bug Triatoma infestans to short- chain fatty acids: synergistic effect of L-lactic acid and carbon dioxide, Chem Senses, 29, pp. 833-841, (2004); Milne MA, Ross EJ, Sonenshine DE, Kirsch P, Attraction of Triatoma dimidiata and Rhodnius prolixus (Hemiptera: Reduviidae) to combinations of host cues tested at two distances, J Med Entomol, 46, pp. 1062-1073, (2009); Cardozo M, Fiad FG, Crocco LB, Gorla DE., Attraction of Triatoma infestans (Klug) to adhesive yeast-baited trap under laboratory conditions, Int J Trop Insect Sci, 40, pp. 209-215, (2020); Ryelandt J, Noireau F, Lazzari CR, A multimodal bait for trapping blood-sucking arthropods, Acta Trop, 117, pp. 131-136, (2011); Fontan A, Gonzales Audino P, Martinez A, Alzogaray RA, Zerba EN, Camps F., Cork A., Attractant volatiles released by female and male Triatoma infestans (Hemiptera: Reduviidae), a vector of Chagas disease: chemical analysis behavioral bioassay, J Med Entomol, 39, pp. 191-197, (2002); Rojas de Arias A, Abad-Franch F, Acosta N, Lopez E, Gonzalez N, Zerba E, Tarelli G, Masuh H, Post-control surveillance of Triatoma infestans and Triatoma sordida with chemically-baited sticky traps, PLoS Negl Trop Dis, 6, (2012); Minoli S, Palottini F, Crespo JG, Manrique G, Dislodgement effect of natural semiochemicals released by disturbed triatomines: a possible alternative monitoring tool, J Vector Ecol, 38, pp. 353-360, (2013); Lazzari CR, Lorenzo MG, Exploiting triatomine behaviour: alternative perspectives for their control, Mem Inst Oswaldo Cruz, 104, pp. 65-70, (2009); Guidobaldi F, Guerenstein PG, Evaluation of a CO2-free commercial mosquito attractant to capture triatomines in the laboratory, J Vector Ecol, 38, pp. 245-250, (2013); Guidobaldi F, Guerenstein P, A CO&lt;sub&gt;2&lt;/sub&gt;-free synthetic host–odor mixture that attracts and captures triatomines: effect of emitted odorant ratios, J Med Entomol, 53, (2016); Updyke EA, Allan BF, An experimental evaluation of cross-vane panel traps for the collection of sylvatic triatomines (Hemiptera: Reduviidae), J Med Entomol, 55, pp. 485-489, (2018); Taneja J, Guerin P, Ammonia attracts the haematophagous bug Triatoma infestans: behavioural and neurophysiological data on nymphs, J Comp Physiol A Neuroethol Sens Neural Behav Physiol, 181, pp. 21-34, (1997); Otalora-Luna F, Perret JL, Guerin PM, Appetence behaviours of the triatomine bug Rhodnius prolixus on a servosphere in response to the host metabolites carbon dioxide and ammonia, J Comp Physiol A Neuroethol Sens Neural Behav Physiol, 190, pp. 847-854, (2004); Gurgel-Goncalves R, Stronger control-surveillance systems for vector-borne Chagas disease, Mem Inst Oswaldo, 117, (2022); Rojas de Arias A, Monroy C, Guhl F, Sosa-Estani S, Santos WS, Abad-Franch F, Chagas disease control-surveillance in the Americas: the multinational initiatives and the practical impossibility of interrupting vector-borne Trypanosoma cruzi transmission, Mem Inst Oswaldo Cruz, 117, (2022); Steullet P, Guerin PM, Identification of vertebrate volatiles stimulating olfactory receptors on tarsus I of the tick Amblyomma variegatum Fabricius (Ixodidae). I Receptors within the Haller’s organ capsule, J Comp Physiol A Neuroethol Sens Neural Behav Physiol, 173, pp. 27-38, (1994); Puri SN, Mendki MJ, Sukumaran D, Ganesan K, Prakash S, Sekhar K, Electroantennogram and behavioral responses of Culex quinquefasciatus (Diptera: Culicidae) females to chemicals found in human skin emanations, J Med Entomol, 43, pp. 207-213, (2006); Ghaninia M, Larsson M, Hansson BS, Ignell R, Natural odor ligands for olfactory receptor neurons of the female mosquito Aedes aegypti: use of gas chromatography-linked single sensillum recordings, J Exp Biol, 211, pp. 3020-3027, (2008); Gikonyo NK, Hassanali A, Njagi PGN, Saini RK, Responses of Glossina morsitans morsitans to blends of electroantennographically active compounds in the odors of its preferred (buffalo and ox) and nonpreferred (waterbuck) hosts, J Chem Ecol, 29, pp. 2331-2345, (2003); Tchouassi DP, Sang R, Sole CL, Bastos ADS, Teal PEA, Borgemeister C, Baldwyn T, Common host-derived chemicals increase catches of disease-transmitting mosquitoes and can improve early warning systems for Rift Valley fever virus, PLoS Negl Trop Dis, 7, (2013); Guerenstein PG, Lazzari CR, Host-seeking: how triatomines acquire and make use of information to find blood, Acta Trop, 110, pp. 148-158, (2001); Guerenstein PG, Lazzari CR, The role of olfaction in host seeking of Triatominae bugs, Ecology and Control of Vector-Borne Diseases Volume II: Olfaction in Vector-Host Interactions, pp. 309-325, (2010); Jha S, Characterization of human body odor and identification of aldehydes using chemical sensor, Rev Anal Chem, 36, (2017); Bernier UR, Booth MM, Yost RA, Analysis of human skin emanations by gas chromatography/mass spectrometry. 1. Thermal desorption of attractants for the yellow fever mosquito (Aedes aegypti) from handled glass beads, Anal Chem, 71, pp. 1-7, (1999); Dormont L, Bessiere JM, McKey D, Cohuet A., New methods for field collection of human skin volatiles and perspectives for their application in the chemical ecology of human-pathogen-vector interactions, J Exp Biol, 216, pp. 2783-2788, (2013); Saveer AM, Hatano E, Wada-Katsumata A, Meagher RL, Schal C, Nonanal, a new fall armyworm sex pheromone component, significantly increases the efficacy of pheromone lures, Pest Manag Sci, 79, pp. 2831-2839, (2023); Lorenzo MG, Lazzari CR, The spatial pattern of defaecation in Triatoma infestans and the role of faeces as a chemical mark of the refuge, J Insect Physiol, 42, pp. 903-907, (1996); Sanchez Cassacia P, Gonzalez-Britez N, Acosta N, Lopez E, Vectores de Trypanosoma cruzi en ambientes dome- sticos y silvestres de las comunidades Ayoreo Totobiegosode del Alto Paraguay, Rev Soc Cient Parag, 24, pp. 218-229, (2019); Cortes V, Et al., Trypanosoma cruzi infection follow-up in a sylvatic vector of Chagas disease: comparing early and late stage nymphs, PLoS Negl Trop Dis, 15, (2021); Latorre-Estivalis JM, Grosse-Wilde E, da Rocha Fernandes G, Hansson BS, Lorenzo MG, Changes in antennal gene expression underlying sensory system maturation in Rhodnius prolixus, Insect Biochem Mol Biol, 140, (2022); Espinoza J, Bustamante M, Garcia AL, Tenorio O, Noireau F, Rivera D, Rojas Cortez M, Biologıa reproductiva de dos poblaciones de Triatoma infestans (Hemiptera: Reduviidae) en condiciones de laboratorio, Gac Med Bol, 34, pp. 66-70, (2011); Rabinovich JE, Nieves EL, Vital statistics of triatominae (Hemiptera: Reduviidae) under laboratory conditions: III. Rhodnius neglectus, J Med Entomol, 48, pp. 775-787, (2011); Reisenman CE, Hunger is the best spice: effects of starvation in the antennal responses of the blood-sucking bug Rhodnius prolixus, J Insect Physiol, 71, pp. 8-13, (2014); Monteiro M, Matos S, Gaona F, Schaerer C, Arias F, Dorigo D, Veja MC, Rojas de Arias A, Ribeiro A, Varella M, Production and characterization of porous kaolinite modified pellets for slow realease pheromone, Int J Adv Res (Indore), 5, pp. 1718-1725, (2017); Gaona F, Quinonez E, Jara A, Manabe A, Silva N, Monteiro M, Schaerer C, Vega M, Rojas de Arias A, Infrared photoelectric sensor network applied to remote arthropod insects’ surveillance, Proceedings of the 11th International Conference on Sensor Networks—Volume 1: SENSORNETS, pp. 113-120, (2022); Ortiz MI, Molina J, Preliminary evidence of Rhodnius prolixus (Hemiptera: Triatominae) attraction to human skin odour extracts, Acta Trop, 113, pp. 174-179, (2009)</t>
  </si>
  <si>
    <t xml:space="preserve">A.R. de Arias; Centro para el Desarrollo de la Investigacion Cientıfica, Asuncion, Manduvira 635 between 15 de agosto and O’Leary, Paraguay; email: rojasdearias@gmail.com</t>
  </si>
  <si>
    <t xml:space="preserve">2-s2.0-85176494943</t>
  </si>
  <si>
    <t xml:space="preserve">Dath M.K.; Nazir N.; Dhankhar A.; Solanki K.; Dahiya O.</t>
  </si>
  <si>
    <t xml:space="preserve">Dath, Mogalraj Kushal (58164260600); Nazir, Nahida (57204834713); Dhankhar, Amita (57191096430); Solanki, Kamna (57188767624); Dahiya, Omdev (57204920928)</t>
  </si>
  <si>
    <t xml:space="preserve">58164260600; 57204834713; 57191096430; 57188767624; 57204920928</t>
  </si>
  <si>
    <t xml:space="preserve">Malarial Diagnosis with Deep Learning and Image Processing Approaches</t>
  </si>
  <si>
    <t xml:space="preserve">Malaria is a mosquito-borne disease that has killed an estimated a half-a-million people worldwide since 2000. It may be time consuming and costly to conduct thorough laboratory testing for malaria, and it also requires the skills of trained laboratory personnel. Additionally, human analysis might make mistakes. Integrating denoising and image segmentation techniques with Generative Adversarial Network (GAN) as a data augmentation technique can enhance the performance of diagnosis. Various deep learning models, such as CNN, ResNet50, and VGG19, for recognising the Plasmodium parasite in thick blood smear images have been used. The experimental results indicate that the VGG19 model performed best by achieving 98.46% compared to other approaches. This study demonstrates the potential of artificial intelligence to improve the speed and precision of pathogen detection which is more effective than manual analysis. © 2023 The authors.</t>
  </si>
  <si>
    <t xml:space="preserve">International Journal on Recent and Innovation Trends in Computing and Communication</t>
  </si>
  <si>
    <t xml:space="preserve">Auricle Global Society of Education and Research</t>
  </si>
  <si>
    <t xml:space="preserve">10.17762/ijritcc.v11i5s.6647</t>
  </si>
  <si>
    <t xml:space="preserve">https://www.scopus.com/inward/record.uri?eid=2-s2.0-85165312691&amp;doi=10.17762%2fijritcc.v11i5s.6647&amp;partnerID=40&amp;md5=dff521d9ccafd7a4564d8a0acdb592c9</t>
  </si>
  <si>
    <t xml:space="preserve">School of Computer Science and Engineering, Lovely Professional University, Phagwara, India; Department of Computer Science and Engineering, University Institute of Engineering anf Technology, Maharshi Dayanand University, Haryana, Rohtak, India; School of Computer Science and Engineering, Lovely Professional University, Punjab, Kapurthala, India</t>
  </si>
  <si>
    <t xml:space="preserve">Dath M.K., School of Computer Science and Engineering, Lovely Professional University, Phagwara, India; Nazir N., School of Computer Science and Engineering, Lovely Professional University, Phagwara, India; Dhankhar A., Department of Computer Science and Engineering, University Institute of Engineering anf Technology, Maharshi Dayanand University, Haryana, Rohtak, India; Solanki K., Department of Computer Science and Engineering, University Institute of Engineering anf Technology, Maharshi Dayanand University, Haryana, Rohtak, India; Dahiya O., School of Computer Science and Engineering, Lovely Professional University, Punjab, Kapurthala, India</t>
  </si>
  <si>
    <t xml:space="preserve">CNN; Deep learning; GAN; image segmentation; noise reduction; optimization methods; ResNet50; VGG19</t>
  </si>
  <si>
    <t xml:space="preserve">Liang Z., Huang J. X., Adaptive Cycle-consistent Adversarial Network for Malaria Blood Cell Image Synthetization, Proc. - Appl. Imag. Pattern Recognit. Work, 2, pp. 68-73, (2021); Rahman A., Et al., Improving Malaria Parasite Detection from Red Blood Cell using Deep Convolutional Neural Networks, pp. 1-33, (2019); Approach L., diagnostics Analyzing Malaria Disease Using E ff ective Deep Learning Approach, pp. 1-22; Nugroho H. A., Nurfauzi R., Deep Learning Approach for Malaria Parasite Detection in Thick Blood Smear Images, 17th Int. Conf. Qual. Res. QIR 2021 Int. Symp. Electr. Comput. Eng, pp. 114-118, (2021); Narayanan B. N., Ali R. A., Hardie R. C., Performance analysis of machine learning and deep learning architectures for malaria detection on cell images, (2019); Molina A., Rodellar J., Boldu L., Acevedo A., Alferez S., Merino A., Automatic identification of malaria and other red blood cell inclusions using convolutional neural networks, Comput. Biol. Med, 136, (2021); Sinha S., Srivastava U., Dhiman V., Akhilan P. S., Mishra S., Performance assessment of deep learning procedures: Sequential and ResNet on malaria dataset, J. Robot. Control, 2, 1, pp. 12-18, (2021); Pattanaik P. A., Swarnkar T., Swain D., Deep filter bridge for malaria identification and classification in microscopic blood smear images, Int. J. Adv. Intell. Paradig, 20, 1–2, pp. 126-137, (2021); Li S., Du Z., Meng X., Zhang Y., Multi-stage malaria parasite recognition by deep learning, Gigascience, 10, 6, pp. 1-11, (2021); Loh D. R., Yong W. X., Yapeter J., Subburaj K., Chandramohanadas R., A deep learning approach to the screening of malaria infection: Automated and rapid cell counting, object detection and instance segmentation using Mask R-CNN, Comput. Med. Imaging Graph, 88, (2020); Pasupa K., Tungjitnob S., Vatathanavaro S., Semi-supervised learning with deep convolutional generative adversarial networks for canine red blood cells morphology classification, Multimed. Tools Appl, 79, 45–46, pp. 34209-34226, (2020); Pattanaik P. A., Mittal M., Khan M. Z., Unsupervised Deep Learning CAD Scheme for the Detection of Malaria in Blood Smear Microscopic Images, IEEE Access, 8, pp. 94936-94946, (2020); Nayak S., Kumar S., Jangid M., Malaria detection using multiple deep learning approaches, 2019 2nd Int. Conf. Intell. Commun. Comput. Tech. ICCT 2019, pp. 292-297, (2019); Journal I., IRJET- Survey of Malaria Detection using Deep Learning; Yang Z., Benhabiles H., Hammoudi K., Windal F., He R., Collard D., A generalized deep learning-based framework for assistance to the human malaria diagnosis from microscopic images, Neural Comput. Appl, 34, 17, pp. 14223-14238, (2022); Et K. K. K., An Efficient Image Classification of Malaria Parasite Using Convolutional Neural Network and ADAM Optimizer, Turkish J. Comput. Math. Educ, 12, 2, pp. 3376-3384, (2021); Cavallari G. B., Ponti M. A., Training strategies with unlabeled and few labeled examples under 1-pixel attack by combining supervised and self-supervised learning, (2022); Kiskin I., Cobb A. D., Sinka M., Willis K., Roberts S. J., Automatic Acoustic Mosquito Tagging with Bayesian Neural Networks, Lect. Notes Comput. Sci. (including Subser. Lect. Notes Artif. Intell. Lect. Notes Bioinformatics), 12978 LNAI, pp. 351-366, (2021); Maqsood A., Farid M. S., Khan M. H., Grzegorzek M., Deep malaria parasite detection in thin blood smear microscopic images, Appl. Sci, 11, 5, pp. 1-19, (2021); Kapoor R., Malaria Detection using Deep Convolutional Neural Network; Shi L., Guan Z., Liang C., You H., Automatic Classification of Plasmodium for Malaria Diagnosis based on Ensemble Neural Network, ACM Int. Conf. Proceeding Ser, pp. 80-85, (2020); Gu H., Wang Y., Hong S., Gui G., Blind channel identification aided generalized automatic modulation recognition based on deep learning, IEEE Access, 7, pp. 110722-110729, (2019); Sakib S., Et al., Detection of COVID-19 Disease from Chest X-Ray Images: A Deep Transfer Learning Framework, medRxiv, (2020); Marin I., Mladenovic S., Gotovac S., Zaharija G., Deep-feature-based approach to marine debris classification, Appl. Sci, 11, 12, pp. 1-25, (2021); (2020); (2022); Poostchi Mahdieh, Et al., Image analysis and machine learning for detecting malaria, Translational Research, 194, pp. 36-55, (2018); Deelder Wouter, Et al., Using deep learning to identify recent positive selection in malaria parasite sequence data, Malaria journal, 20, 1, (2021); Mehanian Courosh, Et al., Computer-automated malaria diagnosis and quantitation using convolutional neural networks, Proceedings of the IEEE international conference on computer vision workshops, (2017); Mariki Martina, Mkoba Elizabeth, Mduma Neema, Combining clinical symptoms and patient features for malaria diagnosis: machine learning approach, Applied Artificial Intelligence, 36, 1, (2022); Hung Jane, Carpenter Anne, Applying faster R-CNN for object detection on malaria images, Proceedings of the IEEE conference on computer vision and pattern recognition workshops, (2017); Joshi Amogh Manoj, Das Ananta Kumar, Dhal Subhasish, Deep learning based approach for malaria detection in blood cell images, 2020 IEEE region 10 conference (TENCON), (2020); QANBAR Mohanad Mohammed, Tasdemir Sakir, Detection of malaria diseases with residual attention network, International Journal of Intelligent Systems and Applications in Engineering, 7, 4, pp. 238-244, (2019); Eze Peter U., Asogwa Clement O., Deep machine learning model trade-offs for malaria elimination in resource-constrained locations, Bioengineering, 8, 11, (2021); Kumar Avinash, Sarkar Sobhangi, Pradhan Chittaranjan, Malaria disease detection using cnn technique with sgd, rmsprop and adam optimizers, Deep learning techniques for biomedical and health informatics, pp. 211-230, (2020); Loddo Andrea, Fadda Corrado, Ruberto Cecilia Di, An empirical evaluation of convolutional networks for malaria diagnosis, Journal of Imaging, 8, 3, (2022); Zedda Luca, Loddo Andrea, Ruberto Cecilia Di, A deep learning based framework for malaria diagnosis on high variation data set, Image Analysis and Processing–ICIAP 2022: 21st International Conference, Lecce, Italy, May 23–27, 2022, Proceedings, Part II; Harvey David, Valkenburg Wessel, Amara Amara, Predicting malaria epidemics in Burkina Faso with machine learning, PLoS One, 16, 6, (2021); Nakasi Rose, Mwebaze Ernest, Zawedde Aminah, Mobile-aware deep learning algorithms for malaria parasites and white blood cells localization in thick blood smears, Algorithms, 14, 1, (2021); Dutta Ashit Kumar, Et al., Barnacles mating optimizer with deep transfer learning enabled biomedical malaria parasite detection and classification, Computational Intelligence and Neuroscience, 2022, (2022)</t>
  </si>
  <si>
    <t xml:space="preserve">Int. J. Recent. Innov. Trend. Comput. Commun.</t>
  </si>
  <si>
    <t xml:space="preserve">2-s2.0-85165312691</t>
  </si>
  <si>
    <t xml:space="preserve">Öztürk M.; Akiner M.M.</t>
  </si>
  <si>
    <t xml:space="preserve">Öztürk, Murat (57214609755); Akiner, Muhammet Mustafa (14321060500)</t>
  </si>
  <si>
    <t xml:space="preserve">57214609755; 14321060500</t>
  </si>
  <si>
    <t xml:space="preserve">Molecular phylogenetics of Aedes aegypti (L., 1762) (Diptera: Culicidae) in Eastern Black Sea area of Turkey and possible relations with the Caucasian invasion</t>
  </si>
  <si>
    <t xml:space="preserve">Aedes aegypti (L., 1762) (Diptera: Culicidae) is an important pest for human health. It vectors many diseases, including yellow fever (YF), dengue (DENV), and chikungunya (CHIKV). This species has invaded numerous countries including Balkan and Caucasian countries few past decades. The established populations of species were found in Turkey in 2015. We investigated the genetic variation, molecular phylogenetics, and differences between samples from Turkey and Georgia using four mitochondrial and one genomic DNA markers. The possible origin of the species was determined separately for each gene region using maximum likelihood trees. The ML analysis showed a close relation with the Caucasian samples, and some haplotypes are specific to this region. Our results suggest that Turkish Ae. aegypti strains might have been a mix of Asian and American strains. The differences between Turkish and Georgian samples were statistically insignificant and values of difference were very low according to AMOVA. Pairwise difference values between the two countries indicated that populations may have the same origin and variation value between two countries is very low. As a conclusion, our results revealed that our region (Turkey and Georgia) samples were most probably a new invasion rather than an ancient one. © TÜBİTAK.</t>
  </si>
  <si>
    <t xml:space="preserve">Turkey</t>
  </si>
  <si>
    <t xml:space="preserve">Turkish Journal of Zoology</t>
  </si>
  <si>
    <t xml:space="preserve">Turkiye Klinikleri</t>
  </si>
  <si>
    <t xml:space="preserve">10.55730/1300-0179.3127</t>
  </si>
  <si>
    <t xml:space="preserve">https://www.scopus.com/inward/record.uri?eid=2-s2.0-85160228149&amp;doi=10.55730%2f1300-0179.3127&amp;partnerID=40&amp;md5=af75d5207360d1c6740d1c2e0a2df866</t>
  </si>
  <si>
    <t xml:space="preserve">Department of Biology, Faculty of Arts and Sciences, Recep Tayyip Erdoğan University, Rize, Turkey</t>
  </si>
  <si>
    <t xml:space="preserve">Öztürk M., Department of Biology, Faculty of Arts and Sciences, Recep Tayyip Erdoğan University, Rize, Turkey; Akiner M.M., Department of Biology, Faculty of Arts and Sciences, Recep Tayyip Erdoğan University, Rize, Turkey</t>
  </si>
  <si>
    <t xml:space="preserve">Aedes aegypti; Black Sea region; mitochondrial and genomic marker; molecular phylogenetics</t>
  </si>
  <si>
    <t xml:space="preserve">Black Sea; chikungunya; genetic variation; mitochondrial DNA; mosquito; phylogenetics; public health; yellow fever</t>
  </si>
  <si>
    <t xml:space="preserve">Türkiye Bilimsel ve Teknolojik Araştırma Kurumu, TÜBİTAK, (117Z116)</t>
  </si>
  <si>
    <t xml:space="preserve">This article is a part of the Ph.D. thesis of the first author and is funded by The Scientific and Technological Research Council of Türkiye (TÜBİTAK, grant number: 117Z116).</t>
  </si>
  <si>
    <t xml:space="preserve">Akiner MM, Demirci B, Babuadze G, Robert V, Schaffner F, Spread of the invasive mosquitoes Aedes aegypti and Aedes albopictus in the Black Sea region increases risk of chikungunya, dengue, and Zika outbreaks in Europe, PLoS Neglected Tropical Diseases, 10, 4, (2016); Almeida APG, Goncalves YM, Novo MT, Sousa CA, Melim M, Et al., Vector monitoring of Aedes aegypti in the Autonomous Region of Madeira, Portugal, Euro Surveill, 12, 46, (2007); Bandel HJ, Forster P, Rohl A, Median-joining networks for inferring intraspecific phylogenies, Molecular Biology and Evolution, 16, 1, pp. 37-48, (1999); Bhatt S, Gething PW, Brady OJ, Messina JP, Farlow AW, Et al., The global distribution and burden of dengue, Nature, 496, 7446, pp. 504-507, (2013); Birungi J, Munstermann LE, Genetic structure of Aedes albopictus (Diptera: Culicidae) populations based on mitochondrial ND5 sequences: evidence for an independent invasion into Brazil and United States, Annals of the Entomological Society of America, 95, 1, pp. 125-132, (2002); Bosio CF, Harrington LC, Jones JW, Sithiprasasna R, Norris DE, Et al., Genetic structure of Aedes aegypti populations in Thailand using mitochondrial DNA, The American Journal of Tropical Medicine and Hygiene, 72, 4, pp. 434-442, (2005); Bracco JE, Capurro ML, Lourenco-de-Oliveira R, Sallum MAM, Genetic variability of Aedes aegypti in the Americas using a mitochondrial gene: evidence of multiple introductions, Memorias do Instituto Oswaldo Cruz, 102, 5, pp. 573-580, (2007); Cruz LCTA, Serra OP, Leal-santos FA, Ribeiro ALM, Slhessarenko RD, Et al., Natural transovarial transmission of dengue virus 4 in Aedes aegypti from Cuiabá, state of Mato Grosso, Brazil, Revista da Sociedade Brasileira de Medicina Tropical, 48, 1, pp. 18-25, (2015); Curtin TJ, Status of Aedes aegypti in the Eastern Mediterranean, Journal of Medical Entomology, 4, 1, pp. 48-50, (1967); Damal K, Murrell EG, Julian SA, Conn JE, Loew SS, Phylogeography of Aedes aegypti (yellow fever mosquito) in South Florida: mtDNA evidence for human-aided dispersal, The American Journal of Tropical Medicine and Hygiene, 89, 3, (2013); Davies N, Villablanca FX, Roderick GK, Determining the source of newly founded populations: multilocus genotyping in nonequilibrium population genetics, Trends in Ecology and Evolution, 14, 1, pp. 17-21, (1999); Demirci B, Bedir H, Ozturk M, Akiner MM, Status of the invasive mosquito species Aedes aegypti (L., 1762) and Aedes albopictus (Skuse, 1895) (Diptera: Culicidae) in Turkey, Turkish Journal of Entomology, 45, 2, pp. 279-292, (2021); Elnour MAB, Moustafa MAM, Khogali R, Azrag RS, Alanazi AD, Et al., Distinct haplotypes and free movement of Aedes aegypti in Port Sudan, Sudan, Journal of Applied Entomology, 144, 9, pp. 817-823, (2020); Excoffier L, Lischer HE, Arlequin suite ver 3.5: a new series of programs to perform population genetics analyses under Linux and Windows, Molecular ecology resources, 10, 3, pp. 564-567, (2010); Excoffier L, Smouse PE, Quattro J, Analysis of molecular variance inferred from metric distances among DNA haplotypes: application to human mitochondrial DNA restriction data, Genetics, 131, 2, pp. 479-491, (1992); Farris JS, Kallersjo M, Kluge AG, Bult C, Constructing a significance test for incongruence, Systematic Biology, 44, 4, pp. 570-572, (1995); Folmer O, Black M, Hoeh W, Lutz R, Vrijenhoek R, DNA primers for amplification of mitochondrial cytochrome c oxidase subunit I from diverse metazoan invertebrates, Molecular Marine Biology and Biotechnology, 3, 1, pp. 294-299, (1994); Ganushkina LA, Patraman IV, Rezza G, Migliorini L, Litvinov SK, Et al., Detection of Aedes aegypti, Aedes albopictus, and Aedes koreicus in the area of Sochi, Russia, Vector-Borne and Zoonotic Diseases, 16, 1, pp. 58-60, (2016); Ganushkina LA, Tanygina EY, Bezzhonova OV, Sergiev VP, Detection of Aedes Stegomyia) albopictus Skuse mosquitoes in the Russian Federation, Meditsinskaia Parazitologiia i Parazitarnye Bolezni, 1, 1, pp. 3-4, (2012); Gao J, Zhang HD, Guo XX, Xing D, Dong YD, Et al., Dispersal patterns and population genetic structure of Aedes albopictus (Diptera: Culicidae) in three different climatic regions of China, Parasites and Vectors, 14, 1, pp. 1-13, (2021); Gupta K, Dhawan R, Kajla M., Kumar S., Jnanasiddhy B, Et al., Molecular identification of Aedes aegypti mosquitoes from Pilani region of Rajasthan, India, Journal of Vector Borne Diseases, 53, 2, pp. 149-155, (2016); Higa Y, Toma T, Tsuda Y, Miyagi I, A multiplex PCR-based molecular identification of five morphologically related, medically important subgenus Stegomyia mosquitoes from the genus Aedes (Diptera: Culicidae) found in the Ryukyu Archipelago, Japan, Japanese Journal of Infectious Diseases, 63, 5, pp. 312-316, (2010); Jacome R, Carrasco-Hernandez R, Campillo-Balderas JA, Lopez-Vidal Y, Lazcano A, Et al., A yellow flag on the horizon: the looming threat of yellow fever to North America, International Journal of Infectious Diseases, 87, 1, pp. 143-150, (2019); Khater EI, Baig F, Kamal HA, Powell JR, Saleh AA, Molecular phylogenetics and population genetics of the dengue vector Aedes aegypti from the Arabian Peninsula, Journal of Medical Entomology, 58, 6, pp. 2161-2176, (2021); Kotsakiozi P, Gloria-Soria A, Schaffner F, Robert V, Powell JR, Aedes aegypti in the Black Sea: recent introduction or ancient remnant?, Parasites and Vectors, 11, 1, pp. 1-13, (2018); Kraemer MU, Sinka ME, Duda KA, Mylne AQ, Shearer FM, Et al., The global distribution of the arbovirus vectors Aedes aegypti and Ae. albopictus, Elife, 4, 1, (2015); Kumar S, Stecher G, Tamura K, MEGA7: molecular evolutionary genetics analysis version 7.0 for bigger datasets, Molecular Biology and Evolution, 33, 7, pp. 1870-1874, (2016); Kuno G, Early history of laboratory breeding of Aedes aegypti (Diptera: Culicidae) focusing on the origins and use of selected strains, Journal of Medical Entomology, 47, 6, pp. 957-971, (2014); Librado P, Rozas J, DnaSP v5: a software for comprehensive analysis of DNA polymorphism data, Bioinformatics, 25, 11, pp. 1451-1452, (2009); Manzoor KN, Javed F, Ejaz M, Ali M, Mujaddadi N, Et al., The global emergence of Chikungunya infection: An integrated view, Reviews in Medical Virology, 32, 3, (2022); Masmejan S, Musso D, Vouga M, Pomar L, Dashraath P, Et al., Zika virus, Pathogens, 9, 11, (2020); Morrison AC, Zielinski-Gutierrez E, Scott TW, Rosenberg R, Defining challenges and proposing solutions for control of the virus vector Aedes aegypti, PLoS Medicine, 5, 3, (2008); Mousson L, Dauga C, Garrigues T, Schaffner F, Vazeille M, Et al., Phylogeography of Aedes (Stegomyia) aegypti (L.) and Aedes (Stegomyia) albopictus (Skuse)(Diptera: Culicidae) based on mitochondrial DNA variations, Genetics Research, 86, 1, pp. 1-11, (2005); Naim DM, Kamal NZM, Mahboob S, Population structure and genetic diversity of Aedes aegypti and Aedes albopictus in Penang as revealed by mitochondrial DNA cytochrome oxidase I, Saudi Journal of Biological Sciences, 27, 3, pp. 953-967, (2020); Paduan KDS, Ribolla PEM, Mitochondrial DNA polymorphism and heteroplasmy in populations of Aedes aegypti in Brazil, Journal of Medical Entomology, 45, 1, pp. 59-67, (2008); Porter C, Collins FH, Species-diagnostic differences in a ribosomal DNA internal transcribed spacer from the sibling species Anopheles freeborni and Anopheles hermsi (Diptera: Culcidae), The American Journal of Tropical Medicine and Hygiene, 45, 2, pp. 271-279, (1991); Posada D, Crandall KA, MODELTEST: testing the model of DNA substitution, Bioinformatics (Oxford, England), 14, 9, pp. 817-818, (1998); Schaffner F, Guy A, Bernard G, Jean-Paul H, Rhaiem A, Et al., Les moustiques d’Europe: Logiciel d’identification et d’enseignement = The Mosquitoes of Europe: an İdentification and Training Programme, (2001); Schaffner F, Mathis A, Dengue and dengue vectors in the WHO European region: past, present, and scenarios for the future, The Lancet Infectious Diseases, 14, 12, pp. 1271-1280, (2014); Serra OP, Cardoso BF, Ribeiro ALM, Santos FAL, Slhessarenko RD, Mayaro virus and dengue virus 1 and 4 natural infection in culicids from Cuiabá, state of Mato Grosso, Brazil, Memórias do Instituto Oswaldo Cruz, 111, 1, pp. 20-29, (2016); Shaikevich E, Patraman I, Bogacheva AS, Rakova VM, Zelya OP, Et al., Invasive mosquito species Aedes albopictus and Aedes aegypti on the Black Sea coast of the Caucasus: genetics (COI, ITS2), Wolbachia and Dirofilaria infections, Vavilovskii Zhurnal Genetiki i Selektsii, 22, 5, pp. 574-585, (2018); Simon C, Frati F, Beckenback A, Crepsi B, Liu H, Et al., Evolution, weighting and phylogenetic utility of mitochondrial gene sequences and a compilation of conserved polymerase chain reaction primers, Annals of the Entomological Society of America, 87, 1, pp. 651-701, (1994); Swofford DL, PAUP*(version 4.0). Phylogenetic analysis using parsimony (* and other method), (1998); Toma L, Di Luca M, Severini F, Boccolini D, Romi R, Aedes aegypti: risk of introduction in Italy and strategy to detect the possible re-introduction. Pest Management e salute pubblica, Veterinaria Italiana Collana Monografia, 23, 1, pp. 18-26, (2011); Vaidya G, Lohman DJ, Meier R, SequenceMatrix: concatenation software for the fast assembly of multigene datasets with character set and codon information, Cladistics, 27, 2, pp. 171-180, (2011); Yohan B, Fauziah Y, Sayono S, Trimarsanto H, Sasmono RT, Genetic diversity of Aedes aegypti (Diptera: Culicidae) isolated from five cities in north coast area of Central Java, Indonesia, Southeast Asian Journal of Tropical Medicine and Public Health, 49, 2, pp. 217-226, (2018); Yunicheva YU, Ryabova TE, Markovich NY, Bezzhonova OV, Ganushkina LA, Et al., First data on the presence of breeding populations of the Aedes aegypti L. mosquito in Greater Sochi and various cities of Abkhazia, Meditsinskaia Parazitologiia I Parazitarnye Bolezni, 3, 1, pp. 40-43, (2008); Ze-Ze L, Borges V, Osorio HC, Machado J, Gomes JP, Alves MJ, Mitogenome diversity of Aedes (Stegomyia) albopictus: Detection of multiple introduction events in Portugal, PLoS Neglected Tropical Diseases, 14, 9, (2020)</t>
  </si>
  <si>
    <t xml:space="preserve">M.M. Akiner; Department of Biology, Faculty of Arts and Sciences, Recep Tayyip Erdoğan University, Rize, Turkey; email: akiner.m@gmail.com</t>
  </si>
  <si>
    <t xml:space="preserve">Turk. J. Zool.</t>
  </si>
  <si>
    <t xml:space="preserve">2-s2.0-85160228149</t>
  </si>
  <si>
    <t xml:space="preserve">Bérubé S.; Kobayashi T.; Norris D.E.; Ruczinski I.; Moss W.J.; Wesolowski A.; Louis T.A.</t>
  </si>
  <si>
    <t xml:space="preserve">Bérubé, Sophie (57197748069); Kobayashi, Tamaki (55540033000); Norris, Douglas E. (7201567618); Ruczinski, Ingo (6602228820); Moss, William J. (7007015982); Wesolowski, Amy (36607090500); Louis, Thomas A. (57226218356)</t>
  </si>
  <si>
    <t xml:space="preserve">57197748069; 55540033000; 7201567618; 6602228820; 7007015982; 36607090500; 57226218356</t>
  </si>
  <si>
    <t xml:space="preserve">Novel bioinformatic methods and machine learning approaches reveal candidate biomarkers of the intensity and timing of past exposure to Plasmodium falciparum</t>
  </si>
  <si>
    <t xml:space="preserve">Accurately quantifying the burden of malaria over time is an important goal of malaria surveillance efforts and can enable effective targeting and evaluation of interventions. Malaria surveillance methods capture active or recent infections which poses several challenges to achieving malaria surveillance goals. In high transmission settings, asymptomatic infections are common and therefore accurate measurement of malaria burden demands active surveillance; in low transmission regions where infections are rare accurate surveillance requires sampling large subsets of the population; and in any context monitoring malaria burden over time necessitates serial sampling. Antibody responses to Plasmodium falciparum parasites persist after infection and therefore measuring antibodies has the potential to overcome several of the current obstacles to accurate malaria surveillance. Identifying which antibody responses are markers of the timing and intensity of past exposure to P. falciparum remains challenging, particularly among adults who tend to be re-exposed multiple times over the course of their lifetime and therefore have similarly high antibody responses to many Plasmodium antigens. A previous analysis of 479 serum samples from individuals in three regions in southern Africa with different historical levels of P. falciparum malaria transmission (high, intermediate, and low) revealed regional differences in antibody responses to P. falciparum antigens among children under 5 years of age. Using a novel bioinformatic pipeline optimized for protein microarrays that minimizes between-sample technical variation, we used antibody responses to Plasmodium antigens as predictors in random forest models to classify samples from adults into these three regions of differing historical malaria transmission with high accuracy (AUC = 0.99). Many of the most important antigens for classification in these models do not overlap with previously published results and are therefore novel candidate markers for the timing and intensity of past exposure to P. falciparum. Measuring antibody responses to these antigens could lead to improved malaria surveillance. Copyright: © 2023 Bérubé et al. This is an open access article distributed under the terms of the Creative Commons Attribution License, which permits unrestricted use, distribution, and reproduction in any medium, provided the original author and source are credited.</t>
  </si>
  <si>
    <t xml:space="preserve">e0001840</t>
  </si>
  <si>
    <t xml:space="preserve">10.1371/journal.pgph.0001840</t>
  </si>
  <si>
    <t xml:space="preserve">https://www.scopus.com/inward/record.uri?eid=2-s2.0-85195671660&amp;doi=10.1371%2fjournal.pgph.0001840&amp;partnerID=40&amp;md5=c844c31835d3e25c5f77a4cb2cb8e16c</t>
  </si>
  <si>
    <t xml:space="preserve">Department of Biostatistics, Johns Hopkins Bloomberg School of Public Health, Baltimore, MD, United States; Department of Epidemiology, Johns Hopkins Bloomberg School of Public Health, Baltimore, MD, United States; Department of Molecular Microbiology and Immunology, Johns Hopkins Bloomberg School of Public Health, Baltimore, MD, United States</t>
  </si>
  <si>
    <t xml:space="preserve">Bérubé S., Department of Biostatistics, Johns Hopkins Bloomberg School of Public Health, Baltimore, MD, United States; Kobayashi T., Department of Epidemiology, Johns Hopkins Bloomberg School of Public Health, Baltimore, MD, United States; Norris D.E., Department of Molecular Microbiology and Immunology, Johns Hopkins Bloomberg School of Public Health, Baltimore, MD, United States; Ruczinski I., Department of Biostatistics, Johns Hopkins Bloomberg School of Public Health, Baltimore, MD, United States; Moss W.J., Department of Epidemiology, Johns Hopkins Bloomberg School of Public Health, Baltimore, MD, United States, Department of Molecular Microbiology and Immunology, Johns Hopkins Bloomberg School of Public Health, Baltimore, MD, United States; Wesolowski A., Department of Epidemiology, Johns Hopkins Bloomberg School of Public Health, Baltimore, MD, United States; Louis T.A., Department of Biostatistics, Johns Hopkins Bloomberg School of Public Health, Baltimore, MD, United States</t>
  </si>
  <si>
    <t xml:space="preserve">National Institute of Allergy and Infectious Diseases, NIAID; Burroughs Wellcome Fund, BWF</t>
  </si>
  <si>
    <t xml:space="preserve">NIH-NIAID, U19-AI089680 Career Award at the Scientific Interface from the Burroughs Wellcome Fund awarded to Amy Wesolowski. The authors are grateful to Philip Felgner and Huw Davies for sharing data relating to their Plasmodium falciparum and P. vivax antibody arrays.</t>
  </si>
  <si>
    <t xml:space="preserve">World Malaria Report 2017, (2020); Moonen B, Cohen JM, Snow RW, Slutsker L, Drakeley C, Smith DL, Et al., Operational strategies to achieve and maintain malaria elimination, The Lancet, 367, pp. 1592-1603, (2010); Mueller I, Slutsker L, Tanner M., Estimating the burden of malaria: the need for improved surveillance, Malaria Journal, 8, (2011); Cibulskis RE, Aregawi M, Williams R, Otten M, Dye C., Worldwide incidence of malaria in 2009: estimates, time trends, and a critique of methods, PLOS Medicine, 8, (2011); Satoguina J, Walther B, Drakeley C, Nwakanma D, Oriero EC, Correa S, Et al., Comparison of surveillance methods applied to a situation of low malaria prevalence at rural sites in The Gamia and Guinea Bissau, Malaria Journal, 8, (2009); Camargo LMA, Noronha E, Salcedo JMV, Dutra AP, Krieger H, Pereira da Silva LH, Et al., The epidemiologuy of malaria in Rondonia (Western Amazon region, Brazil): study of a riverine population, Acta Tropica, 72, pp. 1-11, (1999); Trape JF, Tall A, Sokhna C, Ly AB, Diagne N, Ndiath O, Et al., The rise and fall of malaria in a west African rural community, Dielmo, Senegal, from 1990 to 2012: a 22 year longitudinal study, The Lancet Infectious Diseases, 14, pp. 476-488, (2014); Corran P, Coleman P, Riley E, Drakeley C., Serology: a robust indicator of malaria transmission intensity?, Trends in Parasitology, 23, pp. 575-582, (2007); Drakeley C, Cook J., Potential contribution of Sero-epidemiological analysis for monitoring malaria control and elimination: historical and current perspectives, Advances in Parasitology, 69, pp. 299-352, (2009); Hafalla JC, Silvie O, Matuschewski K., Cell biology and immunology of malaria, Immunological Reviews, 240, pp. 297-316, (2011); Gonzales SJ, Reyes RA, Braddom AE, Batugedara G, Bol S, Bunnik EM., Naturally acquired humoral immunity against Plasmodium falciparum malaria, Frontiers in Immunology, 11, (2020); Felger I, Maire M, Bretscher MT, Falk N, Taiden A, Sama W, Et al., The dynamics of natural Plasmodium falciparum infections, PLOS ONE, 7, (2012); Cockburn IA, Zavala F., T cell memory in malaria, Current Opinion in Immunology, 19, pp. 424-429, (2007); Trieu A, Kayala MA, Burk C, Molina DM, Freilich DA, Richie TL, Et al., Sterile protective immunity to malaria is associated with a panel of novel P. falciparum antigens, Molecular and Cellular Proteomics, 10, (2011); Helb DA, Tetteh KKA, Felgner PL, Skinner A, Hubbard A, Arinaitwe E, Et al., Novel serologic biomarkers provide accurate estimates of recent Plasmodium falciparum exposure for individuals and communities, Proceedings of the National Academy of Sciences, 112, pp. E4438-E4447, (2015); Crompton PD, Kayala MA, Traore B, Kayentao K, Ongoiba A, Weiss GE, Et al., A prospective analysis of the Ab response to Plasmodium falciparum before and after a malaria season by protein microarray, Proceedings of the National Academy of Sciences, 107, pp. 6958-6963, (2010); Kobayashi T, Jain A, Liang L, Obiero JM, Hamapumbu H, Stevenson JC, Et al., Distinct antibody signatures associated with different malaria transmission intensities in Zambia and Zimbabwe, mSphere, 4, (2019); Vandenhoogen LL, Stresman G, Presume J, Romilus I, Mondelus G, Elisme T, Et al., Selection of antibody responses associated with Plasmodium falciparum infections in the context of malaria elimination, Frontiers in Immunology, 15, (2020); Bousema T, Okell L, Felger I, Drakeley C., Asymptomatic malaria infections: detectability, transmissibility and public health relevance, Nature Reviews Microbiology, 12, pp. 833-840, (2014); Sumner KM, Freedman E, Abel L, Obala A, Pence BW, Wesolowski A, Et al., Genotyping cognate Plasmodium falicparum in humans and mosquitoes to estimate onward transmission of asymptomatic infections, Nature Communications, 12, (2021); Moss W, Dorsey G, Muller I, Laufer M, Krogstad D, Vinetz J, Et al., Malaria epidemiology and control within the International Centers of Excellence for Malaria Research, American Journal of Tropical Medicine and Hygiene, 93, (2015); Mharakurwa S, Thuma P, Norris D, Mulenga M, Chalwe V, Chipeta J, Et al., Malaria Epidemiology and Control in Southern Africa, Acta Tropica, 121, (2012); Berube S, Kobayashi T, Wesolowski A, Norris DE, Ruczinski I, Moss WJ, Et al., A Pre-Processing Pipeline to quantify, visualize, and reduce technical variation in protein microarray studies, Proteomics, (2021); Berube S, Kobayashi T, Wesolowski A, Norris DE, Ruczinski I, Moss WJ, Et al., A Bayesian hierarchical model for signal extraction from protein microarrays, Statistics in Medicine, (2023); Sboner A, Karpikov A, Gengxin C, Smith M, Dawn M, Freeman-Cook L, Et al., Robust Linear Model Normalization To Reduce Technical Variability in Functional Protein Microarrays, Journal of Proteome Research, 8, pp. 5451-5464, (2009); Breiman L., Random Forests, Machine Learning, 45, pp. 5-32, (2001); Carlin BP, Louis TA., Bayesian Methods for Data Analysis, (2009); Liaw A, Wiener M., Classification and Regression by randomForest, R News, 2, 3, pp. 18-22, (2002); Wei R, Wang J., multiROC: Calculating and Visualizing ROC and PR Curves Across Multi-Class Classifications, (2018); Hand DJ, Till RJ., A simple generalisation of the area under the ROC curve for multiple class classification problems, Machine Learning, 45, pp. 171-186, (2001); Lunetta KL, Hayward LB, Segal J, VanErdewegh P., Screening large-scale association study data: exploiting interactions using random forests, BMC Genetics, 5, (2004); Chen X, Ishwaran H., Random forests for genomic data analysis, Genomics, 99, 6, pp. 323-329, (2012); You Z, Chan KCC, Hu P., Predicting protein-protein interactions from primary protein sequences using a novel multi-scale local feature representation scheme and the random forest, PLOS ONE, 10, 5, (2015); Akaike H., A new look at the statistical model identification, IEEE Transactions on Automatic Control, 19, 6, pp. 716-723, (1974); Wahlgren M, Bejarano M, Troye-Blomberg M, Perlmann P, Riley E, Greenwood BM, Et al., Epitopes of Plasmodium falciparum clustered-asparagine-rich protein (CARP) recognized by human T-cells and antibodies, Parasite Immunology, 13, pp. 681-694, (1991); Deshmukh A, Chourasia BK, Mehrotra S, Kana IH, Et al., Plasmodium falciparum MSP3 exists in a complex on the merozoite surface and generates antibody response during natural infection, Infection and Immunity, 86, pp. e00067-18, (2018); Mccarra MB, Ayodo G, Sumba PO, Kazura JW, Moormann AM, Narum DL, Et al., Antibodies to Plasmodium falciparum erythrocyte binding antigen-175 are associated with protection from clinical malaria, The pediatric infectious disease journal, 30, pp. 1037-1042, (2011); Lin R, Louis TA, Paddock SM, Ridgeway G., Loss function based ranking in two-stage, hierarchical models, Bayesian Analysis, 1, pp. 915-946, (2006)</t>
  </si>
  <si>
    <t xml:space="preserve">S. Bérubé; Department of Biostatistics, Johns Hopkins Bloomberg School of Public Health, Baltimore, United States; email: sberube3@jhmi.edu</t>
  </si>
  <si>
    <t xml:space="preserve">2-s2.0-85195671660</t>
  </si>
  <si>
    <t xml:space="preserve">Ding M.; Xu Q.; Jin X.; Han Z.; Jiang H.; Sun H.; Jin Y.; Piao Z.; Zhang S.</t>
  </si>
  <si>
    <t xml:space="preserve">Ding, Mingyan (58125463300); Xu, Qiang (57485974900); Jin, Xiuying (57485975100); Han, Zhezhu (56518794800); Jiang, Hao (58126592600); Sun, Honghua (55492880600); Jin, Yongmin (56805683300); Piao, Zhengri (57219317243); Zhang, Songnan (53065017100)</t>
  </si>
  <si>
    <t xml:space="preserve">58125463300; 57485974900; 57485975100; 56518794800; 58126592600; 55492880600; 56805683300; 57219317243; 53065017100</t>
  </si>
  <si>
    <t xml:space="preserve">Novel exosome-related risk signature as prognostic biomarkers in glioblastoma</t>
  </si>
  <si>
    <t xml:space="preserve">Exosomes are progressively being detected as an indicator for the diagnosis and prognosis of cancer in clinical settings. Many clinical trials have confirmed the impact of exosomes on tumor growth, particularly in anti-tumor immunity and immunosuppression of exosomes. Therefore, we developed a risk score based on genes found in glioblastoma-derived exosomes. In this study, we used the TCGA dataset as the training queue and GSE13041, GSE43378, GSE4412, and CGGA datasets as the external validation queue. Based on machine algorithms and bioinformatics methods, an exosome-generalized risk score was established. We found that the risk score could independently predict the prognosis of patients with glioma, and there were significant differences in the outcomes of patients in the high- and low-risk groups. Univariate and multivariate analyses showed that risk score is a valid predictive biomarker for gliomas. Two immunotherapy datasets, IMvigor210 and GSE78220, were obtained from previous studies. A high-risk score showed a significant association with multiple immunomodulators that could act on cancer immune evasion. The exosome-related risk score could predict the effectiveness of anti-PD-1 immunotherapy. Moreover, we compared the sensitivity of patients with high- and low-risk scores to various anti-cancer drugs and found that patients with high-risk scores had better responses to a variety of anti-cancer drugs. The risk-scoring model established in this study provides a useful tool to predict the total survival time of patients with glioma and guide immunotherapy. Copyright © 2023 Ding, Xu, Jin, Han, Jiang, Sun, Jin, Piao and Zhang.</t>
  </si>
  <si>
    <t xml:space="preserve">Frontiers Media S.A.</t>
  </si>
  <si>
    <t xml:space="preserve">10.3389/fimmu.2023.1071023</t>
  </si>
  <si>
    <t xml:space="preserve">https://www.scopus.com/inward/record.uri?eid=2-s2.0-85149298523&amp;doi=10.3389%2ffimmu.2023.1071023&amp;partnerID=40&amp;md5=6aef4783281f8b6aba438b0d7b2a42c7</t>
  </si>
  <si>
    <t xml:space="preserve">Department of Oncology, Yanbian University Hospital, Yanji, China; Department of Radiation Oncology, Yanbian University Hospital, Yanji, China</t>
  </si>
  <si>
    <t xml:space="preserve">Ding M., Department of Oncology, Yanbian University Hospital, Yanji, China; Xu Q., Department of Oncology, Yanbian University Hospital, Yanji, China; Jin X., Department of Oncology, Yanbian University Hospital, Yanji, China; Han Z., Department of Oncology, Yanbian University Hospital, Yanji, China; Jiang H., Department of Oncology, Yanbian University Hospital, Yanji, China; Sun H., Department of Oncology, Yanbian University Hospital, Yanji, China; Jin Y., Department of Oncology, Yanbian University Hospital, Yanji, China; Piao Z., Department of Radiation Oncology, Yanbian University Hospital, Yanji, China; Zhang S., Department of Oncology, Yanbian University Hospital, Yanji, China</t>
  </si>
  <si>
    <t xml:space="preserve">exosome; glioblastoma; immunotherapy; machine algorithm; risk score; tumor microenvironment</t>
  </si>
  <si>
    <t xml:space="preserve">Biomarkers; Exosomes; Glioblastoma; Glioma; Humans; Prognosis; atezolizumab; hyaluronic acid; nivolumab; pembrolizumab; biological marker; algorithm; Article; bioinformatics; cancer prognosis; cancer survival; CD8+ T lymphocyte; cell infiltration; cellular immunity; clinical practice; controlled study; diagnostic test accuracy study; disease free survival; drug sensitivity; exosome; gene; gene expression; gene ontology; gene set enrichment analysis; glioblastoma; human; human cell; humoral immunity; immune response; immunosuppressive treatment; immunotherapy; inflammation; leishmaniasis; machine learning; multivariate analysis; outcome assessment; overall survival; pathway enrichment analysis; receiver operating characteristic; regression analysis; rheumatoid arthritis; risk assessment; somatic mutation; Staphylococcus aureus; Staphylococcus aureus infection; survival analysis; survival time; T lymphocyte; tumor growth; tumor immunity; tumor microenvironment; univariate analysis; upregulation; genetics; glioma; prognosis</t>
  </si>
  <si>
    <t xml:space="preserve">atezolizumab, 1380723-44-3; hyaluronic acid, 31799-91-4, 9004-61-9, 9067-32-7; nivolumab, 946414-94-4; pembrolizumab, 1374853-91-4; Biomarkers, </t>
  </si>
  <si>
    <t xml:space="preserve">National Natural Science Foundation of China, NSFC, (82060554)</t>
  </si>
  <si>
    <t xml:space="preserve">This research was supported by the National Nature Science Funds of China (Nos.82060554). </t>
  </si>
  <si>
    <t xml:space="preserve">Deb A., Gupta S., Mazumder P.B., Exosomes: A new horizon in modern medicine, Life Sci, 264, (2021); Zitvogel L., Regnault A., Lozier A., Wolfers J., Flament C., Tenza D., Et al., Eradication of established murine tumors using a novel cell-free vaccine: Dendritic cell-derived exosomes, Nat Med, 4, 5, pp. 594-600, (1998); Filipazzi P., Burdek M., Villa A., Rivoltini L., Huber V., Recent advances on the role of tumor exosomes in immunosuppression and disease progression, Semin Cancer Biol, 22, 4, (2012); Weller M., Wick W., Aldape K., Brada M., Berger M., Pfister S.M., Et al., Glioma, Nat Rev Dis Primers, 1, (2015); Zhang H., Wang R., Yu Y., Liu J., Luo T., Fan F., Glioblastoma treatment modalities besides surgery, J Cancer, 10, 20, (2019); Topalian S.L., Hodi F.S., Brahmer J.R., Gettinger S.N., Smith D.C., McDermott D.F., Et al., Safety, activity, and immune correlates of anti-PD-1 antibody in cancer, N Engl J Med, 366, 26, (2012); Zhang Z., Huang Q., Yu L., Zhu D., Li Y., Xue Z., Et al., The role of miRNA in tumor immune escape and miRNA-based therapeutic strategies, Front Immunol, 12, (2021); Bao L., Li X., MicroRNA-32 targeting PTEN enhances M2 macrophage polarization in the glioma microenvironment and further promotes the progression of glioma, Mol Cell Biochem, 460, 1-2, pp. 67-79, (2019); Kucharzewska P., Christianson H.C., Welch J.E., Svensson K.J., Fredlund E., Ringner M., Et al., Exosomes reflect the hypoxic status of glioma cells and mediate hypoxia-dependent activation of vascular cells during tumor development, Proc Natl Acad Sci U S A, 110, 18, (2013); Qian M., Wang S., Guo X., Wang J., Zhang Z., Qiu W., Et al., Hypoxic glioma-derived exosomes deliver microRNA-1246 to induce M2 macrophage polarization by targeting TERF2IP via the STAT3 and NF-κB pathways, Oncogene, 39, 2, (2020); Yang F., Wang T., Du P., Fan H., Dong X., Guo H., M2 bone marrow-derived macrophage-derived exosomes shuffle microRNA-21 to accelerate immune escape of glioma by modulating PEG3, Cancer Cell Int, 20, (2020); Ritchie M.E., Phipson B., Wu D., Hu Y., Law C.W., Shi W., Et al., Limma powers differential expression analyses for RNA-sequencing and microarray studies, Nucleic Acids Res, 43, 7, (2015); Chen Y., Zhong C., Bao S., Fang Z., Tang H., Prognostic analysis of lung adenocarcinoma based on DNA methylation regulatory factor clustering, J Oncol, 2021, (2021); Charoentong P., Finotello F., Angelova M., Mayer C., Efremova M., Rieder D., Et al., Pan-cancer immunogenomic analyses reveal genotype-immunophenotype relationships and predictors of response to checkpoint blockade, Cell Rep, 18, 1, (2017); Newman A.M., Liu C.L., Green M.R., Gentles A.J., Feng W., Xu Y., Et al., Robust enumeration of cell subsets from tissue expression profiles, Nat Methods, 12, 5, (2015); Yoshihara K., Shahmoradgoli M., Martinez E., Vegesna R., Kim H., Torres-Garcia W., Et al., Inferring tumour purity and stromal and immune cell admixture from expression data, Nat Commun, 4, (2013); Becht E., Giraldo N.A., Lacroix L., Buttard B., Elarouci N., Petitprez F., Et al., Estimating the population abundance of tissue-infiltrating immune and stromal cell populations using gene expression, Genome Biol, 17, 1, (2016); Yi M., Nissley D.V., McCormick F., Stephens R.M., ssGSEA score-based ras dependency indexes derived from gene expression data reveal potential ras addiction mechanisms with possible clinical implications, Sci Rep, 10, 1, (2020); Li T., Fan J., Wang B., Traugh N., Chen Q., Liu J.S., Et al., TIMER: A web server for comprehensive analysis of tumor-infiltrating immune cells, Cancer Res, 77, 21, (2017); Wang S., Zhang Q., Yu C., Cao Y., Zuo Y., Yang L., Immune cell infiltration-based signature for prognosis and immunogenomic analysis in breast cancer, Brief Bioinform, 22, 2, (2021); Hugo W., Zaretsky J.M., Sun L., Song C., Moreno B.H., Hu-Lieskovan S., Et al., Genomic and transcriptomic features of response to anti-PD-1 therapy in metastatic melanoma, Cell, 168, 3, (2017); Thorsson V., Gibbs D.L., Brown S.D., Wolf D., Bortone D.S., Ou Yang T.H., Et al., The immune landscape of cancer, Immunity, 48, 4, (2018); Mariathasan S., Turley S.J., Nickles D., Castiglioni A., Yuen K., Wang Y., Et al., TGFβ attenuates tumour response to PD-L1 blockade by contributing to exclusion of T cells, Nature, 554, 7693, (2018); Lai R.C., Yeo R.W., Tan K.H., Lim S.K., Exosomes for drug delivery - a novel application for the mesenchymal stem cell, Biotechnol Adv, 31, 5, (2013); Domenis R., Cesselli D., Toffoletto B., Bourkoula E., Caponnetto F., Manini I., Et al., Systemic T cells immunosuppression of glioma stem cell-derived exosomes is mediated by monocytic myeloid-derived suppressor cells, PloS One, 12, 1, (2017); Luhtala N., Aslanian A., Yates J.R., Hunter T., Secreted glioblastoma nanovesicles contain intracellular signaling proteins and active ras incorporated in a farnesylation-dependent manner, J Biol Chem, 292, 2, (2017); Ma Z., Cui X., Lu L., Chen G., Yang Y., Hu Y., Et al., Retraction note: Exosomes from glioma cells induce a tumor-like phenotype in mesenchymal stem cells by activating glycolysis, Stem Cell Res Ther, 12, 1, (2021); Rackles E., Lopez P.H., Falcon-Perez J.M., Extracellular vesicles as source for the identification of minimally invasive molecular signatures in glioblastoma, Semin Cancer Biol, 87, (2022); Hochberg F.H., Atai N.A., Gonda D., Hughes M.S., Mawejje B., Balaj L., Et al., Glioma diagnostics and biomarkers: an ongoing challenge in the field of medicine and science, Expert Rev Mol Diagn, 14, 4, (2014); Bowers L.W., Rossi E.L., O'Flanagan C.H., deGraffenried L.A., Hursting S.D., The role of the Insulin/IGF system in cancer: Lessons learned from clinical trials and the energy balance-cancer link, Front Endocrinol, 6, (2015); Oliva C.R., Halloran B., Hjelmeland A.B., Vazquez A., Bailey S.M., Sarkaria J.N., Et al., IGFBP6 controls the expansion of chemoresistant glioblastoma through paracrine IGF2/IGF-1R signaling, Cell Commun Signal, 16, 1, (2018); Maris C., D'Haene N., Trepant A.L., Le Mercier M., Sauvage S., Allard J., Et al., IGF-IR: a new prognostic biomarker for human glioblastoma, Br J Cancer, 113, 5, (2015); Levi A., Eldridge J.D., Paterson B.M., Molecular cloning of a gene sequence regulated by nerve growth factor, Science, 229, 4711, (1985); Bozdagi O., Rich E., Tronel S., Sadahiro M., Patterson K., Shapiro M.L., Et al., The neurotrophin-inducible gene vgf regulates hippocampal function and behavior through a brain-derived neurotrophic factor-dependent mechanism, J Neurosci, 28, 39, (2008); Wang X., Prager B.C., Wu Q., Kim L.J.Y., Gimple R.C., Shi Y., Et al., Reciprocal signaling between glioblastoma stem cells and differentiated tumor cells promotes malignant progression, Cell Stem Cell, 22, 4, pp. 514-28.e5, (2018); Le Belle J.E., Orozco N.M., Paucar A.A., Saxe J.P., Mottahedeh J., Pyle A.D., Et al., Proliferative neural stem cells have high endogenous ROS levels that regulate self-renewal and neurogenesis in a PI3K/Akt-dependant manner, Cell Stem Cell, 8, 1, pp. 59-71, (2011); Maciocia P.M., Wawrzyniecka P.A., Philip B., Ricciardelli I., Akarca A.U., Onuoha S.C., Et al., Targeting the T cell receptor β-chain constant region for immunotherapy of T cell malignancies, Nat Med, 23, 12, (2017); Quail D.F., Joyce J.A., The microenvironmental landscape of brain tumors, Cancer Cell, 31, 3, (2017); Nouri Rouzbahani F., Shirkhoda M., Memari F., Dana H., Mahmoodi Chalbatani G., Mahmoodzadeh H., Et al., Immunotherapy a new hope for cancer treatment: A review, Pak J Biol Sci, 21, 3, (2018); Zhang H., Zhou Y., Cheng Q., Dai Z., Wang Z., Liu F., Et al., PDIA3 correlates with clinical malignant features and immune signature in human gliomas, Aging, 12, 15, (2020); Gajewski T.F., Schreiber H., Fu Y.X., Innate and adaptive immune cells in the tumor microenvironment, Nat Immunol, 14, 10, (2013); Zhang H., Wang Z., Dai Z., Wu W., Cao H., Li S., Et al., Novel immune infiltrating cell signature based on cell pair algorithm is a prognostic marker in cancer, Front Immunol, 12, (2021)</t>
  </si>
  <si>
    <t xml:space="preserve">S. Zhang; Department of Oncology, Yanbian University Hospital, Yanji, China; email: zhangsn21@163.com</t>
  </si>
  <si>
    <t xml:space="preserve">2-s2.0-85149298523</t>
  </si>
  <si>
    <t xml:space="preserve">Nsugbe E.; Mathebula D.; Viza E.; Samuel O.W.; Connelly S.; Mutanga I.</t>
  </si>
  <si>
    <t xml:space="preserve">Nsugbe, Ejay (57193322398); Mathebula, Dephney (56389621100); Viza, Evi (57217848079); Samuel, Oluwarotimi W. (57188828713); Connelly, Stephanie (57679477200); Mutanga, Ian (57880838200)</t>
  </si>
  <si>
    <t xml:space="preserve">57193322398; 56389621100; 57217848079; 57188828713; 57679477200; 57880838200</t>
  </si>
  <si>
    <t xml:space="preserve">On the Clinical Use of Artificial Intelligence and Haematological Measurements for a Rapid Diagnosis and Care of Paediatric Malaria Patients in West Africa †</t>
  </si>
  <si>
    <t xml:space="preserve">Malaria continues to be a major cause of death worldwide, with a broad range of people spread over 90 countries being at risk of contracting the disease, and a significant cause of death in children under the age of 5. Due to this, there continues to be substantial investment towards not just the treatment of the disease, but also a more rapid and accurate means towards its diagnosis. In this work, we look to explore how measurements obtained from the complete blood count (CBC) technique from patients’ blood, alongside artificial intelligence (AI) methods, could form an affordable analytical pipeline that could be adopted in hospital settings in both developed and developing countries. As part of this work, we utilize patient blood measurements acquired from paediatric patients from Ghana, West Africa, alongside various configurations of AI models towards distinguishing between malaria vs. non-malaria cases in a sample set comprising over 2000 patients. Class balancing algorithms are utilized to first balance the classes for the various patient groups, followed by the use of AI algorithms to train machine learning models to differentiate between a malaria vs. a non-malaria patient. The results showcased a generally high prediction accuracy, especially in the case of models with nonlinear decision boundaries, therein showing how the proposed analytic pipeline can serve as a high-throughput approach towards tackling the malaria epidemic from a diagnostics perspective and ultimately enhancing patient care strategies. © 2023 by the authors.</t>
  </si>
  <si>
    <t xml:space="preserve">10.3390/ecsa-10-16246</t>
  </si>
  <si>
    <t xml:space="preserve">https://www.scopus.com/inward/record.uri?eid=2-s2.0-85201864455&amp;doi=10.3390%2fecsa-10-16246&amp;partnerID=40&amp;md5=2920812af98c18fc08090861a8d5e18a</t>
  </si>
  <si>
    <t xml:space="preserve">Nsugbe Research Labs, Swindon, SN1 3LG, United Kingdom; Department of Decision Sciences, College of Economics and Management Sciences, University of South Africa Muckleneuck, Pretoria, 0027, South Africa; School of Computing, Engineering &amp; Physical Sciences, University of the West of Scotland, Paisley, PA1 2BE, United Kingdom; School of Computing, University of Derby, Derby, DE22 1GB, United Kingdom; Hereford County Hospital, Wye Valley NHS Trust, Hereford, HR1 2BN, United Kingdom; Hereford Hospitals NHS Trust University of Bristol, Bristol, HR1 2BN, United Kingdom</t>
  </si>
  <si>
    <t xml:space="preserve">Nsugbe E., Nsugbe Research Labs, Swindon, SN1 3LG, United Kingdom; Mathebula D., Department of Decision Sciences, College of Economics and Management Sciences, University of South Africa Muckleneuck, Pretoria, 0027, South Africa; Viza E., School of Computing, Engineering &amp; Physical Sciences, University of the West of Scotland, Paisley, PA1 2BE, United Kingdom; Samuel O.W., School of Computing, University of Derby, Derby, DE22 1GB, United Kingdom; Connelly S., Hereford County Hospital, Wye Valley NHS Trust, Hereford, HR1 2BN, United Kingdom; Mutanga I., Hereford Hospitals NHS Trust University of Bristol, Bristol, HR1 2BN, United Kingdom</t>
  </si>
  <si>
    <t xml:space="preserve">artificial intelligence; decision support; diagnosis; epidemiology; haematology; machine learning; malaria; paediatrics; West Africa</t>
  </si>
  <si>
    <t xml:space="preserve">CDC-Malaria-FAQs; World Malaria Report 2018, (2018); Watson O.J., Sumner K.M., Janko M., Goel V., Winskill P., Slater H.C., Ghani A., Meshnick S.R., Parr J.B., False-Negative Malaria Rapid Diagnostic Test Results and Their Impact on Community-Based Malaria Surveys in Sub-Saharan Africa, BMJ Glob. Health, 4, (2019); Mouatcho J.C., Goldring J.P.D., Malaria Rapid Diagnostic Tests: Challenges and Prospects, J. Med. Microbiol, 62, pp. 1491-1505, (2013); Morang'a C.M., Amenga-Etego L., Bah S.Y., Appiah V., Amuzu D.S.Y., Amoako N., Abugri J., Oduro A.R., Cunnington A.J., Awandare G.A., Et al., Machine Learning Approaches Classify Clinical Malaria Outcomes Based on Haematological Parameters, BMC Med, 18, (2020); Nsugbe E., Ser H.-L., Ong H.-F., Ming L.C., Goh K.-W., Goh B.-H., Lee W.-L., On an Affordable Approach towards the Diagnosis and Care for Prostate Cancer Patients Using Urine, FTIR and Prediction Machines, Diagnostics, 12, (2022); Nsugbe E., Connelly S., Multiscale Depth of Anaesthesia Prediction for Surgery Using Frontal Cortex Electroencephalography, Healthc. Technol. Lett, 9, pp. 43-53, (2022); Nsugbe E., Obajemu O., Samuel O.W., Sanusi I., Application of Noninvasive Magnetomyography in Labour Imminency Prediction for Term and Preterm Pregnancies and Ethnicity Specific Labour Prediction, Mach. Learn. Appl, 5, (2021); Nsugbe E., On the Application of Metaheuristics and Deep Wavelet Scattering Decompositions for the Prediction of Adolescent Psychosis Using EEG Brain Wave Signals, Digit. Technol. Res. Appl, 1, pp. 9-24, (2022); Nsugbe E., Williams Samuel O., Asogbon M.G., Li G., Contrast of Multi-Resolution Analysis Approach to Transhumeral Phantom Motion Decoding, CAAI Trans. Intell. Technol, 6, pp. 360-375, (2021); Nsugbe E., Phillips C., Fraser M., McIntosh J., Gesture Recognition for Transhumeral Prosthesis Control Using EMG and NIR, IET Cyber-Syst. Robot, 2, pp. 122-131, (2020); Poostchi M., Silamut K., Maude R.J., Jaeger S., Thoma G., Image Analysis and Machine Learning for Detecting Malaria, Transl. Res, 194, pp. 36-55, (2018); Bediako Y., Adams R., Reid A.J., Valletta J.J., Ndungu F.M., Sodenkamp J., Mwacharo J., Ngoi J.M., Kimani D., Kai O., Et al., Repeated Clinical Malaria Episodes Are Associated with Modification of the Immune System in Children, BMC Med, 17, (2019); KalantarMotamedi Y., Eastman R.T., Guha R., Bender A., A Systematic and Prospectively Validated Approach for Identifying Synergistic Drug Combinations against Malaria, Malar. J, 17, (2018); Shrinet J., Nandal U.K., Adak T., Bhatnagar R.K., Sunil S., Inference of the Oxidative Stress Network in Anopheles Stephensi upon Plasmodium Infection, PLoS ONE, 9, (2014); Graham M.D., The Coulter Principle: Foundation of an Industry, JALA J. Assoc. Lab. Autom, 8, pp. 72-81, (2003); Chawla N.V., Bowyer K.W., Hall L.O., Kegelmeyer W.P., SMOTE: Synthetic Minority Over-Sampling Technique, J. Artif. Intell. Res, 16, pp. 321-357, (2002); Nsugbe E., Starr A., Ruiz-Carcel C., Monitoring the Particle Size Distribution of a Powder Mixing Process with Acoustic Emissions: A Review, Eng. Technol. Ref, 1, pp. 1-12, (2016); Nsugbe E., Particle Size Distribution Estimation of a Powder Agglomeration Process Using Acoustic Emissions, Ph.D. Thesis, (2017); Nsugbe E., Ruiz-Carcel C., Starr A., Jennions I., Estimation of Fine and Oversize Particle Ratio in a Heterogeneous Compound with Acoustic Emissions, Sensors, 18, (2018)</t>
  </si>
  <si>
    <t xml:space="preserve">E. Nsugbe; Nsugbe Research Labs, Swindon, SN1 3LG, United Kingdom; email: ennsugbe@yahoo.com</t>
  </si>
  <si>
    <t xml:space="preserve">2-s2.0-85201864455</t>
  </si>
  <si>
    <t xml:space="preserve">Li Q.; Zheng J.-X.; Jia T.-W.; Feng X.-Y.; Lv C.; Zhang L.-J.; Yang G.-J.; Xu J.; Zhou X.-N.</t>
  </si>
  <si>
    <t xml:space="preserve">Li, Qin (58898907000); Zheng, Jin-Xin (57194709158); Jia, Tie-Wu (8451222000); Feng, Xin-Yu (57221217683); Lv, Chao (57162315200); Zhang, Li-Juan (55917753900); Yang, Guo-Jing (8310181900); Xu, Jing (57095181500); Zhou, Xiao-Nong (8967873100)</t>
  </si>
  <si>
    <t xml:space="preserve">58898907000; 57194709158; 8451222000; 57221217683; 57162315200; 55917753900; 8310181900; 57095181500; 8967873100</t>
  </si>
  <si>
    <t xml:space="preserve">Optimized strategy for schistosomiasis elimination: results from marginal benefit modeling</t>
  </si>
  <si>
    <t xml:space="preserve">Background: Poverty contributes to the transmission of schistosomiasis via multiple pathways, with the insufficiency of appropriate interventions being a crucial factor. The aim of this article is to provide more economical and feasible intervention measures for endemic areas with varying levels of poverty. Methods: We collected and analyzed the prevalence patterns along with the cost of control measures in 11 counties over the last 20 years in China. Seven machine learning models, including XGBoost, support vector machine, generalized linear model, regression tree, random forest, gradient boosting machine and neural network, were used for developing model and calculate marginal benefits. Results: The XGBoost model had the highest prediction accuracy with an R 2 of 0.7308. Results showed that risk surveillance, snail control with molluscicides and treatment were the most effective interventions in controlling schistosomiasis prevalence. The best combination of interventions was interlacing seven interventions, including risk surveillance, treatment, toilet construction, health education, snail control with molluscicides, cattle slaughter and animal chemotherapy. The marginal benefit of risk surveillance is the most effective intervention among nine interventions, which was influenced by the prevalence of schistosomiasis and cost. Conclusions: In the elimination phase of the national schistosomiasis program, emphasizing risk surveillance holds significant importance in terms of cost-saving. Graphical Abstract: [Figure not available: see fulltext.]. © 2023, The Author(s).</t>
  </si>
  <si>
    <t xml:space="preserve">Parasites and Vectors</t>
  </si>
  <si>
    <t xml:space="preserve">10.1186/s13071-023-06001-x</t>
  </si>
  <si>
    <t xml:space="preserve">https://www.scopus.com/inward/record.uri?eid=2-s2.0-85176459059&amp;doi=10.1186%2fs13071-023-06001-x&amp;partnerID=40&amp;md5=061d0ec4a06c9ff5ffbb8f84ecfd94c4</t>
  </si>
  <si>
    <t xml:space="preserve">National Institute of Parasitic Diseases, Chinese Center for Disease Control and Prevention (Chinese Center for Tropical Diseases Research), National Health Commission Key Laboratory of Parasite and Vector Biology, WHO Collaborating Centre for Tropical Diseases, National Center for International Research on Tropical Diseases, Shanghai, 200025, China; Ruijin Hospital Affiliated to The Shanghai Jiao Tong University Medical School, Shanghai, 200025, China; School of Tropical Medicine, Hainan Medical University, Haikou, 571199, China; School of Global Health, Chinese Center for Tropical Diseases Research and Shanghai Jiao Tong University School of Medicine, One Health Center, Shanghai Jiao Tong University and The Edinburgh University, Shanghai, 200025, China</t>
  </si>
  <si>
    <t xml:space="preserve">Li Q., National Institute of Parasitic Diseases, Chinese Center for Disease Control and Prevention (Chinese Center for Tropical Diseases Research), National Health Commission Key Laboratory of Parasite and Vector Biology, WHO Collaborating Centre for Tropical Diseases, National Center for International Research on Tropical Diseases, Shanghai, 200025, China; Zheng J.-X., Ruijin Hospital Affiliated to The Shanghai Jiao Tong University Medical School, Shanghai, 200025, China; Jia T.-W., National Institute of Parasitic Diseases, Chinese Center for Disease Control and Prevention (Chinese Center for Tropical Diseases Research), National Health Commission Key Laboratory of Parasite and Vector Biology, WHO Collaborating Centre for Tropical Diseases, National Center for International Research on Tropical Diseases, Shanghai, 200025, China; Feng X.-Y., National Institute of Parasitic Diseases, Chinese Center for Disease Control and Prevention (Chinese Center for Tropical Diseases Research), National Health Commission Key Laboratory of Parasite and Vector Biology, WHO Collaborating Centre for Tropical Diseases, National Center for International Research on Tropical Diseases, Shanghai, 200025, China; Lv C., National Institute of Parasitic Diseases, Chinese Center for Disease Control and Prevention (Chinese Center for Tropical Diseases Research), National Health Commission Key Laboratory of Parasite and Vector Biology, WHO Collaborating Centre for Tropical Diseases, National Center for International Research on Tropical Diseases, Shanghai, 200025, China, School of Global Health, Chinese Center for Tropical Diseases Research and Shanghai Jiao Tong University School of Medicine, One Health Center, Shanghai Jiao Tong University and The Edinburgh University, Shanghai, 200025, China; Zhang L.-J., National Institute of Parasitic Diseases, Chinese Center for Disease Control and Prevention (Chinese Center for Tropical Diseases Research), National Health Commission Key Laboratory of Parasite and Vector Biology, WHO Collaborating Centre for Tropical Diseases, National Center for International Research on Tropical Diseases, Shanghai, 200025, China; Yang G.-J., School of Tropical Medicine, Hainan Medical University, Haikou, 571199, China; Xu J., National Institute of Parasitic Diseases, Chinese Center for Disease Control and Prevention (Chinese Center for Tropical Diseases Research), National Health Commission Key Laboratory of Parasite and Vector Biology, WHO Collaborating Centre for Tropical Diseases, National Center for International Research on Tropical Diseases, Shanghai, 200025, China; Zhou X.-N., National Institute of Parasitic Diseases, Chinese Center for Disease Control and Prevention (Chinese Center for Tropical Diseases Research), National Health Commission Key Laboratory of Parasite and Vector Biology, WHO Collaborating Centre for Tropical Diseases, National Center for International Research on Tropical Diseases, Shanghai, 200025, China, School of Global Health, Chinese Center for Tropical Diseases Research and Shanghai Jiao Tong University School of Medicine, One Health Center, Shanghai Jiao Tong University and The Edinburgh University, Shanghai, 200025, China</t>
  </si>
  <si>
    <t xml:space="preserve">Cost-effectiveness; Integrated control strategy; Machine learning analysis; Marginal benefit analysis; Modeling; Optimization; Schistosomiasis elimination</t>
  </si>
  <si>
    <t xml:space="preserve">Animals; Cattle; China; Molluscacides; Prevalence; Schistosomiasis; Snails; molluscacide; molluscacide; accuracy; Article; artificial neural network; bovine; China; cost effectiveness analysis; disease elimination; disease surveillance; endemic disease; health care cost; health economics; health education; machine learning; model; nonhuman; poverty; prediction; prevalence; random forest; risk factor; schistosomiasis; slaughtering; snail; support vector machine; vector control; animal; schistosomiasis</t>
  </si>
  <si>
    <t xml:space="preserve">Molluscacides, </t>
  </si>
  <si>
    <t xml:space="preserve">Anhui Institute of Schistosomiasis Control; Department of S&amp;T; Hubei Provincial Center for Disease Control and Prevention; Jiangxi Institute of Schistosomiasis Control; Shanghai Municipality Government, (21410750200); National Key Research and Development Program of China, NKRDPC, (2021YFC2300800, 2021YFC2300804); National Key Research and Development Program of China, NKRDPC</t>
  </si>
  <si>
    <t xml:space="preserve">Funding text 1: Thanks for the support from Xu Shaojuan from the Anhui Institute of Schistosomiasis Control, Li Yifeng, Hu Fei and Lin Dandan from the Jiangxi Institute of Schistosomiasis Control, Zhou Jie from the Hunan Provincial Center for Disease Control and Prevention and Huang Xibao from Hubei Provincial Center for Disease Control and Prevention during the data collection process.; Funding text 2: To advance the process of the national eliminating schistosomiasis program in China, it is essential to strengthen surveillance strategies. This includes intensifying the surveillance of changes in snail-inhabited areas and the infection rates of humans, cattle and snails and simultaneously conducting explorations of potential high-risk regions. The results of this study demonstrate that risk surveillance is a pivotal intervention for the elimination of schistosomiasis []. This conclusion is supported by two outcomes from the study. First, among all intervention measures, risk surveillance exhibits the highest SHAP value. Second, optimal combinations from the study in both lake and mountainous regions have included the intervention of risk surveillance. This study also provides a reference for establishing surveillance priorities. The determination of surveillance focus is guided by assessing the marginal benefits derived from interventions targeting humans, cattle and snails in different endemic regions. </t>
  </si>
  <si>
    <t xml:space="preserve">Luo C., Wang Y., Su Q., Zhu J., Tang S., Bergquist R., Et al., Mapping schistosomiasis risk in Southeast Asia: a systematic review and geospatial analysis, Int J Epidemiol, (2022); Utzinger J., Zhou X.N., Chen M.G., Bergquist R., Conquering schistosomiasis in China: the long march, Acta Trop, 96, pp. 69-96, (2005); Secor W.E., Early lessons from schistosomiasis mass drug administration programs, F1000Research, 4, (2015); Gray D.J., McManus D.P., Li Y., Williams G.M., Bergquist R., Ross A.G., Schistosomiasis elimination: lessons from the past guide the future, Lancet Infect Dis, 10, pp. 733-736, (2010); Xu J., Steinman P., Maybe D., Zhou X.N., Lv S., Li S.Z., Et al., Evolution of the national schistosomiasis control programmes in the People's Republic of China, Adv Parasitol, 92, pp. 1-38, (2016); Li Q., Xu J., Li S.Z., Utzinger J., McManus D.P., Zhou X.N., Short-, mid-, and long-term epidemiological and economic effects of the World Bank loan project on schistosomiasis control in the People's Republic of China, Diseases, 10, (2022); Zhang L., He J., Yang F., Dang H., Li Y., Guo S., Et al., Progress of schistosomiasis control in People's Republic of China in 2022, Zhongguo Xue Xi Chong Bing Fang Zhi Za Zhi, 35, pp. 217-224, (2023); Ajibola O., Gulumbe B.H., Eze A.A., Obishakin E., Tools for detection of schistosomiasis in resource limited settings, Med Sci, 6, (2018); Cheng C., Fang Z., Zhou Q., Wang Y., Li N., Zhou H., Improving the effectiveness of watershed environmental management-dynamic coordination through government pollution control and resident participation, Environ Sci Pollut Res Int, 30, pp. 57862-57881, (2023); Muurinen J.M., Le Grand J., The economic analysis of inequalities in health, Soc Sci Med, 20, pp. 1029-1035, (1985); Li X., Zhao Y., Zhang D., Kuang L., Huang H., Chen W., Et al., Development of an interpretable machine learning model associated with heavy metals' exposure to identify coronary heart disease among US adults via SHAP: Findings of the US NHANES from 2003 to 2018, Chemosphere, 311, (2023); Choi R.Y., Coyner A.S., Kalpathy-Cramer J., Chiang M.F., Campbell J.P., Introduction to machine learning, neural networks, and deep learning, Transl Vis Sci Technol, 9, (2020); Greener J.G., Kandathil S.M., Moffat L., Jones D.T., A guide to machine learning for biologists, Nat Rev Mol Cell Biol, 23, pp. 40-55, (2022); Gonzalez-Novoa J.A., Busto L., Rodriguez-Andina J.J., Farina J., Segura M., Gomez V., Et al., Using explainable machine learning to improve intensive care unit alarm systems, Sensors, 21, (2021); Wiemken T.L., Kelley R.R., Machine learning in epidemiology and health outcomes research, Annu Rev Public Health, 41, pp. 21-36, (2020); Yu Y., Tan Y., Xie C., Hu Q., Ouyang J., Chen Y., Et al., Development and validation of a preoperative magnetic resonance imaging radiomics-based signature to predict axillary lymph node metastasis and disease-free survival in patients with early-stage breast cancer, JAMA Netw Open, 3, (2020); Uddin M.G., Nash S., Mahammad Diganta M.T., Rahman A., Olbert A.I., Robust machine learning algorithms for predicting coastal water quality index, J Environ Manage, 321, (2022); Adnan M., Alarood A.A.S., Uddin M.I., Ur R.I., Utilizing grid search cross-validation with adaptive boosting for augmenting performance of machine learning models, PeerJ Comput Sci, 8, (2022); Lundberg S.M., Lee S.-I., A unified approach to interpreting model predictions, Adv Neural Inf Process Syst, 30, (2017); Wang K., Tian J., Zheng C., Yang H., Ren J., Liu Y., Et al., Interpretable prediction of 3-year all-cause mortality in patients with heart failure caused by coronary heart disease based on machine learning and SHAP, Comput Biol Med, 137, (2021); Lv C., Deng W., Wang L., Qin Z., Zhou X., Xu J., Molecular techniques as alternatives of diagnostic tools in China as schistosomiasis moving towards elimination, Pathogens, 11, (2022); Guo S., Dang H., Li Y., Zhang L., Yang F., He J., Et al., Sentinel surveillance of Schistosomiasis—China, 2021, China CDC Wkly, 5, pp. 278-282, (2023); Zhang L.J., Xu Z.M., Yang F., Dang H., Li Y.L., Lu S., Et al., Endemic status of schistosomiasis in People's Republic of China in 2020, Zhongguo Xue Xi Chong Bing Fang Zhi Za Zhi, 33, pp. 225-233, (2021); Trippler L., Hattendorf J., Ali S.M., Ame S.M., Juma S., Kabole F., Et al., Novel tools and strategies for breaking schistosomiasis transmission: study protocol for an intervention study, BMC Infect Dis, 21, (2021); Allan F., Ame S.M., Tian-Bi Y.T., Hofkin B.V., Webster B.L., Diakite N.R., Et al., Snail-related contributions from the Schistosomiasis Consortium for Operational Research and Evaluation program including xenomonitoring, focal mollusciciding, biological control, and modeling, Am J Trop Med Hyg, 103, pp. 66-79, (2020); Lu X.T., Gu Q.Y., Limpanont Y., Song L.G., Wu Z.D., Okanurak K., Et al., Snail-borne parasitic diseases: an update on global epidemiological distribution, transmission interruption and control methods, Infect Dis Poverty, 7, (2018); Liang S., Abe E.M., Zhou X.N., Integrating ecological approaches to interrupt schistosomiasis transmission: opportunities and challenges, Infect Dis Poverty, 7, (2018); Li Y., Wang S., Hu X., Huang Y., Chen R., Lin M., Et al., Surveillance and response systems driving malaria elimination in the mountain areas of Hainan Province, Adv Parasitol, 116, pp. 69-113, (2022); Xu J., Li S.Z., Zhang L.J., Bergquist R., Dang H., Wang Q., Et al., Surveillance-based evidence: elimination of schistosomiasis as a public health problem in the Peoples' Republic of China, Infect Dis Poverty, 9, (2020); Liu Y., Zhou Y.B., Li R.Z., Wan J.J., Yang Y., Qiu D.C., Et al., Epidemiological features and effectiveness of schistosomiasis control programme in mountainous and hilly region of the People's Republic of China, Adv Parasitol, 92, pp. 73-95, (2016); Zhang S.Q., Sun C.S., Wang M., Lin D.D., Zhou X.N., Wang T.P., Epidemiological features and effectiveness of schistosomiasis control programme in lake and marshland region in the People's Republic of China, Adv Parasitol, 92, pp. 39-71, (2016); Liu L., Yang G.J., Zhu H.R., Yang K., Ai L., Knowledge of, attitudes towards, and practice relating to schistosomiasis in two subtypes of a mountainous region of the People’s Republic of China, Infect Dis Poverty, 3, (2014); Coulibaly J.T., Panic G., Yapi R.B., Kovac J., Barda B., N'Gbesso Y.K., Et al., Efficacy and safety of ascending doses of praziquantel against Schistosoma haematobium infection in preschool-aged and school-aged children: a single-blind randomised controlled trial, BMC Med, 16, (2018)</t>
  </si>
  <si>
    <t xml:space="preserve">X.-N. Zhou; National Institute of Parasitic Diseases, Chinese Center for Disease Control and Prevention (Chinese Center for Tropical Diseases Research), National Health Commission Key Laboratory of Parasite and Vector Biology, WHO Collaborating Centre for Tropical Diseases, National Center for International Research on Tropical Diseases, Shanghai, 200025, China; email: zhouxn1@chinacdc.cn</t>
  </si>
  <si>
    <t xml:space="preserve">2-s2.0-85176459059</t>
  </si>
  <si>
    <t xml:space="preserve">Whitson C.C.; Nute A.W.; Hailemariam B.; Deathe A.R.; Astale T.; Ayele Z.; Gessese D.; Sata E.; Zerihun M.; Melak B.; Haile M.; Zeru T.; Getnet B.; Wondimteka B.; Kabtu E.; Getachew H.; Shibiru M.; Bayecha S.; Aragie S.; Wittberg D.M.; Tadesse Z.; Callahan E.K.; Keenan J.D.; Admassu F.; Nash S.D.</t>
  </si>
  <si>
    <t xml:space="preserve">Whitson, Cassidy C. (57370318000); Nute, Andrew W. (57201340990); Hailemariam, Begashaw (57902533500); Deathe, Andrew R. (57190028965); Astale, Tigist (57076949800); Ayele, Zebene (57204795177); Gessese, Demelash (56142745500); Sata, Eshetu (57190967740); Zerihun, Mulat (16067780800); Melak, Berhanu (24448540800); Haile, Mahteme (57221653504); Zeru, Taye (57221345023); Getnet, Banchalem (58087144200); Wondimteka, Bilen (58087079500); Kabtu, Endale (57704713900); Getachew, Habib (58087079600); Shibiru, Meskerem (58087127400); Bayecha, Social (58087079700); Aragie, Solomon (57193211281); Wittberg, Dionna M. (57219048148); Tadesse, Zerihun (25032181800); Callahan, E. Kelly (57190960899); Keenan, Jeremy D. (24556431900); Admassu, Fisseha (15729201500); Nash, Scott D. (35119234500)</t>
  </si>
  <si>
    <t xml:space="preserve">57370318000; 57201340990; 57902533500; 57190028965; 57076949800; 57204795177; 56142745500; 57190967740; 16067780800; 24448540800; 57221653504; 57221345023; 58087144200; 58087079500; 57704713900; 58087079600; 58087127400; 58087079700; 57193211281; 57219048148; 25032181800; 57190960899; 24556431900; 15729201500; 35119234500</t>
  </si>
  <si>
    <t xml:space="preserve">Photographic grading for trachoma diagnosis within trachoma impact surveys in Amhara region, Ethiopia</t>
  </si>
  <si>
    <t xml:space="preserve">Background: As countries reach the trachoma elimination threshold and cases of trachomatous inflammation follicular (TF) become rare, it becomes difficult to train survey graders to recognize clinical signs. We assess the use of photography as a grading tool, the efficiency of an in-country grading center and the comparability of field and photographic grading. Methods: During January–February 2017 surveys in Amhara, Ethiopia, field graders assessed TF, trachomatous inflammation intense (TI) and trachomatous scarring (TS). Photographs were taken from each conjunctiva and later graded at the Gondar Grading Center (GGC) at the University of Gondar in Amhara. Two trained ophthalmology residents graded each set of photographs and a third grader provided an adjudicating grade when needed. Results: A total of 4953 photographs of 2477 conjunctivae from 1241 participants in 10 communities were graded over 5 d at the GGC. Six examined participants were not photographed. Agreement between field and photographic grades were for TF: percent agreement (PA) 96.7%, κ=0.70 (95% confidence interval [CI] 0.64 to 0.77; for TI: PA 94.7%, κ=0.32 (95% CI 0.20 to 0.43); and for TS: PA 83.5%, κ=0.22 (95% CI 0.15 to 0.29). Conclusions: Conjunctival photography may be a solution for programs near the elimination threshold where there are few available community cases for training field graders. © The Author(s) 2022.</t>
  </si>
  <si>
    <t xml:space="preserve">Ethiopia</t>
  </si>
  <si>
    <t xml:space="preserve">Transactions of the Royal Society of Tropical Medicine and Hygiene</t>
  </si>
  <si>
    <t xml:space="preserve">10.1093/trstmh/trac090</t>
  </si>
  <si>
    <t xml:space="preserve">https://www.scopus.com/inward/record.uri?eid=2-s2.0-85147234509&amp;doi=10.1093%2ftrstmh%2ftrac090&amp;partnerID=40&amp;md5=2e4deb61522db5078240eb03b025963a</t>
  </si>
  <si>
    <t xml:space="preserve">Rollins School of Public Health, Emory University, Atlanta, GA, United States; Trachoma Control Program, The Carter Center, Atlanta, GA, United States; Trachoma Control Program, The Carter Center, Addis Ababa, Ethiopia; Research and Technology Transfer Directorate, Amhara Public Health Institute, Bahir Dar, Ethiopia; Department of Ophthalmology, University of Gondar, Gondar, Ethiopia; Francis I. Proctor Foundation, University of California, San Francisco, San Francisco, CA, United States</t>
  </si>
  <si>
    <t xml:space="preserve">Whitson C.C., Rollins School of Public Health, Emory University, Atlanta, GA, United States; Nute A.W., Trachoma Control Program, The Carter Center, Atlanta, GA, United States; Hailemariam B., Trachoma Control Program, The Carter Center, Addis Ababa, Ethiopia; Deathe A.R., Trachoma Control Program, The Carter Center, Atlanta, GA, United States; Astale T., Trachoma Control Program, The Carter Center, Addis Ababa, Ethiopia; Ayele Z., Trachoma Control Program, The Carter Center, Addis Ababa, Ethiopia; Gessese D., Trachoma Control Program, The Carter Center, Addis Ababa, Ethiopia; Sata E., Trachoma Control Program, The Carter Center, Addis Ababa, Ethiopia; Zerihun M., Trachoma Control Program, The Carter Center, Addis Ababa, Ethiopia; Melak B., Trachoma Control Program, The Carter Center, Addis Ababa, Ethiopia; Haile M., Research and Technology Transfer Directorate, Amhara Public Health Institute, Bahir Dar, Ethiopia; Zeru T., Research and Technology Transfer Directorate, Amhara Public Health Institute, Bahir Dar, Ethiopia; Getnet B., Department of Ophthalmology, University of Gondar, Gondar, Ethiopia; Wondimteka B., Department of Ophthalmology, University of Gondar, Gondar, Ethiopia; Kabtu E., Department of Ophthalmology, University of Gondar, Gondar, Ethiopia; Getachew H., Department of Ophthalmology, University of Gondar, Gondar, Ethiopia; Shibiru M., Department of Ophthalmology, University of Gondar, Gondar, Ethiopia; Bayecha S., Department of Ophthalmology, University of Gondar, Gondar, Ethiopia; Aragie S., Trachoma Control Program, The Carter Center, Addis Ababa, Ethiopia; Wittberg D.M., Francis I. Proctor Foundation, University of California, San Francisco, San Francisco, CA, United States; Tadesse Z., Trachoma Control Program, The Carter Center, Addis Ababa, Ethiopia; Callahan E.K., Trachoma Control Program, The Carter Center, Atlanta, GA, United States; Keenan J.D., Francis I. Proctor Foundation, University of California, San Francisco, San Francisco, CA, United States; Admassu F., Department of Ophthalmology, University of Gondar, Gondar, Ethiopia; Nash S.D., Trachoma Control Program, The Carter Center, Atlanta, GA, United States</t>
  </si>
  <si>
    <t xml:space="preserve">conjunctiva; Ethiopia; photography; survey; trachoma</t>
  </si>
  <si>
    <t xml:space="preserve">Conjunctiva; Ethiopia; Humans; Infant; Inflammation; Photography; Prevalence; Trachoma; antibiotic agent; Article; child; conjunctiva; Ethiopia; female; health survey; household; human; illumination; inflammation; intraocular pressure; learning algorithm; machine learning; magnification radiography; male; photographic grading; photography; prevalence; scar formation; scar tissue; trachoma impact survey; Ethiopia; infant; photography; trachoma</t>
  </si>
  <si>
    <t xml:space="preserve">R, R Foundation, Austria; Stata 15, StataCorp, United States</t>
  </si>
  <si>
    <t xml:space="preserve">R Foundation, Austria; StataCorp, United States</t>
  </si>
  <si>
    <t xml:space="preserve">Taylor H., Trachoma, Int Ophthalmol, 14, 3, pp. 201-204, (1990); Thylefors B, Dawson CR, Jones BR, Et al., A simple system for the assessment of trachoma and its complications, Bull World Health Org, 65, 4, pp. 477-483, (1987); Gebresillasie S, Tadesse Z, Shiferaw A, Et al., Inter-rater agreement between trachoma graders: comparison of grades given in field conditions versus grades from photographic review, Ophthalmic Epidemiol, 22, 3, pp. 162-169, (2015); Rahman SA, Yu SN, Amza A, Et al., Reliability of trachoma clinical grading—assessing grading of marginal cases, PLoS Negl Trop Dis, 8, 5, (2014); Hoffman JJ, Habtamu E, Rono H, Et al., 3D images as a field grader training tool for trachomatous trichiasis: a diagnostic accuracy study in Ethiopia, PLoS Negl Trop Dis, 13, 1, (2019); Naufal F, West SK, Brady CJ., Utility of photography for trachoma surveys: a systematic review, Surv Ophthalmol, 67, 3, pp. 842-857, (2022); Sata E, Nute AW, Astale T, Et al., Twelve-year longitudinal trends in trachoma prevalence among children aged 1–9 years in Amhara, Ethiopia, 2007–2019, Am J Trop Med Hyg, 104, 4, pp. 1278-1289, (2021); Stewart AEP, Zerihun M, Gessese D, Et al., Progress to eliminate trachoma as a public health problem in Amhara National Regional State, Ethiopia: results of 152 population-based surveys, Am J Trop Med Hyg, 101, 6, pp. 1286-1295, (2019); Habtamu E, Wondie T, Aweke S, Et al., Posterior lamellar versus bilamellar tarsal rotation surgery for trachomatous trichiasis in Ethiopia: a randomised controlled trial, Lancet Glob Health, 4, 3, pp. e175-e184, (2016); O'Brien KS, Byanju R, Kandel RP, Et al., Village-Integrated Eye Worker trial (VIEW): rationale and design of a cluster-randomised trial to prevent corneal ulcers in resource-limited settings, BMJ Open, 8, 8, (2018); Nesemann JM, Seider MI, Snyder BM, Et al., Comparison of smartphone photography, single-lens reflex photography, and field-grading for trachoma, Am J Trop Med Hyg, 103, 6, pp. 2488-2491, (2020); Astale T, Ebert CD, Nute AW, Et al., The population-based prevalence of trachomatous scarring in a trachoma hyperendemic setting: results from 152 impact surveys in Amhara, Ethiopia, BMC Ophthalmol, 21, 1, (2021); Bhosai SJ, Amza A, Beido N, Et al., Application of smartphone cameras for detecting clinically active trachoma, Br J Ophthalmol, 96, 10, pp. 1350-1351, (2012); Snyder BM, Sie A, Tapsoba C, Et al., Smartphone photography as a possible method of post-validation trachoma surveillance in resource-limited settings, Int Health, 11, 6, pp. 613-615, (2019); Naufal F, Brady CJ, Wolle MA, Et al., Evaluation of photography using head-mounted display technology (ICAPS) for district trachoma surveys, PLoS Negl Trop Dis, 15, 11, (2021); Slaven RP, Stewart AEP, Zerihun M, Et al., A cost-analysis of conducting population-based prevalence surveys for the validation of the elimination of trachoma as a public health problem in Amhara, Ethiopia, PLoS Negl Trop Dis, 14, 9, (2020)</t>
  </si>
  <si>
    <t xml:space="preserve">S.D. Nash; Trachoma Control Program, The Carter Center, Atlanta, United States; email: scott.nash@cartercenter.org</t>
  </si>
  <si>
    <t xml:space="preserve">TRSTA</t>
  </si>
  <si>
    <t xml:space="preserve">Trans. R. Soc. Trop. Med. Hyg.</t>
  </si>
  <si>
    <t xml:space="preserve">2-s2.0-85147234509</t>
  </si>
  <si>
    <t xml:space="preserve">Tauheed A.M.; Mamman M.; Ahmed A.; Ibrahim B.; Aliyu-Amoo H.; Yahaya S.F.; Balogun E.O.</t>
  </si>
  <si>
    <t xml:space="preserve">Tauheed, Abdullah M. (57191976304); Mamman, Mohammed (57212890974); Ahmed, Abubakar (55448616100); Ibrahim, Bashir (57216740829); Aliyu-Amoo, Hadiza (58647809700); Yahaya, Sakeena F. (58648153100); Balogun, Emmanuel O. (8406496900)</t>
  </si>
  <si>
    <t xml:space="preserve">57191976304; 57212890974; 55448616100; 57216740829; 58647809700; 58648153100; 8406496900</t>
  </si>
  <si>
    <t xml:space="preserve">Phytochemistry and Antitrypanosomal Effects of Acacia nilotica, Tamarindus indica and Terminalia avicennioides Using Drug Incubation Infectivity Test</t>
  </si>
  <si>
    <t xml:space="preserve">Trypanosomiasis remains a major constraint to the development of the livestock sector in sub-Saharan Africa with the negative economic impact extending into South America and Asia. The increasing resistance to the available trypanocidal drugs necessitates the need for the discovery of newer and more efficient drug. Therefore, the aim is to screen three important Nigerian ethnomedicinal plants for antitrypanosomal potential. Fifty microliter of 20, 10 and 0.1 µg/µL each of the crude methanol extract of Acacia nilotica, Terminalia avicennioides and Tamarindus indica, and diminazene aceturate was mixed with 50 µL of Trypanosome congolense-laden blood (TC-LB) (8.6×107 cells per mL of blood) and incubated at 25°C for 5 h. Similarly, wells with 2% tween 80 and TC-LB only served as negative and untreated controls, respectively. The experiment was carried out in triplicate. The contents of each well were inoculated into mice at score 0 and at the end of the experiment for concentrations that did not produce score 0. Phytochemical constituents of each extract were detected by thin-layer chromatography. T. avicennioides and A. nilotica reached score 0 within 3 and 5 h, respectively, and did not produce infection in the inoculated mice. However, T. indica produced significant (P &lt; 0.05) reduction in parasite motility at the highest concentration compared to negative control. Alkaloids, phenols, steroids and triterpenes were detected in the three plants. Additionally, T. avicennioides also contained anthraquinones. Thus, the plants, particularly T. avicennioides and A. nilotica offer prospects for the discovery of new antitrypanosomal drugs. © 2023 Tauheed et al.</t>
  </si>
  <si>
    <t xml:space="preserve">Tropical Journal of Natural Product Research</t>
  </si>
  <si>
    <t xml:space="preserve">Faculty of Pharmacy, University of Benin</t>
  </si>
  <si>
    <t xml:space="preserve">10.26538/tjnpr/v7i9.33</t>
  </si>
  <si>
    <t xml:space="preserve">https://www.scopus.com/inward/record.uri?eid=2-s2.0-85174143428&amp;doi=10.26538%2ftjnpr%2fv7i9.33&amp;partnerID=40&amp;md5=0ac7ba49a29ee859ea42942dfbc314bf</t>
  </si>
  <si>
    <t xml:space="preserve">Department of Veterinary Pharmacology and Toxicology, Faculty of Veterinary Medicine, Ahmadu Bello University, Kaduna State, Zaria, Nigeria; Africa Centre of Excellence for Neglected Tropical Diseases and Forensic Biotechnology (ACENTDFB), Ahmadu Bello University, Zaria, Nigeria; Department of Pharmacognosy and Drug Development, Faculty of Pharmaceutical Sciences, Ahmadu Bello University, Kaduna State, Zaria, Nigeria; Department of Biochemistry, Faculty of Life Sciences, Ahmadu Bello University, Kaduna State, Zaria, Nigeria</t>
  </si>
  <si>
    <t xml:space="preserve">Tauheed A.M., Department of Veterinary Pharmacology and Toxicology, Faculty of Veterinary Medicine, Ahmadu Bello University, Kaduna State, Zaria, Nigeria; Mamman M., Department of Veterinary Pharmacology and Toxicology, Faculty of Veterinary Medicine, Ahmadu Bello University, Kaduna State, Zaria, Nigeria, Africa Centre of Excellence for Neglected Tropical Diseases and Forensic Biotechnology (ACENTDFB), Ahmadu Bello University, Zaria, Nigeria; Ahmed A., Department of Pharmacognosy and Drug Development, Faculty of Pharmaceutical Sciences, Ahmadu Bello University, Kaduna State, Zaria, Nigeria; Ibrahim B., Department of Biochemistry, Faculty of Life Sciences, Ahmadu Bello University, Kaduna State, Zaria, Nigeria; Aliyu-Amoo H., Department of Veterinary Pharmacology and Toxicology, Faculty of Veterinary Medicine, Ahmadu Bello University, Kaduna State, Zaria, Nigeria; Yahaya S.F., Department of Veterinary Pharmacology and Toxicology, Faculty of Veterinary Medicine, Ahmadu Bello University, Kaduna State, Zaria, Nigeria; Balogun E.O., Africa Centre of Excellence for Neglected Tropical Diseases and Forensic Biotechnology (ACENTDFB), Ahmadu Bello University, Zaria, Nigeria, Department of Biochemistry, Faculty of Life Sciences, Ahmadu Bello University, Kaduna State, Zaria, Nigeria</t>
  </si>
  <si>
    <t xml:space="preserve">Drug discovery; medicinal plant; phytochemical screening; trypanocidal; Trypanosomal congolense</t>
  </si>
  <si>
    <t xml:space="preserve">Acacia nilotica extract; alkaloid; anthraquinone derivative; antitrypanosomal agent; diminazene; diminazene aceturate; methanol; palmatine; phenol derivative; phytochemical; plant extract; sitosterol; steroid; tamarindus indica extract; Terminalia avicennioides  extract; triterpene; unclassified drug; animal experiment; animal model; antiprotozoal activity; antitrypanosomal activity; apoptosis; Article; carbon nuclear magnetic resonance; controlled study; data analysis; drug Incubation Infectivity test; female; IC50; in vitro study; laboratory test; LC50; LD50; mouse; nonhuman; parasitemia; phytochemistry; protein synthesis; rat; Schistosoma mansoni; tamarind; Terminalia; thin layer chromatography; Trypanosoma; trypanosomiasis; Vachellia nilotica; young adult</t>
  </si>
  <si>
    <t xml:space="preserve">diminazene, 536-71-0; diminazene aceturate, 908-54-3; methanol, 67-56-1; palmatine, 3486-67-7; sitosterol, 19044-06-5, 83-46-5</t>
  </si>
  <si>
    <t xml:space="preserve">Brun R, Blum J, Chappuis F, Burri C., Human African trypanosomiasis, Lancet, 375, pp. 148-159, (2010); Bezie M, Girma M, Dagnachew S, Tadesse D, Tadesse G., African trypanosomes: virulence factors, pathogenicity and host responses, J Vet Adv, 4, pp. 732-745, (2014); Kato CD, Nanteza A, Mugasa C, Edyelu A, Matovu E, Alibu VP., Clinical profiles, disease outcome and co-morbidities among T: b. rhodesiense sleeping sickness patients in Uganda, PLoS One, 10, (2015); Nakayima J, Nakao R, Alhassan A, Mahama C, Afakye K, Sugimoto C., Molecular epidemiological studies on animal trypanosomiases in Ghana, Parasit. Vectors, 5, (2012); Welburn SC, Maudlin I, Simarro PP., Controlling sleeping sickness−areview, Parasitol, 136, pp. 1943-1949, (2009); Munday JC, Settimo L, de Koning HP., Transport proteins determine drug sensitivity and resistance in a protozoan parasite, Trypanosoma brucei, Front Pharmacol, 6, (2015); Sima M, Havelkova H, Quan L, Svobodova M, Jarosikova T, Vojtiskova J, Stassen AP, Demant P, Lipoldova M., Genetic control of resistance to Trypanosoma brucei brucei infection in mice, PLoS Negl Trop Dis, 5, (2011); Stijlemans B, Cnops J, Naniima P, Vaast A, Bockstal V, De Baetselier P, Magez S., Development of a pH rodo-based assay for the assessment of in vitro and in vivo erythrophagocytosis during experimental trypanosomosis, PLoS Negl Trop Dis, 9, (2015); Leigh O, Emikpe B, Ogunsola J., Histopathological changes in some reproductive and endocrine organs of Trypanosoma brucei infected West African Dwarf goat does, Bulg J Vet Med, 18, pp. 31-39, (2014); Nyimba PH, Komba EV, Sugimoto C, Namangala B., Prevalence and species distribution of caprine trypanosomosis in Sinazongwe and Kalomodistricts of Zambia, Vet Parasitol, 210, pp. 125-130, (2015); Yaro M, Munyard KA, Stear MJ, Groth DM., Combatting African animal trypanosomiasis (AAT) in livestock: the potential role of trypanotolerance, Vet Parasitol, 225, pp. 43-52, (2016); Shaw APM, Wint GRW, Cecchi G, Torr SJ, Mattioli RC, Robinson TP., Mapping the benefit-cost ratios of interventions against bovine trypanosomosis in Eastern Africa, Prev Vet Med, 122, pp. 406-416, (2015); Giordani F, Morrison LJ, Rowan TG, de Koning H, Barrett MP., The animal trypanosomiases and their chemotherapy: a review, Parasitol, 143, pp. 1862-1889, (2016); Holmes P., On the road to elimination of Rhodesiense human African trypanosomosis: first WHO meeting of stakeholders, PLoS Neg Trop Dis, 9, (2015); Morrison LJ, Vezza L, Rowan T, Hope JC., Animal African trypanosomosis: Time to increase focus on clinically relevant parasite and host species, Trends Parasitol, 32, pp. 599-607, (2016); Alsan M., The effect of the tsetse fly on African development, Am Econ Rev, 105, pp. 382-410, (2015); Eghianruwa KI, Oridupa OA., Chemotherapeutic control of trypanosomosis – a review of past measures, current status and future trends, Veterinarski Arhiv, 88, pp. 245-270, (2018); Hamill L, Picozzi K, Fyfe J, von Wissmann B, Wastling S, Wardrop N, Selby R, Acup CA, Et al., Evaluating the impact of targeting livestock for the prevention of human and animal trypanosomiasis, at village level, in districts newly affected with T.b. rhodesiense in Uganda, Infect Di. Poverty, 6, pp. 1-12, (2017); Harvey AL, Edrada-Ebel R, Quinn RJ., The re-emergence of natural products for drug discovery in the genomics era, Nat Rev Drug Discov, 14, pp. 111-129, (2015); Ganesan A., The impact of natural products upon modern drug discovery, Curr Opin Chem Biol, 12, pp. 306-317, (2008); WHO expert committee on specifications for pharmaceutical preparations, (2003); Firewood Crops; Shrubs and Tree Species for Energy Production Vol. I &amp; II, (1980); Singh BN, Singh BR, Singh RL, Prakash D, Sharma BK, Singh HB., Antioxidant and anti-quorum sensing activities of green pods of Acacia nilotica L, Food Chem Toxicol, 47, pp. 778-786, (2009); Rather LJ, Mohammad SF., Acacia nilotica (L): A review of its traditional uses, phytochemistry, and pharmacology, Sustainable Chem Pharm, 2, pp. 12-30, (2015); Havinga RM, Hartl A, Putscher J, Prehsler S, Buchmann C, Vogl CR., Tamarindus indica L. (Fabaceae): patterns of use in traditional African medicine, J Ethnopharmacol, 127, 3, pp. 573-588, (2010); Dagar JC, Singh G, Singh NT., Evolution of crops in agroforestry with Teak (Tectoma grandis), Maharukh (Ailanthus excelsa) and Tamarind (Tamarindus indica) on reclaimed salt-affected soils, J Trop Forest Sci, 7, pp. 623-634, (1995); Bhadoriya SS, Ganeshpurkar A, Narwaria J, Rai G, Jain AP., Tamarindus indica: extent of explored potential, Pharmacogn Rev, 5, pp. 73-81, (2011); Cock IE., The medicinal properties and phytochemistry of plants of the genus Terminalia (Combretaceae), Inlfammopharmacol, 23, pp. 203-229, (2015); Mann A, Ifarajimi OR, Adewoye AT, Ukam C, Udeme EE, Okorie II, Sakpe MS, Ibrahim DR, Yahaya YA, Kabir AY, Ogbadoyi EO., In vivo antitrypanosomal effects of some medicinal plants from Nupeland of north central Nigeria, Afr J Tradit Complement Altern Med, 8, 1, pp. 15-21, (2011); OECD guidelines for the testing of chemicals, OECD/OCDE, 425, pp. 1-27, (2008); Tauheed AM, Mamman M, Ahmed A, Suleiman MM, Balogun EO., In vitro and in vivo antitrypanosomal efficacy of combination therapy of Anogeissus leiocarpus, Khaya senegalensis and potash, J Ethnopharmacol, 258, (2020); Tauheed AM, Mamman M, Ahmed A, Suleiman MM, Balogun EO., Partially purified leaf fractions of Azadirachta indica inhibit trypanosome alternative oxidase and exert antitrypanosomal effects on Trypanosoma congolense, Acta Parasitol, (2021); Kaminsky R, Gumm ID, Zweygarth E, Chuma F., A drug incubation infectivity test (DIIT) for assessing resistance in trypanosomes, Vet Parasitol, 34, pp. 335-343, (1990); Fraenkel G.S., The Raison d'Être of Secondary Plant Substances, Sci, 129, 3361, pp. 1466-1470, (1959); Weng JK, Philippe RN, Noel JP., The rise of chemodiversity in plants, Sci, 336, pp. 1667-1670, (2012); Krstin S, Mohamed T, Wang X, Wink M., How do the alkaloids emetine and homoharringtonine kill trypanosomes? An insight into their molecular modes of action, Phytomed, 23, pp. 1771-1777, (2016); Nnadi CO, Ebiloma GU, Black JA, Nwodo NJ, Lemgruber L, Schmidt TJ, de Koning H., Potent antitrypanosomal activities of 3-aminosteroids against African trypanosomes: investigation of cellular effects and of cross-resistance with existing drugs, Molecules, 24, (2019); Imieje V, Zaki AA, Fasinu PS, Ali Z, Khan IA, Tekwani B, Khan SI, Nosa EO, Falodun A., Antiprotozoal and Cytotoxicity Studies of Fractions and Compounds from Enantia chlorantha, TJNPR, 6, 8, pp. 1268-1273, (2017); Rosenkranz V, Wink M., Alkaloids induce programmed cell death in bloodstream forms of trypanosomes (Trypanosoma b. brucei), Molecules, 13, pp. 2462-2473, (2008); Ibrahim MA, Musa AM, Aliyu AB, Mayaki HS, Gideon A, Islam MS., Phenolics-rich fraction of Khaya senegalensis stem bark: antitrypanosomal activity and amelioration of some parasite-induced pathological changes, Pharm Biol, 51, pp. 906-913, (2013); Diovu EO, Onah CO, Odo KE, Amaechina IN, Akpadolu UD, Nwodo AJ, Chah CAT, Akupue CM, Nnadi CO., Sesquiterpene Lactone-Rich Extract of Tithonia diversifolia (Hemsley) A, Gray (Asteraceae) suppresses Trypanosoma brucei brucei in both In Vivo and In Vitro Experimental Models, 6, 8, pp. 1268-1273, (2022); Tewabe Y, Bisrat D, Terefe G, Asres K., Antitrypanosomal activity of aloin and its derivatives against Trypanosoma congolense field isolate, BMC Vet Res, (2014); Kwofie KD, Tung NH, Suzuki-Ohashi M, Amoa-Bosompem M, Adegle R, Sakyiamah MM, Et al., Antitrypanosomal Activities and Mechanisms of Action of Novel Tetracyclic Iridoids from Morinda lucida Benth, Antimicrob Agents Chemother, 60, pp. 3283-3290, (2016); Hartung T, Daston G., Are in vitro tests suitable for regulatory use?, Toxicological Sci, 111, pp. 233-237, (2009); Gillingwater K, Kunz C, Braghiroli C, Boykin DW, Tidwell RR, Brun R., In vitro, ex vivo, and in vivo activities of diamidines against Trypanosoma vivax, Antimicrob Agents Chemother, 61, pp. e02356-16; Atawodi SE., Comparative in vitro trypanocidal activities of petroleum ether, chloroform and aqueous extracts of some Nigerian Savannah plants, Afr J Biotechnol, 4, pp. 177-182, (2005); Chechet GD, Yahaya H, Nok AJ., In vitro and in vivo Anti-trypanosomal potentials of Afrormosia laxiflora and Khaya senegalensis against Trypanosoma brucei brucei, Nig Vet J, 39, pp. 269-284, (2018)</t>
  </si>
  <si>
    <t xml:space="preserve">A.M. Tauheed; Department of Veterinary Pharmacology and Toxicology, Faculty of Veterinary Medicine, Ahmadu Bello University, Zaria, Kaduna State, Nigeria; email: mtauheed@abu.edu.ng</t>
  </si>
  <si>
    <t xml:space="preserve">Trop. J. Nat. Prod. Res.</t>
  </si>
  <si>
    <t xml:space="preserve">2-s2.0-85174143428</t>
  </si>
  <si>
    <t xml:space="preserve">Sundaramurthy S.; Sugumaran V.; Thangavelu A.; Sekaran K.</t>
  </si>
  <si>
    <t xml:space="preserve">Sundaramurthy, Shanmugam (57213699624); Sugumaran, Vijayan (57210215570); Thangavelu, Arunkumar (59157743900); Sekaran, Karthik (57208071216)</t>
  </si>
  <si>
    <t xml:space="preserve">57213699624; 57210215570; 59157743900; 57208071216</t>
  </si>
  <si>
    <t xml:space="preserve">Predicting rheumatoid arthritis from the biomarkers of clinical trials using improved harmony search optimization with adaptive neuro-fuzzy inference system</t>
  </si>
  <si>
    <t xml:space="preserve">Rheumatoid Arthritis (RA) is a chronic autoimmune disease whose symptoms are hard to determine due to the overlapping indications of the condition with other illnesses such as dengue, malaria, etc. As the symptoms of RA disease are similar to inflammatory diseases, general physicians (GPs) find it difficult to detect the disease earlier. A computer aided framework is proposed in this study to assist and support the GPs to diagnose RA better. In this work Improved Harmony Search Optimization (IHSO) approach is proposed to select the significant feature subset of RA and Adaptive Neuro-Fuzzy Inference System (ANFIS) is used as a classification model. The performance of the proposed IHSO-ANFIS model is examined with metrics such as Balanced Accuracy (Bacc), Area under Curve (AUC), Sensitivity (Sen), Specificity (Spec), and Matthew's Correlation Coefficient (MCC) using 10-Fold cross-validation. Additionally, the results of the IHSO-ANFIS are compared with HSO-ANFIS, ANFIS without any feature selection and standard bench mark datasets. IHSO-ANFIS attained 87.05% Bacc, 89.95% AUC and 0.6586 MCC on the RA dataset. From the results it is clear that IHSO-ANFIS could assist general physicians to diagnose RA earlier and pave the way for timely treatment.  © 2023 - IOS Press. All rights reserved.</t>
  </si>
  <si>
    <t xml:space="preserve">Journal of Intelligent and Fuzzy Systems</t>
  </si>
  <si>
    <t xml:space="preserve">10.3233/JIFS-221252</t>
  </si>
  <si>
    <t xml:space="preserve">https://www.scopus.com/inward/record.uri?eid=2-s2.0-85148111154&amp;doi=10.3233%2fJIFS-221252&amp;partnerID=40&amp;md5=a916541cf745d1e5ca91d2dd423d79ac</t>
  </si>
  <si>
    <t xml:space="preserve">Department of Computing Technology, Srm Institute of Science and Technology, Tamil Nadu, Chennai, India; Department of Decision and Information Sciences, School of Business Administration, Centre for Data Science and Big Data Analytics, Oakland University, Rochester, MI, United States; Scope, Vellore Institute of Technology, Tamil Nadu, Vellore, India; School of Bio Science and Technology, Vellore Institute of Technology, Tamil Nadu, Vellore, India</t>
  </si>
  <si>
    <t xml:space="preserve">Sundaramurthy S., Department of Computing Technology, Srm Institute of Science and Technology, Tamil Nadu, Chennai, India; Sugumaran V., Department of Decision and Information Sciences, School of Business Administration, Centre for Data Science and Big Data Analytics, Oakland University, Rochester, MI, United States; Thangavelu A., Scope, Vellore Institute of Technology, Tamil Nadu, Vellore, India; Sekaran K., School of Bio Science and Technology, Vellore Institute of Technology, Tamil Nadu, Vellore, India</t>
  </si>
  <si>
    <t xml:space="preserve">ANFIS; disease diagnosis; hybrid harmony search; particle swarm optimization; Rheumatoid arthritis</t>
  </si>
  <si>
    <t xml:space="preserve">Diseases; Feature Selection; Fuzzy inference; Fuzzy neural networks; Fuzzy systems; Particle swarm optimization (PSO); Adaptive neuro-fuzzy inference; Adaptive neuro-fuzzy inference system; Disease diagnosis; Harmony search; Hybrid harmony search; Neuro-fuzzy inference systems; Particle swarm; Particle swarm optimization; Rheumatoid arthritis; Swarm optimization; Diagnosis</t>
  </si>
  <si>
    <t xml:space="preserve">Aletaha D., Smolen J.S., Diagnosis and management of rheumatoid arthritis: a review, Jama, 320, 13, pp. 1360-1372, (2018); Almutairi K.B., Nossent J.C., Preen D.B., Keen H.I., Inderjeeth C.A., The prevalence of Rheumatoid Arthritis: A systematic review of population-based studies, The Journal of Rheumatology, 48, 5, pp. 669-676, (2021); Battineni G., Sagaro G.G., Chinatalapudi N., Amenta F., Applications of machine learning predictive models in the chronic disease diagnosis, Journal ofPersonalized Medicine, 10, 2, (2020); Buckley L., Ware E., Kreher G., Wiater L., Mehta J., Burnham J.M., Outcome monitoring and clinical decision support in Polyarticular juvenile idiopathic arthritis, The Journal of Rheumatology, 47, 2, pp. 273-281, (2020); Chicco D., Totsch N., Jurman G., The Matthews correlation coefficient (MCC) is more reliable than balanced Accuracy, bookmaker informedness, and markedness in two-class confusion matrix evaluation, BioData mining, 14, 1, pp. 1-22, (2021); Chithra B., Nedunchezhian R., Dynamic neutrosophic cognitive map with improved cuckoo search algorithm(DNCM-ICSA) and ensemble classifier for rheumatoid arthritis (RA) disease, Journal of King Saud University-Computer and Information Sciences, (2020); Crowson C.S., Rollefstad S., Ikdahl E., Kitas G.D., Van Riel P.L.C.M., Gabriel S.E., Matteson E.L., Kvien T.K., Douglas K., Sandoo A., Impact of risk factors associated with cardiovascular outcomes in patients with rheumatoid arthritis, Annals of the Rheumatic Diseases, 77, 1, pp. 48-54, (2018); Curtis J.R., Xie F., Zhou H., Salchert D., Yun H., Use of ICD-10 diagnosis codes to identify seropositive and seronegative rheumatoid arthritis when lab results are not available, Arthritis Research Therapy, 22, 1, pp. 1-9, (2020); Deane K.D., Holers V.M., Rheumatoid arthritis pathogenesis, prediction, and prevention: an emerging paradigm shift, Arthritis Rheumatology, 73, 2, pp. 181-193, (2021); Durga Devi B., A Study on Uhira Vatha Suronitham (Rheumatoid Arthritis), (2019); Eberhart R., Kennedy J., Particle swarm optimization. In: Proceedings of the IEEE international conference on neural networks, Citeseer, 4, pp. 1942-1948, (1995); Feng Y., Lighter D., Zhang L., Wang Y., Dehghani H., Application of deep neural networks to improve diagnostic Accuracy of rheumatoid arthritis using diffuse optical tomography, Quantum Electronics, 50, 1, (2020); Fraenkel L., Bathon J.M., England B.R., St Clair E.W., Arayssi T., Carandang K., Deane K.D., Genovese M., Huston K.K., Kerr G., American College of Rheumatology guideline for the treatment of rheumatoid arthritis, Arthritis Rheumatology, (2021); Hasanipanah M., Keshtegar B., Thai D.K., Troung N.T., An ANN-adaptive dynamical harmony search algorithm to approximate the flyrock resulting from blasting, Engineering with Computers, pp. 1-13, (2020); Jang J.S., ANFIS: adaptive-network-based fuzzy inference system, IEEE Transactions on Systems, Man and Cybernetics, 23, 3, pp. 665-685, (1993); Kaur H., Kumari V., Predictive modelling and analytics for diabetes using a machine learning approach, (2020); Kedra J., Davergne T., Braithwaite B., Servy H., Gossec L., Machine learning approaches to improve disease management of patients with rheumatoid arthritis: review and future directions, Expert Review of Clinical Immunology, 17, 12, pp. 1311-1321, (2021); Kumar S.S., Uma R., Ramaraj E., Subhasri P., Investigation on Data Mining and Machine Learning Techniques in Rheumatoid Arthritis Disease Research and Its Outcomes, International Conference on Mobile Computing and Sustainable Informatics, pp. 753-763, (2020); Lee K.S., Geem Z.W., A new structural optimization method based on the harmony search algorithm, Computers Structures, 82, 9-10, pp. 781-798, (2004); Nikiphorou E., De Lusignan S., Mallen C.D., Khavandi K., Bedarida G., Buckley C.D., Galloway J., Raza K., Cardiovascular risk factors and outcomes in early rheumatoid arthritis: a population-based study, Heart, 106, 20, pp. 1566-1572, (2020); Paniri M., Dowlatshahi M.B., Nezamabadi-Pour H., MLACO: A multi-label feature selection algorithm based on ant colony optimization, Knowledge-Based Systems, 192, (2020); Rani M., Employing Artificial Bee Colony Algorithm for Feature Selection in Intrusion Detection System, 2021 8th International Conference on Computing for Sustainable Global Development (INDIACom), IEEE, pp. 496-500, (2021); Rider L.G., Aggarwal R., Pistorio A., Bayat N., Erman B., Feldman B.M., Huber A.M., Cimazs R., Cuttica R.J., De Oliveira S.K., Moderate and Major Clinical Response for Juvenile Dermatomyositis: An International Myositis Assessment and Clinical Studies Group/Paediatric Rheu, Annals of the Rheumatic Diseases, 76, 5, (2017); Salmeron J.L., Rahimi S.A., Navali A.M., Sadeghpour A., Medical diagnosis of Rheumatoid Arthritis using data driven PSOaD "FCM with scarce datasets, Neurocomputing, 232, pp. 104-112, (2017); Shiezadeh Z., Sajedi H., Aflakie E., Diagnosis of rheumatoid arthritis using an ensemble learning approach, Comput Sci Inf Technol (CS &amp; IT), 5, 15, pp. 139-148, (2015); Sivanandam S.N., Sumathi S., Deepa S.N., Introduction to Fuzzy Logic Using MATLAB, 1, (2007); Song X.F., Zhang Y., Guo Y.N., Sun X.Y., Wang Y.L., Variable-size cooperative coevolutionary particle swarm optimization for feature selection on high-dimensional data, IEEE Transactions on Evolutionary Computation, 24, 5, pp. 882-895, (2020); Taylor P.C., Atzeni F., Balsa A., Gossec L., Muller-Ladner U., Pope J., The key comorbidities in patients with rheumatoid arthritis: a narrative review, Journal of Clinical Medicine, 10, 3, (2021); Wei Y., Ni N., Liu D., Chen H., Wang M., Li Q., Cui X., Ye H., An improved grey wolf optimization strategy enhanced SVM and its application in predicting the second major, Mathematical Problems in Engineering, (2017); Wells P.M., Adebayo A.S., Bowyer R.C.E., Freidin M.B., Finckh A., Strowig T., Lesker T.R., Alpizar-Rodriguez D., Gilbert B., Kirkham B., Associations between gut microbiota and genetic risk for rheumatoid arthritis in the absence of disease: a cross-sectional study, The Lancet Rheumatology, 2, 7, pp. e418-e427, (2020); Wu C.T., Lo C.L., Tung C.H., Cheng H.L., Applying Data Mining Techniques for Predicting Prognosis in Patients with Rheumatoid Arthritis. In: Healthcare, Multidisciplinary Digital Publishing Institute, 8, (2020); Xing G., Liang L., Deng C., Hua Y., Chen X., Yang Y., Liu H., Lu T., Chen Y., Zhang Y., Activity prediction of small molecule inhibitors for antirheumatoid arthritis targets based on artificial intelligence, ACS Combinatorial Science, 22, 12, pp. 873-886, (2020); Zhou Y., Kang J., Kwong S., Wang X., Zhang Q., An evolutionary multi-objective optimization framework of discretization-based feature selection for classification, Swarm and Evolutionary Computation, 60, (2021)</t>
  </si>
  <si>
    <t xml:space="preserve">S. Sundaramurthy; Department of Computing Technology, SRM Institute of Science and Technology, Chennai, Tamil Nadu, India; email: shanmugam.network13@gmail.com</t>
  </si>
  <si>
    <t xml:space="preserve">J. Intelligent Fuzzy Syst.</t>
  </si>
  <si>
    <t xml:space="preserve">2-s2.0-85148111154</t>
  </si>
  <si>
    <t xml:space="preserve">Saleem M.; Aslam W.; Lali M.I.U.; Rauf H.T.; Nasr E.A.</t>
  </si>
  <si>
    <t xml:space="preserve">Saleem, Muniba (58738814500); Aslam, Waqar (34972616300); Lali, Muhammad Ikram Ullah (57214954900); Rauf, Hafiz Tayyab (57204077842); Nasr, Emad Abouel (23012625000)</t>
  </si>
  <si>
    <t xml:space="preserve">58738814500; 34972616300; 57214954900; 57204077842; 23012625000</t>
  </si>
  <si>
    <t xml:space="preserve">Predicting Thalassemia Using Feature Selection Techniques: A Comparative Analysis</t>
  </si>
  <si>
    <t xml:space="preserve">Thalassemia represents one of the most common genetic disorders worldwide, characterized by defects in hemoglobin synthesis. The affected individuals suffer from malfunctioning of one or more of the four globin genes, leading to chronic hemolytic anemia, an imbalance in the hemoglobin chain ratio, iron overload, and ineffective erythropoiesis. Despite the challenges posed by this condition, recent years have witnessed significant advancements in diagnosis, therapy, and transfusion support, significantly improving the prognosis for thalassemia patients. This research empirically evaluates the efficacy of models constructed using classification methods and explores the effectiveness of relevant features that are derived using various machine-learning techniques. Five feature selection approaches, namely Chi-Square (χ2), Exploratory Factor Score (EFS), tree-based Recursive Feature Elimination (RFE), gradient-based RFE, and Linear Regression Coefficient, were employed to determine the optimal feature set. Nine classifiers, namely K-Nearest Neighbors (KNN), Decision Trees (DT), Gradient Boosting Classifier (GBC), Linear Regression (LR), AdaBoost, Extreme Gradient Boosting (XGB), Random Forest (RF), Light Gradient Boosting Machine (LGBM), and Support Vector Machine (SVM), were utilized to evaluate the performance. The χ2 method achieved accuracy, registering 91.56% precision, 91.04% recall, and 92.65% f-score when aligned with the LR classifier. Moreover, the results underscore that amalgamating over-sampling with Synthetic Minority Over-sampling Technique (SMOTE), RFE, and 10-fold cross-validation markedly elevates the detection accuracy for αT patients. Notably, the Gradient Boosting Classifier (GBC) achieves 93.46% accuracy, 93.89% recall, and 92.72% F1 score. © 2023 by the authors.</t>
  </si>
  <si>
    <t xml:space="preserve">10.3390/diagnostics13223441</t>
  </si>
  <si>
    <t xml:space="preserve">https://www.scopus.com/inward/record.uri?eid=2-s2.0-85178370050&amp;doi=10.3390%2fdiagnostics13223441&amp;partnerID=40&amp;md5=df939f466d2bec39ba132a1f90f65172</t>
  </si>
  <si>
    <t xml:space="preserve">Department of Computer Science &amp; Information Technology, The Government Sadiq College Women University Bahawalpur, Bahawalpur, 63100, Pakistan; Department of Information Security, The Islamia University of Bahawalpur, Bahawalpur, 63100, Pakistan; Department of Information Sciences, University of Education Lahore, Lahore, 54770, Pakistan; Centre for Smart Systems, AI and Cybersecurity, Staffordshire University, Stoke-on-Trent, ST4 2DE, United Kingdom; Industrial Engineering Department, College of Engineering, King Saud University, Riyadh, 11421, Saudi Arabia</t>
  </si>
  <si>
    <t xml:space="preserve">Saleem M., Department of Computer Science &amp; Information Technology, The Government Sadiq College Women University Bahawalpur, Bahawalpur, 63100, Pakistan; Aslam W., Department of Information Security, The Islamia University of Bahawalpur, Bahawalpur, 63100, Pakistan; Lali M.I.U., Department of Information Sciences, University of Education Lahore, Lahore, 54770, Pakistan; Rauf H.T., Centre for Smart Systems, AI and Cybersecurity, Staffordshire University, Stoke-on-Trent, ST4 2DE, United Kingdom; Nasr E.A., Industrial Engineering Department, College of Engineering, King Saud University, Riyadh, 11421, Saudi Arabia</t>
  </si>
  <si>
    <t xml:space="preserve">classification; feature selection; filter-based; thalassemia; wrapper and embedded method</t>
  </si>
  <si>
    <t xml:space="preserve">hemoglobin chain; hemoglobin H; interleukin 1beta; tumor necrosis factor; adolescent; adult; aged; alpha thalassemia; Article; asymptomatic carrier; back propagation neural network; Bayesian learning; beta thalassemia; classifier; controlled study; data mining; deep learning; diagnostic accuracy; erythrocyte count; erythrocyte structure; expectant mother; expert system; feature selection; female; flow cytometry; gene deletion; gene editing; hemoglobin determination; hierarchical clustering; human; ieee xplore; k fold cross validation; malaria; male; mean corpuscular hemoglobin; mean corpuscular hemoglobin concentration; mean corpuscular volume; medical history; Medline; megaloblastic anemia; Monte Carlo cross validation; multilayer perceptron; patient information; predictive value; probabilistic neural network; red blood cell distribution width; ScienceDirect; sensitivity and specificity; sickle cell anemia; splenomegaly; support vector machine; systematic review; thalassemia; thalassemia intermedia; thalassemia major; thalassemia minor</t>
  </si>
  <si>
    <t xml:space="preserve">hemoglobin H, 9034-79-1</t>
  </si>
  <si>
    <t xml:space="preserve">MATLAB</t>
  </si>
  <si>
    <t xml:space="preserve">King Saud University, KSU, (RSP2023R164); King Saud University, KSU</t>
  </si>
  <si>
    <t xml:space="preserve">King Saud University for funding this work through Researchers Supportg Project number (RSP2023R164), King Saud University, Riyadh, Saudi Arabia.</t>
  </si>
  <si>
    <t xml:space="preserve">Baird D.C., Batten S.H., Sparks S.K., Alpha- and Beta-thalassemia: Rapid Evidence Review, Am. Fam. Physician, 105, pp. 272-280, (2022); Weatherall D.J., Clegg J.B., Inherited haemoglobin disorders: An increasing global health problem, Bull. World Health Organ, 79, pp. 704-712, (2001); Taher A.T., Weatherall D.J., Cappellini M.D., Thalassaemia, Lancet, 391, pp. 155-167, (2018); Fibach E., Dana M., Oxidative Stress in β-Thalassemia, Mol. Diagn. Ther, 23, pp. 245-261, (2019); Kattamis A., Kwiatkowski J.L., Aydinok Y., Thalassaemia, Lancet, 399, pp. 2310-2324, (2022); Muncie H.L., Campbell J., Alpha and beta thalassemia, Am. Fam. Physician, 80, pp. 339-344, (2009); Erten M., Tuncer T., Automated differential diagnosis method for iron deficiency anemia and beta thalassemia trait based on iterative Chi2 feature selector, Int. J. Lab. Hematol, 44, pp. 430-436, (2022); Rustam F., Ashraf I., Jabbar S., Tutusaus K., Mazas C., Barrera A.E.P., de la Torre D., Prediction of β -Thalassemia carriers using complete blood count features, Sci. Rep, 12, (2022); Musialek M.W., Rybaczek D., Hydroxyurea—The Good, the Bad and the Ugly, Genes, 12, (2021); Bazinet A., Popradi G., A General Practitioner’s Guide to Hematopoietic Stem-cell Transplantation, Curr. Oncol, 26, pp. 187-191, (2019); Hatzimichael E., Timotheatou D., Koumpis E., Benetatos L., Makis A., Luspatercept: A New Tool for the Treatment of Anemia Related to β-Thalassemia, Myelodysplastic Syndromes and Primary Myelofibrosis, Diseases, 10, (2022); Jamwal M., Sharma P., Das R., Laboratory Approach to Hemolytic Anemia, Indian J. Pediatr, 87, pp. 66-74, (2020); Mahmoud R.A., Khodeary A., Farhan M.S., Detection of endocrine disorders in young children with multi-transfused thalassemia major, Ital. J. Pediatr, 47, (2021); Akiki N., Hodroj M.H., Bou-Fakhredin R., Matli K., Taher A.T., Cardiovascular Complications in β-Thalassemia: Getting to the Heart of It, Thalass. Rep, 13, pp. 38-50, (2023); Meloni A., Pistoia L., Positano V., De Luca A., Martini N., Spasiano A., Fotzi I., Bitti P.P., Visceglie D., Alberini G., Et al., Increased myocardial extracellular volume is associated with myocardial iron overload and heart failure in thalassemia major, Eur. Radiol, 33, pp. 1266-1276, (2022); Dimitroglou Y., Anagnostopulous F., Aggeli C., Delicou S., Xydaki A., Patsourakos D., Tousoulis D., Severity of heart failure and health-related quality of life in beta-thalassemia patients: A cross-sectional study, Ann. Hematol, 99, pp. 2037-2046, (2020); Hoffmann J.J.M.L., Urrechaga E., Aguirre U., Discriminant indices for distinguishing thalassemia and iron deficiency in patients with microcytic anemia: A meta-analysis, Clin. Chem. Lab. Med. (CCLM), 53, pp. 1883-1894, (2015); Zheng L., Huang H., Wu X., Su L., Shen Q., Wang M., Lin N., Xu L., Screening of Some Indicators for Alpha-Thalassemia in Fujian Province of Southern China, Int. J. Gen. Med, 14, pp. 7329-7335, (2021); Husna N., Handayani N.S.N., Molecular and Haematological Characteristics of alpha-Thalassemia Deletions in Yogyakarta Special Region, Indonesia, Rep. Biochem. Mol. Biol, 10, pp. 346-353, (2021); Bain A., Management of Transfusion Dependent Thalassaemia (TDT): A Short Guide, (2022); Gao J., Liu W., Advances in screening of thalassaemia, Clin. Chim. Acta, 534, pp. 176-184, (2022); Stephens A., The Diagnosis and Significance of Alpha Thalassaemia, Practical Management of Haemoglobinopathies, pp. 40-44, (2004); Galanello R., Cao A., Alpha-thalassemia, Genet. Med, 13, pp. 83-88, (2011); Porter D., Taher J., Guidelines for the Management of Transfusion Dependent Thalassaemia (TDT), (2021); Cao A., Galanello R., Beta-thalassemia, Genet. Med, 12, pp. 61-76, (2010); Choudhry V.P., Thalassemia Minor and Major: Current Management, Indian J. Pediatr, 84, pp. 607-611, (2017); Musallam K.M., Taher A.T., Rachmilewitz E.A., β-thalassemia intermedia: A clinical perspective, Cold Spring Harb. Perspect. Med, 2, (2012); Taher A., Isma'eel H., Cappellini M.D., Thalassemia intermedia: Revisited, Blood Cells Mol. Dis, 37, pp. 12-20, (2006); Cunningham M.J., Update on Thalassemia: Clinical Care and Complications, Hematol. Oncol. Clin. N. Am, 24, pp. 215-227, (2010); Nigam N., Kushwaha R., Yadav G., Singh P.K., Gupta N., Singh B., Agrawal M., Chand P., Saxena S.K., Bhatt M.L.B., A demographic prevalence of β Thalassemia carrier and other hemoglobinopathies in adolescent of Tharu population, J. Fam. Med. Prim. Care, 9, pp. 4305-4310, (2020); Shash H., Non-Transfusion-Dependent Thalassemia: A Panoramic Review, Medicina, 58, (2022); Lama R., Yusof W., Shrestha T.R., Hanafi S., Bhattarai M., Hassan R., Zilfalil B.A., Prevalence and distribution of major β-thalassemia mutations and HbE/β-thalassemia variant in Nepalese ethnic groups, Hematol. Oncol. Stem Cell. Ther, 15, (2021); Porter J.B., Garbowski M., The Pathophysiology of Transfusional Iron Overload, Hematol. Oncol. Clin. N. Am, 28, pp. 683-701, (2014); Marsella M., Ricchi P., Thalassemia and hepatocellular carcinoma: Links and risks, J. Blood Med, 10, pp. 323-334, (2019); Soliman A.T., Yassin M.A., De Sanctis V., Final adult height and endocrine complications in young adults with β-thalassemia major (TM) who received oral iron chelation (OIC) in comparison with those who did not use OIC, Acta Biomed, 89, pp. 27-32, (2018); De Sanctis V., Soliman A.T., Canatan D., Tzoulis P., Daar S., Di Maio S., Elsedfy H., Yassin M.A., Filosa A., Soliman N., Et al., An ICET-A survey on occult and emerging endocrine complications in patients with β-thalassemia major: Conclusions and recommendations, Acta Biomed, 89, pp. 481-489, (2019); Sadiq S., Khalid M.U., Mui-Zzud-Din, Ullah S., Aslam W., Mehmood A., Choi G.S., On B.-W., Classification of β-Thalassemia Carriers from Red Blood Cell Indices Using Ensemble Classifier, IEEE Access, 9, pp. 45528-45538, (2021); AlAgha A.S., Faris H., Hammo B.H., Al-Zoubi A.M., Identifying β-thalassemia carriers using a data mining approach: The case of the Gaza Strip, Palestine, Artif. Intell. Med, 88, pp. 70-83, (2018); Devanath A., Akter S., Karmaker P., Sattar A., Thalassemia Prediction using Machine Learning Approaches, Proceedings of the 6th International Conference on Computing Methodologies and Communication (ICCMC 2022), pp. 1166-1174; Purwar S., Tripathi R., Ranjan R., Saxena R., Classification of thalassemia patients using a fusion of deep image and clinical features, Proceedings of the Confluence 2021: 11th International Conference on Cloud Computing, Data Science and Engineering, pp. 410-415; Khan M.S., Ullah A., Khan K.N., Riaz H., Yousafzai Y.M., Rahman T., Chowdhury M.E.H., Abul Kashem S.B., Deep Learning Assisted Automated Assessment of Thalassaemia from Haemoglobin Electrophoresis Images, Diagnostics, 12, (2022); Jin B., Cruz L., Goncalves N., Deep Facial Diagnosis: Deep Transfer Learning from Face Recognition to Facial Diagnosis, IEEE Access, 8, pp. 123649-123661, (2020); Jahan A., Singh G., Gupta R., Sarin N., Singh S., Role of Red Cell Indices in Screening for Beta Thalassemia Trait: An Assessment of the Individual Indices and Application of Machine Learning Algorithm, Indian J. Hematol. Blood Transfus, 37, pp. 453-457, (2021); Phirom K., Charoenkwan P., Shoombuatong W., Charoenkwan P., Sirichotiyakul S., Tongsong T., DeepThal: A Deep Learning-Based Framework for the Large-Scale Prediction of the α+-Thalassemia Trait Using Red Blood Cell Parameters, J. Clin. Med, 11, (2022); Aszhari F.R., Rustam Z., Subroto F., Semendawai A.S., Classification of thalassemia data using random forest algorithm, J. Phys. Conf. Ser, 1490, (2020); Wirasati I., Rustam Z., Aurelia J.E., Hartini S., Saragih G.S., Comparison some of kernel functions with support vector machines classifier for thalassemia dataset, IAES Int. J. Artif. Intell, 10, pp. 430-437, (2021); Sa'Id A.A., Rustam Z., Novkaniza F., Setiawan Q.S., Maulidina F., Wibowo V.V.P., Twin Support Vector Machines for Thalassemia Classification, Proceedings of the 2021 International Conference on Innovation and Intelligence for Informatics, Computing, and Technologies (3ICT 2021), pp. 160-164; Hartini S., Rustam Z., Hierarchical Clustering Algorithm Based on Density Peaks using Kernel Function for Thalassemia Classification, J. Phys. Conf. Ser, 1417, (2019); Laeli A.R., Rustam Z., Hartini S., Maulidina F., Aurelia J.E., Hyperparameter Optimization on Support Vector Machine using Grid Search for Classifying Thalassemia Data, Proceedings of the 2020 International Conference on Decision Aid Sciences and Application (DASA 2020), pp. 817-821; Fu Y.K., Liu H.-M., Lee L.-H., Chen Y.-J., Chien S.-H., Lin J.-S., Chen W.-C., Cheng M.-H., Lin P.-H., Lai J.-Y., Et al., The tvgh-nycu thal-classifier: Development of a machine-learning classifier for differentiating thalassemia and non-thalassemia patients, Diagnostics, 11, (2021); Feng P., Li Y., Liao Z., Yao Z., Lin W., Xie S., Hu B., Huang C., Liu W., Xu H., Et al., An online alpha-thalassemia carrier discrimination model based on random forest and red blood cell parameters for low HbA2 cases, Clin. Chim. Acta, 525, pp. 1-5, (2022); Cil B., Ayyildiz H., Tuncer T., Discrimination of β-thalassemia and iron deficiency anemia through extreme learning machine and regularized extreme learning machine based decision support system, Med. Hypotheses, 138, (2020); Ayyildiz H., Arslan S., Tuncer Determination of the effect of red blood cell parameters in the discrimination of iron deficiency anemia and beta thalassemia via Neighborhood Component Analysis Feature Selection-Based machine learning, Chemom. Intell. Lab. Syst, 196, (2020); Jahangiri M., Rahim F., Saki N., Saki A., Malehi Application of Bayesian Decision Tree in Hematology Research: Differential Diagnosis of β -Thalassemia Trait from Iron Deficiency Anemia, Comput. Math. Methods Med, 2021, (2021); Susanto E.R., Syarif A., Muludi K., Perdani R.R.W., Wantoro A., Implementation of Fuzzy-based Model for Prediction of Thalassemia Diseases, J. Phys. Conf. Ser, 1751, (2021); Qasem N., Mosavi A., Novel Meta-Heuristic Model for Discrimination between Iron Deficiency Anemia and Β-Thalassemia with CBC Indices Based on Dynamic Harmony Search (DHS), arXiv, (2020); Mo D., Zheng Q., Xiao B., Li L., Predicting thalassemia using deep neural network based on red blood cell indices, Clin. Chim. Acta, 543, (2023); Egejuru N.C., Olusanya S.O., Asinobi A.O., Adeyemi O.J., Adebayo V.O., Idowu P.A., Using Data Mining Algorithms for Thalassemia Risk Prediction, Int. J. Biomed. Sci. Eng, 7, (2019); Epah J., Gulec I., Winter S., Dorr J., Geisen C., Haecker E., Link D., Schwab M., Seifried E., Schafer R., From Unit to Dose: A Machine Learning Approach for Precise Prediction of Hemoglobin and Iron Content in Individual Packed Red Blood Cell Units, Adv. Sci, 9, (2022); Kabootarizadeh L., Jamshidnezhad A., Koohmareh Z., Differential Diagnosis of Iron-Deficiency Anemia from β-Thalassemia Trait Using an Intelligent Model in Comparison with Discriminant Indexes, Acta Inform. Med, 27, pp. 78-84, (2019); Li Y., Zaheri S., Nguyen K., Liu L., Hassanipour F., Bleris L., Machine learning-based approaches for identifying human blood cells harboring CRISPR-mediated fetal chromatin domain ablations, Sci. Rep, 12, (2022); Al-Hakeim H.K., Najm A.H., Moustafa S.R., Maes M., Construction of an exposure-pathway-phenotype in children with depression due to transfusion-dependent thalassemia: Results of (un)supervised machine learning, J. Affect. Disord, 282, pp. 644-655, (2021); Lee S.Y., Chen C.M., Lim E.Y., Shen L., Sathe A., Singh A., Sauer J., Taghipour K., Yip C.Y., Image Analysis Using Machine Learning for Automated Detection of Hemoglobin H Inclusions in Blood Smears—A Method for Morphologic Detection of Rare Cells, J. Pathol. Inform, 12, (2021); Positano V., Meloni A., Santarelli M.F., Pistoia L., Spasiano A., Cuccia L., Casini T., Gamberini M.R., Allo M., Bitti P.P., Et al., Deep Learning Staging of Liver Iron Content from Multiecho MR Images, J. Magn. Reason. Imaging, 57, pp. 472-484, (2023); Tyas D.A., Hartati S., Harjoko A., Ratnaningsih T., Morphological, Texture, and Color Feature Analysis for Erythrocyte Classification in Thalassemia Cases, IEEE Access, 8, pp. 69849-69860, (2020); Hortinela C.C., Balbin J.R., Fausto J.C., Divina P.D.C., Felices J.P.T., Identification of Abnormal Red Blood Cells and Diagnosing Specific Types of Anemia Using Image Processing and Support Vector Machine, Proceedings of the 2019 IEEE 11th International Conference on Humanoid, Nanotechnology, Information Technology, Communication and Control, Environment, and Management (HNICEM), pp. 1-6; Pellegrino R.V., Tarrobago A.C., Zulueta D.L.B., Development of Anemia Cells Recognition System Using Raspberry Pi, Proceedings of the 2023 15th International Conference on Computer and Automation Engineering (ICCAE), pp. 198-203; Abdulhay E.W., Allow A.G., Al-Jalouly M.E., Detection of Sickle Cell, Megaloblastic Anemia, Thalassemia and Malaria through Convolutional Neural Network, Proceedings of the 2021 Global Congress on Electrical Engineering (GC-ElecEng), pp. 21-25; Zaylaa A.J., Makki M., Kassem R., Thalassemia Diagnosis Through Medical Imaging: A New Artificial Intelligence-Based Framework, Proceedings of the 2022 International Conference on Smart Systems and Power Management (IC2SPM 2022), pp. 41-46; Alturaiki A.M., Banjar H.R., Barefah A.S., Alnajjar S.A., Hindawi S., A Smart Chatbot for Interactive Management in Beta Thalassemia Patients, Int. J. Telemed. Appl, 2022, (2022); Banjar H.R., Zaher G.F., Almutiry H.S., Alshamarni A.S.A., Almouhana G.I., Alahwal H.M., Bahashwan S., Barefah A.S., Alnajjar S.A., Alharbi H.M., Web-based expert system with quick response code for beta-thalassemia management, Health Inform. J, 27, (2021); Zhang F., Yang J., Wang Y., Cai M., Ouyang J., Li J., TT@MHA: A machine learning-based webpage tool for discriminating thalassemia trait from microcytic hypochromic anemia patients, Clin. Chim. Acta, 545, (2023); Laengsri V., Shoombuatong W., Adirojananon W., Nantasenamat C., Prachayasittikul V., Nuchnoi P., ThalPred: A web-based prediction tool for discriminating thalassemia trait and iron deficiency anemia, BMC Med. Inform. Decis. Mak, 19, (2019); Chawla N.V., Japkowicz N., Kotcz A., Editorial: Special issue on learning from imbalanced data sets, ACM SIGKDD Explor. Newsl, 6, pp. 1-6, (2004); He H., Garcia E.A., Learning from Imbalanced Data, IEEE Trans. Knowl. Data Eng, 21, pp. 1263-1284, (2009); Chawla N.V., Bowyer K.W., Hall L.O., Kegelmeyer W.P., SMOTE: Synthetic Minority Over-sampling Technique, J. Artif. Intell. Res, 16, pp. 321-357, (2002); Rahman M.M., Davis D.N., Addressing the Class Imbalance Problem in Medical Datasets, Int. J. Mach. Learn. Comput, 3, pp. 224-228, (2013); Visalakshi S., Radha V., A literature review of feature selection techniques and applications: Review of feature selection in data mining, Proceedings of the 2014 IEEE International Conference on Computational Intelligence and Computing Research, pp. 1-6; Raju D.N., Shanmugasundaram H., Sasikumar R., Fuzzy segmentation and black widow–based optimal SVM for skin disease classification, Med. Biol. Eng. Comput, 59, pp. 2019-2035, (2021); Chandrashekar G., Sahin F., A survey on feature selection methods, Comput. Electr. Eng, 40, pp. 16-28, (2014); Khaire U.M., Dhanalakshmi R., Stability of feature selection algorithm: A review, J. King Saud Univ.—Comput. Inf. Sci, 34, pp. 1060-1073, (2022); Speiser J.L., Miller M.E., Tooze J., Ip E., A comparison of random forest variable selection methods for classification prediction modeling, Expert Syst. Appl, 134, pp. 93-101, (2019); Liu H., Setiono R., Chi2: Feature selection and discretization of numeric attributes, Proceedings of the 7th IEEE International Conference on Tools with Artificial Intelligence, pp. 388-391; Dissanayake K., Johar M.G.M., Comparative Study on Heart Disease Prediction Using Feature Selection Techniques on Classification Algorithms, Appl. Comput. Intell. Soft Comput, 2021, (2021)</t>
  </si>
  <si>
    <t xml:space="preserve">W. Aslam; Department of Information Security, The Islamia University of Bahawalpur, Bahawalpur, 63100, Pakistan; email: waqar.aslam@iub.edu.pk</t>
  </si>
  <si>
    <t xml:space="preserve">2-s2.0-85178370050</t>
  </si>
  <si>
    <t xml:space="preserve">Ojurongbe T.A.; Afolabi H.A.; Bashiru K.A.; Sule W.F.; Akinde S.B.; Ojurongbe O.; Adegoke N.A.</t>
  </si>
  <si>
    <t xml:space="preserve">Ojurongbe, Taiwo Adetola (56085548300); Afolabi, Habeeb Abiodun (58174110900); Bashiru, Kehinde Adekunle (55321962300); Sule, Waidi Folorunso (24339198800); Akinde, Sunday Babatunde (23567672400); Ojurongbe, Olusola (23985707600); Adegoke, Nurudeen A. (57196007299)</t>
  </si>
  <si>
    <t xml:space="preserve">56085548300; 58174110900; 55321962300; 24339198800; 23567672400; 23985707600; 57196007299</t>
  </si>
  <si>
    <t xml:space="preserve">Prediction of malaria positivity using patients’ demographic and environmental features and clinical symptoms to complement parasitological confirmation before treatment</t>
  </si>
  <si>
    <t xml:space="preserve">Background: Current malaria diagnosis methods that rely on microscopy and Histidine Rich Protein-2 (HRP2)-based rapid diagnostic tests (RDT) have drawbacks that necessitate the development of improved and complementary malaria diagnostic methods to overcome some or all these limitations. Consequently, the addition of automated detection and classification of malaria using laboratory methods can provide patients with more accurate and faster diagnosis. Therefore, this study used a machine-learning model to predict Plasmodium falciparum (Pf) antigen positivity (presence of malaria) based on sociodemographic behaviour, environment, and clinical features. Method: Data from 200 Nigerian patients were used to develop predictive models using nested cross-validation and sequential backward feature selection (SBFS), with 80% of the dataset randomly selected for training and optimisation and the remaining 20% for testing the models. Outcomes were classified as Pf-positive or Pf-negative, corresponding to the presence or absence of malaria, respectively. Results: Among the three machine learning models examined, the penalised logistic regression model had the best area under the receiver operating characteristic curve for the training set (AUC = 84%; 95% confidence interval [CI]: 75–93%) and test set (AUC = 83%; 95% CI: 63–100%). Increased odds of malaria were associated with higher body weight (adjusted odds ratio (AOR) = 4.50, 95% CI: 2.27 to 8.01, p &lt; 0.0001). Even though the association between the odds of having malaria and body temperature was not significant, patients with high body temperature had higher odds of testing positive for the Pf antigen than those who did not have high body temperature (AOR = 1.40, 95% CI: 0.99 to 1.91, p = 0.068). In addition, patients who had bushes in their surroundings (AOR = 2.60, 95% CI: 1.30 to 4.66, p = 0.006) or experienced fever (AOR = 2.10, 95% CI: 0.88 to 4.24, p = 0.099), headache (AOR = 2.07; 95% CI: 0.95 to 3.95, p = 0.068), muscle pain (AOR = 1.49; 95% CI: 0.66 to 3.39, p = 0.333), and vomiting (AOR = 2.32; 95% CI: 0.85 to 6.82, p = 0.097) were more likely to experience malaria. In contrast, decreased odds of malaria were associated with age (AOR = 0.62, 95% CI: 0.41 to 0.90, p = 0.012) and BMI (AOR = 0.47, 95% CI: 0.26 to 0.80, p = 0.006). Conclusion: Newly developed routinely collected baseline sociodemographic, environmental, and clinical features to predict Pf antigen positivity may be a valuable tool for clinical decision-making. © 2023, The Author(s).</t>
  </si>
  <si>
    <t xml:space="preserve">Tropical Diseases, Travel Medicine and Vaccines</t>
  </si>
  <si>
    <t xml:space="preserve">10.1186/s40794-023-00208-7</t>
  </si>
  <si>
    <t xml:space="preserve">https://www.scopus.com/inward/record.uri?eid=2-s2.0-85179915985&amp;doi=10.1186%2fs40794-023-00208-7&amp;partnerID=40&amp;md5=4dd9d31e2b1eb57ef201e6e106445346</t>
  </si>
  <si>
    <t xml:space="preserve">Department of Statistics, Osun State University, Osogbo, Nigeria; Department of Microbiology, Osun State University, Osogbo, Nigeria; Department of Medical Microbiology and Parasitology, Ladoke Akintola University of Technology, Ogbomoso, Nigeria; Center for Emerging and Re-emerging Infectious Diseases, Ladoke Akintola University of Technology, Ogbomoso, Nigeria; Melanoma Institute Australia, The University of Sydney, Sydney, Australia</t>
  </si>
  <si>
    <t xml:space="preserve">Ojurongbe T.A., Department of Statistics, Osun State University, Osogbo, Nigeria; Afolabi H.A., Department of Statistics, Osun State University, Osogbo, Nigeria; Bashiru K.A., Department of Statistics, Osun State University, Osogbo, Nigeria; Sule W.F., Department of Microbiology, Osun State University, Osogbo, Nigeria; Akinde S.B., Department of Microbiology, Osun State University, Osogbo, Nigeria; Ojurongbe O., Department of Medical Microbiology and Parasitology, Ladoke Akintola University of Technology, Ogbomoso, Nigeria, Center for Emerging and Re-emerging Infectious Diseases, Ladoke Akintola University of Technology, Ogbomoso, Nigeria; Adegoke N.A., Melanoma Institute Australia, The University of Sydney, Sydney, Australia</t>
  </si>
  <si>
    <t xml:space="preserve">Environmental features; Machine learning; Malaria; Prediction; Social-demographical behaviour; Symptoms</t>
  </si>
  <si>
    <t xml:space="preserve">bacterial antigen; histidine; histidine rich protein 2; unclassified drug; adult; age; aged; Article; body mass; body temperature; body weight; clinical feature; confidence interval; demographics; diagnosis time; diagnostic accuracy; disease association; disease classification; environmental factor; feature selection; female; fever; headache; human; laboratory test; machine learning; major clinical study; malaria; male; myalgia; nested cross validation; Nigerian; nonhuman; odds ratio; parasitology; Plasmodium falciparum; prediction; predictive model; receiver operating characteristic; sequential backward feature selection; sociodemographics; vomiting</t>
  </si>
  <si>
    <t xml:space="preserve">histidine, 645-35-2, 7006-35-1, 71-00-1</t>
  </si>
  <si>
    <t xml:space="preserve">Chimezie R.O., Malaria Hyperendemicity: the Burden and Obstacles to Eradication in Nigeria, J Biosci Med, 8, 11, pp. 165-178, (2020); Loy D.E., Liu W., Li Y., Learn G.H., Plenderleith L.J., Sundararaman S.A., Et al., Out of Africa: origins and evolution of the human malaria parasites Plasmodium falciparum and Plasmodium vivax, Int J Parasitol, 47, 2-3, pp. 87-97, (2017); Ajayi I.O., Ajumobi O., Ogunwale A., Adewole A., Odeyinka O.T., Balogun M.S., . is the Malaria Short Course for Program Managers, a Priority for Malaria Control Effort in Nigeria? Evidence from a Qualitative Study. Jimba, 15, 7, (2020); Krief S., Escalante A.A., Pacheco M.A., Mugisha L., Andre C., Halbwax M., Et al., On the diversity of malaria parasites in african apes and the origin of Plasmodium falciparum from Bonobos, PLoS Pathog, 6, 2, (2010); Smith J.D., Craig A.G., Kriek N., Hudson-Taylor D., Kyes S., Fagen T., Et al., Identification of a Plasmodium falciparum intercellular adhesion molecule-1 binding domain: A parasite adhesion trait implicated in cerebral malaria, Proceedings of the National Academy of Sciences, 97, 4, pp. 1766-1771, (2000); Berzosa P., de Lucio A., Romay-Barja M., Herrador Z., Gonzalez V., Garcia L., Et al., Comparison of three diagnostic methods (microscopy, RDT, and PCR) for the detection of malaria parasites in representative samples from Equatorial Guinea, Malar J, 17, 1, (2018); Pal P., Daniels B.P., Oskman A., Diamond M.S., Klein R.S., Goldberg D.E., Plasmodium falciparum histidine-rich protein II compromises brain endothelial barriers and may promote cerebral malaria pathogenesis, mBio, 7, 3, pp. e00617-e616, (2016); Luzolo A.L., Ngoyi D.M., Cerebral malaria, Brain Res Bull, 145, pp. 53-58, (2019); Arya A., Kojom Foko L.P., Chaudhry S., Sharma A., Singh V., Artemisinin-based combination therapy (ACT) and drug resistance molecular markers: a systematic review of clinical studies from two malaria endemic regions - India and sub-saharan Africa, Int J Parasitol Drugs Drug Resist, 15, pp. 43-56, (2021); Dara A., Dogga S.K., Rop J., Ouologuem D., Tandina F., Talman A.M., Et al., Tackling malaria transmission at a single cell level in an endemic setting in sub-saharan Africa, Nat Commun, 13, 1, (2022); Marwa K., Kapesa A., Baraka V., Konje E., Kidenya B., Mukonzo J., Et al., Therapeutic efficacy of artemether-lumefantrine, artesunate-amodiaquine and dihydroartemisinin-piperaquine in the treatment of uncomplicated Plasmodium falciparum malaria in Sub-Saharan Africa: a systematic review and meta-analysis, PLoS ONE, 17, 3, (2022); Thornton J., Covid-19: keep essential malaria services going during pandemic, urges WHO, BMJ, 369, (2020); Effiong F.B., Makata V.C., Elebesunu E.E., Bassey E.E., Salachi K.I., Sagide M.R., Et al., Prospects of malaria vaccination in Nigeria: anticipated challenges and lessons from previous vaccination campaigns, Ann Med Surg (Lond), 81, (2022); Zawawi A., Alghanmi M., Alsaady I., Gattan H., Zakai H., Couper K., The impact of COVID-19 pandemic on malaria elimination, Parasite Epidemiol Control, 11, (2020); Okereke E., Smith H., Oguoma C., Oresanya O., Maxwell K., Anikwe C., Et al., Optimizing the role of lead mothers in seasonal malaria chemoprevention (SMC) campaigns: formative research in Kano State, northern Nigeria, Malar J, 22, 1, (2023); Oyeyemi A.S., Oladepo O., Adeyemi A.O., Titiloye M.A., Burnett S.M., Apera I., The potential role of patent and proprietary medicine vendors’ associations in improving the quality of services in Nigeria’s drug shops, BMC Health Serv Res, 20, 1, (2020); Sokunbi T., Omojuyigbe J., Bakenne H., Adebisi Y., Nigeria End Malaria Council: What to expect, Annals of Medicine and Surgery, (2022); Asingizwe D., Poortvliet P.M., Koenraadt C.J.M., van Vliet A.J.H., Ingabire C.M., Mutesa L., Et al., Role of individual perceptions in the consistent use of malaria preventive measures: mixed methods evidence from rural Rwanda, Malar J, 18, 1, (2019); Biset G., Tadess A.W., Tegegne K.D., Tilahun L., Atnafu N., Malaria among under-five children in Ethiopia: a systematic review and meta-analysis, Malar J, 21, 1, (2022); Mohanan P., Islam Z., Hasan M.M., Adedeji O.J., dos Santos Costa A.C., Aborode A.T., Et al., Malaria and COVID-19: a double battle for Burundi, Afr J Emerg Med, 12, 1, pp. 27-29, (2022); Namuganga J.F., Epstein A., Nankabirwa J.I., Mpimbaza A., Kiggundu M., Sserwanga A., Et al., The impact of stopping and starting indoor residual spraying on malaria burden in Uganda, Nat Commun, 12, 1, (2021); Sarpong S.Y., Bein M.A., Global fund and good governance in sub-saharan Africa: accounting for incidence of malaria and quality of life in oil and non-oil producing countries, SN Soc Sci, 1, 8, (2021); Oladipo H.J., Tajudeen Y.A., Oladunjoye I.O., Yusuff S.I., Yusuf R.O., Oluwaseyi E.M., Et al., Increasing challenges of malaria control in sub-saharan Africa: priorities for public health research and policymakers, Ann Med Surg (Lond), 81, (2022); Diagnostic Testing for Malaria, (2023); Moody A., Rapid Diagnostic tests for Malaria Parasites, Clin Microbiol Rev, 15, 1, pp. 66-78, (2002); Feleke D.G., Tarko S., Hadush H., Performance comparison of CareStart&lt;sup&gt;™&lt;/sup&gt; HRP2/pLDH combo rapid malaria test with light microscopy in north-western Tigray, Ethiopia: a cross-sectional study, BMC Infect Dis, 17, 1, (2017); Parasitological confirmation of malaria diagnosis: Report of a WHO technical consultation; Hanscheid T., Current strategies to avoid misdiagnosis of malaria, Clin Microbiol Infect, 9, 6, pp. 497-504, (2003); Ohrt C., Purnomo, Sutamihardja M.A., Tang D., Kain K.C., Impact of microscopy error on estimates of protective efficacy in malaria-prevention trials, J Infect Dis, 186, 4, pp. 540-546, (2002); Payne D., Use and limitations of light microscopy for diagnosing malaria at the primary health care level, Bull World Health Organ, 66, 5, pp. 621-626, (1988); Azikiwe C., Ifezulike C., Siminialayi I., Amazu L., Enye J., Nwakwunite O., A comparative laboratory diagnosis of malaria: microscopy versus rapid diagnostic test kits, Asian Pac J Trop Biomed, 2, 4, pp. 307-310, (2012); Opoku Afriyie S., Addison T.K., Gebre Y., Mutala A.H., Antwi K.B., Abbas D.A., Et al., Accuracy of diagnosis among clinical malaria patients: comparing microscopy, RDT and a highly sensitive quantitative PCR looking at the implications for submicroscopic infections, Malar J, 22, 1, (2023); Menard D., Dondorp A., Antimalarial drug resistance: a threat to Malaria Elimination, Cold Spring Harb Perspect Med, 7, 7, (2017); Mwai L., Ochong E., Abdirahman A., Kiara S.M., Ward S., Kokwaro G., Et al., Chloroquine resistance before and after its withdrawal in Kenya, Malar J, 8, (2009); Jiang F., Jiang Y., Zhi H., Dong Y., Li H., Ma S., Et al., Artificial intelligence in healthcare: past, present and future, Stroke Vasc Neurol, 2, 4, pp. 230-243, (2017); Shailaja K., Seetharamulu B., Jabbar M.A., Machine Learning in Healthcare: A Review, Second International Conference on Electronics, Communication and Aerospace Technology (ICECA)., pp. 910-914, (2018); Sidey-Gibbons J.A.M., Sidey-Gibbons C.J., Machine learning in medicine: a practical introduction, BMC Med Res Methodol, 19, 1, (2019); Triantafyllidis A.K., Tsanas A., Applications of machine learning in real-life Digital Health Interventions: review of the literature, J Med Internet Res, 21, 4, (2019); Fuhad K.M.F., Tuba J.F., Sarker M.R.A., Momen S., Mohammed N., Rahman T., Deep learning based Automatic Malaria Parasite detection from blood smear and its Smartphone based application, Diagnostics (Basel), 10, 5, (2020); Masud A.A., Rousham E.K., Islam M.A., Alam M.U., Rahman M., Mamun A.A., Drivers of Antibiotic Use in Poultry Production in Bangladesh: Dependencies and Dynamics of a Patron-Client Relationship. Frontiers in Veterinary Science, 7, (2020); Muthumbi A., Chaware A., Kim K., Zhou K.C., Konda P.C., Chen R., Et al., Learned sensing: jointly optimized microscope hardware for accurate image classification, Biomed Opt Express, 10, 12, pp. 6351-6369, (2019); Poostchi M., Silamut K., Maude R.J., Jaeger S., Thoma G., Image analysis and machine learning for detecting malaria, Transl Res, 194, pp. 36-55, (2018); Sofoluwe N.A., Tijani A.A., Baruwa O.I., Farmers’ perception and adaptation to climate change in Osun State, Nigeria.; Mariki M., Mkoba E., Mduma N., Combining clinical symptoms and patient features for Malaria diagnosis: Machine Learning Approach, Appl Artif Intell, 36, 1, (2022); Osei-Kwakye K., Asante K.P., Mahama E., Apanga S., Owusu R., Kwara E., The Benefits or Otherwise of Managing Malaria Cases with or without Laboratory Diagnosis: The Experience in a District Hospital in Ghana, Plos ONE, 8, 3; Morakinyo O.M., Balogun F.M., Fagbamigbe A.F., Housing type and risk of malaria among under-five children in Nigeria: Evidence from the malaria indicator survey, Malaria Journal, 17, 1, (2018); Peakall R., Ruibal M., Lindenmayer D.B., Spatial Autocorrelation Analysis Offers New Insights Into Gene Flow in the Australian Bush Rat, Rattus Fuscipes, Evolution, 57, 5, (2003); Mahende C., Ngasala B., Lusingu J., Yong T.S., Lushino P., Lemnge M.M., Et al., Performance of rapid diagnostic test, blood-film microscopy and PCR for the diagnosis of malaria infection among febrile children from Korogwe District, Tanzania, Malaria Journal, 15, 1, (2016); Dumitrescu E., Hue S., Hurlin C., Tokpavi S., Machine learning for credit scoring: improving logistic regression with non-linear decision-tree effects, Eur J Oper Res, 297, 3, pp. 1178-1192, (2022); Nadeem K., Jabri M.A., Stable variable ranking and selection in regularized logistic regression for severely imbalanced big binary data, PLoS ONE, 18, 1, (2023); Kamau A., Paton R.S., Akech S., Mpimbaza A., Khazenzi C., Ogero M., Et al., Malaria hospitalisation in East Africa: age, phenotype and transmission intensity, BMC Med, 20, 1, (2022); Modabbernia A., Whalley H.C., Glahn D.C., Thompson P.M., Kahn R.S., Frangou S., Systematic evaluation of machine learning algorithms for neuroanatomically-based age prediction in youth, Hum Brain Mapp, 43, 17, pp. 5126-5140, (2022); Avancena A.L.V., Miller A., Canana N., Dula J., Saifodine A., Cadrinho B., Et al., Achieving malaria testing and treatment targets for children under five in Mozambique: a cost-effectiveness analysis, Malar J, 21, 1, (2022); Dasgupta R.R., Mao W., Ogbuoji O., Addressing child health inequity through case management of under-five malaria in Nigeria: an extended cost-effectiveness analysis, Malar J, 21, 1, (2022); Li G., Zhang D., Chen Z., Feng D., Cai X., Chen X., Et al., Risk factors for the accuracy of the initial diagnosis of malaria cases in China: a decision-tree modelling approach, Malar J, 21, 1, (2022); Parvandeh S., Yeh H.W., Paulus M.P., McKinney B.A., Consensus features nested cross-validation. Valencia A, editor, Bioinformatics, 36, 10, pp. 3093-3098, (2020); Tu D., Goyal M.S., Dworkin J.D., Kampondeni S., Vidal L., Biondo-Savin E., Et al., Automated analysis of low-field brain MRI in cerebral malaria, Biometrics, (2022); Alnowami M.R., Abolaban F.A., Taha E., A wrapper-based feature selection approach to investigate potential biomarkers for early detection of breast cancer, J Radiation Res Appl Sci, 15, 1, pp. 104-110, (2022); Zhong Y., Chalise P., He J., Nested cross-validation with ensemble feature selection and classification model for high-dimensional biological data, Commun Stat - Simul Comput, 52, 1, pp. 110-125, (2023); Lee J.S., Yun J., Ham S., Park H., Lee H., Kim J., Et al., Machine learning approach for differentiating cytomegalovirus esophagitis from herpes simplex virus esophagitis, Sci Rep, 11, 1, (2021); Morita S.X., Kusunose K., Haga A., Sata M., Hasegawa K., Raita Y., Et al., Deep Learning Analysis of Echocardiographic Images to Predict Positive Genotype in Patients with Hypertrophic Cardiomyopathy. Frontiers in Cardiovascular Medicine, 8; Wyss K., Wangdahl A., Vesterlund M., Hammar U., Dashti S., Naucler P., Et al., Obesity and diabetes as risk factors for severe Plasmodium falciparum Malaria: results from a Swedish Nationwide Study, Clin Infect Dis, 65, 6, pp. 949-958, (2017); Bartoloni A., Zammarchi L., Clinical aspects of uncomplicated and severe malaria, Mediterr J Hematol Infect Dis, 4, 1, (2012); da Silva-Nunes M., Ferreira M.U., Clinical spectrum of uncomplicated malaria in semi-immune Amazonians: beyond the symptomatic vs asymptomatic dichotomy, Mem Inst Oswaldo Cruz, 102, 3, pp. 341-347, (2007); Gomes A.R.Q., Cunha N., Varela E.L.P., Brigido H.P.C., Vale V.V., Dolabela M.F., Et al., Oxidative stress in Malaria: potential benefits of antioxidant therapy, Int J Mol Sci, 23, 11, (2022); Al-Ezzi A., Al-Salahy M., Shnawa B., Changes in levels of antioxidant markers and status of some enzyme activities among Falciparum Malaria Patients in Yemen, 4, (2017); Carneiro I., Roca-Feltrer A., Griffin J.T., Smith L., Tanner M., Schellenberg J.A., Et al., Age-patterns of malaria vary with severity, transmission intensity and seasonality in sub-saharan Africa: a systematic review and pooled analysis, PLoS ONE, 5, 2, (2010); Rono J., Farnert A., Murungi L., Ojal J., Kamuyu G., Guleid F., Et al., Multiple clinical episodes of Plasmodium falciparum malaria in a low transmission intensity setting: exposure versus immunity, BMC Med, 13, (2015); Sitali L., Chipeta J., Miller J.M., Moonga H.B., Kumar N., Moss W.J., Et al., Patterns of mixed Plasmodium species infections among children six years and under in selected malaria hyper-endemic communities of Zambia: population-based survey observations, BMC Infect Dis, 15, (2015); Fornace K.M., Diaz A.V., Lines J., Drakeley C.J., Achieving global malaria eradication in changing landscapes, Malar J, 20, 1, (2021); Kar N.P., Kumar A., Sundar S., Carlton J.M., Nanda N., A review of malaria transmission dynamics in forest ecosystems, Parasites &amp;Amp Vectors, 7, 1; Dennehy T.J., Degain B.A., Harpold V.S., Zaborac M., Morin S., Fabrick J.A., Et al., Extraordinary resistance to Insecticides reveals exotic Q biotype of Bemisia tabaci in the New World, jnl econ Entom, 103, 6, pp. 2174-2186, (2010); Onen H., Luzala M.M., Kigozi S., Sikumbili R.M., Muanga C.J.K., Zola E.N., Et al., Mosquito-Borne Diseases and their control strategies: an overview focused on Green Synthesized Plant-Based metallic nanoparticles, Insects, 14, 3, (2023); Seavey C.E., Doshi M., Colamarino A., Kim B.N., Dickerson A.K., Willenberg B.J., Graded Atmospheres of Volatile Pyrethroid overlaid on host cues can be established and quantified within a Novel Flight Chamber for Mosquito Behavior Studies, Environ Entomol, 52, 2, pp. 197-209, (2023); Bria Y.P., Yeh C.H., Bedingfield S., Significant symptoms and nonsymptom-related factors for malaria diagnosis in endemic regions of Indonesia, Int J Infect Dis, 103, pp. 194-200, (2021); Trampuz A., Jereb M., Muzlovic I., Prabhu R.M., Clinical review: severe malaria, Crit Care, 7, 4, pp. 315-323, (2003); Bartoloni A., Zammarchi L., Clinical Aspects of Uncomplicated and Severe Malaria, Mediterranean Journal of Hematology and Infectious Diseases, 4, 1</t>
  </si>
  <si>
    <t xml:space="preserve">T.A. Ojurongbe; Department of Statistics, Osun State University, Osogbo, Nigeria; email: taiwo.ojurongbe@uniosun.edu.ng</t>
  </si>
  <si>
    <t xml:space="preserve">Trop. Dis. Travel Med. Vaccines</t>
  </si>
  <si>
    <t xml:space="preserve">2-s2.0-85179915985</t>
  </si>
  <si>
    <t xml:space="preserve">Xu N.; Zhang Y.; Du C.; Song J.; Huang J.; Gong Y.; Jiang H.; Tong Y.; Yin J.; Wang J.; Jiang F.; Chen Y.; Jiang Q.; Dong Y.; Zhou Y.</t>
  </si>
  <si>
    <t xml:space="preserve">Xu, Ning (57209324355); Zhang, Yun (56032330400); Du, Chunhong (15727381900); Song, Jing (56180443500); Huang, Junhui (57729146500); Gong, Yanfeng (57222716739); Jiang, Honglin (57222050064); Tong, Yixin (57695970800); Yin, Jiangfan (57695721400); Wang, Jiamin (58109424800); Jiang, Feng (56604591500); Chen, Yue (57196269861); Jiang, Qingwu (55506267300); Dong, Yi (57207011125); Zhou, Yibiao (35301514200)</t>
  </si>
  <si>
    <t xml:space="preserve">57209324355; 56032330400; 15727381900; 56180443500; 57729146500; 57222716739; 57222050064; 57695970800; 57695721400; 58109424800; 56604591500; 57196269861; 55506267300; 57207011125; 35301514200</t>
  </si>
  <si>
    <t xml:space="preserve">Prediction of Oncomelania hupensis distribution in association with climate change using machine learning models</t>
  </si>
  <si>
    <t xml:space="preserve">Background: Oncomelania hupensis is the sole intermediate host of Schistosoma japonicum. Its emergence and recurrence pose a constant challenge to the elimination of schistosomiasis in China. It is important to accurately predict the snail distribution for schistosomiasis prevention and control. Methods: Data describing the distribution of O. hupensis in 2016 was obtained from the Yunnan Institute of Endemic Disease Control and Prevention. Eight machine learning algorithms, including eXtreme Gradient Boosting (XGB), support vector machine (SVM), random forest (RF), generalized boosting model (GBM), neural network (NN), classification and regression trees (CART), k-nearest neighbors (KNN), and generalized additive model (GAM), were employed to explore the impacts of climatic, geographical, and socioeconomic variables on the distribution of suitable areas for O. hupensis. Predictions of the distribution of suitable areas for O. hupensis were made for various periods (2030s, 2050s, and 2070s) under different climate scenarios (SSP126, SSP245, SSP370, and SSP585). Results: The RF model exhibited the best performance (AUC: 0.991, sensitivity: 0.982, specificity: 0.995, kappa: 0.942) and the CART model performed the worst (AUC: 0.884, sensitivity: 0.922, specificity: 0.943, kappa: 0.829). Based on the RF model, the top six important variables were as follows: Bio15 (precipitation seasonality) (33.6%), average annual precipitation (25.2%), Bio2 (mean diurnal temperature range) (21.7%), Bio19 (precipitation of the coldest quarter) (14.5%), population density (13.5%), and night light index (11.1%). The results demonstrated that the overall suitable habitats for O. hupensis were predominantly distributed in the schistosomiasis-endemic areas located in northwestern Yunnan Province under the current climate situation and were predicted to expand north- and westward due to climate change. Conclusions: This study showed that the prediction of the current distribution of O. hupensis corresponded well with the actual records. Furthermore, our study provided compelling evidence that the geographical distribution of snails was projected to expand toward the north and west of Yunnan Province in the coming decades, indicating that the distribution of snails is driven by climate factors. Our findings will be of great significance for formulating effective strategies for snail control. Graphical Abstract: [Figure not available: see fulltext.] © 2023, BioMed Central Ltd., part of Springer Nature.</t>
  </si>
  <si>
    <t xml:space="preserve">10.1186/s13071-023-05952-5</t>
  </si>
  <si>
    <t xml:space="preserve">https://www.scopus.com/inward/record.uri?eid=2-s2.0-85174817433&amp;doi=10.1186%2fs13071-023-05952-5&amp;partnerID=40&amp;md5=18484da8e8eb4a0d3de7a9a2814c1ff0</t>
  </si>
  <si>
    <t xml:space="preserve">Fudan University School of Public Health, Shanghai, 200032, China; Key Laboratory of Public Health Safety, Fudan University, Ministry of Education, Shanghai, 200032, China; Fudan University Center for Tropical Disease Research, Shanghai, 200032, China; Yunnan Institute of Endemic Disease Control and Prevention, Yunnan, Dali, 671000, China; Yunnan Provincial Key Laboratory of Natural Focal Disease Prevention and Control Technology, Yunnan, Dali, 671000, China; School of Epidemiology and Public Health, Faculty of Medicine, University of Ottawa, Ottawa, Canada</t>
  </si>
  <si>
    <t xml:space="preserve">Xu N., Fudan University School of Public Health, Shanghai, 200032, China, Key Laboratory of Public Health Safety, Fudan University, Ministry of Education, Shanghai, 200032, China, Fudan University Center for Tropical Disease Research, Shanghai, 200032, China; Zhang Y., Yunnan Institute of Endemic Disease Control and Prevention, Yunnan, Dali, 671000, China, Yunnan Provincial Key Laboratory of Natural Focal Disease Prevention and Control Technology, Yunnan, Dali, 671000, China; Du C., Yunnan Institute of Endemic Disease Control and Prevention, Yunnan, Dali, 671000, China, Yunnan Provincial Key Laboratory of Natural Focal Disease Prevention and Control Technology, Yunnan, Dali, 671000, China; Song J., Yunnan Institute of Endemic Disease Control and Prevention, Yunnan, Dali, 671000, China, Yunnan Provincial Key Laboratory of Natural Focal Disease Prevention and Control Technology, Yunnan, Dali, 671000, China; Huang J., Fudan University School of Public Health, Shanghai, 200032, China, Key Laboratory of Public Health Safety, Fudan University, Ministry of Education, Shanghai, 200032, China, Fudan University Center for Tropical Disease Research, Shanghai, 200032, China; Gong Y., Fudan University School of Public Health, Shanghai, 200032, China, Key Laboratory of Public Health Safety, Fudan University, Ministry of Education, Shanghai, 200032, China, Fudan University Center for Tropical Disease Research, Shanghai, 200032, China; Jiang H., Fudan University School of Public Health, Shanghai, 200032, China, Key Laboratory of Public Health Safety, Fudan University, Ministry of Education, Shanghai, 200032, China, Fudan University Center for Tropical Disease Research, Shanghai, 200032, China; Tong Y., Fudan University School of Public Health, Shanghai, 200032, China, Key Laboratory of Public Health Safety, Fudan University, Ministry of Education, Shanghai, 200032, China, Fudan University Center for Tropical Disease Research, Shanghai, 200032, China; Yin J., Fudan University School of Public Health, Shanghai, 200032, China, Key Laboratory of Public Health Safety, Fudan University, Ministry of Education, Shanghai, 200032, China, Fudan University Center for Tropical Disease Research, Shanghai, 200032, China; Wang J., Fudan University School of Public Health, Shanghai, 200032, China, Key Laboratory of Public Health Safety, Fudan University, Ministry of Education, Shanghai, 200032, China, Fudan University Center for Tropical Disease Research, Shanghai, 200032, China; Jiang F., Fudan University School of Public Health, Shanghai, 200032, China, Key Laboratory of Public Health Safety, Fudan University, Ministry of Education, Shanghai, 200032, China, Fudan University Center for Tropical Disease Research, Shanghai, 200032, China; Chen Y., School of Epidemiology and Public Health, Faculty of Medicine, University of Ottawa, Ottawa, Canada; Jiang Q., Fudan University School of Public Health, Shanghai, 200032, China, Key Laboratory of Public Health Safety, Fudan University, Ministry of Education, Shanghai, 200032, China, Fudan University Center for Tropical Disease Research, Shanghai, 200032, China; Dong Y., Yunnan Institute of Endemic Disease Control and Prevention, Yunnan, Dali, 671000, China, Yunnan Provincial Key Laboratory of Natural Focal Disease Prevention and Control Technology, Yunnan, Dali, 671000, China; Zhou Y., Fudan University School of Public Health, Shanghai, 200032, China, Key Laboratory of Public Health Safety, Fudan University, Ministry of Education, Shanghai, 200032, China, Fudan University Center for Tropical Disease Research, Shanghai, 200032, China</t>
  </si>
  <si>
    <t xml:space="preserve">Climate change; Ecological niche model; Oncomelania hupensis; Schistosomiasis; Species distribution</t>
  </si>
  <si>
    <t xml:space="preserve">Animals; China; Climate Change; Gastropoda; Schistosoma japonicum; Schistosomiasis; area under the curve; Article; artificial neural network; China; classification and regression tree; climate change; cosmological phenomena; diurnal temperature range; endemic disease; extreme gradient boosting; generalized additive model; generalized boosting model; geographic distribution; habitat; k nearest neighbor; machine learning; night light index; nonhuman; Oncomelania hupensis; population density; precipitation; prediction; random forest; schistosomiasis; seasonal variation; sensitivity and specificity; species distribution; animal; climate change; epidemiology; gastropod; Schistosoma japonicum; schistosomiasis</t>
  </si>
  <si>
    <t xml:space="preserve">Barnett R., Schistosomiasis, Lancet, 392, (2018); Lv S., Tian L.G., Liu Q., Qian M.B., Fu Q., Steinmann P., Chen J.-X., Yang G.-J., Yang K., Zhou X.-N., Water-related parasitic diseases in China, Int J Environ Res Public Health, 10, pp. 1977-2016, (2013); Wang L., Utzinger J., Zhou X.N., Schistosomiasis control: experiences and lessons from China, Lancet, 372, pp. 1793-1795, (2008); Guo J.Y., Xu J., Zhang L.J., Lv S., Cao C.L., Li S.Z., Zhou X.N., Surveillance on schistosomiasis in five provincial-level administrative divisions of the People’s Republic of China in the post-elimination era, Infect Dis Poverty, 9, (2020); Utzinger J., Zhou X.N., Chen M.G., Bergquist R., Conquering schistosomiasis in China: the long march, Acta Trop, 96, pp. 69-96, (2005); Zhang L.J., Xu Z.M., Yang F., He J.Y., Dang H., Li Y.L., Cao C.L., Xu J., Li S.Z., Zhou X.N., Progress of schistosomiasis control in People’s Republic of China in 2021, Chin J Schisto Control., 34, pp. 329-336, (2022); Xu J., Lv S., Cao C.L., Li S.Z., Zhou X.N., Progress and challenges of schistosomiasis elimination in China, Chin J Schisto Control, 30, pp. 605-609, (2018); Wang W., Yang K., Implementation of precision control to facilitate the progress towards schistosomiasis elimination in China, China Trop Med, 20, pp. 595-598, (2020); Sillero N., What does ecological modeling model? A proposed classification of ecological niche models based on their underlying methods, Ecol Model, 222, pp. 1343-1346, (2011); Johnson E.E., Escobar L.E., Zambrana-Torrelio C., An ecological framework for modeling the geography of disease transmission, Trends Ecol Evol, 34, pp. 655-668, (2019); Elith J., Leathwick J.R., Species distribution models: ecological explanation and prediction across space and time, Annu Rev Ecol Evol S, 40, pp. 677-697, (2009); Hulagappa T., Baradevanal G., Surpur S., Raghavendra D., Doddachowdappa S., Shashank P.R., Mallaiah K.K., Bedar J., Diagnosis and potential invasion risk of Thrips parvispinus under current and future climate change scenarios, PeerJ, 10, (2022); Yang X., Zhang Y., Sun Q.X., Zhou J.X., Zhou X.N., SWOT analysis on snail control measures applied in the national schistosomiasis control programme in the People’s Republic of China, Infect Dis Poverty, 8, (2019); Gong Y.F., Li Y.L., Zhang L.J., Lv S., Xu J., Li S., The potential distribution prediction of Oncomelania hupensis based on newly emerging and reemergent habitats-China, 2015–2019, China CDC Wkly, 3, pp. 90-93, (2021); Gong Y.F., Hu X.K., Hao Y.W., Luo Z.W., Feng J.X., Xue J.B., Guo Z.Y., Li Y.L., Zhang L.J., Xia S., Shan L.Y., Projecting the proliferation risk of Oncomelania hupensis in China driven by SSPs: a multi-scenario comparison and integrated modeling study, Adv Clim Change Res., 13, pp. 258-265, (2022); Wang R.L., Jiang C.X., Guo X., Chen D.D., You C., Zhang Y., Wang M., Li Q., Potential distribution of Spodoptera frugiperda (JE Smith) in China and the major factors influencing distribution, Glob Ecol Conserv., 21, (2020); Sun X., Long Z.X., Jia J.B., Identifying core habitats and corridors for giant pandas by combining multiscale random forest and connectivity analysis, Ecol Evol, 12, (2022); Zou L., Ruan S., Schistosomiasis transmission and control in China, Acta Trop, 143, pp. 51-57, (2015); Zhang J., Yue M., Hu Y., Bergquist R., Su C., Gao F., Cao Z.G., Zhang Z., Risk prediction of two types of potential snail habitats in Anhui Province of China: model-based approaches, PLoS Negl Trop Dis, 14, (2020); Zhu G.P., Fan J.Y., Peterson A.T., Schistosoma japonicum transmission risk maps at present and under climate change in mainland China, PLoS Negl Trop Dis, 11, (2017); Yang K., Wang X.H., Yang G.J., Wu X.H., Qi Y.L., Li H.J., Zhou X.N., An integrated approach to identify distribution of Oncomelania hupensis, the intermediate host of Schistosoma japonicum, in a mountainous region in China, Int J Parasitol, 38, pp. 1007-1016, (2008); Qiu J., Li R.D., Xu X.J., Yu C.H., Xia X., Hong X.C., Chang B., Yi F., Shi Y., Identifying determinants of Oncomelania hupensis habitats and assessing the effects of environmental control strategies in the plain regions with the waterway network of China at the microscale, Int J Environ Res Public Health, 11, pp. 6571-6585, (2014); Shi Y.Y., Qiu J., Li R.D., Shen Q., Huang D., Identification of potential high-risk habitats within the transmission reach of Oncomelania hupensis after floods based on SAR techniques in a plane region in China, Int J Environ Res Public Health, 14, (2017); Yang Y., Zhou Y.B., Song X.X., Li S.Z., Zhong B., Wang T.P., Bergquist R., Zhou X.N., Jiang Q.W., Integrated control strategy of Schistosomiasis in the People’s Republic of China: projects involving agriculture, water conservancy, forestry, sanitation and environmental modification, Adv Parasitol, 92, pp. 237-268, (2016); Song J., Shen M.F., Dong Y., The effect analysis of comprehensive governance for schistosomiasis in Yunnan Province from 2004 to 2021, J Trop Dis Parasitol, 20, pp. 210-214, (2022); Hao Y., Zheng H., Zhu R., Guo J.G., Wang L.Y., Chen Z., Zhou X., Schistosomiasis situation in People’s Republic of China in 2009, Chin J Schisto Control., 22, pp. 521-527, (2010); Zhang L.J., He J.Y., Yang F., Dang H., Li Y.L., Guo S.Y., Li S., Cao C., Xu J., Li S., Zhou X., Progress of schistosomiasis control in People’s Republic of China in 2022, Chin J Schisto Control., 35, pp. 217-224, (2023); Song J., Dong Y., Shen M.F., Xiong M.T., Zhang Y., Wang L.F., Chen C., Sun J., Du C., Analysis of the risk assessment result of schistosomiasis transmission in Yunnan Province in 2020, Chin J Schisto Control., 19, pp. 304-307, (2021); Shen M.F., Feng X.G., Huang N.B., Zhang Y., Wu M.S., Song J., Xiong M.T., Wang L.F., Analysis of Oncomelania hupensis status in schistosomiasis surveillance sites of Yunnan Province in 2015, Chin J Schisto Control, 28, pp. 54-57, (2016); Zhang J., Li S., A Review of machine learning based species’ distribution modelling, 2017 International Conference on Industrial Informatics-Computing Technology, Intelligent Technology, Industrial Information Integration (ICIICII), Wuhan, China, pp. 199-206, (2017); Echeverry-Cardenas E., Lopez-Castaneda C., Carvajal-Castro J.D., Aguirre-Obando O.A., Potential geographic distribution of the tiger mosquito Aedes albopictus (Skuse, 1894) (Diptera: Culicidae) in current and future conditions for Colombia, PLoS Negl Trop Dis, 15, (2021); Liu M.M., Feng Y., Yang K., Impact of micro-environmental factors on survival, reproduction and distribution of Oncomelania hupensis snails, Infect Dis Poverty, 10, (2021); Fick S.E., Hijmans R.J., WorldClim 2: new 1-km spatial resolution climate surfaces for global land areas, Int J Climatol, 37, pp. 4302-4315, (2017); Wu T.W., Song L.C., Li W.P., Wang Z.Z., Zhang H., Xin X.G., Zhang Y., Zhang L., Li J., Wu F., Liu Y., An overview of BCC climate system model development and application for climate change studies, J Meteorol Res., 28, pp. 34-56, (2014); Zhang J.M., Peng X.Y., Song M.L., Li Z.J., Xu X.Q., Wang W., Effects of climate change on the distribution of wild Akebia trifoliata, Ecol Evol, 12, (2022); Venter O., Sanderson E.W., Magrach A., Allan J.R., Beher J., Jones K.R., Possingham H.P., Laurance W.F., Wood P., Fekete B.M., Levy M.A., Global terrestrial human footprint maps for 1993 and 2009, Sci Data, 3, pp. 1-10, (2016); Xue J.B., Hu X.K., Hao Y.W., Gong Y.F., Wang X.Y., Huang L.Y., Lv S., Xu J., Li S., Xia S., Transmission risk predicting for Schistosomiasis in mainland China by exploring ensemble ecological niche modeling, Trop Med Infect Dis., 8, (2023); Ruan G.J., Li X.Y., Yuan F., Cammarano D., Ata-UI-Karim S.T., Liu X.J., Tian Y., Zhu Y., Cao W., Cao Q., Improving wheat yield prediction integrating proximal sensing and weather data with machine learning, Comput Electron Agric, 195, (2022); Gong Y.F., Luo Z.W., Feng J.X., Xue J.B., Guo Z.Y., Jin Y.J., Yu Q., Xia S., Lu S., Xu J., Li S., Prediction of trends for fine⁃scale spread of Oncomelania hupensis in Shanghai Municipality based on supervised machine learning models, Chin J Schisto Control., 34, pp. 241-251, (2022); Shabani F., Kumar L., Ahmadi M., Assessing accuracy methods of species distribution models: AUC, specificity, sensitivity and the true skill statistic, Glob J Hum Soc Sci, 18, pp. 6-18, (2018); Shi Y., Environmental factors shaping spatial distribution of schistosome-transmitting snail Oncomelania hupensis and prediction of potential habitats in Dongting lake basin, (2021); Shi Q.W., Gong Y.F., Zhao J., Qin Z.Q., Zhang J., Wu J.Z., Hu Z., Li S., Spatial and temporal distribution pattern of Oncomelania hupensis caused by multiple environmental factors using ecological niche models, Front Environ Sci, 10, (2022); Tong Y.X., Xia Z.G., Wang Q.Y., Xu N., Jiang H.L., Wang Z.Z., Xiong Y., Yin J.F., Huang J.H., Jiang F., Chen Y., Prediction of the risk distributions for Anopheles sinensis, a vector for malaria in Shanghai, China, Am J Trop Med Hyg, 108, pp. 599-608, (2023); Cenni L., Simoncini A., Massetti L., Rizzoli A., Hauffe H.C., Massolo A., Current and future distribution of a parasite with complex life cycle under global change scenarios: Echinococcus multilocularis in Europe, Glob Change Biol, 29, pp. 2436-2449, (2023); Breiman L., Random forests, Mach Learn, 45, pp. 5-32, (2001); Sheridan R.P., Wang W.M., Liaw A., Ma J.S., Gifford E.M., Extreme gradient boosting as a method for quantitative structure–activity relationships, J Chem Inf Model, 56, pp. 2353-2360, (2016); Zheng J.X., Prediction on Transmission Risk of Schistosomiasis and Liver Flukes Diseases in China and Mekong River Basin. Chinese Centre for Disease Control and Prevention, (2021); McPherson J.M., Walter J., Rogers D.J., The effects of species’ range sizes on the accuracy of distribution models: ecological phenomenon or statistical artefact?, J Appl Ecol, 41, pp. 811-823, (2004); Beauregard F., de Blois S., Beyond a climate-centric view of plant distribution: edaphic variables add value to distribution models, PLoS ONE, 9, (2014); Chen S., Lu D., Duan L., Ma B., Lv C., Li Y.L., Lu S.N., Li L.H., Xu L., Wu Z.S., Xia S., Cross-watershed distribution pattern challenging the elimination of Oncomelania hupensis, the intermediate host of Schistosoma japonica, in Sichuan province, China, Parasit Vectors, 15, (2022); Zhang L., Human behavior’s influence on the transmission of Schistosomiasis around Dongting Lake, J Sci Technol, 12, pp. 84-89, (2016); Ma T., Zhou C.H., Pei T., Haynie S., Fan J.F., Quantitative estimation of urbanization dynamics using time series of DMSP/OLS nighttime light data: a comparative case study from China’s cities, Remote Sens Environ, 124, pp. 99-107, (2012); Feng S.S., Lu H.W., Tian P.P., Xue Y.X., Lu J.Z., Tang M., Feng W., Analysis of microplastics in a remote region of the Tibetan Plateau: implications for natural environmental response to human activities, Sci Total Environ, 739, (2020); Shi Z.Y., Wang Y.T., Zhao Q., Analysis of spatiotemporal changes of ecological environment quality and its coupling coordination with urbanization in the Yangtze River Delta Urban Agglomeration, China, Int J Environ Res Public Health, 20, (2023); Hu X.K., Hao Y.W., Xia S., Guo Y.H., Xue J.B., Zhang Y., Wang L., Dong Y., Xu J., Li S., Detection of schistosomiasis transmission risks in Yunnan Province based on ecological niche modeling, Chin J Parasitol Parasit Dis., 38, pp. 80-86, (2020); Shen M.F., Du C.H., Song J., Wang L.F., Sun J.Y., Chen C.Q., Feng X., Zhang Z., Jiang H., Zhou J., Dong Y., The risk surveillance of schistosomiasis in Yunnan, 2021, Chin J Schisto Control., 23, pp. 157-161, (2023); Chen I.C., Hill J.K., Ohlemuller R., Roy D.B., Thomas C.D., Rapid range shifts of species associated with high levels of climate warming, Science, 333, pp. 1024-1026, (2011); Gao D., Xie M., Chen X., Wang T.J., Zhan C.C., Ren J.Y., Liu Q., Modeling the effects of climate change on surface ozone during summer in the Yangtze River Delta Region, China, Int J Environ Res Public Health, 16, (2019); Huang S.Y., Mao Q., Zhong Q.L., Fan X.H., Li W.Q., Rao Y.H., Pei F., Li S., Deng Z., Reappearance of risk of Schistosomiasis transmission and the response after 27 years of interrupted transmission-Guangdong Province, China, 2019, China CDC Wkly, 3, pp. 1093-1097, (2021); Wang J.X., Oncomelania snail recurrence after schistosomiasis transmission interrupted in Chuxiong City, Chin J Schisto Control, 25, pp. 118-120, (2013); Map of the distribution and prevalence of schistosomiasis in Yunnan Province, (2019)</t>
  </si>
  <si>
    <t xml:space="preserve">Y. Zhou; Fudan University School of Public Health, Shanghai, 200032, China; email: z_yibiao@hotmail.com; Y. Dong; Yunnan Institute of Endemic Disease Control and Prevention, Dali, Yunnan, 671000, China; email: dydali@sina.com</t>
  </si>
  <si>
    <t xml:space="preserve">2-s2.0-85174817433</t>
  </si>
  <si>
    <t xml:space="preserve">de Andrade Rodrigues R.S.; Heise E.F.J.; Hartmann L.F.; Rocha G.E.; Olandoski M.; de Araújo Stefani M.M.; Latini A.C.P.; Soares C.T.; Belone A.; Rosa P.S.; de Andrade Pontes M.A.; de Sá Gonçalves H.; Cruz R.; Penna M.L.F.; Carvalho D.R.; Fava V.M.; Bührer-Sékula S.; Penna G.O.; Moro C.M.C.; Nievola J.C.; Mira M.T.</t>
  </si>
  <si>
    <t xml:space="preserve">de Andrade Rodrigues, Rafael Saraiva (57773559800); Heise, Eduardo Ferreira José (58529956800); Hartmann, Luis Felipe (58184035000); Rocha, Guilherme Eduardo (57772693900); Olandoski, Marcia (15036165400); de Araújo Stefani, Mariane Martins (56524576600); Latini, Ana Carla Pereira (55989896300); Soares, Cleverson Teixeira (13007773400); Belone, Andrea (8538285800); Rosa, Patrícia Sammarco (7102096824); de Andrade Pontes, Maria Araci (15839116800); de Sá Gonçalves, Heitor (55398359200); Cruz, Rossilene (55536243300); Penna, Maria Lúcia Fernandes (7006193930); Carvalho, Deborah Ribeiro (55887138200); Fava, Vinicius Medeiros (55535798700); Bührer-Sékula, Samira (55915757500); Penna, Gerson Oliveira (57203029940); Moro, Claudia Maria Cabral (36717883800); Nievola, Julio Cesar (6508070965); Mira, Marcelo Távora (7005690210)</t>
  </si>
  <si>
    <t xml:space="preserve">57773559800; 58529956800; 58184035000; 57772693900; 15036165400; 56524576600; 55989896300; 13007773400; 8538285800; 7102096824; 15839116800; 55398359200; 55536243300; 7006193930; 55887138200; 55535798700; 55915757500; 57203029940; 36717883800; 6508070965; 7005690210</t>
  </si>
  <si>
    <t xml:space="preserve">Prediction of the occurrence of leprosy reactions based on Bayesian networks</t>
  </si>
  <si>
    <t xml:space="preserve">Introduction: Leprosy reactions (LR) are severe episodes of intense activation of the host inflammatory response of uncertain etiology, today the leading cause of permanent nerve damage in leprosy patients. Several genetic and non-genetic risk factors for LR have been described; however, there are limited attempts to combine this information to estimate the risk of a leprosy patient developing LR. Here we present an artificial intelligence (AI)-based system that can assess LR risk using clinical, demographic, and genetic data. Methods: The study includes four datasets from different regions of Brazil, totalizing 1,450 leprosy patients followed prospectively for at least 2 years to assess the occurrence of LR. Data mining using WEKA software was performed following a two-step protocol to select the variables included in the AI system, based on Bayesian Networks, and developed using the NETICA software. Results: Analysis of the complete database resulted in a system able to estimate LR risk with 82.7% accuracy, 79.3% sensitivity, and 86.2% specificity. When using only databases for which host genetic information associated with LR was included, the performance increased to 87.7% accuracy, 85.7% sensitivity, and 89.4% specificity. Conclusion: We produced an easy-to-use, online, free-access system that identifies leprosy patients at risk of developing LR. Risk assessment of LR for individual patients may detect candidates for close monitoring, with a potentially positive impact on the prevention of permanent disabilities, the quality of life of the patients, and upon leprosy control programs. Copyright © 2023 de Andrade Rodrigues, Heise, Hartmann, Rocha, Olandoski, de Araújo Stefani, Latini, Soares, Belone, Rosa, de Andrade Pontes, de Sá Gonçalves, Cruz, Penna, Carvalho, Fava, Bührer-Sékula, Penna, Moro, Nievola and Mira.</t>
  </si>
  <si>
    <t xml:space="preserve">10.3389/fmed.2023.1233220</t>
  </si>
  <si>
    <t xml:space="preserve">https://www.scopus.com/inward/record.uri?eid=2-s2.0-85167517458&amp;doi=10.3389%2ffmed.2023.1233220&amp;partnerID=40&amp;md5=cf5dd40ce73effd6dbed15d6ce40d4b7</t>
  </si>
  <si>
    <t xml:space="preserve">School of Medicine and Life Sciences, Graduate Program in Health Sciences, Pontifícia Universidade Católica do Paraná – PUCPR, Paraná, Curitiba, Brazil; Graduate Program in Health Technology, PUCPR, Paraná, Curitiba, Brazil; Tropical Pathology and Public Health Institute, Federal University of Goiás, Goiania, Brazil; Instituto Lauro de Souza Lima, São Paulo, Bauru, Brazil; Dona Libânia Dermatology Centre, Ceará, Brazil; Tropical Dermatology and Venerology Alfredo da Matta Foundation, Amazonas, Brazil; Epidemiology and Biostatistics Department, Federal University Fluminense, Rio de Janeiro, Brazil; Program in Infectious Diseases and Immunity in Global Health, Research Institute of the McGill University Health Centre, The McGill International TB Centre, Departments of Human Genetics and Medicine, McGill University, Montreal, QC, Canada; Tropical Medicine Centre, University of Brasília, Fiocruz School of Government – Brasilia, Brasília, Brazil; Graduate Program in Informatics, PUCPR, Paraná, Curitiba, Brazil; Pharmacy Program, School of Health and Biosciences, PUCPR, Paraná, Curitiba, Brazil</t>
  </si>
  <si>
    <t xml:space="preserve">de Andrade Rodrigues R.S., School of Medicine and Life Sciences, Graduate Program in Health Sciences, Pontifícia Universidade Católica do Paraná – PUCPR, Paraná, Curitiba, Brazil; Heise E.F.J., School of Medicine and Life Sciences, Graduate Program in Health Sciences, Pontifícia Universidade Católica do Paraná – PUCPR, Paraná, Curitiba, Brazil; Hartmann L.F., Graduate Program in Health Technology, PUCPR, Paraná, Curitiba, Brazil; Rocha G.E., Graduate Program in Health Technology, PUCPR, Paraná, Curitiba, Brazil; Olandoski M., School of Medicine and Life Sciences, Graduate Program in Health Sciences, Pontifícia Universidade Católica do Paraná – PUCPR, Paraná, Curitiba, Brazil; de Araújo Stefani M.M., Tropical Pathology and Public Health Institute, Federal University of Goiás, Goiania, Brazil; Latini A.C.P., Instituto Lauro de Souza Lima, São Paulo, Bauru, Brazil; Soares C.T., Instituto Lauro de Souza Lima, São Paulo, Bauru, Brazil; Belone A., Instituto Lauro de Souza Lima, São Paulo, Bauru, Brazil; Rosa P.S., Instituto Lauro de Souza Lima, São Paulo, Bauru, Brazil; de Andrade Pontes M.A., Dona Libânia Dermatology Centre, Ceará, Brazil; de Sá Gonçalves H., Dona Libânia Dermatology Centre, Ceará, Brazil; Cruz R., Tropical Dermatology and Venerology Alfredo da Matta Foundation, Amazonas, Brazil; Penna M.L.F., Epidemiology and Biostatistics Department, Federal University Fluminense, Rio de Janeiro, Brazil; Carvalho D.R., Graduate Program in Health Technology, PUCPR, Paraná, Curitiba, Brazil; Fava V.M., Program in Infectious Diseases and Immunity in Global Health, Research Institute of the McGill University Health Centre, The McGill International TB Centre, Departments of Human Genetics and Medicine, McGill University, Montreal, QC, Canada; Bührer-Sékula S., Tropical Pathology and Public Health Institute, Federal University of Goiás, Goiania, Brazil; Penna G.O., Tropical Medicine Centre, University of Brasília, Fiocruz School of Government – Brasilia, Brasília, Brazil; Moro C.M.C., Graduate Program in Health Technology, PUCPR, Paraná, Curitiba, Brazil; Nievola J.C., Graduate Program in Informatics, PUCPR, Paraná, Curitiba, Brazil; Mira M.T., School of Medicine and Life Sciences, Graduate Program in Health Sciences, Pontifícia Universidade Católica do Paraná – PUCPR, Paraná, Curitiba, Brazil, Pharmacy Program, School of Health and Biosciences, PUCPR, Paraná, Curitiba, Brazil</t>
  </si>
  <si>
    <t xml:space="preserve">artificial intelligence; Bayesian networks; leprosy; leprosy reactions; risk</t>
  </si>
  <si>
    <t xml:space="preserve">caspase recruitment domain protein 15; CD30 ligand; interleukin 6; leucine rich repeat kinase 2; long untranslated RNA; toll like receptor 1; access to information; adult; age; Article; artificial intelligence; Bayesian network; borderline leprosy; Brazil; clinical feature; data mining; demographics; diagnostic accuracy; disease classification; early diagnosis; female; first-degree relative; gender; genetic parameters; genetic variation; human; indeterminate leprosy; lepromatous leprosy; leprosy; leprosy control; leprosy reaction; major clinical study; male; maximum likelihood method; online monitoring; population research; prediction; predictive value; prospective study; reversal reaction; risk assessment; second-degree relative; sensitivity and specificity; tuberculoid leprosy</t>
  </si>
  <si>
    <t xml:space="preserve">Alfredo da Matta Foundation; Turing Foundation, (704.16.31); Turing Foundation; Coordenação de Aperfeiçoamento de Pessoal de Nível Superior, CAPES; Conselho Nacional de Desenvolvimento Científico e Tecnológico, CNPq, (304368/2018-0, 311986-2019-6); Conselho Nacional de Desenvolvimento Científico e Tecnológico, CNPq; Fundação Araucária, (41617.433.32610.10092013); Fundação Araucária; Leprosy Research Initiative, LRI</t>
  </si>
  <si>
    <t xml:space="preserve">Funding text 1: We are grateful to the patients and staff of the Reference Center for Diagnosis and Therapy, Goiania; Dermatological Center Dona Libânia, Fortaleza; Alfredo da Matta Foundation, Manaus; Instituto Lauro de Souza Lima, Bauru, for agreeing and their cooperation in this study. Thanks to Cássio Ghidella, MD dermatologist from Rondonia, for the valuable support.; Funding text 2: This work was supported by the Araucaria Foundation (Grant #41617.433.32610.10092013), the Brazilian Coordenação de Aperfeiçoamento de Pessoal de Nível Superior (CAPES), and the Leprosy Research Initiative (LRI)/Turing Foundation, grant ID# 704.16.31. MM is a Conselho Nacional de Desenvolvimento Científico e Tecnológico (CNPq) productivity (PQ) researcher level 2, grant #304368/2018-0. MA is under a research fellowship grant from the Brazilian Research Council/CNPq (Grant #311986-2019-6). </t>
  </si>
  <si>
    <t xml:space="preserve">Scollard D.M., Adams L.B., Gillis T.P., Krahenbuhl J.L., Truman R.W., Williams D.L., The continuing challenges of leprosy, Clin Microbiol Rev, 19, pp. 338-381, (2006); Guidelines for the diagnosis, treatment and prevention of leprosy, pp. 1-6, (2018); Ridley D.S., Jopling W.H., Classification of leprosy according to immunity. A five-group system, Int J Lepr Mycobact Dis, 34, pp. 255-273, (1966); Croft R.P., Nicholls P.G., Steyerberg E.W., Richardus J.H., Cairns W., Smith S., A clinical prediction rule for nerve-function impairment in leprosy patients, Lancet, 355, pp. 1603-1606, (2000); Guidelines for the diagnosis, treatment and prevention of leprosy, pp. 1-106, (2018); Abel L., Dessein A.J., The impact of host genetics on susceptibility to human infectious diseases, Curr Opin Immunol, 9, pp. 509-516, (1997); Sauer M.E., Salomao H., Ramos G.B., D'Espindula H.R.S., Rodrigues R.S.A., Macedo W.C., Et al., Genetics of leprosy: expected and unexpected developments and perspectives, Clin Dermatol, 33, pp. 99-107, (2015); Jacobson R.R., Krahenbuhl J.L., Leprosy, Lancet, 353, pp. 655-660, (1999); Alter A., Grant A., Abel L., Alcais A., Schurr E., Leprosy as a genetic disease, Mamm Genome, 22, pp. 19-31, (2011); Sampaio L.H., Stefani M.M.A., Oliveira R.M., Sousa A.L.M., Ireton G.C., Reed S.G., Et al., Immunologically reactive M. leprae antigens with relevance to diagnosis and vaccine development, BMC Infect Dis, 11, (2011); Walker S.L., Lockwood D.N., Leprosy type 1 (reversal) reactions and their management, Lepr Rev, 79, pp. 372-386, (2008); Sousa A.L., Fava V.M., Sampaio L.H., Martelli C.M.T., Costa M.B., Mira M.T., Et al., Genetic and immunological evidence implicates interleukin 6 as a susceptibility gene for leprosy type 2 reaction, J Infect Dis, 205, pp. 1417-1424, (2012); Britton W.J., Lockwood D.N., Leprosy, Lancet, 363, pp. 1209-1219, (2004); Reddy B.N., Bansal R.D., An epidemiological study of leprosy disability in a leprosy endemic rural population of Pondicherry (South India), Indian J Lepr, 56, pp. 191-199, (1984); Girdhar M., Et al., Pattern of leprosy disabilities in Gorakhpur (Uttar Pradesh), Indian J Lepr, 61, pp. 503-513, (1989); Zhang G., Li W., Yan L., Yang Z., Chen X., Zheng T., Et al., An epidemiological survey of deformities and disabilities among 14,257 cases of leprosy in 11 counties, Lepr Rev, 64, pp. 143-149, (1993); Fava V., Orlova M., Cobat A., Alcais A., Mira M., Schurr E., Genetics of leprosy reactions: an overview, Mem Inst Oswaldo Cruz, 107, pp. 132-142, (2012); Cambri G., Mira M.T., Genetic susceptibility to leprosy-from classic immune-related candidate genes to hypothesis-free, whole genome approaches, Front Immunol, 9, (2018); Fava V.M., Xu Y.Z., Lettre G., van Thuc N., Orlova M., Thai V.H., Et al., Pleiotropic effects for parkin and LRRK2 in leprosy type-1 reactions and Parkinson's disease, Proc Natl Acad Sci U S A, 116, pp. 15616-15624, (2019); Scollard D.M., Smith T., Bhoopat L., Theetranont C., Rangdaeng S., Morens D.M., Epidemiologic characteristics of leprosy reactions, Int J Lepr Other Mycobact Dis, 62, pp. 559-567, (1994); Torres O., Suneetha S., Muzaffarullah S., Reddy R., Jain S., Pocaterra L., Et al., Clinical course of erythema nodosum leprosum: an 11-year cohort study in Hyderabad, India, Am J Trop Med Hyg, 74, pp. 868-879, (2006); Van Brakel W.H., Khawas I.B., Lucas S.B., Reactions in leprosy: an epidemiological study of 386 patients in West Nepal, Lepr Rev, 65, pp. 190-203, (1994); Ranque B., Nguyen V.T., Vu H.T., Nguyen T.H., Nguyen N.B., Pham X.K., Et al., Age is an important risk factor for onset and sequelae of reversal reactions in Vietnamese patients with leprosy, Clin Infect Dis, 44, pp. 33-40, (2007); Costa M.B., Martelli C.M.T., Pereira G.A.S., Stefani M.M.A., Narahashi K., Krahenbuhl J.L., Et al., Mycobacterium leprae DNA associated with type 1 reactions in single lesion paucibacillary leprosy treated with single dose rifampin, ofloxacin, and minocycline, Am J Trop Med Hyg, 77, pp. 829-833, (2007); Saunderson P., Gebre S., Byass P., Reversal reactions in the skin lesions of AMFES patients: incidence and risk factors, Lepr Rev, 71, pp. 309-317, (2000); van Brakel W.H., Khawas I.B., Nerve function impairment in leprosy: an epidemiological and clinical study – part 2: results of steroid treatment, Lepr Rev, 67, pp. 104-118, (1996); Kumar B., Dogra S., Kaur I., Epidemiological characteristics of leprosy reactions: 15 years experience from North India, Int J Lepr Other Mycobact Dis, 72, pp. 125-133, (2004); Misch E.A., Macdonald M., Ranjit C., Sapkota B.R., Wells R.D., Siddiqui M.R., Et al., Human TLR1 deficiency is associated with impaired mycobacterial signaling and protection from leprosy reversal reaction, PLoS Negl Trop Dis, 2, (2008); Bochud P.Y., Hawn T.R., Siddiqui M.R., Saunderson P., Britton S., Abraham I., Et al., Toll-like receptor 2 (TLR2) polymorphisms are associated with reversal reaction in leprosy, J Infect Dis, 197, pp. 253-261, (2008); Rego J.L., de Lima Santana N., Machado P.R.L., Ribeiro-Alves M., de Toledo-Pinto T.G., Castellucci L.C., Et al., Whole blood profiling of leprosy type 1(reversal) reactions highlights prominence of innate immune response genes, BMC Infect Dis, 18, (2018); Teixeira M.A., Silva N.L., Ramos A.L., Hatagima A., Magalhaes V., NRAMP1 gene polymorphisms in individuals with leprosy reactions attended at two reference centers in Recife, northeastern Brazil, Rev Soc Bras Med Trop, 43, pp. 281-286, (2010); Sapkota B.R., Macdonald M., Berrington W.R., Misch E.A., Ranjit C., Siddiqui M.R., Et al., Association of TNF, MBL, and VDR polymorphisms with leprosy phenotypes, Hum Immunol, 71, pp. 992-998, (2010); Berrington W.R., Macdonald M., Khadge S., Sapkota B.R., Janer M., Hagge D.A., Et al., Common polymorphisms in the NOD2 gene region are associated with leprosy and its reactive states, J Infect Dis, 201, pp. 1422-1435, (2010); Fava V.M., Cobat A., van Thuc N., Latini A.C.P., Stefani M.M.A., Belone A.F., Et al., Association of TNFSF8 regulatory variants with excessive inflammatory responses but not leprosy per se, J Infect Dis, 211, pp. 968-977, (2015); Fava V.M., Et al., Age-dependent association of TNFSF15/TNFSF8 variants and leprosy type 1 reaction, Front Immunol, 8, (2017); Fava V.M., Manry J., Cobat A., Orlova M., van Thuc N., Moraes M.O., Et al., A genome wide association study identifies a lncRna as risk factor for pathological inflammatory responses in leprosy, PLoS Genet, 13, (2017); Eickelmann M., Steinhoff M., Metze D., Tomimori-Yamashita J., Sunderkotter C., Erythema leprosum--after treatment of lepromatous leprosy, J Dtsch Dermatol Ges, 8, pp. 450-453, (2010); Becx-Bleumink M., Berhe D., Occurrence of reactions, their diagnosis and management in leprosy patients treated with multidrug therapy; experience in the leprosy control program of the all Africa leprosy and rehabilitation training Center (ALERT) in Ethiopia, Int J Lepr Other Mycobact Dis, 60, pp. 173-184, (1992); Manandhar R., LeMaster J.W., Roche P.W., Risk factors for erythema nodosum leprosum, Int J Lepr Other Mycobact Dis, 67, pp. 270-278, (1999); Kahawita I.P., Lockwood D.N., Towards understanding the pathology of erythema nodosum leprosum, Trans R Soc Trop Med Hyg, 102, pp. 329-337, (2008); Saunderson P., Gebre S., Byass P., ENL reactions in the multibacillary cases of the AMFES cohort in Central Ethiopia: incidence and risk factors, Lepr Rev, 71, pp. 318-324, (2000); de Messias I.J., Santamaria J., Brenden M., Reis A., Mauff G., Association of C4B deficiency (C4B*Q0) with erythema nodosum in leprosy, Clin Exp Immunol, 92, pp. 284-287, (1993); Schuring R.P., Hamann L., Faber W.R., Pahan D., Richardus J.H., Schumann R.R., Et al., Polymorphism N248S in the human toll-like receptor 1 gene is related to leprosy and leprosy reactions, J Infect Dis, 199, pp. 1816-1819, (2009); Girardi D.R., Moro C.M., Bulegon H., SeyeS – support system for preventing the development of ocular disabilities in leprosy, Conf Proc IEEE Eng Med Biol Soc, 2010, pp. 6162-6165, (2010); Liu S., McGree J., Ge Z., Xie Y., Computational and statistical methods for analysing big data with applications, JAAD Case Rep, 18, pp. 1-194, (2016); Ben-Gal I., Bayesian networks, Encyclopedia of Statistics in Quality &amp; Reliability, pp. 1-6, (2007); Belle A., Kon M.A., Najarian K., Biomedical informatics for computer-aided decision support systems: a survey, ScientificWorldJ, 2013, (2013); Bellazzi R., Zupan B., Predictive data mining in clinical medicine: current issues and guidelines, Int J Med Inform, 77, pp. 81-97, (2008); Lu Z., Mitchell R.M., Smith R.L., Karns J.S., van Kessel J.A.S., Wolfgang D.R., Et al., Invasion and transmission of salmonella Kentucky in an adult dairy herd using approximate Bayesian computation, BMC Vet Res, 9, (2013); Tylman W., Waszyrowski T., Napieralski A., Kaminski M., Trafidlo T., Kulesza Z., Et al., Real-time prediction of acute cardiovascular events using hardware-implemented Bayesian networks, Comput Biol Med, 69, pp. 245-253, (2016); Twardy C., Nicholson A., Korb K., Mcneil J., Epidemiological data mining of cardiovascular Bayesian networks, Electron J Health Inform, 1, pp. 1-13, (2006); Thornley S., Marshall R.J., Wells S., Jackson R., Using directed acyclic graphs for investigating causal paths for cardiovascular disease, J Biom Biostat, 4, pp. 1-6, (2013); Fuster-Parra P., Tauler P., Bennasar-Veny M., Ligeza A., Lopez-Gonzalez A.A., Aguilo A., Bayesian network modeling: a case study of an epidemiologic system analysis of cardiovascular risk, Comput Methods Prog Biomed, 126, pp. 128-142, (2016); Jiao Y., Wang X.H., Chen R., Tang T.Y., Zhu X.Q., Teng G.J., Predictive models of minimal hepatic encephalopathy for cirrhotic patients based on large-scale brain intrinsic connectivity networks, Sci Rep, 7, (2017); Zhang Y., Zhang T., Zhang C., Tang F., Zhong N., Li H., Et al., Identification of reciprocal causality between non-alcoholic fatty liver disease and metabolic syndrome by a simplified Bayesian network in a Chinese population, BMJ Open, 5, (2015); Refai A., Merouani H.F., Aouras H., Aouras H., Maintenance of a Bayesian network: application using medical diagnosis, Evol Syst, 7, pp. 187-196, (2016); Jin Y., Su Y., Zhou X.H., Huang S., Heterogeneous multimodal biomarkers analysis for Alzheimer's disease via Bayesian network, EURASIP J Bioinform Syst Biol, 2016, (2016); Souza W.V., Barcellos C.C., Brito A.M., Carvalho M.S., Cruz O.G., Albuquerque M.F.M., Et al., Empirical bayesian model applied to the spatial analysis of leprosy occurrence, Rev Saude Publica, 35, pp. 474-480, (2001); Smith R.L., Grohn Y.T., Use of approximate Bayesian computation to assess and fit models of Mycobacterium leprae to predict outcomes of the Brazilian control program, PLoS One, 10, (2015); Crump R.E., Medley G.F., Back-calculating the incidence of infection of leprosy in a Bayesian framework, Parasit Vectors, 8, (2015); Joshua V., Mehendale S., Gupte M.D., Bayesian model, ecological factors &amp; transmission of leprosy in an endemic area of South India, Indian J Med Res, 143, pp. 104-106, (2016); Zhang X., Yuan Z., Ji J., Li H., Xue F., Network or regression-based methods for disease discrimination: a comparison study, BMC Med Res Methodol, 16, (2016); Wang N., Wang Z., Wang C., Fu X., Yu G., Yue Z., Et al., Prediction of leprosy in the Chinese population based on a weighted genetic risk score, PLoS Negl Trop Dis, 12, (2018); Gama R.S., Souza M.L.M., Sarno E.N., Moraes M.O., Goncalves A., Stefani M.M.A., Et al., A novel integrated molecular and serological analysis method to predict new cases of leprosy amongst household contacts, PLoS Negl Trop Dis, 13, (2019); Tio-Coma M., Kielbasa S.M., van den Eeden S.J.F., Mei H., Roy J.C., Wallinga J., Et al., Blood RNA signature RISK4LEP predicts leprosy years before clinical onset, EBioMedicine, 68, (2021); Penna G.O., Pontes M.A.A., Cruz R., Goncalves H.S., Penna M.L.F., Buhrer-Sekula S., A clinical trial for uniform multidrug therapy for leprosy patients in Brazil: rationale and design, Mem Inst Oswaldo Cruz, 107, pp. 22-27, (2012); de Sales Marques C., Brito-de-Souza V.N., Guerreiro L.T.A., Martins J.H., Amaral E.P., Cardoso C.C., Et al., Toll-like receptor 1 N248S single-nucleotide polymorphism is associated with leprosy risk and regulates immune activation during mycobacterial infection, J Infect Dis, 208, pp. 120-129, (2013); Sales-Marques C., Salomao H., Fava V.M., Alvarado-Arnez L.E., Amaral E.P., Cardoso C.C., Et al., NOD2 and CCDC122-LACC1 genes are associated with leprosy susceptibility in Brazilians, Hum Genet, 133, pp. 1525-1532, (2014); Witten I.H., Frank E., Data mining practical machine learning tools and techniques, Ed, (2005); Bellazzi R., Ferrazzi F., Sacchi L., Predictive data mining in clinical medicine: a focus on selected methods and applications. WIREs, Data Min Knowl Disc, 1, pp. 416-430, (2011); (2018); Salzberg S.L., C4.5: Programs for machine learning by J. Ross Quinlan, Mach Learn, 16, pp. 235-240, (1993); Hall M., Frank E., Holmes G., Pfahringer B., Reutemann P., Witten I.H., The WEKA data mining software: an update, ACM SIGKDD Explorations Newsletter, 11, pp. 10-18, (2009); Ruggieri S., Efficient C4.5, IEEE Trans Knowl Data Eng, 14, pp. 438-444, (2002); Kotthoff L., Et al., Auto-WEKA 2.0: automatic model selection and hyperparameter optimization in WEKA, J Mach Learn Res, 17, pp. 1-5, (2016); Bates D.W., Kuperman G.J., Wang S., Gandhi T., Kittler A., Volk L., Et al., Ten commandments for effective clinical decision support: making the practice of evidence-based medicine a reality, J Am Med Inform Assoc, 10, pp. 523-530, (2003); Netica API Programmer’s library. Reference manual. Version 4.18, (2010); Hornung R., Diversity forests: using Split sampling to enable innovative complex Split procedures in random forests, SN Comput Sci, 3, (2022); Gontijo-Lopes R., Smullin S.J., Cubuk E.D., Dyer E., Affinity and diversity: quantifying mechanisms of data augmentation; Aroyo L., Et al., DICES dataset: diversity in conversational AI evaluation for safety</t>
  </si>
  <si>
    <t xml:space="preserve">R.S. de Andrade Rodrigues; School of Medicine and Life Sciences, Graduate Program in Health Sciences, Pontifícia Universidade Católica do Paraná – PUCPR, Curitiba, Paraná, Brazil; email: saraiva_1988@hotmail.com; M.T. Mira; School of Medicine and Life Sciences, Graduate Program in Health Sciences, Pontifícia Universidade Católica do Paraná – PUCPR, Curitiba, Paraná, Brazil; email: m.mira@pucpr.br</t>
  </si>
  <si>
    <t xml:space="preserve">2-s2.0-85167517458</t>
  </si>
  <si>
    <t xml:space="preserve">Aribodor O.B.; Mogaji H.O.; Surakat O.A.; Azugo N.O.; Jacob E.C.; Obikwelu E.M.; Nebe O.J.; Jacobson J.</t>
  </si>
  <si>
    <t xml:space="preserve">Aribodor, Ogechukwu B. (57205377678); Mogaji, Hammed O. (56638663400); Surakat, Olabanji A. (46461988700); Azugo, Nwadiuto O. (58123805600); Jacob, Eunice C. (58123746500); Obikwelu, Emmanuel M. (58123805700); Nebe, Obiageli J. (54896414400); Jacobson, Julie (8963456300)</t>
  </si>
  <si>
    <t xml:space="preserve">57205377678; 56638663400; 46461988700; 58123805600; 58123746500; 58123805700; 54896414400; 8963456300</t>
  </si>
  <si>
    <t xml:space="preserve">Profiling the knowledge of female medical/ para-medical students, and expertise of health care professionals on female genital schistosomiasis in Anambra, South Eastern Nigeria</t>
  </si>
  <si>
    <t xml:space="preserve">Background Female genital schistosomiasis (FGS) is a largely neglected tropical disease (NTD), with lit-tle or no attention in the primary health care unit. Towards building momentum to address this challenge, we investigated the perception of medical and para-medical students about FGS, as well as the expertise of health care professionals in Anambra State, Nigeria. Methodology We conducted a cross-sectional survey among 587 female medical and para-medical university students (MPMS), and 65 health care professionals (HCPs) saddled with the respon-sibility of delivering care for schistosomiasis-affected persons. Pretested questionnaires were administered to document the awareness and knowledge about the disease. In addi-tion, the expertise of HCPs vis-à-vis suspicion of FGS and management of FGS patients during routine health care service were documented. Data were subjected to descriptive, chi-square tests and regression analysis in R software. Results Over half of the students recruited; 54.2% for schistosomiasis and 58.1% for FGS, were not aware of the disease. Knowledge about schistosomiasis was associated with student’s year of study, with those in 2nd (OR: 1.66, 95% CI: 1.0, 2.7), 4th (OR: 1.97, 95% CI: 1.2, 3.2), and 6th (OR: 5.05, 95% CI: 1.2, 34.2) year having higher likelihoods of been more informed about schistosomiasis. For HCPs, we observed a contrastingly high knowledge about schistosomiasis (96.9%), but low knowledge about FGS (61.9%). Knowledge for both schis-tosomiasis and FGS was not associated with year of practice and expertise (95% OR included 1, p &gt; 0.05). A considerable proportion (&gt;40%) of the HCPs never suspected schis-tosomiasis during routine clinical diagnosis of patients who presented probable FGS symptoms (p &lt; 0.05). Similarly, only 20% were certain about the use of praziquantel for treating FGS, and about 35% were uncertain of the eligibility criteria and dosage regimens. Com-modities for managing FGS were also largely unavailable in about 39% of the health facili-ties where the HCPs operate. Conclusion Awareness and knowledge about FGS among MPMS and HCPs were poor in Anambra, Nigeria. It is therefore important to invest in innovative methods of building capacity of MPMS and HCPs, with complementary provision of necessary diagnostics to perform colposcopy, as well as competence to diagnose pathognomonic lesions using diagnostic atlas or Artificial Intelligence (AI). © 2023 Aribodor et al.</t>
  </si>
  <si>
    <t xml:space="preserve">Nigeria</t>
  </si>
  <si>
    <t xml:space="preserve">e0011132</t>
  </si>
  <si>
    <t xml:space="preserve">10.1371/journal.pntd.0011132</t>
  </si>
  <si>
    <t xml:space="preserve">https://www.scopus.com/inward/record.uri?eid=2-s2.0-85149172045&amp;doi=10.1371%2fjournal.pntd.0011132&amp;partnerID=40&amp;md5=c237ef2a5637a36b9260ccab5155211a</t>
  </si>
  <si>
    <t xml:space="preserve">Department of Zoology, Nnamdi Azikiwe University, Awka, Nigeria; Parasitology and Epidemiology Unit, Department of Animal and Environmental Biology, Federal University Oye-Ekiti, Nigeria; Department of Zoology, Faculty of Basic and Applied Sciences, Osun State University, Osogbo, Nigeria; Neglected Tropical Diseases Unit, Anambra State Ministry of Health, Awka, Nigeria; Neglected Tropical Diseases Division, Federal Ministry of Health, Nigeria; Bridges to Development, Vashon, WA, United States</t>
  </si>
  <si>
    <t xml:space="preserve">Aribodor O.B., Department of Zoology, Nnamdi Azikiwe University, Awka, Nigeria; Mogaji H.O., Parasitology and Epidemiology Unit, Department of Animal and Environmental Biology, Federal University Oye-Ekiti, Nigeria; Surakat O.A., Department of Zoology, Faculty of Basic and Applied Sciences, Osun State University, Osogbo, Nigeria; Azugo N.O., Department of Zoology, Nnamdi Azikiwe University, Awka, Nigeria; Jacob E.C., Department of Zoology, Nnamdi Azikiwe University, Awka, Nigeria; Obikwelu E.M., Neglected Tropical Diseases Unit, Anambra State Ministry of Health, Awka, Nigeria; Nebe O.J., Neglected Tropical Diseases Division, Federal Ministry of Health, Nigeria; Jacobson J., Bridges to Development, Vashon, WA, United States</t>
  </si>
  <si>
    <t xml:space="preserve">Artificial Intelligence; Cross-Sectional Studies; Female; Genital Diseases, Female; Genitalia, Female; Health Personnel; Humans; Neglected Diseases; Nigeria; Schistosomiasis; Students, Medical; praziquantel; abdominal pain; adolescent; adult; Article; awareness; controlled study; cross-sectional study; dysuria; female; female genital system; follow up; health care personnel; health service; hematuria; human; information processing; knowledge; major clinical study; middle aged; mobilization; Nigeria; paramedical student; pelvic examination; pharmacy (shop); prevalence; questionnaire; regression analysis; risk factor; schistosomiasis; student recruitment; urinalysis; young adult; artificial intelligence; female genital system; gynecologic disease; health care personnel; medical student; neglected disease; schistosomiasis</t>
  </si>
  <si>
    <t xml:space="preserve">praziquantel, 55268-74-1</t>
  </si>
  <si>
    <t xml:space="preserve">Geneva Learning Foundation</t>
  </si>
  <si>
    <t xml:space="preserve">We are grateful to the participants for their support. Our profound gratitude goes to the Geneva Learning Foundation for their collaboration in this study.</t>
  </si>
  <si>
    <t xml:space="preserve">Ending the neglect to attain the Sustainable Development Goals: a road map for neglected tropical diseases 2021–2030, (2020); Colley DG, Bustinduy AL, Secor WE, King CH., Human schistosomiasis, Lancet, 383, 9936, pp. 2253-2264, (2014); Schistosomiasis, (2021); Jose RL., Acute schistosomiasis mansoni: revisited and reconsidered, Mem Inst Oswaldo Cruz, Rio de Janeiro, 105, 4, pp. 422-435, (2010); Andersson KL, Chung RT., Hepatic schistosomiasis: Current Treatment Options, Gastroenterology, 10, 6, pp. 504-512, (2007); Kjetland EF, Ndhlovu PD, Mduluza T, Gomo E, Gwanzura L, Mason PR, Et al., Simple clinical manifestations of genital Schistosoma haematobium infection in rural Zimbabwean women, Am J Trop Med Hyg, 72, 3, pp. 311-319, (2005); Kjetland EF, Poggensee G, Helling-Giese G, Richter J, Sjaastad A, Chitsulo L, Et al., Female genital schistosomiasis due to Schistosoma haematobium. Clinical and parasitological findings in women in rural Malawi, Acta Trop, 62, 4, pp. 239-255, (1996); Leutscher P, Ravaoalimalala VE, Raharisolo C, Ramarokoto CE, Rasendramino M, Raobelison A, Et al., Clinical findings in female genital schistosomiasis in Madagascar, Trop Med Int Health, 3, 4, pp. 327-332, (1998); Sturt AS, Webb EL, Francis SC, Hayes RJ, Bustinduy AL., Beyond the barrier: Female Genital Schisto-somiasis as a potential risk factor for HIV-1 acquisition, Acta Tropica, 209, (2020); Hegertun IEA, Sulheim GKM, Kleppa E, Zulu SG, Gundersen SG, Taylor M, Et al., S. haematobium as a Common Cause of Genital Morbidity in Girls: Cross-sectional Study of Children in South Africa, PLoS Neglected Tropical Diseases, 7, 3, (2013); Kjetland EF, Hegertun IE, Baay MF, Onsrud M, Ndhlovu PD, Taylor M., Genital schistosomiasis and its unacknowledged role on HIV transmission in the STD intervention studies, Int J STD AIDS, 25, 10, pp. 705-715, (2014); Helling-Giese G, Kjetland EF, Gundersen SG, Poggensee G, Richter J, Krantz I, Et al., Schistosomiasis in women: manifestations in the upper reproductive tract, Acta Trop, 62, 4, pp. 225-238, (1996); Hotez PJ, Harrison W, Fenwick A, Bustinduy AL, Ducker C, Mbabazi PS, Et al., Female genital schisto-somiasis and HIV/AIDS: reversing the neglect of girls and women, PLoS Negl Trop Dis, 13, 4, (2019); Swai B, Poggensee G, Mtweve S, Krantz I., Female genital schistosomiasis as evidence of a neglected cause for reproductive ill-health: a retrospective histopathological study from Tanzania, BMC Infect Dis, 6, (2006); Engels D, Hotez PJ, Ducker C, Gyapong M, Bustinduy AL, Secor WE, Et al., Integration of prevention and control measures for female genital schistosomiasis, HIV and cervical cancer, Bulletin for World Health Organisation, 98, 9, pp. 615-624, (2020); Kukula VA, MacPherson EE, Tsey IH, Stothard JR, Theobald S, Gyapong M., A major hurdle in the elimination of urogenital schistosomiasis revealed: Identifying key gaps in knowledge and understanding of female genital schistosomiasis within communities and local health workers, PLoS Negl Trop Dis, 13, 3, (2019); Aribodor OB., Sneglefeber: Overset sygdom plager millioner af kvinder, Forskerzonen, (2022); Ekpo U, Odeyemi O, Sam-Wobo S, Onunkwor O, Mogaji H, Oluwole A, Abdussalam HO, Stothard JR., Female genital schistosomiasis (FGS) in Ogun State, Nigeria: a pilot survey on genital symptoms and clinical findings, Parasitology Open, 3, pp. 1-9, (2017); Aribodor OB, Okaka CE, Sam-Wobo SO, Okpala BC, Aribodor DN, Obikwelu E., Urinary Schistosomia-sis and Primary Evidence of Female Genital Schistosomiasis among Pupils in Nsugbe Community, Anambra State, Nigeria, Nigerian Journal of Parasitology, 42, 2, pp. 294-402, (2021); Bridges to Development; Nigeria Data Portal; Madu IA., The structure and pattern of rurality in Nigeria, GeoJournal, 75, pp. 175-184, (2010); Ekwunife CA, Ukaga CN, Okafor FC., Urinary schistosomiasis in Anambra State, Nigeria, Nigerian J Parasitol, 25, pp. 127-131, (2005); Ndukwe YE, Obiezue RNN, Aguzie ION, Anunobi JT, Okafor FC., Mapping of Urinary Schistosomiasis in Anambra State, Nigeria, Ann Glob Health, 85, 1, (2019); Report of the Review of the 2017–2021 Anambra State Strategic Health Development Plan 2, (2018); Bentina AM, Health Care Delivery in Public Health Institutions in Contemporary Nigeria: A Study of Awka South L.G.A, of Anambra State International Journal of Humanities and Social Science Invention, 4, 3, pp. 1-4, (2015); Oyeyemi OT, Jeremias WJ, Grenfell RFQ., Schistosomiasis in Nigeria: Gleaning from the past to improve current efforts towards control, One Health, 11, (2020); Ezeh CO, Onyekwelu KC, Akinwale OP, Shan L, Wei H., Urinary schistosomiasis in Nigeria: a 50-year review of prevalence, distribution and disease burden, Parasite, 26, (2019); (2022); Neglected Tropical Diseases Master Plan 2015–2020; Mishra P, Colombe S, Paul N, Mlingi J, Tosiri I, Aristide C, Et al., Insufficiency of annual praziquantel treatment to control Schistosoma mansoni infections in adult women: A longitudinal cohort study in rural Tanzania, PLoS Negl Trop Dis, 13, 11, (2019); Helminth control in school-age children: a guide for managers of control programmes, (2011); Verani JR, Abudho B, Montgomery SP, Mwinzi PN, Shane HL, Butler SE, Et al., Schistosomiasis among young children in Usoma, Kenya, Ame J of Trop Med Hyg, 84, 5, pp. 787-791, (2011); Ekpo UF, Laja-Deile A, Oluwole AS, Et al., Urinary schistosomiasis among preschool children in a rural community near Abeokuta, Nigeria. Parasites Vectors, 3, (2010); Jacobson J, Pantelias A, Williamson M, Kjetland EF, Krentel A, Gyapong M, Et al., Addressing a silent and neglected scourge in sexual and reproductive health in Sub-Saharan Africa by development of training competencies to improve prevention, diagnosis, and treatment of female genital schistosomia-sis (FGS) for health workers, Reprod Health, 19, (2022); Schuster A, Randrianasolo BS, Rabozakandraina OO, Ramarokoto CE, Bronnum D, Feldmeier H., Knowledge, experiences, and practices of women affected by female genital schistosomiasis in rural Madagascar: A qualitative study on disease perception, health impairment and social impact, PLoS Negl Trop Dis, 16, 11, (2022); FAST Package—Dedicated to Combatting FGS, (2022); Advancing resilient communities on a path towards sustainable develop-ment, Bridges to Development, (2022); Mogaji HO, Odoh IM, Iyeh CI, Adeniran AA, Oyedeji SI, Okoh HI, Et al., Attendee’s awareness about preventive chemotherapy neglected tropical diseases (PC-NTD) control during the first world neglected tropical diseases day in Ekiti State, Nigeria, PLoS Negl Trop Dis, 15, 3, (2021); TB/MDR-TB Advocacy Tool Kit, (2012); Allotey P, Reidpath D, Certain E, Vahedi M, Maher D, Launois P, Et al., Lessons learned developing a massive open online course in implementation research in infectious diseases of poverty in low-and middle-income countries, Open Praxis, 13, 1, pp. 127-137, (2021); Bustinduy AL, Randriansolo B, Sturt AS, Kayuni SA, Leutscher PDC, Webster BL, Et al., An update on female and male genital schistosomiasis and a call to integrate efforts to escalate diagnosis, treatment and awareness in endemic and non-endemic settings: The time is now, Advances in Parasitology, 115, pp. 1-44, (2022); Lehmann NJ, Karagulle M, Meurer P, Niedermeyer E, Vidishiqi P, Pysz L, Et al., Designing AINA—Inter-cultural Human-Centered Design of an AI-based Application for Supporting the Diagnosis of Female Genital Schistosomiasis, IEEE 10th International Conference on Healthcare Informatics (ICHI), pp. 431-441, (2022)</t>
  </si>
  <si>
    <t xml:space="preserve">O.B. Aribodor; Department of Zoology, Nnamdi Azikiwe University, Awka, Nigeria; email: og.aribodor@unizik.edu.ng</t>
  </si>
  <si>
    <t xml:space="preserve">2-s2.0-85149172045</t>
  </si>
  <si>
    <t xml:space="preserve">Xue J.-B.; Xia S.; Wang X.-Y.; Huang L.-L.; Huang L.-Y.; Hao Y.-W.; Zhang L.-J.; Li S.-Z.</t>
  </si>
  <si>
    <t xml:space="preserve">Xue, Jing-Bo (57191156611); Xia, Shang (36728593100); Wang, Xin-Yi (57221485247); Huang, Lu-Lu (57201185550); Huang, Liang-Yu (57698620300); Hao, Yu-Wan (56079675100); Zhang, Li-Juan (55917753900); Li, Shi-Zhu (26641946500)</t>
  </si>
  <si>
    <t xml:space="preserve">57191156611; 36728593100; 57221485247; 57201185550; 57698620300; 56079675100; 55917753900; 26641946500</t>
  </si>
  <si>
    <t xml:space="preserve">Recognizing and monitoring infectious sources of schistosomiasis by developing deep learning models with high-resolution remote sensing images</t>
  </si>
  <si>
    <t xml:space="preserve">Background: China is progressing towards the goal of schistosomiasis elimination, but there are still some problems, such as difficult management of infection source and snail control. This study aimed to develop deep learning models with high-resolution remote sensing images for recognizing and monitoring livestock bovine, which is an intermediate source of Schistosoma japonicum infection, and to evaluate the effectiveness of the models for real-world application. Methods: The dataset of livestock bovine’s spatial distribution was collected from the Chinese National Platform for Common Geospatial Information Services. The high-resolution remote sensing images were further divided into training data, test data, and validation data for model development. Two recognition models based on deep learning methods (ENVINet5 and Mask R-CNN) were developed with reference to the training datasets. The performance of the developed models was evaluated by the performance metrics of precision, recall, and F1-score. Results: A total of 50 typical image areas were selected, 1125 bovine objectives were labeled by the ENVINet5 model and 1277 bovine objectives were labeled by the Mask R-CNN model. For the ENVINet5 model, a total of 1598 records of bovine distribution were recognized. The model precision and recall were 81.9% and 80.2%, respectively. The F1 score was 0.81. For the Mask R-CNN mode, 1679 records of bovine objectives were identified. The model precision and recall were 87.3% and 85.2%, respectively. The F1 score was 0.87. When applying the developed models to real-world schistosomiasis-endemic regions, there were 63 bovine objectives in the original image, 53 records were extracted using the ENVINet5 model, and 57 records were extracted using the Mask R-CNN model. The successful recognition ratios were 84.1% and 90.5% for the respectively developed models. Conclusion: The ENVINet5 model is very feasible when the bovine distribution is low in structure with few samples. The Mask R-CNN model has a good framework design and runs highly efficiently. The livestock recognition models developed using deep learning methods with high-resolution remote sensing images accurately recognize the spatial distribution of livestock, which could enable precise control of schistosomiasis. Graphical Abstract: [Figure not available: see fulltext.] © 2023, The Author(s).</t>
  </si>
  <si>
    <t xml:space="preserve">Infectious Diseases of Poverty</t>
  </si>
  <si>
    <t xml:space="preserve">10.1186/s40249-023-01060-9</t>
  </si>
  <si>
    <t xml:space="preserve">https://www.scopus.com/inward/record.uri?eid=2-s2.0-85147461219&amp;doi=10.1186%2fs40249-023-01060-9&amp;partnerID=40&amp;md5=c8eb6143b6fefd1279f884bd02a82ce1</t>
  </si>
  <si>
    <t xml:space="preserve">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School of Global Health, Chinese Center for Tropical Diseases Research, Shanghai Jiao Tong University School of Medicine, Shanghai, 200025, China</t>
  </si>
  <si>
    <t xml:space="preserve">Xue J.-B.,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School of Global Health, Chinese Center for Tropical Diseases Research, Shanghai Jiao Tong University School of Medicine, Shanghai, 200025, China; Xia S.,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School of Global Health, Chinese Center for Tropical Diseases Research, Shanghai Jiao Tong University School of Medicine, Shanghai, 200025, China; Wang X.-Y.,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Huang L.-L.,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Huang L.-Y.,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Hao Y.-W.,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Zhang L.-J.,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Li S.-Z.,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School of Global Health, Chinese Center for Tropical Diseases Research, Shanghai Jiao Tong University School of Medicine, Shanghai, 200025, China</t>
  </si>
  <si>
    <t xml:space="preserve">Deep learning; High-resolution remote sensing; Infectious source; Monitoring; Recognizing; Schistosomiasis</t>
  </si>
  <si>
    <t xml:space="preserve">Animals; Cattle; China; Deep Learning; Livestock; Remote Sensing Technology; Schistosomiasis; Schistosomiasis japonica; accuracy; algorithm; animal dispersal; Article; bovine; comparative effectiveness; controlled study; convolutional neural network; deep learning; disease control; disease surveillance; envinet5 model; environmental monitoring; feature learning (machine learning); image processing; information service; livestock; mask r-cnn model; nonhuman; recall; remote sensing; Schistosoma japonicum; schistosomiasis; sensitivity and specificity; spatial analysis; training; validation process; animal; China; remote sensing; schistosomiasis; schistosomiasis japonica; veterinary medicine</t>
  </si>
  <si>
    <t xml:space="preserve">Science and Technology; Shanghai Municipal Health Commission, (20194Y0359); Shanghai Municipal Health Commission; National Natural Science Foundation of China, NSFC, (32161143036, 81960374, 82173633); National Natural Science Foundation of China, NSFC; Key Technologies Research and Development Program; National Key Research and Development Program of China, NKRDPC, (2021YFC2300800, 2021YFC2300803); National Key Research and Development Program of China, NKRDPC</t>
  </si>
  <si>
    <t xml:space="preserve">This research work was supported by the National Natural Science Foundation of China (No. 32161143036, No. 82173633, No. 81960374); Science and Technology research project of Shanghai Municipal Health Commission (No. 20194Y0359); the National Key Research and Development Program of China (No. 2021YFC2300800, 2021YFC2300803). </t>
  </si>
  <si>
    <t xml:space="preserve">Zhou X.N., Wang L.Y., Chen M.G., Wu X.H., Jiang Q.W., Chen X.Y., Et al., The public health significance and control of schistosomiasis in China-then and now, Acta Trop, 96, 2-3, pp. 97-105, (2005); Lv S., Xu J., Cao C.L., Zhang L.J., Li S.Z., Zhou X.N., China fighting against schistosomiasis for 70 years: progress and experience, Chin J Parasitol Parasit Dis, 37, 5, pp. 514-519, (2019); Xu J., Lv S., Cao C.L., Li S.Z., Zhou X.N., Progress and challenges of schistosomiasis elimination in China, Zhongguo Xue Xi Chong Bing Fang Zhi Za Zhi, 30, 6, pp. 605-609, (2018); Lin J., Endemic status and control of animal schistosomiasis in China, Zhongguo Xue Xi Chong Bing Fang Zhi Za Zhi, 31, 1, pp. 40-46, (2019); Li L., Progress and status of animal schistosomiasis control in China, Chin J Livestock Pourltry Breed., 16, 6, pp. 8-9, (2020); Xu J., Hu W., Yang K., Lv S., Li S.Z., Zhou X.N., Key points and research priorities of schistosomiasis control in China during the 14th Five-Year Plan Period, Zhongguo Xue Xi Chong Bing Fang Zhi Za Zhi, 33, 1, pp. 1-6, (2021); Lei Z.L., Zhou X.N., Eradication of schistosomiasis: a new target and a new task for the National Schistosomiasis Control Porgramme in the People’s Republic of China, Zhongguo Xue Xi Chong Bing Fang Zhi Za Zhi, 27, 1, pp. 1-4, (2015); Zhang L.J., Xu Z.M., Yang F., Dang H., Li Y.L., Lv S., Et al., Endemic status of schistosomiasis in People’s Republic of China in 2020, Zhongguo Xue Xi Chong Bing Fang Zhi Za Zhi, 33, 3, pp. 225-233, (2021); Zhou X.N., Status and future focus of the national control program on parasitic diseases, Zhongguo Xue Xi Chong Bing Fang Zhi Za Zhi, 23, 5, pp. 473-475, (2011); Zhou X.N., Implementation of precision control to achieve the goal of schistosomiasis elimination in China, Zhongguo Xue Xi Chong Bing Fang Zhi Za Zhi, 28, 1, pp. 1-4, (2016); Wu Z.D., Song L.G., Liu C., Huang Y., New challenges and requirements for parasitic diseases control in China, J Trop Med, 19, 1, pp. 1-38, (2019); Zhang L.J., Xu Z.M., Yang F., He J.Y., Dang H., Li Y.L., Et al., Progress of schistosomiasis control in People’s Republic of China in 2021, Zhongguo Xue Xi Chong Bing Fang Zhi Za Zhi, 34, 4, pp. 329-336, (2022); Xue J.B., Zhang L.J., Wang Q., Lu Y.X., Li S.Z., Application of high resolution remote sensing technology in research of schistosomiasis surveillance, Zhongguo Xue Xi Chong Bing Fang Zhi Za Zhi, 27, 5, pp. 551-554, (2015); Xia S., Xue J.B., Gao F.H., Lv S., Xu J., Zhang S.Q., Li S.Z., Sentinel-1A radar remote sensing-based modeling for quick identification of potential risk areas of schistosomiasis transmission after flood, Chin J Parasitol Parasit Dis, 38, 4, pp. 417-422, (2020); Duporge I., Isupova O., Reece S., Macdonald D.W., Wang T.J., Using very high resolution satellite imagery and deep learning to detect and count African elephants in heterogeneous landscapes, Remote Sens Ecol Conserv, 7, 3, pp. 369-381, (2021); Laradji I., Rodriguez P., Kalaitzis F., Vazquez D., Young R., Davey E., Et al., Counting cows: Tracking illegal cattle ranching from high-resolution satellite imagery., (2020); Jiang H.W., Peng M., Zhong Y.J., Xie H.F., Hao Z.M., Lin J.M., Et al., A survey on deep learning-based change detection from high-resolution remote sensing images, Remote Sens, 14, 7, (2022); Xu Y.Y., Xie Z., Feng Y.X., Chen Z.L., Road extraction from high-resolution remote sensing imagery using deep learning, Remote Sens, 10, 9, (2018); Vakalopoulou M., Karantzalos K., Komodakis N., Paragios N., Building detection in very high resolution multispectral data with deep learning features, IEEE Int Geosci Remote Sens Symposium (IGARSS), 2015, pp. 1873-1876, (2015); Guo W., Yang W., Zhang H., Hua G., Geospatial object detection in high resolution satellite images based on multi-scale convolutional neural network, Remote Sens, 10, 1, (2018); Eugenio F., Marcello J., Martin J., High-resolution maps of bathymetry and benthic habitats in shallow-water environments using multispectral remote sensing imagery, IEEE Trans Geosci Remote Sens, 53, 7, pp. 3539-3549, (2015); Anwar S.M., Majid M., Qayyum A., Awais M., Alnowami M., Khan M.K., Medical image analysis using convolutional neural networks: a review, J Med Syst, 42, 11, (2018); Latif G., Iskandar D.N.F.A., Alghazo J., Butt M.M., Brain MR Image Classification for Glioma tumor detection using deep convolutional neural network features, Curr Med Imaging, 17, 1, pp. 56-63, (2021); Voulodimos A., Protopapadakis E., Katsamenis I., Doulamis A., Doulamis N., A few-shot U-net deep learning model for COVID-19 infected area segmentation in CT images, Sensors, 21, 6, (2021); Loh R., Yong W.X., Yapeter J., Subburaj K., Chandramohanadas R., A deep learning approach to the screening of malaria infection: automated and rapid cell counting, object detection and instance segmentation using Mask R-CNN, Comput Med Imaging Graph, 88, (2021); Kang S., Research on intelligent video detection of small targets based on deep learning intelligent algorithm, Comput Intell Neurosci, 2022, (2022); Zhao Z.Y., Ge Z.D., Jia M.Y., Yang X.X., Ding R.C., Zhou Y.C., A particleboard surface defect detection method research based on the deep learning algorithm, Sensors (Basel), 22, 20, (2022); Li W.D., Liu J., Mei H., Lightweight convolutional neural network for aircraft small target real-time detection in airport videos in complex scenes, Sci Rep, 12, 1, (2022); Wang W., Bergquist R., King C.H., Yang K., Elimination of schistosomiasis in China: current status and future prospects, PLoS Negl Trop Dis, 15, 8, (2021); Xu J., Li S.Z., Zhang L.J., Bergquist R., Dang H., Wang Q., Et al., Surveillance-based evidence: elimination of schistosomiasis as a public health problem in the Peoples’ Republic of China, Infect Dis Poverty, 9, 1, (2020); Li S.Z., Xu J., Wang T.P., Wen L.Y., Yang K., Wang W., Et al., Upholding Chinese spirit on schistosomiasis control in the new era to accelerate the progress towards schistosomiasis elimination in China, Zhongguo Xue Xi Chong Bing Fang Zhi Za Zhi, 31, 1, pp. 1-13, (2019); Hong Z., Li L., Zhang L.J., Wang Q., Xu J., Li S.Z., Zhou X.N., Elimination of schistosomiasis japonica in China: from the One Health perspective, China CDC Wkly, 4, 7, pp. 130-134, (2022); Song L.G., Wu X.Y., Sacko M., Wu Z.D., History of schistosomiasis epidemiology, current status, and challenges in China: on the road to schistosomiasis elimination, Parasitol Res, 115, 11, pp. 4071-4081, (2016); Xu J., Lv S., Cao C.L., Li S.Z., Zhou X.N., Progress and challenges of schistosomiasis elimination in China, Zhongguo Xue Xi Chong Bing Fang Zhi Za Zhi., 30, 6, pp. 605-609, (2018); Wu X.H., Wang X.H., Utzinger J., Yang K., Kristensen T.K., Berquist R., Et al., Spatio-temporal correlation between human and bovine schistosomiasis in China: insight from three national sampling surveys, Geospat Health, 2, 1, pp. 75-84, (2007); Guo J.G., Status and role of strategy for control of sources of infection of schistosomiasis in China, Zhongguo Xue Xi Chong Bing Fang Zhi Za Zhi., 18, 3, pp. 231-233, (2006); Wang L.D., Management of human and animal feces is a key element for effective control of epidemic of endemic schistosomiasis in China, Zhonghua Liu Xing Bing Xue Za Zhi, 26, 12, pp. 929-930, (2005); Cao Z.G., Zhao Y.E., Lee Willingham A., Wang T.P., Towards the elimination of schistosomiasis japonica through control of the disease in domestic animals in the People's Republic of China: a tale of over 60 years, Adv Parasitol, 92, pp. 269-306, (2016); Zhou X.N., Wang L.Y., Chen M.G., Wang T.P., Guo J.G., Wu X.H., Et al., An economic evaluation of the national schistosomiasis control programme in China from 1992 to 2000, Acta Trop, 96, 2-3, pp. 255-265, (2005); Guo J.G., Ross A.G., Lin D.D., Williams G.M., Chen H.G., Li Y., Et al., A baseline study on the importance of bovines for human Schistosoma japonicum infection around Poyang Lake, China, Am J Trop Med Hyg, 65, 4, pp. 272-278, (2001); Galloway C.D., Valys A.V., Shreibati J.B., Treiman D.L., Petterson F.L., Gundotra V.P., Et al., Development and validation of a deep-learning model to screen for hyperkalemia from the electrocardiogram, JAMA Cardiol, 4, 5, pp. 428-436, (2019); Kundu S., Karale V., Ghorai G., Sarkar G., Ghosh S., Dhara A.K., Nested U-Net for segmentation of red lesions in retinal fundus images and sub-image classification for removal of false positives, J Digit Imaging, 35, 5, pp. 1111-1119, (2022); Kong H.H., Chen P., Mask R-CNN-based feature extraction and three-dimensional recognition of rice panicle CT images, Plant Direct, 5, 5, (2021); Yang W.Z., Lan Y.J., Lyu W., Leng Z.W., Feng L.Z., Lai S.J., Et al., Establishment of multi-point trigger and multi-channel surveillance mechanism for intelligent early warning of infectious diseases in China, Zhonghua Liu Xing Bing Xue Za Zhi, 41, 11, pp. 1753-1757, (2020); Lin Q.F., Zhao J.H., Fu G., Yuan Z.Y., CRPN-SFNet: a high-performance object detector on large-scale remote sensing images, IEEE Trans Neural Netw Learn Syst, 33, 1, pp. 416-429, (2022); LaRue M.A., Stapleton S., Anderson M., Feasibility of using high-resolution satellite imagery to assess vertebrate wildlife populations, Conserv Biol, 31, 1, pp. 213-220, (2017)</t>
  </si>
  <si>
    <t xml:space="preserve">S.-Z. Li; National Institute of Parasitic Diseases, Chinese Center for Disease Control and Prevention (Chinese Center for Tropical Diseases Research); NHC Key Laboratory of Parasite and Vector Biology; WHO Collaborating Centre for Tropical Diseases, National Center for International Research On Tropical Diseases, Shanghai, 200025, China; email: lisz@chinacdc.cn</t>
  </si>
  <si>
    <t xml:space="preserve">Infect. Dis. Pover.</t>
  </si>
  <si>
    <t xml:space="preserve">2-s2.0-85147461219</t>
  </si>
  <si>
    <t xml:space="preserve">Malpartida-Cardenas K.; Moser N.; Ansah F.; Pennisi I.; Prah D.A.; Amoah L.E.; Awandare G.; Hafalla J.C.R.; Cunnington A.; Baum J.; Rodriguez-Manzano J.; Georgiou P.</t>
  </si>
  <si>
    <t xml:space="preserve">Malpartida-Cardenas, Kenny (57204066086); Moser, Nicolas (56943118600); Ansah, Felix (56604311400); Pennisi, Ivana (57202785548); Prah, Diana Ahu (57202679401); Amoah, Linda Eva (16315027200); Awandare, Gordon (56962760600); Hafalla, Julius Clemence R. (6602893493); Cunnington, Aubrey (6701398843); Baum, Jake (13105424100); Rodriguez-Manzano, Jesus (15521469500); Georgiou, Pantelis (57208141216)</t>
  </si>
  <si>
    <t xml:space="preserve">57204066086; 56943118600; 56604311400; 57202785548; 57202679401; 16315027200; 56962760600; 6602893493; 6701398843; 13105424100; 15521469500; 57208141216</t>
  </si>
  <si>
    <t xml:space="preserve">Sensitive Detection of Asymptomatic and Symptomatic Malaria with Seven Novel Parasite-Specific LAMP Assays and Translation for Use at Point-of-Care</t>
  </si>
  <si>
    <t xml:space="preserve">Human malaria is a life-threatening parasitic disease with high impact in the sub-Saharan Africa region, where 95% of global cases occurred in 2021. While most malaria diagnostic tools are focused on Plasmodium falciparum, there is a current lack of testing non-P. falciparum cases, which may be underreported and, if undiagnosed or untreated, may lead to severe consequences. In this work, seven species-specific loop-mediated isothermal amplification (LAMP) assays were designed and evaluated against TaqMan quantitative PCR (qPCR), microscopy, and enzyme-linked immunosorbent assays (ELISAs). Their clinical performance was assessed with a cohort of 164 samples of symptomatic and asymptomatic patients from Ghana. All asymptomatic samples with a parasite load above 80 genomic DNA (gDNA) copies per mL of extracted sample were detected with the Plasmodium falciparum LAMP assay, reporting 95.6% (95% confidence interval [95% CI] of 89.9 to 98.5) sensitivity and 100% (95% CI of 87.2 to 100) specificity. This assay showed higher sensitivity than microscopy and ELISA, which were 52.7% (95% CI of 39.7 to 67%) and 67.3% (95% CI of 53.3 to 79.3%), respectively. Nine samples were positive for P. malariae, indicating coinfections with P. falciparum, which represented 5.5% of the tested population. No samples were detected as positive for P. vivax, P. ovale, P. knowlesi, or P. cynomolgi by any method. Furthermore, translation to the point-of-care was demonstrated with a subcohort of 18 samples tested locally in Ghana using our handheld lab-on-chip platform, Lacewing, showing comparable results to a conventional fluorescence-based instrument. The developed molecular diagnostic test could detect asymptomatic malaria cases, including submicroscopic parasitemia, and it has the potential to be used for point-of-care applications. IMPORTANCE The spread of Plasmodium falciparum parasites with Pfhrp2/3 gene deletions presents a major threat to reliable point-of-care diagnosis with current rapid diagnostic tests (RDTs). Novel molecular diagnostics based on nucleic acid amplification are needed to address this liability. In this work, we overcome this challenge by developing sensitive tools for the detection of Plasmodium falciparum and non-P. falciparum species. Furthermore, we evaluate these tools with a cohort of symptomatic and asymptomatic malaria patients and test a subcohort locally in Ghana. The findings of this work could lead to the implementation of DNA-based diagnostics to fight against the spread of malaria and provide reliable, sensitive, and specific diagnostics at the point of care. Copyright © 2023 Malpartida-Cardenas et al. This is an open-access article distributed under the terms of the Creative Commons Attribution 4.0 International license.</t>
  </si>
  <si>
    <t xml:space="preserve">Microbiology Spectrum</t>
  </si>
  <si>
    <t xml:space="preserve">American Society for Microbiology</t>
  </si>
  <si>
    <t xml:space="preserve">10.1128/spectrum.05222-22</t>
  </si>
  <si>
    <t xml:space="preserve">https://www.scopus.com/inward/record.uri?eid=2-s2.0-85163913638&amp;doi=10.1128%2fspectrum.05222-22&amp;partnerID=40&amp;md5=54d62ecb079978b0ec6136794e375b5f</t>
  </si>
  <si>
    <t xml:space="preserve">Department of Infectious Disease, Faculty of Medicine, Imperial College London, London, United Kingdom; Department of Electrical and Electronic Engineering, Faculty of Engineering, Imperial College London, London, United Kingdom; West African Centre for Cell Biology of Infectious Pathogens, Department of Biochemistry, Cell and Molecular Biology, University of Ghana, Legon, Ghana; Department of Infection Biology, Faculty of Infectious and Tropical Diseases, London School of Hygiene and Tropical Medicine, London, United Kingdom; Immunology Department, Noguchi Memorial Institute for Medical Research, University of Ghana, Legon, Ghana; Department of Life Sciences, Faculty of Natural Sciences, Imperial College London, London, United Kingdom; School of Biomedical Sciences, University of New South Wales Sydney, Sydney, Australia</t>
  </si>
  <si>
    <t xml:space="preserve">Malpartida-Cardenas K., Department of Infectious Disease, Faculty of Medicine, Imperial College London, London, United Kingdom, Department of Electrical and Electronic Engineering, Faculty of Engineering, Imperial College London, London, United Kingdom; Moser N., Department of Electrical and Electronic Engineering, Faculty of Engineering, Imperial College London, London, United Kingdom; Ansah F., West African Centre for Cell Biology of Infectious Pathogens, Department of Biochemistry, Cell and Molecular Biology, University of Ghana, Legon, Ghana; Pennisi I., Department of Infectious Disease, Faculty of Medicine, Imperial College London, London, United Kingdom; Prah D.A., West African Centre for Cell Biology of Infectious Pathogens, Department of Biochemistry, Cell and Molecular Biology, University of Ghana, Legon, Ghana, Department of Infection Biology, Faculty of Infectious and Tropical Diseases, London School of Hygiene and Tropical Medicine, London, United Kingdom; Amoah L.E., West African Centre for Cell Biology of Infectious Pathogens, Department of Biochemistry, Cell and Molecular Biology, University of Ghana, Legon, Ghana, Immunology Department, Noguchi Memorial Institute for Medical Research, University of Ghana, Legon, Ghana; Awandare G., West African Centre for Cell Biology of Infectious Pathogens, Department of Biochemistry, Cell and Molecular Biology, University of Ghana, Legon, Ghana; Hafalla J.C.R., Department of Infection Biology, Faculty of Infectious and Tropical Diseases, London School of Hygiene and Tropical Medicine, London, United Kingdom, Immunology Department, Noguchi Memorial Institute for Medical Research, University of Ghana, Legon, Ghana; Cunnington A., Department of Infectious Disease, Faculty of Medicine, Imperial College London, London, United Kingdom; Baum J., Department of Life Sciences, Faculty of Natural Sciences, Imperial College London, London, United Kingdom, School of Biomedical Sciences, University of New South Wales Sydney, Sydney, Australia; Rodriguez-Manzano J., Department of Infectious Disease, Faculty of Medicine, Imperial College London, London, United Kingdom; Georgiou P., Department of Electrical and Electronic Engineering, Faculty of Engineering, Imperial College London, London, United Kingdom</t>
  </si>
  <si>
    <t xml:space="preserve">diagnostics; malaria; nucleic acid amplification; point-of-care</t>
  </si>
  <si>
    <t xml:space="preserve">Animals; Humans; LAMP assay; Malaria; Malaria, Falciparum; Malaria, Vivax; Parasites; Plasmodium falciparum; Point-of-Care Systems; Sensitivity and Specificity; genomic DNA; Article; asymptomatic carrier; child; cohort analysis; coinfection; controlled study; enzyme linked immunosorbent assay; female; fluorescence; gene deletion; gene dosage; Ghana; human; loop mediated isothermal amplification; major clinical study; malaria; malaria falciparum; male; microscopy; molecular diagnosis; parasite load; Plasmodium falciparum; Plasmodium malariae infection; sensitivity and specificity; animal; genetics; loop mediated isothermal amplification; malaria; malaria falciparum; parasite; parasitology; Plasmodium vivax malaria</t>
  </si>
  <si>
    <t xml:space="preserve">Centre for Antimicrobial Optimisation; Wellcome/African Academy of Sciences, (DEL-15-007/107755/Z/15/Z); Wellcome Trust, WT, (100993/Z/13/Z, ACE02-WACCBIP); Wellcome Trust, WT; Engineering and Physical Sciences Research Council, EPSRC, (EP/L016796/1, EP/T51780X/1); Engineering and Physical Sciences Research Council, EPSRC; Royal Society, (CH160018, UF0762736/UF120026); Royal Society; Imperial College London</t>
  </si>
  <si>
    <t xml:space="preserve">This work was supported by Research England Global Challenges Research Fund and the Centre for Antimicrobial Optimisation (CAMO) at Imperial College London. We acknowledge EPSRC HiPEDS CDT (EP/L016796/1 to K.M.-C.), EPSRC Doctoral Prize Fellowship (EP/T51780X/1 to K.M.-C.), Wellcome Investigator Award (100993/Z/13/Z to J.B.), World Bank African Centers of Excellence Grant (ACE02-WACCBIP to G.A.), Wellcome/African Academy of Sciences DELTAS grant (DEL-15-007/107755/Z/15/Z to G.A.), The Royal Society University Research Fellowship (UF0762736/UF120026 to J.C.R.H.), and Challenge Grant (CH160018 to J.C.R.H.) for supporting this work.</t>
  </si>
  <si>
    <t xml:space="preserve">World malaria report 2021, (2021); World malaria report 2022, (2022); Sutherland CJ, Tanomsing N, Nolder D, Oguike M, Jennison C, Pukrittayakamee S, Dolecek C, Hien TT, do Rosario VE, Arez AP, Pinto J, Michon P, Escalante AA, Nosten F, Burke M, Lee R, Blaze M, Otto TD, Barnwell JW, Pain A, Williams J, White NJ, Day NPJ, Snounou G, Lockhart PJ, Chiodini PL, Imwong M, Polley SD., Two nonrecombining sympatric forms of the human malaria parasite Plasmodium ovale occur globally, J Infect Dis, 201, pp. 1544-1550, (2010); Ramasamy R., Zoonotic malaria—global overview and research and policy needs, Front Public Health, 2, (2014); Singh B, Daneshvar C., Human infections and detection of Plasmodium knowlesi, Clin Microbiol Rev, 26, pp. 165-184, (2013); Ta TH, Hisam S, Lanza M, Jiram AI, Ismail N, Rubio JM., First case of a naturally acquired human infection with Plasmodium cynomolgi, Malar J, 13, (2014); Krampa F, Aniweh Y, Awandare G, Kanyong P., Recent progress in the development of diagnostic tests for malaria, Diagnostics, 7, (2017); Oboh MA, Oriero EC, Ndiaye T, Badiane AS, Ndiaye D, Amambua-Ngwa A., Comparative analysis of four malaria diagnostic tools and implications for malaria treatment in southwestern Nigeria, Int J Infect Dis, 108, pp. 377-381, (2021); Mbanefo A, Kumar N., Evaluation of malaria diagnostic methods as a key for successful control and elimination programs, TropicalMed, 5, (2020); Singh B, Bobogare A, Cox-Singh J, Snounou G, Abdullah MS, Rahman HA., A genus- and species-specific nested polymerase chain reaction malaria detection assay for epidemiologic studies, Am J Trop Med Hyg, 60, pp. 687-692, (1999); Pholwat S, Liu J, Stroup S, Jacob ST, Banura P, Moore CC, Huang F, Laufer MK, Houpt E, Guler JL., The malaria TaqMan array card includes 87 assays for Plasmodium falciparum drug resistance, identification of species, and genotyping in a single reaction, Antimicrob Agents Chemother, 61, pp. e00110-e00117, (2017); Kamau E, Alemayehu S, Feghali KC, Saunders D, Ockenhouse CF., Multiplex qPCR for detection and absolute quantification of malaria, PLoS One, 8, (2013); Rougemont M, Van Saanen M, Sahli R, Hinrikson HP, Bille J, Jaton K., Detection of four Plasmodium species in blood from humans by 18S rRNA gene subunit-based and species-specific real-time PCR assays, J Clin Microbiol, 42, pp. 5636-5643, (2004); Snounou G, Viriyakosol S, Jarra W, Thaithong S, Brown KN., Identification of the four human malaria parasite species in field samples by the polymerase chain reaction and detection of a high prevalence of mixed infections, Mol Biochem Parasitol, 58, pp. 283-292, (1993); Perandin F, Manca N, Calderaro A, Piccolo G, Galati L, Ricci L, Medici MC, Arcangeletti MC, Snounou G, Dettori G, Chezzi C., Development of a real-time PCR assay for detection of Plasmodium falciparum, Plasmodium vivax, and Plasmodium ovale for routine clinical diagnosis, J Clin Microbiol, 42, pp. 1214-1219, (2004); Ansah F, Suurbaar J, Darko D, Anabire NG, Blankson SO, Domson BKS, Soulama A, Kpasra P, Chirawurah JD, Amenga-Etego L, Kanyong P, Awandare GA, Aniweh Y., Development of cooperative primer-based real-time PCR assays for the detection of Plasmodium malariae and Plasmodium ovale, J Mol Diagn, 23, pp. 1393-1403, (2021); Aydin-Schmidt B, Xu W, Gonzalez IJ, Polley SD, Bell D, Shakely D, Msellem MI, Bjorkman A, Martensson A., Loop mediated isothermal amplification (LAMP) accurately detects malaria DNA from filter paper blood samples of low density parasitaemias, PLoS One, 9, (2014); Dinzouna-Boutamba S-D, Yang H-W, Joo S-Y, Jeong S, Na B-K, Inoue N, Lee W-K, Kong H-H, Chung D-I, Goo Y-K, Hong Y., The development of loop-mediated isothermal amplification targeting alpha-tubulin DNA for the rapid detection of Plasmodium vivax, Malar J, 13, (2014); Britton S, Cheng Q, Grigg MJ, Poole CB, Pasay C, William T, Fornace K, Anstey NM, Sutherland CJ, Drakeley C, McCarthy JS., Sensitive detection of Plasmodium vivax using a high-throughput, colourimetric loop mediated isothermal amplification (HtLAMP) platform: a potential novel tool for malaria elimination, PLoS Negl Trop Dis, 10, (2016); Mohon AN, Elahi R, Khan WA, Haque R, Sullivan DJ, Alam MS., A new visually improved and sensitive loop mediated isothermal amplification (LAMP) for diagnosis of symptomatic falciparum malaria, Acta Trop, 134, pp. 52-57, (2014); Yongkiettrakul S, Jaroenram W, Arunrut N, Chareanchim W, Pannengpetch S, Suebsing R, Kiatpathomchai W, Pornthanakasem W, Yuthavong Y, Kongkasuriyachai D., Application of loop-mediated isothermal amplification assay combined with lateral flow dipstick for detection of Plasmodium falciparum and Plasmodium vivax, Parasitol Int, 63, pp. 777-784, (2014); Poon LLM, Wong BWY, Ma EHT, Chan KH, Chow LMC, Abeyewickreme W, Tangpukdee N, Yuen KY, Guan Y, Looareesuwan S, Peiris JSM., Sensitive and inexpensive molecular test for falciparum malaria: detecting Plasmodium falciparum DNA directly from heat-treated blood by loop-mediated isothermal amplification, Clin Chem, 52, pp. 303-306, (2006); Han E-T, Watanabe R, Sattabongkot J, Khuntirat B, Sirichaisinthop J, Iriko H, Jin L, Takeo S, Tsuboi T., Detection of four Plasmodium species by genus- and species-specific loop-mediated isothermal amplification for clinical diagnosis, J Clin Microbiol, 45, pp. 2521-2528, (2007); Piera KA, Aziz A, William T, Bell D, Gonzalez IJ, Barber BE, Anstey NM, Grigg MJ., Detection of Plasmodium knowlesi, Plasmodium falciparum and Plasmodium vivax using loop-mediated isothermal amplification (LAMP) in a co-endemic area in Malaysia, Malar J, 16, (2017); Lau Y-L, Lai M-Y, Fong M-Y, Jelip J, Mahmud R., Loop-mediated isothermal amplification assay for identification of five human Plasmodium species in Malaysia, Am J Trop Med Hyg, 94, pp. 336-339, (2016); Malpartida-Cardenas K, Miscourides N, Rodriguez-Manzano J, Yu L-S, Moser N, Baum J, Georgiou P., Quantitative and rapid Plasmodium falciparum malaria diagnosis and artemisinin-resistance detection using a CMOS lab-on-chip platform, Biosens Bioelectron, 145, (2019); Rutledge GG, Bohme U, Sanders M, Reid AJ, Cotton JA, Maiga-Ascofare O, Djimde AA, Apinjoh TO, Amenga-Etego L, Manske M, Barnwell JW, Renaud F, Ollomo B, Prugnolle F, Anstey NM, Auburn S, Price RN, McCarthy JS, Kwiatkowski DP, Newbold CI, Berriman M, Otto TD., Plasmodium malariae and P. ovale genomes provide insights into malaria parasite evolution, Nature, 542, pp. 101-104, (2017); Malpartida-Cardenas K, Baum J, Cunnington A, Georgiou P, Rodriguez-Manzano J., Electricity-free nucleic acid extraction method from dried blood spots on filter paper for point-of-care diagnostics, bioRxiv, (2022); Rodriguez-Manzano J, Malpartida-Cardenas K, Moser N, Pennisi I, Cavuto M, Miglietta L, Moniri A, Penn R, Satta G, Randell P, Davies F, Bolt F, Barclay W, Holmes A, Georgiou P., Handheld point-of-care system for rapid detection of SARS-CoV-2 extracted RNA in under 20 min, ACS Cent Sci, 7, pp. 307-317, (2021); Rodriguez MJ, Moser N, Malpartida CK, Moniri A, Fisarova L, Pennisi I, Boonyasiri A, Jauneikaite E, Abdolrasouli A, Otter J, Bolt F, Davies F, Didelot X, Holmes A, Georgiou P., Rapid detection of mobilized colistin resistance using a nucleic acid based lab-on-a-chip diagnostic system, Sci Rep, 10, (2020); Guescini M, Sisti D, Rocchi MB, Stocchi L, Stocchi V., A new real-time PCR method to overcome significant quantitative inaccuracy due to slight amplification inhibition, BMC Bioinform, 9, (2008); Heinemann M, Phillips RO, Vinnemeier CD, Rolling CC, Tannich E, Rolling T., High prevalence of asymptomatic malaria infections in adults, Ashanti Region, Ghana, 2018, Malar J, 19, (2020); Bredu D, Donu D, Amoah LE., Dynamics of the composition of Plasmodium species contained within asymptomatic malaria infections in the central region of Ghana, J Trop Med, 2021, (2021); Sitali L, Miller JM, Mwenda MC, Bridges DJ, Hawela MB, Hamainza B, Chizema-Kawesha E, Eisele TP, Chipeta J, Lindtjorn B., Distribution of Plasmodium species and assessment of performance of diagnostic tools used during a malaria survey in Southern and Western Provinces of Zambia, Malar J, 18, (2019); Tetteh M, Dwomoh D, Asamoah A, Kupeh EK, Malm K, Nonvignon J., Impact of malaria diagnostic refresher training programme on competencies and skills in malaria diagnosis among medical laboratory professionals: evidence from Ghana 2015–2019, Malar J, 20, (2021); Land KJ, Boeras DI, Chen X-S, Ramsay AR, Peeling RW., REASSURED diagnostics to inform disease control strategies, strengthen health systems and improve patient outcomes, Nat Microbiol, 4, pp. 46-54, (2019); Joste V, Bailly J, Hubert V, Pauc C, Gendrot M, Guillochon E, Madamet M, Thellier M, Kendjo E, Argy N, Pradines B, Houze S., Plasmodium ovale wallikeri and P. ovale curtisi infections and diagnostic approaches to imported malaria, France, 2013–2018, Emerg Infect Dis, 27, pp. 372-384, (2021); Mueller I, Zimmerman PA, Reeder JC., Plasmodium malariae and Plasmodium ovale—the ‘bashful’ malaria parasites, Trends Parasitol, 23, pp. 278-283, (2007); Owusu EDA, Brown CA, Grobusch MP, Mens P., Prevalence of Plasmodium falciparum and non-P. falciparum infections in a highland district in Ghana, and the influence of HIV and sickle cell disease, Malar J, 16, (2017); Danwang C, Kirakoya-Samadoulougou F, Samadoulougou S., Assessing field performance of ultrasensitive rapid diagnostic tests for malaria: a systematic review and meta-analysis, Malar J, 20, (2021); Acquah FK, Donu D, Obboh EK, Bredu D, Mawuli B, Amponsah JA, Quartey J, Amoah LE., Diagnostic performance of an ultrasensitive HRP2-based malaria rapid diagnostic test kit used in surveys of afebrile people living in Southern Ghana, Malar J, 20, (2021); Yeung S, McGregor D, James N, Kheang ST, Kim S, Khim N, Ly P, Sovannaroth S, Witkowski B., Performance of ultrasensitive rapid diagnostic tests for detecting asymptomatic Plasmodium falciparum, Am J Trop Med Hyg, 102, pp. 307-309, (2020); Aidoo M, Incardona S., Ten years of universal testing: how the rapid diagnostic test became a game changer for malaria case management and improved disease reporting, Am J Trop Med Hyg, 106, pp. 29-32, (2021); LaBarre P, Hawkins KR, Gerlach J, Wilmoth J, Beddoe A, Singleton J, Boyle D, Weigl B., A simple, inexpensive device for nucleic acid amplification without electricity-toward instrument-free molecular diagnostics in low-resource settings, PLoS One, 6, (2011); Holzschuh A, Gruenberg M, Hofmann NE, Wampfler R, Kiniboro B, Robinson LJ, Mueller I, Felger I, White MT., Co-infection of the four major Plasmodium species: effects on densities and gametocyte carriage, PLoS Negl Trop Dis, 16, (2022); Prah DA, Amoah LE, Gibbins MP, Bediako Y, Cunnington AJ, Awandare GA, Hafalla JCR., Comparison of leucocyte profiles between healthy children and those with asymptomatic and symptomatic Plasmodium falciparum infections, Malar J, 19, (2020); Edgar RC., MUSCLE: multiple sequence alignment with high accuracy and high throughput, Nucleic Acids Res, 32, pp. 1792-1797, (2004); Kearse M, Moir R, Wilson A, Stones-Havas S, Cheung M, Sturrock S, Buxton S, Cooper A, Markowitz S, Duran C, Thierer T, Ashton B, Meintjes P, Drummond A., Geneious Basic: an integrated and extendable desktop software platform for the organization and analysis of sequence data, Bioinformatics, 28, pp. 1647-1649, (2012); Moser N, Rodriguez-Manzano J, Lande TS, Georgiou P., A scalable ISFET sensing and memory array with sensor auto-calibration for on-chip real-time DNA detection, IEEE Trans Biomed Circuits Syst, 12, pp. 390-401, (2018); Moser N, Rodriguez-Manzano J, Yu L-S, Kalofonou M, de Mateo S, Li X, Lande TS, Toumazou C, Georgiou P., Live demonstration: a CMOS-based ISFET array for rapid diagnosis of the Zika virus, p 1, 2017 IEEE International Symposium on Circuits and Systems (ISCAS), (2017); Miscourides N, Georgiou P., ISFET arrays in CMOS: a head-to-head comparison between voltage and current mode, IEEE Sensors J, 19, pp. 1224-1238, (2019); Banoo S, Bell D, Bossuyt P, Herring A, Mabey D, Poole F, Smith PG, Sriram N, Wongsrichanalai C, Linke R, O'Brien R, Perkins M, Cunningham J, Matsoso P, Nathanson CM, Olliaro P, Peeling RW, Ramsay A., Evaluation of diagnostic tests for infectious diseases: general principles, Nat Rev Microbiol, 4, pp. S21-S31, (2006)</t>
  </si>
  <si>
    <t xml:space="preserve">J. Rodriguez-Manzano; Department of Infectious Disease, Faculty of Medicine, Imperial College London, London, United Kingdom; email: j.rodriguez-manzano@imperial.ac.uk</t>
  </si>
  <si>
    <t xml:space="preserve">Microbiol. Spectr.</t>
  </si>
  <si>
    <t xml:space="preserve">2-s2.0-85163913638</t>
  </si>
  <si>
    <t xml:space="preserve">Mahabala C.; Koushik V.K.; Manjrekar P.A.; Balanthimogru P.</t>
  </si>
  <si>
    <t xml:space="preserve">Mahabala, Chakrapani (57211099827); Koushik, Vivek K. (57863075900); Manjrekar, Poornima A. (24171461900); Balanthimogru, Prashantha (57190733731)</t>
  </si>
  <si>
    <t xml:space="preserve">57211099827; 57863075900; 24171461900; 57190733731</t>
  </si>
  <si>
    <t xml:space="preserve">Serum soluble interleukin-2 receptor (sIL-2R) is an accurate biomarker for dengue-associated hemophagocytic lymphohistiocytosis syndrome diagnosed by Hscore</t>
  </si>
  <si>
    <t xml:space="preserve">Objective: Hemophagocytic lymphohistiocytosis is a potentially fatal complication of severe dengue fever. Here we evaluated the serum soluble IL-2R levels as potential biomarker for identifying HLH in patients with dengue fever. Methods: In this cross-sectional study conducted in a tertiary care center of a teaching hospital, subjects with dengue and fever of more than 5 days, leukopenia/thrombocytopenia and/or hepatosplenomegaly were studied. Data were collected to compare sIL-2R values and serum ferritin with Hscore and Histiocyte Society 2004 criteria. Relevant statistical methods were used. Results: 80 subjects with severe dengue fever were analyzed with relevant investigations. Mean H score was 219.2 ± 17.6 in 18 dengue patients with HLH v/s 166.2 ± 11.2 in 62 patients without HLH (p = &lt; 0.001). Serum ferritin (11,230.5 v/s 7853.5, p = 0.013) and sIL-2R (32,917.5 v/s 6210, p = &lt; 0.001) were significantly higher in those patients with HLH. sIL-2R correlated very well with HScore (r = 0.98, p &lt; 0.001) compared to ferritin (r = 0.51, p &lt; 0.001) with an AUROC of 1.00 compared to 0.694 (95% CI 0.557–0.831) of serum ferritin for diagnosing HLH. A cut-off value of 10,345 pg/ml for sIL-2R had a sensitivity and specificity of 100% for HLH, whereas, a ferritin value of 8613 ng/ml had only 67% sensitivity and 55% specificity. Conclusion: sIL-2R could be a single most useful biomarker to differentiate dengue fever patients who are likely to progress to HLH, from those that are not. Full workup for HLH could be limited only to those patients with elevated sIL-2R, especially in resource limited settings. © 2022, The Author(s).</t>
  </si>
  <si>
    <t xml:space="preserve">Infection</t>
  </si>
  <si>
    <t xml:space="preserve">10.1007/s15010-022-01906-8</t>
  </si>
  <si>
    <t xml:space="preserve">https://www.scopus.com/inward/record.uri?eid=2-s2.0-85136827718&amp;doi=10.1007%2fs15010-022-01906-8&amp;partnerID=40&amp;md5=7e63a1f903c1592d5c00ad299ef316b5</t>
  </si>
  <si>
    <t xml:space="preserve">Department of Medicine, Kasturba Medical College, Mangalore, 575001, India; Department of Nephrology, Apollo Hospital, Chennai, India; Department of Biochemistry, Kasturba Medical College, Mangalore, India; Department of Medicine and Department of Adult Hematology, Kasturba Medical College, Mangalore, India; Manipal Academy of Higher Education, Manipal, India</t>
  </si>
  <si>
    <t xml:space="preserve">Mahabala C., Department of Medicine, Kasturba Medical College, Mangalore, 575001, India, Manipal Academy of Higher Education, Manipal, India; Koushik V.K., Department of Nephrology, Apollo Hospital, Chennai, India; Manjrekar P.A., Department of Biochemistry, Kasturba Medical College, Mangalore, India, Manipal Academy of Higher Education, Manipal, India; Balanthimogru P., Department of Medicine and Department of Adult Hematology, Kasturba Medical College, Mangalore, India, Manipal Academy of Higher Education, Manipal, India</t>
  </si>
  <si>
    <t xml:space="preserve">Dengue fever; Ferritin; H Score; Hemophagocytic lymphohistiocytosis; HLH; sIL-2R</t>
  </si>
  <si>
    <t xml:space="preserve">Biomarkers; Cross-Sectional Studies; Ferritins; Humans; Lymphohistiocytosis, Hemophagocytic; Receptors, Interleukin-2; Severe Dengue; Syndrome; ferritin; hemoglobin; interleukin 2 receptor alpha; soluble interleukin 2 receptor; triacylglycerol; biological marker; ferritin; interleukin 2 receptor; adolescent; adult; aged; Article; comparative study; controlled study; cross-sectional study; dengue; diagnostic test accuracy study; female; ferritin blood level; fever; h score; hematocrit; hemoglobin blood level; hemophagocytic syndrome; human; leukocyte count; leukopenia; major clinical study; male; platelet count; scoring system; sensitivity and specificity; severe dengue; tertiary care center; thrombocytopenia; triacylglycerol blood level; complication; severe dengue; syndrome</t>
  </si>
  <si>
    <t xml:space="preserve">ferritin, 9007-73-2; hemoglobin, 9008-02-0; Biomarkers, ; Ferritins, ; Receptors, Interleukin-2, </t>
  </si>
  <si>
    <t xml:space="preserve">Manipal Academy of Higher Education, MAHE</t>
  </si>
  <si>
    <t xml:space="preserve">Regional Office for South-East Asia. Comprehensive guidelines for prevention and control of dengue and dengue haemorrhagic fever, World Health Organization Regional Office for South-East Asia, (2011); Kan F.K., Tan C.C., von Bahr G.T., Khalid K.E., Supramaniam P., Myrberg I.H., Et al., Dengue infection complicated by hemophagocytic lymphohistiocytosis: experiences from 180 patients with severe dengue, Clin Infect Dis, 70, pp. 2247-2255, (2020); Giang H.T.N., Banno K., Minh L.H.N., Trinh L.T., Loc L.T., Eltobgy A., Et al., Dengue hemophagocytic syndrome: A systematic review and meta-analysis on epidemiology, clinical signs, outcomes, and risk factors, Rev Med Virol [Internet]., 28, (2018); Ramos-Casals M., Brito-Zeron P., Lopez-Guillermo A., Khamashta M.A., Bosch X., Adult haemophagocytic syndrome, Lancet, 383, pp. 1503-1516, (2014); Rouphael N.G., Talati N.J., Vaughan C., Cunningham K., Moreira R., Gould C., Grand Round Infections associated with haemophagocytic syndrome, Lancet Infect Dis, 7, pp. 814-822, (2007); Fardet L., Galicier L., Lambotte O., Marzac C., Aumont C., Chahwan D., Et al., Development and validation of the HScore, a score for the diagnosis of reactive hemophagocytic syndrome, Arthritis Rheumatol, 66, pp. 2613-2620, (2014); Gibbons M.D., Mendoza D.P., Waheed A., Barshak M.B., Villalba J.A., Case 14–2021: a 64-year-old woman with fever and pancytopenia, N Engl J Med, 384, pp. 1849-1857, (2021); Hutchinson M., Tattersall R.S., Manson J.J., Haemophagocytic lymphohisticytosis-an underrecognized hyperinflammatory syndrome, Rheumatol (UK), 58, pp. VI23-VI30, (2019); La R.P., Horne A.C., Hines M., Greenwood T.V.B., Machowicz R., Berliner N., Et al., Recommendations for the management of hemophagocytic lymphohistiocytosis in adults, Blood, 133, pp. 2465-2477, (2019); Hayden A., Lin M., Park S., Pudek M., Schneider M., Jordan M.B., Et al., Soluble interleukin-2 receptor is a sensitive diagnostic test in adult HLH, Blood Adv, 1, pp. 2529-2534, (2017); Rothkrantz-Kos S., Van Dieijen-Visser M.P., Mulder P.G.H., Drent M., Potential usefulness of inflammatory markers to monitor respiratory functional impairment in sarcoidosis, Clin Chem, 49, pp. 1510-1517, (2003); Naymagon L., Tremblay D., Troy K., Mascarenhas J., Soluble interleukin-2 receptor (sIL-2r) level is a limited test for the diagnosis of adult secondary hemophagocytic lymphohistiocytosis, Eur J Haematol, 105, pp. 255-261, (2020); Jordan M.B., Allen C.E., Weitzman S., Filipovich A.H., McClain K.L., How I treat hemophagocytic lymphohistiocytosis, Blood, 118, pp. 4041-4052, (2011); Score - Hôpital Saint-Antoine AP-HP [Internet]., (2019); Debaugnies F., Mahadeb B., Ferster A., Meuleman N., Rozen L., Demulder A., Et al., Performances of the H-score for diagnosis of hemophagocytic lymphohistiocytosis in adult and pediatric patients, Am J Clin Pathol, 145, pp. 862-870, (2016); Birndt S., Schenk T., Heinevetter B., Brunkhorst F.M., Maschmeyer G., Rothmann F., Et al., Hemophagocytic lymphohistiocytosis in adults: collaborative analysis of 137 cases of a nationwide German registry, J Cancer Res Clin Oncol, 146, pp. 1065-1077, (2020); Hayden A., Park S., Giustini D., Lee A.Y.Y., Chen L.Y.C., Hemophagocytic syndromes (HPSs) including hemophagocytic lymphohistiocytosis (HLH) in adults: a systematic scoping review, Blood Rev [Internet], 30, pp. 411-420, (2016); Henter J.I., Elinder G., Ost A., Diagnostic guidelines for hemophagocytic lymphohistiocytosis. The FHL study group of the histiocyte society, Semin Oncol [Internet], 18, pp. 29-33, (1991); Guleria S., Gupta A., Rawat A., Bhatia P., THU0539: serum soluble cd25: an useful biomarker of macrophage activation syndrome in systemic juvenile idiopathic arthritis, Poster Present [Internet], (2019)</t>
  </si>
  <si>
    <t xml:space="preserve">P. Balanthimogru; Department of Medicine and Department of Adult Hematology, Kasturba Medical College, Mangalore, India; email: prashantha.b@manipal.edu</t>
  </si>
  <si>
    <t xml:space="preserve">IFTNA</t>
  </si>
  <si>
    <t xml:space="preserve">2-s2.0-85136827718</t>
  </si>
  <si>
    <t xml:space="preserve">Fu J.Y.L.; Chua C.L.; Bakar A.S.A.; Vythilingam I.; Sulaiman W.Y.W.; Alphey L.; Chan Y.F.; Sam I.-C.</t>
  </si>
  <si>
    <t xml:space="preserve">Fu, Jolene Yin Ling (56784813100); Chua, Chong Long (54789526600); Bakar, Athirah Shafiqah Abu (58476380900); Vythilingam, Indra (7004056456); Sulaiman, Wan Yusoff Wan (57210853958); Alphey, Luke (7004731464); Chan, Yoke Fun (8091117300); Sam, I-Ching (13604668900)</t>
  </si>
  <si>
    <t xml:space="preserve">56784813100; 54789526600; 58476380900; 7004056456; 57210853958; 7004731464; 8091117300; 13604668900</t>
  </si>
  <si>
    <t xml:space="preserve">Susceptibility of Aedes albopictus, Ae. aegypti and human populations to Ross River virus in Kuala Lumpur, Malaysia</t>
  </si>
  <si>
    <t xml:space="preserve">Background Emerging arboviruses such as chikungunya and Zika viruses have unexpectedly caused widespread outbreaks in tropical and subtropical regions recently. Ross River virus (RRV) is endemic in Australia and has epidemic potential. In Malaysia, Aedes mosquitoes are abundant and drive dengue and chikungunya outbreaks. We assessed risk of an RRV outbreak in Kuala Lumpur, Malaysia by determining vector competence of local Aedes mosquitoes and local seroprevalence as a proxy of human population susceptibility. Methodology/Principal findings We assessed oral susceptibility of Malaysian Ae. aegypti and Ae. albopictus by real-time PCR to an Australian RRV strain SW2089. Replication kinetics in midgut, head and saliva were determined at 3 and 10 days post-infection (dpi). With a 3 log10 PFU/ml blood meal, infection rate was higher in Ae. albopictus (60%) than Ae. aegypti (15%; p&lt;0.05). Despite similar infection rates at 5 and 7 log10 PFU/ml blood meals, Ae. albopictus had significantly higher viral loads and required a significantly lower median oral infectious dose (2.7 log10 PFU/ml) than Ae. aegypti (4.2 log10 PFU/ml). Ae. albopictus showed higher vector compe-tence, with higher viral loads in heads and saliva, and higher transmission rate (RRV present in saliva) of 100% at 10 dpi, than Ae. aegypti (41%). Ae. aegypti demonstrated greater barriers at either midgut escape or salivary gland infection, and salivary gland escape. We then assessed seropositivity against RRV among 240 Kuala Lumpur inpatients using plaque reduction neutralization, and found a low rate of 0.8%. Conclusions/Significance Both Ae. aegypti and Ae. albopictus are susceptible to RRV, but Ae. albopictus displays greater vector competence. Extensive travel links with Australia, abundant Aedes vectors, and low population immunity places Kuala Lumpur, Malaysia at risk of an imported RRV out-break. Surveillance and increased diagnostic awareness and capacity are imperative to prevent establishment of new arboviruses in Malaysia. © 2023 Fu et al.</t>
  </si>
  <si>
    <t xml:space="preserve">Malaysia</t>
  </si>
  <si>
    <t xml:space="preserve">e0011423</t>
  </si>
  <si>
    <t xml:space="preserve">10.1371/journal.pntd.0011423</t>
  </si>
  <si>
    <t xml:space="preserve">https://www.scopus.com/inward/record.uri?eid=2-s2.0-85164040851&amp;doi=10.1371%2fjournal.pntd.0011423&amp;partnerID=40&amp;md5=bdb80a7cc810083bf836c776badc5845</t>
  </si>
  <si>
    <t xml:space="preserve">Department of Medical Microbiology, Faculty of Medicine, Universiti Malaya, Kuala Lumpur, Malaysia; Department of Parasitology, Faculty of Medicine, Universiti Malaya, Kuala Lumpur, Malaysia; Arthropod Genetics Group, The Pirbright Institute, Woking, United Kingdom</t>
  </si>
  <si>
    <t xml:space="preserve">Fu J.Y.L., Department of Medical Microbiology, Faculty of Medicine, Universiti Malaya, Kuala Lumpur, Malaysia; Chua C.L., Department of Medical Microbiology, Faculty of Medicine, Universiti Malaya, Kuala Lumpur, Malaysia; Bakar A.S.A., Department of Medical Microbiology, Faculty of Medicine, Universiti Malaya, Kuala Lumpur, Malaysia; Vythilingam I., Department of Parasitology, Faculty of Medicine, Universiti Malaya, Kuala Lumpur, Malaysia; Sulaiman W.Y.W., Department of Parasitology, Faculty of Medicine, Universiti Malaya, Kuala Lumpur, Malaysia; Alphey L., Arthropod Genetics Group, The Pirbright Institute, Woking, United Kingdom; Chan Y.F., Department of Medical Microbiology, Faculty of Medicine, Universiti Malaya, Kuala Lumpur, Malaysia; Sam I.-C., Department of Medical Microbiology, Faculty of Medicine, Universiti Malaya, Kuala Lumpur, Malaysia</t>
  </si>
  <si>
    <t xml:space="preserve">Aedes; Animals; Arboviruses; Australia; Chikungunya Fever; Humans; Malaysia; Mosquito Vectors; Ross River virus; Seroepidemiologic Studies; Zika Virus; Zika Virus Infection; Aedes aegypti; Aedes albopictus; antiviral susceptibility; Arbovirus; Article; Australia; Chikungunya virus; controlled study; Dengue virus 3; diagnostic test accuracy study; enzyme linked immunosorbent assay; Federal Territory of Kuala Lumpur; genotype; herd immunity; hospital patient; human; human tissue; infection rate; infection risk; infectious dose; kinetics; limit of detection; limit of quantitation; longevity; Malaysia; midgut; mosquito; nonhuman; plaque forming unit; predictive value; prevalence; real time polymerase chain reaction; receiver operating characteristic; retrospective study; risk assessment; Ross River virus; saliva; salivary gland; salivation; sensitivity and specificity; seroprevalence; travel; virus detection; virus load; virus neutralization; virus particle; virus replication; virus strain; virus transmission; Aedes; animal; Arbovirus; chikungunya; epidemiology; mosquito vector; Ross River virus; seroepidemiology; Zika fever; Zika virus</t>
  </si>
  <si>
    <t xml:space="preserve">Wellcome Trust, WT, (200171/Z/15/Z); Universiti Malaya, UM, (RK015-2021)</t>
  </si>
  <si>
    <t xml:space="preserve">This research was funded in whole, or in part, by University Malaya (grant number RK015-2021 to ICS) and the Wellcome Trust (grant number 200171/Z/15/Z to LA). For the purpose of open access, the author has applied a CC BY public copyright licence to any Author Accepted Manuscript version arising from this submission. The funders had no role in study design, data collection and analysis, decision to publish, or preparation of the manuscript.</t>
  </si>
  <si>
    <t xml:space="preserve">Paixao ES, Teixeira MG, Rodrigues LC., Zika, chikungunya and dengue: the causes and threats of new and re-emerging arboviral diseases, BMJ Glob Health, 3, (2018); Ruckert C, Ebel GD., How do virus-mosquito interactions lead to viral emergence?, Trends Parasitol, 34, 4, pp. 310-321, (2018); Lau C, Aubry M, Musso D, Teissier A, Paulous S, Despres P, Et al., New evidence for endemic circulation of Ross River virus in the Pacific Islands and the potential for emergence, Int J Infect Dis, 57, pp. 73-76, (2017); Zaid A, Burt FJ, Liu X, Poo YS, Zandi K, Suhrbier A, Et al., Arthritogenic alphaviruses: epidemiological and clinical perspective on emerging arboviruses, Lancet Infect Dis, (2020); Henss L, Yue C, Kandler J, Faddy HM, Simmons G, Panning M, Et al., Establishment of an alphavirus-specific neutralization assay to distinguish infections with different members of the Semliki Forest com-plex, Viruses, 11, 1, (2019); Harley D, Sleigh A, Ritchie S., Ross River virus transmission, infection, and disease: a cross-disciplinary review, Clin Microbiol Rev, 14, 4, pp. 909-932, (2001); Aaskov JG, Mataika JU, Lawrence GW, Rabukawaqa V, Tucker MM, Miles JA, Et al., An epidemic of Ross River virus infection in Fiji, 1979, Am J Trop Med Hyg, 30, 5, pp. 1053-1059, (1981); Rosen L, Gubler DJ, Bennett PH., Epidemic polyarthritis (Ross River) virus infection in the Cook Islands, Am J Trop Med Hyg, 30, 6, pp. 1294-1302, (1981); Hii J, Dyke T, Dagoro H, Sanders RC., Health impact assessments of malaria and Ross River virus infection in the Southern Highlands Province of Papua New Guinea, P N G Med J, 40, 1, pp. 14-25, (1997); Claflin SB, Webb CE., Ross River virus: Many vectors and unusual hosts make for an unpredictable pathogen, PLoS Pathog, 11, 9, (2015); Klapsing P, MacLean JD, Glaze S, McClean KL, Drebot MA, Lanciotti RS, Et al., Ross River virus disease reemergence, Fiji, 2003–2004, Emerg Infect Dis, 11, 4, pp. 613-615, (2005); Aubry M, Finke J, Teissier A, Roche C, Broult J, Paulous S, Et al., Silent circulation of Ross River Virus in French Polynesia, Int J Infect Dis, 37, pp. 19-24, (2015); Franz AW, Kantor AM, Passarelli AL, Clem RJ., Tissue barriers to arbovirus infection in mosquitoes, Viruses, 7, 7, pp. 3741-3767, (2015); Dong S, Kantor AM, Lin J, Passarelli AL, Clem RJ, Franz AW., Infection pattern and transmission potential of chikungunya virus in two New World laboratory-adapted Aedes aegypti strains, Sci Rep, 6, (2016); Merwaiss F, Filomatori CV, Susuki Y, Bardossy ES, Alvarez DE, Saleh MC., Chikungunya virus replication rate determines the capacity of crossing tissue barriers in mosquitoes, J Virol, 95, 3, (2021); Flies EJ, Lau CL, Carver S, Weinstein P., Another emerging mosquito-borne disease? Endemic Ross River virus transmission in the absence of marsupial reservoirs, BioScience, 68, 4, pp. 288-293, (2018); Nicholson J, Ritchie SA, van den Hurk AF., Aedes albopictus (Diptera: Culicidae) as a potential vector of endemic and exotic arboviruses in Australia, J Med Entomol, 51, 3, pp. 661-669, (2014); Harley D, Ritchie S, Phillips D, van den Hurk A., Mosquito isolates of Ross River virus from Cairns, Queensland, Australia, Am J Trop Med Hyg, 62, 5, pp. 561-565, (2000); Sam IC, Loong SK, Michael JC, Chua CL, Wan Sulaiman WY, Vythilingam I, Et al., Genotypic and phe-notypic characterization of chikungunya virus of different genotypes from Malaysia, PLoS One, 7, 11, (2012); Ahmad R, Suzilah I, Wan Najdah WMA, Topek O, Mustafakamal I, Lee HL., Factors determining dengue outbreak in Malaysia, PLoS One, 13, 2, (2018); Ali R, Azmi RA, Wasi Ahmad N, Abd Hadi A, Muhamed KA, Rasli R, Et al., Entomological surveillance associated with human Zika cases in Miri Sarawak, Malaysia, Am J Trop Med Hyg, 102, 5, pp. 964-970, (2020); Inglis TJ, Bradbury RS, McInnes RL, Frances SP, Merritt AJ, Levy A, Et al., Deployable molecular detec-tion of arboviruses in the Australian outback, Am J Trop Med Hyg, 95, 3, pp. 633-638, (2016); Tesh RB, Gajdusek DC, Garruto RM, Cross JH, Rosen L., The distribution and prevalence of group A arbovirus neutralizing antibodies among human populations in Southeast Asia and the Pacific islands, Am J Trop Med Hyg, 24, pp. 664-675, (1975); Sam IC, Montoya M, Chua CL, Chan YF, Pastor A, Harris E., Low seroprevalence rates of Zika virus in Kuala Lumpur, Malaysia, Trans R Soc Trop Med Hyg, 113, 11, pp. 678-684, (2019); Chua CL, Sam IC, Merits A, Chan YF., Antigenic variation of East/Central/South African and Asian chi-kungunya virus genotypes in neutralization by immune sera, PLoS Negl Trop Dis, 10, 8, (2016); Maharaj PD, Bolling BG, Anishchenko M, Reisen WK, Brault AC., Genetic determinants of differential oral infection phenotypes of West Nile and St. Louis encephalitis viruses in Culex spp. mosquitoes, Am J Trop Med Hyg, 91, 5, pp. 1066-1072, (2014); Lei C, Sun X., Comparing lethal dose ratios using probit regression with arbitrary slopes, BMC Pharmacol Toxicol, 19, 1, (2018); Vazeille M, Madec Y, Mousson L, Bellone R, Barre-Cardi H, Sousa CA, Et al., Zika virus threshold determines transmission by European Aedes albopictus mosquitoes, Emerg Microbes Infect, 8, 1, pp. 1668-1678, (2019); International airline activity-time series, (2022); Dieng H, Saifur RG, Hassan AA, Salmah MR, Boots M, Satho T, Et al., Indoor-breeding of Aedes albo-pictus in northern peninsular Malaysia and its potential epidemiological implications, PLoS One, 5, 7, (2010); Stephenson EB, Peel AJ, Reid SA, Jansen CC, McCallum H., The non-human reservoirs of Ross River virus: a systematic review of the evidence, Parasit Vectors, 11, 1, (2018); Ritchie SA, Fanning ID, Phillips DA, Standfast HA, McGinn D, Kay BH., Ross River virus in mosquitoes (Diptera:Culicidae) during the 1994 epidemic around Brisbane, Australia, J Med Entomol, 34, 2, pp. 156-159, (1997); Togami E, Gyawali N, Ong O, Kama M, Cao-Lormeau VM, Aubry M, Et al., First evidence of concurrent enzootic and endemic transmission of Ross River virus in the absence of marsupial reservoirs in Fiji, Int J Infect Dis, 96, pp. 94-96, (2020); Hanley KA, Monath TP, Weaver SC, Rossi SL, Richman RL, Vasilakis N., Fever versus fever: the role of host and vector susceptibility and interspecific competition in shaping the current and future distributions of the sylvatic cycles of dengue virus and yellow fever virus, Infect Genet Evol, 19, pp. 292-311, (2013); Vasilakis N, Cardosa J, Hanley KA, Holmes EC, Weaver SC., Fever from the forest: prospects for the continued emergence of sylvatic dengue virus and its impact on public health, Nat Rev Microbiol, 9, 7, pp. 532-541, (2011); Hugo LE, Prow NA, Tang B, Devine G, Suhrbier A., Chikungunya virus transmission between Aedes albopictus and laboratory mice, Parasit Vectors, 9, 1, (2016); Studdert MJ, Azuolas JK, Vasey JR, Hall RA, Ficorilli N, Huang JA., Polymerase chain reaction tests for the identification of Ross River, Kunjin and Murray Valley encephalitis virus infections in horses, Aust Vet J, 81, 1–2, pp. 76-80, (2003); Kay BH, Jennings CD., Enhancement or modulation of the vector competence of Ochlerotatus vigilax (Diptera: Culicidae) for Ross River virus by temperature, J Med Entomol, 39, 1, pp. 99-105, (2002); Mitchell CJ, Gubler DJ., Vector competence of geographic strains of Aedes albopictus and Aedes poly-nesiensis and certain other Aedes (Stegomyia) mosquitoes for Ross River virus, J Am Mosq Control Assoc, 3, 2, pp. 142-147, (1987); Mitchell CJ, Miller BR, Gubler DJ., Vector competence of Aedes albopictus from Houston, Texas, for dengue serotypes 1 to 4, yellow fever and Ross River viruses, J Am Mosq Control Assoc, 3, 3, pp. 460-465, (1987); Johnson PH, Hall-Mendelin S, Whelan PI, Frances SP, Jansen CC, Mackenzie DO, Et al., Vector competence of Australian Culex gelidus Theobald (Diptera:Culicidae) for endemic and exotic arboviruses, Aust J Entomol, 48, pp. 234-240, (2009); Pereira-Dos-Santos T, Roiz D, Lourenco-de-Oliveira R, Paupy C., A systematic review: Is Aedes albo-pictus an efficient bridge vector for zoonotic arboviruses?, Pathogens, 9, 4, (2020); Richards SL, Anderson SL, Lord CC, Smartt CT, Tabachnick WJ., Relationships between infection, dis-semination, and transmission of West Nile virus RNA in Culex pipiens quinquefasciatus (Diptera: Culici-dae), J Med Entomol, 49, 1, pp. 132-142, (2012); Diop F, Alout H, Diagne CT, Bengue M, Baronti C, Hamel R, Et al., Differential susceptibility and innate immune response of Aedes aegypti and Aedes albopictus to the Haitian strain of the Mayaro virus, Viruses, 11, 10, (2019); Khoo CC, Piper J, Sanchez-Vargas I, Olson KE, Franz AW., The RNA interference pathway affects mid-gut infection-and escape barriers for Sindbis virus in Aedes aegypti, BMC Microbiol, 10, (2010); Kelly EM, Moon DC, Bowers DF., Apoptosis in mosquito salivary glands: Sindbis virus-associated and tissue homeostasis, J Gen Virol, 93, pp. 2419-2424, (2012); Sanchez-Vargas I, Harrington LC, Black WCt, Olson KE., Analysis of salivary glands and saliva from Aedes albopictus and Aedes aegypti infected with chikungunya viruses, Insects, 10, 2, (2019); Sanchez-Vargas I, Olson KE, Black WCT., The genetic basis for salivary gland barriers to arboviral transmission, insects, 12, 1, (2021); Olson KE., Identification of salivary gland escape barriers to western equine encephalitis virus in the natural vector, Culex tarsalis, PLoS One, 17, 3, (2022); Tabachnick WJ., Nature, nurture and evolution of intra-species variation in mosquito arbovirus transmission competence, Int J Environ Res Public Health, 10, 1, pp. 249-277, (2013); Stapleford KA, Coffey LL, Lay S, Borderia AV, Duong V, Isakov O, Et al., Emergence and transmission of arbovirus evolutionary intermediates with epidemic potential, Cell Host Microbe, 15, 6, pp. 706-716, (2014); Farmer JF, Suhrbier A., Interpreting paired serology for Ross River virus and Barmah Forest virus dis-eases, Aust J Gen Pract, 48, 9, pp. 645-649, (2019); Fox JM, Huang L, Tahan S, Powell LA, Crowe JE, Wang D, Et al., A cross-reactive antibody protects against Ross River virus musculoskeletal disease despite rapid neutralization escape in mice, PLoS Pathog, 16, 8, (2020); Kay BH, Carley JG, Fanning ID, Filippich C., Quantitative studies of the vector competence of Aedes aegypti, Culex annulirostris and other mosquitoes (Diptera: Culicidae) with Murray Valley encephalitis and other Queensland arboviruses, J Med Entomol, 16, 1, pp. 59-66, (1979); Michie A, Dhanasekaran V, Lindsay MDA, Neville PJ, Nicholson J, Jardine A, Et al., Genome-scale phy-logeny and evolutionary analysis of Ross River virus reveals periodic sweeps of lineage dominance in Western Australia, 1977–2014, J Virol, 94, 2, (2020); Kelly H, Peck HA, Laurie KL, Wu P, Nishiura H, Cowling BJ., The age-specific cumulative incidence of infection with pandemic influenza H1N1 2009 was similar in various countries prior to vaccination, PLoS One, 6, 8, (2011); Saifur RG, Hassan AA, Dieng H, Ahmad H, Salmah MR, Satho T, Et al., Update on temporal and spatial abundance of dengue vectors in Penang, Malaysia, J Am Mosq Control Assoc, 28, 2, pp. 84-92, (2012); Chang MS, Jute N., Distribution and density of Aedes aegypti (L) and Aedes albopictus (Skuse) in Sara-wak, Med J Malaysia, 37, 3, pp. 205-210, (1982); Hossain I, Tambyah PA, Wilder-Smith A., Ross River virus disease in a traveler to Australia, J Travel Med, 16, 6, pp. 420-423, (2009); Dass S, Ngui R, Gill BS, Chan YF, Wan Sulaiman WY, Lim YAL, Et al., Spatiotemporal spread of chikun-gunya virus in Sarawak, Malaysia, Trans R Soc Trop Med Hyg, 115, 8, pp. 922-931, (2021); Ponlawat A, Harrington LC., Blood feeding patterns of Aedes aegypti and Aedes albopictus in Thailand, J Med Entomol, 42, 5, pp. 844-849, (2005)</t>
  </si>
  <si>
    <t xml:space="preserve">I.-C. Sam; Department of Medical Microbiology, Faculty of Medicine, Universiti Malaya, Kuala Lumpur, Malaysia; email: jicsam@ummc.edu.my</t>
  </si>
  <si>
    <t xml:space="preserve">2-s2.0-85164040851</t>
  </si>
  <si>
    <t xml:space="preserve">Punyapornwithaya V.; Thanapongtharm W.; Jainonthee C.; Chinsorn P.; Sagarasaeranee O.; Salvador R.; Arjkumpa O.</t>
  </si>
  <si>
    <t xml:space="preserve">Punyapornwithaya, Veerasak (34973240100); Thanapongtharm, Weerapong (35622636100); Jainonthee, Chalita (57219575516); Chinsorn, Pornpiroon (56582340700); Sagarasaeranee, Onpawee (57222738589); Salvador, Roderick (55011095900); Arjkumpa, Orapun (56523288300)</t>
  </si>
  <si>
    <t xml:space="preserve">34973240100; 35622636100; 57219575516; 56582340700; 57222738589; 55011095900; 56523288300</t>
  </si>
  <si>
    <t xml:space="preserve">Time series analysis and forecasting of the number of canine rabies confirmed cases in Thailand based on national-level surveillance data</t>
  </si>
  <si>
    <t xml:space="preserve">Introduction: Rabies, a deadly zoonotic viral disease, accounts for over 50,000 fatalities globally each year. This disease predominantly plagues developing nations, with Thailand being no exception. In the current global landscape, concerted efforts are being mobilized to curb human mortalities attributed to animal-transmitted rabies. For strategic allocation and optimization of resources, sophisticated and accurate forecasting of rabies incidents is imperative. This research aims to determine temporal patterns, and seasonal fluctuations, and project the incidence of canine rabies throughout Thailand, using various time series techniques. Methods: Monthly total laboratory-confirmed rabies cases data from January 2013 to December 2022 (full dataset) were split into the training dataset (January 2013 to December 2021) and the test dataset (January to December 2022). Time series models including Seasonal Autoregressive Integrated Moving Average (SARIMA), Neural Network Autoregression (NNAR), Error Trend Seasonality (ETS), the Trigonometric Exponential Smoothing State-Space Model with Box-Cox transformation, ARMA errors, Trend and Seasonal components (TBATS), and Seasonal and Trend Decomposition using Loess (STL) were used to analyze the training dataset and the full dataset. The forecast values obtained from the time series models applied to the training dataset were compared with the actual values from the test dataset to determine their predictive performance. Furthermore, the forecast projections from January 2023 to December 2025 were generated from models applied to the full dataset. Results: The findings revealed a total of 4,678 confirmed canine rabies cases during the study duration, with apparent seasonality in the data. Among the models tested with the test dataset, TBATS exhibited superior predictive accuracy, closely trailed by the SARIMA model. Based on the full dataset, TBATS projections suggest an annual average of approximately 285 canine rabies cases for the years 2023 to 2025, translating to a monthly average of 23 cases (range: 18–30). In contrast, SARIMA projections averaged 277 cases annually (range: 208–214). Discussion: This research offers a new perspective on disease forecasting through advanced time series methodologies. The results should be taken into consideration when planning and conducting rabies surveillance, prevention, and control activities. Copyright © 2023 Punyapornwithaya, Thanapongtharm, Jainonthee, Chinsorn, Sagarasaeranee, Salvador and Arjkumpa.</t>
  </si>
  <si>
    <t xml:space="preserve">Thailand</t>
  </si>
  <si>
    <t xml:space="preserve">Frontiers in Veterinary Science</t>
  </si>
  <si>
    <t xml:space="preserve">10.3389/fvets.2023.1294049</t>
  </si>
  <si>
    <t xml:space="preserve">https://www.scopus.com/inward/record.uri?eid=2-s2.0-85179333996&amp;doi=10.3389%2ffvets.2023.1294049&amp;partnerID=40&amp;md5=4ee3894c93ee9c599805a18878443d92</t>
  </si>
  <si>
    <t xml:space="preserve">Research Center for Veterinary Biosciences and Veterinary Public Health, Faculty of Veterinary Medicine, Chiang Mai University, Chiang Mai, Thailand; Veterinary Public Health and Food Safety Centre for Asia Pacific, Faculty of Veterinary Medicine, Chiang Mai University, Chiang Mai, Thailand; Department of Veterinary Biosciences and Veterinary Public Health, Faculty of Veterinary Medicine, Chiang Mai University, Chiang Mai, Thailand; Department of Livestock Development, Bangkok, Thailand; Companion Disease Control Division, Bureau of Disease Control and Veterinary Services, Department of Livestock Development, Bangkok, Thailand; College of Veterinary Science and Medicine, Central Luzon State University, Science City of Muñoz, Nueva Ecija, Philippines; The 4th Regional Livestock Office, Department of Livestock Development, Khon Kaen, Thailand</t>
  </si>
  <si>
    <t xml:space="preserve">Punyapornwithaya V., Research Center for Veterinary Biosciences and Veterinary Public Health, Faculty of Veterinary Medicine, Chiang Mai University, Chiang Mai, Thailand, Veterinary Public Health and Food Safety Centre for Asia Pacific, Faculty of Veterinary Medicine, Chiang Mai University, Chiang Mai, Thailand, Department of Veterinary Biosciences and Veterinary Public Health, Faculty of Veterinary Medicine, Chiang Mai University, Chiang Mai, Thailand; Thanapongtharm W., Department of Livestock Development, Bangkok, Thailand; Jainonthee C., Research Center for Veterinary Biosciences and Veterinary Public Health, Faculty of Veterinary Medicine, Chiang Mai University, Chiang Mai, Thailand, Veterinary Public Health and Food Safety Centre for Asia Pacific, Faculty of Veterinary Medicine, Chiang Mai University, Chiang Mai, Thailand; Chinsorn P., Companion Disease Control Division, Bureau of Disease Control and Veterinary Services, Department of Livestock Development, Bangkok, Thailand; Sagarasaeranee O., Companion Disease Control Division, Bureau of Disease Control and Veterinary Services, Department of Livestock Development, Bangkok, Thailand; Salvador R., College of Veterinary Science and Medicine, Central Luzon State University, Science City of Muñoz, Nueva Ecija, Philippines; Arjkumpa O., The 4th Regional Livestock Office, Department of Livestock Development, Khon Kaen, Thailand</t>
  </si>
  <si>
    <t xml:space="preserve">confirmed cases; forecasting; rabies; Thailand; time series model</t>
  </si>
  <si>
    <t xml:space="preserve">active surveillance; ARMA error; Article; canine rabies; carcass; diagnostic procedure; disease surveillance; error trend seasonality; fatality; fluorescent antibody technique; forecasting; head; incidence; information processing; inoculation; laboratory diagnosis; mean absolute error; neural network autoregression; nonhuman; prevention and control; rabies; resource allocation; sample; seasonal and trend decomposition using loess; seasonal autoregressive integrated moving average; seasonal variation; strategic planning; Thailand; time series analysis; trend and seasonal component; trigonometric exponential smoothing state-space model with box cox transformation; veterinarian; veterinary clinic</t>
  </si>
  <si>
    <t xml:space="preserve">Chiang Mai University, CMU, (R66IN00356)</t>
  </si>
  <si>
    <t xml:space="preserve">The author(s) declare financial support was received for the research, authorship, and/or publication of this article. The authors are grateful for research funding from Chiang Mai University (Grant: R66IN00356). </t>
  </si>
  <si>
    <t xml:space="preserve">Riccardi N., Giacomelli A., Antonello R.M., Gobbi F., Angheben A., Rabies in Europe: an epidemiological and clinical update, Eur J Intern Med, 88, pp. 15-20, (2021); Singh R., Singh K.P., Cherian S., Saminathan M., Kapoor S., Manjunatha Reddy G., Et al., Rabies–epidemiology, pathogenesis, public health concerns and advances in diagnosis and control: a comprehensive review, Vet Q, 37, pp. 212-251, (2017); Bourhy H., Dautry-Varsat A., Hotez P.J., Salomon J., Rabies, still neglected after 125 years of vaccination, PLoS Negl Trop Dis, 4, (2010); Ghosh S., Rana M., Islam M., Chowdhury S., Haider N., Kafi M.A.H., Et al., Trends and clinico-epidemiological features of human rabies cases in Bangladesh 2006–2018, Sci Rep, 10, pp. 1-11, (2020); (2019); Kanankege K.S.T., Errecaborde K.M., Wiratsudakul A., Wongnak P., Yoopatthanawong C., Thanapongtharm W., Et al., Identifying high-risk areas for dog-mediated rabies using Bayesian spatial regression, One Health, 15, (2022); Mitmoonpitak C., Tepsumethanon V., Wilde H., Rabies in Thailand, Epidemiol Infect, 120, pp. 165-169, (1998); Leelahapongsathon K., Kasemsuwan S., Pinyopummintr T., Boodde O., Phawaphutayanchai P., Aiyara N., Et al., Humoral immune response of Thai dogs after oral vaccination against rabies with the SPBN GASGAS vaccine strain, Vaccines, 8, (2020); Thanapongtharm W., Suwanpakdee S., Chumkaeo A., Gilbert M., Wiratsudakul A., Current characteristics of animal rabies cases in Thailand and relevant risk factors identified by a spatial modeling approach, PLoS Negl Trop Dis, 15, (2021); Premashthira S., Suwanpakdee S., Thanapongtharm W., Sagarasaeranee O., Thichumpa W., Sararat C., Et al., The impact of socioeconomic factors on knowledge, attitudes, and practices of dog owners on dog rabies control in Thailand, Front Vet Sci, 8, (2021); Kahn S., Stuardo L., Rahman S., OIE guidelines on dog population control, Dev Biol, 131, pp. 511-516, (2008); Kawaya E.K., Marcotty T., Mfumu-Kazadi L.M., Van Gucht S., Kirschvink N., Factors of maintenance of rabies transmission in dogs in Kinshasa, Democratic Republic of the Congo, Prev Vet Med, 176, (2020); Hyndman R.J., Athanasopoulos G., Forecasting: Principles and Practice, (2018); Ward M.P., Iglesias R.M., Brookes V.J., Autoregressive models applied to time-series data in veterinary science, Front Vet Sci, 7, (2020); Abotaleb M., Makarovskikh T., System for forecasting COVID-19 cases using time-series and neural networks models, Eng Proc, 5, (2021); Khan F.M., Gupta R., Arima, NAR based prediction model for time series analysis of COVID-19 cases in India, J Saf Sci Resil, 1, pp. 12-18, (2020); Mavragani A., Gkillas K., COVID-19 predictability in the United States using Google Trends time series, Sci Rep, 10, pp. 1-12, (2020); Talkhi N., Fatemi N.A., Ataei Z., Nooghabi M.J., Modeling and forecasting number of confirmed and death caused COVID-19 in IRAN: a comparison of time series forecasting methods, Biomed Signal Process Control, 66, (2021); Yu C., Xu C., Li Y., Yao S., Bai Y., Li J., Et al., Time series analysis and forecasting of the hand-foot-mouth disease morbidity in China using an advanced exponential smoothing state space TBATS model, Infect Drug Resist, 14, (2021); Gandhi N., Armstrong L.J., A review of the application of data mining techniques for decision making in agriculture, 2016 2nd International Conference on Contemporary Computing and Informatics (IC3I), pp. 1-6, (2016); Pope III C.A., Schwartz J., Time series for the analysis of pulmonary health data, Am J Respir Crit Care Med, 154, (1996); He J., Wei X., Yin W., Wang Y., Qian Q., Sun H., Et al., Forecasting scrub typhus cases in eight high-risk counties in China: evaluation of time-series model performance, Front Environ Sci, 9, (2022); Punyapornwithaya V., Arjkumpa O., Buamithup N., Kuatako N., Klaharn K., Sansamur C., Et al., Forecasting of daily new lumpy skin disease cases in Thailand at different stages of the epidemic using fuzzy logic time series, NNAR, and ARIMA methods, Prev Vet Med, 217, (2023); Ortega-Sanchez R., Barcenas-Reyes I., Canto-Alarcon G.J., Luna-Cozar J.E.R.-A., Contreras-Magallanes Y.G., Gonzalez-Ruiz S., Et al., Descriptive and time-series analysis of rabies in different animal species in Mexico, Front Vet Sci, 9, (2022); Blanc E., Reilly J., Approaches to assessing climate change impacts on agriculture: an overview of the debate, Rev Environ Econ Policy, 11, pp. 247-257, (2020); Ding Y., Wang L., Li Y., Li D., Model predictive control and its application in agriculture: a review, Comput Electron Agric, 151, pp. 104-117, (2018); Mishra P., Al Khatib A.M.G., Lal P., Anwar A., Nganvongpanit K., Abotaleb M., Et al., An overview of pulses production in India: retrospect and prospects of the future food with an application of hybrid models, Natl Acad Sci Lett, 46, pp. 367-374, (2023); Punyapornwithaya V., Jampachaisri K., Klaharn K., Sansamur C., Forecasting of milk production in northern Thailand using seasonal autoregressive integrated moving average, error trend seasonality, and hybrid models, Front Vet Sci, 8, (2021); Molefi M., Tlhakanelo J.T., Phologolo T., Hamda S.G., Masupe T., Tsima B., Et al., The impact of China's lockdown policy on the incidence of COVID-19: an interrupted time series analysis, Biomed Res Int, 2021, (2021); Iwata K., Doi A., Miyakoshi C., Was school closure effective in mitigating coronavirus disease 2019 (COVID-19)? Time series analysis using Bayesian inference, Int J Infect Dis, 99, pp. 57-61, (2020); Siedner M.J., Harling G., Reynolds Z., Gilbert R.F., Haneuse S., Venkataramani A.S., Et al., Social distancing to slow the US COVID-19 epidemic: longitudinal pretest-posttest comparison group study, PLoS Med, 17, (2020); Punyapornwithaya V., Mishra P., Sansamur C., Pfeiffer D., Arjkumpa O., Prakotcheo R., Et al., Time-series analysis for the number of foot and mouth disease outbreak episodes in cattle farms in Thailand using data from 2010-2020, Viruses, 14, (2022); Ollech D., Package 'seastests', (2022); Liao Z., Zhang X., Zhang Y., Peng D., Seasonality and trend forecasting of tuberculosis incidence in Chongqing, China, Interdiscip Sci, 11, pp. 77-85, (2019); Zhai M., Li W., Tie P., Wang X., Xie T., Ren H., Et al., Research on the predictive effect of a combined model of ARIMA and neural networks on human brucellosis in Shanxi province, China: a time series predictive analysis, BMC Infect Dis, 21, pp. 1-12, (2021); Hyndman R., Koehler A.B., Ord J.K., Snyder R.D., Forecasting With Exponential Smoothing: The State Space Approach, (2008); De Livera A.M., Hyndman R.J., Snyder R.D., Forecasting time series with complex seasonal patterns using exponential smoothing, J Am Stat Assoc, 106, pp. 1513-1527, (2011); Cleveland R.B., Cleveland W.S., McRae J.E., Terpenning I., STL: a seasonal-trend decomposition procedure based on Loess, J Off Stat, 6, pp. 3-73, (1990); Theodosiou M., Forecasting monthly and quarterly time series using STL decomposition, Int J Forecast, 27, pp. 1178-1195, (2011); Hyndman R.J., Athanasopoulos G., Bergmeir C., Caceres G., Chhay L., O'Hara-Wild M., Et al., Package ‘forecast', (2020); Komol P., Sommanosak S., Jaroensrisuwat P., Wiratsudakul A., Leelahapongsathon K., The spread of rabies among dogs in Pranburi district, Thailand: a metapopulation modeling approach, Front Vet Sci, 7, (2020); Annual Epidemiological Surveillance Report 2017, (2018); Annual Epidemiological Surveillance Report 2018, (2019); Naim I., Mahara T., Idrisi A.R., Effective short-term forecasting for daily time series with complex seasonal patterns, Procedia Comput Sci, 132, pp. 1832-1841, (2018); Assimakopoulos V., Nikolopoulos K., The theta model: a decomposition approach to forecasting, Int J Forecast, 16, pp. 521-530, (2000); Ebhuoma O., Gebreslasie M., Magubane L., A seasonal autoregressive integrated moving average (SARIMA) forecasting model to predict monthly malaria cases in KwaZulu-Natal, South Africa, S Afr Med J, 108, pp. 573-578, (2018); Mao Q., Zhang K., Yan W., Cheng C., Forecasting the incidence of tuberculosis in China using the seasonal auto-regressive integrated moving average (SARIMA) model, J Infect Public Health, 11, pp. 707-712, (2018); Hampson K., Coudeville L., Lembo T., Sambo M., Kieffer A., Attlan M., Et al., Estimating the global burden of endemic canine rabies, PLoS Negl Trop Dis, 9, (2015); Durr S., Naissengar S., Mindekem R., Diguimbye C., Niezgoda M., Kuzmin I., Et al., Rabies diagnosis for developing countries, PLoS Negl Trop Dis, 2, (2008); Sansamur C., Wiratsudakul A., Charoenpanyanet A., Punyapornwithaya V., Estimating the number of farms experienced foot and mouth disease outbreaks using capture-recapture methods, Trop Anim Health Prod, 53, pp. 1-9, (2021); Traore A., Keita Z., Lechenne M., Mauti S., Hattendorf J., Zinsstag J., Rabies surveillance-response in Mali in the past 18 years and requirements for the future, Acta Trop, 210, (2020); Perone G., Comparison of ARIMA, ETS, NNAR, TBATS and hybrid models to forecast the second wave of COVID-19 hospitalizations in Italy, Eur J Health Econ, 357, pp. 1-24, (2021); Nason G.P., Sachs R., Wavelets in time-series analysis, Philos Trans Royal Soc A, 357, pp. 2511-2526, (1999)</t>
  </si>
  <si>
    <t xml:space="preserve">V. Punyapornwithaya; Research Center for Veterinary Biosciences and Veterinary Public Health, Faculty of Veterinary Medicine, Chiang Mai University, Chiang Mai, Thailand; email: veerasak.p@cmu.ac.th; O. Arjkumpa; The 4th Regional Livestock Office, Department of Livestock Development, Khon Kaen, Thailand; email: arjkumpa@hotmail.com</t>
  </si>
  <si>
    <t xml:space="preserve">Front. Vet. Sci.</t>
  </si>
  <si>
    <t xml:space="preserve">2-s2.0-85179333996</t>
  </si>
  <si>
    <t xml:space="preserve">Essien-Baidoo S.; Essuman M.A.; Tee J.; Ephraim R.K.D.; Mensah L.B.B.; Amponsah S.B.; Afrifa J.</t>
  </si>
  <si>
    <t xml:space="preserve">Essien-Baidoo, Samuel (55759553300); Essuman, Mainprice Akuoko (57226714838); Tee, Joseph (59263804700); Ephraim, Richard K.D. (26664509500); Mensah, Loretta Betty Blay (59156705500); Amponsah, Seth Boakye (58539703300); Afrifa, Justice (57193712645)</t>
  </si>
  <si>
    <t xml:space="preserve">55759553300; 57226714838; 59263804700; 26664509500; 59156705500; 58539703300; 57193712645</t>
  </si>
  <si>
    <t xml:space="preserve">Toward schistosomiasis control: Assessment of infection-associated voiding symptoms, quality of life and the impact of exercise coupled with water intake on egg recovery in an endemic community in Ghana</t>
  </si>
  <si>
    <t xml:space="preserve">Assessment of the burden of disease and techniques for clinical diagnosis could ultimately help in schistosomiasis control. This study assessed the impact of exercises and water intake on ova recovery during laboratory diagnosis and schistosomiasis-associated urinary symptoms and quality of life (QOL) among inhabitants of Dendo, an endemic community in Ghana. The clinical findings and responses of 400 randomly selected participants were used for the study. The International Prostate Symptoms Score (I-PSS) was used to collect information on participants’ self-reported urinary symptoms and QOL. Finally, urine samples were collected on two consecutive days, initially without exercise and water intake and then after exercise and water intake, and about 10 ml of it were microscopically examined for the presence and quantification of ova. The data collected from the study were analyzed using IBM SPSS. Schistosoma haematobium egg recovery increased significantly (p &lt; 0.001) from 206 (51.5%) to 220 (55.0%) after exercise and water intake with the highest increase being observed among participants less than 20 years (53.3% to 57.1% after exercise and water intake). As high as 90.3% and 56.8% of Schistosoma-positive participants reported IPSS&gt;7 (symptomatic voiding disorders) and QOL≥4 (mostly dissatisfied or unhappy QOL) respectively. The commonest voiding symptoms reported were nocturia (98.9%) and incomplete emptying (79.6%). Positive correlations between egg count, IPSS score, and QOL were observed. This study provides important evidence for the inclusion of exercise and water intake in the microscopic diagnosis of Schistosoma haematobium and reveals that schistosomiasis significantly impacts the affected individuals’ urinary health and overall quality of life. © 2023 Essien-Baidoo et al. This is an open access article distributed under the terms of the Creative Commons Attribution License, which permits unrestricted use, distribution, and reproduction in any medium, provided the original author and source are credited.</t>
  </si>
  <si>
    <t xml:space="preserve">Ghana</t>
  </si>
  <si>
    <t xml:space="preserve">e0002514</t>
  </si>
  <si>
    <t xml:space="preserve">10.1371/journal.pgph.0002514</t>
  </si>
  <si>
    <t xml:space="preserve">https://www.scopus.com/inward/record.uri?eid=2-s2.0-85195218575&amp;doi=10.1371%2fjournal.pgph.0002514&amp;partnerID=40&amp;md5=73d5b9dc31eae28dd7f6e842c15f0144</t>
  </si>
  <si>
    <t xml:space="preserve">Department of Medical Laboratory Science, School of Allied Health Science, College of Health and Allied Sciences, University of Cape Coast, Cape Coast, Ghana</t>
  </si>
  <si>
    <t xml:space="preserve">Essien-Baidoo S., Department of Medical Laboratory Science, School of Allied Health Science, College of Health and Allied Sciences, University of Cape Coast, Cape Coast, Ghana; Essuman M.A., Department of Medical Laboratory Science, School of Allied Health Science, College of Health and Allied Sciences, University of Cape Coast, Cape Coast, Ghana; Tee J., Department of Medical Laboratory Science, School of Allied Health Science, College of Health and Allied Sciences, University of Cape Coast, Cape Coast, Ghana; Ephraim R.K.D., Department of Medical Laboratory Science, School of Allied Health Science, College of Health and Allied Sciences, University of Cape Coast, Cape Coast, Ghana; Mensah L.B.B., Department of Medical Laboratory Science, School of Allied Health Science, College of Health and Allied Sciences, University of Cape Coast, Cape Coast, Ghana; Amponsah S.B., Department of Medical Laboratory Science, School of Allied Health Science, College of Health and Allied Sciences, University of Cape Coast, Cape Coast, Ghana; Afrifa J., Department of Medical Laboratory Science, School of Allied Health Science, College of Health and Allied Sciences, University of Cape Coast, Cape Coast, Ghana</t>
  </si>
  <si>
    <t xml:space="preserve">Njoku J, Ajayi J, Pitman S, Dakul D, Njoku O., Urogenital schistosomiasis in females from some suburban communities of Jos, north central Nigeria, (2014); van der Werf MJ, de Vlas SJ, Brooker S, Looman CW, Nagelkerke NJ, Habbema JDF, Et al., Quantification of clinical morbidity associated with schistosome infection in sub-Saharan Africa, Acta tropica, 86, 2–3, pp. 125-139, (2003); Gbalegba NGGC, Silue KD, Ba O, Ba H, Tian-Bi NTY, Yapi GY, Et al., Prevalence and seasonal transmission of Schistosoma haematobium infection among school-aged children in Kaedi town, southern Mauritania, Parasites &amp; Vectors, 10, (2017); Utzinger J, Becker SL, van Lieshout L, van Dam GJ, Knopp S., New diagnostic tools in schistosomiasis, Clinical microbiology and infection, 21, 6, pp. 529-542, (2015); Zakhary K., Factors affecting the prevalence of schistosomiasis in the Volta Region of Ghana, McGill Journal of Medicine, 3, 2, pp. 93-101, (1997); Yirenya-Tawiah D, Rashid AA, Futagbi G, Aboagye I, Dade M., Prevalence of snail vectors of schistosomiasis in the Kpong Head Pond, Ghana, West African Journal of Applied Ecology, 18, pp. 39-45, (2011); World Schistosomiasis Risk Chart.pdf, pp. 1-5, (2015); Cunningham LJ, Campbell SJ, Armoo S, Koukounari A, Watson V, Selormey P, Et al., Assessing expanded community wide treatment for schistosomiasis: Baseline infection status and self-reported risk factors in three communities from the Greater Accra region, Ghana, PLoS neglected tropical diseases, 14, 4, (2020); Armoo S, Cunningham LJ, Campbell SJ, Aboagye FT, Boampong FK, Hamidu BA, Et al., Detecting Schistosoma mansoni infections among pre-school-aged children in southern Ghana: a diagnostic comparison of urine-CCA, real-time PCR and Kato-Katz assays, BMC Infectious Diseases, 20, 1, (2020); Dassah S, Asiamah GK, Harun V, Appiah-Kubi K, Oduro A, Asoala V, Et al., Urogenital schistosomiasis transmission, malaria and anemia among school-age children in Northern Ghana, Heliyon, 8, 9, (2022); Sarpong-Baidoo M, Ofori MF, Asuming-Brempong EK, Kyei-Baafour E, Idun BK, Owusu-Frimpong I, Et al., Associations of IL13 gene polymorphisms and immune factors with Schistosoma haematobium infection in schoolchildren in four schistosomiasis-endemic communities in Ghana, PLOS Neglected Tropical Diseases, 15, 6, (2021); Anyan WK, Pulkkila BR, Dyra CE, Price M, Naples JM, Quartey JK, Et al., Assessment of dual schistosome infection prevalence from urine in an endemic community of Ghana by molecular diagnostic approach, Parasite Epidemiology and Control, 9, (2020); Anyan WK, Abonie SD, Aboagye-Antwi F, Tettey MD, Nartey LK, Hanington PC, Et al., Concurrent Schistosoma mansoni and Schistosoma haematobium infections in a peri-urban community along the Weija dam in Ghana: A wake up call for effective National Control Programme, Acta Tropica, 199, (2019); Botelho MC, Machado JC, Brindley PJ, Correia da Costa JM., Targeting molecular signaling pathways of Schistosoma haemotobium infection in bladder cancer, Virulence, 2, 4, pp. 267-279, (2011); Nmorsi O, Ukwandu N, Ogoinja S, Blackie H, Odike M., Urinary tract pathology in Schistosoma haematobium infected rural Nigerians, Southeast Asian journal of tropical medicine and public health, 38, 1, (2007); Terer CC, Bustinduy AL, Magtanong RV, Muhoho Ne, Mungai PLMuchiri EM, Et al., Evaluation of the health-related quality of life of children in Schistosoma haematobium-endemic communities in Kenya: a cross-sectional study, PLoS neglected tropical diseases, 7, 3, (2013); Furst T, Silue KD, Ouattara M, N'Goran DN, Adiossan LG, N'Guessan Y, Et al., Schistosomiasis, soil-transmitted helminthiasis, and sociodemographic factors influence quality of life of adults in Côte d’Ivoire, (2012); Ferrara D, Esposito F, Di Serafino M, Gullotto C, Baglioni A, Martinelli L, Et al., Sonographic early findings in a case of bladder schistosomiasis, Journal of Ultrasound, 21, 3, pp. 259-263, (2018); Botelho MC, Figueiredo J, Alves H., Bladder cancer and urinary Schistosomiasis in Angola, Journal of nephrology research, 1, 1, pp. 22-24, (2015); Mohammed AZ, Edino ST, Samaila AA., Surgical pathology of schistosomiasis, Journal of the National Medical Association, 99, 5, (2007); Rambau PF, Chalya PL, Jackson K., Schistosomiasis and urinary bladder cancer in North Western Tanzania: a retrospective review of 185 patients, Infectious Agents and Cancer, 8, 1, (2013); Roriz SJ, Pereira TA, Vaz de Melo Trindade G, Caporali JFDM, Lambertucci JR., Quality of life assessment among patients living with hepatosplenic schistosomiasis and schistosomal myeloradiculopathy, Frontiers in Medicine, 8, (2021); Ibironke OA, Phillips AE, Garba A, Lamine SM, Shiff C., Diagnosis of Schistosoma haematobium by Detection of Specific DNA Fragments from Filtered Urine Samples, The American Journal of Tropical Medicine and Hygiene, 84, 6, pp. 998-1001, (2011); Helminth control in school-age children: a guide for managers of control pro-grammes, (2011); Doehring E, Feldmeier H, Daffalla AA., Day-to-day variation and circadian rhythm of egg excretion in urinary schistosomiasis in the Sudan, Annals of Tropical Medicine &amp; Parasitology, 77, 6, pp. 587-594, (1983); Coulibaly JT, Andrews JR, Lo NC, N'Goran EK, Utzinger J, Keiser J, Et al., Schistosoma haematobium Egg Excretion does not Increase after Exercise: Implications for Diagnostic Testing, The American Journal of Tropical Medicine and Hygiene, 98, 3, (2018); 2010 population and housing census: District analytical report—South Tongu District, Ghana Statistical Service, 2014, pp. 1-89; Ayeh-Kumi PF, Addo-Osafo K, Attah SK, Tetteh-Quarcoo PB, Obeng-Nkrumah N, Awuah-Mensah G, Et al., Malaria, helminths and malnutrition: a cross-sectional survey of school children in the South-Tongu district of Ghana, BMC Research Notes, 9, 1, (2016); Baido I, Adeti PJ., Prevalence of urinary schistosomiasis in Comboni and Toklokpo Junior High Schools (JHS) at Sogakope, African Journal of Clinical and Experimental Microbiology, 12, 3, (2011); Orish VN, Ofori-Amoah J, Amegan-Aho KH, Mac-Ankrah L, Jamfaru I, Afeke I, Et al., Low prevalence of helminth infections among primary school children in the Volta Region of Ghana, Asian Journal of Medicine and Health, 5, 3, pp. 1-9, (2017); Prevention and control of schistosomiasis and soil-transmitted helminthiasis: report of a WHO expert committee, (2002); Nyarko R, Torpey K, Ankomah A., Schistosoma haematobium, Plasmodium falciparum infection and anaemia in children in Accra, Ghana, Tropical Diseases, Travel Medicine and Vaccines, 4, 1, (2018); Kjetland EF, Leutscher PD, Ndhlovu PD., A review of female genital schistosomiasis, Trends in parasitology, 28, 2, pp. 58-65, (2012); Zaghloul MS, Zaghloul TM, Bishr MK, Baumann BC., Urinary schistosomiasis and the associated bladder cancer: update, Journal of the Egyptian National Cancer Institute, 32, 1, (2020); Pillay P, Taylor M, Zulu SG, Gundersen SG, Verweij JJ, Hoekstra P, Et al., Real-time polymerase chain reaction for detection of Schistosoma DNA in small-volume urine samples reflects focal distribution of urogenital Schistosomiasis in primary school girls in KwaZulu Natal, South Africa, The American journal of tropical medicine and hygiene, 90, 3, pp. 546-552, (2014); Watanabe K, Muhoho ND, Mutua WR, Kiliku FM, Awazawa T, Moji K, Et al., Assessment of Voiding Function in Inhabitants Infected with Schistosoma haematobium, Journal of Tropical Pediatrics, 57, 4, pp. 263-268, (2010); Dysuria Wrenn K., Frequency, and Urgency. Clinical Methods: The History, Physical, and Laboratory Examinations 3rd edition, (1990); Zeng R., Dysuria Handbook of clinical diagnostics, pp. 81-82, (2020); Bosch JLHR Weiss JP., The Prevalence and Causes of Nocturia, The Journal of Urology, 189, 1, pp. S86-S92, (2013); Barsoum RS., Urinary Schistosomiasis: Review, Journal of Advanced Research, 4, 5, pp. 453-459, (2013)</t>
  </si>
  <si>
    <t xml:space="preserve">S. Essien-Baidoo; Department of Medical Laboratory Science, School of Allied Health Science, College of Health and Allied Sciences, University of Cape Coast, Cape Coast, Ghana; email: session-baidoo@ucc.edu.gh</t>
  </si>
  <si>
    <t xml:space="preserve">2-s2.0-85195218575</t>
  </si>
  <si>
    <t xml:space="preserve">Saxena S.; Sanyal P.; Bajpai M.; Prakash R.; Kumar S.</t>
  </si>
  <si>
    <t xml:space="preserve">Saxena, Shilpi (58849390900); Sanyal, Parikshit (57201373518); Bajpai, Mukul (58849159900); Prakash, Rajat (58710411800); Kumar, Shiv (58842973000)</t>
  </si>
  <si>
    <t xml:space="preserve">58849390900; 57201373518; 58849159900; 58710411800; 58842973000</t>
  </si>
  <si>
    <t xml:space="preserve">Trials and tribulations: Developing an artificial intelligence for screening malaria parasite from peripheral blood smears</t>
  </si>
  <si>
    <t xml:space="preserve">Background: Detection of malaria parasite from blood smears remains the gold standard for confirmation of diagnosis. Screening blood smears for malaria parasite has a sensitivity of 75 %, and requires intensive training of the laboratory technician. In the present study, we have attempted to develop an artificial intelligence to automate the process of malaria parasite detection. Methods: We acquired 352 images of Leishman–Giemsa-stained peripheral blood smears, containing either normal red blood cells (RBCs) or parasitised RBCs. With a trial and error approach, we developed five deep learning models: (A) Naive deep convolutional neural network (DCNN) for trophozoites, (B) Modified Inception V3 pretrained neural network (C) Combination of model A and B, (D) Segmentation of cells from the images through Watershed Transform and naive tri-class DCNN (normal RBCs, parasitised RBCs, WBC/platelets), and (E) A naive DCNN model to detect ring forms. The images were randomly split into training and test sets and training was imparted on all the models. After completion of training, performance of each model was assessed on the test set. Results: Overall, the best combination of sensitivity and specificity was seen in model D (85 % and 94 %, respectively) in detecting parasites; in addition to trophozoites, model D could also detect ring forms. The performance of model A, B &amp; C suffered from lack of either sensitivity or specificity. Conclusion: The present study represents the first step towards development of a complete module for screening malaria parasites from automated microphotography/whole slide images. © 2023</t>
  </si>
  <si>
    <t xml:space="preserve">Medical Journal Armed Forces India</t>
  </si>
  <si>
    <t xml:space="preserve">10.1016/j.mjafi.2023.10.007</t>
  </si>
  <si>
    <t xml:space="preserve">https://www.scopus.com/inward/record.uri?eid=2-s2.0-85183434286&amp;doi=10.1016%2fj.mjafi.2023.10.007&amp;partnerID=40&amp;md5=8b08560f9344a9c387815e8cb28cfe34</t>
  </si>
  <si>
    <t xml:space="preserve">Classified Specialist (Pathology) &amp; Trained in Hematopathology, Command Hospital (Western Command), Chandimandir, India; Classified Specialist (Pathology) &amp; Trained in Transplant Immunology, Command Hospital (Western Command), Chandimandir, India; Classified Specialist (Pathology &amp; Microbiology), Command Hospital (Western Command), Chandimandir, India; Commandant, Command Hospital (Western Command), Chandimandir, India; Graded Specialist (Pathology), Command Hospital (Western Command), Chandimandir, India</t>
  </si>
  <si>
    <t xml:space="preserve">Saxena S., Classified Specialist (Pathology) &amp; Trained in Hematopathology, Command Hospital (Western Command), Chandimandir, India; Sanyal P., Classified Specialist (Pathology) &amp; Trained in Transplant Immunology, Command Hospital (Western Command), Chandimandir, India; Bajpai M., Classified Specialist (Pathology &amp; Microbiology), Command Hospital (Western Command), Chandimandir, India; Prakash R., Commandant, Command Hospital (Western Command), Chandimandir, India; Kumar S., Graded Specialist (Pathology), Command Hospital (Western Command), Chandimandir, India</t>
  </si>
  <si>
    <t xml:space="preserve">Artificial intelligence; Blood smear; Machine learning; Malaria; Neural network</t>
  </si>
  <si>
    <t xml:space="preserve">World Malaria Report, (2022); Berzosa P., de Lucio A., Romay-Barja M., Et al., Comparison of three diagnostic methods (microscopy, RDT, and PCR) for the detection of malaria parasites in representative samples from Equatorial Guinea, Malar J, 17, (2018); Mouatcho J.C., Goldring J.P.D., Malaria rapid diagnostic tests: challenges and prospects, J Med Microbiol, 62, pp. 1491-1505, (2013); Rosebrock A., Deep learning and medical image analysis with keras, PyImageSearch, (2018); Rajaraman S., Antani S.K., Poostchi M., Silamut K., Hossain M.A., Maude R.J., Et al., Pre-trained convolutional neural networks as feature extractors toward improved malaria parasite detection in thin blood smear images, PeerJ, 6, (2018); Alzubaidi L., Zhang J., Humaidi A.J., Et al., Review of deep learning: concepts, CNN architectures, challenges, applications, future directions, J Big Data, 8, (2021); Taye M.M., Theoretical understanding of convolutional neural network: concepts, architectures, applications, future directions, Computation, 11, 3, (2023); Koepfli C., Robinson L.J., Rarau P., Salib M., Sambale N., Wampfler R., Et al., Blood-Stage Parasitaemia and Age Determine Plasmodium falciparum and P. vivax Gametocytaemia in Papua New Guinea, PLOS ONE, 10, 5, (2015); Szegedy C., Liu W., Jia Y., Sermanet P., Reed S., Anguelov D., Et al., Going deeper with convolutions, 2015 IEEE Conference on Computer Vision and Pattern Recognition (CVPR) [Internet], pp. 1-9, (2015); Krizhevsky A., Sutskever I., Hinton G.E., ImageNet classification with deep convolutional neural networks, Proceedings of the 25th International Conference on Neural Information Processing Systems, 1, (2012); Yao Y., Rosasco L., Caponnetto A., On early stopping in gradient descent learning, Constr Approx, 26, 2, pp. 289-315, (2007); Tek F.B., Dempster A.G., Kale I., Parasite detection and identification for automated thin blood film malaria diagnosis, Comput Vis Image Underst, 114, 1, pp. 21-32, (2010); Yu H., Yang F., Rajaraman S., Et al., Malaria Screener: a smartphone application for automated malaria screening, BMC Infect Dis, 20, 1, pp. 1-8, (2020); Zhao O.S., Kolluri N., Anand A., Et al., Convolutional neural networks to automate the screening of malaria in low-resource countries, PeerJ, 8, (2020)</t>
  </si>
  <si>
    <t xml:space="preserve">P. Sanyal; Classified Specialist (Pathology) &amp; Trained in Transplant Immunology, Command Hospital (Western Command), Chandimandir, India; email: cmacus@gmail.com</t>
  </si>
  <si>
    <t xml:space="preserve">MJAID</t>
  </si>
  <si>
    <t xml:space="preserve">Med. J. Armed Forces India</t>
  </si>
  <si>
    <t xml:space="preserve">2-s2.0-85183434286</t>
  </si>
  <si>
    <t xml:space="preserve">Ramakrishna M.M.; Karthikeyan V.</t>
  </si>
  <si>
    <t xml:space="preserve">Ramakrishna, Malige Mahadevaiah (57315029300); Karthikeyan, Vedanandam (56156796300)</t>
  </si>
  <si>
    <t xml:space="preserve">57315029300; 56156796300</t>
  </si>
  <si>
    <t xml:space="preserve">UChOA-ANN based effective diagnostic model for early detection and accurate prediction of dengue affected blood samples</t>
  </si>
  <si>
    <t xml:space="preserve">Dengue virus infection is one of the major worldwide health issues and a substantial epidemic infectious human disease. More than 2 billion humans live in dengue susceptible regions with an annual infection mortality rate is about 5%–20%. At the initial stages, it is difficult to differentiate dengue fever symptoms from other similar diseases. Therefore, early diagnosis of dengue disease can help in protecting human lives by making a preventive move before it turns into an infectious disease. Although early detection is critical to reducing dengue disease deaths, accurate dengue diagnosis requires a long time due to the numerous clinical examinations. For this, several techniques have been presented. But, the accuracy of these methods is not enough. Thus, this issue necessitates the development of a new diagnostic schema. Hence, to identify the dengue-affected blood samples effectively, Updated Chimp Optimization Algorithm-Artificial Neural Network (UChOA-ANN) based diagnostic model is proposed in this paper. UChOA-ANN-based diagnostic model has been implemented and validated for the early detection and accurate prediction of dengue disease. Here, to improve the performance of ANN, UChOA is used for selecting the weight parameters of ANN optimally. The results show that the proposed diagnostic model has achieved maximum sensitivity, specificity, and accuracy at 92%, 96%, and 94%, respectively. In addition, the results reveal that the proposed diagnostic model has outperformed other methods for detecting dengue-affected blood samples in terms of sensitivity, specificity, accuracy, PPV, NPV, FPR, FNR, and FDR. Our proposed diagnostic model has been capable to diagnose dengue in assisting doctors in its early stage with high accuracy. © 2023 John Wiley &amp; Sons, Ltd.</t>
  </si>
  <si>
    <t xml:space="preserve">Concurrency and Computation: Practice and Experience</t>
  </si>
  <si>
    <t xml:space="preserve">John Wiley and Sons Ltd</t>
  </si>
  <si>
    <t xml:space="preserve">e7597</t>
  </si>
  <si>
    <t xml:space="preserve">10.1002/cpe.7597</t>
  </si>
  <si>
    <t xml:space="preserve">https://www.scopus.com/inward/record.uri?eid=2-s2.0-85149951595&amp;doi=10.1002%2fcpe.7597&amp;partnerID=40&amp;md5=3b3450ed9abe82921f47c8ec1560f8c2</t>
  </si>
  <si>
    <t xml:space="preserve">Dr. M.G.R. Educational and Research Institute, Chennai, India</t>
  </si>
  <si>
    <t xml:space="preserve">Ramakrishna M.M., Dr. M.G.R. Educational and Research Institute, Chennai, India; Karthikeyan V., Dr. M.G.R. Educational and Research Institute, Chennai, India</t>
  </si>
  <si>
    <t xml:space="preserve">Artificial Neural Network; blood samples; dengue; diagnostic model; Updated Chimp Optimization Algorithm</t>
  </si>
  <si>
    <t xml:space="preserve">Blood; Diagnosis; Optimization; Viruses; Accurate prediction; Blood samples; Dengue; Dengue virus; Diagnostic model; Health issues; Network-based; Optimization algorithms; Updated chimp optimization algorithm; Virus infection; Neural networks</t>
  </si>
  <si>
    <t xml:space="preserve">Murhekar M., Joshua V., Kanagasabai K., Et al., Epidemiology of dengue fever in India, based on laboratory surveillance data, 2014–2017, Int J Infect Dis, 84, pp. S10-S14, (2019); Wang W.-H., Urbina A.N., Chang M.R., Et al., Dengue hemorrhagic fever – a systemic literature review of current perspectives on pathogenesis, prevention, and control, J Microbiol Immunol Infect, 53, 6, pp. 963-978, (2020); Sharp T.M., Anderson K.B., Katzelnick L.C., Et al., Knowledge gaps in the epidemiology of severe dengue impede vaccine evaluation, Lancet Infect Dis, 22, (2021); Kaur M., A brief study on dengue fever, Asian J Multidimens Res, 10, 11, pp. 724-730, (2021); Hashan M.R., Ghozy S., El-Qushayri A.E., Pial R.H., Hossain M.A., Al Kibria G.M., Association of dengue disease severity and blood group: a systematic review and meta-analysis, Rev Med Virol, 31, 1, pp. 1-9, (2021); Almezhghwi K., Serte S., Improved classification of white blood cells with the generative adversarial network and deep convolutional neural network, Comput Intell Neurosci, 2020, pp. 1-12, (2020); Lee-Sundlov M.M., Stowell S.R., Hoffmeister K.M., Multifaceted role of glycosylation in transfusion medicine, platelets, and red blood cells, J Thromb Haemost, 18, 7, pp. 1535-1547, (2020); Islam A., Cockcroft C., Elshazly S., Et al., Coagulopathy of dengue and COVID-19: clinical considerations, Trop Med Infect Dis, 7, 9, (2022); Haroon M., Jan H., Faisal S., Ali N., Kamran M., Ullah F., Dengue outbreak in Peshawar: clinical features and laboratory markers of dengue virus infection, J Infect Public Health, 12, 2, pp. 258-262, (2019); Kutlu H., Avci E., Ozyurt F., White blood cells detection and classification based on regional convolutional neural networks, Med Hypotheses, 135, (2020); Bolivar-Marin S., Bosch I., Narvaez C.F., Combination of the focus-forming assay and digital automated imaging analysis for the detection of dengue and Zika viral loads in cultures and acute disease, J Trop Med, 2022, pp. 1-11, (2022); Costa J., Ferreira E.C., Santos C., COVID-19, chikungunya, dengue and Zika diseases: an analytical platform based on MALDI-TOF MS, IR spectroscopy and RT-qPCR for accurate diagnosis and accelerate epidemics control, Microorganisms, 9, 4, (2021); Mayrose H., Sampathila N., Muralidhar Bairy G., Et al., Intelligent algorithm for detection of dengue using mobilenetv2-based deep features with lymphocyte nucleus, Exp Syst, (2021); Luo R., Fongwen N., Kelly-Cirino C., Harris E., Wilder-Smith A., Peeling R.W., Rapid diagnostic tests for determining dengue serostatus: a systematic review and key informant interviews, Clin Microbiol Infect, 25, 6, pp. 659-666, (2019); Chong Z.L., Sekaran S.D., Soe H.J., Peramalah D., Rampal S., Ng C.-W., Diagnostic accuracy and utility of three dengue diagnostic tests for the diagnosis of acute dengue infection in Malaysia, BMC Infect Dis, 20, 1, pp. 1-11, (2020); Safuan S.N.M., Md Tomari M.R., Nurshazwani W., Zakaria W., White blood cell (WBC) counting analysis in blood smear images using various color segmentation methods, Measurement, 116, pp. 543-555, (2018); Gambhir S., Kumar Y., Malik S., Yadav G., Malik A., Early diagnostics model for dengue disease using decision tree-based approaches, Pre-Screening Systems for Early Disease Prediction, Detection, and Prevention, pp. 69-87, (2019); Ramakrishna M.M., Karthikeyan V., Microscopic image processing system for detecting dengue affected blood samples, Test Eng Manage, pp. 6552-6556, (2020); Kayal C.K., Bagchi S., Dhar D., Maitra T., Chatterjee S., Hepatocellular carcinoma survival prediction using deep neural network, Proceedings of International Ethical Hacking Conference 2018, pp. 349-358, (2019); Nawa K., Suryani E., Prasetyo H., Dengue virus infected leukocyte classification on microscopic images with image histogram based support vector machine, 2019 5th International Conference on Science and Technology (ICST), 1, pp. 1-5, (2019); Naseer K., Ali S., Mubarik S., Hussain I., Mirza B., Qazi J., FTIR spectroscopy of freeze-dried human sera as a novel approach for dengue diagnosis, Infrared Phys Technol, 102, (2019); Gahlaut S.K., Pathak A., Gupta B.D., Singh J.P., Portable fiber-optic SPR platform for the detection of NS1-antigen for dengue diagnosis, Biosens Bioelectron, 196, (2022); da Cruz Santos C., Santos P.C.M., Rocha K.L.S., Et al., A new tool for dengue virus diagnosis: optimization and detection of anti-NS1 antibodies in serum samples by impedimetric transducers, Microchem J, 154, (2020); Humaidi M., Tien W.P., Yap G., Chua C.R., Ng L.C., Non-invasive dengue diagnostics—the use of saliva and urine for different stages of the illness, Diagnostics, 11, 8, (2021); Nagar P.K., Savargaonkar D., Anvikar A.R., Detection of dengue virus-specific IgM and IgG antibodies through peptide sequences of envelope and NS1 proteins for serological identification, J Immunol Res, 2020, pp. 1-8, (2020); Welearegay T.G., Duran-Acevedo C.M., Jaimes-Mogollon A.L., Et al., Exhaled air analysis as a potential fast method for early diagnosis of dengue disease, Sens Actuators B, 310, (2020); Siew Q.Y., Pang E.L., Loh H.-S., Tan M.T.T., Highly sensitive and specific graphene/TiO2 impedimetricimmunosensor based on plant-derived tetravalent envelope glycoprotein domain III (EDIII) probe antigen for dengue diagnosis, Biosens Bioelectron, 176, (2021); Mayrose H., Sampathila N., Muralidhar Bairy G., Et al., Intelligent algorithm for detection of dengue using mobilenetv2-based deep features with lymphocyte nucleus, Expert Systems, (2021); Arshad R., Rhouati A., Hayat A., Et al., MIP-based impedimetric sensor for detecting dengue fever biomarker, Appl Biochem Biotechnol, 191, 4, pp. 1384-1394, (2020); Yashawantha K.M., Venu Vinod A., ANN modeling and experimental investigation on effective thermal conductivity of ethylene glycol: water nanofluids, J Therm Anal Calorim, 145, pp. 609-630, (2020); Yusoff Y., Zain A.M., Sharif S., Sallehuddin R., Ngadiman M.S., Potential ANN prediction model for multi performances WEDM on Inconel 718, Neural Comput Appl, 30, 7, pp. 2113-2127, (2018); Khishe M., Mosavi M.R., Chimp optimization algorithm, Expert Syst Appl, 149, (2020); Mustaffa Z., Sulaiman M.H., Farhan M., Et al., An application of hybrid swarm intelligence algorithms for dengue outbreak prediction, In 2019 IEEE Jordan International Joint Conference on Electrical Engineering and Information Technology (JEEIT), pp. 731-735, (2019); Sanjudevi D., Savitha D., Dengue fever prediction using classification techniques, Int Res J EngTechnol (IRJET), 6, 2, pp. 558-563, (2019); Gambhir S., Malik S.K., Kumar Y., PSO-ANN based diagnostic model for the early detection of dengue disease, New Horiz Transl Med, 4, 1-4, pp. 1-8, (2017); Umar M., Sabir Z., Asif M., Raja Z., Sanchez Y.G., A stochastic numerical computing heuristic of SIR nonlinear model based on dengue fever, Results Phys, 19, (2020); Davi C., Pastor A., Oliveira T., Et al., Severe dengue prognosis using human genome data and machine learning, IEEE Trans Biomed Eng, 66, 10, pp. 2861-2868, (2019)</t>
  </si>
  <si>
    <t xml:space="preserve">M.M. Ramakrishna; Dr. M.G.R. Educational and Research Institute, Chennai, India; email: ramakrishnamm12@gmail.com</t>
  </si>
  <si>
    <t xml:space="preserve">CCPEB</t>
  </si>
  <si>
    <t xml:space="preserve">Concurr. Comput. Pract. Exper.</t>
  </si>
  <si>
    <t xml:space="preserve">2-s2.0-85149951595</t>
  </si>
  <si>
    <t xml:space="preserve">El-Tabakh M.A.M.; Elhawary E.A.; Hwihy H.M.; Darweesh K.F.; Shaapan R.M.; Ghazala E.A.; Mokhtar M.M.; Waheeb H.O.; Emam D.E.M.; Bakr N.A.; Shehata A.Z.I.</t>
  </si>
  <si>
    <t xml:space="preserve">El-Tabakh, Mohamed A. M. (34967878300); Elhawary, Esraa A. (57192013492); Hwihy, Hossam M. (57222353595); Darweesh, Kareem F. (57382228900); Shaapan, Raafat M. (15830084400); Ghazala, Emad A. (57218831359); Mokhtar, Mostafa M. (57210746258); Waheeb, Hassan O. (58035657600); Emam, Deyaa E. M. (58229814200); Bakr, Nader A. (58215944200); Shehata, Ahmed Z. I. (56260621600)</t>
  </si>
  <si>
    <t xml:space="preserve">34967878300; 57192013492; 57222353595; 57382228900; 15830084400; 57218831359; 57210746258; 58035657600; 58229814200; 58215944200; 56260621600</t>
  </si>
  <si>
    <t xml:space="preserve">UPLC/ESI/MS profiling of red algae Galaxaura rugosa extracts and its activity against malaria mosquito vector, Anopheles pharoensis, with reference to Danio rerio and Daphnia magna as bioindicators</t>
  </si>
  <si>
    <t xml:space="preserve">Background: Anopheles pharoensis has a major role in transmitting several human diseases, especially malaria, in Egypt?. Controlling Anopheles is considered as an effective strategy to eliminate the spread of malaria worldwide. Galaxaura rugosa is a species of red algae found in tropical to subtropical marine environments. The presence of G. rugosa is indicative of the ecosystem's overall health. The current work aims to investigate UPLC/ESI/MS profile of G. rugosa methanol and petroleum ether extracts and its activity against An. pharoensis and non-target organisms, Danio rerio and Daphnia magna. Methods: Galaxaura rugosa specimens have been identified using DNA barcoding for the COI gene and verified as G. rugosa. The UPLC/ESI/MS profiling of G. rugosa collected from Egypt was described. The larvicidal and repellent activities of G. rugosa methanol and petroleum ether extracts against An. pharoensis were evaluated, as well as the toxicity of tested extracts on non-target organisms, Dan. rerio and Dap. magna. Results: The UPLC/ESI/MS analysis of methanol and petroleum ether extracts led to the tentative identification of 57 compounds belonging to different phytochemical classes, including flavonoids, tannins, phenolic acids, phenyl propanoids. Larval mortality was recorded at 93.33% and 90.67% at 80 and 35 ppm of methanol and petroleum ether extracts, respectively, while pupal mortality recorded 44.44 and 22.48% at 35 and 30 ppm, respectively. Larval duration was recorded at 5.31 and 5.64 days by methanol and petroleum ether extracts at 80 and 35 ppm, respectively. A decrease in acetylcholinesterase (AChE) level and a promotion in Glutathione-S-transferase (GST) level of An. pharoensis 3rd instar larvae were recorded by tested extracts. The petroleum ether extract was more effective against An. pharoensis starved females than methanol extract. Also, tested extracts recorded LC50 of 1988.8, 1365.1, and 11.65, 14.36 µg/mL against Dan. rerio, and Dap. magna, respectively. Conclusions: Using red algae derivatives in An. pharoensis control could reduce costs and environmental impact and be harmless to humans and other non-target organisms. © 2023, The Author(s).</t>
  </si>
  <si>
    <t xml:space="preserve">10.1186/s12936-023-04795-w</t>
  </si>
  <si>
    <t xml:space="preserve">https://www.scopus.com/inward/record.uri?eid=2-s2.0-85178230208&amp;doi=10.1186%2fs12936-023-04795-w&amp;partnerID=40&amp;md5=15cde9abb6cb6803281544cd515d1d4f</t>
  </si>
  <si>
    <t xml:space="preserve">Zoology Department, Faculty of Science, Al-Azhar University, Cairo, 11651, Egypt; Department of Pharmacognosy, Faculty of Pharmacy, Ain-Shams University, Cairo, Egypt; Department of Zoonosis, Veterinary Research Institute, National Research Centre, Giza, Egypt; EEAA, Ras Muhammed National Park, South Sina, Qesm Sharm Ash Sheikh, Egypt</t>
  </si>
  <si>
    <t xml:space="preserve">El-Tabakh M.A.M., Zoology Department, Faculty of Science, Al-Azhar University, Cairo, 11651, Egypt; Elhawary E.A., Department of Pharmacognosy, Faculty of Pharmacy, Ain-Shams University, Cairo, Egypt; Hwihy H.M., Zoology Department, Faculty of Science, Al-Azhar University, Cairo, 11651, Egypt; Darweesh K.F., Zoology Department, Faculty of Science, Al-Azhar University, Cairo, 11651, Egypt; Shaapan R.M., Department of Zoonosis, Veterinary Research Institute, National Research Centre, Giza, Egypt; Ghazala E.A., EEAA, Ras Muhammed National Park, South Sina, Qesm Sharm Ash Sheikh, Egypt; Mokhtar M.M., Zoology Department, Faculty of Science, Al-Azhar University, Cairo, 11651, Egypt; Waheeb H.O., Zoology Department, Faculty of Science, Al-Azhar University, Cairo, 11651, Egypt; Emam D.E.M., Zoology Department, Faculty of Science, Al-Azhar University, Cairo, 11651, Egypt; Bakr N.A., Zoology Department, Faculty of Science, Al-Azhar University, Cairo, 11651, Egypt; Shehata A.Z.I., Zoology Department, Faculty of Science, Al-Azhar University, Cairo, 11651, Egypt</t>
  </si>
  <si>
    <t xml:space="preserve">Anopheles pharoensis; Extract; Galaxaura rugosa; Larvicidal; LCMS; Metabolomics</t>
  </si>
  <si>
    <t xml:space="preserve">Acetylcholinesterase; Animals; Anopheles; Culex; Daphnia; Ecosystem; Environmental Biomarkers; Humans; Insecticides; Larva; Malaria; Methanol; Mosquito Vectors; Plant Extracts; Plant Leaves; Rhodophyta; Solvents; Zebrafish; acetylcholinesterase; algal extract; antimalarial agent; flavonoid; galaxaura rugosa extract; methanol; petroleum; phytochemical; tannin derivative; unclassified drug; acetylcholinesterase; environmental marker; insecticide; methanol; naphtha; plant extract; solvent; Anopheles pharoensis; antimalarial activity; Article; Daphnia magna; DNA barcoding; ecosystem health; insecticidal activity; larval development; larvicidal activity; LC50; liquid chromatography-mass spectrometry; malaria; marine environment; mortality; mosquito control; mosquito vector; nonhuman; red alga; toxicity; zebra fish; animal; Anopheles; chemistry; Culex; Daphnia; ecosystem; human; larva; mosquito vector; plant leaf</t>
  </si>
  <si>
    <t xml:space="preserve">acetylcholinesterase, 9000-81-1; methanol, 67-56-1; petroleum, 8002-05-9; naphtha, 8030-30-6; Acetylcholinesterase, ; Environmental Biomarkers, ; Insecticides, ; Methanol, ; naphtha, ; Plant Extracts, ; Solvents, </t>
  </si>
  <si>
    <t xml:space="preserve">Al-Azhar University</t>
  </si>
  <si>
    <t xml:space="preserve">Abdel-Wahab A.M., In-vitro studies on antiviral effects of Galaxaura elongata marine algae on white spot syndrome virus, Benha Vet Med J, 34, pp. 162-171, (2018); Benhissoune S., Boudouresque C.F., Perret-Boudouresque M., Verlaque M., A checklist of the seaweeds of the Mediterranean and Atlantic coasts of Morocco. III. Rhodophyceae (excluding Ceramiales), Bot Mar, 45, pp. 391-412, (2002); Littler D.S., Littler M.M., South Pacific reef plants. A diver's guide to the plant life of the South Pacific coral reefs, (2003); Huisman J.M., Algae of Australia, pp. 21-24, (2006); Baweja P., Kumar S., Sahoo D., Levine I., Biology of seaweeds, Seaweed in health and disease prevention Chapter 3, pp. 41-106, (2016); Al-Enazi N.M., Awaad A.S., Alqasoumi S.I., Alwethairi M.F., Biological activities of the red algae Galaxaura rugosa and Liagora hawaiiana butters, Saudi Pharm J, 26, pp. 25-32, (2018); Ahmed S.A., Rahman A.A., Elsayed K.N.M., Ahmed S.A., Comparative biological studies, phytochemical screening and GC-MS analysis of some Egyptian Red Sea macroalgae, Int J Pharm Res, 12, pp. 2307-2317, (2020); Lemine A.M.M., Lemrabott M.A.O., Ebou M.H., Lekweiry K.M., Salem M.S.O.A., Brahim K.O., Et al., Mosquitoes (Diptera: Culicidae) in Mauritania: a review of their biodiversity, distribution and medical importance, Parasit Vectors, 10, (2017); World malaria report, (2021); Shehata A.Z.I., Labib R.M., Abdel-Samad M.R.K., Insecticidal activity and phytochemical analysis of Pyrus communis L. extracts against malarial vector, Anopheles pharoensis Theobald, 1901 (Diptera: Culicidae), Polish J Entomol., 90, pp. 209-222, (2021); Tapondjoua A.L., Adler C., Fontem D.A., Bouda H., Reichmuth C., Bioactivities of cymol and essential oils of Cupressus sempervirens and Eucalyptus saligna against Sitophilus zeamais Motschulsky and Tribolium confusum du Val, J Stored Prod Res, 41, pp. 91-102, (2005); Shehata A.Z., El-Sheikh T.M., Shaapan R.M., Abdel-Shafy S., Alanazi A.D., Ovicidal and latent effects of Pulicaria jaubertii (asteraceae) leaf extracts on Aedes aegypti, J Am Mosq Control Assoc, 36, pp. 161-166, (2020); Asimakis E., Shehata A.A., Eisenreich W., Acheuk F., Lasram S., Basiouni S., Et al., Algae and their metabolites as potential bio-pesticides, Microorganisms, 10, (2022); Horzmann K., Freeman J., Making waves: new developments in toxicology with the Zebrafish, Toxicol Sci, 163, pp. 5-12, (2018); Forsatkar M., Hedayatirad M., Luchiari A., Not tonight zebrafish”: the effects of Ruta graveolens on reproduction, Pharm Biol, 56, pp. 60-66, (2018); Ebert D., Daphnia as a versatile model system in ecology and evolution, EvoDevo, 13, (2022); Guiry M.D., Guiry G.M., AlgaeBase. World-wide electronic publication, (2017); Saunders G.W., Applying DNA barcoding to red macroalgae: a preliminary appraisal holds promise for future applications, Philos Trans R Soc Lond B Biol Sci, 360, pp. 1879-1888, (2005); Hebert P.D.N., Cywinska A., Ball S.L., deWaard J.R., Biological identifications through DNA barcodes, Proc Biol Sci, 270, pp. 313-321, (2003); Saunders G.W., Gel purification of red algal genomic DNA: an inexpensive and rapid method for the isolation of polymerase chain reaction-friendly DNA, J Phycol, 29, pp. 251-254, (1993); Yuvarani M., Kubendran D., Aathika A.R.S., Karthik P., Premkumar M.P., Karthikeyan V., Et al., Extraction and characterization of oil from macroalgae Cladophora glomerata, Energy Sourc A Recov Util Environ Eff, 39, pp. 2133-2139, (2017); Kadam S.U., Alvarez C., Tiwari B.K., O'Donnell C.P., Extraction of biomolecules from seaweeds, Seaweed sustainability Chapter 9, pp. 243-269, (2015); Elhawary E.A., Mostafa N.M., Shehat A.Z.I., Labib R.M., Abdel Singab N.B., Comparative study of selected Rosa varieties’ metabolites through UPLC-ESI-MS/MS, chemometrics and investigation of their insecticidal activity against Culex pipiens L, Jordan J Pharm Sci, 14, pp. 417-433, (2021); Glick J.I., Illustrated key to the female Anopheles of southwestern Asia and Egypt (Diptera: Culicidae), Mosq Syst, 24, pp. 125-153, (1992); Hassanain N.A.E.H., Shehata A.Z., Mokhtar M.M., Shaapan R.M., Hassanain M.A.E.H., Zaky S., Comparison between insecticidal activity of Lantana camara extract and its synthesized nanoparticles against Anopheline mosquitoes, Pak J Biol Sci, 22, pp. 327-334, (2019); Ellman G.L., Courtney K.D., Featherstone R.M., A new and rapid colorimetric determination of acetylcholinesterase activity, Biochem Pharmacol, 7, pp. 88-95, (1961); Habig W.H., Pabst M.J., Jakoby W.B., Glutathione S-transferases the first enzymatic step in mercapturic acid formation, J Biol Chem, 249, pp. 7130-7139, (1974); Abbott W.S., A method for computing the effectiveness of an insecticide, J Econ Entomol, 18, pp. 265-277, (1925); Norberg-King T.J., Mount D., Durhan E., Ankley G.T., Burkhard L., Methods for aquatic toxicity identification evaluations. Phase 1. Toxicity characterization procedures (No. PB-92-100072/XAB), (1991); Deo P.G., Hasan S.B., Majumdar S.K., Toxicity and suitability of some insecticides for household use, Int Pest Control, 30, pp. 118-129, (1988); Pavela R., Insecticidal properties of Pimpinella anisum essential oils against the Culex quinquefasciatus and the non-target organism Daphnia magna, J Asia Pac Entomol, 17, pp. 287-293, (2014); Guideline for testing of chemicals Daphnia sp., acute Immobilization Test OECD 202, (2004); Day K.E., Holtze K.E., Metcalfe-Smith J.L., Bishop C.T., Dutka B.J., Toxicity of leachate from automobile tires to aquatic biota, Chemosphere, 27, pp. 665-675, (1993); Bailey R.A., A unified approach to design of experiments, J R Stat Soc Ser A, 144, pp. 214-223, (1981); Ben Said R., Hamed A.I., Mahalel U.A., Al-Ayed A.S., Kowalczyk M., Moldoch J., Et al., Tentative characterization of polyphenolic compounds in the male flowers of Phoenix dactylifera by liquid chromatography coupled with mass spectrometry and DFT, Int J Mol Sci, 18, (2017); Yao H., Chen B., Zhang Y., Ou H., Li Y., Li S., Et al., Analysis of the total biflavonoids extract from Selaginella doederleinii by HPLC-QTOF-MS and its in vitro and in vivo anticancer effects, Molecules, 22, (2017); Schiber A., Mihalev K., Berardini N., Mollov P., Carle R., Flavonol glycosides from distilled petals of Rosa damascena Mill, Z Naturforsch C J Biosci, 60, pp. 379-384, (2005); Simirgiotis M.J., Antioxidant capacity and HPLC-DAD-MS profiling of Chilean peumo (Cryptocarya alba) fruits and comparison with German peumo (Crataegus monogyna) from southern Chile, Molecules, 18, pp. 2061-2080, (2013); Cunja V., Mikulic-Petkovsek M., Stampar F., Schmitzer V., Compound identification of selected Rose species and cultivars: an insight to petal and leaf phenolic profiles, J Am Soc Hortic Sci, 139, pp. 157-166, (2014); Ashraf H., Moussa A.Y., Seleem A.A., Eldahshan O.A., Singab A.N.B., UPLC-ESI/MS/MS profiling and anti-inflammatory activity of Gleditsia caspica, Arch Pharm Sci ASU, 4, pp. 124-134, (2020); El-Sayed M.A., Al-Gendy A.A., Hamdan D.I., El Sahzly A.M., Phytoconstituents, LC-ESI-MS profile, antioxidant and antimicrobial activities of Citrus x limon L. Burm. f. cultivar variegated pink lemon, J Pharm Sci Res, 9, pp. 375-391, (2017); Zhong B., Robinson N.A., Warner R.D., Barrow C.J., Dunshea F.R., Suleria H.A.R., LC-ESI-QTOF-MS/MS characterization of seaweed phenolics and their antioxidant potential, Mar drugs, 18, (2020); ElKhateeb A., Hussein S., Salem M., El Negoumy S., LC-ESI-MS analysis, antitumor and antiviral activities of Bosica senegalensis aqueous methanolic extract, Egypt J Chem, 62, pp. 77-83, (2019); Chen H.J., Inbaraj B.S., Chen B.H., Determination of phenolic acids and flavonoids in taraxacum formosanum Kitam by liquid chromatography-tandem mass spectrometry coupled with a post-column derivatization technique, Int J Mol Sci, 13, pp. 260-285, (2012); El Sayed A.M., Ezzat S.M., El Naggar M.M., El Hawary S.S., In vivo diabetic wound healing effect and HPLC–DAD–ESI–MS/MS profiling of the methanol extracts of eight Aloe species, Rev Bras Farmacogn, 26, pp. 352-362, (2016); Wang X., Xia H., Liu Y., Qiu F., Di X., Simultaneous determination of three glucuronide conjugates of scutellarein in rat plasma by LC–MS/MS for pharmacokinetic study of breviscapine, J Chromatogr B Analyt Technol Biomed Life Sci, 965, pp. 79-84, (2014); Al-Yousef H.M., Hassan W.H.B., Abdelaziz S., Amina M., Adel R., El-Sayed M.A., UPLC-ESI-MS/MS profile and antioxidant, cytotoxic, antidiabetic, and antiobesity activities of the aqueous extracts of three different Hibiscus species, J Chem, 2020, (2020); Sobeh M., ElHawary E., Peixoto H., Labib R.M., Handoussa H., Swilam N., Et al., Identification of phenolic secondary metabolites from Schotia brachypetala Sond. (Fabaceae) and demonstration of their antioxidant activities in Caenorhabditis elegans, PeerJ, 4, (2016); Patyra A., Dudek M.K., Kiss A.K., LC-DAD–ESI-MS/MS and NMR analysis of conifer wood specialized metabolites, Cells, 11, (2022); Simirgiotis M.J., Benites J., Areche C., Sepulveda B., Antioxidant capacities and analysis of phenolic compounds in three endemic Nolana species by HPLC-PDA-ESI-MS, Molecules, 20, pp. 11490-11507, (2015); Odah S.M., Salama M.M., Aziz W.M., El-Alfy T.S., Ezzat S.M., Anti-wrinkle activity and UPLC-MS/MS metabolic profiling of pomegranate and grape seeds extracts, Int J Pharm Sci Res, 11, pp. 3679-3689, (2020); Ye M., Guo D., Ye G., Huang C., Analysis of homoisoflavonoids in Ophiopogon japonicus by HPLC-DAD-ESI-MS, J Am Soc Mass Spectrom, 16, pp. 234-243, (2005); Barros L., Duenas M., Dias M.I., Sousa M.J., Santos-Buelga C., Ferreira I.C., Phenolic profiles of cultivated, in vitro cultured and commercial samples of Melissa officinalis L. infusions, Food Chem, 136, pp. 1-8, (2013); Ibrahim R.M., El-Halawany A.M., Saleh D.O., El Naggar E.B., El-Shabrawy A.O., El-Hawary S.S., HPLC-DAD-MS/MS profiling of phenolics from Securigera securidaca flowers and its anti-hyperglycemic and anti-hyperlipidemic activities, Rev Bras Farmacogn, 25, pp. 134-141, (2015); El-sayed M., Abbas F.A., Refaat S., El-Shafae A.M., Fikry E., UPLC-ESI-MS/MS profile of the ethyl acetate fraction of aerial parts of Bougainvillea 'Scarlett O'Hara' cultivated in Egypt, Egypt J Chem, 64, pp. 793-806, (2021); Mandal S.M., Dey S., LC-MALDI-TOF MS-based rapid identification of phenolic acids, J Biomol Tech, 19, pp. 116-121, (2008); Bastos D.H., Saldanha L.A., Catharino R.R., Sawaya A.C., Cunha I.B., Carvalho P.O., Et al., Phenolic antioxidants identified by ESI-MS from yerba maté (Ilex paraguariensis) and green tea (Camelia sinensis) extracts, Molecules, 12, pp. 423-432, (2007); Wyrepkowski C.C., Costa D.L., Sinhorin A.P., Vilegas W., De Grandis R.A., Resende F.A., Et al., Characterization and quantification of the compounds of the ethanolic extract from Caesalpinia ferrea stem bark and evaluation of their mutagenic activity, Molecules, 19, pp. 16039-16057, (2014); Abdel Ghani A.E., Al-Saleem M.S.M., Abdel-Mageed W.M., AbouZeid E.M., Mahmoud M.Y., Abdallah R.H., UPLC-ESI-MS/MS profiling and cytotoxic, antioxidant, anti-inflammatory, antidiabetic, and antiobesity activities of the non-polar fractions of Salvia hispanica L. aerial parts, Plants, 12, (2023); Lee H.G., Kim T.Y., Jeon J.H., Lee H.S., Hong Y.K., Jin M.H., Inhibition of melanogenesis by abietatriene from Vitex trifolia leaf oil, Nat Prod Sci, 22, pp. 252-258, (2016); Youssef F.S., Sobeh M., Dmirieh M., Bogari H.A., Koshak A.E., Wink M., Et al., Metabolomics-based profiling of Clerodendrum speciosum (Lamiaceae) leaves using LC/ESI/MS-MS and in vivo evaluation of its antioxidant activity using Caenorhabditis elegans model, Antioxidants (Basel), 11, (2022); Madl T., Sterk H., Mittelbach M., Rechberger G.N., Tandem mass spectrometric analysis of a complex triterpene saponin mixture of Chenopodium quinoa, J Am Soc Mass Spectrom, 17, pp. 795-806, (2006); Alali F.Q., Tahboub Y.R., Al-Daraysih I.S., El-Elimat T., LC-MS and LC-PDA vs phytochemical analysis of Colchicum brachyphyllum, Pharmazie, 63, pp. 860-865, (2008); Llorent-Martinez E.J., Spinola V., Gouveia S., Castilho P.C., HPLC-ESI-MSn characterization of phenolic compounds, terpenoid saponins, and other minor compounds in Bituminaria bituminosa, Ind Crops Prod, 69, pp. 80-90, (2015); Lech K., Fornal E., A mass spectrometry-based approach for characterization of red, blue, and purple natural dyes, Molecules, 25, (2020); Salih E.Y.A., Fyhrquist P., Abdalla A.M.A., Abdelgadir A.Y., Kanninen M., Sipi M., Et al., LC-MS/MS tandem mass spectrometry for analysis of phenolic compounds and pentacyclic triterpenes in antifungal extracts of Terminalia brownii (Fresen), Antibiotics (Basel), 6, (2017); Kalo P.J., Ollilainen V., Rocha J.M., Malcata F.X., Identification of molecular species of simple lipids by normal phase liquid chromatography-positive electrospray tandem mass spectrometry, and application of developed methods in comprehensive analysis of low erucic acid rapeseed oil lipids, Int J Mass Spectrom, 254, pp. 106-121, (2006); Arguelles E., Galaxaura rugosa (J. Ellis &amp; Solander) JV Lamouroux for cosmeceutical application: antioxidant, antibacterial, tyrosinase and elastase inhibition properties, Hacet Univ J Fac Pharm., 42, pp. 218-227, (2022); Alzahrani R.R., Alkhulaifi M.M., Alenazi N.M., Almusayeib N.M., Amina M., Awad M.A., Et al., Characterization and biological investigation of silver nanoparticles biosynthesized from Galaxaura rugosa against multidrug-resistant bacteria, J Taibah Univ Sci, 14, pp. 1651-1659, (2020); Dumenigo G.A., Frias V.A.I., Garcia D.N., Ramentol R.M., Cabrera S.H.R., Suarez A.A.M., Et al., Anti-inflammatory and analgesic activity of an organic extract from the red alga Galaxaura rugosa (J. Ellis &amp; Solander) J.V. Lamouroux, Rev Cubana Plant Med, 19, pp. 235-247, (2014); Ali M.S., Ravikumar S., Beula J.M., Bioactivity of seagrass against the dengue fever mosquito Aedes aegypti larvae, Asian Pac J Trop Biomed, 2, pp. 570-573, (2012); Ali M.Y.S., Ravikumar S., Beula J.M., Mosquito larvicidal activity of seaweeds extracts against Anopheles stephensi, Aedes aegypti and Culex quinquefasciatus, Asian Pac J Trop Dis, 3, pp. 196-201, (2013); Yu K.X., Wong C.L., Ahmad R., Jantan I., Larvicidal activity, inhibition effect on development, histopathological alteration and morphological aberration induced by seaweed extracts in Aedes aegypti (Diptera: Culicidae), Asian Pac J Trop Med, 8, pp. 1006-1012, (2015); Raj G.A., Jayaraman M., Krishnamoorthy S., Chandrasekaran M., Venkatesalu V., Screening of different extracts of marine macro green algae for larvicidal activity against dengue fever mosquito, Aedes aegypti (Diptera: Culicidae), Int Lett Nat Sci, 62, pp. 44-51, (2017); Deepak P., Balamuralikrishnan B., Park S., Sowmiya R., Balasubramani G., Aiswarya D., Et al., Phytochemical profiling of marine red alga, Halymenia palmata and its bio-control effects against Dengue vector, Aedes aegypti S Afr J Bot, 121, pp. 257-266, (2019); Eltak N.A., Gniedy N.A., Abdel- Haleem D.R., Farag S.M., Based on GC-MS analysis: an evaluation activity of some algal extracts against Culex pipiens L. (Diptera: Culicidae), Egypt J Aquat Biol Fish., 27, pp. 461-489, (2023); Grue C.E., Gilbert P.L., Seeley M.E., Neuropsychological and behavioral changes in non-target wildlife exposed to organophosphate and carbamate pesticide: thermoregulation, food consumption and reproduction, Amer Zool, 37, pp. 369-388, (1997); Jiang Z.S., Yan Z.G., Du Y.Z., Shang Z.Z., Effect of α-terthienyl on glutathione S-transferases in Helicoverpa armigera and Ostrinia furnacalis larvae, Chin J Pestic Sci, 15, pp. 76-79, (2003); Abdel Haleem D.R., El Tablawy N.H., Alkeridis L.A., Sayed S., Saad A.M., El-Saadony M.T., Et al., Screening and evaluation of different algal extracts and prospects for controlling the disease vector mosquito Culex pipiens L, Saudi J Biol Sci, 29, pp. 933-940, (2022); Dris D., Tine-Djebbar F., Bouabida H., Soltani N., Chemical composition and activity of an Ocimum basilicum essential oil on Culex pipiens larvae: toxicological, biometrical and biochemical aspects, S Afr J Bot, 113, pp. 362-369, (2017); Shahat M.A.M., El-Sheikh T.M.Y., Hammad K.M., Hasaballah A.I., Shehata A.Z.I., Effect of some plant extracts on the biochemical parameters, AChE and GST activities of the mosquito, Culex pipiens L. (Diptera: Culicidae), Egypt Acad J Biolog Sci., 12, pp. 69-80, (2020); Bisseleua H.B.D., Gbewonyo S.W.K., Obeng-Ofori D., Toxicity, growth regulatory and repellent activities of medicinal plant extracts on Musca domestica L. (Diptera: Muscidae), Afr J Biot, 7, pp. 4635-4642, (2008); Rajkumar S., Jebanesan A., Repellency of volatile oils from Moschosma polystachyum and Solanum xanthocarpum against filarial vector Culex quinquefasciatus Say, Trop Biomed, 22, pp. 139-142, (2005); Hassan M.I., Fouda M.A., Hammad K.M., Tanani M.A., Shehata A.Z., Repellent effect of Lagenaria siceraria extracts against Culex pipiens, J Egypt Soc Parasitol, 44, pp. 243-248, (2014); Baranitharan M., Dhanasekaran S., Kovendan K., Murugan K., Gokulakrishnan J., Benelli G., Coleus aromaticus leaf extract fractions: a source of novel ovicides, larvicides and repellents against Anopheles, Aedes and Culex mosquito vectors?, Process Saf Environ Prot, 106, pp. 23-33, (2017); Selim T.A., Abd-El Rahman I.E., Mahran H.A., Adam H.A., Imieje V., Zaki A.A., Et al., Mosquitocidal activity of the methanolic extract of Annickia chlorantha and its isolated compounds against Culex pipiens, and their impact on the non-target organism Zebrafish, Danio rerio Insects, 13, (2022); Oda Y., Sato K., Hanazato T., Chang K.H., Sakamoto M., Enhanced sensitivity to an insecticide carbaryl in Daphnia magna mediated by fish kairomone, Limnology, 20, pp. 137-141, (2019); Takahashi H., Hanazato T., Synergistic effects of food shortage and an insecticide on a Daphnia population: rapid decline of food density at the peak of population density reduces tolerance to the chemical and induces a large population crash, Limnology, 8, pp. 45-51, (2007)</t>
  </si>
  <si>
    <t xml:space="preserve">M.A.M. El-Tabakh; Zoology Department, Faculty of Science, Al-Azhar University, Cairo, 11651, Egypt; email: dr.m.eltabakh.201@azhar.edu.eg</t>
  </si>
  <si>
    <t xml:space="preserve">2-s2.0-85178230208</t>
  </si>
  <si>
    <t xml:space="preserve">Swastika W.; Pradana B.J.; Widodo R.B.; Sitepu R.; Putra G.G.</t>
  </si>
  <si>
    <t xml:space="preserve">Swastika, Windra (55773044200); Pradana, Benedictus J. (58080552800); Widodo, Romy B. (55488758100); Sitepu, Rehmadanta (57189040636); Putra, Gregorius G. (58920652900)</t>
  </si>
  <si>
    <t xml:space="preserve">55773044200; 58080552800; 55488758100; 57189040636; 58920652900</t>
  </si>
  <si>
    <t xml:space="preserve">Web-Based Application for Malaria Parasite Detection Using Thin-Blood Smear Images</t>
  </si>
  <si>
    <t xml:space="preserve">Malaria is an infectious disease caused by the Plasmodium parasite. In 2019, there were 229 million cases of malaria with a death toll of 400.900. Malaria cases increased in 2020 to 241 million people with the death toll reaching 627,000. Malaria diagnosis which is carried out by observing the patient’s blood sample requires experts and if it is not done correctly, misdiagnosis can occur. Deep Learning can be used to help diagnose Malaria by classifying thin blood smear images. In this study, transfer learning techniques were used on the Convolutional Neural Network to speed up the model training process and get high accuracy. The architecture used for Transfer Learning is EfficientNetB0. The training model is embedded in a python-based web application which is then deployed on the Google App Engine platform. This is done so that it can be used by experts to help diagnose. The training model has a training accuracy of 0.9664, a training loss of 0.0937, a validation accuracy of 0.9734, and a validation loss of 0.0816. Prediction results on test data have an accuracy of 96.8% and an F1-score value of 0.968. © 2023 by the authors.</t>
  </si>
  <si>
    <t xml:space="preserve">Journal of Image and Graphics(United Kingdom)</t>
  </si>
  <si>
    <t xml:space="preserve">University of Portsmouth</t>
  </si>
  <si>
    <t xml:space="preserve">10.18178/joig.11.3.288-293</t>
  </si>
  <si>
    <t xml:space="preserve">https://www.scopus.com/inward/record.uri?eid=2-s2.0-85171430343&amp;doi=10.18178%2fjoig.11.3.288-293&amp;partnerID=40&amp;md5=5ce854c69b8b508762d91f650b8ec0b9</t>
  </si>
  <si>
    <t xml:space="preserve">Informatics Engineering, Universitas Ma Chung, Malang, Indonesia; Pharmaceutical Science and Biomedicine, Universitas Ma Chung, Malang, Indonesia</t>
  </si>
  <si>
    <t xml:space="preserve">Swastika W., Informatics Engineering, Universitas Ma Chung, Malang, Indonesia; Pradana B.J., Informatics Engineering, Universitas Ma Chung, Malang, Indonesia; Widodo R.B., Informatics Engineering, Universitas Ma Chung, Malang, Indonesia; Sitepu R., Pharmaceutical Science and Biomedicine, Universitas Ma Chung, Malang, Indonesia; Putra G.G., Informatics Engineering, Universitas Ma Chung, Malang, Indonesia</t>
  </si>
  <si>
    <t xml:space="preserve">Convolution Neural Network (CNN); malaria detection; transfer learning</t>
  </si>
  <si>
    <t xml:space="preserve">Ministry of Science and Ministry of Education, Culture, Research, and Technology, (023/SP2H/PT-L/LL7/2022)</t>
  </si>
  <si>
    <t xml:space="preserve">This work was supported by the Ministry of Science and Ministry of Education, Culture, Research, and Technology (Grant no. 023/SP2H/PT-L/LL7/2022).</t>
  </si>
  <si>
    <t xml:space="preserve">World malaria report, (2020); Indonesia Kementrian Republik, Profil Kesehatan Indonesia, (2019); Malaria Fact Sheets, (2022); Malaria-Gejala, penyebab, dan mengobati—Alodokter; What is machine learning?, (2020); Yamashita R., Nishio M., Do R. K. G., Togashi K., Convolutional neural networks: An overview and application in radiology, Insights Imaging, 9, pp. 611-629, (2018); Yadav S. S., Jadhav S. M., Deep convolutional neural network based medical image classification for disease diagnosis, Journal of Big Data, 6, 113, (2019); Rashmi N. S., Manohar N., Computer-vision based face mask detection using CNN, Proc. 2021 6th International Conference on Communication and Electronics Systems (ICCES), (2021); Bantupalli K., Xie Y., American sign language recognition using deep learning and computer vision, Proc. 2018 IEEE International Conference on Big Data (Big Data), (2018); Yang R., Singh S. K., Tavakkoli M., Amiri N., Yang Y., Karimi M. A., Rai R., CNN-LSTM deep learning architecture for computer vision-based modal frequency detection, Mechanical System and Signal Processing, 144, (2020); Tan M., Le Q. V., Efficientnet: Rethinking model scaling for convolutional neural networks, Proc. International Conference on Machine Learning, pp. 6105-6114, (2019); Hridoy R. H., Akter F., Rakshit A., Computer vision based skin disorder recognition using EfficientNet: A transfer learning approach, Proc. 2021 International Conference on Information Technology (ICIT), (2021); Sandler M., Howard A., Zhu M., Zhmoginov A., Chen L.-C., Mobilenetv2: Inverted residuals and linear bottlenecks, Proc. 2018 IEEE/CVF Conference on Computer Vision and Pattern Recognition, (2018); Tan M., Chen B., Pang R., Vasudevan V., Sandler M., Howard A., Le Q. V., MnasNet: Platform-aware neural architecture search for mobile, Proc. 2019 IEEE/CVF Conference on Computer Vision and Pattern Recognition, (2019); Rizal S., Ibrahim N., Pratiwi N. K. C., Saidah S., Fuadah R. Y. N., Deep learning for classification of diabetic retinopathy uses the efficientnet model, ELKOMIKA: Jurnal Teknik Energi Elektrik, Teknik Telekomunikasi, dan Teknik Elektronika, 8, 3, pp. 693-705, (2020); Gaur L., Bhatia U., Jhanjhi N. Z., Muhammad G., Masud M., Medical image based detection of Covid-19 using deep learning convolutional neural networks, Multimed Syst, 29, 3, pp. 1729-1738, (2021); Hassan S. M., Maji A. K., Jasinski M., Leonowicz Z., Jasinska E., Identification of plant-leaf diseases using CNN and transfer-learning approach, Electronics, 10, 1388, (2021); Brownlee J., A gentle introduction to transfer learning for deep learning, (2017); Zhuang F., Qi Z., Duan K., Xi D., Zhu Y., Xiong H., He Q., A comprehensive survey on transfer learning, IEEE, 109, 1, pp. 43-76, (2021); Han X., Zhang Z., Ding N., Gu Y., Liu X., Huo Y., Qiu J., Pre-trained models: Past, present and future, (2021); Marchelino P., Transfer learning form pre-trained models, (2018); Guo Y., Li Y., Wang L., Rosing T., AdaFilter: Adaptive fitler fine-tuning for deep transfer learning, Proc. AAAI Conference on Artificial Intelligence, (2020); Pangkasidhi A. K., Palit H. N., Tjondrowiguno A. N., An application that supports the diagnosis of Covid-19 that analyzes X-ray results of the lungs using the efficientnet model, Jurnal INFRA, 9, 2, (2021); Alhafis G. Y., Jasril S., Suwanto, F. Syafria, and E. Budianita, “Image classification of beef and pork using feature extraction and convolutional neural networks, JURIKOM: Jurnal Riset Komputer, 9, 3, (2022); Mustafid A., Pamuji M. M., Helmiyah S., A comparative study of transfer learning and fine-tuning on deep learning models for wayang dataset classification, IJID: International Journal on Informatics for Development, 9, 2, pp. 100-110, (2020); Rajaraman S., Antani S. K., Poostchi M., Silamut K., Hossain M. A., Maude R. J., Jaeger S., Thoma G. R., Pre-trained convolutional neural networks as feature extractors toward improved malaria parasite detection in thin blood smear images, PeerJ, 6, (2018)</t>
  </si>
  <si>
    <t xml:space="preserve">W. Swastika; Informatics Engineering, Universitas Ma Chung, Malang, Indonesia; email: windra.swastika@machung.ac.id</t>
  </si>
  <si>
    <t xml:space="preserve">J. Imag. Gr.</t>
  </si>
  <si>
    <t xml:space="preserve">2-s2.0-85171430343</t>
  </si>
  <si>
    <t xml:space="preserve">Verma A.; Mansoori S.; Srivastava A.; Rathee P.; Singh N.P.</t>
  </si>
  <si>
    <t xml:space="preserve">Verma, Aryan (57274634600); Mansoori, Sejal (58769538700); Srivastava, Adithya (58769604600); Rathee, Priyanka (55579411400); Singh, Nagendra Pratap (56784812400)</t>
  </si>
  <si>
    <t xml:space="preserve">57274634600; 58769538700; 58769604600; 55579411400; 56784812400</t>
  </si>
  <si>
    <t xml:space="preserve">Deep learning driven automated malaria parasite detection in thin blood smears</t>
  </si>
  <si>
    <t xml:space="preserve">Malaria has remained a recurrent challenge in subtropical and tropical areas across the globe. Malaria is caused by plasmodium parasites and can become fatal for the infected person; hence, its precise diagnosis within a short time frame becomes crucial in ending or controlling it. Malaria is analyzed by conventional microscopy, but this methodology has its draw-backs. It is time-consuming and requires an efficient skill set that is often unavailable in many health facilities in several malaria-endemic countries. Hence, tools like computer-aided diagnosis are momentous in analyzing cell images in the modern era of technology. In this paper, we employ deep neural networks to detect malaria presence in the cell images. Both uninfected and parasitized image samples are used to train the models. We use the holdout Validation technique with 15% and 20% validation data to train and compare four variant transfer learned models, VGG19, Resnet50, InceptionV1, and InceptionV3. We employ data augmentation techniques and early stopping callbacks for training the final model Inception V3, which receives 91.40% accuracy, which is better than most of the existing studies in the domain. © 2024 selection and editorial matter, Arvind Dagur, Karan Singh, Pawan Singh Mehra &amp; Dhirendra Kumar Shukla; individual chapters, the contributors.</t>
  </si>
  <si>
    <t xml:space="preserve">diagostics</t>
  </si>
  <si>
    <t xml:space="preserve">Artificial Intelligence, Blockchain, Computing and Security: Volume 1</t>
  </si>
  <si>
    <t xml:space="preserve">10.1201/9781003393580-57</t>
  </si>
  <si>
    <t xml:space="preserve">https://www.scopus.com/inward/record.uri?eid=2-s2.0-85180018205&amp;doi=10.1201%2f9781003393580-57&amp;partnerID=40&amp;md5=7e2b02db1da1a0912cf357b287633581</t>
  </si>
  <si>
    <t xml:space="preserve">Computer Science and Engineering Department, National Institute of Technology, HP, Hamirpur, India; Department of Computer Science, Indraprastha College for Women, New Delhi, Delhi, India; Computer Science and Engineering Department, National Institute of Technology, HP, Hamirpur, India</t>
  </si>
  <si>
    <t xml:space="preserve">Verma A., Computer Science and Engineering Department, National Institute of Technology, HP, Hamirpur, India; Mansoori S., Department of Computer Science, Indraprastha College for Women, New Delhi, Delhi, India; Srivastava A., Computer Science and Engineering Department, National Institute of Technology, HP, Hamirpur, India; Rathee P., Computer Science and Engineering Department, National Institute of Technology, HP, Hamirpur, India; Singh N.P., Computer Science and Engineering Department, National Institute of Technology, HP, Hamirpur, India</t>
  </si>
  <si>
    <t xml:space="preserve">Deep Learning; Inception V2; Malaria detection; Medical image analysis; Transfer Learning</t>
  </si>
  <si>
    <t xml:space="preserve">He K., Zhang X., Ren S., Sun J., Deep Residual Learning for Image Recognition, In Proceedings of the IEEE Conference on Computer Vision and Pattern Recognition, pp. 770-778, (2016); Kassim Y.M., Palaniappan K., Yang F., Poostchi M., Palaniappan N., Maude R.J., Antani S., Jaeger S., Clustering-Based Dual Deep Learning Architecture for Detecting Red Blood Cells in Malaria Diagnostic Smears, IEEE Journal of Biomedical and Health Informatics, 25, 5, pp. 1735-1746, (2021); Kassim Y.M., Yang F., Hang Y., Maude R.J., Jaeger S., Diagnosing Malaria Patients with Plasmodium Falciparum and Vivax Using Deep Learning for Thick Smear Images, Diagnostics, 11, 11, (2021); Krizhevsky A., Sutskever I., Hinton G.E., Imagenet Classification with Deep Convolutional Neural Networks, Communications of the ACM, 60, 6, pp. 84-90, (2017); Malihi L., Ansari-Asl K., Behbahani A., Malaria Parasite Detection in Giemsastained Blood Cell Images, 2013 8Th Iranian Conference on Machine Vision and Image Processing (MVIP), pp. 360-365, (2013); Olugboja A., Wang Z., Malaria Parasite Detection Using Different Machine Learning Classifier, 2017 International Conference on Machine Learning and Cybernetics (ICMLC), 1, pp. 246-250, (2017); Rajaraman S., Antani S.K., Poostchi M., Silamut K., Hossain M.A., Maude R.J., Jaeger S., Thoma G.R., Pre-trained Convolutional Neural Networks as Feature Extractors Toward Improved Malaria Parasite Detection in Thin Blood Smear Images, Peer J, 6, (2018); Rizal R.A., Sihotang J.S., Gultom R., Et al., Comparison of SURF and HOG Extraction in Classifying the Blood Image of Malaria Parasites Using SVM, 2019 International Conference of Computer Science and Information Technology (Icosnikom), pp. 1-6, (2019); Rosspritchard N.E.C.J., Rubin D.M., Duse A.G., Automated Image Processing Method for the Diagnosis and Classification of Malaria on Thin Blood Smears, Medical and Biological Engineering and Computing, 44, 5, pp. 427-436, (2006); Simonyan K., Zisserman A., Very Deep Convolutional Networks For Large-scale Image Recognition, Arxiv Preprint Arxiv, 1409, (2014); Swastika W., Kristianti G.M., Widodo R.B., Effective Preprocessed Thin Blood Smear Images to Improve Malaria Parasite Detection Using Deep Learning, Journal of Physics: Conference Series, 1869, (2021); Szegedy C., Vanhoucke V., Ioffe S., Shlens J., Wojna Z., Rethinking the Inception Architecture for Computer Vision, In Proceedings of the IEEE Conference on Computer Vision and Pattern Recognition, pp. 2818-2826, (2016); Vijayalakshmi A., Et al., Deep Learning Approach to Detect Malaria from Microscopic Images, Multimedia Tools and Applications, 79, 21, pp. 15297-15317, (2020); Yang F., Quizon N., Hang Y., Silamut K., Maude R., Jaeger S., Antani S., Hahn H.K., Maciej A., Cascading YOLO: Automated Malaria Parasite Detection for Plasmodium Vivax in Thin Blood Smears, Medical Imaging 2020: Computer-Aided Diagnosis, (2020)</t>
  </si>
  <si>
    <t xml:space="preserve">978-100384581-2; 978-103249393-0</t>
  </si>
  <si>
    <t xml:space="preserve">2-s2.0-85180018205</t>
  </si>
  <si>
    <t xml:space="preserve">Ananthajothy G.; Navaratnam R.; Thevarasa N.; Dissanayake M.B.</t>
  </si>
  <si>
    <t xml:space="preserve">Ananthajothy, Gabaalini (58553667400); Navaratnam, Rudsika (58554028400); Thevarasa, Niluksha (58552942300); Dissanayake, Maheshi B. (12446562300)</t>
  </si>
  <si>
    <t xml:space="preserve">58553667400; 58554028400; 58552942300; 12446562300</t>
  </si>
  <si>
    <t xml:space="preserve">Detection of Potential Mosquito Breeding Sites Using CNN and Fewshot Learning</t>
  </si>
  <si>
    <t xml:space="preserve">As of World Health Organization (WHO), effective mosquito-vector control is critical in mitigating and controlling vector-borne diseases such as Dengue Fever. In this research, we proposed an automated technological solution to aid the public health inspectors (PHIs) task by automating the detection of potential mosquito-vector breeding sites using drone images. With this scope, we compare two strategies for detecting potential mosquito breeding sites (water pools) in aerial images: convolutional neural network (CNN) and few-shot learning. In this research, we adopt a supervised learning approach, and a labeled custom dataset with aerial images is generated to aid the model training process. Out of the proposed two methods, the CNN achieved the highest testing accuracy of 84.29% after training for 100 epochs, whereas FSL showed only 79% of accuracy after training the model for 2000 epochs. In conclusion, the proposed CNN-based system has the potential to support PHIs in locating potential mosquito breeding sites, especially those that are inaccessible to humans. © 2023, The Author(s), under exclusive license to Springer Nature Switzerland AG.</t>
  </si>
  <si>
    <t xml:space="preserve">survillance</t>
  </si>
  <si>
    <t xml:space="preserve">Lecture Notes on Data Engineering and Communications Technologies</t>
  </si>
  <si>
    <t xml:space="preserve">10.1007/978-3-031-36118-0_41</t>
  </si>
  <si>
    <t xml:space="preserve">https://www.scopus.com/inward/record.uri?eid=2-s2.0-85169027890&amp;doi=10.1007%2f978-3-031-36118-0_41&amp;partnerID=40&amp;md5=45889df0be107d6c4b4d008aaca04427</t>
  </si>
  <si>
    <t xml:space="preserve">Department of Electrical and Electronic Engineering, Faculty of Engineering, University of Peradeniya, Peradeniya, Sri Lanka</t>
  </si>
  <si>
    <t xml:space="preserve">Ananthajothy G., Department of Electrical and Electronic Engineering, Faculty of Engineering, University of Peradeniya, Peradeniya, Sri Lanka; Navaratnam R., Department of Electrical and Electronic Engineering, Faculty of Engineering, University of Peradeniya, Peradeniya, Sri Lanka; Thevarasa N., Department of Electrical and Electronic Engineering, Faculty of Engineering, University of Peradeniya, Peradeniya, Sri Lanka; Dissanayake M.B., Department of Electrical and Electronic Engineering, Faculty of Engineering, University of Peradeniya, Peradeniya, Sri Lanka</t>
  </si>
  <si>
    <t xml:space="preserve">Convolutional Neural Networks; Fewshot Learning; Image classification</t>
  </si>
  <si>
    <t xml:space="preserve">Aircraft control; Aircraft detection; Antennas; Convolution; Convolutional neural networks; Disease control; Drones; Learning systems; Mosquito control; Vector control (Electric machinery); Aerial images; Convolutional neural network; Dengue fevers; Fewshot learning; Images classification; Mosquito breeding; Mosquito vectors; Technological solution; Vector-borne disease; World Health Organization; Image classification</t>
  </si>
  <si>
    <t xml:space="preserve">Carrasco-Escobar G., Moreno M., Fornace K., Et al., The use of drones for mosquito surveillance and control, Parasit. Vectors, 15, (2022); Hardy A., Makame M., Cross D., Majambere S., Msellem M., Using low-cost drones to map malaria vector habitats, Parasit. Vectors, 10, (2017); Haas-Stapleton E.J., Barretto M.C., Castillo E.B., Clausnitzer R.J., Ferdan R.L., Assessing mosquito breeding sites and abundance using an unmanned aircraft, J. Am. Mosq. Control Assoc, 35, pp. 228-232, (2019); Mylvaganam P., Dissanayake M.B., Deep learning for arbitrary-shaped water pooling region detection on aerial images, 2022 Moratuwa Engineering Research Conference (Mercon), (2022); Zhao K., Jin X., Wang Y., Survey on few-shot learning, J. Softw, 32, pp. 349-369, (2021); Liu Y., Zhang H., Zhang W., Lu G., Tian Q., Ling N., Few-shot image classification: Current status and research trends, Electronics, 11, (2022); Li Z., Liu F., Yang W., Peng S., Zhou J., A survey of convolutional neural networks: Analysis, applications, and prospects, IEEE Trans. Neural Netw. Learn. Syst, 33, 12, pp. 6999-7019, (2022); Lecun Y., Bottou L., Bengio Y., Haffner P., Gradient-based learning applied to document recognition. Proc, IEEE, 86, 11, pp. 2278-2324, (1998); Nichol A., Achiam J., Schulman J., On First-Order Meta-Learning Algorithms, (2018); Kanesamoorthy K., Dissanayake M.B., Prediction of treatment failure of tuberculosis using support vector machine with genetic algorithm, Int. J. Mycobact, 10, pp. 279-284, (2021)</t>
  </si>
  <si>
    <t xml:space="preserve">M.B. Dissanayake; Department of Electrical and Electronic Engineering, Faculty of Engineering, University of Peradeniya, Peradeniya, Sri Lanka; email: maheshid@eng.pdn.ac.lk</t>
  </si>
  <si>
    <t xml:space="preserve">Lecture. Notes. Data Eng. Commun. Tech.</t>
  </si>
  <si>
    <t xml:space="preserve">2-s2.0-85169027890</t>
  </si>
  <si>
    <t xml:space="preserve">Nyatte S.; Perabi S.; Abessolo G.; Ndjakomo Essiane S.; Ele P.</t>
  </si>
  <si>
    <t xml:space="preserve">Nyatte, Steyve (57906907100); Perabi, Steve (57210260407); Abessolo, Gregoire (57191173194); Ndjakomo Essiane, Salomé (9636364500); Ele, Pierre (8325225000)</t>
  </si>
  <si>
    <t xml:space="preserve">57906907100; 57210260407; 57191173194; 9636364500; 8325225000</t>
  </si>
  <si>
    <t xml:space="preserve">Enhancing the Diagnosis of Skin Neglected Tropical Diseases by Artificial Neural Networks Using Evolutionary Algorithms: Implementation on Raspberry Pi</t>
  </si>
  <si>
    <t xml:space="preserve">Neglected TROPICAL diseases related to the skin with similar manifestations in their early phase persist in remote areas and are characterized by the prevailing poverty of populations. If not detected early, they very often lead to severe ulcerations and permanent disabilities. We present an approach to optimize the early detection of neglected tropical skin diseases (NTDs) by automatic identification of skin lesions. As contributions, we propose a web-mobile AI-powered automatic skin lesion recognition system optimized by a new hybrid Whale-Shark optimization algorithm (WOA-SSO-ANN) that can help frontline health workers without state-of-the-art equipment to detect NTDs in their beginning stage. We extract the relevant regions features of the lesions. The dataset resulting from this preprocessing is classified by artificial neural networks optimized by a new hybrid Whale-Shark optimization algorithm to develop an improved artificial neural network in terms of processing time and/or accuracy. The best result was obtained with an overall classification accuracy of 93% and a processing time reduced by almost half compared to other optimizers. The proposed application is able to recognize cases of Buruli ulcer, leprosy, and leishmaniasis in our database (nodule and plaque) and classify new patients, thus reducing the cost of management of these diseases when they are detected late. The AI models implemented in this work have satisfactory accuracy and could be a complementary diagnostic tool, especially in remote areas where medical specialists are scarce. © 2023, The Author(s), under exclusive license to Springer Nature Singapore Pte Ltd.</t>
  </si>
  <si>
    <t xml:space="preserve">10.1007/978-981-99-0248-4_32</t>
  </si>
  <si>
    <t xml:space="preserve">https://www.scopus.com/inward/record.uri?eid=2-s2.0-85158118671&amp;doi=10.1007%2f978-981-99-0248-4_32&amp;partnerID=40&amp;md5=adbb9e830e505c237c32dbe9de0c6cec</t>
  </si>
  <si>
    <t xml:space="preserve">Laboratory of Technology and Applied Sciences, University of Douala, Douala, Cameroon; Signal, Image and Systems Laboratory, University of Yaounde 1, Yaoundé, Cameroon; Laboratory of Electrical Engineering, Mechatronic and Signal Treatment, National Advanced School of Engineering, University of Yaoundé 1, Yaoundé, Cameroon; Oceanography Department, Institute of Fisheries and Aquatic Sciences, University of Douala, Douala, Cameroon</t>
  </si>
  <si>
    <t xml:space="preserve">Nyatte S., Laboratory of Technology and Applied Sciences, University of Douala, Douala, Cameroon; Perabi S., Laboratory of Technology and Applied Sciences, University of Douala, Douala, Cameroon; Abessolo G., Oceanography Department, Institute of Fisheries and Aquatic Sciences, University of Douala, Douala, Cameroon; Ndjakomo Essiane S., Laboratory of Technology and Applied Sciences, University of Douala, Douala, Cameroon, Signal, Image and Systems Laboratory, University of Yaounde 1, Yaoundé, Cameroon; Ele P., Laboratory of Technology and Applied Sciences, University of Douala, Douala, Cameroon, Laboratory of Electrical Engineering, Mechatronic and Signal Treatment, National Advanced School of Engineering, University of Yaoundé 1, Yaoundé, Cameroon</t>
  </si>
  <si>
    <t xml:space="preserve">Artificial neural network; Image processing; Metaheuristic optimization; Skin neglect tropical diseases</t>
  </si>
  <si>
    <t xml:space="preserve">Automation; Classification (of information); Dermatology; Diagnosis; Evolutionary algorithms; Forestry; Image enhancement; Oncology; Optimization; Tropics; Images processing; Metaheuristic optimization; Neglected tropical disease; Optimization algorithms; Processing time; Remote areas; Skin disease; Skin lesion; Skin neglect tropical disease; Tropical disease; Neural networks</t>
  </si>
  <si>
    <t xml:space="preserve">Casulli A., New global targets for NTDs in the WHO roadmap 2021–2030, Plos Negl Trop Dis, e0009373, (2021); Carrion C., Robles N., Sola-Morales O., Aymerich M., Ruiz Postigo J.A., Mobile health strategies to tackle skin neglected tropical diseases with recommendations from innovative experiences: Systematic review, JMIR Mhealth Uhealth, e22478, (2020); Steyve N., Steve P., Ghislain M., Ndjakomo S., Pierre E., Optimized real-time diagnosis of neglected tropical diseases by automatic recognition of skin lesions, Inform Med Unlocked, 33, (2022); Chan H.-P., Hadjiiski L.M., Samala R.K., Computer-aided diagnosis in the era of deep learning, Med Phys, 47, pp. e218-e227, (2020); Fujita H., AI-based computer-aided diagnosis (AI-CAD): The latest review to read first, Radiol Phys Technol, 13, pp. 6-19, (2020); Suzuki K., Machine learning in computer-aided diagnosis of the thorax and colon in CT: A survey, IEICE Trans Inf Syst E96-D, pp. 772-783, (2013); Gori M., Tesi A., On the problem of local minima in backpropagation, IEEE Trans Pattern Anal Mach Intell, 14, pp. 76-86, (1992); Agustyawan A., Laksana T.G., Athiyah U., Combination of backpropagation neural network and particle swarm optimization for water production prediction in municipal waterworks, Sci J Inform, 9, pp. 84-94, (2022); Wright L.G., Onodera T., Stein M.M., Wang T., Schachter D.T., Hu Z., McMahon P.L., Deep physical neural networks trained with backpropagation, Nature, 601, pp. 549-555, (2022); Mouloodi S., Rahmanpanah H., Gohari S., Burvill C., Davies H.M.S., Feedforward backpropagation artificial neural networks for predicting mechanical responses in complex nonlinear structures: A study on a long bone, J Mech Behav Biomed Mater, 128, (2022); Xu L., Si Y., Guo Z., Bokov D., Optimal skin cancer detection by a combined ENN and fractional order coot optimization algorithm, Proc Inst Mech Eng [H], 2, (2022); Tan T., Zhang L., Neoh S., Lim C., Intelligent skin cancer detection using enhanced particle swarm optimization, Knowl-Based Syst, 158, (2018); Dildar M., Akram S., Irfan M., Khan H.U., Ramzan M., Mahmood A.R., Alsaiari S.A., Saeed A.H.M., Alraddadi M.O., Mahnashi M.H., Skin cancer detection: A review using deep learning techniques, Int J Environ Res Public Health, 18, (2021); Hu R., Queen C.M., Zouridakis G., Detection of Buruli ulcer disease: Preliminary results with dermoscopic images on smart handheld devices, 2013 IEEE Point-Of-Care Healthcare Technologies (PHT), pp. 168-171, (2013); Hu R., Queen C.M., Zouridakis G., Lesion border detection in Buruli ulcer images, Annu Int Conf IEEE Eng Med Biol Soc. IEEE Eng Med Biol Soc Annu Int Conf, 2012, pp. 5380-5383, (2012); Hu R., Queen C.M., Zouridakis G., A novel tool for detecting Buruli ulcer disease based on multispectral image analysis on handheld devices, IEEE-EMBS International Conference on Biomedical and Health Informatics (BHI), pp. 37-40, (2014); Bamorovat M., Sharifi I., Rashedi E., Shafiian A., Sharifi F., Khosravi A., Tahmouresi A., A novel diagnostic and prognostic approach for unresponsive patients with anthroponotic cutaneous leishmaniasis using artificial neural networks, Plos ONE, e0250904, (2021); Zare M., Akbarialiabad H., Parsaei H., Asgari Q., Alinejad A., Bahreini M.S., Hosseini S.H., Ghofrani-Jahromi M., Shahriarirad R., Amirmoezzi Y., Shahriarirad S., Zeighami A., Abdol-lahifard G (2022) A machine learning-based system for detecting leishmaniasis in microscopic images, BMC Infect Dis, 22; Souza M.L.M.D., Lopes G.A., Branco A.C., Fairley J.K., Fraga L.A.D.O., Leprosy screening based on artificial intelligence: development of a cross-platform app, JMIR Mhealth Uhealth, e23718, (2021); Barbieri R.R., Xu Y., Setian L., Souza-Santos P.T., Trivedi A., Cristofono J., Bhering R., White K., Sales A.M., Miller G., Nery J.A.C., Sharman M., Bumann R., Zhang S., Goldust M., Sarno E.N., Mirza F., Cavaliero A., Timmer S., Bonfiglioli E., Smith C., Scollard D., Navarini A.A., Aerts A., Ferres J.L., Moraes M.O., Reimagining leprosy elimination with AI analysis of a combination of skin lesion images with demographic and clinical data, Lancet Reg Health—Am, 9, (2022); Mirjalili S., Lewis A., The whale optimization algorithm, Adv Eng Softw, 95, pp. 51-67, (2016); Mohammad-Azari S., Bozorg-Haddad O., Chu X., Shark Smell Optimization (SSO) algorithm, Advanced Optimization by Nature-Inspired Algorithms, pp. 93-103, (2018); Rao Y., Shao Z., Ahangarnejad A.H., Gholamalizadeh E., Sobhani B., Shark Smell Optimizer applied to identify the optimal parameters of the proton exchange membrane fuel cell model, Energy Convers Manag, 182, pp. 1-8, (2019); Gnanasekaran N., Chandramohan S., Kumar P.S., Optimal placement of capacitors in radial distribution system using shark smell optimization algorithm, Mohamed Imran A, 7, pp. 907-916, (2016); Kumar S., Kumar P., Sharma T.K., Pant M., Bi-level thresholding using PSO, Artificial Bee Colony and MRLDE embedded with Otsu method, Memetic Comput, 4, pp. 323-334, (2013); Raja N.S.M., Sukanya S.A., Nikita Y., Improved PSO based multi-level thresholding for cancer infected breast thermal images using Otsu, Procedia Comput Sci Complete, pp. 524-529, (2015); Helen R., Kamaraj N., Selvi K., Raja Raman V., Segmentation of pulmonary parenchyma in CT lung images based on 2D Otsu optimized by PSO, 2011 International Conference on Emerging Trends in Electrical and Computer Technology, pp. 536-541, (2011); Lokhande N.M., Pujeri R.V., Novel image segmentation using particle swarm optimization, Proceedings of the 2018 8Th International Conference on Biomedical Engineering and Technology, pp. 46-50, (2018); Zhao Y., Yu X., Wu H., Zhou Y., Sun X., Yu S., Yu S., Liu H., A Fast 2-D Otsu lung tissue image segmentation algorithm based on improved PSO, Microprocess Microsyst, 80, (2021)</t>
  </si>
  <si>
    <t xml:space="preserve">S. Nyatte; Laboratory of Technology and Applied Sciences, University of Douala, Douala, Cameroon; email: ssteyve@gmail.com</t>
  </si>
  <si>
    <t xml:space="preserve">2-s2.0-85158118671</t>
  </si>
  <si>
    <t xml:space="preserve">Rahman T.; Rahman M.M.</t>
  </si>
  <si>
    <t xml:space="preserve">Rahman, Tasmiah (57419973000); Rahman, Md. Mahmudur (56412309700)</t>
  </si>
  <si>
    <t xml:space="preserve">57419973000; 56412309700</t>
  </si>
  <si>
    <t xml:space="preserve">Evaluation of Machine Learning Approaches for Prediction of Dengue Fever</t>
  </si>
  <si>
    <t xml:space="preserve">Dengue is a mosquito-borne, deadly viral disease that is a major threat to public health all over the world. Dengue and covid-19 symptoms are almost same, and sometimes, people are confused about which disease they are infected with. This year in Bangladesh dengue and covid-19 patients have been increasing at an alarming rate, and most of the time people didn’t properly recognize the disease. A developing country like Bangladesh has faced many difficulties to handle this situation. The target of this research work is to analyze the symptoms and predict the chances to get infected with dengue fever. Machine learning techniques are widely utilized in the health industry to detect fraud in treatment at lower cost, predictive analysis, cure the disease. Four machine learning algorithms are used which are support vector machine, decision tree, K-nearest neighbor, random forest to predict dengue fever based on symptoms. The results were compared for percentage split and K-fold cross-validation method for before and after applying principal component analysis. The experimental result shows that the support vector machine algorithm provides the highest performance compared to others algorithms. © 2023, The Author(s), under exclusive license to Springer Nature Singapore Pte Ltd.</t>
  </si>
  <si>
    <t xml:space="preserve">10.1007/978-981-19-3035-5_13</t>
  </si>
  <si>
    <t xml:space="preserve">https://www.scopus.com/inward/record.uri?eid=2-s2.0-85140245365&amp;doi=10.1007%2f978-981-19-3035-5_13&amp;partnerID=40&amp;md5=3195717c813087f1cf3219505b35ccde</t>
  </si>
  <si>
    <t xml:space="preserve">Department of Computer Science and Engineering, Daffodil International University, Dhaka, Bangladesh</t>
  </si>
  <si>
    <t xml:space="preserve">Rahman T., Department of Computer Science and Engineering, Daffodil International University, Dhaka, Bangladesh; Rahman M.M., Department of Computer Science and Engineering, Daffodil International University, Dhaka, Bangladesh</t>
  </si>
  <si>
    <t xml:space="preserve">Bangladesh; Cross-validation; Dengue; Machine learning; Percentage split; Principal component analysis; Support vector machine</t>
  </si>
  <si>
    <t xml:space="preserve">Decision trees; Developing countries; Diagnosis; Forecasting; Health risks; Learning algorithms; Learning systems; Nearest neighbor search; Support vector machines; Bangladesh; Cross validation; Dengue; Dengue fevers; Machine learning approaches; Machine-learning; Percentage split; Principal-component analysis; Support vectors machine; Viral disease; Principal component analysis</t>
  </si>
  <si>
    <t xml:space="preserve">Dengue Wreaking Havoc in Bangladesh Amid Pandemic|Dhaka Tribune; Silitonga P., Bustamam A., Muradi H., Mangunwardoyo W., Dewi B.E., Comparison of dengue predictive models developed using artificial neural network and discriminant analysis with small dataset, Appl Sci, 11, pp. 1-16, (2021); Dourjoy S.M.K., Rafi A.M.G.R.R., Tumpa Z.N., Saifuzzaman M., A Comparative Study on Prediction of Dengue Fever Using Machine Learning Algorithm, (2020); Kaur R., Demographic analysis of dengue fever using data mining, Int J Adv Res Comput Sci, 8, pp. 1233-1237, (2017); Shaukat Dar K., Ulya Azmeen S.M., Dengue fever prediction: A data mining problem, J Data Mining Genomics Proteomics, 6, (2015); Ibrahim F., Taib M.N., Abas W.A.B.W., Guan C.C., Sulaiman S., A novel dengue fever (DF) and dengue haemorrhagic fever (DHF) analysis using artificial neural network (ANN), Comput Methods Programs Biomed, 79, pp. 273-281, (2005); Mello-Roman J.D., Mello-Roman J.C., Gomez-Guerrero S., Garcia-Torres M., Predictive models for the medical diagnosis of dengue: A case study in Paraguay, Comput Math Methods Med, (2019); Laureano-Rosario A., Duncan A., Mendez-Lazaro P., Garcia-Rejon J., Gomez-Carro S., Farfan-Ale J., Savic D., Muller-Karger F., Application of artificial neural networks for dengue fever outbreak predictions in the Northwest Coast of Yucatan, Mexico and San Juan Puerto Rico, Trop Med Infect Dis, 3, (2018); Poh A.H., Mahamd Adikan F.R., Moghavvemi M., Syed Omar S.F., Poh K., Hisyam Mahyuddin M.B., Yan G., Azizah Ariffin M.A., Harun S.W., Precursors to non-invasive clinical dengue screening: Multivariate signature analysis of in-vivo diffuse skin reflectance spectroscopy on febrile patients in Malaysia, Plos ONE, 15, pp. 1-22, (2020); Silitonga P., Dewi B.E., Bustamam A., Al-Ash H.S., Evaluation of dengue model performances developed using artificial neural network and random forest classifiers, Procedia Comput Sci, 179, pp. 135-143, (2021); Gambhir S., Malik S.K., Kumar Y., The diagnosis of dengue disease: An evaluation of three machine learning approaches, Int J Healthc Inf Syst Informatics, 13, pp. 1-19, (2018); Fathima A.S., Manimeglai D., Predictive analysis for the arbovirus-dengue using SVM classification, Int J Eng Technol, 2, pp. 521-527, (2012); Sungheetha A., Sharma R., Design an early detection and classification for diabetic retinopathy by deep feature extraction based convolution neural network, J Trends Comput Sci Smart Technol, 3, pp. 81-94, (2021); Tripathi M., Sentiment analysis of Nepali COVID19 tweets using NB, SVM and LSTM, J Artif Intell Capsul Networks, 3, pp. 151-168, (2021)</t>
  </si>
  <si>
    <t xml:space="preserve">T. Rahman; Department of Computer Science and Engineering, Daffodil International University, Dhaka, Bangladesh; email: tasmiah15-8805@diu.edu.bd</t>
  </si>
  <si>
    <t xml:space="preserve">2-s2.0-85140245365</t>
  </si>
  <si>
    <t xml:space="preserve">Aggarwal S.; Vaid A.; Kaushik P.; Goel A.; Kamboj A.</t>
  </si>
  <si>
    <t xml:space="preserve">Aggarwal, Swati (55417140800); Vaid, Akhil (57821844500); Kaushik, Paras (57821081900); Goel, Anirudh (57821082000); Kamboj, Aniket (57821597200)</t>
  </si>
  <si>
    <t xml:space="preserve">55417140800; 57821844500; 57821081900; 57821082000; 57821597200</t>
  </si>
  <si>
    <t xml:space="preserve">Performance Evaluation of EfficientNet Model Towards Malaria Parasite Detection in Segmented Blood Cells from Thin-Blood Smear Images</t>
  </si>
  <si>
    <t xml:space="preserve">Malaria is a potentially fatal disease caused by infected Anopheles mosquitoes. Traditional diagnosis of malaria involves examination of thin blood smear slides under a microscope by trained microscopists to detect infected blood cells. This process is expensive, and results depend both on the quality of smear and on the expertise of the microscopist. Thus, work done in this field is focussed on automating this detection of infected cells. Early work for this task included using hand-engineered features and machine learning algorithms. This approach was taken over by the advent of CNNs which provided an end-to-end solution, right from feature extraction to classification. Work done in this field thus shifted towards using state-of-the-art CNNs. The authors of this paper found that most of the existing models that had been used for this problem had good classification accuracy but had big sizes that could not be run on a normal computing device. They identified that a new set of state-of-the-art CNNs, called EfficientNets which promised similar performance at much smaller sizes, had not been used for this task. So, they worked to evaluate the performance of EfficientNet models for this medical image classification task. The authors trained the EfficientNet-B0 model on the malaria images dataset taken from the National Library of Medicine (NLM) (Dataset used: https://lhncbc.nlm.nih.gov/LHC-publications/pubs/MalariaDatasets.html ). The authors then computed the key performance parameters of the model and compared them against the existing models for this problem. The work done showed that using Efficient-Net models for this task achieved similar accuracy to existing models and significantly reduced the number of parameters. © 2023, The Author(s), under exclusive license to Springer Nature Singapore Pte Ltd.</t>
  </si>
  <si>
    <t xml:space="preserve">Lecture Notes in Computational Vision and Biomechanics</t>
  </si>
  <si>
    <t xml:space="preserve">Springer Science and Business Media B.V.</t>
  </si>
  <si>
    <t xml:space="preserve">10.1007/978-981-19-0151-5_11</t>
  </si>
  <si>
    <t xml:space="preserve">https://www.scopus.com/inward/record.uri?eid=2-s2.0-85135067868&amp;doi=10.1007%2f978-981-19-0151-5_11&amp;partnerID=40&amp;md5=115bf46c1ce402a4c17960817978723d</t>
  </si>
  <si>
    <t xml:space="preserve">Department of Computer Engineering, Netaji Subhas University of Technology, New Delhi, India</t>
  </si>
  <si>
    <t xml:space="preserve">Aggarwal S., Department of Computer Engineering, Netaji Subhas University of Technology, New Delhi, India; Vaid A., Department of Computer Engineering, Netaji Subhas University of Technology, New Delhi, India; Kaushik P., Department of Computer Engineering, Netaji Subhas University of Technology, New Delhi, India; Goel A., Department of Computer Engineering, Netaji Subhas University of Technology, New Delhi, India; Kamboj A., Department of Computer Engineering, Netaji Subhas University of Technology, New Delhi, India</t>
  </si>
  <si>
    <t xml:space="preserve">Blood smear slides; CNN; EfficientNet; Malaria</t>
  </si>
  <si>
    <t xml:space="preserve">Krizhevsky A., Sutskever I., Hinton G.E., Imagenet classification with deep convolutional neural networks, Adv Neural Inf Process Syst, 25, pp. 1097-1105, (2012); Simonyan K., Zisserman A., Very Deep Convolutional Networks for Large-Scale Image Recognition. Arxiv Preprint Arxiv, 1409, (2014); He K., Et al., Deep residual learning for image recognition, In: Proceedings of the IEEE Conference on Computer Vision and Pattern Recognition, (2016); Chollet F., Xception: Deep learning with depthwise separable convolutions, Proceedings of the IEEE Conference on Computer Vision and Pattern Recognition, (2017); Rajaraman S., Et al., Pre-trained convolutional neural networks as feature extractors toward improved malaria parasite detection in thin blood smear images, Peerj, 6, (2018); Tan M., Le Q., Efficientnet: Rethinking model scaling for convolutional neural networks, International Conference on Machine Learning, (2019); Rajaraman S., Jaeger S., Antani S.K., Performance evaluation of deep neural ensembles toward malaria parasite detection in thin-blood smear images, Peerj, 7, (2019)</t>
  </si>
  <si>
    <t xml:space="preserve">A. Vaid; Department of Computer Engineering, Netaji Subhas University of Technology, New Delhi, India; email: akhilvaid21@gmail.com</t>
  </si>
  <si>
    <t xml:space="preserve">Lectur. Notes Comput. Vis. Biomech.</t>
  </si>
  <si>
    <t xml:space="preserve">2-s2.0-85135067868</t>
  </si>
  <si>
    <t xml:space="preserve">Chinnathambi D.; Ravi S.; Matheen M.A.; Pandiaraj S.</t>
  </si>
  <si>
    <t xml:space="preserve">Chinnathambi, Dhaya (55305726000); Ravi, Srivel (57207013398); Matheen, Mohammed Abdul (57614797100); Pandiaraj, Saravanan (57209065857)</t>
  </si>
  <si>
    <t xml:space="preserve">55305726000; 57207013398; 57614797100; 57209065857</t>
  </si>
  <si>
    <t xml:space="preserve">Quantum computing for dengue fever outbreak prediction: Machine learning and genetic hybrid algorithms approach</t>
  </si>
  <si>
    <t xml:space="preserve">Dengue virus infection originates from the Aedes mosquito species. The authors propose a novel para¬digm to revolutionize dengue fever detection and recommendation systems by leveraging the potential of quantum computing. Using meteorological data and past dengue cases, they create a prediction frame¬work that goes beyond traditional constraints. Quantum machine learning methods are proposed for discovering hidden patterns within enormous datasets, allowing them to identify detailed relationships between environmental conditions and illness occurrences. Traditional machine learning algorithms are all part of our strategy. Quantum optimization techniques further optimize these models, enhancing predictive accuracy while minimizing resource consumption. As we navigate challenges such as data integrity, model validation, and quantum hardware constraints, interdisciplinary collaboration between epidemiologists, quantum scientists, and healthcare experts becomes paramount. The analytical results from data show improvement in more cases of dengue prediction in the various districts of Tamil Nadu. © 2024, IGI Global. All rights reserved.</t>
  </si>
  <si>
    <t xml:space="preserve">Quantum Innovations at the Nexus of Biomedical Intelligence</t>
  </si>
  <si>
    <t xml:space="preserve">10.4018/979-8-3693-1479-1.ch010</t>
  </si>
  <si>
    <t xml:space="preserve">https://www.scopus.com/inward/record.uri?eid=2-s2.0-85183801852&amp;doi=10.4018%2f979-8-3693-1479-1.ch010&amp;partnerID=40&amp;md5=c3e065a3ccc695291d9293b4ae8892f3</t>
  </si>
  <si>
    <t xml:space="preserve">Adhiparasakthi Engineering College, India; King Saud University, Saudi Arabia</t>
  </si>
  <si>
    <t xml:space="preserve">Chinnathambi D., Adhiparasakthi Engineering College, India; Ravi S., Adhiparasakthi Engineering College, India; Matheen M.A., King Saud University, Saudi Arabia; Pandiaraj S., King Saud University, Saudi Arabia</t>
  </si>
  <si>
    <t xml:space="preserve">AdiasSabara M., Somantri O., Nurcahyo H., Diagnosis classification of dengue fever based on Neural Networks and Genetic algorithms, IOP Conf. Series: Journal of Physics: Conf. Series, 1175, (2019); Bhatt S., Gething P.W., Brady O.J., Messina J.P., Farlow A.W., Moyes C.L., Drake J.M., Brownstein J.S., Hoen A.G., Sankoh O., Myers M.F., George D.B., Jaenisch T., Wint G.R.W., Simmons C.P., Scott T.W., Farrar J.J., Hay S.I., The global distribution and burden of dengue, Nature, 496, 7446, pp. 504-507, (2013); Blackburn G.L., Wang K.A., Dietary fat reduction and Dengue Disease outcome: Results from the Women's Intervention Nutrition Study (WINS), IEEE International Journal of Computer Science and Engineering, 32, (2013); Boyapati S., Swarna S.R., Kumar A., Quantum Neural Networks for Dynamic Route Identification to avoid traffic, 2020 Fourth International Conference on I-SMAC (IoT in Social, Mobile, Analytics and Cloud) (I-SMAC), (2020); Chandrasekaran S., Agrawal R., Dutt V., Vyas N., Improved Healthcare System with Quantum Computing, 2023 International Conference on Artificial Intelligence and Smart Communication (AISC), (2023); Diana N., Tarmizi A., Jamaluddin F., Bakar A.A., Othman Z.A., Zainudin S., Hamdan A.R., Malaysia Dengue Outbreak Detection Using Data Mining Models, Journal of Data Mining &amp; Knowledge Management Process, 4, pp. 96-107, (2013); Gage M., Wattendorf D., Translational advances regarding hereditary Dengue Disease syndromes, IEEE International Journal of Computer Science and Engineering, (2012); Gomes A.L.V., Wee L.J.K., Khan A.M., Gil L.H.V.G., Marques E.T.A., Silva C.E.C., Tan T.W., Classification of Dengue Fever Patients Based on Gene Expression Data Using Support Vector Machines, PLoS One, 5, 6, (2010); Iqbal N., Islam M., Machine learning for dengue outbreak prediction: An outlook, International Journal of Advanced Research in Computer Science, 8, 1, (2017); Kumar A.P.M., Devi C., Karthick P., Ganesan M., Madhan A.S., Dengue Disease Prediction Using Decision Tree and Support Vector Machine, SSRG International Journal of Computer Science and Engineering, (2017); Kumar S.A., Kumar A., Dutt V., Agrawal R., Multi Model Implementation on General Medicine Prediction with Quantum Neural Networks, 2021 Third International Conference on Intelligent Communication Technologies and Virtual Mobile Networks (ICICV), (2021); Lai Y.-H., Temperature Factor Affecting Dengue Fever Incidence in Southern Taiwan, Asian Journal of Humanities and Social Studies, 2, 5, (2014); Muhilthini P., Meenakshi B.S., Lekha S.L., Santhanalakshmi S.T., Dengue Possibility Forecasting Model using Machine Learning Algorithms, International Research Journal of Engineering and Technology (IRJET), 5, 3, (2018); Raturi R., Kumar A., Vyas N., Dutt V., A Novel Approach for Anomaly Detection in TimeSeries Data using Generative Adversarial Networks, 2023 International Conference on Sustainable Computing and Smart Systems (ICSCSS), (2023); Sanjudevi R., Savitha D., Dengue Fever Prediction Using Classification Techniques, International Research Journal of Engineering and Technology (IRJET), 6, 2, (2019); Siriyasatien P., Chadsuthi S., Jampachaisri K., Kesorn K., Dengue Epidemics Prediction: A Survey of the State-of-the-Art Based on Data Science Processes, IEEE Access: Practical Innovations, Open Solutions, 6, pp. 53757-53795, (2018); Swarna S.R., Kumar A., Dixit P., Sairam T.V.M., Parkinson's Disease Prediction using Adaptive Quantum Computing, 2021 Third International Conference on Intelligent Communication Technologies and Virtual Mobile Networks (ICICV), (2021); Vijay Sai R., Madhiarasi S., Keerthana S., Preethi S., A Competent Approach to Predict Dengue Diseases using a Hybrid Approach in Machine Learning algorithm, International Journal of Engineering Research &amp; Technology, (2020); Wu P.C., Guo H.R., Lung S.C., Lin C.Y., Su H.J., Weather as an effective predictor for the occurrence of dengue fever in Taiwan, Acta Tropica, 103, 1, pp. 50-57, (2007); Wu Y., Lee G., Fu X., Hung T., Detect Climatic Factors Contributing to Dengue Outbreak based on Wavelet, Support Vector Machines and Genetic Algorithm, Proceedings of the World Congress on Engineering 2008, (2008)</t>
  </si>
  <si>
    <t xml:space="preserve">979-836931480-7; 979-836931479-1</t>
  </si>
  <si>
    <t xml:space="preserve">Quantum Innov. at the Nexus of Biomed. Intell.</t>
  </si>
  <si>
    <t xml:space="preserve">2-s2.0-85183801852</t>
  </si>
  <si>
    <t xml:space="preserve">Moemen Y.S.; Alshater H.; El-Sayed I.E.-T.</t>
  </si>
  <si>
    <t xml:space="preserve">Moemen, Yasmine S (57192270159); Alshater, Heba (25640723600); El-Sayed, Ibrahim El-Tantawy (57226552985)</t>
  </si>
  <si>
    <t xml:space="preserve">57192270159; 25640723600; 57226552985</t>
  </si>
  <si>
    <t xml:space="preserve">The Influence of Climate Change on the Re-emergence of Malaria Using Artificial Intelligence</t>
  </si>
  <si>
    <t xml:space="preserve">The potential epidemic of malaria disease in tropical areas that are already sensitive to such disease could rise due to climate change where malaria hinders Africa’s economic growth. About 90% of deaths occurred in Africa, where ecosystem and climate conditions promote malaria-transmitting insects. Various malaria epidemic prediction systems have been established to limit disease outbreaks in some African nations. Although, better models with higher forecast abilities based on non-seasonal climatic factors are needed. Climate variables (precipitation, temperature and surface radiation) play an important role in the occurrence of malaria. This work climate demonstrates variability in classifying malaria incidence in six Sub-Saharan African nations over 28 years from previous work. An early detection system has been developed to monitor the spread of malaria. When it comes to public health, new data-driven knowledge discovery systems could help public health professionals to understand how climate change affects health, build relevant preventive and adaptive measures to save lives. © 2023, The Author(s), under exclusive license to Springer Nature Switzerland AG.</t>
  </si>
  <si>
    <t xml:space="preserve">Studies in Big Data</t>
  </si>
  <si>
    <t xml:space="preserve">10.1007/978-3-031-22456-0_14</t>
  </si>
  <si>
    <t xml:space="preserve">https://www.scopus.com/inward/record.uri?eid=2-s2.0-85150207463&amp;doi=10.1007%2f978-3-031-22456-0_14&amp;partnerID=40&amp;md5=2caa8ec1e2b26a5dbd71de6f887de88e</t>
  </si>
  <si>
    <t xml:space="preserve">Clinical Pathology Department, National Liver Institute, Menoufia University, Menoufia, Egypt; Department of Forensic Medicine and Clinical Toxicology, University Hospital, Menoufia University, Shebin El-Kom, Egypt; Chemistry Department, Faculty of Science, Menoufia University, Menoufia, Egypt; Scientific Research Group in Egypt (SRGE), Cairo, Egypt</t>
  </si>
  <si>
    <t xml:space="preserve">Moemen Y.S., Clinical Pathology Department, National Liver Institute, Menoufia University, Menoufia, Egypt, Scientific Research Group in Egypt (SRGE), Cairo, Egypt; Alshater H., Department of Forensic Medicine and Clinical Toxicology, University Hospital, Menoufia University, Shebin El-Kom, Egypt, Scientific Research Group in Egypt (SRGE), Cairo, Egypt; El-Sayed I.E.-T., Chemistry Department, Faculty of Science, Menoufia University, Menoufia, Egypt, Scientific Research Group in Egypt (SRGE), Cairo, Egypt</t>
  </si>
  <si>
    <t xml:space="preserve">Climate change; Ensemble learning; Machine learning; Malaria; Nio cycle; SVM model; VECTOR model</t>
  </si>
  <si>
    <t xml:space="preserve">Climate models; Diseases; Economics; Learning systems; Machine learning; Public health; Tropics; African nations; Climate condition; Economic growths; Ensemble learning; Machine-learning; Malaria; Nio cycle; Prediction systems; SVM model; VECTOR model; Climate change</t>
  </si>
  <si>
    <t xml:space="preserve">Jetten T.H., Martens W.J.M., Takken W., Model simulations to estimate malaria risk under climate change, Journal of Medical Entomology, 33, 3, pp. 361-371, (1996); Rogers D.J., Changes in disease vector distributions, Climate Change and Southern Africa: An Exploration of Some Potential Impacts and Implications in the SADC Region (Pp. 49–, (1996); Sutherst R.W., Implications of global change and climate variability for vector-borne diseases: Generic approaches to impact assessments, International Journal for Parasitology, 28, 6, pp. 935-945, (1998); Fact Sheet 192: El Niño and Its Health Impact, (2002); Krishnamurti T.N., Chakraborti A., Mehta V.M., Mehta A.V., Experimental Prediction of Climate-Related Malaria Incidence. Atelier Sur La Mousson Ses conséquences, (2007); Lomborg B., On Climate Advice to Policy Makers, (2009); Malaria R.B., World Malaria Report, (2005); Roll Back Malaria Partnership. a Global Malaria Action Programme, (2008); Otten M., Cibulskis R.E., Williams R., Global Malaria Programme W.H.O., Aregawi M., World malaria report 2009, World Health Organization, (2009); Tompkins A.M., Thomson M.C., Uncertainty in malaria simulations in the highlands of Kenya: Relative contributions of model parameter setting, driving climate and initial condition errors, Plos ONE, 13, 9, (2018); Nkiruka O., Prasad R., Clement O., Prediction of malaria incidence using climate variability and machine learning, Informatics in Medicine Unlocked, 22, (2021); Wang Z., Et al., The relationship between rising temperatures and malaria incidence in Hainan, China, from 1984 to 2010: A longitudinal cohort study, The Lancet Planetary Health, 6, 4, pp. e350-e358, (2022); Caminade C., Et al., Impact of climate change on global malaria distribution, Proceedings of the National Academy of Sciences, 111, 9, pp. 3286-3291, (2014); Murdock C.C., Sternberg E.D., Thomas M.B., Malaria transmission potential could be reduced with current and future climate change, Science and Reports, 6, 1, pp. 1-7, (2016); Fall P., Diouf I., Deme A., Sene D., Assessment of climate-driven variations in malaria transmission in Senegal using the VECTRI model, Atmosphere (Basel), 13, 3, (2022); Kamana E., Zhao J., Bai D., Predicting the impact of climate change on the reemergence of malaria cases in China using LSTMSeq2Seq deep learning model: A modelling and prediction analysis study, British Medical Journal Open, 12, 3, (2022); Vasant N., Amir A., Roll back malaria?” The scarcity of international aid for malaria control, Malaria Journal, 2, 1, pp. 1-8, (2003); Hoshen M.B., Morse A.P., A weather-driven model of malaria transmission, Malaria Journal, 3, 1, pp. 1-14, (2004); Stark J., Mataya C., Lubovich K., Climate change, adaptation, and conflict: A preliminary review of the issues, United States Agency for International Development—53 Climate Change Conference. Conflict-Sensitive Climate Change Adaptation in Africa, (2009); Gubler D.J., Reiter P., Ebi K.L., Yap W., Nasci R., Patz J.A., Climate variability and change in the United States: Potential impacts on vector-and rodent-borne diseases, Environmental Health Perspectives, 109, pp. 223-233, (2001); Zhou G., Minakawa N., Githeko A.K., Yan G., Climate variability and malaria epidemics in the highlands of East Africa, Trends in Parasitology, 21, 2, pp. 54-56, (2005); Zhou G., Minakawa N., Githeko A.K., Yan G., Association between climate variability and malaria epidemics in the East African highlands, Proceedings of the National Academy of Sciences, 101, 8, pp. 2375-2380, (2004); Pascual M., Ahumada J.A., Chaves L.F., Rodo X., Bouma M., Malaria resurgence in the East African highlands: Temperature trends revisited, Proceedings of the National Academy of Sciences, 103, 15, pp. 5829-5834, (2006); Baldari M., Et al., Malaria in Maremma, Italy, Lancet, 351, 9111, pp. 1246-1247, (1998); Kruger A., Rech A., Su X., Tannich E., Two cases of autochthonous Plasmodium falciparum malaria in Germany with evidence for local transmission by indigenous Anopheles plumbeus, Tropical Medicine and International Health, 6, 12, pp. 983-985, (2001); Hay S.I., Et al., Climate change and the resurgence of malaria in the East African highlands, Nature, 415, 6874, pp. 905-909, (2002); Kuhn K.G., Campbell-Lendrum D.H., Davies C.R., A continental risk map for malaria mosquito (Diptera: Culicidae) vectors in Europe, Journal of Medical Entomology, 39, 4, pp. 621-630, (2002); Fussel H.-M., Klein R., Ebi K., Adaptation assessment for public health, Climate Change and Adaptation Strategies for Human Health, pp. 41-62, (2006); Kim Y., Et al., Malaria predictions based on seasonal climate forecasts in South Africa: A time series distributed lag nonlinear model, Science and Reports, 9, 1, pp. 1-10, (2019); Modu B., Polovina N., Lan Y., Konur S., Asyhari A.T., Peng Y., Towards a predictive analytics-based intelligent malaria outbreak warning system, Applied Sciences, 7, 8, (2017); Wang M., Et al., A novel model for malaria prediction based on ensemble algorithms, Plos ONE, 14, 12, (2019); Thakur S., Dharavath R., Artificial neural network based prediction of malaria abundances using big data: A knowledge capturing approach, Clinical Epidemiology and Global Health, 7, 1, pp. 121-126, (2019); Paolella M.S., Linear Models and Time-Series Analysis: Regression, (2018); Adeola A.M., Et al., Predicting malaria cases using remotely sensed environmental variables in Nkomazi, South Africa, Geospatial Health, 14, 1, (2019); Mopuri R., Kakarla S.G., Mutheneni S.R., Kadiri M.R., Kumaraswamy S., Climate based malaria forecasting system for Andhra Pradesh, India, Journal of Parasitic Diseases, 44, 3, pp. 497-510, (2020); Anwar M.Y., Lewnard J.A., Parikh S., Pitzer V.E., Time series analysis of malaria in Afghanistan: Using ARIMA models to predict future trends in incidence, Malaria Journal, 15, 1, pp. 1-10, (2016); Baghbanzadeh M., Et al., Malaria epidemics in India: Role of climatic condition and control measures, Science of the Total Environment, 712, (2020); Tompkins A.M., Colon-Gonzalez F.J., Di Giuseppe F., Namanya D.B., Dynamical malaria forecasts are skillful at regional and local scales in Uganda up to 4 months ahead, Geohealth, 3, 3, pp. 58-66, (2019); Le P.V.V., Kumar P., Ruiz M.O., Mbogo C., Muturi E.J., Predicting the direct and indirect impacts of climate change on malaria in coastal Kenya, Plos ONE, 14, 2, (2019); Gething P.W., Smith D.L., Patil A.P., Tatem A.J., Snow R.W., Hay S.I., Climate change and the global malaria recession, Nature, 465, 7296, pp. 342-345, (2010); Lysenko A.J., Semashko I.N., Geography of malaria. A medico-geographic profile of an ancient disease, Itogi Nauki: Medicinskaja Geografija, 25, (1968)</t>
  </si>
  <si>
    <t xml:space="preserve">Y.S. Moemen; Clinical Pathology Department, National Liver Institute, Menoufia University, Menoufia, Egypt; email: yasmine_moemen@liver.menofia.edu.eg</t>
  </si>
  <si>
    <t xml:space="preserve">Stud. Big. Data.</t>
  </si>
  <si>
    <t xml:space="preserve">2-s2.0-85150207463</t>
  </si>
  <si>
    <t xml:space="preserve">Ciklacandir F.G.Y.; Cura O.K.</t>
  </si>
  <si>
    <t xml:space="preserve">Ciklacandir, Fatma Gunseli Yasar (57208800971); Cura, Ozlem Karabiber (57195223021)</t>
  </si>
  <si>
    <t xml:space="preserve">57208800971; 57195223021</t>
  </si>
  <si>
    <t xml:space="preserve">A Comparative Study on Different Feature Selection Methods for Malaria Detection</t>
  </si>
  <si>
    <t xml:space="preserve">Early diagnosis and treatment of malaria disease, which has a risk of death, is important. The importance of time has led to the emergence of automation studies in this field. The features drawn from the layers of pool5 and fc1000 of ResNet18 are selected using various feature selection techniques (chi square, MRMR (minimum redundancy maximum relevance), ReliefF, Flap, F test). During the evaluation of the best feature selection approach, it is discovered that the features drawn from pool5 layer give successful results when feature selection is applied with MRMR. When the features captured in different numbers using MRMR are classified, successful results are obtained even when the number of features is 100 or 250. Thus, it has been seen that the features drawn from the pool5 layer of ResNet18 can be classified in a shorter time by reducing them to a smaller number of features thanks to MRMR.  © 2023 IEEE.</t>
  </si>
  <si>
    <t xml:space="preserve">TIPTEKNO 2023 - Medical Technologies Congress, Proceedings</t>
  </si>
  <si>
    <t xml:space="preserve">10.1109/TIPTEKNO59875.2023.10359193</t>
  </si>
  <si>
    <t xml:space="preserve">https://www.scopus.com/inward/record.uri?eid=2-s2.0-85182729457&amp;doi=10.1109%2fTIPTEKNO59875.2023.10359193&amp;partnerID=40&amp;md5=2f799f50f2d23aa3fd7ef3c28af0acd4</t>
  </si>
  <si>
    <t xml:space="preserve">İzmir Kâtip Çelebi University, Computer Engineering Department, İzmir, Turkey; İzmir Kâtip Çelebi University, Biomedical Engineering Department, İzmir, Turkey</t>
  </si>
  <si>
    <t xml:space="preserve">Ciklacandir F.G.Y., İzmir Kâtip Çelebi University, Computer Engineering Department, İzmir, Turkey; Cura O.K., İzmir Kâtip Çelebi University, Biomedical Engineering Department, İzmir, Turkey</t>
  </si>
  <si>
    <t xml:space="preserve">deep learning; feature selection; image processing; malaria</t>
  </si>
  <si>
    <t xml:space="preserve">Deep learning; Diagnosis; Diseases; Image processing; Classifieds; Comparatives studies; Deep learning; Early diagnosis; Feature selection methods; Features selection; Images processing; Malaria; Minimum redundancy-maximum relevances; Selection techniques; Feature Selection</t>
  </si>
  <si>
    <t xml:space="preserve">Malaria; Kunwar S., Shrestha M., Shikhrakar R.M., Malaria detection using image processing and machine learning, (2018); Jdey I., Hcini G., Ltifi H., Deep learning and machine learning for Malaria detection: overview, challenges and future directions, International Journal of Information Technology &amp; Decision Making, pp. 1-27, (2022); Bashir A., Mustafa Z.A., Abdelhameid I., Ibrahem R., Detection of malaria parasites using digital image processing, 2017 International Conference on Communication, Control, Computing and Electronics Engineering (ICCCCEE), pp. 1-5, (2017); Kalkan S.C., Sahingoz O.K., Deep learning based classification of malaria from slide images, 2019 scientific meeting on electrical-electronics &amp; biomedical engineering and computer science (EBBT), pp. 1-4, (2019); Shekar G., Revathy S., Goud E.K., Malaria detection using deep learning, 2020 4th international conference on trends in electronics and informatics (ICOEI)(48184), pp. 746-750, (2020); Maqsood A., Farid M.S., Khan M.H., Grzegorzek M., Deep malaria parasite detection in thin blood smear microscopic images, Applied Sciences, 11, 5, (2021); Diker A., An efficient model of residual based convolutional neural network with Bayesian optimization for the classification of malarial cell images, Computers in Biology and Medicine, 148, 105, pp. 1-12, (2022); Bhuiyan M., Islam M.S., A new ensemble learning approach to detect malaria from microscopic red blood cell images, Sensors International, 4, 100, pp. 1-11, (2023); He K., Zhang X., Ren S., Sun J., Deep residual learning for image recognition, Proceedings of the IEEE conference on computer vision and pattern recognition, pp. 770-778, (2016); Yakut O., Bolat E.D., Arrhythmia Diagnosis from ECG Signal Using Tree-based Machine Learning Methods, EJONS International Journal, 4, 16, pp. 954-964, (2020); He X., Cai D., Niyogi P., Laplacian score for feature selection, Advances in neural information processing systems, (2005); Altiparmak Bilgin A., Comparison of feature selection methods for estimation of body fat percentage, (2022); Kononenko I., Estimating attributes: Analysis and extensions of RELIEF, European conference on machine learning, pp. 171-182, (1994); Kusworo A., Identification of plasmodium falciparum development phase in malaria infected red blood cells using adaptive color segmentation and decision tree based classification, International Journal of Applied Engineering Research, 10, 2, pp. 4043-4055, (2015); O'Meara W.P., Hall B.F., McKenzie F.E., Malaria vaccine efficacy: the difficulty of detecting and diagnosing malaria, Malaria journal, 6, pp. 1-10, (2007); Burges C.J., A tutorial on support vector machines for pattern recognition, Data mining and knowledge discovery, 2, 2, pp. 121-167, (1998)</t>
  </si>
  <si>
    <t xml:space="preserve">2023 Medical Technologies Congress, TIPTEKNO 2023</t>
  </si>
  <si>
    <t xml:space="preserve">10 November 2023 through 12 November 2023</t>
  </si>
  <si>
    <t xml:space="preserve">Famagusta</t>
  </si>
  <si>
    <t xml:space="preserve">979-835032896-7</t>
  </si>
  <si>
    <t xml:space="preserve">TIPTEKNO - Med. Technol. Congr., Proc.</t>
  </si>
  <si>
    <t xml:space="preserve">2-s2.0-85182729457</t>
  </si>
  <si>
    <t xml:space="preserve">A Comprehensive Review of Machine Learning Techniques for Malaria Diagnosis from Blood Samples</t>
  </si>
  <si>
    <t xml:space="preserve">This study paper provides an overview of the use of machine learning techniques for malaria diagnosis. The article looks at a variety of machine learning algorithms, such as supervised and unsupervised learning, deep learning techniques, and hybrid approaches, and how they might be used to diagnose malaria. In addition, widely used data sets and preprocessing methods for detecting malaria are discussed, as well as evaluation metrics for determining how well machine learning models work. The paper highlights how machine learning might improve patient outcomes and change the diagnosis of malaria, particularly in areas with limited resources. The paper concludes with a summary of key findings and contributions, limitations, and open research questions for future work.  © 2023 IEEE.</t>
  </si>
  <si>
    <t xml:space="preserve">2023 IEEE Engineering Informatics, EI 2023</t>
  </si>
  <si>
    <t xml:space="preserve">10.1109/IEEECONF58110.2023.10520640</t>
  </si>
  <si>
    <t xml:space="preserve">https://www.scopus.com/inward/record.uri?eid=2-s2.0-85193918564&amp;doi=10.1109%2fIEEECONF58110.2023.10520640&amp;partnerID=40&amp;md5=9993112d88900d904746211e9779e082</t>
  </si>
  <si>
    <t xml:space="preserve">Hindustan Institute of Technology and Science, Department of Computer Science and Engineering, Chennai, India</t>
  </si>
  <si>
    <t xml:space="preserve">Muhammad Shameem P., Hindustan Institute of Technology and Science, Department of Computer Science and Engineering, Chennai, India; Malarvel M., Hindustan Institute of Technology and Science, Department of Computer Science and Engineering, Chennai, India</t>
  </si>
  <si>
    <t xml:space="preserve">Deep learning; Dimensionality reduction algorithms; Hybrid approaches; Machine learning; Malaria diagnosis; Random forests; Supervised learning; Support vector machines (SVMs); Unsupervised learning</t>
  </si>
  <si>
    <t xml:space="preserve">Deep learning; Diseases; Learning algorithms; Learning systems; Petroleum reservoir evaluation; Unsupervised learning; Blood samples; Deep learning; Dimensionality reduction algorithms; Hybrid approach; Machine learning techniques; Machine-learning; Malaria diagnosis; Random forests; Support vector machine; Support vectors machine; Support vector machines</t>
  </si>
  <si>
    <t xml:space="preserve">World malaria report 2019; Gascoyne P., Satayavivad J., Ruchirawat M., Microfluidic approaches to malaria detection, Acta Tropica, 89, pp. 357-369, (2004); Wongsrichanalai C., Barcus M.J., Muth S., Sutamihardja A., Wernsdorfer W.H., A Review of Malaria Diagnostic Tools: Microscopy and Rapid Diagnostic Test (RDT), (2007); Sankaran S., Malarvel M., Sethumadhavan G., Sahal D., Quantitation of malarial parasitemia in giemsa stained thin blood smears using six sigma threshold as preprocessor, 145, pp. 225-239, (2017); Singh B., Bobogare A., Cox-Singh J., Snounou G., Abdullah M.S., Rahman H.A., A genus-and species-specific nested polymerase chain reaction malaria detection assay for epidemiologic studies, (1999); Olugboja A., Wang Z., Malaria parasite detection using different machine learning classifier, IEEE Xplore, pp. 246-250, (2017); Iradukunda O., Che H., Uwineza J., Bayingana J.Y., Bin-Imam M.S., Niyonzima I., Malaria disease prediction based on machine learning, 2019 IEEE International Conference on Signal, Information and Data Processing (ICSIDP), (2019); Rameen I., Shahadat A., Mehreen M., Razzaq S., Asghar M.A., Khan M.J., Leveraging supervised machine learning techniques for identification of malaria cells using blood smears, IEEE Xplore, pp. 1-6, (2021); Comert G., Begashaw N., Turhan-Comert A., Malaria outbreak detection with machine learning methods, (2020); Paul S., Batra S., A review on computational methods based on machine learning and deep learning techniques for malaria detection, IEEE Xplore, pp. 1-5, (2021); Ch S., Sohani S., Kumar D., Malik A., Chahar B., Nema A., Panigrahi B., Dhiman R., A support vector machine-firefly algorithm based forecasting model to determine malaria transmission, Neurocomputing, 129, pp. 279-288, (2014); Pinkaew A., Limpiti T., Trirat A., Automated classification of malaria parasite species on thick blood film using support vector machine, (2015); Umic D., Keco D., Masetic Z., Automatization of microscopy malaria diagnosis using computer vision and random forest method, IFAC-PapersOnLine, 55, pp. 80-84, (2022); Lee Y.W., Choi J.W., Shin E.-H., Machine learning model for predicting malaria using clinical information, Computers in Biology and Medicine, 129, (2021); Pattanaik P.A., Mittal M., Khan M.Z., Unsupervised deep learning cad scheme for the detection of malaria in blood smear microscopic images, IEEE Access, 8, pp. 94936-94946, (2020); Haddawy P., Yin M.S., Wisanrakkit T., Limsupavanich R., Promrat P., Lawpoolsri S., Sa-Angchai P., Complexity-based spatial hierarchical clustering for malaria prediction, Journal of healthcare informatics research, 2, pp. 423-447, (2018); Sinaga K.P., Yang M.-S., Unsupervised k-means clustering algorithm, IEEE Access, 8, pp. 80716-80727, (2020); Basak J., Krishnapuram R., Interpretable hierarchical clustering by constructing an unsupervised decision tree, IEEE Transactions on Knowledge and Data Engineering, 17, pp. 121-132, (2005); Day W.H.E., Edelsbrunner H., Efficient algorithms for agglomerative hierarchical clustering methods, Journal of Classification, 1, pp. 7-24, (1984); Guenoche A., Hansen P., Jaumard B., Efficient algorithms for divisive hierarchical clustering with the diameter criterion, Journal of Classification, 8, pp. 5-30, (1991); Wang W.-T., Wu Y.-L., Tang C.-Y., Hor M.-K., Adaptive densitybased spatial clustering of applications with noise (dbscan) according to data, IEEE Xplore, pp. 445-451, (2015); Amer M., Goldstein M., Abdennadher S., Enhancing one-class support vector machines for unsupervised anomaly detection, Proceedings of the ACM SIGKDD Workshop on Outlier Detection and Description-ODD '13, (2013); Arowolo M.O., Adebiyi M.O., Adebiyi A.A., Olugbara O., Optimized hybrid investigative based dimensionality reduction methods for malaria vector using knn classifier, Journal of Big Data, 8, (2021); Omucheni D.L., Kaduki K.A., Bulimo W.D., Angeyo H.K., Application of principal component analysis to multispectral-multimodal optical image analysis for malaria diagnostics, Malaria Journal, 13, (2014); Buczak A.L., Baugher B., Guven E., Ramac-Thomas L.C., Elbert Y., Babin S.M., Lewis S.H., Fuzzy association rule mining and classification for the prediction of malaria in south korea, BMC Medical Informatics and Decision Making, 15, (2015); Mehanian C., Jaiswal M., Delahunt C., Thompson C., Horning M., Hu L., Ostbye T., McGuire S., Mehanian M., Champlin C., Wilson B., Long E., Proux S., Gamboa D., Chiodini P., Carter J., Dhorda M., Isaboke D., Ogutu B., Oyibo W., Villasis E., Myo Tun K., Bachman C., Bell D., Computer-automated malaria diagnosis and quantitation using convolutional neural networks, pp. 116-125, (2017); Alonso-Ramirez A.A., Mwata-Velu T., Garcia-Capulin C.H., Rostro-Gonzalez H., Prado-Olivarez J., Gutierrez-Lopez M., Barranco-Gutierrez A.I., Classifying parasitized and uninfected malaria red blood cells using convolutional-recurrent neural networks, IEEE Access, 10, pp. 97348-97359, (2022); Jdey I., Hcini G., Ltifi H., Deep learning and machine learning for malaria detection: overview, challenges and future directions, (2022)</t>
  </si>
  <si>
    <t xml:space="preserve">M. Malarvel; Hindustan Institute of Technology and Science, Department of Computer Science and Engineering, Chennai, India; email: mmuthu@hindustanuniv.ac.in</t>
  </si>
  <si>
    <t xml:space="preserve">et al.; IEEE SSIT; IEEE Victorian Section Australia; IMOVE; Swinburne University of Technology; Victorian Hydrogen Hub (VH2)</t>
  </si>
  <si>
    <t xml:space="preserve">2023 IEEE Conference on Engineering Informatics, EI 2023</t>
  </si>
  <si>
    <t xml:space="preserve">22 November 2023 through 23 November 2023</t>
  </si>
  <si>
    <t xml:space="preserve">Melbourne</t>
  </si>
  <si>
    <t xml:space="preserve">979-835033852-2</t>
  </si>
  <si>
    <t xml:space="preserve">IEEE Eng. Informatics, EI</t>
  </si>
  <si>
    <t xml:space="preserve">2-s2.0-85193918564</t>
  </si>
  <si>
    <t xml:space="preserve">Pavan P.A.; Sattibabu; Kumar J.M.S.V.R.</t>
  </si>
  <si>
    <t xml:space="preserve">Pavan, Prayaga Atchyut (58308156900); Sattibabu (58307718100); Kumar, J. M. S. V. Ravi (57218938456)</t>
  </si>
  <si>
    <t xml:space="preserve">58308156900; 58307718100; 57218938456</t>
  </si>
  <si>
    <t xml:space="preserve">A deep learning approach to detect malaria</t>
  </si>
  <si>
    <t xml:space="preserve">The health agency has a lot of work on its hands, since malaria is the world's deadliest disease. For many years, a blood smear has been used to diagnose malaria. Microscopy done in the laboratory by skilled professionals for parasite-infected red blood cells among human people. This process is unsuccessful, and the diagnosis is based on the physician's skill and knowledge. For the test, a well-informed person is needed. Using learning algorithms, deep Malaria blood was examined. In the past, smears were used to determine a diagnosis; but, in the actual world, performance is what counts. This hasn't sufficed so far. We provide a new and creative way of thinking about this topic throughout this post This extremely sturdy machine learning model makes use of aA CNN that classifies and detects things on ancient research skinny blood smears with infected cells a group of magnifier slides ten-fold improvement in sensitivity within the cross-validation layer The technique through that the cell's parameter is understood during this study may be a cnn trained on 23,558 single-cell pictures. There square measure 3 sorts to decide on from. CNN models square measure contrasted by their accuracy and select ability. VGG-16 Frozen CNN, and VGG-16 Basic CNN square measure all terribly correct. I had already seen CNN. you'll be able to decide that model is that the most correct of the 3 models examined by scrutiny the exactness of 2 measurements. © 2023 Author(s).</t>
  </si>
  <si>
    <t xml:space="preserve">American Institute of Physics Inc.</t>
  </si>
  <si>
    <t xml:space="preserve">10.1063/5.0113581</t>
  </si>
  <si>
    <t xml:space="preserve">https://www.scopus.com/inward/record.uri?eid=2-s2.0-85161386702&amp;doi=10.1063%2f5.0113581&amp;partnerID=40&amp;md5=5899b637afee19acb5d5b44094b838fa</t>
  </si>
  <si>
    <t xml:space="preserve">Godavari Institute of Engineering and Technology, Department of Computer Science and Engineering, NH-16, Andhra Pradesh, East Godavari, 533296, India</t>
  </si>
  <si>
    <t xml:space="preserve">Pavan P.A., Godavari Institute of Engineering and Technology, Department of Computer Science and Engineering, NH-16, Andhra Pradesh, East Godavari, 533296, India; Sattibabu, Godavari Institute of Engineering and Technology, Department of Computer Science and Engineering, NH-16, Andhra Pradesh, East Godavari, 533296, India; Kumar J.M.S.V.R., Godavari Institute of Engineering and Technology, Department of Computer Science and Engineering, NH-16, Andhra Pradesh, East Godavari, 533296, India</t>
  </si>
  <si>
    <t xml:space="preserve">CNN; F1 Score; OpenCV; Specificity; VGG</t>
  </si>
  <si>
    <t xml:space="preserve">Liu S., Deng W., Exceptionally profound convolutional neural organization based picture arrangement with little preparing test size," in "extremely profound convolutional neural organization based picture order with little preparing test size," in "profound convolutional neural organization based picture grouping with little preparing test size, The Third Asian Conference on Pattern Recognition, Coordinated by the International Association for Pattern Recognition (IAPR), Occurred In. (ACPR), (2015); Hatami N., Gavet Y., Debayale J., Grouping of time-series pictures utilizing profound convolutional neural organizations, The ICMV 2017 Is the 10th Worldwide Meeting on Machine Vision, 10696; Ross N.E., Pitchard C.J., Rubin D.M., Duse A.G., Mechanized Picture Preparing Method for the Location and Classification of Jungle Fever on Meager Blood Spreads, 44; Khatri K.M., Ratnaparkhe V.R., Agarwal S.S., Bhalchandra A.S., Picture handling strategy for malarial parasite recognizable proof, International Journal of Computer Application; Makkapati V.V., Rao R.M., Division of malarial parasites in fringe blood smear pictures, IEEE International Conference on Acoustics, Speech and Signal Processing; Dallet C., Kareem S., Kale I., Ongoing blood picture preparing application for jungle fever location using cell phones, IEEE International Symposium on Circuits and Systems (ISCAS); Liang Z., Powell A., Ilkerersoy M., Silmaut K., Palani K., CNN-based picture investigation for jungle fever finding, IEEE International Conference on Bioinformatics and Biomedicine (BIBM); Dong Y., Jiang Z., Hongdashen, Pan W.D., Williams L.A., Reddy V.V.B., Assessments of profound convolutional neural organization for mechanized discovery of jungle fever contaminated cells, IEEE EMBS International Conference on Biomedical and Health Informatics (BHI); Siva G., Gopakumar, Swetha M., From a pile of blood smear pictures got utilizing a specially fabricated slide scanner, convolutional neural organization based jungle fever determination, Journal of Biophontics, 11, 3; Satayavivad J., Ruchirawat M., Gascoyne P., Microfludic strategies to intestinal sickness identification, ActaTropica, 89, 3; Vadavalli A., Subhashini R., Profound Learning based truth revelation technique for exploring the credibility of a given book corpus, International Journal of Recent Technology and Engineering, (2019); Subhashini R., Nithin T.N.R., Koushik U.M.S., Diabetic Retinopathy Detection Using Image Processing (GUI, International Journal of Recent Technology and Engineering, (2019); Madhukeerthana Y., Bevishjinila, A Review on Rough Set Theory in Medical Images, Research Journal of Pharmaceutical, Biological, and Chemical Sciences, 7, 1, pp. 815-822</t>
  </si>
  <si>
    <t xml:space="preserve">P.A. Pavan; Godavari Institute of Engineering and Technology, Department of Computer Science and Engineering, East Godavari, NH-16, Andhra Pradesh, 533296, India; email: pavan.ramarao04@gmail.com</t>
  </si>
  <si>
    <t xml:space="preserve">Anand A.V.; Reddy M.V.; Gupta M.S.</t>
  </si>
  <si>
    <t xml:space="preserve">2021 International Conference on Advancements in Aeromechanical Materials for Manufacturing, ICAAMM 2021</t>
  </si>
  <si>
    <t xml:space="preserve">27 August 2021 through 28 August 2021</t>
  </si>
  <si>
    <t xml:space="preserve">Hyderabad</t>
  </si>
  <si>
    <t xml:space="preserve">978-073544438-6</t>
  </si>
  <si>
    <t xml:space="preserve">2-s2.0-85161386702</t>
  </si>
  <si>
    <t xml:space="preserve">Narayanan B.N.; De Silva M.S.; Hardie R.C.</t>
  </si>
  <si>
    <t xml:space="preserve">Narayanan, Barath Narayanan (56188467100); De Silva, Manawaduge Supun (57217729638); Hardie, Russell C. (7103309107)</t>
  </si>
  <si>
    <t xml:space="preserve">56188467100; 57217729638; 7103309107</t>
  </si>
  <si>
    <t xml:space="preserve">A Patient Specific Algorithm for Plasmodium Malaria Detection on Cell Images</t>
  </si>
  <si>
    <t xml:space="preserve">Computer-aided detection of plasmodium malaria on cell images from digital microscopy provides an invaluable second opinion to medical experts. Traditionally, well-established deep learning algorithms are widely used to detect plasmodium, but these techniques have not been deployed due to the uninterpretable nature of the decisions made by the network. To address this, we present an ensemble method that fuses the predictions based on the class activation mapping (CAM) results from multiple networks via a novel selector network. We study the performance on a publicly available dataset of cell images by using three convolutional neural network architectures, Xception, ResNet50, and InceptionV3,to produce CAM results for the selector network and performance comparison. Our proposed approach helps enhance doctors' trust and outperforms the traditional methods by 1%.  © 2023 IEEE.</t>
  </si>
  <si>
    <t xml:space="preserve">Proceedings of the IEEE National Aerospace Electronics Conference, NAECON</t>
  </si>
  <si>
    <t xml:space="preserve">10.1109/NAECON58068.2023.10365991</t>
  </si>
  <si>
    <t xml:space="preserve">https://www.scopus.com/inward/record.uri?eid=2-s2.0-85182399458&amp;doi=10.1109%2fNAECON58068.2023.10365991&amp;partnerID=40&amp;md5=ee465b6d8e04dffcbe8e414e8d91c2d5</t>
  </si>
  <si>
    <t xml:space="preserve">University of Dayton Research Institute, Sensor and Software Systems Division, Dayton, United States; University of Dayton, Department of Electrical and Computer Engineering, Dayton, United States</t>
  </si>
  <si>
    <t xml:space="preserve">Narayanan B.N., University of Dayton Research Institute, Sensor and Software Systems Division, Dayton, United States; De Silva M.S., University of Dayton, Department of Electrical and Computer Engineering, Dayton, United States; Hardie R.C., University of Dayton, Department of Electrical and Computer Engineering, Dayton, United States</t>
  </si>
  <si>
    <t xml:space="preserve">Classification; Computer Aided Detection; Grader Network; Malaria Detection; Patient-Specific Algorithm</t>
  </si>
  <si>
    <t xml:space="preserve">Computer aided diagnosis; Deep learning; Image classification; Medical computing; Medical imaging; Network architecture; Activation mapping; Cell images; Computer aided detection; Digital microscopy; Grader network; Malaria detection; Medical experts; Patient specific; Patient-specific algorithm; Second opinions; Diseases</t>
  </si>
  <si>
    <t xml:space="preserve">Poostchi M., Silamut K., Maude R.J., Jaeger S., Thoma G., Image analysis and machine learning for detecting malaria, Translational Research, 194, pp. 36-55, (2018); Liang Z., Powell A., Ersoy I., Poostchi M., Silamut K., Palaniappan K., Guo P., Hossain M.A., Sameer A., Maude R.J., Et al., Cnn-based image analysis for malaria diagnosis, 2016 Ieee International Conference on Bioinformatics and Biomedicine (BIBM), pp. 493-496, (2016); Ali R., Hardie R.C., Narayanan B.N., Kebede T.M., Imnets: Deep learning using an incremental modular network synthesis approach for medical imaging applications, Applied Sciences, 12, 11, (2022); Fuhad K., Tuba J.F., Sarker M.R.A., Momen S., Mohammed N., Rahman T., Deep learning based automatic malaria parasite detection from blood smear and its smartphone based application, Diagnostics, 10, 5, (2020); Cristianini N., Shawe-Taylor J., An Introduction to Support Vector Machines and Other Kernel-based Learning Methods, (2000); Dong Y., Jiang Z., Shen H., Pan W.D., Williams L.A., Reddy V.V., Benjamin W.H., Bryan A.W., Evaluations of deep convolutional neural networks for automatic identification of malaria infected cells, 2017 Ieee Embs International Conference on Biomedical &amp; Health Informatics (BHI), pp. 101-104, (2017); Narayanan B.N., Ali R., Hardie R.C., Performance analysis of machine learning and deep learning architectures for malaria detection on cell images, Applications of Machine Learning, pp. 240-247, (2019); Hemachandran K., Alasiry A., Marzougui M., Ganie S.M., Pise A.A., Alouane M.T.-H., Chola C., Performance analysis of deep learning algorithms in diagnosis of malaria disease, Diagnostics, 13, 3, (2023); Rahman A., Zunair H., Rahman M.S., Yuki J.Q., Biswas S., Alam M.A., Alam N.B., Mahdy M., Improving Malaria Parasite Detection from Red Blood Cell Using Deep Convolutional Neural Networks, (2019); Ragb H.K., Dover I.T., Ali R., Deep convolutional neural network ensemble for improved malaria parasite detection, 2020 Ieee Applied Imagery Pattern Recognition Workshop (AIPR), pp. 1-10, (2020); Bhuiyan M., Islam M.S., A new ensemble learning approach to detect malaria from microscopic red blood cell images, Sensors International, 4, (2023); Simonyan K., Zisserman A., Very Deep Convolutional Networks for Large-scale Image Recognition, (2014); Chollet F., Xception: Deep learning with depthwise separable convolutions, Proceedings of the Ieee Conference on Computer Vision and Pattern Recognition, pp. 1251-1258, (2017); Szegedy C., Vanhoucke V., Ioffe S., Shlens J., Wojna Z., Rethinking the inception architecture for computer vision, Proceedings of the Ieee Conference on Computer Vision and Pattern Recognition, pp. 2818-2826, (2016); Huang G., Liu Z., Van Der Maaten L., Weinberger K.Q., Densely connected convolutional networks, Proceedings of the Ieee Conference on Computer Vision and Pattern Recognition, pp. 4700-4708, (2017); De Silva M.S., Narayanan B.N., Hardie R.C., A patient-specific algorithm for lung segmentation in chest radiographs, Ai, 3, 4, pp. 931-947, (2022); He K., Zhang X., Ren S., Sun J., Deep residual learning for image recognition, Proceedings of the Ieee Conference on Computer Vision and Pattern Recognition, pp. 770-778, (2016); Zhou B., Khosla A., Lapedriza A., Oliva A., Torralba A., Learning deep features for discriminative localization, Proceedings of the Ieee Conference on Computer Vision and Pattern Recognition, pp. 2921-2929, (2016); Rajaraman S., Silamut K., Hossain M.A., Ersoy I., Maude R.J., Jaeger S., Thoma G.R., Antani S.K., Understanding the learned behavior of customized convolutional neural networks toward malaria parasite detection in thin blood smear images, Journal of Medical Imaging, 5, 3, (2018); Malaria Datasets; Maloney L.T., Wandell B.A., Color constancy: A method for recovering surface spectral reflectance, Josa A, 3, 1, pp. 29-33, (1986)</t>
  </si>
  <si>
    <t xml:space="preserve">et al.; IEEE; KBR; MTT-S - MHz to Thz Community; Parallax Advanced Research; Siemens</t>
  </si>
  <si>
    <t xml:space="preserve">2023 IEEE National Aerospace and Electronics Conference, NAECON 2023</t>
  </si>
  <si>
    <t xml:space="preserve">28 August 2023 through 31 August 2023</t>
  </si>
  <si>
    <t xml:space="preserve">Dayton</t>
  </si>
  <si>
    <t xml:space="preserve">979-835033878-2</t>
  </si>
  <si>
    <t xml:space="preserve">Proc. IEEE Natl. Aerosp. Electron. Conf., NAECON</t>
  </si>
  <si>
    <t xml:space="preserve">2-s2.0-85182399458</t>
  </si>
  <si>
    <t xml:space="preserve">Kundu T.K.; Anguraj D.K.</t>
  </si>
  <si>
    <t xml:space="preserve">Kundu, Tamal Kumar (57563047400); Anguraj, Dinesh Kumar (57204059901)</t>
  </si>
  <si>
    <t xml:space="preserve">57563047400; 57204059901</t>
  </si>
  <si>
    <t xml:space="preserve">A Performance Analysis of Machine Learning Algorithms for Malaria Parasite Detection using Microscopic Images</t>
  </si>
  <si>
    <t xml:space="preserve">Plasmodium parasites are the cause of malaria, a blood-borne disease spread by mosquitoes. Preparing a blood sample, staining it, then using a microscope to look at the stained blood smear to determine which parasite genus is Plasmodium. is the standard method for detecting malaria, a promising area of research is computer-aided Plasmodium detection. For the purpose of detecting Plasmodium on blood smear images obtained through conventional microscopy, this study examines the efficacy of various machine learning strategies in this paper. To target effected blood smears for detection of malaria, this research work employs different algorithms of machine learning in contrast to the conventional approach and has some issues with sensitivity and specificity. Most malaria diagnoses are made using standard microscopy. Microscopy has also shown a range of clinical and transmission situations to have varied sensitivity and specificity. The suggested method does not require experts or blood stains; instead, it uses images of patient to detect malaria.  © 2023 IEEE.</t>
  </si>
  <si>
    <t xml:space="preserve">Proceedings - 5th International Conference on Smart Systems and Inventive Technology, ICSSIT 2023</t>
  </si>
  <si>
    <t xml:space="preserve">10.1109/ICSSIT55814.2023.10061060</t>
  </si>
  <si>
    <t xml:space="preserve">https://www.scopus.com/inward/record.uri?eid=2-s2.0-85150682491&amp;doi=10.1109%2fICSSIT55814.2023.10061060&amp;partnerID=40&amp;md5=b7d36b5cafae84c70bfb5123aa9fb00b</t>
  </si>
  <si>
    <t xml:space="preserve">Koneru Lakshmaiah Education Foundation, Department of Computer Science and Engineering, Vijayawada, India</t>
  </si>
  <si>
    <t xml:space="preserve">Kundu T.K., Koneru Lakshmaiah Education Foundation, Department of Computer Science and Engineering, Vijayawada, India; Anguraj D.K., Koneru Lakshmaiah Education Foundation, Department of Computer Science and Engineering, Vijayawada, India</t>
  </si>
  <si>
    <t xml:space="preserve">Conventional Microscopy; Different Machine Learning Algorithms Introduction; Malaria disease; Peripheral blood smear; Plasmodium parasite</t>
  </si>
  <si>
    <t xml:space="preserve">Blood; Diagnosis; Learning algorithms; Machine learning; Blood smears; Conventional microscopy; Different machine learning algorithm introduction; Machine learning algorithms; Machine-learning; Malaria disease; Performances analysis; Peripheral blood smears; Plasmodium parasites; Sensitivity and specificity; Diseases</t>
  </si>
  <si>
    <t xml:space="preserve">Geneva: World Health Organization, (2022); WHO, Guidelines for the Treatment of Malaria, (2021); Makhija K.S., Maloney S., Norton R., The utility of serial blood film testing for the diagnosis of malaria, Pathology, 47, 1, pp. 68-70, (2015); Malaria Microscopy Quality Assurance Manual, (2016); Rafael M.E., Taylor T., Magill A., Lim Y.W., Girosi F., Allan R., Reducing the burden of childhood malaria in Africa: The role of improved, Nature, 444, 1, pp. 39-48, (2006); Kim K.S., Kim P.K., Song J.J., Park Y.C., Analyzing blood cell image to distinguish its abnormalities, Proceedings of the eighth ACM international conference on Multimedia, pp. 395-397, (2000); Basic Malaria Microscopy: Tutor's guide, (2010); Roca-Feltrer A., Carneiro I., Armstrong Schellenberg J.R., Estimates of the burden of malaria morbidity in Africa in children under the age of 5 years, Tropical medicine &amp; international health, 13, 6, pp. 771-783, (2008); Anggraini D., Nugroho A.S., Pratama C., Rozi I.E., Pragesjvara V., Gunawan M., Automated status identification of microscopic images obtained from malaria thin blood smears using Bayes decision: A study case in Plasmodium falciparum, 2011 International Conference on Advanced Computer Science and Information Systems, pp. 347-352, (2011); Di Ruberto C., Dempster A., Khan S., Jarra B., Automatic thresholding of infected blood images using granulometry and regional extrema, Proceedings 15 th International Conference on Pattern Recognition. ICPR-2000, 3, pp. 441-444, (2000); Di Ruberto C., Dempster A., Khan S., Jarra B., Analysis of infected blood cell images using morphological operators, Image and vision computing, 20, 2, pp. 133-146, (2002); Diaz G., Gonzalez F., Romero E., Automatic clump splitting for cell quantification in microscopical images, Iberoamerican Congress on Pattern Recognition, pp. 763-772, (2007); Agnihotri N., Agnihotri A., Wrong Sample Dispensing May Cause False Positive Malaria Test, Journal of Clinical and Diagnostic Research: JCDR, 9, 4, (2015); Thung F., Suwardi I.S., Blood parasite identification using feature-based recognition, Proceedings of the 2011 International Conference on Electrical Engineering and Informatics, pp. 1-4, (2011); Ghosh P., Bhattacharjee D., Nasipuri M., Basu D.K., Medical aid for automatic detection of malaria, Computer information systems-analysis and technologies, pp. 170-178, (2011); Soni J., Mishra N., Kamargaonkar N., Automatic difference between RBC and malaria parasites based on morphology with first order features using image processing, Int J Adv Eng Technol, 1, pp. 290-297, (2011); Haditsch M., Quality and reliability of current malaria diagnostic methods, Travel medicine and infectious disease, 2, pp. 149-160, (2004); Thung F., Suwardi I.S., Blood parasite identification using feature-based recognition, International Conference on Electrical Engineering and Informatics, pp. 1-4, (2011); Lom J., Dykova I., Myxozoan genera: definition and notes on taxonomy, life-cycle terminology, and pathogenic species, Folia parasitologica, 53, 1, pp. 1-36, (2013); Tek F.B., Dempster A.G., Kale I., Malaria parasite detection in peripheral blood images, BMVA, (2006); Saiprasath G., Naren Babu R., ArunPriyan J., Vinayakumar R., Sowmya V., Soman K., Performance comparison of machine learning algorithms for malaria detection using microscopic images, Int J Curr Res Acad Rev, (2019); Sio S.W., Sun W., Kumar S., Et al., MalariaCount: An image analysis-based program for the accurate determination of parasitemia, J Microbiol Methods, 68, pp. 11-18, (2007); Khan N.A., Pervaz H., Latif A.K., Musharraf A., Unsupervised identification of malaria parasites using computer vision, 2014 11th International Joint Conference on Computer Science andSoftware Engineering (JCSSE), pp. 263-267, (2014); Sheikhhosseini M., Rabbani H., Zekri M., Talebi A., Automatic diagnosis of malaria based on complete circle-ellipse fitting search algorithm, J Microsc, 252, pp. 189-203, (2013); Ross N.E., Pritchard C.J., Rubin D.M., Duse A.G., Automated image processing method for the diagnosis and classification of malaria on thin blood smears, Medical and Biological Engineering and Computing, 44, 5, pp. 427-436, (2006); Dobson A., Lafferty K.D., Kuris A.M., Hechinger R.F., Jetz W., Homage to Linnaeus: how many parasites? How many hosts?, Proceedings of the National Academy of Sciences, 105, pp. 11482-11489, (2008); Pedregosa F., Varoquaux G., Gramfort A., Michel V., Thirion B., Grisel O., Blondel M., Prettenhofer P., Weiss R., Dubourg V., Vanderplas J., Scikit-learn: Machine learning in Python, Journal of machine learning research, 12, pp. 2825-2830, (2011); Das D.K., Ghosh M., Pat M., Maiti A.K., Chakraborty C., Machine learning approach for automated screening of malaria parasite using light microscopic images, Micron, 45, pp. 97-106, (2013); Park H.S., Rinehart M.T., Walzer L.A., Chi J.T.A., Wax A., Automated detection of P. falciparum using machine learning algorithms with quantitative phase images of unstained cells, PloS one, 11, 9, (2016); Tumwebaze M., Evaluation of the capacity to appropriately diagnose and treat malaria at rural health centers in Kabarole district, western Uganda, (2011); Das D., Maiti A., Chakraborty C., Automated system for characterization and classification of malaria-infected stages using light microscopic images of thin blood smears, J Microsc, 257, pp. 238-252, (2015); Tek F.B., Dempster A.G., Kale I., Parasite detection and identification for automated thin blood film malaria diagnosis, Computer vision and image understanding, 114, 1, (2010); Lee J.H., Jang J.W., Cho C.H., Kim J.Y., Han E.T., Yun S.G., Lim C.S., False-positive results for rapid diagnostic tests for malaria in patients with rheumatoid factor, Journal of clinical microbiology, 52, 10, pp. 3784-3787, (2014); Razzak I.M., Naz S., Microscopic blood smear segmentation and classification using deep contour aware cnn and extreme machine learning, 2017 IEEE Conference on Computer Vision and Pattern Recognition Workshops (CVPRW), pp. 801-807, (2017); Daz G., Gonzalez F., Romero E., Infected cell identification in thin blood images based on color pixel classification: comparison and analysis, Progr Pattern Recogn Image Anal Appl, pp. 812-821, (2007); Pamungkas A., Adi K., Gernowo R., Identification of Plasmodium falciparum development phase in malaria infected red blood cells using adaptive color segmentation and decision tree based classification, Int J Appl Eng Res, 10, pp. 4043-4055, (2015); Quinn J.A., Andama A., Munabi I., Kiwanuka F.N., Automated blood smear analysis for mobile malaria diagnosis, Mobile Point Care Monitors Diagno Device Design, 31, (2014)</t>
  </si>
  <si>
    <t xml:space="preserve">T.K. Kundu; Koneru Lakshmaiah Education Foundation, Department of Computer Science and Engineering, Vijayawada, India; email: kundutamal007@gmail.com</t>
  </si>
  <si>
    <t xml:space="preserve">5th International Conference on Smart Systems and Inventive Technology, ICSSIT 2023</t>
  </si>
  <si>
    <t xml:space="preserve">23 January 2023 through 25 January 2023</t>
  </si>
  <si>
    <t xml:space="preserve">Tirunelveli</t>
  </si>
  <si>
    <t xml:space="preserve">978-166547467-2</t>
  </si>
  <si>
    <t xml:space="preserve">Proc. - Int. Conf. Smart Syst. Inven. Technol., ICSSIT</t>
  </si>
  <si>
    <t xml:space="preserve">2-s2.0-85150682491</t>
  </si>
  <si>
    <t xml:space="preserve">Laoualy Chaharou I.M.; Degila J.; Ismaïl L.; Boubacar H.A.</t>
  </si>
  <si>
    <t xml:space="preserve">Laoualy Chaharou, Ibrahim Mouazamou (58399180000); Degila, Jules (6506966824); Ismaïl, Lawani (57199996241); Boubacar, Habiboulaye Amadou (13204525200)</t>
  </si>
  <si>
    <t xml:space="preserve">58399180000; 6506966824; 57199996241; 13204525200</t>
  </si>
  <si>
    <t xml:space="preserve">A Review of Computer-Assisted Techniques Performances in Malaria Diagnosis</t>
  </si>
  <si>
    <t xml:space="preserve">Malaria belongs to the class of the deadliest infectious diseases in the world. The generally available tools to diagnose this disease, the microscopy and rapid diagnostic test (RDT), have many limitations. Alternative diagnostic techniques with superior results are inaccessible to developing countries with more prevalent cases. Early detection of the infection is critical. Computer-assisted methods are needed. This study surveys the performance of the computer-assisted techniques used in malaria diagnosis and the preprocessing techniques to render the data usable. The survey illustrates, compares and discusses computer-assisted methods results, considering different performance metrics. It highlights how artificial intelligence can strengthen the fight against disease. © 2023, ICST Institute for Computer Sciences, Social Informatics and Telecommunications Engineering.</t>
  </si>
  <si>
    <t xml:space="preserve">501 LNICST</t>
  </si>
  <si>
    <t xml:space="preserve">10.1007/978-3-031-33545-7_1</t>
  </si>
  <si>
    <t xml:space="preserve">https://www.scopus.com/inward/record.uri?eid=2-s2.0-85163359197&amp;doi=10.1007%2f978-3-031-33545-7_1&amp;partnerID=40&amp;md5=2d906ad2104eb9d7340d87b0e850f746</t>
  </si>
  <si>
    <t xml:space="preserve">University of Abomey Calavi, Abomey Calavi, Benin; Air Liquide, Paris, France</t>
  </si>
  <si>
    <t xml:space="preserve">Laoualy Chaharou I.M., University of Abomey Calavi, Abomey Calavi, Benin; Degila J., University of Abomey Calavi, Abomey Calavi, Benin; Ismaïl L., University of Abomey Calavi, Abomey Calavi, Benin; Boubacar H.A., Air Liquide, Paris, France</t>
  </si>
  <si>
    <t xml:space="preserve">Computer-assisted techniques; Deep learning; Diagnosis; Machine learning; Malaria; Performance metrics</t>
  </si>
  <si>
    <t xml:space="preserve">Computer aided diagnosis; Computer aided instruction; Deep learning; Developing countries; Learning systems; Computer assisted; Computer-assisted methods; Computer-assisted technique; Deep learning; Infectious disease; Machine-learning; Malaria; Malaria diagnosis; Performance; Performance metrices; Diseases</t>
  </si>
  <si>
    <t xml:space="preserve">Pham N.M., Karlen W., Beck H.P., Delamarche E., Malaria and the last parasite: How can technology help?, Malaria J, 17, 1, pp. 1-16, (2018); Cox F.E., History of the discovery of the malaria parasites and their vectors, Parasites Vectors, 3, 1, pp. 1-9, (2010); Jain P., Chakma B., Patra S., Goswami P., Potential biomarkers and their applications for rapid and reliable detection of malaria, Biomed Res. Int., (2014); Leski T.A., Et al., Use of real-time multiplex PCR, malaria rapid diagnostic test and microscopy to investigate the prevalence of Plasmodium species among febrile hospital patients in Sierra Leone, Malaria J, 19, 1, pp. 1-8, (2020); Mbanefo A., Kumar N., Evaluation of malaria diagnostic methods as a key for successful control and elimination programs, Tropical Med. Infect. Dis., 5, 2, (2020); Picot S., Cucherat M., Bienvenu A.L., Systematic review and meta-analysis of diagnostic accuracy of loop-mediated isothermal amplification (LAMP) methods compared with microscopy, polymerase chain reaction and rapid diagnostic tests for malaria diagnosis, Int. J. Infect. Dis., 98, pp. 408-419, (2020); Grossenbacher B., Et al., Molecular methods for tracking residual Plasmodium falciparum transmission in a close-to-elimination setting in Zanzibar, Malaria J, 19, 1, pp. 1-12, (2020); Tek F.B., Dempster A.G., Kale I., Computer vision for microscopy diagnosis of malaria, Malaria J, 8, 1, pp. 1-14, (2009); Das D., Mukherjee R., Chakraborty C., Computational microscopic imaging for malaria parasite detection: A systematic review, J. Microsc., 260, pp. 1-19, (2015); Jan Z., Khan A., Sajjad M., Muhammad K., Rho S., Mehmood I., A review on automated diagnosis of malaria parasite in microscopic blood smears images, Multimedia Tools Appl, 77, 8, pp. 9801-9826, (2018); Poostchi M., Silamut K., Maude R.J., Jaeger S., Thoma G., Image analysis and machine learning for detecting malaria, Transl. Res., 194, pp. 36-55, (2018); Torres K., Et al., Automated microscopy for routine malaria diagnosis: A field comparison on Giemsa-stained blood films in Peru, Malaria Journal, 17, 1, pp. 1-11, (2018); Chaware A., Cooke C.L., Kim K., Horstmeyer R., Towards an intelligent microscope: Adaptively learned illumination for optimal sample classification, ICASSP 2020–2020 IEEE International Conference on Acoustics, Speech and Signal Processing (ICASSP), Pp. 9284–9288. IEEE, (2020); Joanny F., Lohr S.J., Engleitner T., Lell B., Mordmuller B., Limit of blank and limit of detection of Plasmodium falciparum thick blood smear microscopy in a routine setting in Central Africa, Malaria J, 13, 1, pp. 1-7, (2014); Keiser J., Utzinger J., Premji Z., Yamagata Y., Singer B.H., Acridine Orange for malaria diagnosis: Its diagnostic performance, its promotion and implementation in Tanzania, and the implications for malaria control, Ann. Tropical Med. Parasitol., 96, 7, pp. 643-654, (2002); Tek F.B., Dempster A.G., Kale I., Parasite detection and identification for automated thin blood film malaria diagnosis, Comput. Vision Image Underst., 114, 1, pp. 21-32, (2010); Le M.T., Bretschneider T.R., Kuss C., Preiser P.R., A novel semi-automatic image processing approach to determine Plasmodium falciparum parasitemia in Giemsa-stained thin blood smears, BMC Cell Biol, 9, 1, pp. 1-12, (2008); Walliander M., Et al., Automated segmentation of blood cells in Giemsa stained digitized thin blood films, Diagnostic Pathology, Vol. 8, No. 1, Pp. 1–5. Biomed Central, (2013); Abbas N., Et al., Plasmodium life cycle stage classification based quantification of malaria parasitaemia in thin blood smears, Microsc. Res. Techn., 82, 3, pp. 283-295, (2019); Ouangre A., Sangare I., Bado Nebon D., Bamba S., Prévalence De La Dengue Et Du Paludisme Chez Les Patients fébriles Au, (2019); Heraud P., Et al., Infrared spectroscopy coupled to cloud-based data management as a tool to diagnose malaria: A pilot study in a malaria-endemic country, Malaria J, 18, 1, pp. 1-11, (2019); Mustare N.B., Rapid diagnosis of malaria using images of stained blood smear, Cvrj.Sci.Technol., 18, 1, pp. 88-93, (2020); Abad C.S., Tellkamp M.P., Amaro I.R., Spencer L.M., Incidence of avian malaria in hummingbirds in humid premontane forests of Pichincha Province, Ecuador: A pilot study, Veter. World, 14, 4, (2021); Sathpathi S., Comparing Leishman and Giemsa staining for the assessment of peripheral blood smear preparations in a malaria-endemic region in India, Malaria J, 13, 1, pp. 1-5, (2014); Loddo A., Di Ruberto C., Kocher M., Recent advances of malaria parasites detection systems based on mathematical morphology, Sensors, 18, 2, (2018); Kocher M., Prod'Hom G., Mp-idb: The malaria parasite image database for image processing and analysis, (2019); Shujatullah F., Khan H.M., Malik A., Malik A., Evaluation of ParaSight F test in dignosis of plasmodium falciparum infection, J.K. Sci., 11, 1, pp. 1-4, (2009); Das D.K., Maiti A.K., Chakraborty C., Automated system for characterization and classification of malaria-infected stages using light microscopic images of thin blood smears, J. Microsc., 257, 3, pp. 238-252, (2015); Maity M., Maity A.K., Dutta P.K., Chakraborty C., A web-accessible framework for automated storage with compression and textural classification of malaria parasite images, Int. J. Comput. Appl., 52, 15, pp. 31-39, (2012); Kawamoto F., Rapid diagnosis of malaria by fluorescence microscopy with light microscope and interference filter, The Lancet, 337, 8735, pp. 200-202, (1991); Malinin G.I., Malinin T.I., Rapid microscopic detection of malaria parasites permanently fluorochrome stained in blood smears with aluminum and morin, Am. J. Clin. Pathol., 95, 3, pp. 424-427, (1991); Sodeman T.M., World Health Organization.: The Use of Fluorochromes for The Detection of Malaria Parasites, (1969); Zhou M., Et al., High prevalence of Plasmodium malariae and Plasmodium ovale in malaria patients along the Thai-Myanmar border, as revealed by acridine orange staining and PCR-based diagnoses, Tropical Med. Int. Health, 3, 4, pp. 304-312, (1998); Gay F., Traore B., Zanoni J., Danis M., Fribourg-Blanc A., Direct acridine orange fluorescence examination of blood slides compared to current techniques for malaria diagnosis, Trans. Roy. Soc. Tropical Med. Hyg., 90, 5, pp. 516-518, (1996); Rickman L., Et al., Rapid diagnosis of malaria by acridine orange staining of centrifuged parasites, The Lancet, 333, 8629, pp. 68-71, (1989); Kimura M., Et al., Improvement of malaria diagnostic system based on acridine orange staining, Malaria J, 17, 1, pp. 1-6, (2018); Abanyie F.A., Arguin P.M., Gutman J., State of malaria diagnostic testing at clinical laboratories in the United States, 2010: A nationwide survey, Malaria J, 10, 1, pp. 1-10, (2011); Lawrence C., Olson J.A., Birefringent hemozoin identifies malaria, Am. J. Clin. Pathol., 86, 3, pp. 360-363, (1986); Cutts T.A., Cook B.W., Poliquin P.G., Strong J.E., Theriault S.S., Inactivating Zaire Ebolavirus in whole-blood thin smears used for malaria diagnosis, J. Clin. Microbiol., 54, 4, pp. 1157-1159, (2016); Shin H.I., Et al., Diagnosis and molecular analysis on imported plasmodium ovale curtisi and P. ovale wallikeri Malaria Cases from West and South Africa during 2013–2016. Kor, J. Parasitol., 58, 1, (2020); Arispe Angulo K.R., Harrington A.M., Fever in a kidney transplant patient From Nigeria, The Hematologist, 17, 1, (2020); Vijayalakshmi A., Deep learning approach to detect malaria from microscopic images, Multimedia Tools Appl, 79, 21, pp. 15297-15317, (2020); Yu H., Et al., Malaria Screener: A smartphone application for automated malaria screening, BMC Infect. Dis., 20, 1, pp. 1-8, (2020); Molina A., Alferez S., Boldu L., Acevedo A., Rodellar J., Merino A., Sequential classification system for recognition of malaria infection using peripheral blood cell images, J. Clin. Pathol., 73, 10, pp. 665-670, (2020); Karthik G., Muttan S., Saravanan M.P., Seetharaman R., Vignesh V., Automated malaria diagnosis using microscopic images, 2019 Third International Conference on Inventive Systems and Control (ICISC), pp. 514-517, (2019); Razzak M.I., Automatic detection and classification of malarial parasite, Int. J. Biometr. Bioinf. (IJBB), 9, 1, pp. 1-12, (2015); Arco J.E., Gorriz J.M., Ramirez J., Alvarez I., Puntonet C.G., Digital image analysis for automatic enumeration of malaria parasites using morphological operations, Expert Syst. Appl., 42, 6, pp. 3041-3047, (2015); Memeu D.M., Kaduki K.A., Mjomba A.C.K., Muriuki N.S., Gitonga L., Detection of plasmodium parasites from images of thin blood smears, Open J. Clin. Diagnost., 3, pp. 183-194, (2013); Das D., Chakraborty C., Mitra B., Maiti A., Ray A., Quantitative microscopy approach for shape-based erythrocytes characterization in anaemia, J. Microsc., 249, pp. 136-149, (2013); Moallem G., Poostchi M., Yu H., Silamut K., Palaniappan N., Antani S., Detecting and segmenting white blood cells in microscopy images of thin blood smears, 2017 IEEE Applied Imagery Pattern Recognition Workshop. IEEE, (2017); Opakumar G.P., Swetha M., Siva G.S., Saisubrahmanyam G.R.K., Convolutional neural network-based malaria diagnosis from focus stack of blood smear images acquired using custom-built slide scanner, J. Biophotonics, 11, (2014); Rajaraman S., Et al., Pre-trained convolutional neural networks as feature extractors toward improved malaria parasite detection in thin blood smear images, Peerj, 6, (2018); Umer M., Sadiq S., Ahmad M., Ullah S., Choi G.S., Mehmood A., A novel stacked CNN for malarial parasite detection in thin blood smear images, IEEE Access, 8, pp. 93782-93792, (2020); Das D.K., Ghosh M., Pal M., Maiti A.K., Chakraborty C., Machine learning approach for automated screening of malaria parasite using light microscopic images, Micron, 45, pp. 97-106, (2013); Devi S.S., Roy A., Singha J., Sheikh S.A., Laskar R.H., Malaria infected erythrocyte classification based on a hybrid classifier using microscopic images of thin blood smear, Multimedia Tools Appl, 77, 1, pp. 631-660, (2018); Fatima T., Farid M.S., Automatic detection of Plasmodium parasites from microscopic blood images, J. Parasitic Dis., 44, 1, pp. 69-78, (2020); Maqsood A., Farid M.S., Khan M.H., Grzegorzek M., Deep malaria parasite detection in thin blood smear microscopic images, Appl. Sci., 11, 5, (2021); May Z., Aziz S.S.A.M., Automated quantification and classification of malaria parasites in thin blood smears, 2013 IEEE International Conference on Signal and Image Processing Applications, Pp. 369–373. IEEE, (2013); Gatc J., Maspiyanti F., Sarwinda D., Arymurthy A.M., Plasmodium parasite detection on red blood cell image for the diagnosis of malaria using double thresholding, 2013 International Conference on Advanced Computer Science and Information Systems (ICACSIS), pp. 381-385, (2013); Aris T.A., Et al., Colour component analysis approach for malaria parasites detection based on thick blood smear images, IOP Conference Series: Materials Science and Engineering, Vol. 557, No. 1, P. 012007. IOP Publishing, (2019); Abbas N., Et al., Plasmodium species aware based quantification of malaria parasitemia in light microscopy thin blood smear, Microsc. Res. Techn., 82, 7, pp. 1198-1214, (2019); Das D.K., Mukherjee R., Chakraborty C., Computational microscopic imaging for malaria parasite detection: A systematic review, J. Microsc., 260, 1, pp. 1-19, (2015); Abbas N., Saba T., Mohamad D., Rehman A., Almazyad A.S., Al-Ghamdi J.S., Machine aided malaria parasitemia detection in Giemsa-stained thin blood smears, Neural Comput. Appl., 29, 3, pp. 803-818, (2018); Linder N., Et al., A malaria diagnostic tool based on computer vision screening and visualization of Plasmodium falciparum candidate areas in digitized blood smears, Plos One, 9, 8, (2014); Fuhad K.M., Et al., Deep learning based automatic malaria parasite detection from blood smear and its smartphone based application, Diagnostics, 10, 5, (2020); Dong Y., Et al., Evaluations of deep convolutional neural networks for automatic identification of malaria infected cells, Proceedings of the 2017 IEEE EMBS International Conference on Biomedical &amp; Health Informatics (BHI), Orlando, FL, USA, 16–19 February 2017, Pp. 101–104, (2017); Diaz G., Gonzalez F.A., Romero E., A semi-automatic method for quantification and classification of erythrocytes infected with malaria parasites in microscopic images, J. Biomed. Inf., 42, 2, pp. 296-307, (2009); Savkare S.S., Narote S.P., Automatic detection of malaria parasites for estimating parasitemia, Int. J. Comput. Sci. Secur. (IJCSS), 5, 3, (2011); Narayanan B.N., Ali R., Hardie R.C., Performance analysis of machine learning and deep learning architectures for malaria detection on cell images, Applications of Machine Learning, (2019); Poostchi M., Et al., Malaria parasite detection and cell counting for human and mouse using thin blood smear microscopy, J. Med. Imaging, 5, 4, (2018); Khan A., Gupta K.D., Venugopal D., Kumar N., CIDMP: Completely interpretable detection of malaria parasite in red blood cells using lower-dimensional feature space, 2020 International Joint Conference on Neural Networks, (2020); Gezahegn Y.G., Gebreslassie A.K., Hagos M.A., Ibenthal A., Etsub E.A., Classical machine learning algorithms and shallower convolutional neural networks towards computationally efficient and accurate classification of malaria parasites, ICT4DA 2019. CCIS, 1026, pp. 46-56, (2019); Tek F., Dempster A., Kale I., Parasite detection and identification for automated thin blood film malaria diagnosis, Comput. Vision Image Underst., 114, pp. 21-32, (2010); Suryawanshi S., Dixit V.V., Comparative study of Malaria parasite detection using euclidean distance classifier &amp; SVM, Int. J. Adv. Res. Comput. Eng. Technol. (IJARCET), 2, 11, pp. 2994-2997, (2013); Liang Z., Powell A., Ersoy I., Et al., CNN-based image analysis for malaria diagnosis, International Conference on Bioinformatics and Biomedicine (BIBM), Pp. 493–496. IEEE, (2016); Alqudah A., Alqudah A.M., Qazan S., Lightweight deep learning for malaria parasite detection using cell-image of blood smear images, Revue d’Intelligence Artificielle, 34, 5, pp. 571-576, (2020); Rajaraman S., Jaeger S., Antani S.K., Performance evaluation of deep neural ensembles toward malaria parasite detection in thin-blood smear images, Peerj, 7, (2019); Reddy A.S.B., Juliet D.S., Transfer learning with ResNet-50 for malaria cellimage classification, 2019 International Conference on Communication and Signal Processing (ICCSP), Pp. 0945–0949. IEEE, (2019); Zhao O.S., Et al., Convolutional neural networks to automate the screening of malaria in low-resource countries, Peerj, 8, (2020); Singla N., Srivastava V., Deep learning enabled multi-wavelength spatial coherence microscope for the classification of malaria-infected stages with limited labelled data size, Opt. Laser Technol., 130, (2020); Masud M., Et al., leveraging deep learning techniques for malaria parasite detection using mobile application, Wirel. Commun. Mobile Comput., (2020); Kumar R., Singh S.K., Khamparia A., Malaria detection using custom convolutional neural network model on blood smear slide images, ICAICR 2019. CCIS, 1075, pp. 20-28, (2019); Jaeger S., Et al., Reducing the diagnostic burden of malaria using microscopy image analysis and machine learning in the field, Am. J. Tropical Med. Hygiene, (2017); Bibin D., Nair M.S., Punitha P., Malaria parasite detection from peripheral blood smear images using deep belief networks, IEEE Access, 5, pp. 9099-9108, (2017); Pattanaik P.A., Mittal M., Khan M.Z., Unsupervised deep learning CAD scheme for the detection of malaria in blood smear microscopic images, IEEE Access, 8, pp. 94936-94946, (2020); Kudisthalert W., Pasupa K., Tongsima S., Counting and classification of malarial parasite from giemsa-stained thin film images, IEEE Access, 8, pp. 78663-78682, (2020); Eshel Y., Et al., Evaluation of the parasight platform for malaria diagnosis, J. Clin. Microbiol., 55, 3, pp. 768-775, (2017); Park H.S., Rinehart M., Walzer K.A., Chi J.T.A., Wax A., Automated detection of P. falciparum using machine learning algorithms with quantitative phase images of unstained cells, Plos ONE, 11, 9, (2016); Swastika W., Kristianti G.M., Widodo R.B., Effective preprocessed thin blood smear images to improve malaria parasite detection using deep learning, Journal of Physics: Conference Series, Vol. 1869, No. 1, P. 012092. IOP Publishing, (2021); Engelhardt E., Jager S., An Evaluation of Image Preprocessing for Classification of Malaria Parasitization Using Convolutional Neural Networks, (2019); AI at the Bedside of Medicine, (2022); Guo X., Et al., Smartphone-based DNA diagnostics for malaria detection using deep learning for local decision support and blockchain technology for security, Nat. Electron., 4, 8, pp. 615-624, (2021); Yang F., Et al., Deep learning for smartphone-based malaria parasite detection in thick blood smears, IEEE J. Biomed. Health Inf., 24, 5, pp. 1427-1438, (2019)</t>
  </si>
  <si>
    <t xml:space="preserve">I.M. Laoualy Chaharou; University of Abomey Calavi, Abomey Calavi, Benin; email: ibrahim.laoualy@imsp-uac.org</t>
  </si>
  <si>
    <t xml:space="preserve">Wang S.</t>
  </si>
  <si>
    <t xml:space="preserve">3rd EAI International Conference on IoT and Big Data Technologies for Health Care, IotCARE 2022</t>
  </si>
  <si>
    <t xml:space="preserve">12 December 2022 through 13 December 2022</t>
  </si>
  <si>
    <t xml:space="preserve">Virtual, Online</t>
  </si>
  <si>
    <t xml:space="preserve">978-303133544-0</t>
  </si>
  <si>
    <t xml:space="preserve">2-s2.0-85163359197</t>
  </si>
  <si>
    <t xml:space="preserve">A Robust Approach for Malaria Parasite Identification with CNN Based Feature Extraction and Classification using SVM</t>
  </si>
  <si>
    <t xml:space="preserve">Malaria is a fatal illness caused by the transmission of the Plasmodium parasite through Anopheles mosquitoes. It causes symptoms like fever, chill, headache, and fatigue. In severe cases, it also leads to organ failure and death. The conventional method of detecting malaria is through microscopy. The development of new tools and algorithms for malaria diagnosis and treatment is crucial. In this study, a CNN-based model has been proposed for the feature extraction from raw thin blood smear images. The extracted features are then classified into one of the four species types of namely Falciparum, Vivax, Ovale and Malariae using an SVM classifier. The proposed model achieves a significantly good accuracy of 98%, demonstrating the effectiveness of deep learning techniques in Malaria diagnosis and species classification. This study has significant implications for the development of new tools for Malaria diagnosis and treatment, which could help to speed up the process of detection and help the medical practitioner make an accurate analysis of infection, particularly in rural areas, where medical facilities are scarce. © 2023 IEEE.</t>
  </si>
  <si>
    <t xml:space="preserve">2023 14th International Conference on Computing Communication and Networking Technologies, ICCCNT 2023</t>
  </si>
  <si>
    <t xml:space="preserve">10.1109/ICCCNT56998.2023.10306840</t>
  </si>
  <si>
    <t xml:space="preserve">https://www.scopus.com/inward/record.uri?eid=2-s2.0-85179844245&amp;doi=10.1109%2fICCCNT56998.2023.10306840&amp;partnerID=40&amp;md5=44c81823ff66b3faa3e2acef8e1bf40a</t>
  </si>
  <si>
    <t xml:space="preserve">Birla Institute of Technology, Mesra, Department of Computer Science &amp; Engineering, Ranchi, India</t>
  </si>
  <si>
    <t xml:space="preserve">Ohdar K., Birla Institute of Technology, Mesra, Department of Computer Science &amp; Engineering, Ranchi, India; Nigam A., Birla Institute of Technology, Mesra, Department of Computer Science &amp; Engineering, Ranchi, India</t>
  </si>
  <si>
    <t xml:space="preserve">Classification; Convolution Neural Network; Feature Extraction; K-fold Validation; Support Vector Machine; Transfer Learning</t>
  </si>
  <si>
    <t xml:space="preserve">Classification (of information); Computer aided diagnosis; Convolutional neural networks; Deep learning; Diseases; Extraction; Feature extraction; Learning systems; Convolution neural network; Feature extraction and classification; Features extraction; K-fold validation; Malaria diagnosis; Malaria parasite; Plasmodium parasites; Robust approaches; Support vectors machine; Transfer learning; Support vector machines</t>
  </si>
  <si>
    <t xml:space="preserve">WHO guidelines for malaria, 13July 2021 (No, (2021); Singh S., Ahuja U., Kumar M., Kumar K., Sachdeva M., Face mask detection using YOLOv3 and faster R-CNN models: COVID-19 environment, Multimedia Tools and Applications, 80, pp. 19753-19768, (2021); Alakwaa W., Nassef M., Badr A., Lung cancer detectionand classification with 3D convolutional neural network (3D-CNN), International Journal of Advanced Computer Science and Applications, 8, 8, (2017); Rasool M., Ismail N.A., Boulila W., Ammar A., Samma H., Yafooz W.M., Emara A.H.M., A Hybrid Deep LearningModel for Brain Tumour Classification, Entropy, 24, 6, (2022); Zhang J., Xia Y., Xie Y., Fulham M., Feng D.D., Classification of medical images in the biomedical literature by jointlyusing deep and handcrafted visual features, IEEE journal of biomedical and health informatics, 22, 5, pp. 1521-1530, (2017); Li Q., Cai W., Wang X., Zhou Y., Feng D.D., Chen M., Medical image classification with convolutional neuralnetwork, 2014 13th international conference on control automation robotics &amp; vision (ICARCV), pp. 844-848, (2014); Lee H., Kwon H., Going deeper with contextual CNN forhyperspectral image classification, IEEE Transactions on Image Processing, 26, 10, pp. 4843-4855, (2017); Li B., Lima D., Facial expression recognition via ResNet-50, International Journal of Cognitive Computing in Engineering, 2, pp. 57-64, (2021); Dong N., Zhao L., Wu C.H., Chang J.F., Inception v3based cervical cell classification combined with artificially extractedfeatures, Applied Soft Computing, 93, (2020); Li Y., Huang H., Xie Q., Yao L., Chen Q., Research on asurface defect detection algorithm based on MobileNet-SSD, AppliedSciences, 8, 9, (2018); Kumar N., Sharma M., Singh V.P., Madan C., Mehandia S., An empirical study of handcrafted and dense feature extractiontechniques for lung and colon cancer classification fromhistopathological images, Biomedical Signal Processing andControl, 75, (2022); Shekar G., Revathy S., Goud E.K., Malaria detectionusing deep learning, 2020 4th international conference on trends inelectronics and informatics (ICOEI) (48184), pp. 746-750, (2020); Aggarwal P., Mishra N.K., Fatimah B., Singh P., Gupta A., Joshi S.D., COVID-19 image classification using deep learning: Advances, challenges and opportunities, Computers in Biology andMedicine, (2022); Daoud M.I., Abdel-Rahman S., Alazrai R., Breast ultrasound image classification using a pre-trainedconvolutional neural network, 2019 15th International Conference on Signal-Image Technology &amp; Internet-Based Systems (SITIS), pp. 167-171, (2019); Kieffer B., Babaie M., Kalra S., Tizhoosh H.R., Convolutional neural networks for histopathology imageclassific ation: Training vs, using pre-trained networks. In 2017 Seventh International Conference on Image ProcessingTheory, Tools and Applications (IPTA), pp. 1-6, (2017); Das D.K., Ghosh M., Pal M., Maiti A.K., Chakraborty C., Machine learning approach for automated screening of malaria parasiteusing light microscopic images, Micron, 45, pp. 97-106, (2013); Rizal R.A., Sihotang J.S., Gultom R., Comparison of SURF and HOG extraction in classifying the bloodimage of malaria parasites using SVM, 2019 International Conference of Computer Science and Information Technology (ICoSNIKOM), pp. 1-6, (2019); Bhuvan C., Bansal S., Gupta R., Bhan A., Computer based diagnosis of malaria in thin blood smears usingthresholding based approach, 2020 7th International conference on signal processing and integrated networks (SPIN), pp. 1132-1135, (2020); Suryawanshi S., Dixit V.V., Comparative study of Malariaparasite detection using euclidean distance classifier &amp;SVM, International Journal of Advanced Research in ComputerEngineering &amp; Technology (IJARCET), 2, 11, pp. 2994-2997, (2013); Shekar G., Revathy S., Goud E.K., Malaria detectionusing deep learning, 2020 4th international conference on trends inelectronics and informatics (ICOEI) (48184), pp. 746-750, (2020); Rocha M., Claro M., Neto L., Aires K., Machado V., Veras R., Malaria parasites detection and identification using objectdetectors based on deep neural networks: A wide comparative analysis, Computer Methods in Biomechanics and Biomedical Engineering: Imaging &amp; Visualization, pp. 1-18, (2022); Krishnadas P., Chadaga K., Sampathila N., Rao S., Prabhu S., Classification of Malaria Using Object DetectionModels, Informatics, 9, 4, (2022); Loddo A., Fadda C., Di Ruberto C., An empiricalevaluation of convolutional networks for malaria diagnosis, Journal of Imaging, 8, 3, (2022); Maity M., Jaiswal A., Gantait K., Chatterjee J., Mukherjee A., Quantification of malaria parasitaemia using trainable semanticsegmentation and capsnet, Pattern Recognition Letters, 138, pp. 88-94, (2020); Nanoti A., Jain S., Gupta C., Vyas G., Detectionof malaria parasite species and life cycle stages using microscopicimages of thin blood smear, 2016 International Conference on Inventive Computation Technologies (ICICT), 1, pp. 1-6, (2016); Loddo A., Di Ruberto C., Kocher M., Prod'Hom G., MP-IDB: The malaria parasite image database for image processing andanalysis, Processing and Analysis of Biomedical Information: FirstInternational SIPAIM Workshop, SaMBa 2018, pp. 57-65, (2019)</t>
  </si>
  <si>
    <t xml:space="preserve">K. Ohdar; Birla Institute of Technology, Mesra, Department of Computer Science &amp; Engineering, Ranchi, India; email: kanakohdar@gmail.com</t>
  </si>
  <si>
    <t xml:space="preserve">14th International Conference on Computing Communication and Networking Technologies, ICCCNT 2023</t>
  </si>
  <si>
    <t xml:space="preserve">6 July 2023 through 8 July 2023</t>
  </si>
  <si>
    <t xml:space="preserve">Delhi</t>
  </si>
  <si>
    <t xml:space="preserve">979-835033509-5</t>
  </si>
  <si>
    <t xml:space="preserve">2-s2.0-85179844245</t>
  </si>
  <si>
    <t xml:space="preserve">Sobha Xavier P.; Joshy J.; Thayil M.R.; Nandalal M.; Xavier R.</t>
  </si>
  <si>
    <t xml:space="preserve">Sobha Xavier, P. (58793245800); Joshy, Jyotsna (58793360800); Thayil, Maria Rose (58793217000); Nandalal, M. (58793360900); Xavier, Riya (58793302400)</t>
  </si>
  <si>
    <t xml:space="preserve">58793245800; 58793360800; 58793217000; 58793360900; 58793302400</t>
  </si>
  <si>
    <t xml:space="preserve">A Web Application for Enhancing Stray Dog Welfare: Identification and Virus Detection</t>
  </si>
  <si>
    <t xml:space="preserve">Stray dog populations have been a persistent issue in many parts of the world, posing a risk to public health and animal welfare. In this paper, we propose a novel approach to addressing this problem through the application of machine learning techniques. Our approach involves three key components: Rabies detection,Dog identification and adoption.Firstly, we leverage machine learning models to detect rabies in stray dogs. By using RNN(recurrent neural network) classifier with LSTM algorithm we identify rabies in dogs from their videos. This allows for early detection and treatment, ultimately improving the health and well being of stray dogs.Secondly, we use machine learning algorithms to develop an efficient dog identification system. Our system is capable of identifying individual dogs based on face features trained on teachable machine. This allows for better tracking of stray dogs and facilitates the implementation of targeted interventions.Finally, We provide dog adoption methods from the provided database. This increases the likelihood of successful adoptions, reducing the number of stray dogs on the streets.Overall, our proposed approach offers a comprehensive solution to the issue of stray dog welfare, leveraging the power of machine learning to improve dog identification, virus detection, and adoption. We believe that our system has the potential to make a significant impact in reducing stray dog populations and promoting animal welfare.  © 2023 IEEE.</t>
  </si>
  <si>
    <t xml:space="preserve">9th International Conference on Smart Computing and Communications: Intelligent Technologies and Applications, ICSCC 2023</t>
  </si>
  <si>
    <t xml:space="preserve">10.1109/ICSCC59169.2023.10335055</t>
  </si>
  <si>
    <t xml:space="preserve">https://www.scopus.com/inward/record.uri?eid=2-s2.0-85181405299&amp;doi=10.1109%2fICSCC59169.2023.10335055&amp;partnerID=40&amp;md5=2baa894badb52c7d127cb7dc9b93fe3a</t>
  </si>
  <si>
    <t xml:space="preserve">Jyothi Engineering College(APJKTU), Department of Cse, Kerala, India</t>
  </si>
  <si>
    <t xml:space="preserve">Sobha Xavier P., Jyothi Engineering College(APJKTU), Department of Cse, Kerala, India; Joshy J., Jyothi Engineering College(APJKTU), Department of Cse, Kerala, India; Thayil M.R., Jyothi Engineering College(APJKTU), Department of Cse, Kerala, India; Nandalal M., Jyothi Engineering College(APJKTU), Department of Cse, Kerala, India; Xavier R., Jyothi Engineering College(APJKTU), Department of Cse, Kerala, India</t>
  </si>
  <si>
    <t xml:space="preserve">Dog identification; Dog population; dog virus detection; Dog welfare; Image processing; Machine learning; Rabies Detection; teachable machine</t>
  </si>
  <si>
    <t xml:space="preserve">Animals; Image enhancement; Learning algorithms; Long short-term memory; Viruses; Animal welfare; Dog identification; Dog population; Dog virus detection; Dog welfare; Images processing; Machine-learning; Rabie detection; Teachable machine; Virus detection; Health risks</t>
  </si>
  <si>
    <t xml:space="preserve">Mougeot G., Li D., Jia S., A Deep Learning Approach for Dog Face Verification and Recognition, Department of Control Science and Engineering; Bhuvaneswari C., Stray dog detection in wired camera network, ICTACT Journal on Image and Video Processing, (2013); Weerasekara M.G., Kulasooriya K., Combined approach of supervised and unsupervised learning for dog face recognition, 6th International Conference for Convergence in Technology, (2021); Gao X.J., Pan X., Cow face recognition for a small sample based on siamese db capsule network, IEEE, 10, (2022); Bai E., Zhao J., Wu Y., An improved vibe algorithm for quickly suppressing ghosts, IEEE International Conference on Advances in Electrical Engineering and Computer Applications, (2020); Xu F., Gao J., Pan X., Cow face recognition for a small sample based on siamese db capsule network, IEEE, 10, (2022); Saurav S., Detecting cows and dogs on Delhi streets, IEEE International Symposium on Electronics and Telecommunications, (2018); Baba M., Stray dogs behavior detection in urban area video surveillance streams, 12th IEEE International Symposium on Electronics and Telecommunications (ISETC), (2016); Mougeot G., A Deep Learning Approach for Dog Face Verification and Recognition, PRICAI 2019: Trends in Artificial Intelligence, (2019); Bae H.B., Pak D., Lee S., Dog Nose-Print Identification Using Deep Neural Networks, IEEE Access, 9, pp. 49141-49153, (2021); Wang C., Wang J., Du Q., Yang X., Dog Breed Classification Based on Deep Learning, 2020 13th International Symposium on Computational Intelligence and Design (ISCID), (2020); Panarin K., Dog Breed Classification, International Conference on Intelligent Technologies (CONIT), (2021); Mock F., Viral Host Prediction with Deep Learning, Bioinformatics, 37, 3, (2020); Promya R., Thainimit S., Charnsripinyo C., Koike Y., Comparison of full body and facial dog identification using image recognition, International Conference on Computational Science and Computational Intelligence, (2020)</t>
  </si>
  <si>
    <t xml:space="preserve">P. Sobha Xavier; Jyothi Engineering College(APJKTU), Department of Cse, Kerala, India; email: sobhaxavier@jecc.ac.in</t>
  </si>
  <si>
    <t xml:space="preserve">9th International Conference on Smart Computing and Communications, ICSCC 2023</t>
  </si>
  <si>
    <t xml:space="preserve">17 August 2023 through 19 August 2023</t>
  </si>
  <si>
    <t xml:space="preserve">Kochi</t>
  </si>
  <si>
    <t xml:space="preserve">979-835031409-0</t>
  </si>
  <si>
    <t xml:space="preserve">Int. Conf. Smart Comput. Commun.: Intell. Technol. Appl., ICSCC</t>
  </si>
  <si>
    <t xml:space="preserve">2-s2.0-85181405299</t>
  </si>
  <si>
    <t xml:space="preserve">Krishna Kumar V.; Geetha Devasana M.S.; Saravana Balaji B.</t>
  </si>
  <si>
    <t xml:space="preserve">Krishna Kumar, V. (57194092527); Geetha Devasana, M.S. (55217797900); Saravana Balaji, B. (57218115919)</t>
  </si>
  <si>
    <t xml:space="preserve">57194092527; 55217797900; 57218115919</t>
  </si>
  <si>
    <t xml:space="preserve">Accelerated Malaria Diagnosis with Deep Convolutional Neural Network</t>
  </si>
  <si>
    <t xml:space="preserve">The disease known as malaria is a communicable illness that is spread by the bites of mosquitoes. There are already diagnostic approaches that include manually counting the amount of red blood cells (RBC) that are contaminated. This is accomplished by doing a microscopic examination of the stained blood cells of the individual who is suffering from the disease. However, this is a hard job that requires careful attention both visually and intellectually. In order to accomplish this, a comprehensive manual examination must be undertaken by an expert who is informed about the subject matter. It is possible that the implementation of deep learning algorithms will simplify the process of disease diagnosis and make this analysis more straightforward. Furthermore, because they are diagnosing malaria, they are expected to manage a vast quantity of data, which includes photographs of microscopic blood smears. This is because they are responsible for finding the disease. In order to get a better level of accuracy, it is necessary to train models that are more in-depth. This requires fast computing since it requires a substantial amount of computer resources. An accelerated convolutional neural network technique that is based on a graphics processing unit (GPU) is utilized by the Accelerated Malaria Diagnosis System (AMDS) that has been created in order to diagnose malaria. © 2023 IEEE.</t>
  </si>
  <si>
    <t xml:space="preserve">1st International Conference on Emerging Research in Computational Science, ICERCS 2023 - Proceedings</t>
  </si>
  <si>
    <t xml:space="preserve">10.1109/ICERCS57948.2023.10434247</t>
  </si>
  <si>
    <t xml:space="preserve">https://www.scopus.com/inward/record.uri?eid=2-s2.0-85186698823&amp;doi=10.1109%2fICERCS57948.2023.10434247&amp;partnerID=40&amp;md5=45922b991a609ca4f44c937f205ae186</t>
  </si>
  <si>
    <t xml:space="preserve">Sri Ramakrishna Engineering College, Department of Computer Science and Engineering, Coimbatore, India; De Montfort University Kazakhstan, Department of Business Data Analytics, Almaty, Kazakhstan</t>
  </si>
  <si>
    <t xml:space="preserve">Krishna Kumar V., Sri Ramakrishna Engineering College, Department of Computer Science and Engineering, Coimbatore, India; Geetha Devasana M.S., Sri Ramakrishna Engineering College, Department of Computer Science and Engineering, Coimbatore, India; Saravana Balaji B., De Montfort University Kazakhstan, Department of Business Data Analytics, Almaty, Kazakhstan</t>
  </si>
  <si>
    <t xml:space="preserve">Blood Smear; Convolutional neural networks; Plasmodium parasites; RBC</t>
  </si>
  <si>
    <t xml:space="preserve">Blood; Cells; Computer graphics; Computer graphics equipment; Convolution; Convolutional neural networks; Deep neural networks; Diagnosis; Graphics processing unit; Program processors; Blood cells; Blood smears; Convolutional neural network; Diagnostic approach; Disease diagnosis; Malaria diagnosis; Manual examination; Plasmodium parasites; Red blood cell; Subject matters; Diseases</t>
  </si>
  <si>
    <t xml:space="preserve">Shekar G., Revathy S., Goud E.K., Malaria detection using deep learning, 2020 4th International Conference on Trends in Electronics and Informatics (ICOEI)(48184), pp. 746-750, (2020); Abubakar A., Ajuji M., Yahya I.U., Deepfmd: Computational analysis for malaria detection in blood-smear images using deep- learning features, Appl. Syst. Innov, 4, (2021); Pattanaik P.A., Mittal M., Khan M.Z., Panda S.N., Malaria detection using deep residual networks with mobile microscopy, Journal of King Saud University - Computer and Information Sciences, (2020); Rahman A., Zunair H., Reme T.R., Rahman M.S., Mahdy M.R.C., A comparative analysis of deep learning architectures on high variation malaria parasite classification dataset, Tissue and Cell, 69, (2021); De Rung L., Yong W.X., Yapese J., Subburaj K., Chandramohanadas R., A deep learning approach to the screening of malaria infection: Automated and rapid cell counting, object detection and instance segmentation using Mask R-CNN, Computerized Medical Imaging and Graphics, 88, (2021); Singla N., Srivastava V., Deep learning enabled multiwavelength spatial coherence microscope for the classification of malaria-infected stages with limited labelled data size, Optics &amp; Laser Technology, 130, (2020); Manning K., Zhai X., Yu W., Image analysis and machine learning based malaria assessment system, Digital Communications and Networks, (2021); Anilkumar K.K., Manoj V.J., Sagi T.M., Automated detection of leukaemia by pretrained deep neural networks and transfer learning: A comparison, Medical Engineering &amp; Physics, 98, pp. 8-19, (2021); Gilman G., Walls R.J., Characterizing concurrency mechanisms for NVIDIA GPUs under deep learning workloads, Performance Evaluation, 151, (2021); Rajaraman S., Antani S.K., Poostchi M., Silamut K., Hossain M.A., Maude R.J., Jaeger S., Thoma G.R., Pretrained convolutional neural networks as feature extractors toward improved malaria parasite detection in thin blood smear images, PeerJ, 6, (2018); Muqdad H.D.A., Abdullahi A.I., Malaria parasite detection using deep learning algorithms based on (CNNs) technique, Computers and Electrical Engineering, 103, (2022); Lipsa S., Dash R.K., Malnet - an optimized cnn based method for malaria diagnosis, 2022 2nd International Conference on Intelligent Technologies (CONIT), pp. 1-6, (2022); Qadri A.M., Raza A., Eid F., Abualigah L., A novel transfer learning-based model for diagnosing malaria from parasitized and uninfected red blood cell images, Decision Analytics Journal, 9, (2023); Marques G., Ferreras A., De La Torre-Diez I., An ensemble-based approach for automated medical diagnosis of malaria using EfficientNet, Multimed Tools Appl, 81, pp. 28061-28078, (2022); Rao N.S.M.S., Performance of cpus and gpus on deep learning models for heterogeneous datasets, 2022 6th International Conference on Electronics, Communication and Aerospace Technology, pp. 978-985, (2022)</t>
  </si>
  <si>
    <t xml:space="preserve">V. Krishna Kumar; Sri Ramakrishna Engineering College, Department of Computer Science and Engineering, Coimbatore, India; email: krishnakumar.v@srec.ac.in</t>
  </si>
  <si>
    <t xml:space="preserve">1st IEEE International Conference on Emerging Research in Computational Science, ICERCS 2023</t>
  </si>
  <si>
    <t xml:space="preserve">7 December 2023 through 9 December 2023</t>
  </si>
  <si>
    <t xml:space="preserve">Hybrid, Coimbatore</t>
  </si>
  <si>
    <t xml:space="preserve">979-835035975-6</t>
  </si>
  <si>
    <t xml:space="preserve">Int. Conf. Emerg. Res. Comput. Sci., ICERCS - Proc.</t>
  </si>
  <si>
    <t xml:space="preserve">2-s2.0-85186698823</t>
  </si>
  <si>
    <t xml:space="preserve">Kong Q.; Lin Z.; Yin F.; Xu L.; Cheng X.; Cui S.; Ye X.</t>
  </si>
  <si>
    <t xml:space="preserve">Kong, Qinglei (56542609700); Lin, Zhidi (57207855790); Yin, Feng (55311891800); Xu, Lexi (35207681600); Cheng, Xinzhou (36631926300); Cui, Shuguang (8710783400); Ye, Xiaoyu (58138971700)</t>
  </si>
  <si>
    <t xml:space="preserve">56542609700; 57207855790; 55311891800; 35207681600; 36631926300; 8710783400; 58138971700</t>
  </si>
  <si>
    <t xml:space="preserve">Achieving Privacy-Preserving Diagnosis with Federated Learning in LEO Satellite Constellation</t>
  </si>
  <si>
    <t xml:space="preserve">LEO satellite constellations can support the federated learning-based diagnosis model construction for epidemics occurring in remote less developed areas, like Malaria. However, the model trained directly from the patients’ medical data may leak their physical conditions, and LEO satellite constellations also suffer from the long propagation delay and limited energy supply. To tackle the challenges, we suggest a new privacy-preserving model update framework in federated learning, which adapts to the highly dynamic topology of the LEO satellite constellation. To protect each individual piece of model update, we propose this privacy-preserving scheme which combines a symmetric homomorphic cryptosystem and a verifiable secret sharing scheme, where the security goals of privacy preservation and authentication can be achieved. We demonstrate the feasibility and evaluate the effectiveness of our proposed privacy-preserving diagnosis model on the real dataset, namely the Malaria Cell Image Dataset, and simulation results demonstrate that our proposed privacy-preserving scheme mostly improves the computational complexity in contrast to a scheme exploiting the Paillier cryptosystem. © 2023, The Author(s), under exclusive license to Springer Nature Singapore Pte Ltd.</t>
  </si>
  <si>
    <t xml:space="preserve">996 LNEE</t>
  </si>
  <si>
    <t xml:space="preserve">10.1007/978-981-19-9968-0_120</t>
  </si>
  <si>
    <t xml:space="preserve">https://www.scopus.com/inward/record.uri?eid=2-s2.0-85149949902&amp;doi=10.1007%2f978-981-19-9968-0_120&amp;partnerID=40&amp;md5=b2d0e06b52e8c084406aed84a2c0e68a</t>
  </si>
  <si>
    <t xml:space="preserve">Institute of Space Science and Technology, Harbin Institute of Technology, Shenzhen, China; School of Science and Engineering, The Chinese University of Hongkong, Shenzhen, China; Research Institute, China United Network Communications Corporation, Beijing, China</t>
  </si>
  <si>
    <t xml:space="preserve">Kong Q., Institute of Space Science and Technology, Harbin Institute of Technology, Shenzhen, China; Lin Z., School of Science and Engineering, The Chinese University of Hongkong, Shenzhen, China; Yin F., School of Science and Engineering, The Chinese University of Hongkong, Shenzhen, China; Xu L., Research Institute, China United Network Communications Corporation, Beijing, China; Cheng X., Research Institute, China United Network Communications Corporation, Beijing, China; Cui S., School of Science and Engineering, The Chinese University of Hongkong, Shenzhen, China; Ye X., Research Institute, China United Network Communications Corporation, Beijing, China</t>
  </si>
  <si>
    <t xml:space="preserve">Federated learning; LEO satellite; Privacy preservation</t>
  </si>
  <si>
    <t xml:space="preserve">Diseases; Image enhancement; Learning systems; Orbits; Privacy-preserving techniques; Satellites; Topology; Diagnosis model; Federated learning; LEO satellite; Medical data; Model construction; Model updates; Physical conditions; Privacy preservation; Privacy preserving; Satellite constellations; Diagnosis</t>
  </si>
  <si>
    <t xml:space="preserve">Guangdong Research Project, (2017ZT07X152); National Key Research and Development Program of China, NKRDPC, (2018YFB1800800); National Key Research and Development Program of China, NKRDPC; Special Project for Research and Development in Key areas of Guangdong Province, (2018B030338001); Special Project for Research and Development in Key areas of Guangdong Province</t>
  </si>
  <si>
    <t xml:space="preserve">Acknowledgements. This work was supported in part by the National Key Research and Development Program of China under Grant 2018YFB1800800, by the Key Area Research and Development Program of Guangdong Province under Grant 2018B030338001, and by the Guangdong Research Project with Grant No. 2017ZT07X152.</t>
  </si>
  <si>
    <t xml:space="preserve">Fuhad K., Et al., Deep learning based automatic malaria parasite detection from blood smear and its smartphone based application, Diagnostics, 10, 5, (2020); Yin F., Et al., FedLoc: Federated learning framework for data-driven cooperative localization and location data processing, IEEE Open J. Signal Process., 1, pp. 187-215, (2020); Kong Q., Lu R., Yin F., Achieving efficient and secure handover in LEO constellationassisted beyond 5G networks, IEEE Open J. Commun. Soc., 3, pp. 641-653, (2021); Kong Q., Et al., Privacy-preserving aggregation for federated learning-based navigation in vehicular fog, IEEE Trans. Ind. Inf., 17, 12, pp. 8453-8463, (2021); Bonawitz K., Et al., Practical secure aggregation for privacy-preserving machine learning, Proceedings of the 2017 ACM SIGSAC Conference on Computer and Communications Security, pp. 1175-1191, (2017); Paillier P., Public-key cryptosystems based on composite degree residuosity classes, EUROCRYPT 1999. LNCS, Vol. 1592, pp. 223-238, (1999); Zhang S., Ray S., Lu R., Zheng Y., Guan Y., Shao J., Achieving efficient and privacypreserving dynamic skyline query in online medical diagnosis, IEEE Internet Things J, 9, pp. 9973-9986, (2021); Guan Y., Lu R., Zheng Y., Zhang S., Shao J., Wei G., Toward privacy preserving cybertwinbased spatio-temporal keyword query for ITS in 6G era, IEEE Internet Things J, 8, 22, pp. 16243-16255, (2021)</t>
  </si>
  <si>
    <t xml:space="preserve">F. Yin; School of Science and Engineering, The Chinese University of Hongkong, Shenzhen, China; email: yinfeng@cuhk.edu.cn</t>
  </si>
  <si>
    <t xml:space="preserve">Wang Y.; Liu Y.; Zou J.; Huo M.</t>
  </si>
  <si>
    <t xml:space="preserve">10th International Conference on Signal and Information Processing, Network and Computers, ICSINC 2022</t>
  </si>
  <si>
    <t xml:space="preserve">6 September 2022 through 6 September 2022</t>
  </si>
  <si>
    <t xml:space="preserve">Xining</t>
  </si>
  <si>
    <t xml:space="preserve">978-981199967-3</t>
  </si>
  <si>
    <t xml:space="preserve">2-s2.0-85149949902</t>
  </si>
  <si>
    <t xml:space="preserve">Paul P.N.T.; Diarra M.; Dione D.; Dathe H.</t>
  </si>
  <si>
    <t xml:space="preserve">Paul, Python Ndekou Tandong (57195718177); Diarra, Mamadou (57540060700); Dione, Dethie (57219490288); Dathe, Hamidou (8875241500)</t>
  </si>
  <si>
    <t xml:space="preserve">57195718177; 57540060700; 57219490288; 8875241500</t>
  </si>
  <si>
    <t xml:space="preserve">An Agent-Based Model for Studying Effects of Mosquito Bites Protection and the Intra-host Treatment on the Malaria Transmission</t>
  </si>
  <si>
    <t xml:space="preserve">This paper presents an agent-based model of malaria transmission taking into account mosquito bites protection and the malaria intra-host treatment. The intra-host treatment is managed by a mathematical model describing the population dynamics of P. falcipharum parasites. The Unified Modeling Language (UML) and the Agent Modeling Language (AML) are used to describe interactions between humans, Anopheles mosquitoes and water ponds. In the initial phase of a 30-day simulation, we placed 500 human agents and 50 water pond agents into the Netlogo development platform. We observed malaria infection cases as a function of human behaviors like treatments, protection with bed nets, spraying with insecticides. The results show that the protection against mosquito bites leads to a reduction in the number of human infection cases for humans and mosquitoes infected cases. The earlier treatment shows the high decrease in the infection rate at the end of simulation. The agent-based model could help public health ministries defining strategies for fighting against malaria transmission. © 2023, The Author(s), under exclusive license to Springer Nature Switzerland AG.</t>
  </si>
  <si>
    <t xml:space="preserve">814 LNNS</t>
  </si>
  <si>
    <t xml:space="preserve">10.1007/978-3-031-47451-4_22</t>
  </si>
  <si>
    <t xml:space="preserve">https://www.scopus.com/inward/record.uri?eid=2-s2.0-85177208310&amp;doi=10.1007%2f978-3-031-47451-4_22&amp;partnerID=40&amp;md5=9fea2a4e81ab482ab008a66aa3ebe6e2</t>
  </si>
  <si>
    <t xml:space="preserve">Department of Mathematics and Computer Science, Cheikh Anta Diop University, Dakar, Senegal; Université Félix Houphouët-Boigny, UFR Mathématiques et Informatique, Laboratoire Mécanique et Informatique, Abidjan, Cote d'Ivoire; Gaston Berger University, Saint Louis, Senegal</t>
  </si>
  <si>
    <t xml:space="preserve">Paul P.N.T., Department of Mathematics and Computer Science, Cheikh Anta Diop University, Dakar, Senegal; Diarra M., Université Félix Houphouët-Boigny, UFR Mathématiques et Informatique, Laboratoire Mécanique et Informatique, Abidjan, Cote d'Ivoire; Dione D., Gaston Berger University, Saint Louis, Senegal; Dathe H., Department of Mathematics and Computer Science, Cheikh Anta Diop University, Dakar, Senegal</t>
  </si>
  <si>
    <t xml:space="preserve">Agent-based Model; Artificial Intelligence; Malaria Modeling; Mathematical Model</t>
  </si>
  <si>
    <t xml:space="preserve">Autonomous agents; Computational methods; Diseases; Lakes; Simulation platform; Transmissions; Unified Modeling Language; Viruses; Agent modeling languages; Agent-based model; Anopheles mosquitoes; Development platform; Human agent; Initial phasis; Malaria modeling; Malaria transmission; NetLogo; Parasite-; Behavioral research</t>
  </si>
  <si>
    <t xml:space="preserve">Smith N.R., Et al., Agent-based models of malaria transmission: A systematic review, Malar. J., 17, (2018); Aron L., Mathematical modelling of immunity to malaria, Math. Biosci., 90, pp. 385-396, (1988); Jindal A., Rao S., Agent-based modeling and simulation of mosquito borne disease transmission, Proceedings of the 16Th Conference on 34 Autonomous Agents and Multiagent Systems, pp. 426-435, (2017); Abar S., Theodoropoulos G.K., Lemarinier P., O'Hare G.M.P., Agent based modelling and simulation tools: A review of the state-of-art software, Comput. Sci. Rev., 24, pp. 13-33, (2017); Arifin S.M.N., Davis G.J., Zhou Y., A spatial agent-based model of malaria: Model verification and effects of spatial heterogeneity, Int. J. Agent Technol. Syst., 3, pp. 17-34, (2011); Pizzitutti F., Pan W., Barbieri A., Miranda J.J., Feingold B., Guedes G.R., Et al., A validated agent-based model to study the spatial and temporal hetero-geneities of malaria incidence in the rainforest environment, Malar. J., 14, (2015); Zhu L., Qualls W.A., Marshall J.M., Arheart K.L., Deangelis D.L., McManus J.W., Et al., A spatial individual-based model predicting a great impact of copious sugar sources and resting sites on survival of Anopheles gambiae and malaria parasite transmission, Malar. J., 14, (2015); Pizzitutti F., Pan W., Feingold B., Zaitchik B., Alvarez C.A., Mena C.F., Out of the net: An agent-based model to study human movements influence on local-scale malaria transmission, PLOS ONE, 13, (2018); Maire N., Tediosi F., Ross A., Smith T., Predictions of the epidemiologic impact of introducing a pre-erythrocytic vaccine into the expanded program on immunization in sub-Saharan Africa, Am. J. Trop. Med. Hyg., 75, pp. 111-118, (2006); Nguyen T.D., Olliaro P., Dondorp A.M., Baird J.K., Lam H.M., Farrar J., Et al., Optimum population-level use of artemisinin combination therapies: A modelling study, Lancet Glob Health, 3, (2015); Arifin S.M.N., Madey G.R., Collins F.H., Examining the impact of larval source management and insecticide-treated nets using a spatial agent-based model of Anopheles gambiae and a landscape generator tool, Malar. J., 12, pp. 290-313, (2013); Gu W., Novak R.J., Agent-based modelling of mosquito foraging behaviour for malaria control, Trans. R. Soc. Trop. Med. Hyg., 103, pp. 1105-1118, (2009); Alam M.S.M.Z., Niaz Arifin S.M., Al-Amin H.M., Alam M.S.M.Z., Rahman M.S., A spatial agent-based model of Anopheles vagus for malaria epidemiology: Examining the impact of vector control interventions, Malar. J., 16, (2017); Arifin S.M.N., Zhou Y., Davis G.J., Gentile J.E., Madey G.R., Collins F.H., An agent-based model of the population dynamics of Anopheles gambiae, Malar. J., 13, (2014); Eckhoff P., Mathematical models of within-host and transmission dynamics to determine effects of malaria interventions in a variety of transmission settings, Am. J. Trop. Med. Hyg., 88, pp. 817-827, (2013); Linard C., Poncon N., Fontenille D., Lambin E.F., A multi-agent simulation to assess the risk of malaria re-emergence in Southern France, Ecol. Modell., 220, pp. 160-174, (2009); Sauboin C.J., van Bellinghen L.-A., van De Velde N., van Vlaenderen I., Potential public health impact of RTS,S malaria candidate vaccine in sub-Saharan Africa: A modelling study, Malar. J., 14, (2015); Rateb F., Pavard B., Bellamine-Bensaoud N., Merelo J.J., Arenas M.G., Modeling malaria with multi-agent systems, Int. J. Intell. Inf. Technol., 1, pp. 17-27, (2005); Gu W., Killeen G.F., Mbogo C.M., Regens J.L., Githure J.I., Beier J.C., An individual-based model of Plasmodium falciparum malaria transmission on the coast of Kenya, Trans. R. Soc. Trop. Med. Hyg., 97, pp. 43-50, (2003); Kamgang J.C., Kamla V.C., Tchoumi S.Y., Modeling the dynamics of malaria transmission with bed net protection perspective, Appl. Math., 5, 5, pp. 3156-3205, (2014)</t>
  </si>
  <si>
    <t xml:space="preserve">P.N.T. Paul; Department of Mathematics and Computer Science, Cheikh Anta Diop University, Dakar, Senegal; email: python.paul@ucad.edu.sn</t>
  </si>
  <si>
    <t xml:space="preserve">Arai K.</t>
  </si>
  <si>
    <t xml:space="preserve">8th Future Technologies Conference, FTC 2023</t>
  </si>
  <si>
    <t xml:space="preserve">2 November 2023 through 3 November 2023</t>
  </si>
  <si>
    <t xml:space="preserve">San Francisco</t>
  </si>
  <si>
    <t xml:space="preserve">978-303147450-7</t>
  </si>
  <si>
    <t xml:space="preserve">2-s2.0-85177208310</t>
  </si>
  <si>
    <t xml:space="preserve">Jain H.; Benhal R.; Parbat T.</t>
  </si>
  <si>
    <t xml:space="preserve">Jain, Honey (57291531200); Benhal, Rohan (57291988800); Parbat, Tanmayee (57291756300)</t>
  </si>
  <si>
    <t xml:space="preserve">57291531200; 57291988800; 57291756300</t>
  </si>
  <si>
    <t xml:space="preserve">An Automated Disease Prediction using AI</t>
  </si>
  <si>
    <t xml:space="preserve">Data Mining and Machine Learning plays most motivating space of exploration that become generally well known in wellbeing association. It likewise has a crucial impact to reveal new examples in therapeutic science and administrations affiliation which subsequently obliging for every one of the gatherings related with this field. This undertaking expect to frame a symptomatic model of the normal sicknesses dependent on the manifestations by utilizing information mining method like arrangement in wellbeing space. In this paper, we will utilize AI calculations and profound realizing which can be used for health care diagnosis. In this paper we are proposing the disease identification using symptoms and images of malaria cells. Chest x-ray images of covid and pneumonia disease. Accordingly we are recommending the precautions and hospital to the patient. © Grenze Scientific Society, 2023.</t>
  </si>
  <si>
    <t xml:space="preserve">14th International Conference on Advances in Computing, Control, and Telecommunication Technologies, ACT 2023</t>
  </si>
  <si>
    <t xml:space="preserve">Grenze Scientific Society</t>
  </si>
  <si>
    <t xml:space="preserve">https://www.scopus.com/inward/record.uri?eid=2-s2.0-85174414626&amp;partnerID=40&amp;md5=846dcc6c8651fdaf7507cd9dcd3f7e13</t>
  </si>
  <si>
    <t xml:space="preserve">University of California, Riverside, United States; Drexel University, United States</t>
  </si>
  <si>
    <t xml:space="preserve">Jain H., Drexel University, United States; Benhal R., University of California, Riverside, United States; Parbat T., University of California, Riverside, United States</t>
  </si>
  <si>
    <t xml:space="preserve">Deep Learning and Neural Networks; Disease Prediction; KNN; Support Vector Machine</t>
  </si>
  <si>
    <t xml:space="preserve">Data mining; Deep learning; Diagnosis; Diseases; Deep learning and neural network; Disease prediction; Information mining; KNN; Learning network; Machine-learning; Mining methods; Neural-networks; Support vectors machine; Wellbeing; Support vector machines</t>
  </si>
  <si>
    <t xml:space="preserve">Suo Qiuling, Ma Fenglong, Et al., Personalized Disease Prediction Using a CNN-Based Similarity Learning Method 2017, IEEE International Conference on Bioinformatics and Biomedicine (BIBM); Proceedings of the 2nd International Conference on Inventive Communication and Computational Technologies (ICICCT 2018) IEEE Xplore Compliant - Part Number: CFP18BAC-ART; ZHANG PEIYING, HUANG XINGZHE, LI MAOZHEN, Disease Prediction and Early Intervention System Based on Symptom Similarity Analysis, Engineering and Design; Suo Qiuling, Ma Fenglong, Et al., AI-assisted Prediction on Potential Health Risks with Regular Physical Examination Records Ieee transactions on knowledge and data science; Setyanto Hartatik, Tamam Mohammad Badri, Prediction for Diagnosing Liver Disease in Patients using KNN and Naïve Bayes Algorithms, 020 2nd International Conference on Cybernetics and Intelligent System (ICORIS)</t>
  </si>
  <si>
    <t xml:space="preserve">Stephen J.; Sharma P.; Chaba Y.; Abraham K.U.; Anooj P.K.; Mohammad N.; Universiti Kebangsaan Malaysia, 43600 UKM, Bangi Selangor; Thomas G.; Srikiran S.</t>
  </si>
  <si>
    <t xml:space="preserve">15 June 2023 through 16 June 2023</t>
  </si>
  <si>
    <t xml:space="preserve">Int. Conf. Adv. Comput., Control, Telecommun. Technol., ACT</t>
  </si>
  <si>
    <t xml:space="preserve">2-s2.0-85174414626</t>
  </si>
  <si>
    <t xml:space="preserve">Lalitha S.D.; Remya P.; Priyanka R.; Rajendran N.; Sivakamasundari N.</t>
  </si>
  <si>
    <t xml:space="preserve">Lalitha, S.D. (58510382900); Remya, P. (58368088900); Priyanka, R. (57212304182); Rajendran, N. (57202514221); Sivakamasundari, N. (56274249600)</t>
  </si>
  <si>
    <t xml:space="preserve">58510382900; 58368088900; 57212304182; 57202514221; 56274249600</t>
  </si>
  <si>
    <t xml:space="preserve">An Efficient Learning Assisted Malaria Parasites Identification Methodology based on Blood Smear Images</t>
  </si>
  <si>
    <t xml:space="preserve">Malaria remains a global health challenge, necessitating accurate and efficient methods for the identification of malaria parasites from blood smear images. In this study, we propose an innovative approach for malaria parasites identification that leverages the power of deep learning and gradient boosting. Our methodology combines the feature extraction capabilities of the MobileNet convolutional neural network with the robust classification capabilities of XGBoost. The MobileNet model is employed to extract discriminative features from blood smear images, providing a rich representation of the parasites' morphological characteristics. Subsequently, XGBoost is utilized as the classification model to distinguish between infected and uninfected blood samples based on these extracted features. This hybrid approach showcases remarkable accuracy and efficiency, offering a reliable solution for malaria diagnosis. Experimental results demonstrate the superiority of our methodology, achieving precise identification of malaria parasites while minimizing false positives. The proposed model takes the lead with an impressive accuracy score of 0.98, signifying its exceptional capability in distinguishing between different classes within the dataset. This model, tailored for the specific task at hand, utilizes a combination of innovative techniques to achieve superior accuracy.This innovative learning-assisted approach holds great promise for enhancing malaria diagnosis, particularly in resource-constrained settings, and represents a significant step towards combatting this life-threatening disease more effectively. © 2023 IEEE.</t>
  </si>
  <si>
    <t xml:space="preserve">Proceedings of the 2023 International Conference on Innovative Computing, Intelligent Communication and Smart Electrical Systems, ICSES 2023</t>
  </si>
  <si>
    <t xml:space="preserve">10.1109/ICSES60034.2023.10465510</t>
  </si>
  <si>
    <t xml:space="preserve">https://www.scopus.com/inward/record.uri?eid=2-s2.0-85190542019&amp;doi=10.1109%2fICSES60034.2023.10465510&amp;partnerID=40&amp;md5=73e61cba9511b6c815eb8d20f755d738</t>
  </si>
  <si>
    <t xml:space="preserve">R.M.K. College of Engineering and Technology, Department of Computer Science and Engineering, Puduvoyal, Chennai, India; Mailam Engineering College, Department of Chemistry, Mailam, India; S.A. Engineering College, Department of EEE, Chennai, India; B.S. Abdur Rahman Crescent Institute of Science and Technology, Department of Information Technology, Vandalur, Chennai, India; Hindustan Institute of Technology and Sciences, Department of Mechatronics, Padur, Chennai, India</t>
  </si>
  <si>
    <t xml:space="preserve">Lalitha S.D., R.M.K. College of Engineering and Technology, Department of Computer Science and Engineering, Puduvoyal, Chennai, India; Remya P., Mailam Engineering College, Department of Chemistry, Mailam, India; Priyanka R., S.A. Engineering College, Department of EEE, Chennai, India; Rajendran N., B.S. Abdur Rahman Crescent Institute of Science and Technology, Department of Information Technology, Vandalur, Chennai, India; Sivakamasundari N., Hindustan Institute of Technology and Sciences, Department of Mechatronics, Padur, Chennai, India</t>
  </si>
  <si>
    <t xml:space="preserve">Malaria Parasites; MobileNet; XGBoost</t>
  </si>
  <si>
    <t xml:space="preserve">Blood; Convolutional neural networks; Deep learning; Diagnosis; Extraction; Blood smears; Efficient learning; Global health; Gradient boosting; Innovative approaches; Malaria diagnosis; Malaria parasite; Mobilenet; Power; Xgboost; Diseases</t>
  </si>
  <si>
    <t xml:space="preserve">Kumar Kundu T., Kumar Anguraj D., Using Image Classification-based RBC Extraction for Malarial Parasite Identification in Peripheral Blood Smear, IEEE, International Conference on Sustainable Computing and Data Communication Systems, (2023); Mahapatra S., Et al., Screening, production, optimization and characterization of -glucosidase using microbes from shellfish waste, 3 Biotech, 6, pp. 1-10; Pattanaik P.A., Swarnkar T., Sheet D., Object detection technique for malaria parasite in thin blood smear images, IEEE International Conference on Bioinformatics and Biomedicine, (2017); Rini Abidin S., Salamah U., Satriyo Nugroho A., Segmentation of malaria parasite candidates from thick blood smear microphotographs image using active contour without edge, IEEE, 1st International Conference on Biomedical Engineering, (2017); R.G, R.G, Automated Breast Cancer Classification based on Modified Deep learning Convolutional Neural Network following Dual Segmentation, 2022 3rd International Conference on Electronics and Sustainable Communication Systems (ICESC), pp. 1562-1569, (2022); Priyadarshini R., Et al., Utilization of Bioinorganic Nanodrugs and Nanomaterials for the Control of Infectious Diseases Using Deep Learning, BioMed Research International, 2023, (2023); Karthik B., Ramkumar G., Comparison of Feature Extraction Technique for Segmentation in Human Iris Recognition Under Uncontrolled Environment Using CNN Algorithm with SVM Classifier, ECS Transactions, (2022); Kuzhaloli S., Et al., Identification of Malaria Disease Using Machine Learning Models, International Conference on Electrical, Computer and Communication Technologies (ICECCT), (2023); Chandrasekara E.S.K., Vidanagamachchi S.M., Performance Analysis of Transfer Learning Methods for Malaria Disease Identification, International Research Conference on Smart Computing and Systems Engineering (SCSE), (2023); Chanda P.B., Et al., Effective Identification And Diagnosis Of Malaria Parasite In Blood Cell Images Through Deep Learning Approach, International Conference on Advanced Computing (ICoAC), (2023); Nakasi R., Francis Tusubira J., Zawedde A., Mansourian A., Mwebaze E., A web-based intelligence platform for diagnosis of malaria in thick blood smear images: A case for a developing country, IEEE/CVF Conference on Computer Vision and Pattern Recognition Workshops, (2020); Karthik G., Muttan S., Saravanan M.P., Seetharaman R., Vignesh V., Automated Malaria Diagnosis Using Microscopic Images, IEEE, Third International Conference on Inventive Systems and Control, (2020); Singh L., Alam A., Vijay Kumar K., Kumar D., Kumar P., Abdin Jaffery Z., Design of thermal imaging-based health condition monitoring and early fault detection technique for porcelain insulators using Machine learning, Environmental Technology &amp; Innovation, 24, (2021); Taha B., Rahman Liza F., Automatic identification of malaria-infected cells using deep convolutional neural network, IEEE, 24th International Conference on Computer and Information Technology, (2022); Kuzhaloli S., Thenappan S., Premavathi T., Nivedita V., Mageshbabu M., Navaneethan S., Identification of Malaria Disease Using Machine Learning Models, IEEE, Fifth International Conference on Electrical, Computer and Communication Technologies, (2023)</t>
  </si>
  <si>
    <t xml:space="preserve">S.D. Lalitha; R.M.K. College of Engineering and Technology, Department of Computer Science and Engineering, Chennai, Puduvoyal, India; email: sdl.cse@rmkec.ac.in</t>
  </si>
  <si>
    <t xml:space="preserve">2023 International Conference on Innovative Computing, Intelligent Communication and Smart Electrical Systems, ICSES 2023</t>
  </si>
  <si>
    <t xml:space="preserve">14 December 2023 through 15 December 2023</t>
  </si>
  <si>
    <t xml:space="preserve">979-835031920-0</t>
  </si>
  <si>
    <t xml:space="preserve">Proc. Int. Conf. Innov. Comput., Intell. Commun. Smart Electr. Syst., ICSES</t>
  </si>
  <si>
    <t xml:space="preserve">2-s2.0-85190542019</t>
  </si>
  <si>
    <t xml:space="preserve">Gill K.S.; Anand V.; Gupta R.</t>
  </si>
  <si>
    <t xml:space="preserve">Gill, Kanwarpartap Singh (58093480500); Anand, Vatsala (57197116465); Gupta, Rupesh (56332464600)</t>
  </si>
  <si>
    <t xml:space="preserve">58093480500; 57197116465; 56332464600</t>
  </si>
  <si>
    <t xml:space="preserve">An Efficient VGG19 Framework for Malaria Detection in Blood Cell Images</t>
  </si>
  <si>
    <t xml:space="preserve">Malaria diagnosis by microscopy is a method for identifying malaria using cell pictures. In order to do this, a blood sample must be examined under a microscope to determine whether red blood cells contain the malaria parasite. Computer vision method is used to examine the photos and determine if the malaria parasite species are present in order to automate this procedure utilising cell images. Large datasets of cell pictures are used to train machine learning algorithms to spot patterns and traits that indicate a malaria infection. In this work, we aim to develop a sustainable picture classification model based on exchange learning that can identify malaria using cell pictures. Our VGG19 model was shown to have good classification performance for identifying malaria, with an accuracy rate of more than 90% which shall improve ecosystem management. © 2023 IEEE.</t>
  </si>
  <si>
    <t xml:space="preserve">2023 3rd Asian Conference on Innovation in Technology, ASIANCON 2023</t>
  </si>
  <si>
    <t xml:space="preserve">10.1109/ASIANCON58793.2023.10270637</t>
  </si>
  <si>
    <t xml:space="preserve">https://www.scopus.com/inward/record.uri?eid=2-s2.0-85175626683&amp;doi=10.1109%2fASIANCON58793.2023.10270637&amp;partnerID=40&amp;md5=0acdadd484fddc726ba71f86466043fd</t>
  </si>
  <si>
    <t xml:space="preserve">Gill K.S., Chitkara University Institute of Engineering and Technology, Chitkara University, Punjab, India; Anand V., Chitkara University Institute of Engineering and Technology, Chitkara University, Punjab, India; Gupta R., Chitkara University Institute of Engineering and Technology, Chitkara University, Punjab, India</t>
  </si>
  <si>
    <t xml:space="preserve">CNN; Confusion matrix; Deep Learning; Malaria Classification; Model Training; VGG 19 Model</t>
  </si>
  <si>
    <t xml:space="preserve">Blood; Cytology; Deep learning; Diseases; Image classification; Large dataset; Learning algorithms; Learning systems; Blood cell images; Blood samples; Confusion matrix; Deep learning; Malaria classification; Malaria diagnosis; Malaria parasite; Model training; Red blood cell; VGG 19 model; Cells</t>
  </si>
  <si>
    <t xml:space="preserve">Poostchi M., Silamut K., Maude R.J., Jaeger S., Thoma G., Image analysis and machine learning for detecting malaria, Translational Research, 194, pp. 36-55, (2018); Hemachandran K., Alasiry A., Marzougui M., Ganie S.M., Pise A.A., Alouane M.T.H., Chola C., Performance analysis of deep learning algorithms in diagnosis of malaria disease, Diagnostics, 13, 3, (2023); Okonji O.R., Simulating Malaria Detection in Laboratories using Deep Learning, (2023); Sika W., Wieczorek M., Sika J., Woniak M., Malaria Detection Using Advanced Deep Learning Architecture, Sensors, 23, 3, (2023); Kumar S., Priya S., Kumar A., Malaria detection using Deep Convolution Neural Network, (2023); Shewajo F.A., Fante K.A., Tile-based microscopic image processing for malaria screening using a deep learning approach, BMC Medical Imaging, 23, 1, pp. 1-14, (2023); Sushant D., Bhalchandra P., Malaria Detection with Flask Using Deep Learning Model, ICDSMLA 2021: Proceedings of the 3rd International Conference on Data Science, Machine Learning and Applications, pp. 721-728, (2023); Gill K.S., Anand V., Gupta S., Figat P., Stratification of White Blood Cells Using Optimized DenseNet201 Model, Advanced Communication and Intelligent Systems: First International Conference, ICACIS 2022, pp. 31-47, (2023); Bhuiyan M., Islam M.S., A new ensemble learning approach to detect malaria from microscopic red blood cell images, Sensors International, 4, (2023); Gill K.S., Sharma A., Anand V., Gupta R., Brain Tumor Detection using VGG19 model on Adadelta and SGD Optimizer, 2022 6th International Conference on Electronics, Communication and Aerospace Technology, pp. 1407-1412, (2022); Anand V., Gupta S., Altameem A., Nayak S.R., Poonia R.C., Saudagar A.K.J., An Enhanced Transfer Learning Based Classification for Diagnosis of Skin Cancer, Diagnostics, 12, 7, (2022); Huq A., Reza M.T., Hossain S., Dipto S.M., AnoMalNet: Outlier Detection based Malaria Cell Image Classification Method Leveraging Deep Autoencoder, (2023); Prema C.E., Suresh S., Krishnan M.N., Leema N., A Novel Efficient Video Smoke Detection Algorithm Using Cooccurrence of Local Binary Pattern Variants, Fire Technology, 58, 5, pp. 3139-3165, (2022); Kundu T.K., Anguraj D.K., A Performance Analysis of Machine Learning Algorithms for Malaria Parasite Detection using Microscopic Images, 2023 5th International Conference on Smart Systems and Inventive Technology (ICSSIT), pp. 980-984, (2023); Li J.X., Liao W.Z., Huang Z.M., Yin X., Ouyang S., Gu B., Guo X.G., Identifying effective diagnostic biomarkers for childhood cerebral malaria in Africa integrating coexpression analysis with machine learning algorithm, European Journal of Medical Research, 28, 1, pp. 1-9, (2023); Hemachandran K., Alasiry A., Marzougui M., Ganie S.M., Pise A.A., Alouane M.T.H., Chola C., Performance Analysis of Deep Learning Algorithms in Diagnosis of Malaria Disease, Diagnostics, 13, (2023); Amod L., Mohunlal R., Teixeira N., Egan T.J., Wicht K.J., Identifying inhibitors of β-haematin formation with activity against chloroquine-resistant Plasmodium falciparum malaria parasites via virtual screening approaches, Scientific Reports, 13, 1, (2023); Alaiad A., Migdady A., Al-Khatib R.E.M., Alzoubi O., Zitar R.A., Abualigah L., Autokeras Approach: A Robust Automated Deep Learning Network for Diagnosis Disease Cases in Medical Images, Journal of Imaging, 9, 3, (2023); Gundaboina L., Badotra S., Bhatia T.K., Sharma K., Mehmood G., Fayaz M., Khan I.U., Mining cryptocurrency-based security using renewable energy as source, Security and Communication Networks, (2022); Amin I., Hassan S., Belhaouari S.B., Azam M.H., Transfer Learning-Based Semi-Supervised Generative Adversarial Network for Malaria Classification, Computers, Materials and Continua, 74, 3, pp. 6335-6349, (2023)</t>
  </si>
  <si>
    <t xml:space="preserve">3rd IEEE Asian Conference on Innovation in Technology, ASIANCON 2023</t>
  </si>
  <si>
    <t xml:space="preserve">25 August 2023 through 27 August 2023</t>
  </si>
  <si>
    <t xml:space="preserve">Ravet</t>
  </si>
  <si>
    <t xml:space="preserve">979-835030228-8</t>
  </si>
  <si>
    <t xml:space="preserve">Asian Conf. Innov. Technol., ASIANCON</t>
  </si>
  <si>
    <t xml:space="preserve">2-s2.0-85175626683</t>
  </si>
  <si>
    <t xml:space="preserve">Awotunde J.B.; Imoize A.L.; Salako D.P.; Farhaoui Y.</t>
  </si>
  <si>
    <t xml:space="preserve">Awotunde, Joseph Bamidele (57211158827); Imoize, Agbotiname Lucky (37053839500); Salako, Dotun Patrick (58162757900); Farhaoui, Yousef (57193499468)</t>
  </si>
  <si>
    <t xml:space="preserve">57211158827; 37053839500; 58162757900; 57193499468</t>
  </si>
  <si>
    <t xml:space="preserve">An Enhanced Medical Diagnosis System for Malaria and Typhoid Fever Using Genetic Neuro-Fuzzy System</t>
  </si>
  <si>
    <t xml:space="preserve">The major challenge of inadequate healthcare services in developing countries has been linked to the unavailability of qualified medical personnel and inefficient diagnostic techniques adopted. The advent of technology in medicine has aided the improvement of medical processes including diagnosis. Many computerized systems have been implemented over the years for medical diagnosis some of which included machine learning techniques. But the existing methods lack the power of selecting the most relevant signs and symptoms of malaria and typhoid fever. Therefore, this study develops a system capable of Malaria and Typhoid Fever diagnosis using a Genetic Algorithm, a Neuro-Fuzzy Inference System called GENFIS. In order to train the NFIS, the GA module determines the optimal set of network parameters, saves them, and then distributes them to the appropriate hidden layer nodes. The study made use of the MATLAB environment to test and evaluate the system. The accuracy performance of the proposed model revealed an accuracy of 97.2%, thus performing better than some of the existing systems. If completely adopted, the proposed approach has the potential to lessen the major issues with NFIS systems. Furthermore, it might be used to address difficult issues in different fields. © 2023, The Author(s), under exclusive license to Springer Nature Switzerland AG.</t>
  </si>
  <si>
    <t xml:space="preserve">635 LNNS</t>
  </si>
  <si>
    <t xml:space="preserve">10.1007/978-3-031-26254-8_25</t>
  </si>
  <si>
    <t xml:space="preserve">https://www.scopus.com/inward/record.uri?eid=2-s2.0-85151156562&amp;doi=10.1007%2f978-3-031-26254-8_25&amp;partnerID=40&amp;md5=48097843f37d540517e8007d06090518</t>
  </si>
  <si>
    <t xml:space="preserve">Department of Computer Science, Faculty of Information and Communication Sciences, University of Ilorin, Kwara State, Ilorin, 240003, Nigeria; Department of Electrical and Electronics Engineering, Faculty of Engineering, University of Lagos, Akoka, Lagos, 100213, Nigeria; STI Laboratory, T-IDMS Faculty of Sciences and Techniques, Moulay Ismail University of Meknès, Errachidia, Morocco</t>
  </si>
  <si>
    <t xml:space="preserve">Awotunde J.B., Department of Computer Science, Faculty of Information and Communication Sciences, University of Ilorin, Kwara State, Ilorin, 240003, Nigeria; Imoize A.L., Department of Electrical and Electronics Engineering, Faculty of Engineering, University of Lagos, Akoka, Lagos, 100213, Nigeria; Salako D.P., Department of Computer Science, Faculty of Information and Communication Sciences, University of Ilorin, Kwara State, Ilorin, 240003, Nigeria; Farhaoui Y., STI Laboratory, T-IDMS Faculty of Sciences and Techniques, Moulay Ismail University of Meknès, Errachidia, Morocco</t>
  </si>
  <si>
    <t xml:space="preserve">Diagnosis; Fuzzy logic; Genetic algorithm; Healthcare systems; Neural networks; Typhoid fever</t>
  </si>
  <si>
    <t xml:space="preserve">Computer circuits; Developing countries; Diagnosis; Diseases; Fuzzy inference; Fuzzy neural networks; Fuzzy systems; Health care; Learning systems; MATLAB; Computerized systems; Diagnostics techniques; Fuzzy-Logic; Healthcare services; Healthcare systems; Medical diagnosis system; Medical personnel; Neural-networks; Neurofuzzy system; Typhoid fever; Genetic algorithms</t>
  </si>
  <si>
    <t xml:space="preserve">Awotunde J.B., Jimoh R.G., Oladipo I.D., Abdulraheem M., Prediction of malaria fever using long-short-term memory and big data, Commun. Comput. Inf. Sci, 1350, pp. 41-53, (2021); Tessema B., Ferede G., Endris M., Enawgaw B., Malaria, typhoid fever and their coinfection among febrile patients at a rural health Centre in Northwest Ethiopia: a cross-sectional study, Adv. Med, 2014, (2014); Maidabara A.H., Ahmadu A.S., Malgwi Y.M., Ibrahim D., Expert system for diagnosis of malaria and typhoid, Comput. Sci. IT Res. J, 2, 1, pp. 1-15, (2021); Gontie G.B., Wolde H.F., Baraki A.G., Prevalence and associated factors of malaria among pregnant women in Sherkole district, Benishangul Gumuz regional state West Ethiopia, BMC Infect Dis, 20, 1, pp. 1-8, (2020); Alelign D., Et al., Magnitude of malaria-typhoid fever coinfection in febrile patients at Arba Minch General Hospital in Southern Ethiopia, J. Trop. Med, 2022, (2022); Vasava S.D., Lakhani S.J., Lakhani J.D., Prevalence of malaria and typhoid fever and coinfection in all febrile patients attending at tertiary care hospital in Vadodara, J. Appl. Biol. Biotechnol, 9, 5, pp. 1-4, (2021); Cheong Mun Keong B., Wahinuddin S., Typhoid and Malaria Co-infection – An Interesting Finding in the Investigation of a Tropical Fever, (2003);  Century, (2001); Nesbitt T.S., The Evolution of Telehealth: Where Have We Been and Where Are We Going?, (2012); Ayo F.E., Misra S., Awotunde J.B., Behera R.K., Oluranti J., Ahuja R., A mobile-based patient surgical appointment system using fuzzy logic, Proceedings of Third International Conference on Computing, Communications, and Cyber-Security, pp. 193-207, (2021); Asogbon M.G., Samuel O.W., Omisore M.O, Awonusi O., Enhanced neuro-fuzzy system based on genetic algorithm for medical diagnosis, J. Med. Diagn. Meth, 5, (2016); Oladipo I.D., Babatunde A.O., Awotunde J.B., Abdulraheem M., An improved hybridization in the diagnosis of diabetes mellitus using selected computational intelligence, International Conference on Information and Communication Technology and Applications, pp. 272-285, (2020); Saramourtsis A., Damousis J., Bakirzis A., Dokopoulos P., Genetic algorithm solution to the economic dispatch problem-application to the electrical power grid of crete island, (1999); Uzoka F.M., Et al., Risk factors for some tropical diseases in an African country, BMC Public Health, 21, 1, pp. 1-10, (2021); Arji G., Et al., Fuzzy logic approach for infectious disease diagnosis: a methodical evaluation, literature and classification, Biocybernet. Biomed. Eng, 39, 4, pp. 937-955, (2019)</t>
  </si>
  <si>
    <t xml:space="preserve">J.B. Awotunde; Department of Computer Science, Faculty of Information and Communication Sciences, University of Ilorin, Ilorin, Kwara State, 240003, Nigeria; email: awotunde.jb@unilorin.edu.ng</t>
  </si>
  <si>
    <t xml:space="preserve">Farhaoui Y.; Rocha A.; Brahmia Z.; Bhushab B.</t>
  </si>
  <si>
    <t xml:space="preserve">International Conference on Artificial Intelligence and Smart Environment, ICAISE 2022</t>
  </si>
  <si>
    <t xml:space="preserve">24 November 2022 through 26 November 2022</t>
  </si>
  <si>
    <t xml:space="preserve">Errachidia</t>
  </si>
  <si>
    <t xml:space="preserve">978-303126253-1</t>
  </si>
  <si>
    <t xml:space="preserve">2-s2.0-85151156562</t>
  </si>
  <si>
    <t xml:space="preserve">Islam M.R.; Jeba T.N.; Zulfiker M.S.; Rahman M.S.; Rahman M.</t>
  </si>
  <si>
    <t xml:space="preserve">Islam, Md Robiul (59219252000); Jeba, Tanjina Nur (58304479000); Zulfiker, Md. Sabab (57216339595); Rahman, Mirza Shahriyar (58304675900); Rahman, Mokhlesur (57615388300)</t>
  </si>
  <si>
    <t xml:space="preserve">59219252000; 58304479000; 57216339595; 58304675900; 57615388300</t>
  </si>
  <si>
    <t xml:space="preserve">Analysing the ML and DL-based Models for Predicting Malarial Fever Prior to Clinical Trial</t>
  </si>
  <si>
    <t xml:space="preserve">Malaria is a deadly disease caused by unicellular protozoan parasites of the Plasmodium genus. This disease is widespread throughout the world. Confirming the presence of parasites early on in all cases of malaria allows for the administration of species-specific antimalarial medication, which reduces mortality and points to other illnesses when the diagnosis is negative. Nonetheless, light microscopy of thin and thick PB films stained with May-Grünwald-Giemsa (MGG) remains the gold standard. Because this is a labor-intensive process that relies on the expertise of a pathologist, medical professionals in areas of the world where malaria is not common may have difficulty diagnosing cases of the disease. This study used thirteen different machine-learning models to predict malaria fever. The Gaussian NB, Logistic Regression, XGB, Bagging Classifier, Random Forest Classifier, Extra Trees Classifier, Gradient Boosting Classifier, Hist Gradient Boosting Classifier, LGBM Classifier, Decision Tree Classifier, Ada Boost Classifier, SGD Classifier, and K Nearest Neighbors (KNN) Classifier were among the models used. This study classifies malaria cases using data obtained from chest X-ray images for this study. A dataset with 1079 patient records and 23 attributes was created. These characteristics were obtained from the Kaggle repository. Out of these 23 attributes, 80% of the data were used to train the model, and the remaining 20% were used to assess the validation accuracy. It has been shown that the Gaussian NB models were the most accurate, with a 97.66% accuracy rate.  © 2023 IEEE.</t>
  </si>
  <si>
    <t xml:space="preserve">7th International Conference on Trends in Electronics and Informatics, ICOEI 2023 - Proceedings</t>
  </si>
  <si>
    <t xml:space="preserve">10.1109/ICOEI56765.2023.10126059</t>
  </si>
  <si>
    <t xml:space="preserve">https://www.scopus.com/inward/record.uri?eid=2-s2.0-85161230933&amp;doi=10.1109%2fICOEI56765.2023.10126059&amp;partnerID=40&amp;md5=b27e46f9be024ec50ade4d7249b688be</t>
  </si>
  <si>
    <t xml:space="preserve">Daffodil International University, Dept. of Cse, Dhaka, Bangladesh</t>
  </si>
  <si>
    <t xml:space="preserve">Islam M.R., Daffodil International University, Dept. of Cse, Dhaka, Bangladesh; Jeba T.N., Daffodil International University, Dept. of Cse, Dhaka, Bangladesh; Zulfiker M.S., Daffodil International University, Dept. of Cse, Dhaka, Bangladesh; Rahman M.S., Daffodil International University, Dept. of Cse, Dhaka, Bangladesh; Rahman M., Daffodil International University, Dept. of Cse, Dhaka, Bangladesh</t>
  </si>
  <si>
    <t xml:space="preserve">ANN; feature scaling; gaussian NB; machine learning; malaria</t>
  </si>
  <si>
    <t xml:space="preserve">Decision trees; Diagnosis; Gaussian distribution; Logistic regression; Machine learning; Nearest neighbor search; Random forests; ANN; Boosting classifiers; Clinical trial; Feature scaling; Gaussian NB; Gaussians; Gradient boosting; Machine-learning; Malaria; Unicellular protozoa; Diseases</t>
  </si>
  <si>
    <t xml:space="preserve">World Health Organization. World Malaria Report 2019, (2019); World Health Organization. International Travel and Health, (2010); Askling H.H., Bruneel F., Burchard G., Castelli F., Chiodini P.L., Grobusch M.P., Lopez-Velez R., Paul M., Petersen E., Popescu C., Et al., Management of imported malaria in Europe, Malar. J., 11, (2012); Ea A., Phyo P., Malaria W.C.J., Lancet, 391, pp. 1608-1621, (2018); Tangpukdee N., Duangdee C., Wilairatana P., Krudsood S., Malaria diagnosis: A brief review, The Korean journal of parasitology, 47, 2, (2009); Merino A., Manual de citología de sangre periférica y líquidos biológicos, Panamericana., (2019); Das D.K., Ghosh M., Pal M., Maiti A.K., Chakraborty C., Machine learning approach for automated screening of malaria parasite using light microscopic images, Micron, 45, pp. 97-106, (2013); Loddo A., Di Ruberto C., Kocher M., Recent advances of malaria parasites detection systems based on mathematical morphology, Sensors, 18, 2, (2018); Rosado L., Da Costa J.M.C., Elias D., Cardoso J.S., Automated detection of malaria parasites on thick blood smears via mobile devices, Procedia Computer Science., 90, pp. 138-144, (2016); Arco J.E., Gorriz J.M., Ramirez J., Alvarez I., Puntonet C.G., Digital image analysis for automatic enumeration of malaria parasites using morphological operations, Expert Systems with Applications, 42, 6, pp. 3041-3047, (2015); Mopuri R., Kakarla S.G., Mutheneni S.R., Kadiri M.R., Kumaraswamy S., Climate based malaria forecasting system for andhra pradesh, india, Journal of Parasitic Diseases, 44, 3, pp. 497-510, (2020); Nkiruka O., Prasad R., Clement O., Prediction of malaria incidence using climate variability and machine learning, Informatics in Medicine Unlocked, 22, (2021); Sajana T., Narasingarao M.R., Majority voting algorithm for diagnosing of imbalanced malaria disease, International Conference on ISMAC in Computational Vision and Bio-Engineering, pp. 31-40, (2018); Sajana T., Narasingarao M.R., Classification of imbalanced malaria disease using naïve bayesian algorithm, International Journal of Engineering &amp; Technology, 7, 27, pp. 786-790, (2018); Akter B., Rajbongshi A., Sazzad S., Shakil R., Biswas J., Sara U., A machine learning approach to detect the brain stroke disease, 2022 4th International Conference on Smart Systems and Inventive Technology (ICSSIT), pp. 897-901, (2022); Yadav S.S., Kadam V.J., Jadhav S.M., Jagtap S., Pathak P.R., Machine learning based malaria prediction using clinical findings, 2021 International Conference on Emerging Smart Computing and Informatics (ESCI), pp. 216-222, (2021); Olugboja A., Wang Z., Malaria parasite detection using different machine learning classifier, 2017 International Conference on Machine Learning and Cybernetics (ICMLC) (Vol. 1, pp. 246-250, (2017); Mariki M., Mkoba E., Mduma N., Combining clinical symptoms and patient features for malaria diagnosis: Machine learning approach, Applied Artificial Intelligence, pp. 1-25, (2022); Iradukunda O., Che H., Uwineza J., Bayingana J.Y., Bin-Imam M.S., Niyonzima I., Malaria disease prediction based on machine learning, 2019 IEEE International Conference on Signal, Information and Data Processing (ICSIDP), pp. 1-7, (2019); Janiesch P.Z., Heinrich K., Machine learning and deep learning, Electronic Markets, 31, 3, pp. 685-695, (2021); Akter B., Rajbongshi A., Sazzad S., Shakil R., Biswas J., Sara U., A machine learning approach to detect the brain stroke disease, 2022 4th International Conference on Smart Systems and Inventive Technology (ICSSIT), pp. 897-901, (2022); Itoo S.S., Comparison and analysis of logistic regression, naïve bayes and knn machine learning algorithms for credit card fraud detection, International Journal of Information Technology, 13, 4, pp. 1503-1511, (2021); Phadikar S., Sil J., Das A.K., Classification of rice leaf diseases based on morphological changes, International Journal of Information and Electronics Engineering, 2, 3, pp. 460-463, (2012); Ramraj S., Uzir N., Sunil R., Banerjee S., Experimenting XGBoost algorithm for prediction and classification of different datasets, International Journal of Control Theory and Applications, 9, 40, (2016); Yang L., Shami A., On hyperparameter optimization of machine learning algorithms: Theory and practice, Neurocomputing, 415, pp. 295-316, (2020); Shobana K.U., Prediction of liver disease using gradient boost machine learning techniques with feature scaling, 2021 5th International Conference on Computing Methodologies and Communication (ICCMC), pp. 1223-1229, (2021); Yang I.-H., Yeo M.-S., Kim K.-W., Application of artificial neural network to predict the optimal start time for heating system in building, Energy conversion and Management, 44, 17, pp. 2791-2809, (2003); Shakil R., Akter B., Faisal F., Chowdhury T.R., Roy T., Khater A., A promising prediction of diabetes using a deep learning approach, 2022 6th International Conference on Computing Methodologies and Communication (ICCMC), pp. 923-927, (2022); Loong T.-W., Understanding sensitivity and specificity with the right side of the brain, Bmj, 327, 7417, pp. 716-719, (2003); Rashiduzzaman S., Akter B., Shamrat F.J.M., Jahan N., Hasan S., Khater A., Systematic analysis of several deep learning approaches for covid-19 detection using x-ray images, 2022 3rd International Conference on Smart Electronics and Communication (ICOSEC), pp. 1301-1307, (2022); Nobin R.H., Rahman M., Alam M.J., Survivability prediction for patients with tonsil cancer utilizing machine learning algorithms, 2022 2nd International Conference on Intelligent Cybernetics Technology &amp; Applications (ICICyTA), pp. 210-215, (2022); Bonna S.R., Rajbongshi A., Sara U., Barman M.R., Utilization of five-distinct dataset to diagnose and predict heart disease: A machine learning approach, 2022 13th International Conference on Computing Communication and Networking Technologies (ICCCNT), pp. 1-6, (2022)</t>
  </si>
  <si>
    <t xml:space="preserve">7th International Conference on Trends in Electronics and Informatics, ICOEI 2023</t>
  </si>
  <si>
    <t xml:space="preserve">11 April 2023 through 13 April 2023</t>
  </si>
  <si>
    <t xml:space="preserve">979-835039728-4</t>
  </si>
  <si>
    <t xml:space="preserve">Int. Conf. Trends Electron. Informatics, ICOEI - Proc.</t>
  </si>
  <si>
    <t xml:space="preserve">2-s2.0-85161230933</t>
  </si>
  <si>
    <t xml:space="preserve">Navyashree M.; Nagaraju P.</t>
  </si>
  <si>
    <t xml:space="preserve">Navyashree, M. (58795720000); Nagaraju, P. (57202905578)</t>
  </si>
  <si>
    <t xml:space="preserve">58795720000; 57202905578</t>
  </si>
  <si>
    <t xml:space="preserve">Application of Deep Learning Techniques for Detection and Classification of Human Disease</t>
  </si>
  <si>
    <t xml:space="preserve">Machine learning is used practically everywhere from technologies to healthcare. Many researchers predict that disease diagnosis through machine learning is cost efficient and time efficient. In traditional methods, an expert is needed to detect disease and sometimes, it may cause human error. So, there is a need of automated diagnosis tool for detection of disease. In this paper, a methodology for detection of malaria and breast cancer is proposed. In malaria detection, data is preprocessed, trained and tested using CNN, Resnet50 and VGG16. Accuracy of CNN, VGG16 and Resnet50 are 94.73%, 90.83% and 92.96% respectively. CNN has highest accuracy when compared to VGG16 and Resnet50. In malaria classification, YOLOv5 was used for classification of malaria which classified malaria parasite species and its stages. In Breast cancer detection, data is preprocessed, trained and tested using CNN, ResNet50 and VGG16. Accuracy of CNN, VGG16 and Resnet50 are 95.13%, 94.04% and 95.53% respectively. Resnet50 has highest accuracy when compared to VGG16 and CNN. © 2023 IEEE.</t>
  </si>
  <si>
    <t xml:space="preserve">7th IEEE International Conference on Computational Systems and Information Technology for Sustainable Solutions, CSITSS 2023 - Proceedings</t>
  </si>
  <si>
    <t xml:space="preserve">10.1109/CSITSS60515.2023.10334096</t>
  </si>
  <si>
    <t xml:space="preserve">https://www.scopus.com/inward/record.uri?eid=2-s2.0-85181531993&amp;doi=10.1109%2fCSITSS60515.2023.10334096&amp;partnerID=40&amp;md5=7c4dea06add2139974c9474fbf8eefca</t>
  </si>
  <si>
    <t xml:space="preserve">R v College of Enginnering, Dept of Electronics and Telecommunication, Bengaluru, India</t>
  </si>
  <si>
    <t xml:space="preserve">Navyashree M., R v College of Enginnering, Dept of Electronics and Telecommunication, Bengaluru, India; Nagaraju P., R v College of Enginnering, Dept of Electronics and Telecommunication, Bengaluru, India</t>
  </si>
  <si>
    <t xml:space="preserve">Breast Cancer detection; Convolution Neural Netwrk; Malaria detection; Residual Network; Visual Geometry group</t>
  </si>
  <si>
    <t xml:space="preserve">Convolutional neural networks; Deep learning; Diagnosis; Learning systems; Breast cancer detection; Convolution neural netwrk; Disease diagnosis; High-accuracy; Human disease; Learning techniques; Machine-learning; Malaria detection; Residual network; Visual geometry group; Diseases</t>
  </si>
  <si>
    <t xml:space="preserve">Habehh H., Gohel S., Machine Learning in Healthcare, Curr Genomics, 22, 4, pp. 291-300, (2021); Ahmed K.M.T., Rahman Z., Shaikh R., Hossain S.I., Malaria Parasite Detection Using CNN-Based Ensemble Technique on Blood Smear Images, 2023 International Conference on Electrical, Computer and Communication Engineering (ECCE, pp. 1-4, (2023); Nugroho H.A., Nurfauzi R., Deep Learning Approach for Malaria Parasite Detection in Thick Blood Smear Images, 2021 17th International Conference on Quality in Research (QIR): International Symposium on Electrical and Computer Engineering, Depok, Indonesia, pp. 114-118, (2021); Nayak S., Kumar S., Jangid M., Malaria Detection Using Multiple Deep Learning Approaches, 2019 2nd International Conference on Intelligent Communication and Computational Techniques (ICCT), Jaipur, India, pp. 292-297, (2019); Rahman M.S., Rifat N., Ahsan M., Islam S., Chowdhury M., Gomes R., Deep Learning Application for Detection of Malaria, 2023 IEEE International Conference on Electro Information Technology (EIT, pp. 1-5, (2023); Shah D., Kawale K., Shah M., Randive S., Mapari R., Malaria Parasite Detection Using Deep Learning : (Beneficial to humankind, 2020 4th International Conference on Intelligent Computing and Control Systems (ICICCS), Madurai, India, pp. 984-988, (2020); Razin W.R.W.M., Gunawan T.S., Kartiwi M., Yusoff N.M., Malaria Parasite Detection and Classification using CNN and YOLOv5 Architectures, 2022 IEEE 8th International Conference on Smart Instrumentation, Measurement and Applications (ICSIMA), Melaka, Malaysia, pp. 277-281, (2022); Krishnadas P., Chadaga K., Sampathila N., Rao S., Prabhu S., Classification of Malaria Using Object Detection Models, Informatics, 9, (2022); Paul S., Batra S., Mohiuddin K., Miladi M.N., Anand D., Nasr A., A Novel Ensemble Weight-Assisted Yolov5-Based Deep Learning Technique for the Localization and Detection of Malaria Parasites, Electronics, 11, (2022); Garba S., Abdullahi M.B., Bashir S.A., Abisoye O.A., Implementation of Malaria Parasite Detection and Species Classification Using Dilated Convolutional Neural Network, 2022 5th Information Technology for Education and Development (ITED), Abuja, Nigeria, pp. 1-6, (2022); Detection of Breast Cancer from Histopathological Images, 2022 Second International Conference on Next Generation Intelligent Systems (ICNGIS, pp. 1-5, (2022); Rao S.V., Raghavendra K., Breast Cancer Detection on Histopathological Data, 2022 Fourth International Conference on Emerging Research in Electronics, Computer Science and Technology (ICERECT), Mandya, India, pp. 1-5, (2022); Wadhwa G., Kaur A., A Deep CNN Technique for Detection of Breast Cancer Using Histopathology Images, 2020 Advanced Computing and Communication Technologies for High Performance Applications (ACCTHPA), Cochin, India, pp. 179-185, (2020); Thomas A.M., Karthik R., Detection of Breast Cancer from Histopathological Images using Image Processing and Deep-Learning, 2022 Third International Conference on Intelligent Computing Instrumentation and Control Technologies (ICICICT), Kannur, India, pp. 1008-1015, (2022); Madduri A., Adusumalli S.S., Sri Katragadda M K Reddy Dontireddy H., Sarah Suhasini P., Classification of Breast Cancer Histopathological Images using Convolutional Neural Networks, 2021 8th International Conference on Signal Processing and Integrated Networks (SPIN), Noida, India, pp. 755-759, (2021)</t>
  </si>
  <si>
    <t xml:space="preserve">Arcadis; Ather; et al.; Indian Wind Power Association (IWPA); LAPP; Synaptics</t>
  </si>
  <si>
    <t xml:space="preserve">7th IEEE International Conference on Computational Systems and Information Technology for Sustainable Solutions, CSITSS 2023</t>
  </si>
  <si>
    <t xml:space="preserve">2 November 2023 through 4 November 2023</t>
  </si>
  <si>
    <t xml:space="preserve">979-835034314-4</t>
  </si>
  <si>
    <t xml:space="preserve">IEEE Int. Conf. Comput. Syst. Inf. Technol. Sustain. Solut., CSITSS - Proc.</t>
  </si>
  <si>
    <t xml:space="preserve">2-s2.0-85181531993</t>
  </si>
  <si>
    <t xml:space="preserve">Kaur S.; Sharma S.</t>
  </si>
  <si>
    <t xml:space="preserve">Kaur, Supreet (57214800309); Sharma, Sandeep (58816455700)</t>
  </si>
  <si>
    <t xml:space="preserve">57214800309; 58816455700</t>
  </si>
  <si>
    <t xml:space="preserve">Arboviral Epidemic Disease Forecasting—A Survey on Diagnostics and Outbreak Models</t>
  </si>
  <si>
    <t xml:space="preserve">Globally, the most rampant arboviral disease yearly is Dengue fever with approximately 96 million cases and with the absence of global approved vaccine. Scientists are in continuous search to devise an epidemiological system which could timely predict, diagnose, and treat Dengue-infected person to lessen global yearly mortality rate associated with the disease. In this paper, a quick review is done on studies done till December 2020 focusing forecasting Dengue epidemiology covering various aspects like diagnostics, prognosis, and surveillance prediction to emphasize overall scheme of current research progress and obstacles faced in it. This paper highlights various predictive approaches along with open issues that require further investigation like mosquito breeding sensory reporting, human mobility, and diagnosis of disease prognosis to risky state to ensure precise prediction model of Dengue-infected patient and after care. This paper has a good blend of papers encompassing various research directions that are both traditional and innovative in Dengue epidemiology and are further sub-grouped according to their proposed approach and objectives to enhance deeper understanding. © 2023, The Author(s), under exclusive license to Springer Nature Singapore Pte Ltd.</t>
  </si>
  <si>
    <t xml:space="preserve">662 LNNS</t>
  </si>
  <si>
    <t xml:space="preserve">10.1007/978-981-99-1414-2_64</t>
  </si>
  <si>
    <t xml:space="preserve">https://www.scopus.com/inward/record.uri?eid=2-s2.0-85163340496&amp;doi=10.1007%2f978-981-99-1414-2_64&amp;partnerID=40&amp;md5=54804dacee8a52c388ee7b999d10882e</t>
  </si>
  <si>
    <t xml:space="preserve">Department of Computer Engineering and Technology, Guru Nanak Dev University, Amritsar, India</t>
  </si>
  <si>
    <t xml:space="preserve">Kaur S., Department of Computer Engineering and Technology, Guru Nanak Dev University, Amritsar, India; Sharma S., Department of Computer Engineering and Technology, Guru Nanak Dev University, Amritsar, India</t>
  </si>
  <si>
    <t xml:space="preserve">Arboviral-disease epidemiology; Classification; Dengue epidemic; Expert system; Machine learning; prediction</t>
  </si>
  <si>
    <t xml:space="preserve">Diagnosis; Epidemiology; Expert systems; Machine learning; 'current; Arboviral-disease epidemiology; Dengue epidemic; Dengue fevers; Diagnostic model; Disease forecasting; Epidemic disease; Machine-learning; Mortality rate; Outbreak models; Forecasting</t>
  </si>
  <si>
    <t xml:space="preserve">Aziz T., Lukose D., Bin Abu Bakar S., Sattar A., A Literature Review of Methods for Dengue Outbreak Prediction; Mane T.U., Smart heart disease prediction system using Improved K-means and ID3 on big data. In: 2017 international conference on data management, analytics and innovation (ICDMAI). IEEE, Pp 239–245, (2017); Alto B.W., Bettinardi D., Temperature and dengue virus infection in mosquitoes: Independent effects on the immature and adult stages, Am J Trop Med Hyg, 88, 3, pp. 497-505, (2013); Gufar M., Qamar U., A rule based expert system for syncope prediction. In: SAI intelligent systems conference (IntelliSys), 2015, IEEE, pp. 559-564, (2015); Buczak A.L., Baugher B., Babin S.M., Ramac-Thomas L.C., Guven E., Elbert Y., Koshute P.T., Velasco J.M.S., Roque V.G., Tayag E.A., Yoon I.K., Prediction of high incidence of dengue in the Philippines, Plos Neglected Trop Dis, 8, 4, (2014); Phung D., Huang C., Rutherford S., Chu C., Wang X., Nguyen M., Nguyen N.H., Do Manh C., Identification of the prediction model for dengue incidence in Can Tho city, a Mekong delta area in Vietnam, Acta Trop, 141, pp. 88-96, (2015); Othman M.K., Danuri M.S.N.M., Proposed conceptual framework of dengue active surveillance system (DASS) in Malaysia, International Conference on Information and Communication Technology (ICICTM). IEEE, pp. 90-96, (2016); Bal S., Sodoudi S., Modeling and prediction of dengue occurrences in Kolkata, India, based on climate factors, Int J Biometeorol, 64, 8, pp. 1379-1391, (2020); Ooi J.Y.L., Thomas J.J., DengueViz: A knowledge-based expert system integrated with parallel coordinates visualization in the dengue diagnosis, International Visual Informatics Conference, pp. 50-61, (2017); Idris M.F.I.M., Abdullah A., Fauzi S.S.M., Prediction of dengue outbreak in Selangor using fuzzy logic, Proceedings of the Second International Conference on the Future of ASEAN (Icofa) 2017, 2, pp. 593-603, (2018); Chakraborty A., Chandru V., A robust and non-parametric model for prediction of dengue incidence, J Indian Inst Sci, pp. 1-7, (2020); Pravin A., Jacob T.P., Nagarajan G., An intelligent and secure healthcare framework for the prediction and prevention of dengue virus outbreak using fog computing, Health Technol, pp. 1-9, (2019); Mohapatra C., Rautray S.S., Pandey M., Prevention of infectious disease based on big data analytics and map-reduce. In: 2017 Second international conference on electrical, computer and communication technologies (ICECCT), IEEE, pp. 1-4, (2017); Chellappan K., A preliminary dengue fever prediction model based on vital signs and blood profile. In: 2016 IEEE EMBS conference on biomedical engineering and sciences (IECBES), IEEE, pp. 652-656, (2016); Gambhir S., Malik S.K., Kumar Y., The diagnosis of dengue disease: An evaluation of three machine learning approaches, Int J Healthc Inf Syst Inf (IJHISI), 13, 3, pp. 1-19, (2018); Saikia D., Dutta J.C., Early diagnosis of dengue disease using fuzzy inference system. In: 2016 international conference on microelectronics, computing and communications (MicroCom), IEEE, pp. 1-6, (2016); Saha S., Saha S., Combined committee machine for classifying dengue fever. In: 2016 international conference on microelectronics, computing and communications (MicroCom), IEEE, pp. 1-6, (2016); Hashi E.K., Zaman M.S.U., Hasan M.R., An expert clinical decision support system to predict disease using classification techniques. In: International conference on electrical, computer and communication engineering (ECCE), IEEE, pp. 396-400, (2017); Divya A., Lavanya S., Real time dengue prediction using machine learning, Indian J Public Health Res Dev, 11, 2, (2020); Jiji G.W., Lakshmi V.S., Lakshmi K.V., Priya S.S., Diagnosis and prognosis of the arbovirus-dengue using intelligent algorithm, J Inst Eng (India): Ser B, 97, 2, pp. 115-120, (2016); Yang X., Tong Y., Meng X., Zhao S., Xu Z., Li Y., Liu G., Tan S., Online adaptive method for disease prediction based on big data of clinical laboratory test. In: 2016 7th IEEE international conference on software engineering and service science (ICSESS). IEEE, Pp 889–892, (2016); Gambhir S., Malik S.K., Kumar Y., PSO-ANN based diagnostic model for the early detection of Dengue disease, New Horiz Transl Med, 4, pp. 1-4, (2017); Zainee N.B.M., Chellappan K (Feb 2017) a Preliminary Dengue Fever Prediction Model Based on Vital Signs and Blood Profile. In: 2016 IEEE-EMBS Conference on Biomedical Engineering and Sciences, (2016); Sigera P.C., Amarasekara R., Rodrigo C., Rajapakse S., Weeratunga P., de Silva N.L., Huang C.H., Sahoo M.K., Pinsky B.A., Pillai D.R., Tissera H.A., Jayasinghe S., Handunnetti S., Fernando S.D., Risk prediction for severe disease and better diagnostic accuracy in early dengue infection; the Colombo dengue study, BMC Infect Dis, 19, 1, pp. 1-8, (2019); Chovatiya M., Dhameliya A., Deokar J., Gonsalves J., Mathur A., Prediction of dengue using recurrent neural network. In: 2019 3rd international conference on trends in electronics and informatics (ICOEI). IEEE, Pp 926–929, (2019); Sangkaew S., Ming D., Boonyasiri A., Honeyford K., Kalayanarooj S., Yacoub S., Dorigatti I., Holmes A.H., Enhancing risk prediction of progression to severe disease during the febrile phase of dengue: A systematic review and meta-analysis, Int J Infect Dis, 101, pp. 237-238, (2020); Fuad M.A.M., Ab Ghani M.R., Ghazali R., Izzuddin T.A., Sulaima M.F., Jano Z., Sutikno T., Detection of Aedes aegypti larvae using single shot multibox detector with transfer learning, Bull Electr Eng Inf, 8, 2, pp. 514-518, (2019); Babu A.N., Niehaus E., Shah S., Unnithan C., Ramkumar P.S., Shah J., Binoy V.V., Soman B., Arunan M.C., Jose C.P., Smartphone geospatial apps for dengue control, prevention, prediction, and education: MOSapp, DISapp, and the mosquito perception index (MPI), Environ Monit Assess, 191, 2, pp. 1-17, (2019); Abeyrathna M.P.A.R., Abeygunawrdane D.A., Wijesundara R.A.A.V., Mudalige V.B., Bandara M., Perera S., Maldeniya D., Madhawa K., Locknathan S., Dengue propagation prediction using human mobility. In: Moratuwa engineering research conference (MERCon), 2016, IEEE, pp. 156-161, (2016); Tian H., Sun Z., Faria N.R., Yang J., Cazelles B., Huang S., Xu B., Yang Q., Pybus O.G., Xu B., Increasing airline travel may facilitate co-circulation of multiple dengue virus serotypes in Asia, Plos Neglected Trop Dis, 11, 8, (2017); Shafique M., Lopes S., Doum D., Keo V., Sokha L., Sam B., Vibol C., Alexander N., Bradley J., Liverani M., Hii J., Hustedt J., Implementation of guppy fish (Poecilia reticulata), and a novel larvicide (Pyriproxyfen) product (Sumilarv 2MR) for dengue control in Cambodia: A qualitative study of acceptability, sustainability and community engagement, Plos Neglected Trop Dis, 13, 11, (2019); Alphey L., Benedict M., Bellini R., Clark G.G., Dame D.A., Service M.W., Dobson S.L., Sterile-insect methods for control of mosquito-borne diseases: An analysis, Vector-Borne Zoonotic Dis, 10, 3, pp. 295-311, (2010)</t>
  </si>
  <si>
    <t xml:space="preserve">S. Kaur; Department of Computer Engineering and Technology, Guru Nanak Dev University, Amritsar, India; email: er.supreet.k@gmail.com</t>
  </si>
  <si>
    <t xml:space="preserve">Sharma N.; Sharma N.; Goje A.; Chakrabarti A.; Bruckstein A.M.</t>
  </si>
  <si>
    <t xml:space="preserve">7th International Conference on Data Management, Analytics and Innovation, ICDMAI 2023</t>
  </si>
  <si>
    <t xml:space="preserve">20 January 2023 through 22 January 2023</t>
  </si>
  <si>
    <t xml:space="preserve">Pune</t>
  </si>
  <si>
    <t xml:space="preserve">978-981991413-5</t>
  </si>
  <si>
    <t xml:space="preserve">2-s2.0-85163340496</t>
  </si>
  <si>
    <t xml:space="preserve">Vanitha V.; Srivatsan S.</t>
  </si>
  <si>
    <t xml:space="preserve">Vanitha, V. (57211875122); Srivatsan, S. (59048090000)</t>
  </si>
  <si>
    <t xml:space="preserve">57211875122; 59048090000</t>
  </si>
  <si>
    <t xml:space="preserve">Automated Detection of Malaria Parasite from Giemsa-Stained Thin Blood Smear Images</t>
  </si>
  <si>
    <t xml:space="preserve">Malaria is a threat to the universe, especially in Asian and African countries. In malaria-affected nations, malaria is diagnosed through a visual examination of blood under a microscope. The reliability of the result depends upon the skills of the lab technician. Any Individual or community will be affected if they are misdiagnosed. To overcome this issue, an automated malaria diagnosis system using nearly 27,000 thin blood smear images has been proposed. It involves two steps: 1. Pre-processing the digitized blood smear images to remove the noise and segmenting them to extract the Region of Interest. 2. A lightweight customized deep learning model to classify digital smears either as infected or normal. We have also implemented an automated malaria detection system using various pre-trained models. The result revealed that our model performed with an accuracy of over 99% and a sensitivity of 100%. © 2023, The Author(s), under exclusive license to Springer Nature Singapore Pte Ltd.</t>
  </si>
  <si>
    <t xml:space="preserve">10.1007/978-981-19-7874-6_15</t>
  </si>
  <si>
    <t xml:space="preserve">https://www.scopus.com/inward/record.uri?eid=2-s2.0-85149651211&amp;doi=10.1007%2f978-981-19-7874-6_15&amp;partnerID=40&amp;md5=e8c930980c625066400edd6bd96d94f1</t>
  </si>
  <si>
    <t xml:space="preserve">Sri Ramachandra Faculty of Engineering and Technology, Sri Ramachandra Institute of Higher Education and Research, Tamil Nadu, Porur, Chennai, 600116, India</t>
  </si>
  <si>
    <t xml:space="preserve">Vanitha V., Sri Ramachandra Faculty of Engineering and Technology, Sri Ramachandra Institute of Higher Education and Research, Tamil Nadu, Porur, Chennai, 600116, India; Srivatsan S., Sri Ramachandra Faculty of Engineering and Technology, Sri Ramachandra Institute of Higher Education and Research, Tamil Nadu, Porur, Chennai, 600116, India</t>
  </si>
  <si>
    <t xml:space="preserve">Convolutional neural network; Deep learning; Malaria</t>
  </si>
  <si>
    <t xml:space="preserve">Automation; Blood; Deep learning; Diseases; Image segmentation; Learning systems; Automated detection; Blood smears; Convolutional neural network; Deep learning; Diagnose system; Malaria; Malaria diagnosis; Malaria parasite; Pre-processing; Visual examination; Convolutional neural networks</t>
  </si>
  <si>
    <t xml:space="preserve">Guidelines for the Treatment of Malaria, (2015); Tek F.B., Dempster A.G., Kale I., Parasite detection and identification for automated thin blood film malaria diagnosis, Comput Vis Image Underst, 114, 1, pp. 21-32, (2010); Nakasi R., Mwebaze E., Zawedde A., Tusubira J., Akera B., Maiga G., A new approach for microscopic diagnosis of malaria parasites in thick blood smears using pre-trained deep learning models, SN Appl Sci, 2, 7, pp. 1-7, (2020); Widiawati C.R.A., Nugroho H.A., Ardiyanto I., Amin M.S., Increasing performance of plasmodium detection using bottom-hat and adaptive thresholding, 2021 IEEE 5Th International Conference on Information Technology, Information Systems and Electrical Engineering (ICITISEE). IEEE, pp. 207-212, (2021); Yang F., Poostchi M., Yu H., Zhou Z., Silamut K., Yu J., Maude R.J., Jaeger S., Antani S., Deep learning for smartphone-based malaria parasite detection in thick blood smears, IEEE J Biomed Health Inform, 24, 5, pp. 1427-1438, (2019); Madhu G., Govardhan A., Ravi V., Kautish S., Sunil Srinivas B., Chaudhary T., Kumar M., DSCN-net: A deep Siamese capsule neural network model for automatic diagnosis of malaria parasites detection, Multimed Tools Appl, pp. 1-23, (2022); Sharif M.M., Abdelrhman Mohammed H., Mohmmed Hussein E., A proposed model to eliminate the confusion of hematological diseases in thin blood smear by using deep learning-pretrained model, Omdurman Islam Univ J, 18, 1, pp. 81-92, (2022); Poostchi M., Ersoy I., McMenamin K., Gordon E., Palaniappan N., Pierce S., Maude R.J., Bansal A., Srinivasan P., Miller L., Palaniappan K., Malaria parasite detection and cell counting for human and mouse using thin blood smear microscopy, J Med Imaging, 5, 4, (2018); Abbas N., Saba T., Mohamad D., Rehman A., Almazyad A.S., Al-Ghamdi J.S., Machine aided malaria parasitemia detection in Giemsa-stained thin blood smears, Neural Comput Appl, 29, 3, pp. 803-818, (2018); Diaz G., Gonzalez F.A., Romero E., A semi-automatic method for quantification and classification of erythrocytes infected with malaria parasites in microscopic images, J Biomed Inform, 42, 2, pp. 296-307, (2009); Shen H., David Pan W., Dong Y., Alim M., Lossless compression of curated erythrocyte images using deep autoencoders for malaria infection diagnosis. In: 2016 picture coding symposium (PCS), IEEE, pp. 1-5, (2016); Liang Z., Powell A., Ersoy I., Poostchi M., Silamut K., Palaniappan K., Guo P., Hossain M.A., Sameer A., Maude R.J., Huang J.X., CNN-based image analysis for malaria diagnosis, In 2016 IEEE International Conference on Bioinformatics and Biomedicine (BIBM). IEEE, pp. 493-496, (2016); Bibin D., Nair M.S., Punitha P., Malaria parasite detection from peripheral blood smear images using deep belief networks, IEEE Access, 5, pp. 9099-9108, (2017); Gopakumar G.P., Swetha M., Sai Siva G., Sai Subrahmanyam G.R., Convolutional neural network-based malaria diagnosis from focus stack of blood smear images acquired using custom-built slide scanner, J Biophotonics, 11, 3, (2018); Mehanian C., Jaiswal M., Delahunt C., Thompson C., Horning M., Hu L., Ostbye T., McGuire S., Mehanian M., Champlin C., Wilson B., Computer-automated malaria diagnosis and quantitation using convolutional neural networks, Proceedings of the IEEE International Conference on Computer Vision Workshops, pp. 116-125, (2017); Rajaraman S., Antani S.K., Poostchi M., Silamut K., Hossain M.A., Maude R.J., Jaeger S., Thoma G.R., Pre-trained convolutional neural networks as feature extractors toward improved malaria parasite detection in thin blood smear images, Peerj, 6, (2018); Das D.K., Ghosh M., Pal M., Maiti A.K., Chakraborty C., Machine learning approach for automated screening of malaria parasite using light microscopic images, Micron, 45, pp. 97-106, (2013); Tek F.B., Dempster A.G., Kale I., Parasite detection and identification for automated thin blood film malaria diagnosis, Comput Vis Image Underst, 114, 1, pp. 21-32, (2010); Mustafa W.A., Santiagoo R., Jamaluddin I., Othman N.S., Khairunizam W., Rohani M.N.K.H., Comparison of detection method on malaria cell images, 2018 International Conference on Computational Approach in Smart Systems Design and Applications (ICASSDA). IEEE, pp. 1-6, (2018); Rahman A., Zunair H., Sohel Rahman M., Yuki J.Q., Biswas S., Ashraful Alam M., Binte Alam N., Mahdy M.R.C., Improving malaria parasite detection from red blood cell using deep convolutional neural networks, p 10418, Arxiv:1907, (2019); Das D.K., Ghosh M., Pal M., Maiti A.K., Chakraborty C., Machine learning approach for automated screening of malaria parasite using light microscopic images, Micron, 45, pp. 97-106, (2013); Pan W.D., Dong Y., Wu D., Classification of malaria-infected cells using deep convolutional neural networks, Machine Learning:Advanced Techniques and Emerging Applications, (2018); Fatima T., Farid M.S., Automatic detection of plasmodium parasites from microscopic blood images, J Parasit Dis, 44, 1, pp. 69-78, (2020); Maqsood A., Farid M.S., Hassan Khan M., Grzegorzek M., Deep malaria parasite detection in thin blood smear microscopic images, Appl Sci, 11, 5, (2021)</t>
  </si>
  <si>
    <t xml:space="preserve">V. Vanitha; Sri Ramachandra Faculty of Engineering and Technology, Sri Ramachandra Institute of Higher Education and Research, Chennai, Tamil Nadu, Porur, 600116, India; email: vanithav@sret.edu.in</t>
  </si>
  <si>
    <t xml:space="preserve">Shakya S.; Balas V.E.; Haoxiang W.</t>
  </si>
  <si>
    <t xml:space="preserve">3rd International Conference on Sustainable Expert Systems, ICSES 2022</t>
  </si>
  <si>
    <t xml:space="preserve">9 September 2022 through 10 September 2022</t>
  </si>
  <si>
    <t xml:space="preserve">978-981197873-9</t>
  </si>
  <si>
    <t xml:space="preserve">2-s2.0-85149651211</t>
  </si>
  <si>
    <t xml:space="preserve">Kumar J.S.; Pandiarajan S.; Ilakkia J.K.S.</t>
  </si>
  <si>
    <t xml:space="preserve">Kumar, J. Senthil (58277702900); Pandiarajan, S. (57387323700); Ilakkia, J. Karthika Sorna (58400444600)</t>
  </si>
  <si>
    <t xml:space="preserve">58277702900; 57387323700; 58400444600</t>
  </si>
  <si>
    <t xml:space="preserve">Automated Malaria Parasite Detection for Legal Blindness Accessibility using Hybrid Deep Learning Techniques</t>
  </si>
  <si>
    <t xml:space="preserve">Mosquitoes carry malaria, a serious blood disease that can be fatal, contagious, and life-threatening. The most common and accepted method of diagnosing malaria involves looking at blood smears under a microscope to visually check for red blood cells that are infected with parasites. The results of this system depend on the examiner's knowledge and experience, are limited in scope, and take a lot of time to complete. In order to form an opinion, blood smears from malaria patients were subjected to automatic image recognition technologies based on image processing. However, the performance in practice has been underwhelming so far. This encourages us to develop the most straightforward, efficient, and rapid malaria diagnosis methods. Using image processing and prompt testing, our main goal is to develop a model that can categorize cells as infected or uninfected. This model will be able to distinguish between various cell types in thin blood smears on typical microscope slides. In order to find the parasite on the picture of the infected cell using deep learning techniques. © 2023 IEEE.</t>
  </si>
  <si>
    <t xml:space="preserve">6th International Conference on Inventive Computation Technologies, ICICT 2023 - Proceedings</t>
  </si>
  <si>
    <t xml:space="preserve">10.1109/ICICT57646.2023.10134430</t>
  </si>
  <si>
    <t xml:space="preserve">https://www.scopus.com/inward/record.uri?eid=2-s2.0-85163447215&amp;doi=10.1109%2fICICT57646.2023.10134430&amp;partnerID=40&amp;md5=a5b3f4fab7364023a064ee6659574798</t>
  </si>
  <si>
    <t xml:space="preserve">Department of Computer Science and Engineering, KIT-Kalaignar Karunanidhi Institute of Technology, Affiliated to Anna University, Coimbatore, India</t>
  </si>
  <si>
    <t xml:space="preserve">Kumar J.S., Department of Computer Science and Engineering, KIT-Kalaignar Karunanidhi Institute of Technology, Affiliated to Anna University, Coimbatore, India; Pandiarajan S., Department of Computer Science and Engineering, KIT-Kalaignar Karunanidhi Institute of Technology, Affiliated to Anna University, Coimbatore, India; Ilakkia J.K.S., Department of Computer Science and Engineering, KIT-Kalaignar Karunanidhi Institute of Technology, Affiliated to Anna University, Coimbatore, India</t>
  </si>
  <si>
    <t xml:space="preserve">Artificial Intelligence; Convolutional Neural Networks (CNNs); Deep Learning; Legal Blindness; Malaria Parasites; Mosquito-borne illness; Transfer Learning</t>
  </si>
  <si>
    <t xml:space="preserve">Blood; Cells; Convolutional neural networks; Deep learning; Diagnosis; Diseases; Eye protection; Image recognition; Learning algorithms; Learning systems; Transfer learning; Blood smears; Convolutional neural network; Deep learning; Learning techniques; Legal blindness; Malaria parasite; Mosquito-borne illness; Parasite-; Transfer learning; Cytology</t>
  </si>
  <si>
    <t xml:space="preserve">Narayanan B.N., Ali R., Hardie R.C., Performance Analysis of machine learning and deep learning architectures for malaria detection on cell images, Proc. SPIE 11139, Applications of Machine Learning, 6, (2019); Fuhad K.M.F., Tuba J.F., Raniul Ali Sarkar M., Momen S., Mohamed N., Rahman T., Deep Learning Based Automatic Malaria Parasite microscopic images with an accuracy detection from Blood Smear and its smartphone based application, Diagnostics, 10, 5, (2020); Divyansh, Kawale K., Shah M., Randive S., Mapari R., Malaria Parasite Detection using Deep Learning (Beneficial to humankind); Vijayalakshmi A., Rajesh Kanna B., Deep Learning approach to detect malaria from microscopic images; Sriporn K., Tsai C.-F., Chia-EnTsai, Wang P., Analyzing Malaria Disease using Effective Deep Learning Approach, Diagnostics, 10, 10, (2020); Militante S.V., Malaria disease recognition through adaptive deep learning models of convolutional neural networ; Dang Y., Jiang Z., Shen H., Pan W.D., Williams L.A., Reddy V.V.B., Benjamin W.H., Bryan A.W., Evaluations of deep convolutional neural network for automatic identification of malaria infected cells; Sinha S., Srivastava U., Dhiman V., Akhilan P.S., Mishra S., Performance assessment of deep learning procedures on malaria dataset; Maqsood A., Farid M.S., Khan M.H., Grzegorzek M., Deep Malaria Parasite detection in Thin Blood Smear Microscopic Images, 11, 5, (2021); Linder N., Turkki R., Walliander M., Martensson A., Diwan V., Rahtu E., Pietikainen M., Lundin M., Lundin J., A malaria diagnostic tool based on computer vision screening and visualization of plasmodium falciparum candidate areas in digitized blood smears, PLoS ONE, 9, (2014); Opoku-Ansah J., Eghan M.J., Anderson B., Boampong J.N., Wavelength markers for malaria (plasmodium falciparum) infected and uninfected red blood cells for ring and trophozoite stages, Appl. Phys. Res., 6, (2014); Wold S., Esbensen K., Geladi P., Principal component analysis, Chemom. Intell. Lab. Syst., 2, pp. 37-52, (1987); LeCun Y., Bengio Y., Convolutional networks for images, speech, and time series, Handb. Brain Theory Neural Netw., 1995, (1995); Dong Y., Jiang Z., Shen H., Pan W.D., Williams L.A., Reddy V.V., Benjamin W.H., Bryan A.W., Evaluations of deep convolutional neural networks for automatic identification of malaria infected cells, Proceedings of the 2017 IEEE EMBS International Conference on Biomedical &amp; Health Informatics (BHI), pp. 101-104, (2017); LeCun Y., Lenet-5, Convolutional Neural Networks, (2015); Krizhevsky A., Sutskever I., Hinton G.E., Imagenet classification with deep convolutional neural networks, Proceedings of the Advances in Neural Information Processing Systems, pp. 1097-1105, (2012); Szegedy C., Liu W., Jia Y., Sermanet P., Reed S., Anguelov D., Erhan D., Vanhoucke V., Rabinovich A., Going deeper with convolutions, Proceedings of the IEEE Conference on Computer Vision and Pattern Recognition, pp. 1-9, (2015); Simonyan K., Zisserman A., Very deep convolutional networks for large-scale image recognition, (2014); He K., Zhang X., Ren S., Sun J., Deep residual learning for image recognition, Proceedings of the IEEE Conference on Computer Vision and Pattern Recognition, pp. 770-778, (2016); Chollet F., Xception: Deep learning with depthwise separable convolutions, Proceedings of the IEEE Conference on Computer Vision and Pattern Recognition, pp. 1251-1258, (2017); Huang G., Liu Z., Van Der Maaten L., Weinberger K.Q., Densely connected convolutional networks, Proceedings of the IEEE Conference on Computer Vision and Pattern Recognition, pp. 4700-4708, (2017); Liang Z., Powell A., Ersoy I., Poostchi M., Silamut K., Palaniappan K., Guo P., Hossain M.A., Sameer A., Maude R.J., Et al., Cnn-based image analysis for malaria diagnosis, Proceedings of the 2016 IEEE International Conference on Bioinformatics and Biomedicine (BIBM), pp. 493-496, (2016); Deng J., Dong W., Socher R., Li L.J., Li K., Fei-Fei L., Imagenet: A large-scale hierarchical image database, Proceedings of the 2009 IEEE Conference on Computer Vision and Pattern Recognition, pp. 248-255, (2009); Rosado L., Da Costa J.M.C., Elias D., Cardoso J.S., Automated detection of malaria parasites on thick blood smears via mobile devices, Procedia Comput. Sci., 90, pp. 138-144, (2016); Rajaraman S., Antani S.K., Poostchi M., Silamut K., Hossain M.A., Maude R.J., Jaeger S., Thoma G.R., Pre-trained convolutional neural networks as feature extractors toward improved malaria parasite detection in thin blood smear images, PeerJ, 6, (2018); Zhao O.S., Kolluri N., Anand A., Chu N., Bhavaraju R., Ojha A., Tiku S., Nguyen D., Chen R., Morales A., Valliappan D., Patel J.P., Nguyen K., Convolutional neural networks to automate the screening of malaria in low-resource countries, PeerJ, 8, (2020); Motwani K., Kanojiya A., Gomes C., Yadav A., Malaria Detection using Image Processing and Machine Learning, (2020); Bashir A., Mustafa Z.A., Abdelhameid I., Ibrahem R., Detection of malaria parasites using digital image processing, 2017 International Conference on Computing and Electronics Engineering (ICCCCEE), (2017); Amer G.M.H., Abushaala A.M., Edge detection methods, 2015 2nd World Symposium on Web Applications and Networking (WSWAN), (2015); Chourasiya S., Automatic Red Blood Cell Counting using Watershed Segmentation, (2014); Bhusare M.P., Bhosale S.D., Automatic Blood Cell Counting using Morphological Image Processing operations, (2019); TensorFlow - API - Python - Conv2D; VGG Neural Networks: The Next Step After AlexNet; VGG16 - Convolutional Network for Classification and Detection; Tangpukdee N., Duangdee C., Wilairatana P., Krudsood S., Malaria Diagnosis: A Brief Review, Korean J Parasitol, 47, 2, pp. 93-102, (2009)</t>
  </si>
  <si>
    <t xml:space="preserve">6th International Conference on Inventive Computation Technologies, ICICT 2023</t>
  </si>
  <si>
    <t xml:space="preserve">26 April 2023 through 28 April 2023</t>
  </si>
  <si>
    <t xml:space="preserve">979-835039849-6</t>
  </si>
  <si>
    <t xml:space="preserve">Int. Conf. Inven. Comput. Technol., ICICT - Proc.</t>
  </si>
  <si>
    <t xml:space="preserve">2-s2.0-85163447215</t>
  </si>
  <si>
    <t xml:space="preserve">Pandey S.K.; Dingankar R.S.; Singh K.U.; Rose A.; Singh T.</t>
  </si>
  <si>
    <t xml:space="preserve">Pandey, Saroj Kumar (57202704001); Dingankar, R. Shreyas (58879193500); Singh, Kamred Udham (57211279213); Rose, Anthony (59005027700); Singh, Teekam (57210543789)</t>
  </si>
  <si>
    <t xml:space="preserve">57202704001; 58879193500; 57211279213; 59005027700; 57210543789</t>
  </si>
  <si>
    <t xml:space="preserve">Automated Malaria Parasite Detection in Blood Smear Images with CNNs</t>
  </si>
  <si>
    <t xml:space="preserve">This study uses Convolutional Neural Networks (CNNs) to construct an automated parasite identification method in blood smear pictures, addressing the urgent need for accurate and easy malaria diagnosis. We use secondary data collected from several datasets, utilizing an interpretive mindset, a deductive technique, as well as a descriptive research strategy. Technical considerations such as architecture selection, data preparation, and interpretability approaches are carefully taken into account when perfecting the CNN model. The model's effectiveness has been demonstrated by results showing excellent sensitivity (95%) and specificity (92%) in parasite identification. Techniques for visualization make regions of interest clearer, increasing confidence and transparency. Testing for generalizability shows consistent results across several datasets and demographic groupings. The CNN-based methodology performs better than traditional microscopy and quick diagnostic tests when compared to current approaches, especially in situations of low parasitemia. With implications for improvements in healthcare delivery in malaria-endemic areas, this research advances automated malaria diagnosis.  © 2023 IEEE.</t>
  </si>
  <si>
    <t xml:space="preserve">International Conference on Artificial Intelligence for Innovations in Healthcare Industries, ICAIIHI 2023</t>
  </si>
  <si>
    <t xml:space="preserve">10.1109/ICAIIHI57871.2023.10489504</t>
  </si>
  <si>
    <t xml:space="preserve">https://www.scopus.com/inward/record.uri?eid=2-s2.0-85191493610&amp;doi=10.1109%2fICAIIHI57871.2023.10489504&amp;partnerID=40&amp;md5=106b94aeb3762e62553522301dc7cbe8</t>
  </si>
  <si>
    <t xml:space="preserve">Gla University, Department of Computer Engineering &amp; Apllications, UP, Mathura, India; Institute of Management &amp; Entrepreneurship Development, Bharati Vidyapeeth (Deemed to Be University), Pune, India; School of Computing, Graphic Era Hill University, Dehradun, India; Graphic Era Deemed to Be University, Department of Computer Science and Engineering, Dehradun, India</t>
  </si>
  <si>
    <t xml:space="preserve">Pandey S.K., Gla University, Department of Computer Engineering &amp; Apllications, UP, Mathura, India; Dingankar R.S., Institute of Management &amp; Entrepreneurship Development, Bharati Vidyapeeth (Deemed to Be University), Pune, India; Singh K.U., School of Computing, Graphic Era Hill University, Dehradun, India; Rose A., Institute of Management &amp; Entrepreneurship Development, Bharati Vidyapeeth (Deemed to Be University), Pune, India; Singh T., Graphic Era Deemed to Be University, Department of Computer Science and Engineering, Dehradun, India</t>
  </si>
  <si>
    <t xml:space="preserve">Automated Diagnosis; Convolutional Neural Networks; Interpretivism; Malaria; Medical Imaging</t>
  </si>
  <si>
    <t xml:space="preserve">Automation; Blood; Convolution; Diagnosis; Diseases; Medical imaging; Automated diagnosis; Blood smears; Convolutional neural network; Identification method; Interpretivism; Malaria; Malaria diagnosis; Malaria parasite; Parasite-; Secondary datum; Convolutional neural networks</t>
  </si>
  <si>
    <t xml:space="preserve">Rajaraman S., Antani S.K., Poostchi M., Silamut K., Hossain M.A., Maude R.J., Jaeger S., Thoma G.R., Pre-trained convolutional neural networks as feature extractors toward improved malaria parasite detection in thin blood smear images, PeerJ, 6, (2018); Elangovan P., Nath M.K., A novel shallow convnet-18 for malaria parasite detection in thin blood smear images: Cnn based malaria parasite detection, SN computer science, 2, 5, (2021); Mukherjee S., Chatterjee S., Bandyopadhyay O., Biswas A., Detection of Malaria Parasites in Thin Blood Smears Using CNN-Based Approach, Computational Intelligence and Machine Learning: Proceedings of the 7th International Conference on Advanced Computing, Networking, and Informatics (ICACNI 2019), pp. 19-27, (2021); Rajaraman S., Silamut K., Hossain M.A., Ersoy I., Maude R.J., Jaeger S., Thoma G.R., Antani S.K., Understanding the learned behavior of customized convolutional neural networks toward malaria parasite detection in thin blood smear images, Journal of Medical Imaging, 5, 3, pp. 34501-34501, (2018); Sifat M.M.H., Islam M.M., A fully automated system to detect malaria parasites and their stages from the blood smear, 2020 IEEE Region 10 Symposium (TENSYMP), pp. 1351-1354, (2020); Maqsood A., Farid M.S., Khan M.H., Grzegorzek M., Deep malaria parasite detection in thin blood smear microscopic images, Applied Sciences, 11, 5, (2021); Davidson M.S., Andradi-Brown C., Yahiya S., Chmielewski J., O'Donnell A.J., Gurung P., Jeninga M.D., Prommana P., Andrew D.W., Petter M., Uthaipibull C., Automated detection and staging of malaria parasites from cytological smears using convolutional neural networks, Biological imaging, 1, (2021); Yang F., Poostchi M., Yu H., Zhou Z., Silamut K., Yu J., Maude R.J., Jaeger S., Antani S., Deep learning for smartphone-based malaria parasite detection in thick blood smears, IEEE journal of biomedical and health informatics, 24, 5, pp. 1427-1438, (2019); Raj M., Sharma R., Sain D., A deep convolutional neural network for detection of malaria parasite in thin blood smear images, 2021 10th IEEE International Conference on Communication Systems and Network Technologies (CSNT), pp. 510-514, (2021); Rajaraman S., Jaeger S., Antani S.K., Performance evaluation of deep neural ensembles toward malaria parasite detection in thin-blood smear images, PeerJ, 7, (2019); Umer M., Sadiq S., Ahmad M., Ullah S., Choi G.S., Mehmood A., A novel stacked CNN for malarial parasite detection in thin blood smear images, IEEE Access, 8, pp. 93782-93792, (2020); Fuhad K.F., Tuba J.F., Sarker M.R.A., Momen S., Mohammed N., Rahman T., Deep learning based automatic malaria parasite detection from blood smear and its smartphone based application, Diagnostics, 10, 5, (2020); Nakasi R., Mwebaze E., Zawedde A., Tusubira J., Akera B., Maiga G., A new approach for microscopic diagnosis of malaria parasites in thick blood smears using pre-trained deep learning models, SN Applied Sciences, 2, pp. 1-7, (2020); Gois F.N.B., Marques J.A.L., De Oliveira Dantas A.B., Santos M.C., Neto J.V.S., De MacEdo J.A.F., Du W., Li Y., Malaria Blood Smears Object Detection Based on Convolutional DCGAN and CNN Deep Learning Architectures, International Conference on Computer and Information Science, pp. 197-212, (2022); Molina A., Rodellar J., Boldu L., Acevedo A., Alferez S., Merino A., Automatic identification of malaria and other red blood cell inclusions using convolutional neural networks, Computers in Biology and Medicine, 136, (2021); Alnussairi M.H.D., Ibrahim A.A., Malaria parasite detection using deep learning algorithms based on (CNNs) technique, Computers and Electrical Engineering, 103, (2022); Alqudah A., Alqudah A.M., Qazan S., Lightweight Deep Learning for Malaria Parasite Detection Using Cell-Image of Blood Smear Images, Rev. d'Intelligence Artif., 34, 5, pp. 571-576, (2020); Turuk M., Sreemathy R., Kadiyala S., Kotecha S., Kulkarni V., CNN Based Deep Learning Approach for Automatic Malaria Parasite Detection, IAENG Int. J. Comput. Sci, 49, pp. 745-753, (2022); Abdurahman F., Fante K.A., Aliy M., Malaria parasite detection in thick blood smear microscopic images using modified YOLOV3 and YOLOV4 models, BMC bioinformatics, 22, 1, pp. 1-17, (2021); Irmak E., A novel implementation of deep-learning approach on malaria parasite detection from thin blood cell images, (2021); Vijayalakshmi A., Deep learning approach to detect malaria from microscopic images, Multimedia Tools and Applications, 79, pp. 15297-15317, (2020); Loh D.R., Yong W.X., Yapeter J., Subburaj K., Chandramohanadas R., A deep learning approach to the screening of malaria infection: Automated and rapid cell counting, object detection and instance segmentation using Mask R-CNN, Computerized Medical Imaging and Graphics, 88, (2021); Shambhu S., Koundal D., Das P., Hoang V.T., Tran-Trung K., Turabieh H., Computational methods for automated analysis of malaria parasite using blood smear images: recent advances, Computational Intelligence and Neuroscience, (2022); Sampaio A.F.T., DL4Malaria: Deep Learning Approaches for the Automated Detection and Characterisation of Malaria Parasites on Thin Blood Smear Images, (2019); Yang F., Yu H., Silamut K., Maude R.J., Jaeger S., Antani S., Parasite detection in thick blood smears based on customized faster-RCNN on smartphones, 2019 IEEE Applied Imagery Pattern Recognition Workshop (AIPR), pp. 1-4, (2019); Manescu P., Shaw M.J., Elmi M., Neary-Zajiczek L., Claveau R., Pawar V., Kokkinos I., Oyinloye G., Bendkowski C., Oladejo O.A., Oladejo B.F., Expert-level automated malaria diagnosis on routine blood films with deep neural networks, American Journal of Hematology, 95, 8, pp. 883-891, (2020); Rahman A., Zunair H., Rahman M.S., Yuki J.Q., Biswas S., Alam M.A., Alam N.B., Mahdy M.R.C., Improving malaria parasite detection from red blood cell using deep convolutional neural networks, (2019); Nakasi R., Mwebaze E., Zawedde A., Mobile-aware deep learning algorithms for malaria parasites and white blood cells localization in thick blood smears, Algorithms, 14, 1, (2021); Kundu T.K., Anguraj D.K., Optimal Machine Learning Based Automated Malaria Parasite Detection and Classification Model Using Blood Smear Images, Traitement du Signal, 40, 1, (2023); Sulayman N., Developing an Automated Decision-Supporting System to Diagnose Malaria Parasite from Thin Blood Smear Images Using Deep Neural Networks, Tishreen University Journal-Engineering Sciences Series, 45, 3, pp. 95-102, (2023)</t>
  </si>
  <si>
    <t xml:space="preserve">Swarnkar S.K.; Rathore Y.K.</t>
  </si>
  <si>
    <t xml:space="preserve">1st International Conference on Artificial Intelligence for Innovations in Healthcare Industries, ICAIIHI 2023</t>
  </si>
  <si>
    <t xml:space="preserve">29 December 2023 through 30 December 2023</t>
  </si>
  <si>
    <t xml:space="preserve">979-835033091-5</t>
  </si>
  <si>
    <t xml:space="preserve">Int. Conf. Artif. Intell. Innov. Healthc. Ind., ICAIIHI</t>
  </si>
  <si>
    <t xml:space="preserve">2-s2.0-85191493610</t>
  </si>
  <si>
    <t xml:space="preserve">Hasikin K.</t>
  </si>
  <si>
    <t xml:space="preserve">Hasikin, Khairunnisa (26632954500)</t>
  </si>
  <si>
    <t xml:space="preserve">Automated Mosquito Vector Identification and Malaria Parasite Detection using Deep Learning Approach</t>
  </si>
  <si>
    <t xml:space="preserve">Malaria, an infectious disease predominantly transmitted through the bites of infected mosquitoes, continues to pose a significant worldwide health burden. To effectively tackle this matter, it is imperative to not only accurately identify the specific mosquito vectors involved but also to precisely detect the presence of malaria parasites inside blood samples. This research presents two case studies utilizing deep learning approach for malaria parasite and its vector identification. Through the deep learning object detection model, this study develops a neural network-based algorithm in identifying mosquito vectors. The automated object detection model has shown promising results in identifying Aedes, Culex and Anopheles mosquitoes. In addition, this research presents the detection of Plasmodium parasites in microscopic blood smear images. Four deep learning models were developed and compared to classify four human malaria species. The DenseNet-121 achieved the best accuracy of 99.5%. The automated technique discussed herein has far-reaching ramifications that encompass the enhancement of public health endeavors, the facilitation of targeted interventions, and ultimately the advancement of the global campaign against malaria. © 2023 IEEE.</t>
  </si>
  <si>
    <t xml:space="preserve">IWAIIP 2023 - Conference Proceeding: International Workshop on Artificial Intelligence and Image Processing</t>
  </si>
  <si>
    <t xml:space="preserve">10.1109/IWAIIP58158.2023.10462761</t>
  </si>
  <si>
    <t xml:space="preserve">https://www.scopus.com/inward/record.uri?eid=2-s2.0-85189941566&amp;doi=10.1109%2fIWAIIP58158.2023.10462761&amp;partnerID=40&amp;md5=a238c009c8752a7752ebced389981d34</t>
  </si>
  <si>
    <t xml:space="preserve">Universiti Malaya, Faculty of Engineering, Department of Biomedical Engineering, Lembah Pantai, Kuala Lumpur, Malaysia</t>
  </si>
  <si>
    <t xml:space="preserve">Hasikin K., Universiti Malaya, Faculty of Engineering, Department of Biomedical Engineering, Lembah Pantai, Kuala Lumpur, Malaysia</t>
  </si>
  <si>
    <t xml:space="preserve">deep learning; malaria; Plasmodium; public health; YOLO</t>
  </si>
  <si>
    <t xml:space="preserve">Automation; Blood; Deep learning; Diseases; Learning systems; Object recognition; Public health; Vectors; Deep learning; Detection models; Infectious disease; Learning approach; Malaria; Malaria parasite; Mosquito vectors; Objects detection; Plasmodium; YOLO; Object detection</t>
  </si>
  <si>
    <t xml:space="preserve">Sukumarran D., Et al., An automated malaria cells detection from thin blood smear images using deep learning, Trop Biomed, 40, 2, pp. 208-219, (2023); Linder N., Et al., A malaria diagnostic tool based on computer vision screening and visualization of Plasmodium falciparum candidate areas in digitized blood smears, PLoS One, 9, 8, (2014); Kudisthalert W., Pasupa K., Tongsima S., Counting and Classification of Malarial Parasite From Giemsa-Stained Thin Film Images, IEEE Access, 8, pp. 78663-78682, (2020); Rajaraman S., Jaeger S., Antani S.K., Performance evaluation of deep neural ensembles toward malaria parasite detection in thin-blood smear images, PeerJ, 7, (2019); Telang H., Sonawane K., Effective Performance of Bins Approach for Classification of Malaria Parasite using Machine Learning, 2020 IEEE 5th International Conference on Computing Communication and Automation (ICCCA), pp. 427-432, (2020); Poostchi M., Silamut K., Maude R.J., Jaeger S., Thoma G., Image analysis and machine learning for detecting malaria, Translational Research, 194, pp. 36-55, (2018); Nanoti A., Jain S., Gupta C., Vyas G., Detection of malaria parasite species and life cycle stages using microscopic images of thin blood smear, 2016 International Conference on Inventive Computation Technologies (ICICT), 1, pp. 1-6, (2016); Nugroho A.S., Winarta T., Wibisono Y., Galinium M., Rozi I.E., Asih P.B.S., Morpho-Geometrical Feature Extraction of Thin Blood Smear Microphotograph for Malaria Plasmodia Species and Life Stage Determination, 2020 International Conference on Advanced Computer Science and Information Systems (ICACSIS), pp. 95-100, (2020); Liang Z., Et al., CNN-based image analysis for malaria diagnosis, 2016 IEEE International Conference on Bioinformatics and Biomedicine (BIBM), pp. 493-496, (2016); Arshad Q.A., Et al., A dataset and benchmark for malaria life-cycle classification in thin blood smear images, Neural Computing and Applications, 34, 6, pp. 4473-4485, (2022); Rajaraman S., Et al., Pre-trained convolutional neural networks as feature extractors toward improved malaria parasite detection in thin blood smear images, PeerJ, 6, (2018); Zhao O.S., Et al., Convolutional neural networks to automate the screening of malaria in low-resource countries, PeerJ, 8, (2020); Climaco M.D.C., Et al., Development of chimeric protein as a multivalent vaccine for human Kinetoplastid infections: Chagas disease and leishmaniasis, Vaccine, 41, 37, pp. 5400-5411, (2023); Wong W.Y., Et al., A Stacked Ensemble Deep Learning Approach for Imbalanced Multi-Class Water Quality Index Prediction, Computers, Materials \&amp; Continua, 76, 2, (2023)</t>
  </si>
  <si>
    <t xml:space="preserve">K. Hasikin; Universiti Malaya, Faculty of Engineering, Department of Biomedical Engineering, Kuala Lumpur, Lembah Pantai, Malaysia; email: khairunnisa@um.edu.my</t>
  </si>
  <si>
    <t xml:space="preserve">Jusman Y.</t>
  </si>
  <si>
    <t xml:space="preserve">2023 International Workshop on Artificial Intelligence and Image Processing, IWAIIP 2023</t>
  </si>
  <si>
    <t xml:space="preserve">1 December 2023 through 2 December 2023</t>
  </si>
  <si>
    <t xml:space="preserve">Hybrid, Yogyakarta</t>
  </si>
  <si>
    <t xml:space="preserve">979-835038291-4</t>
  </si>
  <si>
    <t xml:space="preserve">IWAIIP - Conf. Proceeding: Int. Workshop Artif. Intell. Image Process.</t>
  </si>
  <si>
    <t xml:space="preserve">2-s2.0-85189941566</t>
  </si>
  <si>
    <t xml:space="preserve">Janardhan G.; Shriya D.; Babu D.A.; Kumar S.A.; Kishore R.S.</t>
  </si>
  <si>
    <t xml:space="preserve">Janardhan, G. (58668321400); Shriya, D. (58787521500); Babu, D. Akshay (58382938100); Kumar, S. Anjan (59048981200); Kishore, R. Sai (58828425900)</t>
  </si>
  <si>
    <t xml:space="preserve">58668321400; 58787521500; 58382938100; 59048981200; 58828425900</t>
  </si>
  <si>
    <t xml:space="preserve">Automatic Detection of Plasmodium Parasite Using Convolution Neural Network</t>
  </si>
  <si>
    <t xml:space="preserve">The health industry is quite active and malaria is the deadliest disease on earth. A laboratory or skilled technician will often do a schematic analysis of a patient's blood film under a microscope to look for parasite-infected red blood cells. The procedure is ineffective, and the diagnosis is based on the expertise and experience of the individuals who will be performing the examination. Malaria diagnosis using a blood smear has already been carried out using deep learning algorithms. The suggested method uses image-based diagnosis with CNNs and VGG models to accomplish this goal, yielding a high accuracy of 94.7% and precision in differentiating infected and uninfected cells. © 2023 IEEE.</t>
  </si>
  <si>
    <t xml:space="preserve">International Conference on Self Sustainable Artificial Intelligence Systems, ICSSAS 2023 - Proceedings</t>
  </si>
  <si>
    <t xml:space="preserve">10.1109/ICSSAS57918.2023.10331758</t>
  </si>
  <si>
    <t xml:space="preserve">https://www.scopus.com/inward/record.uri?eid=2-s2.0-85181136248&amp;doi=10.1109%2fICSSAS57918.2023.10331758&amp;partnerID=40&amp;md5=046ca68612eaae2772c69e2c0cb6cecb</t>
  </si>
  <si>
    <t xml:space="preserve">Vignan Institute of Technology and Science, Computer Science &amp; Engineering, Telangana State, Hyderabad, India</t>
  </si>
  <si>
    <t xml:space="preserve">Janardhan G., Vignan Institute of Technology and Science, Computer Science &amp; Engineering, Telangana State, Hyderabad, India; Shriya D., Vignan Institute of Technology and Science, Computer Science &amp; Engineering, Telangana State, Hyderabad, India; Babu D.A., Vignan Institute of Technology and Science, Computer Science &amp; Engineering, Telangana State, Hyderabad, India; Kumar S.A., Vignan Institute of Technology and Science, Computer Science &amp; Engineering, Telangana State, Hyderabad, India; Kishore R.S., Vignan Institute of Technology and Science, Computer Science &amp; Engineering, Telangana State, Hyderabad, India</t>
  </si>
  <si>
    <t xml:space="preserve">Convolutional Neural Network; Machine Learning; Malaria; Microscope</t>
  </si>
  <si>
    <t xml:space="preserve">Blood; Convolution; Convolutional neural networks; Deep learning; Diagnosis; Learning algorithms; Automatic Detection; Convolution neural network; Convolutional neural network; Health industry; Machine-learning; Malaria; Malaria diagnosis; Parasite-; Plasmodium parasites; Red blood cell; Diseases</t>
  </si>
  <si>
    <t xml:space="preserve">Mahdieh P., Et al., Image analysis and machine learning for detecting malaria, Translational Research, 194, pp. 36-55, (2018); Gautham S., Revathy S., Goud E.K., Malaria detection using deep learning, 2020 4th international conference on trends in electronics and informatics (ICOEI)(48184). IEEE, (2020); Alnusair M.H.D., Brahim A.A., Malaria parasite detection using deep learning algorithms based on (CNNs) technique, Computers and Electrical Engineering, 103, (2022); Sai P.G., Et al., Performance comparison of machine learning algorithms for malaria detection using microscopic images, Int J Curr Res Acad Rev, (2019); Kumar G.M., Et al., A deep learning model for malaria disease detection and analysis using deep convolutional neural networks, International Journal of Emerging Technologies, 11, 2, pp. 699-704, (2020); Jdey I., Hcini G., Ltifi H., Deep learning and machine learning for Malaria detection: Overview, challenges and future directions, (2022); Peter G., Satayavivad J., Ruchirawat M., Microfluidic approaches to malaria detection, Acta tropica, 89, 3, pp. 357-369, (2004); Mehedi M., Et al., Leveraging deep learning techniques for malaria parasite detection using mobile application, Wireless Communications and Mobile Computing 2020, pp. 1-15, (2020); Charles I., Et al., Application of Machine and Deep Learning Algorithms in Optical Microscopic Detection of Plasmodium Parasites: A Malaria Diagnostic Tool for the Future, Photodiagnosis and Photodynamic Therapy, (2022)</t>
  </si>
  <si>
    <t xml:space="preserve">2023 International Conference on Self Sustainable Artificial Intelligence Systems, ICSSAS 2023</t>
  </si>
  <si>
    <t xml:space="preserve">18 October 2023 through 20 October 2023</t>
  </si>
  <si>
    <t xml:space="preserve">979-835030085-7</t>
  </si>
  <si>
    <t xml:space="preserve">2-s2.0-85181136248</t>
  </si>
  <si>
    <t xml:space="preserve">Mridha K.; Tola F.G.; Sarkar S.; Arefin N.; Ghimire S.; Aran A.; Pandey A.P.</t>
  </si>
  <si>
    <t xml:space="preserve">Mridha, Krishan (57223132993); Tola, Fitsum Getachew (58478770500); Sarkar, Shakil (57457186200); Arefin, Nazmul (57208954064); Ghimire, Sandesh (58460719200); Aran, Anmol (58303947700); Pandey, Aashish Prashad (57457206400)</t>
  </si>
  <si>
    <t xml:space="preserve">57223132993; 58478770500; 57457186200; 57208954064; 58460719200; 58303947700; 57457206400</t>
  </si>
  <si>
    <t xml:space="preserve">Automating Malaria Diagnosis with XAI: Using Deep-Learning Technologies for More Accurate, Efficient, and Transparent Results</t>
  </si>
  <si>
    <t xml:space="preserve">Malaria is a deadly infectious disease that claims numerous lives worldwide each year, primarily due to delayed or incorrect diagnosis using the manual microscope. This article proposes the automation of the diagnosis process through deep-learning technologies, specifically convolutional neural networks (CNNs), based on the intensity characteristics of Plasmodium parasites and erythrocytes. The approach involves feeding images into CNN models such as ResNet50, CNN, and MobileNet, with the MobileNet model achieving the best overall performance. The first novelty of this paper is that we update the pre-trained models which give us better results. To further enhance the system, the article advocates for the use of explainable artificial intelligence (XAI) techniques, including feature attribution and counterfactual explanations, to improve the accuracy, efficiency, and transparency of the malaria diagnosis system. The proposed system integrates deep learning and XAI, which can provide clear and interpretable explanations for decision-making processes, guide the development of more effective diagnostic tools and save lives. For instance, we use Grad-CAM and Grad-CAM++ which counter the affected areas on the images and that could be a noble contribution to this paper. It is shown via extensive performance study that auto-mating the process can accurately and efficiently detect the malaria parasite in blood samples with a sensitivity of over 95% and less complexity than prior methods reported in the literature. © 2023, The Author(s), under exclusive license to Springer Nature Switzerland AG.</t>
  </si>
  <si>
    <t xml:space="preserve">14078 LNAI</t>
  </si>
  <si>
    <t xml:space="preserve">10.1007/978-3-031-36402-0_27</t>
  </si>
  <si>
    <t xml:space="preserve">https://www.scopus.com/inward/record.uri?eid=2-s2.0-85164976634&amp;doi=10.1007%2f978-3-031-36402-0_27&amp;partnerID=40&amp;md5=fbc0b996d8b3b0d7a0148e00ff01ae02</t>
  </si>
  <si>
    <t xml:space="preserve">Computer Engineering, Marwadi University, Gujarat, Rajkot, India; Computer Engineering – Artificial Intelligence, Marwadi University, Gujarat, Rajkot, India; Pharmacy, Marwadi University, Gujarat, Rajkot, India; Computer Science and Technology, Southwest University of Science and Technology, Sichuan, Mianyang, China</t>
  </si>
  <si>
    <t xml:space="preserve">Mridha K., Computer Engineering, Marwadi University, Gujarat, Rajkot, India; Tola F.G., Computer Engineering – Artificial Intelligence, Marwadi University, Gujarat, Rajkot, India; Sarkar S., Pharmacy, Marwadi University, Gujarat, Rajkot, India; Arefin N., Computer Science and Technology, Southwest University of Science and Technology, Sichuan, Mianyang, China; Ghimire S., Computer Engineering, Marwadi University, Gujarat, Rajkot, India; Aran A., Computer Engineering, Marwadi University, Gujarat, Rajkot, India; Pandey A.P., Computer Engineering, Marwadi University, Gujarat, Rajkot, India</t>
  </si>
  <si>
    <t xml:space="preserve">Convolutional Neural Network; Deep Learning; Disease; Explainable Artificial Intelligence</t>
  </si>
  <si>
    <t xml:space="preserve">Blood; Cams; Convolution; Convolutional neural networks; Decision making; Deep learning; Diagnosis; Learning systems; Convolutional neural network; Deadly infectious disease; Deep learning; Explainable artificial intelligence; Learning technology; Malaria diagnosis; Network-based; Neural network model; Performance; Plasmodium parasites; Diseases</t>
  </si>
  <si>
    <t xml:space="preserve">Wongsrichanalai C., Barcus M.J., Muth S., Sutamihardja A., Wernsdorfer W.H., A review of malaria diagnostic tools: Microscopy and rapid diagnostic test (rdt), Am. J. Trop. Med. Hyg., 77, pp. 119-127, (2007); Obeagu E.I., Chijioke U.O., Ekelozie I.S., Malaria rapid diagnostic test (RDTs), Ann. Clin. Lab. Res., 6, (2018); Rajaraman S., Et al., Pre-trained convolutional neural networks as feature extractors toward improved malaria parasite detection in thin blood smear images, Peerj, 6, (2018); Quinn J.A., Nakasi R., Mugagga P.K., Byanyima P., Lubega W., Andama A., Deep convolutional neural networks for microscopy-based point of care diagnostics, Proceedings of the Machine Learning for Healthcare Conference, Pp. 271–281. Los Angeles, CA, USA, 19–20, (2016); Poostchi M., Silamut K., Maude R.J., Jaeger S., Thoma G., Image analysis and machine learning for detecting malaria, Transl. Res., 194, pp. 36-55, (2018); Anggraini D., Nugroho A.S., Pratama C., Rozi I.E., Pragesjvara V., Gunawan M., Automated status identification of microscopic images obtained from malaria thin blood smears using Bayes decision: A study case in Plasmodium falciparum, Proceedings of the 2011 International Conference on Advanced Computer Science and Information Systems, Pp. 347–352. Jakarta, Indonesia, 17–18, (2011); Yang D., Et al., A portable image-based cytometer for rapid malaria detection and quantification, Plos ONE, 12, (2017); Arco J.E., Gorriz J.M., Ramirez J., Alvarez I., Puntonet C.G., Digital image analysis for automatic enumeration of malaria parasites using morphological operations, Expert Syst. Appl., 42, pp. 3041-3047, (2015); Das D.K., Maiti A.K., Chakraborty C., Automated system for characterization and classification of malaria-infected stages using light microscopic images of thin blood smears, J. Microsc., 257, pp. 238-252, (2015); Bibin D., Nair M.S., Punitha P., Malaria parasite detection from peripheral blood smear images using deep belief networks, IEEE Access, 5, pp. 9099-9108, (2017); Mohanty I., Pattanaik P.A., Swarnkar T., Automatic detection of malaria parasites using unsupervised techniques, ISMAC 2018. LNCVB, 30, pp. 41-49, (2019); Yunda L., Ramirez A.A., Millan J., Automated image analysis method for p-vivax malaria parasite detection in thick film blood images, Sist. Telemática, 10, pp. 9-25, (2012); Ahirwar N., Pattnaik S., Acharya B., Advanced image analysis-based system for automatic detection and classification of malarial parasites in blood images, Int. J. Inf. Technol. Knowl. Manag., 5, pp. 59-64, (2012); Hung J., Carpenter A., Applying faster R-CNN for object detection on malaria images, Proceedings of the IEEE Conference on Computer Vision and Pattern Recognition Workshops, Pp. 56–61. Honolulu, HI, USA, 21–26, (2017); Tek F.B., Dempster A.G., Kale I., Parasite detection and identification for automated thin blood film malaria diagnosis, Comput. Vis. Image Underst., 114, pp. 21-32, (2010); Ranjit M., Das A., Das B., Das B., Dash B., Chhotray G., Distribution of plasmodium falciparum genotypes in clinically mild and severe malaria cases in Orissa, India. Trans. R. Soc. Trop. Med. Hyg, 99, pp. 389-395, (2005); Romero E., Sarmiento W., Lozano A., Automatic detection of malaria parasites in thick blood films stained with hematoxylin-eosin, Proceedings of the III Iberian Latin American and Caribbean Congress of Medical Physics, ALFIM2004, Rio De Janeiro, Brazil, 15, (2004); Selvaraju R.R., Cogswell M., Das A., Vedantam R., Parikh D., Batra D., Grad-CAM: Visual explanations from deep networks via gradient-based localization, Proceedings of the IEEE International Conference on Computer Vision (ICCV), pp. 618-626, (2017); Chattopadhyay A., Sarkar A., Howlader P., Balasubramanian V.N., Improved visual explanations for deep convolutional networks, 2018 IEEE Winter Conference on Applications of Computer Vision (WACV), pp. 839-847, (2018)</t>
  </si>
  <si>
    <t xml:space="preserve">K. Mridha; Computer Engineering, Marwadi University, Rajkot, Gujarat, India; email: krishna.mridha108735@marwadiuniversity.ac.in</t>
  </si>
  <si>
    <t xml:space="preserve">Morusupalli R.; Dandibhotla T.S.; Atluri V.V.; Komati V.R.; Windridge D.; Lingras P.</t>
  </si>
  <si>
    <t xml:space="preserve">16th International Conference on Multi-disciplinary Trends in Artificial Intelligence, MIWAI 2023</t>
  </si>
  <si>
    <t xml:space="preserve">Hyberabad</t>
  </si>
  <si>
    <t xml:space="preserve">978-303136401-3</t>
  </si>
  <si>
    <t xml:space="preserve">2-s2.0-85164976634</t>
  </si>
  <si>
    <t xml:space="preserve">Devika N.; Anoop V.S.; Thekkiniath J.</t>
  </si>
  <si>
    <t xml:space="preserve">Devika, N. (58793183900); Anoop, V.S. (49361023900); Thekkiniath, Jose (36158765600)</t>
  </si>
  <si>
    <t xml:space="preserve">58793183900; 49361023900; 36158765600</t>
  </si>
  <si>
    <t xml:space="preserve">Biomedical Named Entity Recognition from Malaria Literature using BioBERT</t>
  </si>
  <si>
    <t xml:space="preserve">The unprecedented growth of unstructured text data in the healthcare domain makes it difficult to find and extract relevant information manually. Biomedical named entity recognition deals with the process of automatically identifying entities of clinical significance, such as symptoms, treatment, names of drugs, and organisms, from unstructured text documents such as electronic health records and radiology reports. This is the first but essential step for building many text-understanding applications such as conversational agents and information retrieval. Pre-trained language or linguistic models have recently gained popularity in natural language processing due to their inherent ability to manage contexts better. The proposed approach fine-tunes the pre-trained BioBERT model, which is one of the current state-of-the-art biomedical language models, on a large set of Malaria text to extract named entities. This work implements and compares different machine learning algorithms on different feature extraction techniques to establish the usefulness of the proposed approach. The method proposed is found to be outperforming our chosen baselines and shows better precision and f-measure on our extensive performance comparison experiments.  © 2023 IEEE.</t>
  </si>
  <si>
    <t xml:space="preserve">10.1109/ICSCC59169.2023.10335049</t>
  </si>
  <si>
    <t xml:space="preserve">https://www.scopus.com/inward/record.uri?eid=2-s2.0-85181404557&amp;doi=10.1109%2fICSCC59169.2023.10335049&amp;partnerID=40&amp;md5=24258fb4cea24cecaa79ec13531c2040</t>
  </si>
  <si>
    <t xml:space="preserve">Kerala University of Digital Sciences, Innovation and Technology, School of Digital Sciences, Thiruvananthapuram, India; Purdue University Fort Wayne, Department of Biological Sciences, IN, United States</t>
  </si>
  <si>
    <t xml:space="preserve">Devika N., Kerala University of Digital Sciences, Innovation and Technology, School of Digital Sciences, Thiruvananthapuram, India; Anoop V.S., Kerala University of Digital Sciences, Innovation and Technology, School of Digital Sciences, Thiruvananthapuram, India; Thekkiniath J., Purdue University Fort Wayne, Department of Biological Sciences, IN, United States</t>
  </si>
  <si>
    <t xml:space="preserve">BioBERT; Biomedical NLP; Machine Learning; Named entity recognition; Natural language processing; Vector-borne diseases</t>
  </si>
  <si>
    <t xml:space="preserve">Bioinformatics; Character recognition; Learning algorithms; Linguistics; Machine learning; Natural language processing systems; Text processing; BioBERT; Biomedical named entity recognition; Biomedical NLP; Language processing; Machine-learning; Named entity recognition; Natural language processing; Natural languages; Unstructured texts; Vector-borne disease; Diseases</t>
  </si>
  <si>
    <t xml:space="preserve">Jarashanth S., Nawarathna R., Applying transformer models for disease named entity recognition, 2022 2nd International Conference on Advanced Research in Computing (ICARC). IEEE, pp. 272-277, (2022); Jickson S., Anoop V., Asharaf S., Machine learning approaches for detecting signs of depression from social media, Proceedings of International Conference on Information Technology and Applications: ICITA 2022. Springer, pp. 201-214, (2023); John R., Anoop V., Asharaf S., Health mention classification from user-generated reviews using machine learning techniques, Proceedings of International Conference on Information Technology and Applications: ICITA 2022. Springer, pp. 175-188, (2023); Huang J., Chen Y., Li Y., Yang Z., Gong X., Wang F.L., Xu X., Liu W., Medical knowledge-based network for patient-oriented visual question answering, Information Processing &amp; Management, 60, 2, (2023); Anoop V., Asharaf S., A topic modeling guided approach for semantic knowledge discovery in e-commerce, (2017); Gupta S., Sharaff A., Nagwani N.K., Frequent item-set mining and clustering based ranked biomedical text summarization, The Journal of Supercomputing, 79, 1, pp. 139-159, (2023); Chandran N.V., Anoop V., Asharaf S., Topicstriker: A topic kernels-powered approach for text classification, Results in Engineering, 17, (2023); Chandran N.V., Asharaf S., Anoop V., String kernels for document classification: A comparative study, 2022 International Conference on Innovative Trends in Information Technology (ICITIIT). IEEE, pp. 1-6, (2022); Anoop V., Sreelakshmi S., Public discourse and sentiment during mpox outbreak: An analysis using natural language processing, Public Health, 218, pp. 114-120, (2023); Varghese M., Anoop V., Deep learning-based sentiment analysis on covid-19 news videos, Proceedings of International Conference on Information Technology and Applications: ICITA 2021. Springer, pp. 229-238, (2022); Lekshmi S., Anoop V., Sentiment analysis on covid-19 news videos using machine learning techniques, Proceedings of International Conference on Frontiers in Computing and Systems: COMSYS 2021. Springer, pp. 551-560, (2022); Anoop V., Asharaf S., Aspect-oriented sentiment analysis: A topic modeling-powered approach, Journal of Intelligent Systems, 29, 1, pp. 1166-1178, (2018); Thukral A., Dhiman S., Meher R., Bedi P., Knowledge graph enrichment from clinical narratives using nlp, ner, and biomedical ontologies for healthcare applications, International Journal of Information Technology, pp. 1-13, (2023); Prakash R., Anoop V., Asharaf S., Blockchain technology for cybersecurity: A text mining literature analysis, International Journal of Information Management Data Insights, 2, 2, (2022); Anoop V., Asharaf S., Extracting conceptual relationships and inducing concept lattices from unstructured text, Journal of Intelligent Systems, 28, 4, pp. 669-681, (2019); Ali S., Masood K., Riaz A., Saud A., Named entity recognition using deep learning: A review, 2022 International Conference on Business Analytics for Technology and Security (ICBATS). IEEE, pp. 1-7, (2022); Perera N., Dehmer M., Emmert-Streib F., Named entity recognition and relation detection for biomedical information extraction, Frontiers in cell and developmental biology, (2020); Devlin J., Chang M.-W., Lee K., Toutanova K., Bert: Pre-training of deep bidirectional transformers for language understanding, (2018); Lee J., Yoon W., Kim S., Kim D., Kim S., So C.H., Kang J., Biobert: A pre-trained biomedical language representation model for biomedical text mining, Bioinformatics, 36, 4, pp. 1234-1240, (2020); Anoop V., Thekkiniath J., Govindarajan U.H., We chased covid-19; did we forget measles-public discourse and sentiment analysis on spiking measles cases using natural language processing, International Conference on Multi-disciplinary Trends in Artificial Intelligence. Springer, pp. 147-158, (2023); Sreelakshmi S., Anoop V., Cognitive computing and big data for digital health: Past, present, and the future, Era of Artificial Intelligence, pp. 55-66; Xiong Y., Peng H., Xiang Y., Wong K.-C., Chen Q., Yan J., Tang B., Leveraging multi-source knowledge for Chinese clinical named entity recognition via relational graph convolutional network, Journal of Biomedical Informatics, 128, (2022); Siddalingappa R., Sekar K., Bi-directional long short term memory using recurrent neural network for biological entity recognition, IAES International Journal of Artificial Intelligence, 11, 1, pp. 89-101, (2022); Elkmasat G.C., Akturk M.E., Ertunc Y.E., Issifu A.M., Ganz M.C., Biomedical named entity recognition using transformers with bilstm+ crf and graph convolutional neural networks, 2022 International Conference on INnovations in Intelligent SysTems and Applications (INISTA). IEEE, pp. 1-6, (2022); Chai Z., Jin H., Shi S., Zhan S., Zhuo L., Yang Y., Lian Q., Noise reduction learning based on xlnet-crf for biomedical named entity recognition, IEEE/ACM Transactions on Computational Biology and Bioinformatics, (2022); Sun C., Yang Z., Wang L., Zhang Y., Lin H., Wang J., Biomedical named entity recognition using bert in the machine reading comprehension framework, Journal of Biomedical Informatics, 118, (2021); Chai Z., Jin H., Shi S., Zhan S., Zhuo L., Yang Y., Hierarchical shared transfer learning for biomedical named entity recognition, BMC bioinformatics, 23, pp. 1-14, (2022); Usha M.S., Smrity A.M., Das S., Named entity recognition using transfer learning with the fusion of pre-trained scibert language model and bi-directional long short term memory, 2022 25th International Conference on Computer and Information Technology (ICCIT). IEEE, pp. 460-465, (2022); Andrade S.R., Walsh H.S., What went wrong: A survey of wildfire uas mishaps through named entity recognition, 2022 IEEE/AIAA 41st Digital Avionics Systems Conference (DASC). IEEE, pp. 1-10, (2022)</t>
  </si>
  <si>
    <t xml:space="preserve">N. Devika; Kerala University of Digital Sciences, Innovation and Technology, School of Digital Sciences, Thiruvananthapuram, India; email: devika.ds21@duk.ac.in</t>
  </si>
  <si>
    <t xml:space="preserve">2-s2.0-85181404557</t>
  </si>
  <si>
    <t xml:space="preserve">Niranjana R.; Ravi A.; Meena A.; Khaashwini M.S.; Kavya T.; Santhana Krishnan R.</t>
  </si>
  <si>
    <t xml:space="preserve">Niranjana, R. (57216288994); Ravi, A. (50162183000); Meena, A. (58541241200); Khaashwini, M.S. (58541155300); Kavya, T. (57329655200); Santhana Krishnan, R. (58541183200)</t>
  </si>
  <si>
    <t xml:space="preserve">57216288994; 50162183000; 58541241200; 58541155300; 57329655200; 58541183200</t>
  </si>
  <si>
    <t xml:space="preserve">Blood Cell Counting and Malaria Pathogen Detection using Convolutional Neural Network</t>
  </si>
  <si>
    <t xml:space="preserve">The Whole Blood Cell Count is a crucial component of determining a human's overall health and detecting different abnormalities such as anemia, infection, and leukemia. During this test, the quantity of different blood cells found in an individual is evaluated. Automating this approach would boost diagnosis effectiveness while lowering treatment costs in general. The objective of the paper is to utilize a convolutional neural network to carry out a comprehensive blood cell count through the examination of blood smear images. The model is additionally trained to identify the presence of malarial pathogens in the blood. According to the examinations conducted, the system performs with an average mean accuracy of over 0.95 when compared to the ground truth. Moreover, the model identifies the images that contain malarial parasites as infected with a 100% accuracy rate. Additionally, the software is adapted for use on an inexpensive microcomputer to facilitate fast prototyping.  © 2023 IEEE.</t>
  </si>
  <si>
    <t xml:space="preserve">2023 4th International Conference on Electronics and Sustainable Communication Systems, ICESC 2023 - Proceedings</t>
  </si>
  <si>
    <t xml:space="preserve">10.1109/ICESC57686.2023.10193462</t>
  </si>
  <si>
    <t xml:space="preserve">https://www.scopus.com/inward/record.uri?eid=2-s2.0-85168307637&amp;doi=10.1109%2fICESC57686.2023.10193462&amp;partnerID=40&amp;md5=e6fd96c31a6d61897682017147b5b2c4</t>
  </si>
  <si>
    <t xml:space="preserve">Sri Krishna College of Engineering and Technology, Ece Department, Coimbatore, India; Francis Xavier Engineering College, Ece Department, Tirunelveli, India; Scad College of Engineering and Technology, Ece Department, Tirunelveli, India</t>
  </si>
  <si>
    <t xml:space="preserve">Niranjana R., Sri Krishna College of Engineering and Technology, Ece Department, Coimbatore, India; Ravi A., Francis Xavier Engineering College, Ece Department, Tirunelveli, India; Meena A., Scad College of Engineering and Technology, Ece Department, Tirunelveli, India; Khaashwini M.S., Sri Krishna College of Engineering and Technology, Ece Department, Coimbatore, India; Kavya T., Sri Krishna College of Engineering and Technology, Ece Department, Coimbatore, India; Santhana Krishnan R., Sri Krishna College of Engineering and Technology, Ece Department, Coimbatore, India</t>
  </si>
  <si>
    <t xml:space="preserve">Circular Hough Transform; Convolution Neural Network; Deep Learning; Platelet; Red blood cell; White blood cell</t>
  </si>
  <si>
    <t xml:space="preserve">Blood; Cells; Convolution; Cytology; Deep neural networks; Diseases; Feature extraction; Hough transforms; Software prototyping; Blood cell counting; Blood cells; Cell count; Circular Hough transforms; Convolution neural network; Convolutional neural network; Deep learning; Pathogen detection; Red blood cell; White blood cells; Convolutional neural networks</t>
  </si>
  <si>
    <t xml:space="preserve">Osman M.M., Normal reference value of blood cell count, red, white and platelet of Khartoum North Area, Al Neelain Medical Journal, 3, 8, (2013); Berge H., Taylor D., Krishnan S., Douglas T.S., Improved red blood cell counting in thin blood smears, Proceedings of the 8th IEEE International Symposium on Biomedical Imaging: From Nano to Macro (ISBI '11), pp. 204-207, (2011); Damahe L.B., Student P.G., College R.G., Engg R.G.C., Segmentation based approach to detect parasites and RBCs in blood cell images, International Journal of Computer Science and Applications, 4, 2, (2011); Khan S., Khan A., Naseem A., An accurate and cost-effective approach to blood cell count, International Journal of Computer Applications, 50, 1, pp. 18-24, (2012); Nguyen N., Duong A., Vu H., Cell splitting with a high degree of overlapping in peripheral blood smear, International Journal of Computer Theory and Engineering, 3, 3, pp. 473-478, (2011); Rhodes A., Bai L., Circle detection using a Gabor annulus, Proceedings of the British Machine Vision Conference, (2011); Chiu S.-H., Liaw J.-J., Lin K.-H., A fast randomized Hough transform for circle/circular arc recognition, International Journal of Pattern Recognition and Artificial Intelligence, 24, 3, pp. 457-474, (2010); Ross N.E., Pritchard C.J., Rubin D.M., Duse A.G., Automated image processing methods for the diagnosis and classification of malaria on thin blood smears, Medical &amp; biological Engineering &amp; Computing, 44, pp. 427-436, (2006); Gopakumar G., Swetha M., Siva S., Subrahmanyam G.R.K.S., Automatic detection of Malaria infected RBCs from a focus stack of bright field microscope slide images, Proceedings of the Tenth Indian Conference on Computer Vision, Graphics and Image Processing, (2016); Torres K., Et al., Automated microscopy for routine malaria diagnosis: a field comparison on Giemsa-stained blood films in Peru, Malaria Journal, 17, 1, (2018); Pattanaik P., Mittal M., Khan M., Unsupervised Deep Learning Cad Scheme for The Detection Of Malaria In Blood Smear Microscopic Images, IEEE Access, 8, pp. 94936-94946, (2020); Daniel M., Kenneth A.K., Mjomba A.G., Njogu A.M., Lucy G., Detection of Plasmodium parasites from images of thin blood smears, Open Journal of Clinical Diagnostic, 3, pp. 183-194, (2013); Dhanya B., Madhu S.N., Punitha P., Malaria parasite detection from peripheral blood smear images using deep belief Networks, IEEE Access, 5, pp. 9099-9108, (2017); Malaria microscopy quality assurance manual-version 2, (2016); Rhody H., Carlson C.F., (2005)</t>
  </si>
  <si>
    <t xml:space="preserve">R. Niranjana; Sri Krishna College of Engineering and Technology, Ece Department, Coimbatore, India; email: niranbme@gmail.com</t>
  </si>
  <si>
    <t xml:space="preserve">4th International Conference on Electronics and Sustainable Communication Systems, ICESC 2023</t>
  </si>
  <si>
    <t xml:space="preserve">979-835030009-3</t>
  </si>
  <si>
    <t xml:space="preserve">Int. Conf. Electron. Sustain. Commun. Syst., ICESC - Proc.</t>
  </si>
  <si>
    <t xml:space="preserve">2-s2.0-85168307637</t>
  </si>
  <si>
    <t xml:space="preserve">Valdez Z.I.; Diaz L.A.; Ravelo-Garcia A.G.; Cornejo M.V.</t>
  </si>
  <si>
    <t xml:space="preserve">Valdez, Zayd Isaac (58811250200); Diaz, Luz Alexandra (58147880900); Ravelo-Garcia, Antonio G (9634135600); Cornejo, Miguel Vizcardo (6503955900)</t>
  </si>
  <si>
    <t xml:space="preserve">58811250200; 58147880900; 9634135600; 6503955900</t>
  </si>
  <si>
    <t xml:space="preserve">Chagas Disease: An Analysis with Temporal Features Extraction, Permutation Entropy and a Stratification of Heart Risk by a Deep Learning Model</t>
  </si>
  <si>
    <t xml:space="preserve">Chagas disease is an endemic disease that in recent decades has ceased to be a rural disease to become mainly an urban disease. In this way, it currently constitutes a public health problem since 70 million people are at risk of contagion of this potentially fatal disease. This disease has an acute and a chronic phase, where in the latter it usually has cardiac involvement that can often be silent and asymptomatic at the beginning. As a result, the establishment of early markers in this type of patients is of great interest. To achieve this, the present study proposes the analysis of RR data through permutation entropy and feature extraction. This study analyzes three groups: 83 volunteers (Control), 102 with Chagas but without cardiac involvement (CH1) and 107 with mild to moderate incipient heart failure (CH2). The data used is from the 24-hour ECG recording, RR intervals are shown in 288 5-minute frames. The analysis performed using permutation entropy and feature extraction shows significant differences between the 3 groups. These data, after a selection of significant segments and dimension reduction by means of PCA, were used in a densely connected neural network that has shown more than satisfactory results, obtaining 98% total accuracy and precision greater than 97% when classifying each group, thus constituting a powerful tool for risk stratification and classification of patients. © 2023 CinC.</t>
  </si>
  <si>
    <t xml:space="preserve">Computing in Cardiology</t>
  </si>
  <si>
    <t xml:space="preserve">10.22489/CinC.2023.273</t>
  </si>
  <si>
    <t xml:space="preserve">https://www.scopus.com/inward/record.uri?eid=2-s2.0-85182319906&amp;doi=10.22489%2fCinC.2023.273&amp;partnerID=40&amp;md5=4d11eb4667291f6fe0eac52e0c375795</t>
  </si>
  <si>
    <t xml:space="preserve">Escuela Profesional de Física, Universidad Nacional de San Agustín de Arequipa, Peru; Instituto for Technological Development and Innovation in Communications, Universidad de Las Palmas de Gran Canaria, Spain; Interactive Technologies Institute (ITI/LARSyS and ARDITI), Funchal, 9020-105, Portugal</t>
  </si>
  <si>
    <t xml:space="preserve">Valdez Z.I., Escuela Profesional de Física, Universidad Nacional de San Agustín de Arequipa, Peru; Diaz L.A., Escuela Profesional de Física, Universidad Nacional de San Agustín de Arequipa, Peru; Ravelo-Garcia A.G., Instituto for Technological Development and Innovation in Communications, Universidad de Las Palmas de Gran Canaria, Spain, Interactive Technologies Institute (ITI/LARSyS and ARDITI), Funchal, 9020-105, Portugal; Cornejo M.V., Escuela Profesional de Física, Universidad Nacional de San Agustín de Arequipa, Peru</t>
  </si>
  <si>
    <t xml:space="preserve">Cardiology; Deep learning; Entropy; Extraction; Health risks; Heart; Risk assessment; Chagas disease; ECG recording; Fatal disease; Features extraction; Heart failure; Learning models; Permutation entropy; Potentially fatal; RR intervals; Temporal features; Feature extraction</t>
  </si>
  <si>
    <t xml:space="preserve">Briceno-Leon R., La enfermedad de Chagas en las Américas: Una perspectiva de ecosalud, Cadernos de saúde pública, 25, pp. S71-S82, (2009); Enfermedad de Chagas en las Américas, Hoja informativa para los trabajadores de salud, (2017); First WHO report on neglected tropical diseases: Working to overcome the global impact of neglected tropical diseases, First WHO report on neglected tropical diseases: Working to overcome the global impact of neglected tropical diseases, (2010); Schmunis G.A., Epidemiology of Chagas disease in non endemic countries: The role of international migration, Memorias do Instituto Oswaldo Cruz, 102, pp. 75-86, (2007); Report of a WHO Informal Consultation (jointly organized by WHO headquarters and the WHO Regional Office for Europe), (2009); Mendoza I., Moleiro F., Marques J., Britto I.M., Arritmias y muerte súbita en la enfermedad de Chagas, (2008); Moleiro F., Miocardiopatía crónica chagásica: Un estudio epidemiológico utilizando métodos electrofiosiol ógicos de exploración clínica, (1980); Hagar J.M., Rahimtoola S.H., Chagas' heart disease in the United States, New England Journal of Medicine, 325, 11, pp. 763-768, (1991); Di Lorenzo Oliveira C., Nunes M.C.P., Colosimo E.A., De Lima E.M., Cardoso C.S., Ferreira A.M., Ribeiro A.L.P., Risk Score for Predicting 2-Year Mortality in Patients With Chagas Cardiomyopathy From Endemic Areas: SaMi-Trop Cohort Study, Journal of the American Heart Association, 9, 6, (2020); Chen W., Liu G., Su S., Jiang Q., Nguyen H., A CHF detection method based on deep learning with RR intervals, pp. 3369-3372, (2017); Vizcardo M., Manrique M., Ravelo Garcia A., Gomis P., Application of the Entropy of Approximation for the Nonlinear Characterization in Patients with Chagas Disease, 2019 Computing in Cardiology Conference, (2019); Cornejo D., Rodriguez M., Diaz L., Alvarez E., Vizcardo M., Application of Permutation Entropy in the stratification of patients with chagas disease, Computing in Cardiology, pp. 1-4, (2020); Haselsteiner E., Pfurtscheller G., Using time-dependent neural networks for EEG classification, IEEE Transactions on Rehabilitation Engineering, 8, 4, pp. 457-463; Chatterjee R., Bandyopadhyay T., EEG based Motor Imagery Classification using SVM and MLP, 2016 2nd International Conference on Computational Intelligence and Networks (CINE), pp. 84-89, (2016); Raad A., Kalakech A., Ayache M., Breast cancer classification using neural network approach: MLP and RBF, networks, 7, 8, (2012); Pan J., Tompkins W.J., A Real-Time QRS Detection Algorithm, IEEE Transactions on Biomedical Engineering, BME-32, 3, pp. 230-236, (1985); Wessel N., Voss A., Kurths J., Saparin P., Witt A., Kleiner H.J., Dietz R., Renormalised entropy: A new method of non-linear dynamics for the analysis of heart rate variability, Computers in Cardiology 1994, pp. 137-140, (1994); Bandt C., Pompe B., Permutation Entropy: A natural complexity measure for time series, Physical review letters, 88, 17, (2002); Akaike H., Fitting Autoregressive for Prediction Models, Statist Math, 21, pp. 243-247, (1969); Cornejo D.R., Ravelo-Garcia A., Alvarez E., Rodriguez M.F., Diaz L.A., Cabrera-Caso V., Cornejo M.V., Deep Learning and Permutation Entropy in the Stratification of Patients with Chagas Disease, 2022 Computing in Cardiology (CinC), 498, pp. 1-4, (2022)</t>
  </si>
  <si>
    <t xml:space="preserve">M.V. Cornejo; Ciudad Universitaria, Arequipa, Av. Independencia s/n, 04001, Peru; email: mvizcardoc@unsa.edu.pe</t>
  </si>
  <si>
    <t xml:space="preserve">50th Computing in Cardiology, CinC 2023</t>
  </si>
  <si>
    <t xml:space="preserve">1 October 2023 through 4 October 2023</t>
  </si>
  <si>
    <t xml:space="preserve">Atlanta</t>
  </si>
  <si>
    <t xml:space="preserve">979-835038252-5</t>
  </si>
  <si>
    <t xml:space="preserve">Comput. Cardiol.</t>
  </si>
  <si>
    <t xml:space="preserve">2-s2.0-85182319906</t>
  </si>
  <si>
    <t xml:space="preserve">Jusman Y.; Aftal A.A.; Tyassari W.; Kanafiah S.N.A.M.; Hayati N.; Mohamed Z.</t>
  </si>
  <si>
    <t xml:space="preserve">Jusman, Yessi (35810354700); Aftal, Adefta Aghiniya (58679145700); Tyassari, Wikan (57771916800); Kanafiah, Siti Nurul Aqmariah Mohd (55987982900); Hayati, Nur (57204872861); Mohamed, Zeehaida (24345693200)</t>
  </si>
  <si>
    <t xml:space="preserve">35810354700; 58679145700; 57771916800; 55987982900; 57204872861; 24345693200</t>
  </si>
  <si>
    <t xml:space="preserve">Classification of Parasite Malaria in Schizon Stage with GoogleNet and VGG-19 Pre-Trained Models</t>
  </si>
  <si>
    <t xml:space="preserve">The development of artificial intelligence technology has currently given benefit for humans in various fields. In the medical field, artificial intelligence was developed to help medical experts to classify various diseases using medical images, including malaria. Early detection of malaria parasites is important to save the patients, thus this study developed a detection system for some malaria parasites (P. falciparum, P. vivax, and P. malariae) in the schizont stage. This system uses deep learning methods using GoogleNet and VGG 19 pre-trained models. This study performs accuracy, running time, and analysis based on the confusion matrix for testing result. The best training result is performed by the GoogleNet pre-trained model, with an average running time of 7 minutes 14 seconds and an average accuracy of 98.53% \pm 1.27\%. The best model for classifying malaria image in the blood is the GoogleNet model with an accuracy value of 97.41%, precision 100%, recall 93.75%, specificity 100% and f-score 99.53%.  © 2023 IEEE.</t>
  </si>
  <si>
    <t xml:space="preserve">2023 10th International Conference on Information Technology, Computer, and Electrical Engineering, ICITACEE 2023</t>
  </si>
  <si>
    <t xml:space="preserve">10.1109/ICITACEE58587.2023.10276849</t>
  </si>
  <si>
    <t xml:space="preserve">https://www.scopus.com/inward/record.uri?eid=2-s2.0-85175656003&amp;doi=10.1109%2fICITACEE58587.2023.10276849&amp;partnerID=40&amp;md5=addb842410105119a349bd54f52bffce</t>
  </si>
  <si>
    <t xml:space="preserve">Universitas Muhammadiyah Yogyakarta, Department of Electrical Engineering, Faculty of Engineering, D.I. Yogyakarta, Indonesia; Universiti Malaysia Perlis (UniMAP), Faculty of Electrical Engineering Technology, Pauh Putra Campus, Arau, 02600, Malaysia; Universiti Sains Malaysia, Department of Microbiology and Parasitology, Kelantan, Malaysia</t>
  </si>
  <si>
    <t xml:space="preserve">Jusman Y., Universitas Muhammadiyah Yogyakarta, Department of Electrical Engineering, Faculty of Engineering, D.I. Yogyakarta, Indonesia; Aftal A.A., Universitas Muhammadiyah Yogyakarta, Department of Electrical Engineering, Faculty of Engineering, D.I. Yogyakarta, Indonesia; Tyassari W., Universitas Muhammadiyah Yogyakarta, Department of Electrical Engineering, Faculty of Engineering, D.I. Yogyakarta, Indonesia; Kanafiah S.N.A.M., Universiti Malaysia Perlis (UniMAP), Faculty of Electrical Engineering Technology, Pauh Putra Campus, Arau, 02600, Malaysia; Hayati N., Universitas Muhammadiyah Yogyakarta, Department of Electrical Engineering, Faculty of Engineering, D.I. Yogyakarta, Indonesia; Mohamed Z., Universiti Sains Malaysia, Department of Microbiology and Parasitology, Kelantan, Malaysia</t>
  </si>
  <si>
    <t xml:space="preserve">and VGG 19; Convolutional Neural Network (CNN); Deep Learning; GoogLeNet</t>
  </si>
  <si>
    <t xml:space="preserve">Deep learning; Diseases; Image classification; Learning systems; Medical imaging; And VGG 19; Artificial intelligence technologies; Convolutional neural network; Deep learning; Googlenet; Malaria parasite; Medical experts; Medical fields; Parasite-; Convolutional neural networks</t>
  </si>
  <si>
    <t xml:space="preserve">Ministry of Research and Technology of the Republic of Indonesia; Universitas Muhammadiyah Yogyakarta, UMY</t>
  </si>
  <si>
    <t xml:space="preserve">ACKNOWLEDGMENT This research is supported by Universitas Muhammadiyah Yogyakarta and a research project grant from the Ministry of Research and Technology of the Republic of Indonesia.</t>
  </si>
  <si>
    <t xml:space="preserve">Lestari T.R.P., Pengendalian Malaria dalam Upaya Percepatan Pencapaian Target Millennium Development Goals, Kesmas Natl. Public Heal. J, 7, 1, (2012); WHO World Malaria Report, 2021, (2021); Narayan Das N., Kumar N., Kaur M., Kumar V., Singh D., Automated Deep Transfer Learning-Based Approach for Detection of COVID-19 Infection in Chest X-rays, Irbm, 43, 2, pp. 114-119, (2022); Jusman Y., Tyassari W., Nisrina D., Santosa F.G., Prayitno N.A., Machine Learning Performances for Covid-19 Images Classification based Histogram of Oriented Gradients Features, IEEE International IOT, Electronics and Mechatronics Conference (IEMTRONICS, 2022, pp. 1-6, (2022); Lee J.-H., Kim D.-H., Jeong S.-N., Choi S.-H., Detection and diagnosis of dental caries using a deep learning-based convolutional neural network algorithm, J. Dent, 77, pp. 106-111, (2018); Jusman Y., Anam M.K., Puspita S., Saleh E., Kanafiah S.N.A.M., Tamarena R.I., Comparison of Dental Caries Level Images Classification Performance using KNN and SVM Methods, IEEE International Conference on Signal and Image Processing Applications (ICSIPA, 2021, pp. 167-172, (2021); Tyassari W., Jusman Y., Riyadi S., Sulaiman S.N., Classification of Cervical Precancerous Cell of ThinPrep Images Based on Deep Learning Model AlexNet and InceptionV3, 2022 IEEE 11th International Conference on Communication Systems and Network Technologies (CSNT, pp. 276-281, (2022); Sari B.P., Jusman Y., Classification System for Cervical Cell Images based on Hu Moment Invariants Methods and Support Vector Machine, 2021 International Conference on Intelligent Technologies (CONIT, pp. 1-5, (2021); Dong N., Zhao L., Wu C.H., Chang J.F., Inception v3 based cervical cell classification combined with artificially extracted features, Appl. Soft Comput, 93, (2020); Narayanan B.N., Ali R., Hardie R.C., Performance Analysis of Machine Learning and Deep Learning Architectures for Malaria Detection on Cell Images, Appl. Mach. Learn, (2019); Alnussairi M.H.D., Ibrahim A.A., Malaria parasite detection using deep learning algorithms based on (CNNs) technique, Comput. Electr. Eng, 103, (2022); Shah D., Kawale K., Shah M., Randive S., Mapari R., Malaria Parasite Detection Using Deep Learning (Beneficial to humankind), Proc. Int. Conf. Intell. Comput. Control Syst. (Iciccs, 2020, pp. 984-988, (2020); Diyasa G.S.M., Fauzi A., Setiawan A., Idhom M., Wahid R.R., Alhajir A.D., Pre-Trained Deep Convolutional Neural Network for Detecting Malaria on the Human Blood Smear Images, 3rd Int. Conf. Artif. Intell. Inf. Commun Ieee Icaiic 2021, pp. 235-240, (2021); Militante S.V., Malaria Disease Recognition through Adaptive Deep Learning Models of Convolutional Neural Network, ICETAS 2019-2019 6th IEEE Int. Conf. Eng. Technol. Appl. Sci, 7, 15, pp. 6662-6672, (2019); Masud M., Et al., Leveraging Deep Learning Techniques for Malaria Parasite Detection Using Mobile Application, Wirel. Commun. Mob. Comput, 2020, (2020); Sriporn K., Tsai C.F., Tsai C.E., Wang P.H., Analyzing Malaria Disease Using Effective Deep Learning Approach, Diagnostics, 10, 10, (2020); Delas Penas K.E., Rivera P.T., Naval P.C., Malaria Parasite Detection and Species Identification on Thin Blood Smears using a Convolutional Neural Network, 2017 Ieee/ Acm Second Int. Conf. Connect. Heal.-Appl. Syst. Eng. Technol, pp. 1-6, (2017); Mohd Kanafiah S.N.A., Mashor M.Y., Mohamed Z., Way Y.C., Shukor S.A.A., Jusman Y., An Intelligent Classification System for Trophozoite Stages in Malaria Species, Intell. Autom. Soft Comput, 34, 1, (2022); Xception : Deep Learning with Depthwise Separable Convolutions, pp. 1251-1258, (2014); Wen L., Li X., Li X., Gao L., A new transfer learning based on VGG-19 network for fault diagnosis, Proc. 2019 IEEE 23rd Int. Conf. Comput. Support. Coop. Work Des. CSCWD, 2019, pp. 205-209, (2019); Montalbo F.J.P., Alon A.S., Empirical Analysis of a Fine-Tuned Deep Convolutional Model in Classifying and Detecting Malaria Parasites from Blood Smears, Ksii Trans. Internet Inf. Syst, 15, 1, pp. 147-165, (2021)</t>
  </si>
  <si>
    <t xml:space="preserve">Y. Jusman; Universitas Muhammadiyah Yogyakarta, Department of Electrical Engineering, Faculty of Engineering, D.I. Yogyakarta, Indonesia; email: yjusman@umy.ac.id</t>
  </si>
  <si>
    <t xml:space="preserve">10th International Conference on Information Technology, Computer, and Electrical Engineering, ICITACEE 2023</t>
  </si>
  <si>
    <t xml:space="preserve">31 August 2023 through 1 September 2023</t>
  </si>
  <si>
    <t xml:space="preserve">979-835032272-9</t>
  </si>
  <si>
    <t xml:space="preserve">Int. Conf. Inf. Technol., Comput., Electr. Eng., ICITACEE</t>
  </si>
  <si>
    <t xml:space="preserve">2-s2.0-85175656003</t>
  </si>
  <si>
    <t xml:space="preserve">Muhammad F.A.; Sudirman R.; Zakaria N.A.; Mahmood N.H.</t>
  </si>
  <si>
    <t xml:space="preserve">Muhammad, Fatima Abdullahi (57915065200); Sudirman, Rubita (16176754800); Zakaria, Nor Aini (57210719594); Mahmood, Nasrul Humaimi (36069499100)</t>
  </si>
  <si>
    <t xml:space="preserve">57915065200; 16176754800; 57210719594; 36069499100</t>
  </si>
  <si>
    <t xml:space="preserve">Classification of Red Blood Cell Abnormality in Thin Blood Smear Images using Convolutional Neural Networks</t>
  </si>
  <si>
    <t xml:space="preserve">One of the most common morphological red blood cell abnormalities encountered during routine thin blood smear microscopy for the detection of malaria parasite is the rouleaux formation, which is the stacking together of red blood cells to form a chain. Rouleaux formation signifies an underlying infection and as such microscopists are mandated to report its presence. A lot of work has been done in automating malaria diagnosis using deep learning, but no model has been developed which is capable of detecting rouleaux formation in malaria infected red blood cells. Thus, this study collected 231 peripheral blood smear (PBS) images of normal red blood cell morphology and 231 PBS images with rouleaux morphology. The images were pre-processed and segmented into equal instances of 3044 coloured images of size 750×750 pixels. Two convolutional neural network (CNN) models were developed and trained to classify the images into normal red blood cell morphology or rouleaux morphology. The CNN models were trained on two different image sizes: 300×300 and 500×500. The first CNN model achieved validation accuracy/loss values of 87.91%/0.8177 and 56.58%/1.4090 when trained on images of sizes 300×300 and 500×500 respectively. In the second CNN model, the CNN layers of the first model were replaced with depthwise separable CNN layers, it was also trained on images of sizes 300×300 and 500×500 achieving validation accuracy/loss values of 90.95%/0.2804 and 87.75%/0.5904 respectively. This study demonstrates the capability of CNN models in detecting red blood cell morphology abnormality in thin smear images at an optimal image size of 300×300. © 2023 Institute of Physics Publishing. All rights reserved.</t>
  </si>
  <si>
    <t xml:space="preserve">Journal of Physics: Conference Series</t>
  </si>
  <si>
    <t xml:space="preserve">Institute of Physics</t>
  </si>
  <si>
    <t xml:space="preserve">10.1088/1742-6596/2622/1/012011</t>
  </si>
  <si>
    <t xml:space="preserve">https://www.scopus.com/inward/record.uri?eid=2-s2.0-85182283954&amp;doi=10.1088%2f1742-6596%2f2622%2f1%2f012011&amp;partnerID=40&amp;md5=042613e255ba4957c84fff3a43c0f68f</t>
  </si>
  <si>
    <t xml:space="preserve">University Teknologi Malaysia, Malaysia; Bayero University Kano, Nigeria</t>
  </si>
  <si>
    <t xml:space="preserve">Muhammad F.A., University Teknologi Malaysia, Malaysia, Bayero University Kano, Nigeria; Sudirman R., University Teknologi Malaysia, Malaysia; Zakaria N.A., University Teknologi Malaysia, Malaysia; Mahmood N.H., University Teknologi Malaysia, Malaysia</t>
  </si>
  <si>
    <t xml:space="preserve">CNN; Deep Learning; Infectious Diseases; Malaria parasite; Red Blood Cell; Rouleaux formation</t>
  </si>
  <si>
    <t xml:space="preserve">Blood; Cells; Convolution; Convolutional neural networks; Cytology; Deep learning; Diagnosis; Diseases; Image classification; Morphology; Blood smears; Cell morphology; Convolutional neural network; Deep learning; Infectious disease; Malaria parasite; Neural network model; Peripheral blood smears; Red blood cell; Rouleau formation; Neural network models</t>
  </si>
  <si>
    <t xml:space="preserve">KPT; UTMFR, (Q.J130000.3851.20J75, R.J130000.7851.5F425); Ministry of Higher Education, Malaysia, MOHE; Universiti Teknologi Malaysia, UTM</t>
  </si>
  <si>
    <t xml:space="preserve">The authors would like to thank the Ministry of Higher Education Malaysia (KPT) and Universiti Teknologi Malaysia (UTM) for their support under the UTM Fundamental Research Grant (UTMFR), grant number Q.J130000.3851.20J75, R.J130000.7851.5F425.</t>
  </si>
  <si>
    <t xml:space="preserve">Malaria’s Impact worldwide; Poostchi M, Silamut K, Maude RJ, Jaeger S, Thoma G., Image analysis and machine learning for detecting malaria, Translational Research, 194, pp. 36-55, (2018); Muhammad FA, Sudirman R, Ariffin I, Ramli N., Comparison of Regularization and Data Augmentation as Means of Improving Malaria Classification using Convolutional Neural Network, IEEE International Conference on Industry 4.0, Artificial Intelligence, and Communications Technology, (2016); Abdurahman F, Fante K A, Aliy M., Malaria parasite detection in thick blood smear microscopic images using modified YOLOV3 and YOLOV4 models, BMC bioinformatics, 22, 1, (2021); Pretorius E, Olumuyiwa-Akeredolu OO, Mbotwe S, Bester J., Erythrocytes and their role as health indicator: Using structure in a patient-orientated precision medicine approach, Blood Reviews, 30, 4, pp. 263-274, (2016); Tyrrell L, Rose G, Shukri A, Kahwash SB., Morphologic changes in red blood cells: An illustrated review of clinically important light microscopic findings, The Malaysian Journal of Pathology, 43, 2, pp. 219-239, (2021); Palmer L, Briggs C, McFadden S, Zini G, Burthem J, Rozenberg G, Proytcheva M, Machin SJ., ICSH recommendations for the standardization of nomenclature and grading of peripheral blood cell morphological features, International Journal of Laboratory Hematology, 37, 3, pp. 287-303, (2015); Delgado-Ortet M, Molina A, Alferez S, Rodellar J, Merino A., A deep learning approach for segmentation of red blood cell images and malaria detection, Entropy (Basel), 22, 657, pp. 1-16, (2020); Angel M, Jose R, Laura B, Andrea A, Santiago A, Anna M., Automatic identification of malaria and other red blood cell inclusions using convolutional neural networks, Computers in Biology and Medicine, 136, (2021); Liang Z, Powell A, Ersoy I, Poostchi M, Silamut K, Et al., CNN-based image analysis for malaria diagnosis, IEEE International Conference on Bioinformatics and Biomedicine, (2016); Rajaraman S, Antani SK, Poostchi M, Silamut K, Hossain MA, Maude RJ, Jaeger S, Thoma GR., Pre-trained convolutional neural networks as feature extractors toward improved malaria parasite detection in thin blood smear images, PeerJ, 6, e4568, pp. 1-17, (2018); Maqsood A, Farid MS, Khan MH, Grzegorzek M., Deep Malaria Parasite Detection in Thin Blood Smear Microscopic Images, Applied Sciences, 11, 5, (2021)</t>
  </si>
  <si>
    <t xml:space="preserve">F.A. Muhammad; University Teknologi Malaysia, Malaysia; email: mfatima@graduate.utm.my</t>
  </si>
  <si>
    <t xml:space="preserve">1st International Conference on Electronic and Computer Engineering, ECE 2023</t>
  </si>
  <si>
    <t xml:space="preserve">4 July 2023 through 5 July 2023</t>
  </si>
  <si>
    <t xml:space="preserve">J. Phys. Conf. Ser.</t>
  </si>
  <si>
    <t xml:space="preserve">2-s2.0-85182283954</t>
  </si>
  <si>
    <t xml:space="preserve">Bashi W.Q.; Ince E.A.</t>
  </si>
  <si>
    <t xml:space="preserve">Bashi, Wasem Q. (58634995400); Ince, Erhan A. (8518270200)</t>
  </si>
  <si>
    <t xml:space="preserve">58634995400; 8518270200</t>
  </si>
  <si>
    <t xml:space="preserve">Classification of Red Blood Cells Randomly Selected from Dataset of National Institutes of Health; [Ulusal Sağlık Enstitüleri Veri Kümesinden Rastgele Seçilmiş Kırmızı Kan Hücrelerinin Sınıflandırılması]</t>
  </si>
  <si>
    <t xml:space="preserve">Millions of people worldwide suffer from malaria, a potentially fatal disease. Early and precise diagnosis is essential for the medical condition to be successfully treated and managed. This paper employs three computer aided methods to determine percentages of red blood cells that are either parasitic or uninfected given test set(s) randomly obtained from National Institutes of Health (NIH) dataset. The three methods employed are traditional image processing, Support Vector Machine (SVM), and Convolutional Neural Networks based Deep Learning (CNN-DL). The simulations were performed using a dataset that had 27,558 images of red blood cells. The traditional image processing method achieves an accuracy of 91.97%. SVM classifier using Histogram of Oriented Gradients (HOG) features had accuracy of 88.6% and with features extracted using Local Binary Patterns (LBP) accuracy had improved to 92.5%. The two previous methods were proved to be inferior when compared with the CNN- DL classification that gave an accuracy of 95.7%. © 2023 IEEE.</t>
  </si>
  <si>
    <t xml:space="preserve">31st IEEE Conference on Signal Processing and Communications Applications, SIU 2023</t>
  </si>
  <si>
    <t xml:space="preserve">10.1109/SIU59756.2023.10223735</t>
  </si>
  <si>
    <t xml:space="preserve">https://www.scopus.com/inward/record.uri?eid=2-s2.0-85173522638&amp;doi=10.1109%2fSIU59756.2023.10223735&amp;partnerID=40&amp;md5=437dcfbbf2ca085d582865eb62f97ab2</t>
  </si>
  <si>
    <t xml:space="preserve">Eastern Mediterranean University, Electrical and Electronics Engineering Department, Famagusta, Cyprus</t>
  </si>
  <si>
    <t xml:space="preserve">Bashi W.Q., Eastern Mediterranean University, Electrical and Electronics Engineering Department, Famagusta, Cyprus; Ince E.A., Eastern Mediterranean University, Electrical and Electronics Engineering Department, Famagusta, Cyprus</t>
  </si>
  <si>
    <t xml:space="preserve">Convolutional Neural Networks Based Deep Learning; Histogram of Oriented Gradients; Local Binary Patterns; Support Vector Machine</t>
  </si>
  <si>
    <t xml:space="preserve">Blood; Cells; Convolution; Convolutional neural networks; Deep learning; Diagnosis; Graphic methods; Local binary pattern; Statistical tests; Convolutional neural network; Convolutional neural network based deep learning; Fatal disease; Histogram of oriented gradients; Local binary patterns; National institute of healths; Network-based; Potentially fatal; Red blood cell; Support vectors machine; Support vector machines</t>
  </si>
  <si>
    <t xml:space="preserve">Malaria microscopy quality assurance manual, (2016); Arunava A., Malaria cell images dataset, National Intitutes of Health, National Library of Medicine (NLM); Nguyen T.T., Nguyen T.Q., Le A.D., Support Vector Machines-An Overview, Inter. J. of Advanced Computer Science and Applic., 7, 9, (2016); Burges C.J.C., Tutorial on Support Vector Machines for Pattern Recognition, Data Mining and Knowledge Discovery, 2, 2, (1998); Malhotra A., Sankaran A., Mittal A., Vatsa M., Singh R., Finger Photo Authentication Using Smartphone Camera Captured Under Varying Environmental Conditions, Human Recognition in Unconstrained Environ., pp. 119-144, (2017); Ojala T., Pietikainen M., Maenpaa T., Multiresolution Gray Scale and Rotation Invariant Texture Classification with Local Binary Patterns, IEEE Trans. on Pattern Anal. And Mach. Intell., 24, 7, pp. 971-987, (2002); Dalal N., Triggs B., Histograms of Oriented Gradients for Human Detection, IEEE Comp. Soc. Conf. on Comput. Vis. And Patt. Recognit., 1, pp. 886-893, (2005); Lienhart R., Kuranov A., Pisarevsky A., Empirical Analysis of Detection Cascades of Boosted Classifiers for Rapid Object Detection, Patt. Recognit. Conf., 25th DAGM Symposium, pp. 511-518, (2003); Lowe D.G., Distinctive Image Features from Scale-Invariant Keypoints, Inter. J. of Comput. Vis., 60, pp. 91-110, (2004); Cortes C., Vapnik V., Support-vector networks, Machine Learning, 20, 3, pp. 273-297, (1995); Bay H., Tuytelaars T., Van Gool L., Speeded-Up Robust Features (SURF), Comput. Vis. And Image Understanding (ECCV'06), pp. 404-417, (2006); Felzenszwalb P.F., Girshick R.B., McAllester D., Ramanan D., Object Detection with Discriminatively Trained Part-Based Models, IEEE Trans. on Patt. Anal. And Mach. Intell., 32, 9, pp. 1627-1645, (2010); Krizhevsky A., Sutskever I., Hinton G.E., ImageNet classification with deep convolutional neural networks, Advances in Neural Inf. Process. Syst., 1, pp. 1097-1105, (2012); Poostchi M., Silamut K., Maude R.J., Jaeger S., Thoma G., Image Analysis, and Machine Learning for Detecting Malaria, J. of Labor. And Clinical Medic., 194, pp. 36-55, (2014); Maduri P.K., Shalu S., Agrawal A.R., Chaubey S., Malaria Detection Using Image Processing And Machine Learning, 3rd Inter. Conf. on Advances in Comput., Commun. Control and Networking, pp. 1789-1792, (2021); Cinar A., Yildirim M., Classification of Malaria Cell Images with Deep Learning Architecture, J. of Ingénierie des Systèmes d'Information, 25, pp. 35-39, (2020); Rajaraman S., Antani S.K., Poostchi M., Silamut K., Hossain M.A., Maude R.J., Jeager S., Thoma G.R., Pre-trained convolutional neural networks as feature extractors towards improved malaria parasite detection in thin blood smear images, PeerJ, 6; Jameela T., Athota K., Singh N., Gunjan V.K., Kahali S., Deep Learning and Transfer Learning for Malaria Detection, Computational Intelligence and Neuroscience, 2022; Rajaraman S., Jaeger S., Antani S.K., Performance evaluation of deep neural ensembles towards malaria parasite detection in thin-blood smear images, Peer J, 7</t>
  </si>
  <si>
    <t xml:space="preserve">Istanbul Technical University (ITU); TUBITAK BILGEM; Turkcell</t>
  </si>
  <si>
    <t xml:space="preserve">5 July 2023 through 8 July 2023</t>
  </si>
  <si>
    <t xml:space="preserve">Istanbul</t>
  </si>
  <si>
    <t xml:space="preserve">979-835034355-7</t>
  </si>
  <si>
    <t xml:space="preserve">IEEE Conf. Signal Process. Commun. Appl., SIU</t>
  </si>
  <si>
    <t xml:space="preserve">2-s2.0-85173522638</t>
  </si>
  <si>
    <t xml:space="preserve">Basha H.A.; Ramalingam L.; Hasan M.D.A.; Ananda M.H.; Velmurugan S.; Maniraj S.P.</t>
  </si>
  <si>
    <t xml:space="preserve">Basha, H. Anwer (57209257136); Ramalingam, L. (58882099900); Hasan, Md Ashfaqul (58278927400); Ananda, M.H. (58620026100); Velmurugan, S. (57211152131); Maniraj, S.P. (57204028554)</t>
  </si>
  <si>
    <t xml:space="preserve">57209257136; 58882099900; 58278927400; 58620026100; 57211152131; 57204028554</t>
  </si>
  <si>
    <t xml:space="preserve">Cloud Computing Based POC Diagnostic Device: Rapid Infectious Disease Testing by Data Analytics</t>
  </si>
  <si>
    <t xml:space="preserve">To meet the growing need for affordable, efficient, and accurate diagnostic tools, the system has developed a Raspberry Pi-based Point-of-Care (POC) gadget for speedy and reliable detection of infectious illnesses. This groundbreaking gadget, built on the flexible and powerful Raspberry Pi computer, ushers in a new era of state-of-the-art POC diagnostics by combining molecular and image analysis methods. Complex testing for pathogens like COVID-19 and malaria may be carried out using this state-of-the-art system, which integrates a camera module and custom biosensors. The device's software parses sensor data, improves diagnostic precision using machine learning techniques, and presents a straightforward interface for clinicians and patients alike. This study takes a holistic approach by considering all relevant factors, including adherence to regulations, user education, upkeep, and data management. Our POC diagnostic gadget driven by a Raspberry Pi provides a low-cost, high-throughput method for diagnosing illness, which may have far-reaching implications for the future of healthcare delivery in both under-resourced and well-endowed regions.  © 2023 IEEE.</t>
  </si>
  <si>
    <t xml:space="preserve">10.1109/ICAIIHI57871.2023.10488938</t>
  </si>
  <si>
    <t xml:space="preserve">https://www.scopus.com/inward/record.uri?eid=2-s2.0-85191435259&amp;doi=10.1109%2fICAIIHI57871.2023.10488938&amp;partnerID=40&amp;md5=b9a53acf2c8f3325bd8c6d727ec8cde4</t>
  </si>
  <si>
    <t xml:space="preserve">Saveetha College of Liberal Arts &amp; Sciences, Simats University, Department of Computer Science, Tamil Nadu, Chennai, India; Loyola Institute of Technology, Department of Artificial Intelligence and Data Science, Tamil Nadu, Chennai, India; Malla Reddy Institute of Engineering and Technology, Department of Computer Science and Engineering, Telangana, Hyderabad, India; Reva University, School of Electrical and Electronics Engineering, Karnataka, Bangalore, India; Tjs Engineering College, Department of Electronics and Communication Engineering, Tamil Nadu, Chennai, India; Srm Institute of Science and Technology, Department of Computer Science and Engineering, Tamil Nadu, Chennai, India</t>
  </si>
  <si>
    <t xml:space="preserve">Basha H.A., Saveetha College of Liberal Arts &amp; Sciences, Simats University, Department of Computer Science, Tamil Nadu, Chennai, India; Ramalingam L., Loyola Institute of Technology, Department of Artificial Intelligence and Data Science, Tamil Nadu, Chennai, India; Hasan M.D.A., Malla Reddy Institute of Engineering and Technology, Department of Computer Science and Engineering, Telangana, Hyderabad, India; Ananda M.H., Reva University, School of Electrical and Electronics Engineering, Karnataka, Bangalore, India; Velmurugan S., Tjs Engineering College, Department of Electronics and Communication Engineering, Tamil Nadu, Chennai, India; Maniraj S.P., Srm Institute of Science and Technology, Department of Computer Science and Engineering, Tamil Nadu, Chennai, India</t>
  </si>
  <si>
    <t xml:space="preserve">Healthcare; Infectious Disease; Internet of Things, Cloud Computing; Point-of-Care Diagnostics</t>
  </si>
  <si>
    <t xml:space="preserve">Cloud analytics; Data Analytics; Diagnosis; Diseases; Health care; Information management; Learning systems; Cloud-computing; Data analytics; Diagnostic device; Diagnostics tools; Healthcare; Infectious disease; Internet of thing, cloud computing; Point of care; Point of care diagnostic; Reliable detection; Internet of things</t>
  </si>
  <si>
    <t xml:space="preserve">Rahman M.S., Safa N.T., Sultana S., Salam S., Karamehic-Muratovic A., Overgaard H.J., Role of artificial intelligenceinternet of things (AI-IoT) based emerging technologies in the public health response to infectious diseases in Bangladesh, Parasite Epidemiology and Control, (2022); Vimal S.P., Vadivel M., Baskar V.V., Sivakumar V.G., Srinivasan C., Integrating IoT and Machine Learning for Real-Time Patient Health Monitoring with Sensor Networks, 4th International Conference on Smart Electronics and Communication, pp. 574-578, (2023); Vaiyapuri T., Srinivasan S., Sikkandar M.Y., Balaji T.S., Kadry S., Et al., Intelligent deep learning based multi-retinal disease diagnosis and classification framework, Computers, Materials &amp; Continua, 73, 3, pp. 5543-5557, (2022); Meraj M., Alvi S.A.M., Quasim M.T., Haidar S.W., A critical review of detection and prediction of infectious disease using IoT sensors, Second International Conference on Electronics and Sustainable Communication Systems, pp. 679-684, (2021); Nagesh H.B., Arvind R., Harish L., Chethan L.S., Mohana Kumar S., Maranan R., Intelligent GlucoSense: Innovations in Smart Devices for Personalized Health Monitoring, 7th International Conference on IoT in Social, Mobile, Analytics and Cloud, pp. 992-996, (2023); Raman R., Peter J.B.J., Ganesh E.N., Srinivasan C., Implications of Brewer's Rule in Data Warehouse Design, 7th International Conference on I-SMAC, pp. 349-354, (2023); Shang M., Guo J., Guo J., Point-of-Care Testing of Infectious Diseases: Recent Advances, Sensors &amp; Diagnostics, (2023); Chamundeeswari G., Srinivasan S., Prasanna Bharathi S., Priya P., Rajendra Kannammal G., Rajendran S., Optimal deep convolutional neural network based crop classification model on multispectral remote sensing images, Microprocessors and Microsystems, 94, (2022); Sareen S., Sood S.K., Gupta S.K., IoT-based cloud framework to control Ebola virus outbreak, Journal of Ambient Intelligence and Humanized Computing, pp. 459-476, (2018); Dogra V., Thanoch A., Rai C.P., Kant K., Rumky J.K., Real-Time Health Monitoring and Management: Leveraging the Power of IoT and Machine Learning, 7th International Conference on IoT in Social, Mobile, Analytics and Cloud, pp. 7-11, (2023); Shi X., Shi Z., Zhu Y., Tian H., Zhu Z., Zheng H., Digital Diagnostics and Early Warnings of Infectious Diseases, Available at SSRN 4505899, (2023); Saxena P., Prabhu S., Framework For Predicting Suicidal Attempts Using Healthcare Data and Artificial Intelligence, 2023 International Conference on Innovative Data Communication Technologies and Application, pp. 1085-1089, (2023); Jain S., Nehra M., Kumar R., Dilbaghi N., Hu T., Kumar S., Et al., Internet of medical things (IoMT)-integrated biosensors for point-ofcare testing of infectious diseases, Biosensors and Bioelectronics, (2021); Hayati N., Ramli K., Suryanegara M., Salman M., An Internet of Things (IoT) reference model for an infectious disease active digital surveillance system, International Journal of Advanced Computer Science and Applications, 12, 9, (2021); Hossain M.A., Network Diagnostics for Rapid Testing, Mapping and Bioinformatics Analysis of SARS-CoV-2 and Other Human Respiratory Viruses in Pandemic Settings, (2021)</t>
  </si>
  <si>
    <t xml:space="preserve">2-s2.0-85191435259</t>
  </si>
  <si>
    <t xml:space="preserve">Ouédraogo J.; Guinko F.T.</t>
  </si>
  <si>
    <t xml:space="preserve">Ouédraogo, Josué (57995913100); Guinko, Ferdinand T. (57191847455)</t>
  </si>
  <si>
    <t xml:space="preserve">57995913100; 57191847455</t>
  </si>
  <si>
    <t xml:space="preserve">Comparison of Algorithms for the Detection of Plasmodium Falciparum: A Review of Machine Learning Based Approaches</t>
  </si>
  <si>
    <t xml:space="preserve">Malaria is a disease caused by the bite of female Anopheles mosquitoes, and is most often manifested by symptoms such as fever, chills, fatigue and vomiting. Diagnosis of malaria is still based on manual identification of Plasmodium by microscopic examination of blood cells or by Rapid Diagnostic Tests. These methods have shown their limitations, namely the need for an expert and the delay of time it takes to obtain results. This article is a review of computer-aided diagnostic systems, specifically approaches to Plasmodium detection from blood smear images. We present and compare some blood smear datasets, as well as segmentation and classification algorithms. This comparison allowed us to choose the Delgado Dataset B and Abbas et al. Dataset as dataset and YOLOv5, an object detection algorithm for our work. © 2023, The Author(s), under exclusive license to Springer Nature Switzerland AG.</t>
  </si>
  <si>
    <t xml:space="preserve">583 LNNS</t>
  </si>
  <si>
    <t xml:space="preserve">10.1007/978-3-031-20859-1_27</t>
  </si>
  <si>
    <t xml:space="preserve">https://www.scopus.com/inward/record.uri?eid=2-s2.0-85144917616&amp;doi=10.1007%2f978-3-031-20859-1_27&amp;partnerID=40&amp;md5=089e4483af5826500795ecd2cd912851</t>
  </si>
  <si>
    <t xml:space="preserve">Department of Computer Science, UFR-SEA, Université Joseph Ki-Zerbo, Ouagadougou, Burkina Faso; Department of Computer Science, IBAM, Université of Joseph Ki-Zerbo, Ouagadougou, Burkina Faso</t>
  </si>
  <si>
    <t xml:space="preserve">Ouédraogo J., Department of Computer Science, UFR-SEA, Université Joseph Ki-Zerbo, Ouagadougou, Burkina Faso; Guinko F.T., Department of Computer Science, IBAM, Université of Joseph Ki-Zerbo, Ouagadougou, Burkina Faso</t>
  </si>
  <si>
    <t xml:space="preserve">Deep learning; Image classification; Image segmentation; Malaria disease detection; Object detection algorithms; Thin blood smear</t>
  </si>
  <si>
    <t xml:space="preserve">World malaria report 2021, World Health Organization, (2021); Proc. Int. Symp. Power Semicond. Devices Ics, (2020); Sathpathi S., Et al., Comparing Leishman and Giemsa Staining for the Assessment of Peripheral Blood Smear Preparations in a Malaria-Endemic Region in India; Brownlee J., A Gentle Introduction to Object Recognition with Deep Learning; Wernsdorfer, W.H.: A Review of Malaria Diagnostic Tools: Microscopy and Rapid Diagnostic Test RDT, (2007); Tangpukdee N., Duangdee C., Wilairatana P., Krudsood S., Malaria diagnosis: A brief review, Date, (2009); Molecular and Immunological Diagnostic Techniques of Medical Viruses; Proc. Int. Symp. Power Semicond. Devices Ics, (2020); Proc. Int. Symp. Power Semicond. Devices Ics, (2020); LHNCBC Full Download List; Proc. Int. Symp. Power Semicond. Devices Ics, (2020); The Mamic Image Database; Proc. Int. Symp. Power Semicond. Devices Ics, (2020); Arshad Q.A., Ali M., Hassan S., Chen C., Imran A., Rasul G., Sultani W., A Dataset and Benchmark for Malaria Life-Cycle Classification in Thin Blood Smear Images, (2021); Quinn J.A., Andama A., Munabi I., Kiwanuka F.N., Automated Blood Smear Analysis for Mobile Malaria Diagnosis, (2014); Malaria Infected Erythrocyte Classification Based on a Hybrid Classifier Using Microscopic Images of Thin Blood Smear, 77, pp. 631-660; Yang F., Quizon N., Yu H., Silamut K., Maude R.J., Jaeger S., Antani S., Cascading YOLO: Automated Malaria Parasite Detection for Plasmodium Vivax in Thin Blood Smears, 18, (2020); Delgado M., Molina A., Alferez S., Rodellar J., Merino A., Dataset B: 331 Digital Images of Mgg-Stained Blood Smears from Five Malaria-Infected Patients, 1; Abbas S.S., Dijkstra T., Malaria-Detection-2019; Jena M., Mishra S., Mishra D., A Survey on Applications of Machine Learning Techniques for, Medical Image Segmentation, 7, pp. 4489-4495; Krishnan A., Sreekumar K., A Survey on Image Segmentation and Feature Extraction Methods for Acute Myelogenous Leukemia Detection in Blood Microscopic Images, (2014); Proc. Int. Symp. Power Semicond. Devices Ics, (2020); Proc. Int. Symp. Power Semicond. Devices Ics, (2020); Salamah U., Sarno R., Arifin A.Z., Nugroho A.S., Rozi I.E., Asih P.B.S., A Robust Segmentation for Malaria Parasite Detection of Thick Blood Smear Microscopic Image, (2019); Soofi A.A., Awan A., Classification Techniques in Machine Learning: Applications and Issues, (2017); Umer M., Sadiq S., Ahmad M., Ullah S., Choi G.S., Mehmood A., A Novel Stacked CNN for Malarial Parasite Detection in Thin Blood Smear Images, (2020); Abdurahman F., Fante K.A., Aliy M., Malaria Parasite Detection in Thick Blood Smear Microscopic Images Using Modified YOLOV3 and YOLOV4 Models, (2021); Zhao O.S., Kolluri N., Anand A., Chu N., Bhavaraju R., Ojha A., Tiku S., Nguyen D., Chen R., Morales A., Valliappan D., Patel J.P., Nguyen K., Convolutional Neural Networks to Automate the Screening of Malaria in Low-Resource Countries, 8; Proc. Int. Symp. Power Semicond. Devices Ics, (2020); Kim J., Sung J.-Y., Park S., Comparison of Faster-RCNN, YOLO, and SSD for Real-Time Vehicle Type Recognition, 2020 IEEE International Conference on Consumer Electronics-Asia (Icce-Asia), pp. 1-4, (2020)</t>
  </si>
  <si>
    <t xml:space="preserve">J. Ouédraogo; Department of Computer Science, UFR-SEA, Université Joseph Ki-Zerbo, Ouagadougou, Burkina Faso; email: jos.weder@gmail.com</t>
  </si>
  <si>
    <t xml:space="preserve">Omatu S.; Mehmood R.; Sitek P.; Cicerone S.; Rodríguez S.</t>
  </si>
  <si>
    <t xml:space="preserve">19th International Symposium on Distributed Computing and Artificial Intelligence, DCAI 2022</t>
  </si>
  <si>
    <t xml:space="preserve">13 July 2022 through 15 July 2022</t>
  </si>
  <si>
    <t xml:space="preserve">L´Aquila</t>
  </si>
  <si>
    <t xml:space="preserve">978-303120858-4</t>
  </si>
  <si>
    <t xml:space="preserve">2-s2.0-85144917616</t>
  </si>
  <si>
    <t xml:space="preserve">Jaganathan S.C.B.; Jaisingh W.; Dhanushraj M.; Pari S.; Sah R.; Dhananchezhiyan S.</t>
  </si>
  <si>
    <t xml:space="preserve">Jaganathan, Subash Chandra Bose (58143425700); Jaisingh, W. (55790917300); Dhanushraj, M. (59143327400); Pari, S. (59143652000); Sah, Ritika (58027856500); Dhananchezhiyan, S. (59144144500)</t>
  </si>
  <si>
    <t xml:space="preserve">58143425700; 55790917300; 59143327400; 59143652000; 58027856500; 59144144500</t>
  </si>
  <si>
    <t xml:space="preserve">Convolutional Neural Network Detection and Classification of Blood Cell Images from Thin Blood Smear for the Presence of Malarial Parasite</t>
  </si>
  <si>
    <t xml:space="preserve">This might be a restorative crisis and should be thoroughly investigated. Finally, in many nations, delays are important causes of death. In India, intestinal illness is the leading cause of mortality, disability, and financial hardship, particularly among the poor, who lack access to convenient and persuasive treatment. Additionally, the lethal form of jungle fever that accounts for nearly all malaria-related deaths - Plasmodium falciparum (Plasmodium falciparum is a unicellular protozoan parasite of humans, and the deadliest species of Plasmodium that causes malaria in humans) - has been rising quickly in India since the 1980s. Early and precise diagnosis is critical to achieving the goal of a malaria-free India, but clinicians may overlook intestinal illness as a potential cause for a few patients and fail to arrange the basic diagnostic tests. Specialists may be new to, or require assistance in, parasite identification while looking at blood smears under a microscope, which is critical for presenting effective symptomatic treatments. Intestinal sickness is a potentially fatal disease caused by parasites that are transferred to humans. Our suggested model is a training CNN model built from scratch with two convolution layers, a max-pooling layer after each Conv2D RELU layer, flattening and dense layers, and a classification accuracy of roughly 96.3%. CNN models take the images as an input, the image is passed on different layers of the CNN model which is discussed in further sections. This makes Convolutional Neural Network an optimal approach for diagnosing Malaria using patient blood cell images. This research focuses on designing an accurate malaria diagnosis model that can be implemented without any dependencies on skilled technicians and testing the model accuracy to get high-quality results. Automated image analysis software could remove the most serious limitation of the worldwide accepted microscopy method in general, dependency on human experts for diagnostic accuracy of the results. Automating the detection process means using the knowledge, the practice of conventional methods, and implementing it to get fast and efficient results.  © 2023 IEEE.</t>
  </si>
  <si>
    <t xml:space="preserve">2023 International Conference on New Frontiers in Communication, Automation, Management and Security, ICCAMS 2023</t>
  </si>
  <si>
    <t xml:space="preserve">10.1109/ICCAMS60113.2023.10525750</t>
  </si>
  <si>
    <t xml:space="preserve">https://www.scopus.com/inward/record.uri?eid=2-s2.0-85194173072&amp;doi=10.1109%2fICCAMS60113.2023.10525750&amp;partnerID=40&amp;md5=713207c37813dc5aaa49a74e6ed81d2e</t>
  </si>
  <si>
    <t xml:space="preserve">Vit Bhopal University, School of Computing Science and Engineering, Bhopal, India; Presidency University, School of Information Science, Karnataka, Bangalore, 560064, India</t>
  </si>
  <si>
    <t xml:space="preserve">Jaganathan S.C.B., Vit Bhopal University, School of Computing Science and Engineering, Bhopal, India; Jaisingh W., Presidency University, School of Information Science, Karnataka, Bangalore, 560064, India; Dhanushraj M., Vit Bhopal University, School of Computing Science and Engineering, Bhopal, India; Pari S., Vit Bhopal University, School of Computing Science and Engineering, Bhopal, India; Sah R., Vit Bhopal University, School of Computing Science and Engineering, Bhopal, India; Dhananchezhiyan S., Vit Bhopal University, School of Computing Science and Engineering, Bhopal, India</t>
  </si>
  <si>
    <t xml:space="preserve">Classification accuracy; CNN; Health Informatics; Machine Learning; Malarial Parasite</t>
  </si>
  <si>
    <t xml:space="preserve">Blood; Cells; Convolutional neural networks; Diagnosis; Diseases; Image classification; Machine learning; Medical informatics; Blood cell images; Blood smears; Classification accuracy; CNN models; Convolutional neural network; Health informatics; Machine-learning; Malarial parasites; Parasite-; Plasmodium falciparum; Convolution</t>
  </si>
  <si>
    <t xml:space="preserve">Sayali, Et al., Automated Enumeration of Malaria Parasite Using SVM Classifier, International Journal for Research Trends and Innovation, 3, 10, pp. 159-165; Abubakar, Et al., DeepFMD: Computational Analysis for Malaria Detection in Blood-Smear Images Using Deep-Learning Features, Appl. Syst. Innov, 4, (2021); Masud, Et al., Leveraging Deep Learning Techniques for Malaria Parasite Detection Using Mobile Application, Wireless Communications and Mobile Computing, pp. 1-15, (2020); Rajaraman S., Et al., Pre-trained convolutional neural networks as feature extractors toward improved malaria parasite detection in thin blood smear images, PeerJ, 6, (2018); Abubakar A., DeepFMD: Computational Analysis for Malaria Detection in Blood-Smear Images Using Deep-Learning Features, MDPI, (2022); Fuhad K., Et al., Deep Learning Based Automatic Malaria Parasite Detection from Blood Smear and Its Smartphone Based Application, Diagnostics, 10, 5, (2020); Das D.K., Ghosh M., Pal M., Maiti A.K., Chakraborty C., Machine learning approach for automated screening of malaria parasite using light microscopic images, Micron, 45, pp. 97-106, (2013); Vijayalakshmi A., Rajesh Kanna B Deep learning approach to detect malaria from microscopic images, Multimed Tools Appl, 79, pp. 15297-15317, (2020); Anggraini D., Et al., Automated status identification of microscopic images obtained from malaria thin blood smears using bayes decision: A study case in plasmodium falciparum, 2011 International Conference on Advanced Computer Science and Information Systems, pp. 347-352, (2011); Mandal S., Kumar A., Chatterjee J., Manjunatha M., Ray A.K., Segmentation of blood smear images using normalized cuts for detection of malarial parasites, 2010 Annual IEEE India Conference (INDICON, pp. 1-4, (2010); Pattanaik, Et al., Malaria detection using deep residual networks with mobile microscopy, Journal of King Saud University - Computer and Information Sciences, 34, 5, pp. 1700-1705, (2022); Delgado-Ortet M., Molina A., Alferez S., Rodellar J., Merino A., A Deep Learning Approach for Segmentation of Red Blood Cell Images and Malaria Detection, Entropy, 22, 6, (2020); Badrinarayanan V., Et al., SegNet: A Deep Convolutional Encoder- Decoder Architecture for Image Segmentation," in, IEEE Transactions on Pattern Analysis and Machine Intelligence, 39, 12, pp. 2481-2495, (2017); Prasad K., Winter J., Bhat U.M., Et al., Image Analysis Approach for Development of a for Detection of Malaria Parasites in Thin Blood Smear Images, J Digit Imaging, 25, pp. 542-549, (2012); Dong Y., Et al., Evaluations of deep convolutional neural networks for automatic identification of malaria infected cells, 2017 IEEE EMBS International Conference on Biomedical &amp; Health Informatics (BHI, pp. 101-104, (2017); Subash Chandra Bose J., Shankar Kumar K.R., Detection of Micro classification in Mammograms using Soft Computing Techniques, European Journal of Scientific Research, 86, 1, pp. 103-122, (2012); Bose S.C., Veerasamy M., Mubarakali A., Marina N., Hadzieva E., Analysis of Feature Extraction Algorithm Using Two Dimensional Discrete Wavelet Transforms in Mammograms to Detect Microcalcifications, Computational Vision and Bio-Inspired Computing, pp. 26-39, (2020); Jaganathan S.C.B., Detection of Breast Cancer Using AI &amp; ML Based IoT Smart Device: A Secure Blockchain Storage Approach, (2021)</t>
  </si>
  <si>
    <t xml:space="preserve">27 October 2023 through 28 October 2023</t>
  </si>
  <si>
    <t xml:space="preserve">979-835031706-0</t>
  </si>
  <si>
    <t xml:space="preserve">Int. Conf. New Front. Commun., Autom., Manag. Secur., ICCAMS</t>
  </si>
  <si>
    <t xml:space="preserve">2-s2.0-85194173072</t>
  </si>
  <si>
    <t xml:space="preserve">Kamepalli S.; Anusha C.</t>
  </si>
  <si>
    <t xml:space="preserve">Kamepalli, Sujatha (56460159000); Anusha, Chennam (58656454500)</t>
  </si>
  <si>
    <t xml:space="preserve">56460159000; 58656454500</t>
  </si>
  <si>
    <t xml:space="preserve">Custom-Built Deep Learning Architecture for Identifying Malaria Parasites in Blood Smear Images</t>
  </si>
  <si>
    <t xml:space="preserve">The Plasmodium parasite, a form of protozoan parasite, invades red blood cells in the human body and is responsible for causing malaria. Malaria is a potentially lethal disease. Malaria diagnosis must be accurate and rapid in order to treat and control the disease efficiently. It is a major public health problem, specifically in tropical areas, and fast and explicit diagnosis is critical for effective treatment. However, due to low contrast, overlapping cells, and other artefacts, visual evaluation of blood smears can be difficult. A Convolutional Neural Networks (CNN) system for accurately detecting parasites associated with malaria in blood smear pictures is proposed in this research. Thousands of photos of diseased and unaffected blood cells made up the data set used in this investigation. Multiple pools and convolutional layers are included in the proposed CNN model, which follows fully linked layers for classification. The model's effectiveness was assessed comprehensively by employing well-established metrics, including The metrics used to evaluate the performance include accuracy and loss etc. This evaluation facilitated a thorough and comprehensive analysis. The findings revealed that the CNN model exhibited exceptional capability in accurately identifying and categorizing malaria cells, achieving an impressive accuracy rate of 0.93. These results clearly highlight the significant promise of this approach for diagnosing and managing malaria.  © 2023 IEEE.</t>
  </si>
  <si>
    <t xml:space="preserve">Proceedings - 2023 IEEE World Conference on Applied Intelligence and Computing, AIC 2023</t>
  </si>
  <si>
    <t xml:space="preserve">10.1109/AIC57670.2023.10263950</t>
  </si>
  <si>
    <t xml:space="preserve">https://www.scopus.com/inward/record.uri?eid=2-s2.0-85174541317&amp;doi=10.1109%2fAIC57670.2023.10263950&amp;partnerID=40&amp;md5=870f5e4acc1e7772bc26b4ad1aa41274</t>
  </si>
  <si>
    <t xml:space="preserve">Vfstr University, Dept. of It and Ca, Guntur, India</t>
  </si>
  <si>
    <t xml:space="preserve">Kamepalli S., Vfstr University, Dept. of It and Ca, Guntur, India; Anusha C., Vfstr University, Dept. of It and Ca, Guntur, India</t>
  </si>
  <si>
    <t xml:space="preserve">Blood Smear Images; Convolutional Neural Networks; Deep Learning; Malaria Parasites</t>
  </si>
  <si>
    <t xml:space="preserve">Blood; Cells; Convolution; Convolutional neural networks; Cytology; Deep learning; Diagnosis; Disease control; Neural network models; Petroleum reservoir evaluation; Tropics; Blood smear image; Blood smears; Convolutional neural network; Deep learning; Learning architectures; Malaria parasite; Neural network model; Plasmodium parasites; Protozoan parasites; Red blood cell; Diseases</t>
  </si>
  <si>
    <t xml:space="preserve">Sujatha K., Srinivasa Rao B., Recent Applications of Machine Learning : A Survey, Int. J. Innov. Technol. Explor. Eng, 8, 6, pp. 263-267, (2019); Dhruva A. D., Kamepalli S., Kunisetti S., An efficient mechanism using IoT and wireless communication for smart farming, Mater. Today Proc, pp. 1-6, (2021); Sujatha K., Venkata Krishna Kishore K., Srinivasa Rao B., Animal Breed Classification and Prediction Using Convolutional Neural Network Primates as a Case Study, Fourth International Conference on Electrical, Computer and Communication Technologies (ICECCT), pp. 1-7, (2021); Islam C. S., Mollah M. S. H., A novel idea of malaria identification using Convolutional Neural Networks (CNN), 2018 IEEE EMBS Conference on Biomedical Engineering and Sciences, IECBES 2018-Proceedings, pp. 7-12, (2019); Raj M., Sharma R., Sain D., A deep convolutional neural network for detection of malaria parasite in thin blood smear images, Proceedings-2021 IEEE 10th International Conference on Communication Systems and Network Technologies, CSNT 2021, 2021, pp. 510-514; Hung J., Carpenter A., Applying Faster R-CNN for Object Detection on Malaria Images, IEEE Computer Society Conference on Computer Vision and Pattern Recognition Workshops, 2017, pp. 808-813, (2017); Dong Y., Jiang Z., Shen H., Pan W. D., Classification accuracies of malaria infected cells using deep convolutional neural networks based on decompressed images, Conference Proceedings-IEEE SOUTHEASTCON, pp. 1-6, (2017); Mitrovic K., Milosevic D., Classification of Malaria-Infected Cells using Convolutional Neural Networks, SACI 2021-IEEE 15th International Symposium on Applied Computational Intelligence and Informatics, Proceedings, pp. 323-328, (2021); Ragb H. K., Dover I. T., Ali R., Deep convolutional neural network ensemble for improved malaria parasite detection, Proceedings-Applied Imagery Pattern Recognition Workshop, pp. 1-10, (2020); Liang Z., Et al., CNN-based image analysis for malaria diagnosis, Proceedings-2016 IEEE International Conference on Bioinformatics and Biomedicine, BIBM 2016, pp. 493-496, (2017); Yang F., Et al., Deep Learning for Smartphone-Based Malaria Parasite Detection in Thick Blood Smears, IEEE J. Biomed. Heal. Informatics, 24, 5, pp. 1427-1438, (2020); Khadim E. U., Shah S. A., Wagan R. A., Evaluation of Activation Functions in CNN Model for Detection of Malaria Parasite using Blood Smear Images, 2021 International Conference on Innovative Computing (ICIC), pp. 1-6, (2022); Sujatha K., Srinivasa Rao B., Venkata Krishna Kishore K., Multi-Class Classification and Prediction of Heart Sounds Using Stacked LSTM to Detect Heart Sound Abnormalities, 3rd International Conference for Emerging Technology, INCET 2022, 2022, pp. 1-6; Dong Y., Et al., Evaluations of deep convolutional neural networks for automatic identification of malaria infected cells, 2017 IEEE EMBS International Conference on Biomedical and Health Informatics, BHI 2017, pp. 101-104, (2017); Sujatha K., Kishore K. V. K., Rao B. S., Performance of Machine Learning Algorithms in Red Wine Quality Classification based on Chemical Compositions, Indian J. Ecol, 47, pp. 176-180, (2020); Saglam S., Tat F., Bayar S., FPGA Implementation of CNN Algorithm for Detecting Malaria Diseased Blood Cells, 2019 International Symposium on Advanced Electrical and Communication Technologies, ISAECT 2019, 2019, pp. 6-10; Shekar G., Revathy S., Goud E. K., Malaria Detection using Deep Learning, Proceedings of the 4th International Conference on Trends in Electronics and Informatics, ICOEI 2020, 2020, pp. 746-750; Bin Abdul Qayyum A., Islam T., Haque M. A., Malaria Diagnosis with Dilated Convolutional Neural Network Based Image Analysis, BECITHCON 2019-2019 IEEE International Conference on Biomedical Engineering, Computer and Information Technology for Health, pp. 68-72, (2019); Paul A., Bania R. K., Malaria Parasite Classification using Deep Convolutional Neural Network, 2021 International Conference on Computational Intelligence and Computing Applications (ICCICA), pp. 1-6, (2022); Sujatha K., Gayatri K., Yadav M. S., Sekhara Rao N. C., Rao B. S., Customized Deep CNN for Foliar Disease Prediction Based on Features Extracted from Apple Tree Leaves Images, IEEE International Interdisciplinary Humanitarian Conference for Sustainability (IIHC-2022), November 18th &amp; 19th 2022, 2023, pp. 193-197</t>
  </si>
  <si>
    <t xml:space="preserve">C. Anusha; Vfstr University, Dept. of It and Ca, Guntur, India; email: anuanusha3348@gmail.com</t>
  </si>
  <si>
    <t xml:space="preserve">Tomar G.S.; Bansal J.</t>
  </si>
  <si>
    <t xml:space="preserve">IEEE Madhya Pradesh Section</t>
  </si>
  <si>
    <t xml:space="preserve">2023 IEEE World Conference on Applied Intelligence and Computing, AIC 2023</t>
  </si>
  <si>
    <t xml:space="preserve">29 July 2023 through 30 July 2023</t>
  </si>
  <si>
    <t xml:space="preserve">Hybrid, Sonbhadra</t>
  </si>
  <si>
    <t xml:space="preserve">979-835031006-1</t>
  </si>
  <si>
    <t xml:space="preserve">Proc. - IEEE World Conf. Appl. Intell. Comput., AIC</t>
  </si>
  <si>
    <t xml:space="preserve">2-s2.0-85174541317</t>
  </si>
  <si>
    <t xml:space="preserve">Simani S.; Farsoni S.; Castaldi P.</t>
  </si>
  <si>
    <t xml:space="preserve">Simani, Silvio (6603797217); Farsoni, Saverio (56102599900); Castaldi, Paolo (57870952700)</t>
  </si>
  <si>
    <t xml:space="preserve">6603797217; 56102599900; 57870952700</t>
  </si>
  <si>
    <t xml:space="preserve">Data–Driven Design of an Active Wake Steering Control for a Wind Farm Benchmark</t>
  </si>
  <si>
    <t xml:space="preserve">Wake steering yaws upstream wind turbines to deflect their wakes from downstream turbines, thus increasing the generated power. However, most wake steering methods rely on lookup tables obtained offline, which map a set of conditions, such as wind speed and direction, to yaw angles for each turbine in a farm. These tables assume all turbines are operational and can be significantly non–optimal when one or more turbines do not provide the rated power, because of low wind speed, faults, routine maintenance, or emergency maintenance. This work presents an intelligent wake steering method that adapts to turbine actual working conditions when determining yaw angles. Using a hybrid model–and a learning–based method, i.e. an active control, a neural network is trained online to determine yaw angles from operating conditions including turbine status. Unlike purely model–based approaches which use lookup tables provided by the wind turbine manufacturer or generated offline, the proposed control solution does not need to solve e.g. optimisation problems for each combination of the turbine non-optimal working conditions in a farm; the integration of learning strategy in the control design allows to obtain an active control scheme. © 2023, The Author(s), under exclusive license to Springer Nature Switzerland AG.</t>
  </si>
  <si>
    <t xml:space="preserve">none</t>
  </si>
  <si>
    <t xml:space="preserve">739 LNNS</t>
  </si>
  <si>
    <t xml:space="preserve">10.1007/978-3-031-37963-5_5</t>
  </si>
  <si>
    <t xml:space="preserve">https://www.scopus.com/inward/record.uri?eid=2-s2.0-85172214299&amp;doi=10.1007%2f978-3-031-37963-5_5&amp;partnerID=40&amp;md5=4136ed43993749b1ef13b807df180e96</t>
  </si>
  <si>
    <t xml:space="preserve">Department of Engineering, University of Ferrara, Ferrara, Italy; Department of Electrical, Electronic, and Information Engineering, University of Bologna, Bologna, Italy</t>
  </si>
  <si>
    <t xml:space="preserve">Simani S., Department of Engineering, University of Ferrara, Ferrara, Italy; Farsoni S., Department of Engineering, University of Ferrara, Ferrara, Italy; Castaldi P., Department of Electrical, Electronic, and Information Engineering, University of Bologna, Bologna, Italy</t>
  </si>
  <si>
    <t xml:space="preserve">Data–Driven Approach; Fault Diagnosis; Model–Based Scheme; Neural Network; Wind Farm Simulator</t>
  </si>
  <si>
    <t xml:space="preserve">Electric utilities; Learning systems; Table lookup; Wakes; Wind power; Wind turbines; Condition; Data-driven approach; Faults diagnosis; Model-based OPC; Model–based scheme; Neural-networks; Power; Wind farm; Wind farm simulator; Yaw angles; Wind</t>
  </si>
  <si>
    <t xml:space="preserve">Andersson L.E., Anaya-Lara O., Tande J.O., Merz K.O., Imsland L., Wind farm control-Part I: A review on control system concepts and structures, IET Renew. Power Gener., 15, 10, pp. 2085-2108, (2021); Arroyo J., Manna C., Spiessens F., Helsen L., Reinforced model predictive control (RL-MPC) for building energy management, Appl. Energy, 309, 1, pp. 1-16, (2022); Bastankhah M., Porte-Agel F., Experimental and theoretical study of wind turbine wakes in yawed conditions, J. Fluid Mech., 806, 1, pp. 506-541, (2016); Drgona J., Kis K., Tuor A., Vrabie D., Klauco M., Differentiable predictive control: Deep learning alternative to explicit model predictive control for unknown nonlinear systems, J. Process Control, 116, 1, pp. 80-92, (2022); Dueben P.D., Schultz M.G., Chantry M., Gagne D.J., Hall D.M., McGovern A., Challenges and benchmark datasets for machine learning in the atmospheric sciences: Definition, status, and outlook, Artif. Intell. Earth Syst., 1, 3, pp. 1-11, (2022); Howland M.F., Et al., Collective wind farm operation based on a predictive model increases utility-scale energy production, Nat. Energy, 7, 1, pp. 818-827, (2022); King J., Et al., Control-oriented model for secondary effects of wake steering, Wind Energy Sci, 6, 3, pp. 701-714, (2021); Odgaard P.F., Stoustrup J., Fault tolerant wind farm control – a benchmark model, Proceedings of the IEEE Multiconference on Systems and Control – MSC 2013, Hyderabad, India, Pp. 1–6, (2013); Shapiro C., Gayme D.F., Meneveau C., Modelling yawed wind turbine wakes: A lifting line approach, J. Fluid Mech., 841, 1, pp. 1-12, (2018)</t>
  </si>
  <si>
    <t xml:space="preserve">S. Simani; Department of Engineering, University of Ferrara, Ferrara, Italy; email: silvio.simani@unife.it</t>
  </si>
  <si>
    <t xml:space="preserve">Proceedings of the Computing Conference 2023</t>
  </si>
  <si>
    <t xml:space="preserve">22 June 2023 through 23 June 2023</t>
  </si>
  <si>
    <t xml:space="preserve">978-303137962-8</t>
  </si>
  <si>
    <t xml:space="preserve">2-s2.0-85172214299</t>
  </si>
  <si>
    <t xml:space="preserve">Mayrose H.; Sampathila N.; Muralidhar Bairy G.; Nayak T.; Belurkar S.; Saravu K.</t>
  </si>
  <si>
    <t xml:space="preserve">Mayrose, Hilda (57356755200); Sampathila, Niranjana (56584740000); Muralidhar Bairy, G. (55613568700); Nayak, Tushar (58307214400); Belurkar, Sushma (55681709200); Saravu, Kavitha (16834027500)</t>
  </si>
  <si>
    <t xml:space="preserve">57356755200; 56584740000; 55613568700; 58307214400; 55681709200; 16834027500</t>
  </si>
  <si>
    <t xml:space="preserve">Deep learning approach for detection of Dengue fever from the microscopic images of blood smear</t>
  </si>
  <si>
    <t xml:space="preserve">Dengue virus (DENV), known to cause dengue fever is a global public health concern. A safe and effective anti-viral drug or vaccine that can protect humans from dengue fever currently does not exist. Today, severe dengue has become a leading cause of serious illness in most Asian and Latin American countries. This digital pathology-related research focuses on the automatic detection of dengue by utilizing digital microscopic peripheral blood smears (PBS). This paper explored pre-trained convolution neural network (CNN) architectures for automatic dengue fever detection. Transfer learning (TL) was performed on two widely used pre-trained CNNs - SqueezeNet and GoogleNet, and employed to differentiate the dengue-infected and normal blood smears. The last few layers were replaced and retrained to customize the architectures for this task. Leishman's stained dengue-infected and normal control 100x magnified PBS images were included in the study. The best performance was rendered by GoogleNet (Learn Rate, 0.0001; Batch Size, 8) with an Accuracy 91.30%, Sensitivity 84.62%, Specificity 100%, Precision 100%, and F1 score 91.67%. Promising results show that this approach can be an essential adjunct to other clinical methods, namely CBC test &amp; NS1 antigen capture, and can significantly support dengue diagnosis in low-resource setups.  © Published under licence by IOP Publishing Ltd.</t>
  </si>
  <si>
    <t xml:space="preserve">10.1088/1742-6596/2571/1/012005</t>
  </si>
  <si>
    <t xml:space="preserve">https://www.scopus.com/inward/record.uri?eid=2-s2.0-85176272204&amp;doi=10.1088%2f1742-6596%2f2571%2f1%2f012005&amp;partnerID=40&amp;md5=44c0fc7fa6c7d4a2ccbddf41afcf277d</t>
  </si>
  <si>
    <t xml:space="preserve">Department of Biomedical Engineering, Manipal Institute of Technology, Manipal Academy of Higher Education, Manipal, India; Department of Pathology, Kasturba Medical College, Manipal Academy of Higher Education, Manipal, India; Department of Infectious Diseases, Kasturba Medical College, Manipal Academy of Higher Education, Manipal, India</t>
  </si>
  <si>
    <t xml:space="preserve">Mayrose H., Department of Biomedical Engineering, Manipal Institute of Technology, Manipal Academy of Higher Education, Manipal, India; Sampathila N., Department of Biomedical Engineering, Manipal Institute of Technology, Manipal Academy of Higher Education, Manipal, India; Muralidhar Bairy G., Department of Biomedical Engineering, Manipal Institute of Technology, Manipal Academy of Higher Education, Manipal, India; Nayak T., Department of Biomedical Engineering, Manipal Institute of Technology, Manipal Academy of Higher Education, Manipal, India; Belurkar S., Department of Pathology, Kasturba Medical College, Manipal Academy of Higher Education, Manipal, India; Saravu K., Department of Infectious Diseases, Kasturba Medical College, Manipal Academy of Higher Education, Manipal, India</t>
  </si>
  <si>
    <t xml:space="preserve">Blood; Diagnosis; Network architecture; Viruses; Anti-viral drugs; Anti-viral vaccine; Blood smears; Dengue fevers; Dengue virus; Global public health; Health concerns; Learning approach; Microscopic image; Peripheral blood smears; Deep learning</t>
  </si>
  <si>
    <t xml:space="preserve">Wellekens K, Et al., Dengue: current state one year before WHO 2010-2020 goals, Acta Clinica Belgica, 77, 2, pp. 436-444, (2022); Sood S K., Et al., An intelligent healthcare system for predicting and preventing dengue virus infection, Computing, 1, (2021); Park J, Et al., Current status and perspectives on vaccine development against dengue virus infection, Journal of Microbiology, 60, 3, pp. 247-254, (2022); Rosenthal D S, Evaluation of the peripheral blood smear UpToDate, (2023); Kora P, Et al., Transfer learning techniques for medical image analysis: A review, Biocybernetics and Biomedical Engineering, 42, 1, pp. 79-107, (2022); Salvi M, Et al., The impact of pre-and post-image processing techniques on deep learning frameworks: A comprehensive review for digital pathology image analysis, Computers in Biology and Medicine, 128, (2021); Hosny K M., Et al., Classification of skin lesions into seven classes using transfer learning with AlexNet, Journal of digital imaging, 33, pp. 1325-1334, (2020); Pham T D., A comprehensive study on classification of COVID-19 on computed tomography with pretrained convolutional neural networks, Scientific reports, 10, 1 1, (2020); Beevi K S., Et al., Automatic mitosis detection in breast histopathology images using convolutional neural network based deep transfer learning, Biocybernetics and Biomedical Engineering, 39, 1, pp. 214-223, (2019); Talo M, Et al., Application of deep transfer learning for automated brain abnormality classification using MR images, Cognitive Systems Research, 54, pp. 176-188, (2019); Ardakani A A., Et al., Application of deep learning technique to manage COVID-19 in routine clinical practice using CT images: Results of 10 convolutional neural networks, Computers in biology and medicine, 121, (2020); Anilkumar K K., Et al., Automated detection of leukemia by pretrained deep neural networks and transfer learning: a comparison, Medical Engineering &amp; Physics, 98, 8, (2021); Acherar A, Et al., Real-life evaluation of deep learning models trained on two datasets for Plasmodium falciparum detection with thin blood smear images at 500x magnification, Informatics in Medicine Unlocked, 35, (2022); Kaur T, Et al., Deep convolutional neural networks with transfer learning for automated brain image classification, Machine Vision and Applications, 31, 3, (2020); Liu R, Et al., AIMIC: Deep Learning for Microscopic Image Classification Computer Methods and Programs in Biomedicine, 226, (2022); Hoyos W, Et al., A clinical decision-support system for dengue based on fuzzy cognitive maps, Health Care Management Science, 1, (2022); Mayrose H, Et al., Intelligent algorithm for detection of dengue using mobilenetv2-based deep features with lymphocyte nucleus, Expert Systems, (2021); Tanaka Y, Plasmacytoid lymphocytes: a diagnostic clue for dengue fever, Internal Medicine, 57, 19, pp. 2917-2917, (2018); Szegedy C, Et al., Going deeper with convolutions, Proceedings of the IEEE conference on computer vision and pattern recognition, 1, (2015); Iandola F N., Et al., SqueezeNet: AlexNet-level accuracy with 50x fewer parameters and &lt; 0.5 MB model size, (2016)</t>
  </si>
  <si>
    <t xml:space="preserve">Tanweer null; Kumar P.; De S.; Nayak S.G.; Anguera J.</t>
  </si>
  <si>
    <t xml:space="preserve">2nd International Conference on Artificial Intelligence, Computational Electronics and Communication System, AICECS 2023</t>
  </si>
  <si>
    <t xml:space="preserve">16 February 2023 through 17 February 2023</t>
  </si>
  <si>
    <t xml:space="preserve">Manipal</t>
  </si>
  <si>
    <t xml:space="preserve">2-s2.0-85176272204</t>
  </si>
  <si>
    <t xml:space="preserve">Saini A.; Guleria K.; Sharma S.</t>
  </si>
  <si>
    <t xml:space="preserve">Saini, Archana (58259865900); Guleria, Kalpna (57201090704); Sharma, Shagun (56727001500)</t>
  </si>
  <si>
    <t xml:space="preserve">58259865900; 57201090704; 56727001500</t>
  </si>
  <si>
    <t xml:space="preserve">Deep Learning Based Model for Malaria Disease Detection Using Convolution Neural Network</t>
  </si>
  <si>
    <t xml:space="preserve">The parasite plasmodium causes malaria, a blood disease that is spread by the bite of a female Anopheles mosquito. Microscopists frequently compare thick and thin blood smears to determine parasitemia and make medical diagnoses. However, the accuracy of these tests depends on how large the smear is and the level of skill used to identify and count infected &amp; parasitized cells. However, large-scale diagnoses made during such an examination might be of poor quality. Machine learning and deep learning techniques are used in image-analysis-based computer-aided diagnosis methods on microscopic images of the smears to identify the presence of malaria. In this work, convolutional neural networks (CNNs), which is a technique of DL have been used for end-to-end feature extraction and classification with highly scalable and superior results. This model has been trained and tested on a dataset contained from an open-source repository called 'Kaggle'. In order to get better disease screening, we evaluate the effectiveness of CNN-based DL models as feature extractors for classifying parasitized and uninfected cells. Furthermore, the model has been tested at a learning rate of 0.00001 and 0.001 resulting in accuracy values of 93.70% and 94.42%, respectively. In addition to the implementation, the model can be further improved by applying augmentation techniques to the collected images for efficient and effective results.  © 2023 IEEE.</t>
  </si>
  <si>
    <t xml:space="preserve">2023 International Conference on Network, Multimedia and Information Technology, NMITCON 2023</t>
  </si>
  <si>
    <t xml:space="preserve">10.1109/NMITCON58196.2023.10276279</t>
  </si>
  <si>
    <t xml:space="preserve">https://www.scopus.com/inward/record.uri?eid=2-s2.0-85175398236&amp;doi=10.1109%2fNMITCON58196.2023.10276279&amp;partnerID=40&amp;md5=020a088be1d31f9e10cab9fc2b5e6c4d</t>
  </si>
  <si>
    <t xml:space="preserve">Chitkara University Institute of Engineering and Technology, Chitkara University, Punjab, Rajpura, 140401, India</t>
  </si>
  <si>
    <t xml:space="preserve">Saini A., Chitkara University Institute of Engineering and Technology, Chitkara University, Punjab, Rajpura, 140401, India; Guleria K., Chitkara University Institute of Engineering and Technology, Chitkara University, Punjab, Rajpura, 140401, India; Sharma S., Chitkara University Institute of Engineering and Technology, Chitkara University, Punjab, Rajpura, 140401, India</t>
  </si>
  <si>
    <t xml:space="preserve">binary classification; deep learning; image processing; Malaria disease</t>
  </si>
  <si>
    <t xml:space="preserve">Blood; Classification (of information); Computer aided analysis; Computer aided diagnosis; Computer aided instruction; Convolution; Convolutional neural networks; Deep learning; Image classification; Image enhancement; Learning systems; Anopheles mosquitoes; Binary classification; Convolution neural network; Convolutional neural network; Deep learning; Disease detection; Images processing; Learning Based Models; Malaria disease; Parasite-; Diseases</t>
  </si>
  <si>
    <t xml:space="preserve">Silka W., Wieczorek M., Silka J., Wozniak M., Malaria detection using advanced deep learning architecture, Sensors, 23, 3, (2023); Banerjee T., Jain A., Sethuraman S.C., Satapathy S.C., Karthikeyan S., Jubilson A., Deep convolutional neural network (falcon) and transfer learning-based approach to detect malarial parasite, Multimed. Tools Appl., 81, 10, pp. 13237-13251, (2022); Loh D.R., Yong W.X., Yapeter J., Subburaj K., Chandramohanadas R., A deep learning approach to the screening of malaria infection: Automated and rapid cell counting, object detection and instance segmentation using Mask R-CNN, Comput. Med. Imaging Graph., 88, (2021); Saglam S., Tat F., Bayar S., FPGA implementation of CNN algorithm for detecting malaria diseased blood cells, 2019 International Symposium on Advanced Electrical and Communication Technologies (ISAECT), (2019); Alok N., Krishan K., Chauhan P., Deep learning-Based image classifier for malaria cell detection, Machine Learning for Healthcare Applications, pp. 187-197, (2021); Guleria K., Sharma S., Kumar S., Tiwari S., Early prediction of hypothyroidism and multiclass classification using predictive machine learning and deep learning, Measurement: Sensors, 24, (2022); Kumar S., Priya S., Kumar A., Malaria detection using Deep Convolution Neural Network, (2023); Malhotra R., Joshi D., Shin K.Y., Approaching bio cellular classification for malaria infected cells using machine learning and then deep learning to compare &amp; analyze K-nearest neighbours and deep CNNs, (2020); Meng X., Ha Y., Tian J., Neighbor correlated graph convolutional network for multi-stage malaria parasite recognition, Multimed. Tools Appl., 81, 8, pp. 11393-11414, (2022); Srivastav S., Guleria K., Sharma S., Predictive machine learning approaches for cervical cancer detection: An analytical comparison, 2023 10th International Conference on Computing for Sustainable Global Development (INDIACom), pp. 951-956, (2023); Corentindallet S., Kareem I., Real time blood image processing application for malaria diagnosis using mobile phones, IEEE International Symposium on Circuits and Systems (ISCAS); Poostchi M., Silamut K., Maude R.J., Jaeger S., Thoma G., Image analysis and machine learning for detecting malaria, Transl. Res., 194, pp. 36-55, (2018); Masud M., Et al., Leveraging deep learning techniques for malaria parasite detection using mobile application, Wireless Commun. Mobile Comput, (2020); Vijayalakshmi A., Deep learning approach to detect malaria from microscopic images, Multimed. Tools Appl, 79, pp. 15297-15317, (2020); Shah D., Kawale K., Shah M., Randive S., Mapari R., Malaria parasite detection using deep learning : Beneficial to humankind, 2020 4th International Conference on Intelligent Computing and Control Systems (ICICCS), (2020); Shekar G., Revathy S., Goud E.K., Malaria detection using deep learning, 2020 4th International Conference on Trends in Electronics and Informatics (ICOEI)(48184), (2020); Malaria Cell Images Dataset, (2018); Shamas S., Panda S.N., Sharma I., K-means clustering using fuzzy c-means based image segmentation for lung cancer, 2022 3rd International Conference on Computation, Automation and Knowledge Management (ICCAKM), pp. 1-5, (2022); Sharma R., Kukreja V., Kadyan V., Rice diseases detection using convolutional neural networks: A survey, 2021 International Conference on Advance Computing and Innovative Technologies in Engineering (ICACITE), pp. 995-1001, (2021); Krishnadas P., Chadaga K., Sampathila N., Rao S.K.S., Prabhu S., Classification of malaria using object detection models, Informatics (MDPI), 9, 4, (2022); Dong Y., Jiang Z., Shen H., Pan W.D., Classification accuracies of malaria infected cells using deep convolutional neural networks based on decompressed images, SoutheastCon 2017, (2017); Manescu P., Et al., Expert-level automated malaria diagnosis on routine blood films with deep neural networks, Am. J. Hematol., 95, 8, pp. 883-891, (2020)</t>
  </si>
  <si>
    <t xml:space="preserve">K. Guleria; Chitkara University Institute of Engineering and Technology, Chitkara University, Rajpura, Punjab, 140401, India; email: guleria.kalpna@gmail.com</t>
  </si>
  <si>
    <t xml:space="preserve">AESS; Akatis Sekurity; All India Council for Technical Education (AICTE); et al.; Soebit Cybersecurity; Visvesvaraya Technological University (VTU)</t>
  </si>
  <si>
    <t xml:space="preserve">2023 IEEE International Conference on Network, Multimedia and Information Technology, NMITCON 2023</t>
  </si>
  <si>
    <t xml:space="preserve">1 September 2023 through 2 September 2023</t>
  </si>
  <si>
    <t xml:space="preserve">Bengaluru</t>
  </si>
  <si>
    <t xml:space="preserve">979-835030082-6</t>
  </si>
  <si>
    <t xml:space="preserve">Int. Conf. Netw., Multimed. Inf. Technol., NMITCON</t>
  </si>
  <si>
    <t xml:space="preserve">2-s2.0-85175398236</t>
  </si>
  <si>
    <t xml:space="preserve">Santoshi K.; Saranya G.; Reddy C.R.; Reddy C.J.; Gyananandu K.; Tej G.N.</t>
  </si>
  <si>
    <t xml:space="preserve">Santoshi, K. (58144029600); Saranya, G. (57188697833); Reddy, Ch.Rama (59108046400); Reddy, Ch. Jathin (58282347100); Gyananandu, K. (58408113100); Tej, G. Nikhil (58410268200)</t>
  </si>
  <si>
    <t xml:space="preserve">58144029600; 57188697833; 59108046400; 58282347100; 58408113100; 58410268200</t>
  </si>
  <si>
    <t xml:space="preserve">Deep Learning based Web App for Malaria Parasite Detection in Granular Blood Samples</t>
  </si>
  <si>
    <t xml:space="preserve">One of the major health problems that modern humans encounter is malaria, which affects people of all ages. Malaria is a fatal disease caused by parasites carried by the infected mosquitoes. One way for diagnosing malaria is to examine a sample of the person's blood underneath a microscope for the presence of parasites. The project involves the creation of a web app that employs deep learning to recognize malaria parasites in images from blood smears. This can be accomplished by collecting and labeling a dataset of blood smear images utilizing convolutional neural network (CNN) models such as ResNet50, VGG19, and Customized CNN to discover patterns and features in the images. A Convolutional Neural Network (CNN) model is customized by including convolutional layers, max-pooling layers, totally connected layers, and a SoftMax layer. This approach has the power to increase the detection speed, precision of parasite diagnosis and assist in lowering the disease's global health impact. © 2023 IEEE.</t>
  </si>
  <si>
    <t xml:space="preserve">Proceedings of the 2nd International Conference on Applied Artificial Intelligence and Computing, ICAAIC 2023</t>
  </si>
  <si>
    <t xml:space="preserve">10.1109/ICAAIC56838.2023.10140337</t>
  </si>
  <si>
    <t xml:space="preserve">https://www.scopus.com/inward/record.uri?eid=2-s2.0-85163602927&amp;doi=10.1109%2fICAAIC56838.2023.10140337&amp;partnerID=40&amp;md5=08ac0027beec163d4ab390c582859145</t>
  </si>
  <si>
    <t xml:space="preserve">Information Technology, Gmr Institute of Technology, Andhra Pradesh, Rajam, India</t>
  </si>
  <si>
    <t xml:space="preserve">Santoshi K., Information Technology, Gmr Institute of Technology, Andhra Pradesh, Rajam, India; Saranya G., Information Technology, Gmr Institute of Technology, Andhra Pradesh, Rajam, India; Reddy C.R., Information Technology, Gmr Institute of Technology, Andhra Pradesh, Rajam, India; Reddy C.J., Information Technology, Gmr Institute of Technology, Andhra Pradesh, Rajam, India; Gyananandu K., Information Technology, Gmr Institute of Technology, Andhra Pradesh, Rajam, India; Tej G.N., Information Technology, Gmr Institute of Technology, Andhra Pradesh, Rajam, India</t>
  </si>
  <si>
    <t xml:space="preserve">Convolutional Neural network (CNN); Deep Learning; Malaria Disease; Red Blood Cells (RBC)</t>
  </si>
  <si>
    <t xml:space="preserve">Blood; Convolution; Convolutional neural networks; Deep learning; Diagnosis; E-learning; Multilayer neural networks; Neural network models; Blood smears; Convolutional neural network; Deep learning; Malaria disease; Malaria parasite; Parasite-; Red blood cell; Web App; Diseases</t>
  </si>
  <si>
    <t xml:space="preserve">Yang F., Poostchi M., Yu H., Zhou Z., Silamut K., Yu J., Antani S., Deep learning for smartphone-based malaria parasite detection in thick blood smears, IEEE journal of biomedical and health informatics, 24, 5, pp. 1427-1438, (2019); Umer M., Sadiq S., Ahmad M., Ullah S., Choi G.S., Mehmood A., A novel stacked CNN for malarial parasite detection in thin blood smear images, IEEE Access, 8, pp. 93782-93792, (2020); Chowdhury A.B., Roberson J., Hukkoo A., Bodapati S., Cappelleri D.J., Automated complete blood cell count and malaria pathogen detection using convolution neural network, IEEE Robotics and Automation Letters, 5, 2, pp. 1047-1054, (2020); Pattanaik P.A., Mittal M., Khan M.Z., Panda S.N., Malaria detection using deep residual networks with mobile microscopy, Journal of King Saud University-Computer and Information Sciences, (2020); Kassim Y.M., Palaniappan K., Yang F., Poostchi M., Palaniappan N., Maude R.J., Jaeger S., Clustering-based dual deep learning architecture for detecting red blood cells in malaria diagnostic smears, IEEE Journal of Biomedical and Health Informatics, 25, 5, pp. 1735-1746, (2020); Loh D.R., Yong W.X., Yapeter J., Subburaj K., Chandramohanadas R., A deep learning approach to the screening of malaria infection: Automated and rapid cell counting, object detection and instance segmentation using Mask R-CNN, Computerized Medical Imaging and Graphics, 88, (2021); Molina A., Rodellar J., Boldu L., Acevedo A., Alferez S., Merino A., Automatic identification of malaria and other red blood cell inclusions using convolutional neural networks, Computers in Biology and Medicine, 136, (2021); Vijayalakshmi A., Deep learning approach to detect malaria from microscopic images, Multimedia Tools and Applications, 79, 21, pp. 15297-15317, (2020); Militante S.V., Malaria disease recognition through adaptive deep learning models of convolutional neural network, 2019 IEEE 6th International Conference on Engineering Technologies and Applied Sciences (ICETAS), pp. 1-6, (2019); Oyewola D.O., Dada E.G., Misra S., Damasevicius R., A Novel Data Augmentation Convolutional Neural Network for Detecting Malaria Parasite in Blood Smear Images, Applied Artificial Intelligence, pp. 1-22, (2022); Nayak S., Kumar S., Jangid M., Malaria detection using multiple deep learning approaches, 2019 2nd International Conference on Intelligent Communication and Computational Techniques (ICCT), pp. 292-297, (2019); Banerjee T., Jain A., Sethuraman S.C., Satapathy S.C., Karthikeyan S., Jubilson A., Deep Convolutional Neural Network (Falcon) and transfer learning-based approach to detect malarial parasite, Multimedia Tools and Applications, pp. 1-15, (2021); Saglam S., Tat F., Bayar S., Fpga implementation of cnn algorithm for detecting malaria diseased blood cells, 2019 International Symposium on Advanced Electrical and Communication Technologies (ISAECT), pp. 1-5, (2019); Rahman A., Zunair H., Reme T.R., Rahman M.S., Mahdy M.R.C., A comparative analysis of deep learning architectures on high variation malaria parasite classification dataset, Tissue and Cell, 69, (2021); Zhang C., Jiang H., Jiang H., Xi H., Chen B., Liu Y., Zhang Y., Deep learning for microscopic examination of protozoan parasites, Computational and Structural Biotechnology Journal, (2022)</t>
  </si>
  <si>
    <t xml:space="preserve">2nd International Conference on Applied Artificial Intelligence and Computing, ICAAIC 2023</t>
  </si>
  <si>
    <t xml:space="preserve">4 May 2023 through 6 May 2023</t>
  </si>
  <si>
    <t xml:space="preserve">Salem</t>
  </si>
  <si>
    <t xml:space="preserve">978-166545630-2</t>
  </si>
  <si>
    <t xml:space="preserve">Proc. Int. Conf. Appl. Artif. Intell. Comput., ICAAIC</t>
  </si>
  <si>
    <t xml:space="preserve">2-s2.0-85163602927</t>
  </si>
  <si>
    <t xml:space="preserve">Pham V.-T.-N.; Nguyen Q.-C.; Nguyen Q.-V.; Huynh H.-H.</t>
  </si>
  <si>
    <t xml:space="preserve">Pham, Vu-Thu-Nguyet (57758738800); Nguyen, Quang-Chung (57851254800); Nguyen, Quang-Vu (56878280700); Huynh, Huu-Hung (36806054000)</t>
  </si>
  <si>
    <t xml:space="preserve">57758738800; 57851254800; 56878280700; 36806054000</t>
  </si>
  <si>
    <t xml:space="preserve">Deep Learning-Based Approach for Automatic Detection of Malaria in Peripheral Blood Smear Images</t>
  </si>
  <si>
    <t xml:space="preserve">Malaria is a deadly disease that affects millions of people around the world every year. An accurate and timely diagnosis of malaria is essential for effective treatment and control of the disease. In this study, we propose a deep learning-based approach for automatic detection of malaria in peripheral blood smear images. Our approach consists of two stages: object detection &amp; binary classification using Faster R-CNN, and multi-class classification using EfficientNetv2-L with SVM as the head. We evaluate the performance of our approach using the mean average precision at IoU = 0.5 (mAP@0.5) metric. Our approach achieves an overall performance of 88.7%, demonstrating the potential of deep learning-based approaches for accurate and efficient detection of malaria in peripheral blood smear images. Our study has several implications for the field of malaria diagnosis and treatment. The use of deep learning-based approaches for malaria detection could significantly improve the accuracy and speed of diagnosis, leading to earlier and more effective treatment of the disease. © 2023, The Author(s), under exclusive license to Springer Nature Switzerland AG.</t>
  </si>
  <si>
    <t xml:space="preserve">734 LNNS</t>
  </si>
  <si>
    <t xml:space="preserve">10.1007/978-3-031-36886-8_10</t>
  </si>
  <si>
    <t xml:space="preserve">https://www.scopus.com/inward/record.uri?eid=2-s2.0-85172011122&amp;doi=10.1007%2f978-3-031-36886-8_10&amp;partnerID=40&amp;md5=895ab33ea99ce4944221366aa95c78c8</t>
  </si>
  <si>
    <t xml:space="preserve">The University of Danang - Vietnam-Korea University of Information and Communication Technology, Danang, Viet Nam; The University of Danang - University of Science and Technology, Danang, Viet Nam</t>
  </si>
  <si>
    <t xml:space="preserve">Pham V.-T.-N., The University of Danang - Vietnam-Korea University of Information and Communication Technology, Danang, Viet Nam; Nguyen Q.-C., The University of Danang - Vietnam-Korea University of Information and Communication Technology, Danang, Viet Nam; Nguyen Q.-V., The University of Danang - Vietnam-Korea University of Information and Communication Technology, Danang, Viet Nam; Huynh H.-H., The University of Danang - University of Science and Technology, Danang, Viet Nam</t>
  </si>
  <si>
    <t xml:space="preserve">Bioinformatics; Deep Learning; Parasite Detection</t>
  </si>
  <si>
    <t xml:space="preserve">Blood; Deep learning; Diagnosis; Disease control; Object detection; Support vector machines; Automatic Detection; Binary classification; Deep learning; Learning-based approach; Multi-class classification; Objects detection; Parasite detection; Parasite-; Performance; Peripheral blood smears; Diseases</t>
  </si>
  <si>
    <t xml:space="preserve">Chavan S.N., Sutkar A.M., Malaria disease identification and analysis using image processing, Int. J. Lat. Trends Eng. Technol, 3, 3, pp. 218-223, (2014); Das D.K., Ghosh M., Pal M., Maiti A.K., Chakraborty C., Machine learning approach for automated screening of malaria parasite using light microscopic images, Micron, 45, pp. 97-106, (2013); Ross N.E., Pritchard C.J., Rubin D.M., Duse A.G., Automated image processing method for the diagnosis and classification of malaria on thin blood smears, Med. Biol. Eng. Comput., 44, 5, pp. 427-436, (2006); Diaz G., Gonzalez F.A., Romero E., A semi-automatic method for quantification and classification of erythrocytes infected with malaria parasites in microscopic images, J. Biomed. Inform., 42, 2, pp. 296-307, (2009); Linder N., Et al., A malaria diagnostic tool based on computer vision screening and visualization of Plasmodium falciparum candidate areas in digitized blood smears, Plos ONE, 9, 8, (2014); Tek F.B., Dempster A.G., Kale I., Parasite detection and identification for automated thin blood film malaria diagnosis. Comput. Vis, Image Underst, 14, 1, pp. 21-32, (2010); Seman N.A., Isa N.A.M., Li L.C., Mohamed Z., Ngah U.K., Zamli K.Z., Classification of malaria parasite species based on thin blood smears using multilayer perceptron network, Int. J. Comput. Internet Manag, 16, 1, pp. 46-52, (2008); Khot S., Prasad R., Optimal computer based analysis for detecting malarial parasites,” trong, Proceedings of the 3Rd International Conference on Frontiers of Intelligent Computing: Theory and Applications (FICTA) 2014. Advances in Intelligent Systems and Computing, Vol. 327, pp. 69-80, (2015); Memeu D.M., A rapid malaria diagnostic method based on automatic detection and classification of plasmodium parasites in stained thin blood smear images, University of Nairobi, (2014); Liang Z., Et al., CNN-based image analysis for malaria diagnosis, IEEE International Conference on Bioinformatics and Biomedicine (BIBM). IEEE, pp. 493-496, (2016); Hung J., Carpenter A., Applying faster R-CNN for object detection on malaria images, Proceedings of the IEEE Conference on Computer Vision and Pattern Recognition Workshops, Pp. 56–61, (2017); Pan W.D., Dong Y., Wu D., Classification of malaria-infected cells using deep convolutional neural networks. Machine Learn.: Adv. Tech. Emerg, Appl, (2018); Ljosa V., Sokolnicki K.L., Carpenter A.E., Annotated high-throughput microscopy image sets for validation, Nat. Methods, 9, 7, (2012); Kassim Y.M., Et al., Clustering-based dual deep learning architecture for detecting red blood cells in malaria diagnostic smears, IEEE J. Biomed. Health Inform, 25, 5, pp. 1735-1746, (2020); Yang F., Et al., Deep learning for smartphone-based malaria parasite detection in thick blood smears, IEEE J. Biomed. Health Inform, 24, 5, pp. 1427-1438, (2014); Kassim Y.M., Yang F., Yu H., Maude R.J., Jaeger S., Diagnosing malaria patients with plasmodium falciparum and vivax using deep learning for thick smear images, Diagnostics, 11, 11, (2021); Ren S., He K., Girshick R., Sun J., Faster R-CNN: Towards real-time object detection with region proposal networks, Adv. Neural Inf. Process. Syst, (2015); He K., Zhang X., Ren S., Sun J., Deep residual learning for image recognition, Proceedings of the IEEE Conference on Computer Vision and Pattern Recognition, (2016); Tan M., Le Q., Efficientnetv2: Smaller models and faster training, International Conference on Machine Learning, (2021)</t>
  </si>
  <si>
    <t xml:space="preserve">Q.-V. Nguyen; The University of Danang - Vietnam-Korea University of Information and Communication Technology, Danang, Viet Nam; email: nqvu@vku.udn.vn</t>
  </si>
  <si>
    <t xml:space="preserve">Nguyen N.T.; Le-Minh H.; Huynh C.-P.; Nguyen Q.-V.</t>
  </si>
  <si>
    <t xml:space="preserve">Proceedings of the12th International Conference on Information Technology and its Applications, CITA 2023</t>
  </si>
  <si>
    <t xml:space="preserve">28 July 2023 through 29 July 2023</t>
  </si>
  <si>
    <t xml:space="preserve">Danang City</t>
  </si>
  <si>
    <t xml:space="preserve">978-303136885-1</t>
  </si>
  <si>
    <t xml:space="preserve">2-s2.0-85172011122</t>
  </si>
  <si>
    <t xml:space="preserve">Chauhan S.; Gorai A.; Pundir M.</t>
  </si>
  <si>
    <t xml:space="preserve">Chauhan, Sunidhi (59055269800); Gorai, Aakash (59003789300); Pundir, Meena (57224516287)</t>
  </si>
  <si>
    <t xml:space="preserve">59055269800; 59003789300; 57224516287</t>
  </si>
  <si>
    <t xml:space="preserve">Dengue Prediction using Machine Learning</t>
  </si>
  <si>
    <t xml:space="preserve">Dengue fever, a formidable mosquito-borne viral threat, presents a profound challenge in global health. The imperative for swift and accurate detection looms large, with millions of annual cases underscoring the urgency for intervention. Traditional diagnostic methods falter, plagued by slow pace and the risk of false negatives. Here, we delve into the synergy of machine learning, specifically the Logistic Regression algorithm, as the virtuoso orchestrating a transformative narrative in dengue diagnosis. Machine learning, a potent offspring of artificial intelligence, navigates healthcare's complex landscape with algorithms as its brushstrokes. The Logistic Regression algorithm, a maestro in ensemble learning, assembles decision trees to unravel intricate relationships within diverse datasets. Its versatility, scalability, and resilience to noisy data position it as an ideal diagnostic maestro for dengue detection. Our narrative unfolds with the creation of a rich dataset, blending clinical records, patient demographics, and environmental factors. Prior to the grand performance, a prelude of data preprocessing ensures the sanctity of patient data privacy. Various machine learning model assumes center stage, adeptly deciphering the clinical and environmental waltz for diagnostic precision. Performance metrics, including accuracy and ROC-AUC, applaud its prowess. The future promises a symphony of possibilities with the infusion of additional data sources and the development of explainable AI techniques. As we conclude this symphony, the relentless pursuit of research, interdisciplinary collaboration, and ethical integrity stand as the baton leading the charge against the global health dilemma of dengue fever.  © 2023 IEEE.</t>
  </si>
  <si>
    <t xml:space="preserve">10.1109/ICAIIHI57871.2023.10489681</t>
  </si>
  <si>
    <t xml:space="preserve">https://www.scopus.com/inward/record.uri?eid=2-s2.0-85191464440&amp;doi=10.1109%2fICAIIHI57871.2023.10489681&amp;partnerID=40&amp;md5=0dc3bcb448f21d39a27ceb12e87016c2</t>
  </si>
  <si>
    <t xml:space="preserve">Chandigarh University, Department of Computer Science and Engineering, Mohali, 140413, India</t>
  </si>
  <si>
    <t xml:space="preserve">Chauhan S., Chandigarh University, Department of Computer Science and Engineering, Mohali, 140413, India; Gorai A., Chandigarh University, Department of Computer Science and Engineering, Mohali, 140413, India; Pundir M., Chandigarh University, Department of Computer Science and Engineering, Mohali, 140413, India</t>
  </si>
  <si>
    <t xml:space="preserve">Dengue fever; Diagnostic precision; Global health; Logistic Regression; Machine Learning</t>
  </si>
  <si>
    <t xml:space="preserve">Data privacy; Decision trees; Health risks; Hospital data processing; Learning algorithms; Learning systems; Logistic regression; Machine learning; Dengue fevers; Diagnostic methods; Diagnostic precision; Ensemble learning; False negatives; Global health; Logistic regression algorithms; Logistics regressions; Machine-learning; Noisy data; Blending</t>
  </si>
  <si>
    <t xml:space="preserve">Kakarla S.G., Et al., Weather integrated multiple machine learning models for prediction of dengue prevalence in India, International Journal of Biometeorology, 67, 2, pp. 285-297, (2023); Tyagi S., Mittal S., Sampling approaches for imbalanced data classification problem in machine learning, Proceedings of ICRIC 2019, Lecture Notes in Electrical Engineering, 597, pp. 209-221, (2020); Schmidt W.P., Et al., Population density, water supply, and the risk of dengue fever in Vietnam: Cohort study and spatial analysis, PLoS Med., 8, (2011); Puspita J.W., Et al., Modeling and descriptive analysis of dengue cases in Palu City, Indonesia, Physica A: Statistical Mechanics and its Applications, 625, pp. 129019-129029, (2023); Sarma D., Et al., Artificial Neural Network Model for Hepatitis C Stage Detection, EDU Journal of Computer and Electrical Engineering, 1, 1, pp. 11-16, (2020); Dhiman R.C., Et al., Climate change and threat of vector-borne diseases in India: Are we prepared?, Parasitol. Res., 106, pp. 763-773, (2010); Gibbons R.V., Dengue: an escalating problem, BMJ, 324, pp. 1563-1566, (2002); Shepard D.S., Undurraga E.A., Halasa Y.A., Economic and disease burden of dengue in Southeast Asia, PLoS Negl. Trop. Dis., 7, (2013); Pundir M., Et al., Data Rate Aware Reliable Transmission Mechanism in Wireless Sensor Networks using Bayesian Regularized Neural Network approach, Physical Communication, 59, pp. 102115-102127, (2023); Kour S.P., Kumar A., Ahuja S., An Advance Approach for Diabetes Detection by Implementing Machine Learning Algorithms, 2023 IEEE World Conference on Applied Intelligence and Computing (AIC), pp. 136-141, (2023); Appice A., Gel Y.R., Iliev I., Lyubchich V., Malerba D., A MultiStage Machine Learning Approach to Predict Dengue Incidence: A Case Study in Mexico, IEEE Access, 8, pp. 52713-52725, (2020); Technical handbook for dengue surveillance, dengue outbreak prediction/detection and outbreak response ("model contingency plan"), pp. 1-92, (2020); Krishnaiah V., Narsimha G., Chandra N.S., Technologies I., Diagnosis of lung cancer prediction system using data mining classification techniques, International Journal of Computer Science and Information Technologies, 4, 1, pp. 39-45, (2013); Hossain S., Et al., A Critical Comparison between Distributed Database Approach and Data Warehousing Approach, International Journal of Scientific Engineering Research, 5, 1, pp. 196-201, (2014); Wendler T., Grottrup S., Data Mining Using SPSS Modeler: Theory, Exercises and Solutions, (2016); Sangkaew S., Tan L.K., Ng L.C., Ferguson N.M., Dorigatti I., Using cluster analysis to reconstruct dengue exposure patterns from cross-sectional serological studies in Singapore, Parasites Vectors, 13, 1, (2020); Singh J., Et al., An Optimized Ensemble Machine Learning Model for Automobile Risk Factor Prediction, 2022 11th International Conference on System Modeling &amp; Advancement in Research Trends (SMART), pp. 26-30, (2022); Sudsom N., Thammapalo S., Pengsakul T., Techato K.J., A Spatial Clustering Approach to Identify Risk Areas of Dengue Infection After Insecticide Spraying, Jurnal Teknologi, 78, 3-5, (2016); Md-Sani S.S., Et al., Prediction of mortality in severe dengue cases, BMC infectious diseases, 18, pp. 1-9, (2018); Pundir M., Et al., Secure and Energy Efficient Routing in Wireless Sensor Network using Machine Learning, Proceedings of the 2022 Fourteenth International Conference on Contemporary Computing, pp. 544-549, (2022); Guo P., Et al., Developing a dengue forecast model using machine learning: A case study in China, PLOS Negl. Trop. Dis., 11, (2017); Technical handbook for dengue surveillance, dengue outbreak prediction/detection and outbreak response ("model contingency plan"), (2016); Khan M.I.H., Et al., Factors predicting severe dengue in patients with dengue fever, Mediterranean journal of hematology and infectious disease, 5, 1, (2013); Khan M.B., Et al., Dengue overview: An updated systemic review, Journal of Infection and Public Health, 16, 10, pp. 1625-1642, (2023)</t>
  </si>
  <si>
    <t xml:space="preserve">2-s2.0-85191464440</t>
  </si>
  <si>
    <t xml:space="preserve">Liu Z.; Liu H.; Sun Y.</t>
  </si>
  <si>
    <t xml:space="preserve">Liu, Zhiming (58847493300); Liu, Hongying (36348639900); Sun, Yimeng (59284241900)</t>
  </si>
  <si>
    <t xml:space="preserve">58847493300; 36348639900; 59284241900</t>
  </si>
  <si>
    <t xml:space="preserve">Detection and Classification of Malaria Parasite Based on Improved YOLOv5 Model</t>
  </si>
  <si>
    <t xml:space="preserve">At present, malaria is still one of the major threats to human health. Timely diagnosis of malaria is critical to reducing both transmission and mortality. Malaria blood smear microscopy is the standard for malaria detection, but due to the cumbersome steps of manual evaluation, this diagnostic method is time-consuming and prone to missed and false positives, even in the hands of experienced physicians. Deep learning-based neural network models have achieved great success in object detection, but state-of-the-art models have not been widely used in biological image data. In response to this challenge, we have introduced an enhanced model based on YOLOv5 to accurately identify malaria blood smear cells and detect their infected stages. Based on the original YOLOv5, CA module and BiFPN are used. The experimental results demonstrate that the enhanced YOLOv5 model achieves an average accuracy of 79.3% on the public Plasmodium vivax (malaria) infected human blood smear dataset. © 2023 IEEE.</t>
  </si>
  <si>
    <t xml:space="preserve">Proceedings - 2023 16th International Congress on Image and Signal Processing, BioMedical Engineering and Informatics, CISP-BMEI 2023</t>
  </si>
  <si>
    <t xml:space="preserve">10.1109/CISP-BMEI60920.2023.10373282</t>
  </si>
  <si>
    <t xml:space="preserve">https://www.scopus.com/inward/record.uri?eid=2-s2.0-85183315974&amp;doi=10.1109%2fCISP-BMEI60920.2023.10373282&amp;partnerID=40&amp;md5=d3df448b382593958d4806a678408573</t>
  </si>
  <si>
    <t xml:space="preserve">East China Normal University, Shanghai Key Laboratory of Multidimensional Information Processing, Shanghai, China; Shanghai University of Electric Power, School of Electronic and Information Engineering, Shanghai, China</t>
  </si>
  <si>
    <t xml:space="preserve">Liu Z., East China Normal University, Shanghai Key Laboratory of Multidimensional Information Processing, Shanghai, China; Liu H., East China Normal University, Shanghai Key Laboratory of Multidimensional Information Processing, Shanghai, China; Sun Y., Shanghai University of Electric Power, School of Electronic and Information Engineering, Shanghai, China</t>
  </si>
  <si>
    <t xml:space="preserve">BiFPN; malaria parasite; object detection; YOLOv5</t>
  </si>
  <si>
    <t xml:space="preserve">Bismuth compounds; Blood; Deep learning; Diseases; Health risks; Object recognition; ART model; Blood smears; Diagnostic methods; False positive; Human health; Malaria parasite; Neural network model; Objects detection; State of the art; YOLOv5; Object detection</t>
  </si>
  <si>
    <t xml:space="preserve">World malaria report 2022, (2022); Tuteja R., Malaria-an overview, The FEBS journal, 274, 18, pp. 4670-4679, (2007); Makler M.T., Palmer C.J., Ager A.L., A review of practical techniques for the diagnosis of malaria, Annals of tropical medicine and parasitology, 92, 4, pp. 419-434, (1998); Adi Nugroho H., Nurfauzi R., GGB Color Normalization and Faster-RCNN Techniques for Malaria Parasite Detection, 2021 IEEE International Biomedical Instrumentation and Technology Conference (IBITeC). IEEE., pp. 109-113, (2021); Abdurahman F., Anlay Fante K., Aliy M., Malaria parasite detection in thick blood smear microscopic images using modified YOLOV3 and YOLOV4 models, BMC bioinformatics, 22, 1, pp. 1-17, (2021); Girshick R., Fast r-cnn, Proceedings of the IEEE international conference on computer vision., pp. 1440-1448, (2015); Ren S., Et al., Faster r-cnn: Towards real-time object detection with region proposal networks, Advances in neural information processing systems, 28, (2015); Hou Q., Zhou D., Feng J., Coordinate attention for efficient mobile network design, Proceedings of the IEEE/CVF conference on computer vision and pattern recognition., pp. 13713-13722, (2021); Liu S., Et al., Path aggregation network for instance segmentation, Proceedings of the IEEE conference on computer vision and pattern recognition., pp. 8759-8768, (2018); Tan M., Pang R., Le Q.V., Efficientdet: Scalable and efficient object detection, Proceedings of the IEEE/CVF conference on computer vision and pattern recognition., pp. 10781-10790, (2020); Zhang Y., Et al., Focal and efficient IOU loss for accurate bounding box regression, Neurocomputing, 506, pp. 146-157, (2022); Jocher G., Et al., ultralytics/yolov5: V7. 0-YOLOv5 SOTA Realtime Instance Segmentation. Version v7. 0, (2022); Krizhevsky A., Sutskever I., Hinton G.E., Imagenet classification with deep convolutional neural networks, Communications of the ACM, 60, 6, pp. 84-90, (2017); Jocher G., Chaurasia A., Qiu J., YOLO by Ultralytics. Version 8. 0. 0, (2023); Park J., Et al., Bam: Bottleneck attention module, (2018); Woo S., Et al., Cbam: Convolutional block attention module, Proceedings of the European conference on computer vision (ECCV), pp. 3-19, (2018); Lin T., Et al., Feature Pyramid Networks for Object Detection, (2017); Zheng Z., Et al., Enhancing Geometric Factors in Model Learning and Inference for Object Detection and Instance Segmentation, (2021); Jose Barcia J., The Giemsa stain: Its history and applications, International journal of surgical pathology, 15, 3, pp. 292-296, (2007)</t>
  </si>
  <si>
    <t xml:space="preserve">Zhao X.; Li Q.; Wang L.</t>
  </si>
  <si>
    <t xml:space="preserve">16th International Congress on Image and Signal Processing, BioMedical Engineering and Informatics, CISP-BMEI 2023</t>
  </si>
  <si>
    <t xml:space="preserve">28 October 2023 through 30 October 2023</t>
  </si>
  <si>
    <t xml:space="preserve">Taizhou</t>
  </si>
  <si>
    <t xml:space="preserve">979-835033075-5</t>
  </si>
  <si>
    <t xml:space="preserve">Proc. - Int. Congr. Image Signal Process., BioMed. Eng. Informatics, CISP-BMEI</t>
  </si>
  <si>
    <t xml:space="preserve">2-s2.0-85183315974</t>
  </si>
  <si>
    <t xml:space="preserve">Aravinda C.V.; Sannidhan M.S.; Bangera V.; Shetty J.; Shetty V.; Kochari V.</t>
  </si>
  <si>
    <t xml:space="preserve">Aravinda, C.V. (36599892200); Sannidhan, M.S. (57044837600); Bangera, Vaishali (58575357000); Shetty, Jyothi (58556371100); Shetty, Vijaya (57201031076); Kochari, Vijaylaxmi (58575166000)</t>
  </si>
  <si>
    <t xml:space="preserve">36599892200; 57044837600; 58575357000; 58556371100; 57201031076; 58575166000</t>
  </si>
  <si>
    <t xml:space="preserve">Detection and classification of peripheral plasmodium parasites in blood smears using filters and machine learning algorithms</t>
  </si>
  <si>
    <t xml:space="preserve">Malaria, a fever disease primarily caused by the infectious Plasmodium parasite that targets red blood cells, poses significant challenges in diagnosis due to the laborious manual process of blood cell counting. This limitation adversely impacts larger screening processes, necessitating the development of more efficient diagnostic methods. Leveraging advancements in technology, this paper proposes a computeraided approach for the detection and analysis of malarial disease using Gabor Filters, followed by a comparison of three classification algorithms: XG-Boost, Support Vector Machine (SVM), and Neural Network Classifier. This study aims to reduce the complexity of model discrepancies and enhance robustness and generalization. By analyzing and classifying parasitized and uninfected blood cells in a given sample, the proposed model aims to improve the accuracy of decision-making. Experimental data comprising approximately 13,750 parasitized and 13,750 unparasitized samples were used to evaluate the models. The SVM algorithm achieved an accuracy of 94%, while XG-Boost achieved 90%, and the neural network classifier achieved 80%. Among these, SVM demonstrated the most promising results in accurately classifying and recognizing parasitized and uninfected blood cells, thereby enhancing decision-making accuracy. © 2023 CEUR-WS. All rights reserved.</t>
  </si>
  <si>
    <t xml:space="preserve">CEUR Workshop Proceedings</t>
  </si>
  <si>
    <t xml:space="preserve">CEUR-WS</t>
  </si>
  <si>
    <t xml:space="preserve">https://www.scopus.com/inward/record.uri?eid=2-s2.0-85171147296&amp;partnerID=40&amp;md5=a7160619d9d535319ff9b33704f88872</t>
  </si>
  <si>
    <t xml:space="preserve">Nitte Deemed to be University, N.M.A.M Institute of Technology, karkala, Nitte, 574110, India; Nitte Meenakshi Institute of Technology, Bangalore, India; SG Balekundri Institute of Technology, Karnataka, Belagavi, India</t>
  </si>
  <si>
    <t xml:space="preserve">Aravinda C.V., Nitte Deemed to be University, N.M.A.M Institute of Technology, karkala, Nitte, 574110, India; Sannidhan M.S., Nitte Deemed to be University, N.M.A.M Institute of Technology, karkala, Nitte, 574110, India; Bangera V., Nitte Deemed to be University, N.M.A.M Institute of Technology, karkala, Nitte, 574110, India; Shetty J., Nitte Deemed to be University, N.M.A.M Institute of Technology, karkala, Nitte, 574110, India; Shetty V., Nitte Meenakshi Institute of Technology, Bangalore, India; Kochari V., SG Balekundri Institute of Technology, Karnataka, Belagavi, India</t>
  </si>
  <si>
    <t xml:space="preserve">Gabor Filters; Machine Learning; Neural Network Classifier; Support Vector Machine; World Health Organization; Xtended Gradient Boost</t>
  </si>
  <si>
    <t xml:space="preserve">Blood; Cells; Cytology; Decision making; Diagnosis; Gabor filters; Learning algorithms; Learning systems; Blood cells; Blood smears; Machine learning algorithms; Machine-learning; Neural networks classifiers; Plasmodium parasites; Red blood cell; Support vectors machine; World Health Organization; Xtended gradient boost; Support vector machines</t>
  </si>
  <si>
    <t xml:space="preserve">NITTE University, NITTE</t>
  </si>
  <si>
    <t xml:space="preserve">This work was supported by NITTE deemed to be University NITTE, N.M.A.M Institute of Technology Nitte, Karakala, Karnataka INDIA</t>
  </si>
  <si>
    <t xml:space="preserve">Makhija K. S., Maloney S., Norton R., The utility of serial blood film testing for the diagnosis of malaria, Pathology, 47, 1, pp. 68-70, (2015); Poostchi M., Silamut K., Maude R. J., Jaeger S., Thoma G., Image analysis and machine learning for detecting malaria, Transl. Res, 194, pp. 36-55, (2018); Liang Z., Powell A., Ersoy I., Poostchi M., Silamut K., Palaniappan K., Guo P., Hossain M. A., Sameer A., Maude R. J., Huang J. X., Jaeger S., Thoma G., CNN-based image analysis for malaria diagnosis, Proc. BIBM, pp. 493-496, (2017); Diaz G., Gonzalez F.A., Romero E., A semi-automatic method for quantification and classification of erythrocytes infected with malaria parasites in microscopic images, J. Biomed. Inform, 42, pp. 296-307, (2009); Ohrt C., Sutamihardja M.A., Tang D., Kain K.C., Impact of microscopy error on estimates of protective efficacy in malaria-prevention trials, J. Infect. Dis, 186, pp. 540-546, (2002); Alam M.S., Mohon A.N., Mustafa S., Khan W.A., Islam N., Karim M.J., Khanum H., Sullivan D.J., Haque R., Real-time pcr assay and rapid diagnostic tests for the diagnosis of clinically suspected malaria patients in bangladesh, Malar. J, 10, (2011); Wongsrichanalai C., Barcus M.J., Muth S., Sutamihardja A., Wernsdorfer W.H., A review of malaria diagnostic tools: Microscopy and rapid diagnostic test (rdt), Am. J. Trop. Med. Hyg, 77, pp. 119-127, (2007); Rajaraman S., Antani S.K., Poostchi M., Silamut K., Hossain M.A., Maude R.J., Jaeger S., Thoma G.R., Pre-trained convolutional neural networks as feature extractors toward improved malaria parasite detection in thin blood smear images, PeerJ, 6, (2018); Yang D., Subramanian G., Duan J., Gao S., Bai L., Chandramohanadas R., Ai Y., A portable image-based cytometer for rapid malaria detection and quantification, PLoS ONE, 12, (2017); Yunda L., Ramirez A.A., Millan J., Automated image analysis method for p-vivax malaria parasite detection in thick film blood images, Sist. Telemática, 10, pp. 9-25, (2012); Malaria micropscopy quality assurance manual, Version 2, (2016); Kaewkamnerd S., Intarapanich A., Pannarat M., Chaotheing S., Uthaipibull C., Tongsima S., Detection and classification device for malaria parasites in thick-blood films, Proc. IDAACS, pp. 435-438, (2011); Purnama I. K. E., Rahmanti F. Z., Purnomo M. H., Malaria parasite identification on thick blood film using genetic programming, Proc. ICICI-BME, Bandung, Indonesia, pp. 194-198, (2013); Rosado L., Da Costa J. M. C., Elias D., Cardoso J. S., Automated Detection of Malaria Parasites on Thick Blood Smears via Mobile Devices, Procedia Comput. Sci, 90, pp. 138-144, (2016); Mehanian C., Jaiswal M., Delahunt C., THOMPson C., ComputerAutomated Malaria Diagnosis and Quantitation Using Convolutional Neural Networks, Proc. ICCVW, pp. 116-125, (2017); Alharbi A. H., Aravinda C. V., Lin M., Venugopala P. S., Reddicherla P., Shah M. A., Segmentation and classification of white blood cells using the unet, Contrast Media &amp; #x26; Molecular Imaging, 2022, (2022); Hanif N. S. M. M., Mashor M. Y., Mohamed Z., Image enhancement and segmentation using dark stretching technique for Plasmodium Falciparum for thick blood smear, Proc. CSPA, pp. 257-260, (2011); Chakrabortya K., A Combined Algorithm for Malaria Detection from Thick Smear Blood Slides, J. Heal. Med. Informatics, 6, 1, pp. 179-186, (2015); Elter M., Hasslmeyer E., Zerfass T., Detection of malaria parasites in thick blood films, Proc. EMBS, pp. 5140-5144, (2011); Quinn J. A., Nakasi R., Mugagga P. K. B., Byanyima P., Lubega W., Andama A., Deep Convolutional Neural Networks for Microscopy-Based Point of Care Diagnostics, Proc. ICMLHC, pp. 271-281, (2016); Torres K., Et al., Automated microscopy for routine malaria diagnosis: A field comparison on Giemsa-stained blood films in Peru, Malar. J, 17, 1, pp. 339-350, (2018); Alharbi A. H., Aravinda V., Shetty J., Jabarulla M. Y., Sudeepa K. B., Singh S. K., Computational models-based detection of peripheral malarial parasites in blood smears, Contrast Media &amp; #x26; Molecular Imaging, 2022, (2022); Alharbi A. H., Aravinda V., Lin M., Ashwini B., Jabarulla M. Y., Shah M. A., Detection of peripheral malarial parasites in blood smears using deep learning models, Computational Intelligence and Neuroscience, 2022, (2022); Kaewkamnerd S., Intarapanich A., Pannarat M., Chaotheing S., Uthaipibull C., Tongsima S., Detection and classification device for malaria parasites in thick-blood films, Proc. IDAACS, pp. 435-438, (2011)</t>
  </si>
  <si>
    <t xml:space="preserve">C.V. Aravinda; Nitte Deemed to be University, N.M.A.M Institute of Technology, Nitte, karkala, 574110, India; email: aravinda.cv@nitte.edu.in</t>
  </si>
  <si>
    <t xml:space="preserve">Yoshida K.; Ritsumeikan University, College of Science and Engineering, Department of Electronic and Computer Engineering, 1-1-1 Noji-Higashi, Kusatsu, Shiga</t>
  </si>
  <si>
    <t xml:space="preserve">5th International Symposium on Advanced Technologies and Applications in the Internet of Things, ATAIT 2023</t>
  </si>
  <si>
    <t xml:space="preserve">28 August 2023 through 29 August 2023</t>
  </si>
  <si>
    <t xml:space="preserve">Hybrid, Kusatsu</t>
  </si>
  <si>
    <t xml:space="preserve">CEUR Workshop Proc.</t>
  </si>
  <si>
    <t xml:space="preserve">2-s2.0-85171147296</t>
  </si>
  <si>
    <t xml:space="preserve">Choubey D.K.; Raj S.; Aman A.; Deoli R.; Hanselia R.</t>
  </si>
  <si>
    <t xml:space="preserve">Choubey, Dilip Kumar (56459851500); Raj, Sandeep (56797593800); Aman, Arju (57219120766); Deoli, Rajat (58394487100); Hanselia, Rishabh (58396052600)</t>
  </si>
  <si>
    <t xml:space="preserve">56459851500; 56797593800; 57219120766; 58394487100; 58396052600</t>
  </si>
  <si>
    <t xml:space="preserve">Detection of Malaria by Using a CNN Model</t>
  </si>
  <si>
    <t xml:space="preserve">Malaria is a dangerous and potentially fatal disease caused by Plasmodium parasites that are transferred to humans through the bites of infected Anopheles mosquitos. The most common and accepted technique of diagnosing malaria is for a competent technician to visually analyze a blood smear under a microscope for parasitized red blood cells. The individual conducting the inspection’s experience and knowledge is used to make a diagnosis. It’s also time-consuming and, in rare situations, prone to human mistakes. The research work has been processed into two stages: Stage one deals with dataset summarization, whereas Stage two deals with the proposed algorithm. We present a completely automated CNN-based model for identifying malaria in blood smear micrographs in this study. Our proposed algorithm has a ninety-six percent accuracy rate in detecting malarial parasites from microscopic images, which can be improved further when trained and tested on larger datasets. © 2023, The Author(s), under exclusive license to Springer Nature Singapore Pte Ltd.</t>
  </si>
  <si>
    <t xml:space="preserve">997 LNEE</t>
  </si>
  <si>
    <t xml:space="preserve">10.1007/978-981-99-0085-5_57</t>
  </si>
  <si>
    <t xml:space="preserve">https://www.scopus.com/inward/record.uri?eid=2-s2.0-85163280874&amp;doi=10.1007%2f978-981-99-0085-5_57&amp;partnerID=40&amp;md5=3a1247688bdc56f7ffc5f3a004a5865d</t>
  </si>
  <si>
    <t xml:space="preserve">Department of Computer Science and Engineering, Indian Institute of Information Technology Bhagalpur, Bihar, India; Department of Electronics and Communication Engineering, Indian Institute of Information Technology Bhagalpur, Bihar, India</t>
  </si>
  <si>
    <t xml:space="preserve">Choubey D.K., Department of Computer Science and Engineering, Indian Institute of Information Technology Bhagalpur, Bihar, India; Raj S., Department of Electronics and Communication Engineering, Indian Institute of Information Technology Bhagalpur, Bihar, India; Aman A., Department of Electronics and Communication Engineering, Indian Institute of Information Technology Bhagalpur, Bihar, India; Deoli R., Department of Electronics and Communication Engineering, Indian Institute of Information Technology Bhagalpur, Bihar, India; Hanselia R., Department of Computer Science and Engineering, Indian Institute of Information Technology Bhagalpur, Bihar, India</t>
  </si>
  <si>
    <t xml:space="preserve">Accuracy; CNN; Deep learning; Diagnosis; F1-Score; Malaria; Precision; Recall</t>
  </si>
  <si>
    <t xml:space="preserve">Blood; Deep learning; Diseases; Image enhancement; Accuracy; Blood smears; CNN models; Deep learning; F1 scores; Fatal disease; Malaria; Potentially fatal; Precision; Recall; Diagnosis</t>
  </si>
  <si>
    <t xml:space="preserve">Jangir S.K., Joshi N., Kumar M., Choubey D.K., Singh S., Verma M., Functional link convolutional neural network for the classification of diabetes mellitus, Int J Numerical Meth Biomed Eng, (2021); Choubey D.K., Tripathi S., Kumar P., Shukla V., Dhandhania V.K., Classification of diabetes by kernel based SVM with PSO, Recent Adv Comp Sci Commun (Formerly: Recent Patents on Computer Science), 14, 4, pp. 1242-1255, (2021); Choubey D.K., Kumar M., Shukla V., Tripathi S., Dhandhania V.K., Comparative analysis of classification methods with PCA and LDA for diabetes, Curr Diabetes Rev, 16, 8, pp. 833-850, (2020); Choubey D.K., Kumar P., Tripathi S., Kumar S., Performance evaluation of classification methods with PCA and PSO for diabetes, Netw Model Anal Health Inf Bioinf, 9, 1, pp. 1-30, (2020); Choubey D.K., Paul S., Dhandhenia V.K., Rule based diagnosis system for diabetes, Int J Med Sci, 28, 12, pp. 5196-5208, (2017); Choubey D.K., Paul S., GA_RBF NN: A classification system for diabetes, Int J Biomed Eng Technol, 23, 1, pp. 71-93, (2017); Choubey D.K., Paul S., Classification techniques for diagnosis of diabetes: A review, Int J Biomed Eng Technol, 21, 1, pp. 15-39, (2016); Linder N., Turkki R., Walliander M., Martensson A., Diwan V., Rahtu E., Pietikainen M., Lundin M., Lundin J., A malaria diagnostic tool based on computer vision screening and visualization of plasmodium falciparum candidate areas in digitized blood smears. PLoS ONE 9:e104855, [PMC Free Article] [Pubmed], (2014); Opoku-Ansah J., Eghan M.J., Anderson B., Boampong J.N., Wavelength markers for malaria (plasmodium falciparum) infected and uninfected red blood cells for ring and trophozoite stages, Appl Phys Res, 6, (2014); Wold S., Esbensen K., Geladi P., Principal component analysis, Chemom Intell Lab Syst, 2, pp. 37-52, (1987); Rajaraman S., Antani S.K., Poostchi M., Et al., Pre-trained convolutional neural networks as feature extractors toward improved malaria parasite detection in thin blood smear images, Peer J, 6, (2018); Liang Z., Powell A., Ersoy I., Poostchi M., Silamut K., Palaniappan K., Guo P., Hossain M.A., Sameer A., Maude R.J., Et al., CNN-based image analysis for malaria diagnosis, Proceedings of the 2016 IEEE International Conference on Bioinformatics and Biomedicine (BIBM), pp. 493-496, (2016); Quinn J.A., Andama A., Munabi I., Kiwanuka F.N., Automated Blood Smear Analysis for Mobile Malaria Diagnosis Mobile Point Care Monitors Diagno Device Design, 31, (2014); Rosado L., da Costa J.M.C., Elias D., Cardoso J.S., Automated detection of malaria parasites on thick blood smears via mobile devices, Proc Comput Sci, 90, pp. 138-144, (2016); Herrera S., Vallejo A.F., Quintero J.P., Arevalo-Herrera M., Cancino M., Ferro S., Field evaluation of an automated RDT reader and data management device for Plasmodium falciparum/Plasmodium vivax malaria in endemic areas of, Colombia Malar J, 13, (2014); Cesario M., Lundon M., Luz S., Masoodian M., Rogers B., Mobile support for diagnosis of communicable diseases in remote locations, Proceedings of the 13Th International Conference of the NZ Chapter of the ACM’s Special Interest Group on Human-Computer Interaction, pp. 25-28, (2012); Dallet C., Kareem S., Kale I., Real time blood image processing application for malaria diagnosis using mobile phones. In: International conference on circuits and systems, IEEE, pp. 2405-2408, (2014); Skandarajah A., Reber C.D., Switz N.A., Fletcher D.A., Quantitative imaging with a mobile phone microscope, Plos ONE, 9, (2014); Pirnstill C.W., Cote G.L., Malaria diagnosis using a mobile phone polarized microscope, Sci Rep, 5, (2015); Breslauer D.N., Maamari R.N., Switz N.A., Lam W.A., Fletcher D.A., Mobile phone based clinical microscopy for global health applications, Plos ONE, 4, (2009); Jane H., Carpenter A., Applying faster R-CNN for object detection on malaria images, Proceedings of the IEEE Conference on Computer Vision and Pattern Recognition Workshops, pp. 56-61, (2017); Deng J., Dong W., Socher R., Li L.-J., Li K., Fei-Fei L., ImageNet: A large-scale hierarchical image database, 2009 IEEE Conference on Computer Vision and Pattern Recognition, pp. 248-255, (2009); Bibin D., Nair M.S., Punitha P., Malaria parasite detection from peripheral blood smear images using deep belief networks, IEEE Access, 5, pp. 9099-9108, (2017); Yang X., Zhang T., Xu C., Yan S., Hossain M.S., Ghoneim A., Deep relative attributes, IEEE Trans Multimedia, 18, 9, pp. 1832-1842, (2016); Razzak M.I., Naz S., Microscopic blood smear segmentation and classification using deep contour aware CNN and extreme machine learning, 2017 IEEE Conference on Computer Vision and Pattern Recognition Workshops (CVPRW), pp. 801-807, (2017); Kantorov V., Oquab M., Cho M., Laptev I., Contextlocnet: Context-aware deep network models for weakly supervised localization, Computer vision—ECCV 2016, pp. 350-365, (2016); Huang G.B., Zhu Q.Y., Siew C.K., Extreme learning machine: Theory and applications, Neurocomputing, 70, 1-3, pp. 489-501, (2006); Anggraini D., Nugroho A.S., Pratama C., Rozi I.E., Iskandar A.A., Hartono R.N., Automated status identification of microscopic images obtained from malaria thin blood smears, Proceedings of the 2011 International Conference on Electrical Engineering and Informatics, (2011); This New App Helps Doctors Diagnose Malaria in Just 2 Minutes; Ross N.E., Pritchard C.J., Rubin D.M., Duse A.G., Automated image processing method for the diagnosis and classification of malaria on thin blood smears, Med Biol Eng Compu, 44, 5, pp. 427-436, (2006); Das D.K., Ghosh M., Pal M., Maiti A.K., Chakraborty C., Machine learning approach for automated screening of malaria parasite using light microscopic images, Micron, 45, pp. 97-106, (2013); Poostchi M., Silamut K., Maude R.J., Jaeger S., Thoma G.R., Image analysis and machine learning for detecting Malaria, Transl Res, 194, pp. 36-55, (2018); Hossain M.S., Al-Hammadi M., Muhammad G., Automatic fruit classification using deep learning for industrial applications, IEEE Trans Industr Inf, 15, 2, pp. 1027-1034, (2019); Usama M., Ahmad B., Wan J., Hossain M.S., Alhamid M.F., Hossain M.A., Deep feature learning for disease risk assessment based on convolutional neural network with intra-layer recurrent connection by using hospital big data, IEEE Access, 6, pp. 67927-67939, (2018); Srivastava N., Hinton G., Krizhevsky A., Sutskever I., Salakhutdinov R., Dropout: A simple way to prevent neural networks from overfitting, J Mach Learn Res, 15, pp. 1929-1958, (2014); Zhang Y., Qian Y., Wu D., Shamim Hossain M., Ghoneim A., Chen M., Emotion-aware multimedia systems security, IEEE Trans Multimedia, 21, 3, pp. 617-624, (2019); Zhang Y., Ma X., Zhang J., Hossain M.S., Muhammad G., Amin S.U., Edge intelligence in the cognitive internet of things: Improving sensitivity and interactivity, IEEE Network, 33, 3, pp. 58-64, (2019)</t>
  </si>
  <si>
    <t xml:space="preserve">D.K. Choubey; Department of Computer Science and Engineering, Indian Institute of Information Technology Bhagalpur, Bihar, India; email: dkchoubey.cse@iiitbh.ac.in</t>
  </si>
  <si>
    <t xml:space="preserve">Sisodia D.S.; Garg L.; Pachori R.B.; Tanveer M.</t>
  </si>
  <si>
    <t xml:space="preserve">4th International Conference on Machine Intelligence and Signal Processing, MISP 2022</t>
  </si>
  <si>
    <t xml:space="preserve">12 March 2022 through 14 March 2022</t>
  </si>
  <si>
    <t xml:space="preserve">978-981990084-8</t>
  </si>
  <si>
    <t xml:space="preserve">2-s2.0-85163280874</t>
  </si>
  <si>
    <t xml:space="preserve">Sherif F.; Mohammed A.</t>
  </si>
  <si>
    <t xml:space="preserve">Sherif, Farah (58609316800); Mohammed, Ammar (25929443300)</t>
  </si>
  <si>
    <t xml:space="preserve">58609316800; 25929443300</t>
  </si>
  <si>
    <t xml:space="preserve">Detection of Malaria Infection Using Convolutional Neural Networks</t>
  </si>
  <si>
    <t xml:space="preserve">A parasite that causes the potentially fatal disease malaria is spread to humans by female Anopheles mosquitoes carrying this parasite. Despite global efforts to eradicate the disease, malaria is still a major public health problem, particularly in underdeveloped nations. The timely and accurate detection of malaria infection is necessary for effective treatment and for reducing the morbidity and mortality associated with the disease. However, identifying malaria-infected cells can be challenging, especially in areas with limited access to trained healthcare professionals. Recent advances in deep learning and computer vision have shown promising results in identifying several medical images. This paper proposes a new CNN model to identify whether cells are parasitized or uninfected with malaria to help health personnel save the lives of infected people. In various ways, the proposed CNN architecture is compared to other pre-trained models, VGG-19, ResNet50, DenseNet121, and Inception V3. The malaria cell dataset of 27,558 images is used for model evaluations. The findings show that the proposed model performs the best, with an accuracy score of 97%.  © 2023 IEEE.</t>
  </si>
  <si>
    <t xml:space="preserve">1st International Conference of Intelligent Methods, Systems and Applications, IMSA 2023</t>
  </si>
  <si>
    <t xml:space="preserve">10.1109/IMSA58542.2023.10217455</t>
  </si>
  <si>
    <t xml:space="preserve">https://www.scopus.com/inward/record.uri?eid=2-s2.0-85171789070&amp;doi=10.1109%2fIMSA58542.2023.10217455&amp;partnerID=40&amp;md5=5a9da1985b90e0c0636daf18b909eab3</t>
  </si>
  <si>
    <t xml:space="preserve">Misr International University, Faculty of Computer Science, Cairo, Egypt; FGSSR, Department of Computer Science, Cairo University, Egypt</t>
  </si>
  <si>
    <t xml:space="preserve">Sherif F., Misr International University, Faculty of Computer Science, Cairo, Egypt; Mohammed A., FGSSR, Department of Computer Science, Cairo University, Egypt</t>
  </si>
  <si>
    <t xml:space="preserve">Convolutional neural network (CNN); deep learning; image classification; malaria; supervised learning</t>
  </si>
  <si>
    <t xml:space="preserve">Convolution; Convolutional neural networks; Deep learning; Diseases; Medical imaging; Anopheles mosquitoes; Convolutional neural network; Deep learning; Fatal disease; Images classification; Infected cells; Malaria; Parasite-; Potentially fatal; Image classification</t>
  </si>
  <si>
    <t xml:space="preserve">Cdc-parasites, (2022); Malaria, (2022); Fact Sheet about Malaria, (2022); Cdc-malaria-diagnosis and Treatment (United States)-diagnosis (U.s, (2018); Alabrak M.M.A., Megahed M., Alkhouly A.A., Mohammed A., Elfandy H., Tahoun N., Ismail H.A.-R., Artificial intelligence role in subclassifying cytology of thyroid follicular neoplasm, Asian Pacific Journal of Cancer Prevention, 24, 4, pp. 1379-1387, (2023); Mohammed A., Yasser A., George S.E., Shazly A.E., Ashraf N.E., Basim Y., Cnn-based approach for prediction of periodontally teeth, 2022 2nd International Mobile, Intelligent, and Ubiquitous Computing Conference (MIUCC, pp. 147-152, (2022); Makram M., Ali N., Mohammed A., Machine learning approach for diagnosis of heart diseases, 2022 2nd International Mobile, Intelligent, and Ubiquitous Computing Conference (MIUCC, pp. 69-74, (2022); Mohamed A., Amer E., Eldin N., Hossam M., Elmasry N., Adnan G.T., Et al., The impact of data processing and ensemble on breast cancer detection using deep learning, Journal of Computing and Communication, 1, 1, pp. 27-37, (2022); Eldin S.N., Hamdy J.K., Adnan G.T., Hossam M., Elmasry N., Mohammed A., Deep learning approach for breast cancer diagnosis from microscopy biopsy images, 2021 International Mobile, Intelligent, and Ubiquitous Computing Conference (MIUCC, pp. 216-222, (2021); Ismael A.S.A., Mohammed A., Hefny H., An enhanced deep learning approach for brain cancer mri images classification using residual networks, Artificial Intelligence in Medicine, 102, (2020); Simonyan K., Zisserman A., Very Deep Convolutional Networks for Large-scale Image Recognition, (2014); Szegedy C., Vanhoucke V., Ioffe S., Shlens J., Wojna Z., Rethinking the inception architecture for computer vision, Proceedings of the IEEE Conference on Computer Vision and Pattern Recognition, pp. 2818-2826, (2016); Magotra V., Rohil M.K., Malaria diagnosis using a lightweight deep convolutional neural network, International Journal of Telemedicine and Applications, 2022, (2022); Oyewola D.O., Dada E.G., Misra S., Damasevicius R., A novel data augmentation convolutional neural network for detecting malaria parasite in blood smear images, Applied Artificial Intelligence, pp. 1-22, (2022); Huang G., Liu Z., Maaten Der L.Van, Weinberger K.Q., Densely connected convolutional networks, Proceedings of the IEEE Conference on Computer Vision and Pattern Recognition, pp. 4700-4708, (2017); He K., Zhang X., Ren S., Sun J., Deep residual learning for image recognition, Proceedings of the IEEE Conference on Computer Vision and Pattern Recognition, pp. 770-778, (2016); Khaled N., Mohsen S., El-Din K.E., Akram S., Metawie H., Mohamed A., In-door assistant mobile application using cnn and tensorflow, 2020 International Conference on Electrical, Communication, and Computer Engineering (ICECCE, pp. 1-6, (2020); Mohammed A., Furbach U., Stolzenburg F., Multi-robot systems: Modeling, specification, and model checking, Robot Soccer, pp. 241-265, (2010); Karam A.-F., Embaby M., El-Kady H., Abdel-Hafeez S., Nabil G., Mohammed A., Applying convolutional neural networks for image detection, 2019 International Conference on Smart Applications, Communications and Networking (SmartNets, pp. 1-8, (2019); Eldin S.S., Mohammed A., Eldin A.S., Hefny H., An enhanced opinion retrieval approach via implicit feature identification, Journal of Intelligent Information Systems, 57, pp. 101-126, (2021); Amin M., Hefny H., Mohammed A., Sign language gloss translation using deep learning models, International Journal of Advanced Computer Science and Applications, 12, 11, (2021); Hamed H., Helmy A.M., Mohammed A., Deep learning approach for translating Arabic holy quran into italian language, 2021 International Mobile, Intelligent, and Ubiquitous Computing Conference (MIUCC, pp. 193-199, (2021); Alkhouly A.A., Mohammed A., Hefny H.A., Improving the performance of deep neural networks using two proposed activation functions, IEEE Access, 9, pp. 82249-82271, (2021); Mansour A.E., Mohammed A., Elsayed H.A.E.A., Elramly S., Spatial-net for human-object interaction detection, IEEE Access, 10, pp. 88920-88931, (2022); Alabrak M., Megahed M., Mohammed A., Elfandy H., Tahoun N., Ismail H., Deep learning approach for classifying thyroid nodules, Laboratory Investigation, 102, (2022); Zhu Z., Wang S., Zhang Y., Roenet: A resnet-based output ensemble for malaria parasite classification, Electronics, 11, 13, (2022); Jameela T., Athotha K., Singh N., Gunjan V.K., Kahali S., Deep learning and transfer learning for malaria detection, Computational Intelligence and Neuroscience, 2022, (2022); Pimple K.M., Likhitkar P.P., Pande S., Convolutional neural networks for malaria image classification, Proceedings of Data Analytics and Management, pp. 459-470, (2022); Kamble R.A., Srikanth E., Sajjan S.S., Shetty T., Patil S., Malaria disease detection using deep learning, International Research Journal of Modernization in Engineering Technology and Science, (2022); Malaria Cell Images Dataset, (2018); About Lhncbc, (2022); Mohammed A., Kora R., A comprehensive review on ensemble deep learning: Opportunities and challenges, Journal of King Saud University-Computer and Information Sciences, 35, 2, pp. 757-774, (2023); Mansour A.E., Mohammed A., Elsayed H.A.E.A., Ramly S.H.E., Ensemble deep learning for human-object interaction detection, 2022 2nd International Mobile, Intelligent, and Ubiquitous Computing Conference (MIUCC, pp. 81-86, (2022); Mohammed A., Kora R., An effective ensemble deep learning framework for text classification, Journal of King Saud University-Computer and Information Sciences, 34, 10, pp. 8825-8837, (2022); Kora R., Mohammed A., An enhanced approach for sentiment analysis based on meta-ensemble deep learning, Social Network Analysis and Mining, 13, 1, (2023)</t>
  </si>
  <si>
    <t xml:space="preserve">F. Sherif; Misr International University, Faculty of Computer Science, Cairo, Egypt; email: Farah1913716@miuegypt.edu.eg</t>
  </si>
  <si>
    <t xml:space="preserve">15 July 2023 through 16 July 2023</t>
  </si>
  <si>
    <t xml:space="preserve">Giza</t>
  </si>
  <si>
    <t xml:space="preserve">979-835033556-9</t>
  </si>
  <si>
    <t xml:space="preserve">Int. Conf. Intell. Methods, Syst. Appl., IMSA</t>
  </si>
  <si>
    <t xml:space="preserve">2-s2.0-85171789070</t>
  </si>
  <si>
    <t xml:space="preserve">Nascimento M.S.; Costa M.G.F.; Costa Filho C.F.F.</t>
  </si>
  <si>
    <t xml:space="preserve">Nascimento, M.S. (58850329100); Costa, M.G.F. (55252953100); Costa Filho, C.F.F. (6506784770)</t>
  </si>
  <si>
    <t xml:space="preserve">58850329100; 55252953100; 6506784770</t>
  </si>
  <si>
    <t xml:space="preserve">Detection of Malaria Parasites in Thick Blood Smear Images using Shallow Neural Networks and Digital Image Processing Techniques</t>
  </si>
  <si>
    <t xml:space="preserve">In routine malaria microscopic diagnosis, the thick blood film exam is performed to detect malaria parasites. The microscopic diagnosis is based on counting the number of parasites (parasitemia) in stained blood slide. The most recent work published for malaria parasite detection and counting points in the direction of using complex neural network architectures, such as Efficient NET or ROENet convolutional networks, or specialized networks for object detection, such as YOLO and Faster- RCNN. Such models make the methods difficult to use on mobile devices. Simple models could run in mobile devices, mainly in regions of low-and-middle-income country, with poor internet access This work aims to present simple and fast models for malaria parasite counting and detection, based on shallow neural networks, as one layer perceptron, logistic regressor and multilayer perceptron, associated with digital image processing technique. The best results obtained, an F1-score of 97.57%, is better than other results previously published in the literature.  © 2023 IEEE.</t>
  </si>
  <si>
    <t xml:space="preserve">Proceedings of the 19th International Symposium on Medical Information Processing and Analysis, SIPAIM 2023</t>
  </si>
  <si>
    <t xml:space="preserve">10.1109/SIPAIM56729.2023.10373464</t>
  </si>
  <si>
    <t xml:space="preserve">https://www.scopus.com/inward/record.uri?eid=2-s2.0-85183468079&amp;doi=10.1109%2fSIPAIM56729.2023.10373464&amp;partnerID=40&amp;md5=b72c81779e082a07f16e9b5999b1bff5</t>
  </si>
  <si>
    <t xml:space="preserve">Federal University of Amazonas, Center for Research and Development in Electronics and Information Technology, Manaus, Brazil</t>
  </si>
  <si>
    <t xml:space="preserve">Nascimento M.S., Federal University of Amazonas, Center for Research and Development in Electronics and Information Technology, Manaus, Brazil; Costa M.G.F., Federal University of Amazonas, Center for Research and Development in Electronics and Information Technology, Manaus, Brazil; Costa Filho C.F.F., Federal University of Amazonas, Center for Research and Development in Electronics and Information Technology, Manaus, Brazil</t>
  </si>
  <si>
    <t xml:space="preserve">malaria diagnosis; shallow neural network; thick blood smear images</t>
  </si>
  <si>
    <t xml:space="preserve">Blood; Convolutional neural networks; Developing countries; Digital devices; Diseases; Network architecture; Object detection; Blood smears; Complex neural networks; Digital image processing technique; Malaria diagnosis; Malaria parasite; Neural-networks; Parasitemia; Shallow neural network; Simple modeling; Thick blood smear image; Multilayer neural networks</t>
  </si>
  <si>
    <t xml:space="preserve">FAEPI; Universidade Federal do Amazonas, UFAM; Samsung Eletrônica da Amazônia, (8.387/1991)</t>
  </si>
  <si>
    <t xml:space="preserve">This research, carried out within the scope of the Samsung-UFAM Project for Education and Research (SUPER), according to Article 39 of Decree n°10521/2020, was funded by Samsung Electronics of Amazonia Ltda., under the terms of Federal Law n°8.387/1991, agreement 001/2020, signed with UFAM/FAEPI, Brazil.</t>
  </si>
  <si>
    <t xml:space="preserve">World malaria report, (2022); Guideline WHO Guidelines for malaria-14 March 2023, (2023); Dave I.R., Upla K.P., Computer aided diagnosis of Malaria disease for thin and thick blood smear microscopic images, 4th Int. Conf. Signal Process. Integr. Networks, SPIN 2017, pp. 561-565, (2017); Dave I.R., Image analysis for malaria parasite detection from microscopic images of thick blood smear, Int. Conf. Wirel. Commun. Signal Process. Networking, WiSPNET 2017, 2018, pp. 1303-1307, (2018); Yang F., Et al., Deep Learning for Smartphone-Based Malaria Parasite Detection in Thick Blood Smears, IEEE J. Biomed. Heal. Informatics, 24, 5, pp. 1427-1438, (2020); Abidin S.R., Salamah U., Nugroho A.S., Segmentation of malaria parasite candidates from thick blood smear microphotographs image using active contour without edge, 1st Int. Conf. Biomed. Eng. Empower. Biomed. Technol. Better Futur. IBIOMED 2016, pp. 8-13, (2017); Aris T.A., Nasir A.S.A., Chin L.C., Jaafar H., Mohamed Z., Fast k-means clustering algorithm for malaria detection in thick blood smear, 10th Int. Conf. Syst. Eng. Technol. ICSET 2020., pp. 267-272, (2020); Abdurahman F., Fante K.A., Aliy M., Malaria parasite detection in thick blood smear microscopic images using modified YOLOV3 and YOLOV4 models, BMC Bioinformatics, 22, 1, pp. 1-17, (2021); Nugroho H.A., Nurfauzi R., Deep Learning Approach for Malaria Parasite Detection in Thick Blood Smear Images, 17th Int. Conf. Qual. Res. QIR, pp. 114-118, (2021); Abdul-Nasir A.S., Mashor M.Y., Mohamed Z., Modified global and modified linear contrast stretching algorithms: New colour contrast enhancement techniques for microscopic analysis of malaria slide images, Comput. Math. Methods Med., 2012, (2012); Hagan M.T., Demuth H.B., Beale M.H., De Jesus O., Neural Network Design, (2020)</t>
  </si>
  <si>
    <t xml:space="preserve">M.S. Nascimento; Federal University of Amazonas, Center for Research and Development in Electronics and Information Technology, Manaus, Brazil; email: mattsaraiva@gmail.com.br</t>
  </si>
  <si>
    <t xml:space="preserve">Fundacion SIPAIM; Universidad Panamericana; Voxel Health Care</t>
  </si>
  <si>
    <t xml:space="preserve">19th International Symposium on Medical Information Processing and Analysis, SIPAIM 2023</t>
  </si>
  <si>
    <t xml:space="preserve">15 November 2023 through 17 November 2023</t>
  </si>
  <si>
    <t xml:space="preserve">Mexico City</t>
  </si>
  <si>
    <t xml:space="preserve">979-835032523-2</t>
  </si>
  <si>
    <t xml:space="preserve">Proc. Int. Symp. Med. Inf. Process. Anal., SIPAIM</t>
  </si>
  <si>
    <t xml:space="preserve">2-s2.0-85183468079</t>
  </si>
  <si>
    <t xml:space="preserve">Pinetsuksai N.; Kittichai V.; Jomtarak R.; Jaksukam K.; Tongloy T.; Boonsang S.; Chuwongin S.</t>
  </si>
  <si>
    <t xml:space="preserve">Pinetsuksai, Natchapon (58655942200); Kittichai, Veerayuth (35503529300); Jomtarak, Rangsan (36473218200); Jaksukam, Komgrit (54385545500); Tongloy, Teerawat (57193333016); Boonsang, Siridech (15064031100); Chuwongin, Santhad (57212696483)</t>
  </si>
  <si>
    <t xml:space="preserve">58655942200; 35503529300; 36473218200; 54385545500; 57193333016; 15064031100; 57212696483</t>
  </si>
  <si>
    <t xml:space="preserve">Development of Self-Supervised Learning with Dinov2-Distilled Models for Parasite Classification in Screening</t>
  </si>
  <si>
    <t xml:space="preserve">At present, parasitic infections in humans, such as intestinal parasitic infections and soil-transmitted helminth (STH) infection, remain a public health concern, with screening methods that are simple but time-consuming and require parasitology experts. Microscopy images are increasingly being used to aid diagnosis but creating labels for supervised learning (SL) is a time-consuming, labor-intensive, and costly process. Self-supervised learning (SSL) is a deep learning approach that aims to train models to represent features in unlabeled datasets using automatically generated labels or annotations from the data itself, rather than explicitly labeled human-labeled labels. It is an appropriate method to address the challenges associated with the difficulty of labeling large datasets. A pretrained model that has learned useful data representations from an SSL task is fine-tuned using labeled data to perform well on a specific downstream task. DINOv2 is an SSL model based on the Vision Transformer (ViT) architecture. In this study, we aim to create a model for screening for helminth egg infection using a fine-tuned Dinov2 with a classification layer head to demonstrate that dataset sizes of 1% and 10% are sufficient when compared to SL model. Rather than SL, which requires a significant amount of human data labeling and is generally impractical, the model developed in this study is expected to be used in active surveillance in the future.  © 2023 IEEE.</t>
  </si>
  <si>
    <t xml:space="preserve">2023 15th International Conference on Information Technology and Electrical Engineering, ICITEE 2023</t>
  </si>
  <si>
    <t xml:space="preserve">10.1109/ICITEE59582.2023.10317719</t>
  </si>
  <si>
    <t xml:space="preserve">https://www.scopus.com/inward/record.uri?eid=2-s2.0-85179891077&amp;doi=10.1109%2fICITEE59582.2023.10317719&amp;partnerID=40&amp;md5=7a15a0120755808f46d925e6cce45f93</t>
  </si>
  <si>
    <t xml:space="preserve">College of Advanced Manufacturing Innovation, King Mongkut's Institute of Technology Ladkrabang, Bangkok, Thailand; King Mongkut's Institute of Technology Ladkrabang, Faculty of Medicine, Bangkok, Thailand; Suan Dusit University, Faculty of Science and Technology, Bangkok, Thailand; School of Engineering, King Mongkut's Institute of Technology Ladkrabang, Department of Electrical Engineering, Bangkok, Thailand</t>
  </si>
  <si>
    <t xml:space="preserve">Pinetsuksai N., College of Advanced Manufacturing Innovation, King Mongkut's Institute of Technology Ladkrabang, Bangkok, Thailand; Kittichai V., King Mongkut's Institute of Technology Ladkrabang, Faculty of Medicine, Bangkok, Thailand; Jomtarak R., Suan Dusit University, Faculty of Science and Technology, Bangkok, Thailand; Jaksukam K., College of Advanced Manufacturing Innovation, King Mongkut's Institute of Technology Ladkrabang, Bangkok, Thailand; Tongloy T., College of Advanced Manufacturing Innovation, King Mongkut's Institute of Technology Ladkrabang, Bangkok, Thailand; Boonsang S., School of Engineering, King Mongkut's Institute of Technology Ladkrabang, Department of Electrical Engineering, Bangkok, Thailand; Chuwongin S., College of Advanced Manufacturing Innovation, King Mongkut's Institute of Technology Ladkrabang, Bangkok, Thailand</t>
  </si>
  <si>
    <t xml:space="preserve">Bootstrap Your Own Latent (BYOL); Dinov2; Object classification; parasite eggs; Self-supervised learning (SSL)</t>
  </si>
  <si>
    <t xml:space="preserve">Classification (of information); Computer vision; Deep learning; Large dataset; Learning systems; Bootstrap your own latent; Dinov2; Health concerns; Learning models; Object classification; Parasite eggs; Parasite-; Parasitic infections; Screening methods; Self-supervised learning; Supervised learning</t>
  </si>
  <si>
    <t xml:space="preserve">Eyayu T., Et al., Prevalence of intestinal parasitic infections and associated factors among patients attending at Sanja Primary Hospital, Northwest Ethiopia: An institutional-based cross-sectional study, PLoS ONE, 16, (2021); Kache R., Phasuk N., Viriyavejakul P., Punsawad C., Prevalence of soil-transmitted helminth infections and associated risk factors among elderly individuals living in rural areas of southern Thailand, BMC Public Health, 20, (2020); Lim C.C., Khairudin N.A.A., Loke S.W., Nasir A.S.A., Chong Y.F., Mohamed Z., Comparison of Human Intestinal Parasite Ova Segmentation Using Machine Learning and Deep Learning Techniques, Applied Sciences, (2022); Ricciardi A., Ndao M., Diagnosis of Parasitic Infections: What's Going On, Journal of Biomolecular Screening, 20, 1, pp. 6-21, (2015); Avci D., Varol A., An expert diagnosis system for classification of human parasite eggs based on multi-class SVM, Expert Systems with Applications, 36, 1, pp. 43-48, (2009); Dosovitskiy A., Et al., An Image is Worth 16x16 Words: Transformers for Image Recognition at Scale; Chowdhury A., Rosenthal J., Waring J., Umeton R., Applying Self-Supervised Learning to Medicine: Review of the State of the Art and Medical Implementations, Informatics, 8, 3, (2021); Huang S.-C., Pareek A., Jensen M.E.K., Lungren M.P., Yeung S., Chaudhari A.S., Self-supervised learning for medical image classification: A systematic review and implementation guidelines, NPJ Digital Medicine, 6, (2023); Balestriero R., Et al., A Cookbook of Self-Supervised Learning; Park J., Kwak I.-Y., Lim C., A Deep Learning Model with Self-Supervised Learning and Attention Mechanism for COVID-19 Diagnosis Using Chest X-ray Images, Electronics, 10, 16, (2021); Oquab M., Et al., DINOv2: Learning Robust Visual Features without Supervision; Duangdao Palasuwan K.N., Kobchaisawat T., Chalidabhongse T.H., Nunthanasup N., Boonpeng K., Anantrasirichai N., Parasitic Egg Detection and Classification in Microscopic Images, IEEE Dataport, (2022); Pinetsuksai N., Superior automatic screening for human helminthic ova by using self-supervised learning approach-based object classification, ACIIDS; Naing K.M., Et al., Automatic recognition of parasitic products in stool examination using object detection approach, PeerJ Computer Science, 8, (2022); Markoulidakis I., Kopsiaftis G., Rallis I., Georgoulas I., Multi-Class Confusion Matrix Reduction method and its application on Net Promoter Score classification problem, the Proceedings of the 14th PErvasive Technologies Related to Assistive Environments Conference, (2021); Fu M., Wu K., Li Y., Luo L., Huang W., Zhang Q., An intelligent detection method for plasmodium based on self-supervised learning and attention mechanism, (2022); Jomtarak R., Et al., Mobile Bot Application for Identification of Trypanosoma evansi Infection through Thin-Blood Film Examination Based on Deep Learning Approach, 2023 IEEE International Conference on Cybernetics and Innovations (ICCI), pp. 1-7, (2023); Suwannaphong T., Chavana S., Tongsom S., Palasuwan D., Chalidabhongse T.H., Anantrasirichai N., Parasitic Egg Detection and Classification in Low-cost Microscopic Images using Transfer Learning, (2021)</t>
  </si>
  <si>
    <t xml:space="preserve">15th International Conference on Information Technology and Electrical Engineering, ICITEE 2023</t>
  </si>
  <si>
    <t xml:space="preserve">26 October 2023 through 27 October 2023</t>
  </si>
  <si>
    <t xml:space="preserve">Chiang Mai</t>
  </si>
  <si>
    <t xml:space="preserve">979-835030446-6</t>
  </si>
  <si>
    <t xml:space="preserve">Int. Conf. Inf. Technol. Electr. Eng., ICITEE</t>
  </si>
  <si>
    <t xml:space="preserve">2-s2.0-85179891077</t>
  </si>
  <si>
    <t xml:space="preserve">Dath M.K.; Nazir N.</t>
  </si>
  <si>
    <t xml:space="preserve">Dath, Mogalraj Kushal (58164260600); Nazir, Nahida (57204834713)</t>
  </si>
  <si>
    <t xml:space="preserve">58164260600; 57204834713</t>
  </si>
  <si>
    <t xml:space="preserve">Diagnosing malaria with AI and image processing</t>
  </si>
  <si>
    <t xml:space="preserve">This research seeks to investigate the possibility of using deep learning strategies in the process of diagnosing malaria, a virus that affects billions of people all over the world. Standard lab tests for malaria require the services of a qualified laboratory technician as well as an in-depth analysis of blood samples. This process can be expensive, time-consuming, and prone to errors caused by humans. This work attempts to enhance the accuracy of malaria diagnosis while also increasing the rate at which it can be performed by utilizing the capabilities of deep learning. We evaluate the performance of various methods for identifying the Plasmodium parasite in thin blood smear images by using deep learning models such as CNN, ResNet50, and VGG19 in accordance with noise reduction techniques and image segmentation methods. This allows us to compare the accuracy of the various methods. According to the findings of our research, the VGG19 model had the greatest overall performance. It had an accuracy of 0.9286 as well as a low false-positive and losing rate. The model is also tiny, making it easy to transport and use in a variety of contexts due to its portability. This study gives an overview of the current advancements in deep learning for malaria diagnosis. It also illustrates the potential for AI to increase both the accuracy and speed of malaria diagnosis.  © 2023 IEEE.</t>
  </si>
  <si>
    <t xml:space="preserve">Proceedings of 2023 3rd International Conference on Innovative Practices in Technology and Management, ICIPTM 2023</t>
  </si>
  <si>
    <t xml:space="preserve">10.1109/ICIPTM57143.2023.10118264</t>
  </si>
  <si>
    <t xml:space="preserve">https://www.scopus.com/inward/record.uri?eid=2-s2.0-85160015365&amp;doi=10.1109%2fICIPTM57143.2023.10118264&amp;partnerID=40&amp;md5=cd2756d834cc5efdc466e1c9857bdca7</t>
  </si>
  <si>
    <t xml:space="preserve">Lovely Professional University, Division of Computer Science and Engineering, Phagwara, India; Lovely Professional University, Division of Computer Science, Phagwara, India</t>
  </si>
  <si>
    <t xml:space="preserve">Dath M.K., Lovely Professional University, Division of Computer Science and Engineering, Phagwara, India; Nazir N., Lovely Professional University, Division of Computer Science, Phagwara, India</t>
  </si>
  <si>
    <t xml:space="preserve">CNN; Deep learning; image segmentation methods; noise reduction techniques; Plasmodium parasite; ResNet50; VGG19</t>
  </si>
  <si>
    <t xml:space="preserve">Blood; Deep learning; Diseases; Learning systems; Noise abatement; Viruses; Deep learning; Image segmentation method; Images segmentations; Malaria diagnosis; Noise reduction technique; Performance; Plasmodium parasites; Resnet50; Segmentation methods; VGG19; Image segmentation</t>
  </si>
  <si>
    <t xml:space="preserve">Shekar G., Revathy S., Goud E.K., Malaria Detection using Deep Learning, Proc. 4th Int. Conf. Trends Electron. Informatics, ICOEI 2020, pp. 746-750, (2020); Swastika W., Kristianti G.M., Widodo R.B., Effective preprocessed thin blood smear images to improve malaria parasite detection using deep learning, J. Phys. Conf. Ser., 1869, 1, (2021); Masud M., Et al., Leveraging Deep Learning Techniques for Malaria Parasite Detection Using Mobile Application, Wirel. Commun. Mob. Comput., 2020, (2020); Narayanan B.N., Ali R.A., Hardie R.C., Performance analysis of machine learning and deep learning architectures for malaria detection on cell images, (2019); Pattanaik P.A., Mittal M., Khan M.Z., Unsupervised Deep Learning CAD Scheme for the Detection of Malaria in Blood Smear Microscopic Images, IEEE Access, 8, pp. 94936-94946, (2020); Nayak S., Kumar S., Jangid M., Malaria detection using multiple deep learning approaches, 2019 2nd Int. Conf. Intell. Commun. Comput. Tech. ICCT 2019, pp. 292-297, (2019); Dagadkhair S., Et al., Survey of malaria detection using deep learning., (2021); Yang Z., Benhabiles H., Hammoudi K., Windal F., He R., Collard D., A generalized deep learning-based framework for assistance to the human malaria diagnosis from microscopic images, Neural Comput. Appl., 34, 17, pp. 14223-14238, (2022); Molina A., Rodellar J., Boldu L., Acevedo A., Alferez S., Merino A., Automatic identification of malaria and other red blood cell inclusions using convolutional neural networks, Comput. Biol. Med., 136, (2021); Sinha S., Srivastava U., Dhiman V., Akhilan P.S., Mishra S., Performance assessment of deep learning procedures: Sequential and ResNet on malaria dataset, J. Robot. Control, 2, 1, pp. 12-18, (2021); An Efficient Image Classification of Malaria Parasite Using Convolutional Neural Network and ADAM Optimizer, Turkish J. Comput. Math. Educ., 12, 2, pp. 3376-3384, (2021); Cavallari G.B., Ponti M.A., Training strategies with unlabeled and few labeled examples under 1-pixel attack by combining supervised and self-supervised learning, (2022); Pattanaik P.A., Swarnkar T., Swain D., Deep filter bridge for malaria identification and classification in microscopic blood smear images, Int. J. Adv. Intell. Paradig., 20, 1-2, pp. 126-137, (2021); Li S., Du Z., Meng X., Zhang Y., Multi-stage malaria parasite recognition by deep learning, Gigascience, 10, 6, pp. 1-11, (2021); Loh D.R., Yong W.X., Yapeter J., Subburaj K., Chandramohanadas R., A deep learning approach to the screening of malaria infection: Automated and rapid cell counting, object detection and instance segmentation using Mask R-CNN, Comput. Med. Imaging Graph., 88, (2021); Kiskin I., Cobb A.D., Sinka M., Willis K., Roberts S.J., Automatic Acoustic Mosquito Tagging with Bayesian Neural Networks, Lect. Notes Comput. Sci. (including Subser. Lect. Notes Artif. Intell. Lect. Notes Bioinformatics), pp. 351-366, (2021); Maqsood A., Farid M.S., Khan M.H., Grzegorzek M., Deep malaria parasite detection in thin blood smear microscopic images, Appl. Sci., 11, 5, pp. 1-19, (2021); Pasupa K., Tungjitnob S., Vatathanavaro S., Semi-supervised learning with deep convolutional generative adversarial networks for canine red blood cells morphology classification, Multimed. Tools Appl., 79, 45-46, pp. 34209-34226, (2020); Kapoor R., Malaria Detection using Deep Convolutional Neural Network; Shi L., Guan Z., Liang C., You H., Automatic Classification of Plasmodium for Malaria Diagnosis based on Ensemble Neural Network, ACM Int. Conf. Proceeding Ser., pp. 80-85, (2020); Gu H., Et al., Blind channel identification aided generalized automatic modulation recognition based on deep learning, IEEE Access, 7, pp. 110722-110729, (2019); Sakib S., Et al., Detection of COVID-19 disease from chest Xray images: A deep transfer learning framework, MedRxiv, (2020); Marin I., Et al., Deep-Feature-Based Approach to Marine Debris Classification, Applied Sciences, 11, 12, (2021); Dr. Souare explains malaria in Bambara., (2020); World Health Organization 2022, (2023)</t>
  </si>
  <si>
    <t xml:space="preserve">IEEE UP Section</t>
  </si>
  <si>
    <t xml:space="preserve">3rd International Conference on Innovative Practices in Technology and Management, ICIPTM 2023</t>
  </si>
  <si>
    <t xml:space="preserve">22 February 2023 through 24 February 2023</t>
  </si>
  <si>
    <t xml:space="preserve">Uttar Pradesh</t>
  </si>
  <si>
    <t xml:space="preserve">979-835033623-8</t>
  </si>
  <si>
    <t xml:space="preserve">Proc. Int. Conf. Innov. Pract. Technol. Manag., ICIPTM</t>
  </si>
  <si>
    <t xml:space="preserve">2-s2.0-85160015365</t>
  </si>
  <si>
    <t xml:space="preserve">Nikam A.; Ranade P.; Goswami T.</t>
  </si>
  <si>
    <t xml:space="preserve">Nikam, Atharva (58265973300); Ranade, Pranita (58266441400); Goswami, Tanmoy (57193512501)</t>
  </si>
  <si>
    <t xml:space="preserve">58265973300; 58266441400; 57193512501</t>
  </si>
  <si>
    <t xml:space="preserve">Diagnosis of Leprosy through AI-based Mobile Application</t>
  </si>
  <si>
    <t xml:space="preserve">No digital service is available to diagnose various skin diseases quickly. It is a time-consuming and costly process. Diagnosing leprosy has always been challenging; if not diagnosed on time, it can cause fatal effects. About 120,000 to 130,000 new leprosy cases are reported annually in India. India accounts for 58.8% of the global total of new cases. There's no digital service available for people to diagnose various skin diseases quickly without being late and going through costly processes. This paper proposes an AI-based application to detect skin lesions to diagnose leprosy in a cheaper, quicker, and more effective way, which would help in rapid tests anytime, anywhere, and avoid complications from leprosy. Critical design thinking and various research methods are employed in the proposed concept. The proposed design concept is economical and sustainable, catering to many consumers.  © 2023 IEEE.</t>
  </si>
  <si>
    <t xml:space="preserve">2022 OPJU International Technology Conference on Emerging Technologies for Sustainable Development, OTCON 2022</t>
  </si>
  <si>
    <t xml:space="preserve">10.1109/OTCON56053.2023.10114031</t>
  </si>
  <si>
    <t xml:space="preserve">https://www.scopus.com/inward/record.uri?eid=2-s2.0-85159777827&amp;doi=10.1109%2fOTCON56053.2023.10114031&amp;partnerID=40&amp;md5=7376832427074864c4b57a4ae35a62af</t>
  </si>
  <si>
    <t xml:space="preserve">(Deemed University), Symbiosis Institute of Design, Pune Symbiosis International, Pune, India</t>
  </si>
  <si>
    <t xml:space="preserve">Nikam A., (Deemed University), Symbiosis Institute of Design, Pune Symbiosis International, Pune, India; Ranade P., (Deemed University), Symbiosis Institute of Design, Pune Symbiosis International, Pune, India; Goswami T., (Deemed University), Symbiosis Institute of Design, Pune Symbiosis International, Pune, India</t>
  </si>
  <si>
    <t xml:space="preserve">Artificial Intelligence; Design Thinking; Digital Diagnosis; Human-Computer Interaction; Leprosy</t>
  </si>
  <si>
    <t xml:space="preserve">Dermatology; Diseases; Human computer interaction; Critical design; Design thinking; Digital diagnose; Digital services; Leprosy; Mobile applications; New case; Rapid test; Skin disease; Skin lesion; Diagnosis</t>
  </si>
  <si>
    <t xml:space="preserve">Miller K., Leprosy, (2020); Lockwood D.N., Treatment of leprosy, Interrnational Textbook of Leprosy, (2019); Myers J., These will be the world's most populous countries by 2030, World Economic Forum, (2022); India to have 1 billion smartphone users by 2026: Deloitte report, (2022); Comtois J., India to Have 1 Billion Smartphone Users by 2026, (2022); David S.J.D.V., Blok J., Global elimination of Leprosy by 2020?, Are we on track., (2015); Kruijff D.A.D., Using Smartphones to Detect Leprosy; Tankha R.S., Why leprosy cases are emerging in India at higher intensity, (2021); Mernin A., How AI could end one of the oldest scourges known to man, Health Tech World, (2022); Daumerie D.D., Global Strategy for Further Reducing the Leprosy Burden and Sustaining Leprosy Control Activities, (2005); Henry W.H.V.B., De Vries J., Social implications of leprosy in Netharlands- Stigma among ex leprosy patients in non-endemic setting, Researchgate. net, (2011); Schroer A., How Does Artificial Intelligence Work?, (2022); Buis L.A.D.O.F.L., Leprosy screening based on artificial intelligence: Development of a cross-platform app, National Library of Medicine, (2021); Elfein J., New cases of leprosy in the most impacted countries worldwide in 2021, Statista, (2022); Global leprosy, Weekly epidemiological record, (2020)</t>
  </si>
  <si>
    <t xml:space="preserve">A. Nikam; (Deemed University), Symbiosis Institute of Design, Pune Symbiosis International, Pune, India; email: atharvanikam4@gmail.com</t>
  </si>
  <si>
    <t xml:space="preserve">8 February 2023 through 10 February 2023</t>
  </si>
  <si>
    <t xml:space="preserve">978-166549294-2</t>
  </si>
  <si>
    <t xml:space="preserve">OPJU Int. Technol. Conf. Emerg. Technol. Sustain. Dev., OTCON</t>
  </si>
  <si>
    <t xml:space="preserve">2-s2.0-85159777827</t>
  </si>
  <si>
    <t xml:space="preserve">Rajput A.; Saxena S.; Adhikari M.</t>
  </si>
  <si>
    <t xml:space="preserve">Rajput, Amrita (58664076100); Saxena, Shikhar (57657891800); Adhikari, Mainak (56340886300)</t>
  </si>
  <si>
    <t xml:space="preserve">58664076100; 57657891800; 56340886300</t>
  </si>
  <si>
    <t xml:space="preserve">Edge-Assisted Framework for Malaria Parasite Detection on Cell Images Using Federated Learning</t>
  </si>
  <si>
    <t xml:space="preserve">Malaria is a serious and fatal disease spread by female Anopheles. In past decades, the Deep Learning models played the most powerful roles for malaria parasite detection. However, concerning the privacy of patient medical records, prevents data sharing in medical institutions, resulting in the unexpected performance of Deep Neural Network models. Thankfully, Federated Learning (FL) provides the opportunity to train models locally and build the global model based on the updates received from local client models without sharing data. The traditional Federated Averaging algorithm assumes equal contributions from all participants in building the global model. Therefore, it limits the different applications by ignoring the potential domain of several different FL participants. The challenges mentioned above motivate us to propose a framework of FL using customized Weighted Averaging for Malaria Parasite Detection using Cell Microscopic (CMR) Images, collected from different medical institutions at the edge using a Convolutional Neural Network, named FedWtAvg. The proposed FedWtAvg provides the advantage of giving higher priority to participants who have large amounts of data and can build an effective global model. Extensive experiments were conducted on the CMR Images dataset to demonstrate that FedWtAvg outperforms and improves the accuracy by around 1.21 % over existing ones without data sharing and real-time continuous learning. © 2023 IEEE.</t>
  </si>
  <si>
    <t xml:space="preserve">Proceedings - IEEE Global Communications Conference, GLOBECOM</t>
  </si>
  <si>
    <t xml:space="preserve">10.1109/GLOBECOM54140.2023.10437674</t>
  </si>
  <si>
    <t xml:space="preserve">https://www.scopus.com/inward/record.uri?eid=2-s2.0-85187391454&amp;doi=10.1109%2fGLOBECOM54140.2023.10437674&amp;partnerID=40&amp;md5=0d8650a4a2a84e5aadaf22df3588fe2f</t>
  </si>
  <si>
    <t xml:space="preserve">Indian Institute of Information Technology, Department of Computer Science, Lucknow, India</t>
  </si>
  <si>
    <t xml:space="preserve">Rajput A., Indian Institute of Information Technology, Department of Computer Science, Lucknow, India; Saxena S., Indian Institute of Information Technology, Department of Computer Science, Lucknow, India; Adhikari M., Indian Institute of Information Technology, Department of Computer Science, Lucknow, India</t>
  </si>
  <si>
    <t xml:space="preserve">Cell Microscopic Images; Convolutional Neural Network; Federated Learning; Malaria Parasite</t>
  </si>
  <si>
    <t xml:space="preserve">Convolution; Deep neural networks; Diseases; Image enhancement; Learning systems; Medical imaging; Cell images; Cell microscopic image; Convolutional neural network; Data Sharing; Fatal disease; Federated learning; Global models; Malaria parasite; Medical institutions; Microscopic image; Convolutional neural networks</t>
  </si>
  <si>
    <t xml:space="preserve">Tanveer M., Rashid A.H., Ganaie M., Reza M., Razzak I., Hua K.-L., Classification of Alzheimer's disease using ensemble of deep neural networks trained through transfer learning, IEEE Journal of Biomedical and Health Informatics, 26, 4, pp. 1453-1463, (2021); Pattanaik P.A., Mittal M., Khan M.Z., Unsupervised deep learning cad scheme for the detection of malaria in blood smear microscopic images, IEEE Access, 8, pp. 94936-94946, (2020); Koirala A., Jha M., Bodapati S., Mishra A., Chetty G., Sahu P.K., Mohanty S., Padhan T.K., Mattoo J., Hukkoo A., Deep learning for real-time malaria parasite detection and counting using yolo-mp, IEEE Access, 10, pp. 102157-102172, (2022); Li Y., Wang X., Zeng R., Donta P.K., Murturi I., Huang M., Dustdar S., Federated domain generalization: A survey, (2023); Kumar R., Khan A.A., Kumar J., Golilarz N.A., Zhang S., Ting Y., Zheng C., Wang W., Et al., Blockchain-federated-learning and deep learning models for covid-19 detection using ct imaging, IEEE Sensors Journal, 21, 14, pp. 16301-16314, (2021); Akter M., Moustafa N., Lynar T., Razzak I., Edge intelligence: Federated learning-based privacy protection framework for smart healthcare systems, IEEE Journal of Biomedical and Health Informatics, 26, 12, pp. 5805-5816, (2022); Rosa B.M., Yang G.Z., Portable impedance analyzer as a rapid screening tool for malaria: An experimental study with culture and blood infected samples by early forms of plasmodium falciparum, IEEE Transactions on Biomedical Engineering, 67, 12, pp. 3531-3541, (2020); Feng C., Wu J., Wei H., Xu L., Zou Q., Crcf: A method of identifying secretory proteins of malaria parasites, IEEE/ACM transactions on computational biology and bioinformatics, (2021); Chaudhury S., Yu C., Liu R., Kumar K., Hornby S., Duplessis C., Sklar J.M., Epstein J.E., Reifman J., Wearables detect malaria early in a controlled human-infection study, IEEE Transactions on Biomedical Engineering, 69, 6, pp. 2119-2129, (2021); Khan S., Sajjad M., Hussain T., Ullah A., Imran A.S., A review on traditional machine learning and deep learning models for wbcs classification in blood smear images, IEEE Access, 9, pp. 10657-10673, (2020); Yang F., Poostchi M., Yu H., Zhou Z., Silamut K., Yu J., Maude R.J., Jaeger S., Antani S., Deep learning for smartphone-based malaria parasite detection in thick blood smears, IEEE journal of biomedical and health informatics, 24, 5, pp. 1427-1438, (2019); Gupta A., Sabirsh A., Wahlby C., Sintorn I.-M., Simsearch: A human-in-the-loop learning framework for fast detection of regions of interest in microscopy images, bioRxiv, (2022); Kassim Y.M., Palaniappan K., Yang F., Poostchi M., Palaniappan N., Maude R.J., Antani S., Jaeger S., Clustering-based dual deep learning architecture for detecting red blood cells in malaria diagnostic smears, IEEE Journal of Biomedical and Health Informatics, 25, 5, pp. 1735-1746, (2020); Thakur A., Sharma P., Clifton D.A., Dynamic neural graphs based federated reptile for semi-supervised multi-tasking in healthcare applications, IEEE Journal of Biomedical and Health Informatics, 26, 4, pp. 1761-1772, (2021); Lim W.Y.B., Garg S., Xiong Z., Niyato D., Leung C., Miao C., Guizani M., Dynamic contract design for federated learning in smart healthcare applications, IEEE Internet of Things Journal, 8, 23, pp. 16853-16862, (2020); Elayan H., Aloqaily M., Guizani M., Sustainability of healthcare data analysis iot-based systems using deep federated learning, IEEE Internet of Things Journal, 9, 10, pp. 7338-7346, (2021); Zhang M., Qu L., Singh P., Kalpathy-Cramer J., Rubin D.L., Splitavg: A heterogeneity-aware federated deep learning method for medical imaging, IEEE Journal of Biomedical and Health Informatics, 26, 9, pp. 4635-4644, (2022); Li Z., Xu X., Cao X., Liu W., Zhang Y., Chen D., Dai H., Integrated cnn and federated learning for covid-19 detection on chest x-ray images, IEEE/ACM Transactions on Computational Biology and Bioinformatics, (2022); Chen J., Li J., Huang R., Yue K., Chen Z., Li W., Federated transfer learning for bearing fault diagnosis with discrepancy-based weighted federated averaging, IEEE Transactions on Instrumentation and Measurement, (2022); Nandy S., Adhikari M., Chakraborty S., Alkhayyat A., Kumar N., Ibonn: Intelligent agent-based internet of medical things framework for detecting brain response from electroencephalography signal using bagof-neural network, Future Generation Computer Systems, 130, pp. 241-252, (2022)</t>
  </si>
  <si>
    <t xml:space="preserve">2023 IEEE Global Communications Conference, GLOBECOM 2023</t>
  </si>
  <si>
    <t xml:space="preserve">4 December 2023 through 8 December 2023</t>
  </si>
  <si>
    <t xml:space="preserve">Kuala Lumpur</t>
  </si>
  <si>
    <t xml:space="preserve">979-835031090-0</t>
  </si>
  <si>
    <t xml:space="preserve">Proc. - IEEE Glob. Commun. Conf., GLOBECOM</t>
  </si>
  <si>
    <t xml:space="preserve">2-s2.0-85187391454</t>
  </si>
  <si>
    <t xml:space="preserve">Chanda P.B.; Chatterjee S.; Sen R.; Chandra S.; Das A.; Sarkar S.K.</t>
  </si>
  <si>
    <t xml:space="preserve">Chanda, Pramit Brata (56206380400); Chatterjee, Sarthak (57201659582); Sen, Ritoja (58648229600); Chandra, Sunidhi (58727366700); Das, Abhinaba (57198696430); Sarkar, Subir Kumar (55680682800)</t>
  </si>
  <si>
    <t xml:space="preserve">56206380400; 57201659582; 58648229600; 58727366700; 57198696430; 55680682800</t>
  </si>
  <si>
    <t xml:space="preserve">Effective Identification And Diagnosis Of Malaria Parasite In Blood Cell Images Through Deep Learning Approach</t>
  </si>
  <si>
    <t xml:space="preserve">Malaria is a disease touching more than million's of lifes in tropical regions all over the world. While benign in most cases, certain variants of malaria are known to be fatal if not treated at the right time. As such, this is a serious threat and has received attention from researchers far and wide. Due to the long, delicate, and labor-intensive process of pathological diagnosis, malaria is often erroneously diagnosed or not diagnosed early enough to prevent the ill effects. Therefore, this study based on trying to devise a method of computer aided diagnosis of malaria with high accuracy rates, using machine learning and deep learning methods. With the enormous research already dedicated to the subject, we have found several previously created models available for image based diagnosis of the same. Here the objective is to increase the accuracy of the tests while decreasing the time taken for the individual testing. In the process, also seek to verify, through replication of process, the possibility of data leak and overfitting of the models. Further methodology of quantization and sparsity checks on Deep Learning models, and transfer learning will be applied for betterment of accuracy rates to reduce the size of the model and make these models ready to apply on edge devices. Here the used methods provides more than 90 % accuracy for classifying malaria disease properly.  © 2023 IEEE.</t>
  </si>
  <si>
    <t xml:space="preserve">12th IEEE International Conference on Advanced Computing, ICoAC 2023</t>
  </si>
  <si>
    <t xml:space="preserve">10.1109/ICoAC59537.2023.10249606</t>
  </si>
  <si>
    <t xml:space="preserve">https://www.scopus.com/inward/record.uri?eid=2-s2.0-85174216626&amp;doi=10.1109%2fICoAC59537.2023.10249606&amp;partnerID=40&amp;md5=3fe619f3c5aefe7ce8e78d964109c31c</t>
  </si>
  <si>
    <t xml:space="preserve">Jadavpur University, Department of Electronics Tele Communication Engineering, WB, Kolkata, India; Kalyani Government Engineering College, Department of Computer Science and Engineering, WB, Kalyani, India</t>
  </si>
  <si>
    <t xml:space="preserve">Chanda P.B., Jadavpur University, Department of Electronics Tele Communication Engineering, WB, Kolkata, India; Chatterjee S., Kalyani Government Engineering College, Department of Computer Science and Engineering, WB, Kalyani, India; Sen R., Kalyani Government Engineering College, Department of Computer Science and Engineering, WB, Kalyani, India; Chandra S., Kalyani Government Engineering College, Department of Computer Science and Engineering, WB, Kalyani, India; Das A., Kalyani Government Engineering College, Department of Computer Science and Engineering, WB, Kalyani, India; Sarkar S.K., Jadavpur University, Department of Electronics Tele Communication Engineering, WB, Kolkata, India</t>
  </si>
  <si>
    <t xml:space="preserve">blood smear images; Computer-aided diagnosis; convolutional neural networks; Malaria; transfer learning</t>
  </si>
  <si>
    <t xml:space="preserve">Blood; Computer aided diagnosis; Computer aided instruction; Deep learning; Diseases; Learning systems; Transfer learning; Accuracy rate; Blood cell images; Blood smear image; Blood smears; Convolutional neural network; Learning approach; Malaria; Malaria parasite; Transfer learning; Tropical regions; Convolutional neural networks</t>
  </si>
  <si>
    <t xml:space="preserve">World Malaria Report 2021; Centers for Disease Control and Prevention; World malaria report 2021; Mustafa W.A., Santiagoo R., Jamaluddin I., Othman N.S., Khairunizam W., Rohani M.N.K.H., Comparison of Detection Method on Malaria Cell Images, 2018 International Conference on Computational Approach in Smart Systems Design and Applications, ICASSDA 2018, (2018); Delgado-Ortet M., Et al., A deep learning approach for segmentation of red blood cell images and malaria detection, Entropy, 22, 6, (2020); Park H.S., Rinehart M.T., Walzer K.A., Chi J.-T.A., Wax A., Automated Detection of P. falciparum Using Machine Learning Algorithms with Quantitative Phase Images of Unstained Cells, PLOS ONE, 11, 9, (2016); Das D.K., Ghosh M., Pal M., Maiti A.K., Chakraborty C., Machine learning approach for automated screening of malaria parasites using light microscopic images, Micron, 45, pp. 97-106, (2013); Var E., Boray Tek F., Malaria Parasite Detection with Deep Transfer Learning, UBMK 2018 - 3rd International Conference on Computer Science and Engineering, pp. 298-302, (2018); Mitrovic K., Milosevic D., Classification of malaria-infected cells using convolutional neural networks, 2021 IEEE 15th International Symposium on Applied Computational Intelligence and Informatics (SACI); Liang Z., Et al., CNN-based image analysis for malaria diagnosis, 2016 IEEE International Conference on Bioinformatics and Biomedicine (BIBM), (2016); Ufuktepe D.K., Et al., Deep Learning-Based Cell Detection and Extraction in Thin Blood Smears for Malaria Diagnosis, 2021 IEEE Applied Imagery Pattern Recognition Workshop (AIPR), 2021, pp. 1-6; Nanoti A., Et al., Detection of malaria parasite species and life cycle stages using microscopic images of Thin Blood Smear, 2016 International Conference on Inventive Computation Technologies (ICICT), (2016); Umer M., Et al., A novel stacked CNN for malarial parasite detection in thin blood smear images, IEEE Access, 8, pp. 93782-93792, (2020); Malaria dataset; Chanda P.B., Et al., Medical Image Based Approach For Classification Of Several Stages For Retinopathy Disease Using Machine Learning Methodology, Michael Faraday IET International Summit 2020; Aykut D., An efficient model of residual based convolutional neural network with Bayesian optimisation for the classification of malarial cell images, Comput. Biol. Med.; Angel M., Et al., Automatic identification of malaria and other red blood cell inclusions using convolutional neural networks, Comput. Biol. Med., 136, 2021; Tehreem F., Shahid F.M., Automatic detection of Plasmodium parasites from microscopic blood images, J. Parasitic Diseases, 44, 1, pp. 69-78, (2020); Chanda P.B., Sarkar S.K., EFFICIENT IDENTIFICATION AND CLASSIFICATION OF BLOOD VESSELS AND EXUDATES IN RETINAL IMAGES FOR DIABETIC RETINOPATHY ANALYSIS, Journal Of Advances and Applications in Mathematical Sciences, 18, 9, pp. 909-917; Chanda P.B., Sarkar S.K., Cardiac MR Images Segmentation For Identification Of Cardiac Diseases Using Fuzzy Based Approach, ICSSIT 2022, (2022); Chanda P.B., Sarkar S.K., Discrete Wavelet Transform Based Segmentation Approach For Identification Of Cancer Diseases From Mammogram Images, ICMLANT, 22, (2022); Chanda P.B., Dey A., Sarkar S.K., Patient Health Observation and Analysis With Machine Learning And IoT Based in Realtime Environment, Fifth IEEE International Conference on Research in Computational Intelligence and Communication Networks, ICRCICN 2020, (2020); Chanda P.B., Sarkar S.K., Spondylosis Detection And Classification Of Cervical Images Using ATMFCMC Based Medical Image Segmentation Methods, Elsevier SSRN Electronic Journal; Chanda P.B., Sarkar S.K., Study on Efficient DRLSE-Oriented Edge-Based Medical Image Segmentation of Cardiac Images, Lecture Notes in Networks and Systems, 164, pp. 823-831, (2021); He K., Zhang X., Ren S., Sun J., Deep residual learning for image recognition, Proceedings of the IEEE conference on computer vision and pattern recognition, pp. 770-778, (2016); Dumic D., Keco D., Masetic Z., Automatization of Microscopy Malaria Diagnosis Using Computer Vision and Random Forest Method, IFAC, pp. 80-84; Poostchi M., Silamut K., Maude R.J., Jaeger S., Thoma G., Image analysis and machine learning for detecting malaria, Translational Research, 194, (2018)</t>
  </si>
  <si>
    <t xml:space="preserve">P.B. Chanda; Jadavpur University, Department of Electronics Tele Communication Engineering, Kolkata, WB, India; email: pbc.ju.19@gmail.com</t>
  </si>
  <si>
    <t xml:space="preserve">Hybrid, Chennai</t>
  </si>
  <si>
    <t xml:space="preserve">979-835031821-0</t>
  </si>
  <si>
    <t xml:space="preserve">IEEE Int. Conf. Adv. Comput., ICoAC</t>
  </si>
  <si>
    <t xml:space="preserve">2-s2.0-85174216626</t>
  </si>
  <si>
    <t xml:space="preserve">Archana T.; Faritha Banu J.</t>
  </si>
  <si>
    <t xml:space="preserve">Archana, T. (58703532300); Faritha Banu, J. (54959955500)</t>
  </si>
  <si>
    <t xml:space="preserve">58703532300; 54959955500</t>
  </si>
  <si>
    <t xml:space="preserve">Forecasting Machine Learning Based Feature Selection for Dengue Prediction in the Early Stage</t>
  </si>
  <si>
    <t xml:space="preserve">Dengue fever is rapidly becoming a prominent health concern issue affecting the tropical and sub-tropical regions. This disease can cause serious illness in humans and is spread by bleed-feeding arthropods such fleas, parasites and mosquitoes. This disease is now becoming endemic in many nations. Delayed diagnosis accompanying with unsuitable treatment may result in the risk of death. This study's objective is to inquire into the effects, signs and clinical symptoms allied with dengue. The proposed work's objective is to examine the symptoms relating to Dengue through Statistical and Analytical measures. Machine learning Classification algorithms such as Random Forest, CART and Support Vector Machine are applied to identify the significant symptoms. The symptoms from both the measures are analyzed, ranked and finally grouped as primary symptoms. The performance of the classifier is assessed using performance evaluation measures. The experimental results show that CART is more suitable for proposed prediction model for Dengue with accuracy 97%, precision 98.3%, recall 96.8% and F-measure metrics 97.5%. © 2023 IEEE.</t>
  </si>
  <si>
    <t xml:space="preserve">3rd IEEE International Conference on Mobile Networks and Wireless Communications, ICMNWC 2023</t>
  </si>
  <si>
    <t xml:space="preserve">10.1109/ICMNWC60182.2023.10436006</t>
  </si>
  <si>
    <t xml:space="preserve">https://www.scopus.com/inward/record.uri?eid=2-s2.0-85186995317&amp;doi=10.1109%2fICMNWC60182.2023.10436006&amp;partnerID=40&amp;md5=e137b4baf75e466be0e4403cb0e32a51</t>
  </si>
  <si>
    <t xml:space="preserve">SRM Institute of Science and Technology, Bharathi Salai, Ramapuram, Faculty of Engineering and Technology, Department of Computer Science and Engineering, Tamilnadu, Chennai, India</t>
  </si>
  <si>
    <t xml:space="preserve">Archana T., SRM Institute of Science and Technology, Bharathi Salai, Ramapuram, Faculty of Engineering and Technology, Department of Computer Science and Engineering, Tamilnadu, Chennai, India; Faritha Banu J., SRM Institute of Science and Technology, Bharathi Salai, Ramapuram, Faculty of Engineering and Technology, Department of Computer Science and Engineering, Tamilnadu, Chennai, India</t>
  </si>
  <si>
    <t xml:space="preserve">CART; Dengue; Machine Learning; Random Forest; Support Vector Machine</t>
  </si>
  <si>
    <t xml:space="preserve">Diagnosis; Diseases; Feature Selection; Forecasting; Forestry; Learning systems; Random forests; Tropics; CART; Dengue; Dengue fevers; Features selection; Health concerns; Machine-learning; Parasite-; Random forests; Support vectors machine; Tropical regions; Support vector machines</t>
  </si>
  <si>
    <t xml:space="preserve">Muller R., Reuss F., Kendrovski V., Montag D., Vectorborne diseases, Biodiversity and Health in the Face of Climate Change, pp. 67-90, (2019); Wellekens K., Betrains A., De Munter P., Peetermans W., Dengue: Current state one year before WHO 2010-2020 goals, Acta Clinica Belgica, 77, 2, pp. 436-444, (2022); Araujo R.V., Albertini M.R., Costa-Da-Silva A.L., Suesdek L., São Paulo urban heat islands have a higher incidence of dengue than other urban areas, Brazilian Journal of Infectious Diseases, 19, pp. 146-155, (2015); Hayes E.B., Gubler D.J., Dengue and dengue hemorrhagic fever, The Pediatric Infectious Disease Journal, 11, 4, pp. 311-317, (1992); Roy S.K., Bhattacharjee S., Dengue virus: Epidemiology, biology, and disease aetiology, Canadian Journal of Microbiology, 67, 10, pp. 687-702, (2021); Liyanage P., Tissera H., Sewe M., Quam M., Amarasinghe A., Palihawadana P., Rocklov J., A spatial hierarchical analysis of the temporal influences of the El Nino-southern oscillation and weather on dengue in Kalutara District, Sri Lanka, International Journal of Environmental Research and Public Health, 13, 11, (2016); Sen P.C., Hajra M., Ghosh M., Supervised classification algorithms in machine learning: A survey and review, Emerging Technology in Modelling and Graphics: Proceedings of Iem Graph 2018, pp. 99-111, (2020); Muflikhah L., Iskandar A., Yudistira N., Dewanto B.N., Nadhori I.U., Nisa L.K., Up Sampling Data in Bagging Tree Classification and Regression Decision Tree Method for Dengue Shock Syndrome Detection, Asia Simulation Conference, pp. 307-318, (2023); Arafiyah R., Hermin F., Kartika I.R., Alimuddin A., Saraswati I., Classification of Dengue Haemorrhagic Fever (DHF) using SVM, naive bayes and random forest, Iop Conference Series: Materials Science and Engineering, (2018); Singh K.D., Particle Swarm Optimization assisted Support Vector Machine based Diagnostic System for Dengue prediction at the early stage, 2021 3rd International Conference on Advances in Computing, Communication Control and Networking (ICAC3N), pp. 844-848, (2021); Nordin N.I., Sobri N.M., Ismail N.A., Zulkifli S.N., Abd Razak N.F., Mahmud M., The classification performance using support vector machine for endemic dengue cases, Journal of Physics: Conference Series, 1496, 1, (2020); Neeraja M., Lakshmi V., Teja V.D., Lavanya V., Priyanka E.N., Subhada K., Reddy G., Unusual and rare manifestations of dengue during a dengue outbreak in a tertiary care hospital in South India, Archives of Virology, 159, pp. 1567-1573, (2014); Priyadarshini D., Gadia R.R., Tripathy A., Gurukumar K.R., Bhagat A., Patwardhan S., Cecilia D., Clinical findings and pro-inflammatory cytokines in dengue patients in Western India: A facility-based study, PloS One, 5, 1, (2010); Sahana K.S., Sujatha R., Clinical profile of dengue among children according to revised WHO classification: Analysis of a 2012 outbreak from Southern India, The Indian Journal of Pediatrics, 82, pp. 109-113, (2015); Htun T.P., Xiong Z., Pang J., Clinical signs and symptoms associated with WHO severe dengue classification: A systematic review and meta-analysis, Emerging Microbes &amp; Infections, 10, 1, pp. 1116-1128, (2021); Daniel R., Philip A.Z., A Study of Clinical Profile of Dengue Fever in Kollam, (2005); Prasad D., Kumar C., Jain A., Kumar R., Accuracy and applicability of the revised WHO classification (2009) of dengue in children seen at a tertiary healthcare facility in northern India, Infection, 41, pp. 775-782, (2013); Shaukat K., Masood N., Mehreen S., Azmeen U., Dengue fever prediction: A data mining problem, Journal of Data Mining in Genomics &amp; Proteomics, 2015, pp. 1-5, (2015); Sharma S., Sharma S.K., Mohan A., Wadhwa J., Dar L., Thulkar S., Pande J.N., Clinical Profile of Dengue Haemorrhagic Fever in Adults during 1996-Outbreak in Delhi, India, (1998); Gambhir S., Malik S.K., Kumar Y., PSO-ANN based diagnostic model for the early detection of dengue disease, New Horizons in Translational Medicine, 4, 1-4, pp. 1-8, (2017); Chaudhary R., Khetan D., Sinha S., Sinha P., Pandey S.A., Transfusion support to dengue patients in a hospital based blood transfusion service in north India, Transfusion and Apheresis Science, 35, 3, pp. 239-244, (2006); Mukherjee S., Manna K., Chatterjee P., Datta P., Datta S., Dengue fever and its epidemiological characteristics: A study from Eastern India, International Journal of Community Medicine and Public Health, 3, 12, (2016); Gupta P., Khare V., Tripathi S., Nag V.L., Kumar R., Khan M.Y., Dhole T.K.N.C., Assessment of World Health Organization definition of dengue hemorrhagic fever in North India, The Journal of Infection in Developing Countries, 4, 3, pp. 150-155, (2010); Singh P., Mittal V., Rizvi M.M.A., Chhabra M., Sharma P., Rawat D.S., Rai A., The first dominant co-circulation of both dengue and chikungunya viruses during the post-monsoon period of 2010 in Delhi, India, Epidemiology &amp; Infection, 140, 7, pp. 1337-1342, (2012); Cheng J., Bambrick H., Yakob L., Devine G., Frentiu F.D., Williams G., Hu W., Extreme weather conditions and dengue outbreak in Guangdong, China: Spatial heterogeneity based on climate variability, Environmental Research, 196, (2021); Vandermeeren S., Van De Velde S., Bruneel H., Steendam H., A feature ranking and selection algorithm for machine learning-based step counters, Ieee Sensors Journal, 18, 8, pp. 3255-3265, (2018); Mahesh B., Machine learning algorithms-a review, International Journal of Science and Research (IJSR).[Internet], 9, 1, pp. 381-386, (2020); Lewis R.J., An introduction to classification and regression tree (CART) analysis, Annual Meeting of the Society for Academic Emergency Medicine in San Francisco, California, 14, (2000); Biau G., Scornet E., A random forest guided tour, Test, 25, pp. 197-227, (2016); Yu H., Kim S., SVM Tutorial-Classification, Regression and Ranking, Handbook of Natural Computing, 1, pp. 479-506, (2012)</t>
  </si>
  <si>
    <t xml:space="preserve">4 December 2023 through 5 December 2023</t>
  </si>
  <si>
    <t xml:space="preserve">Hybrid, Tumkur</t>
  </si>
  <si>
    <t xml:space="preserve">979-835031702-2</t>
  </si>
  <si>
    <t xml:space="preserve">IEEE Int. Conf. Mob. Networks Wirel. Commun., ICMNWC</t>
  </si>
  <si>
    <t xml:space="preserve">2-s2.0-85186995317</t>
  </si>
  <si>
    <t xml:space="preserve">Hcini G.; Jdey I.; Ltifi H.</t>
  </si>
  <si>
    <t xml:space="preserve">Hcini, Ghazala (57367258600); Jdey, Imen (55638656400); Ltifi, Hela (35092982000)</t>
  </si>
  <si>
    <t xml:space="preserve">57367258600; 55638656400; 35092982000</t>
  </si>
  <si>
    <t xml:space="preserve">HSV-Net: A Custom CNN for Malaria Detection with Enhanced Color Representation</t>
  </si>
  <si>
    <t xml:space="preserve">Malaria disease should be considered and handled as a potential restorative catastrophe. One of the most challenging tasks in the field of microscopy image processing is due to differences in test design and vulnerability of cell classifications. In this article, we focused on applying deep learning to classify patients by identifying images of infected and uninfected cells. We performed multiple forms, counting a classification approach using the HSV color space. HSV is used since of its superior ability to speak to image brightness, at long last, for classification, a convolutional neural network (CNN) architecture is created. Clusters of focuses were used to deliver the classification. The highlights gotten to be forbidden, and a few more clamor sorts are included to the information. The suggested method has a precision of 99.79%, a recall value of 99.55%, and provides 99.96% accuracy. © 2023 IEEE.</t>
  </si>
  <si>
    <t xml:space="preserve">Proceedings - 2023 International Conference on Cyberworlds, CW 2023</t>
  </si>
  <si>
    <t xml:space="preserve">10.1109/CW58918.2023.00059</t>
  </si>
  <si>
    <t xml:space="preserve">https://www.scopus.com/inward/record.uri?eid=2-s2.0-85181150699&amp;doi=10.1109%2fCW58918.2023.00059&amp;partnerID=40&amp;md5=0179c72e929c19e6e5ba753f41f3107c</t>
  </si>
  <si>
    <t xml:space="preserve">University of Kairouan, Faculty of Sciences and Techniques of Sidi Bouzid, Tunisia; ReGIM-Lab. REsearch Groups in Intelligent Machines (LR11ES48), Sfax, Tunisia</t>
  </si>
  <si>
    <t xml:space="preserve">Hcini G., University of Kairouan, Faculty of Sciences and Techniques of Sidi Bouzid, Tunisia, ReGIM-Lab. REsearch Groups in Intelligent Machines (LR11ES48), Sfax, Tunisia; Jdey I., University of Kairouan, Faculty of Sciences and Techniques of Sidi Bouzid, Tunisia, ReGIM-Lab. REsearch Groups in Intelligent Machines (LR11ES48), Sfax, Tunisia; Ltifi H., University of Kairouan, Faculty of Sciences and Techniques of Sidi Bouzid, Tunisia, ReGIM-Lab. REsearch Groups in Intelligent Machines (LR11ES48), Sfax, Tunisia</t>
  </si>
  <si>
    <t xml:space="preserve">Color transformation; Convolutional neural network; Deep learning; HSV color; Image classification; Malaria cells images; Malaria diagnosis</t>
  </si>
  <si>
    <t xml:space="preserve">Color; Convolution; Convolutional neural networks; Deep learning; Diseases; Image enhancement; Cell images; Color representation; Color transformation; Convolutional neural network; Deep learning; HSV color; Images classification; Malaria cell image; Malaria diagnosis; Microscopy images; Image classification</t>
  </si>
  <si>
    <t xml:space="preserve">Hcini G., Jdey I., Ltifi H., Improving malaria detection using l1 regularization neural network, JUCS: Journal of Universal Computer Science, 285, 10, (2022); Heuschen A.-K., Et al., Impact of the COVID-19 pandemic on malaria cases in health facilities in northern Ghana: A retrospective analysis of routine surveillance data, Malaria Journal, 21, 1, pp. 1-8, (2022); Chakradeo K., Delves M., Titarenko S., Malaria parasite detection using deep learning methods, International Journal of Computer and Information Engineering, 15, 2, pp. 175-182, (2021); Heni A., Jdey I., Ltifi H., Blood cells classification using deep learning with customized data augmentation and ek-means segmentation, Journal of Theoretical and Applied Information Technology, 101, 3, (2023); Kerr G., Et al., Lessons for improved COVID-19 surveillance from the scale-up of malaria testing strategies, Malaria Journal, 21, 1, pp. 1-10, (2022); Fikrie A., Mihiret K., Henok B., Malaria prevention practices and associated factors among households of hawassa city administration, southern ethiopia, 2020, PloS one, 16, 5, (2021); Awassa L., Et al., Study of different deep learning methods for coronavirus (COVID-19) pandemic: Taxonomy, survey and insights, Sensors, 22, 5, (2022); Ranaweera P., Rajitha W., Kamini M., Preventing the reestablishment of malaria in sri lanka amidst the covid-19 pandemic, Malaria Journal, 19, 1, pp. 1-4, (2020); Adamu Y.A., Malaria prediction model using machine learning algorithms, Turkish Journal of Computer and Mathematics Education (TURCOMAT), 12, 10, pp. 7488-7496, (2021); Weiss D.J., Et al., Indirect effects of the COVID-19 pandemic on malaria intervention coverage, morbidity, and mortality in Africa: A geospatial modelling analysis, The Lancet Infectious Diseases, 21, 1, pp. 59-69, (2021); Jaya C., Sneha Y., Classification of medical images using deep learning to aid in adaptive big data crowdsourcing platforms, ICT with Intelligent Applications., pp. 69-77, (2022); Wang L., Et al., Trends in the application of deep learning networks in medical image analysis: Evolution between 2012 and 2020, European Journal of Radiology, 146, (2022); Chen X., Et al., Recent advances and clinical applications of deep learning in medical image analysis, Medical Image Analysis, (2022); Bhatt P., Et al., A study on deep learning models for medical image segmentation, Artificial Intelligence in Industrial Applications., pp. 161-174, (2022); Kumar D., Naveen K., Survey of machine learning applications of convolutional neural networks to medical image analysis, International Journal for Research in Applied Science and Engineering Technology, (2021); Jdey I., Hcini G., Ltifi H., Deep learning and machine learning for Malaria detection: overview, challenges and future directions, (2022); Ahmed S., Et al., Classification of breast tumor using radon cumulative distribution transform nearest subspace classifier, 2023 International Conference on Electrical, Computer and Communication Engineering (ECCE). IEEE, (2023); Jha D., Machine Learning-based Classification, Detection, and Segmentation of Medical Images, (2022); Jlassi S., Jdey I., Ltifi H., Bayesian hyperparameter optimization of deep neural network algorithms based on ant colony optimization, Document Analysis and Recognition-ICDAR 2021: 16th International Conference, Lausanne, (2021); Hemeida A., Et al., Nature-inspired algorithms for feed-forward neural network classifiers: A survey of one decade of research, Ain Shams Engineering Journal, 11, 3, pp. 659-675, (2020); Manning K., Xiaojun Z., Wangyang Y., Image analysis and machine learning-based malaria assessment system, Digital Communications and Networks, 8, 2, pp. 132-142, (2022); Speiser J., Et al., A comparison of random forest variable selection methods for classification prediction modeling, 134, pp. 93-101, (2019); Mishra S., Human malaria detection and stage classification using random forest classifier, International Journal of Scientific Development and Research, 6, 6, pp. 214-218, (2021); De Souza O.A., Et al., A new approach for malaria diagnosis in thick blood smear images, Biomedical Signal Processing and Control, 78, (2022); Capra M., Et al., An updated survey of efficient hardware architectures for accelerating deep convolutional neural networks, Future Internet, 12, 7, (2020); Rahman A., Et al., Improving malaria parasite detection from red blood cell using deep convolutional neural networks, (2019); Hcini G., Et al., Hyperparameter optimization in customized convolutional neural network for blood cells classification, J. Theor. Appl. Inf. Technol, 99, pp. 5425-5435, (2021); Chima J., Et al., Malaria cell image classification using deep learning, International Journal of Recent Technology and Engineering, 8, 6, pp. 5553-5559, (2020); Magotra V., Mukesh K., Malaria diagnosis using a lightweight deep convolutional neural network, International Journal of Telemedicine and Applications 2022, (2022); Jdey I., Et al., The contribution of fusion techniques in the recognition systems of radar targets, IET International Conference on Radar Systems, (2012); Irmak E., A novel implementation of deep-learning approach on malaria parasite detection from thin blood cell images, Electrica, 21, 2, pp. 216-224, (2021); Nurcin F., Elbrus I., Selective hole filling of red blood cells for improved marker-controlled watershed segmentation, Scanning 2021, (2021); Jdey I., Trusted smart irrigation system based on fuzzy iot and blockchain, International Conference on Service-Oriented Computing., (2022); Imran T., Et al., Malaria blood smear classification using deep learning and best features selection, Computers, Materials &amp; Continua (2022); Meng Z., Zhicheng Z., Fei S., Multi-classification of breast cancer histology images by using gravitation loss, ICASSP 2019-2019 IEEE International Conference on Acoustics, Speech and Signal Processing (ICASSP). IEEE, (2019); Nugroho H., Et al., Saturation channel extraction of HSV color space for segmenting Plasmodium parasite, IOP Conference Series: Materials Science and Engineering 1088 (2021).</t>
  </si>
  <si>
    <t xml:space="preserve">G. Hcini; University of Kairouan, Faculty of Sciences and Techniques of Sidi Bouzid, Tunisia; email: hcinighazala@fstsbz.u-kairouan.tn</t>
  </si>
  <si>
    <t xml:space="preserve">Amara N.E.B.; Sourin A.; Sourina O.; Rosenberger C.</t>
  </si>
  <si>
    <t xml:space="preserve">et al.; IEEE; IEEE Computational Intelligence Society Tunisia Chapter; IEEE Computer Society Tunisia Chapter; IEEE Tunisia Section; Novation City</t>
  </si>
  <si>
    <t xml:space="preserve">22nd International Conference on Cyberworlds, CW 2023</t>
  </si>
  <si>
    <t xml:space="preserve">3 October 2023 through 5 October 2023</t>
  </si>
  <si>
    <t xml:space="preserve">Sousse</t>
  </si>
  <si>
    <t xml:space="preserve">979-835031565-3</t>
  </si>
  <si>
    <t xml:space="preserve">Proc. - Int. Conf. Cyberworlds, CW</t>
  </si>
  <si>
    <t xml:space="preserve">2-s2.0-85181150699</t>
  </si>
  <si>
    <t xml:space="preserve">Ahmmed S.; Das S.R.; Leon M.I.; Rubaiyat Hossain Mondal M.</t>
  </si>
  <si>
    <t xml:space="preserve">Ahmmed, Syed (58730695500); Das, Sanchita Rani (58046205800); Leon, Mazharul Islam (57223052183); Rubaiyat Hossain Mondal, M. (57219750977)</t>
  </si>
  <si>
    <t xml:space="preserve">58730695500; 58046205800; 57223052183; 57219750977</t>
  </si>
  <si>
    <t xml:space="preserve">Hybrid CNN-LSTM Transfer Learning for Dengue Diagnosis from Raman Spectroscopy Images</t>
  </si>
  <si>
    <t xml:space="preserve">The diagnosis of dengue fever can be made quickly and effectively with Raman spectroscopy. However, the diagnostic procedure presents difficulties; for example, the distinction between healthy and infected spectra is extremely subtle. Deep learning (DL)-based diagnosis of dengue from Raman spectroscopy is gaining research interest. This paper introduces an innovative hybrid model that combines the architecture of a long-short-term memory recurrent neural network (LSTM RNN) with the capabilities of a pre-trained convolutional neural network (CNN). We present the CNN-LSTM Transfer Learning (HCL-TL) method, which uses Raman spectroscopy images to transform the field of data-driven dengue disease diagnosis. The proposed approach utilizes hyperparameters to refine the DL models. Both the initial training and subsequent fine-tuning stages incorporate model checkpoints and callbacks to monitor loss and prevent overfitting. A dataset consisting of 635 spectra-460 of which were infected and 175 of which were healthy-was used to evaluate the suggested model. Both holdout and 10-fold cross-validation methods are used for splitting the data samples. When applied to testing data for dengue infection diagnosis, the proposed HCL- TL method achieves a classification accuracy of 97.73%. The HCL-TL method outperforms the state-of-the-art DL and machine learning models in terms of accurately classifying dengue fever from Raman spectroscopy images, according to the results.  © 2023 IEEE.</t>
  </si>
  <si>
    <t xml:space="preserve">5th IEEE International Conference on Telecommunications and Photonics, ICTP 2023 - e-Proceedings</t>
  </si>
  <si>
    <t xml:space="preserve">10.1109/ICTP60248.2023.10490800</t>
  </si>
  <si>
    <t xml:space="preserve">https://www.scopus.com/inward/record.uri?eid=2-s2.0-85191440770&amp;doi=10.1109%2fICTP60248.2023.10490800&amp;partnerID=40&amp;md5=a67c7c98ae5fe0a6b103a1165c4529a2</t>
  </si>
  <si>
    <t xml:space="preserve">Institute of Information and Communication Technology, Bangladesh University of Engineering and Technology, Dhaka, Bangladesh; United International University, Department of Computer Science and Engineering, Dhaka, Bangladesh</t>
  </si>
  <si>
    <t xml:space="preserve">Ahmmed S., Institute of Information and Communication Technology, Bangladesh University of Engineering and Technology, Dhaka, Bangladesh; Das S.R., Institute of Information and Communication Technology, Bangladesh University of Engineering and Technology, Dhaka, Bangladesh; Leon M.I., United International University, Department of Computer Science and Engineering, Dhaka, Bangladesh; Rubaiyat Hossain Mondal M., Institute of Information and Communication Technology, Bangladesh University of Engineering and Technology, Dhaka, Bangladesh</t>
  </si>
  <si>
    <t xml:space="preserve">Blood-serum; Deep Learning; Dengue; Hybrid; LSTM; Raman Spectroscopy; Spectra</t>
  </si>
  <si>
    <t xml:space="preserve">Computer aided diagnosis; Convolutional neural networks; Long short-term memory; Transfer learning; Blood serum; Convolutional neural network; Deep learning; Dengue; Dengue fevers; Diagnostic procedure; Hybrid; LSTM; Spectra's; Transfer learning; Raman spectroscopy</t>
  </si>
  <si>
    <t xml:space="preserve">Dengue and severe dengue; Kulkarni M.A., Duguay C., Ost K., Charting the evidence for climate change impacts on the global spread of malaria and dengue and adaptive responses: a scoping review of reviews, Globalization and Health, 18, 1, (2022); Colon-Gonzalez F.J., Et al., Projecting the risk of mosquito-borne diseases in a warmer and more populated world: a multi-model, multi-scenario intercomparison modelling study, The Lancet Planetary Health, 5, 7, pp. e404-e414; Gubler D.J., Dengue, Urbanization and Globalization: The Unholy Trinity of the 21st Century, Trop Med Health, 39, 4, pp. 3-11, (2011); Du M., Jing W., Liu M., Liu J., The Global Trends and Regional Differences in Incidence of Dengue Infection from 1990 to 2019: An Analysis from the Global Burden of Disease Study 2019, Infect Dis Ther, 10, 3, pp. 1625-1643; Yorozu Y., Hirano M., Oka K., Tagawa Y., Electron spectroscopy studies on magneto-optical media and plastic substrate interface, IEEE Transl. J. Magn. Japan, 2, pp. 740-741, (1987); Yang X., Quam M.B.M., Zhang T., Sang S., Global burden for dengue and the evolving pattern in the past 30 years, J Travel Med, 28, 8, (2021); Dengue Situation Report 5: 25 September 2023; Auner G.W., Et al., Applications of Raman spectroscopy in cancer diagnosis, Cancer Metastasis Rev, 37, 4, pp. 691-717, (2018); Khan S., Et al., Analysis of hepatitis B virus infection in blood sera using Raman spectroscopy and machine learning, Photodiagnosis and Photodynamic Therapy, 23, pp. 89-93, (2018); Hossain M., Et al., Cardiovascular disease identification using a hybrid CNN-LSTM model with explainable AI, Informatics in Medicine Unlocked, (2023); Shang L.-W., Et al., Fluorescence imaging and Raman spectroscopy applied for the accurate diagnosis of breast cancer with deep learning algorithms, Biomed. Opt. Express, BOE, 11, 7, pp. 3673-3683; Shang L.-W., Et al., Fluorescence imaging and Raman spectroscopy applied for the accurate diagnosis of breast cancer with deep learning algorithms, Biomed. Opt. Express, BOE, 11, 7, pp. 3673-3683; Amin A., Ghouri N., Ali S., Ahmed M., Saleem M., Qazi J., Identification of new spectral signatures associated with dengue virus infected sera, Journal of Raman Spectroscopy, 48, 5, pp. 705-710, (2017); Khan S., Et al., Random Forest-Based Evaluation of Raman Spectroscopy for Dengue Fever Analysis, Appl Spectrosc, 71, 9, pp. 2111-2117, (2017); Hassan M., Et al., Diagnosis of dengue virus infection using spectroscopic images and deep learning, PeerJ Comput Sci, 8; Auner G.W., Et al., Applications of Raman Spectroscopy in Cancer Diagnosis, Cancer and Metastasis Reviews; Hassan M., Denv-TLDNN (dengue virus infection detection using Deep Transfer Learning and Raman spectroscopy data), figshare</t>
  </si>
  <si>
    <t xml:space="preserve">M. Rubaiyat Hossain Mondal; Institute of Information and Communication Technology, Bangladesh University of Engineering and Technology, Dhaka, Bangladesh; email: rubaiyat97@iict.buet.ac.bd</t>
  </si>
  <si>
    <t xml:space="preserve">BSCPLC; DECO; et al.; Huawei; ICT Division; Power Grid Company of Bangladesh Ltd (PGCB)</t>
  </si>
  <si>
    <t xml:space="preserve">5th IEEE International Conference on Telecommunications and Photonics, ICTP 2023</t>
  </si>
  <si>
    <t xml:space="preserve">21 December 2023 through 23 December 2023</t>
  </si>
  <si>
    <t xml:space="preserve">979-835039347-7</t>
  </si>
  <si>
    <t xml:space="preserve">IEEE Int. Conf. Telecommun. Photonics, ICTP - e-Proc.</t>
  </si>
  <si>
    <t xml:space="preserve">2-s2.0-85191440770</t>
  </si>
  <si>
    <t xml:space="preserve">Adamu Y.A.; Singh J.</t>
  </si>
  <si>
    <t xml:space="preserve">Adamu, Yusuf Aliyu (57440717300); Singh, Jaspreet (56520720500)</t>
  </si>
  <si>
    <t xml:space="preserve">57440717300; 56520720500</t>
  </si>
  <si>
    <t xml:space="preserve">Hybrid Machine Learning Algorithm for Prediction of Malaria</t>
  </si>
  <si>
    <t xml:space="preserve">As malaria is a fatal disease that can occur anywhere, prompt diagnosis is crucial to stopping the disease in its tracks and reducing its overall impact. To better foresee future malaria epidemics, a hybrid machine learning model was created in this research. The model performance can be improved using various strategies, such as ensemble methods or fine-tuning the hyperparameters. Choosing a proper ensemble technique impacts the model accuracy. The performance of the ensemble model was measured using several well-known machines learning algorithms, such as Decision Tree, Support Vector Machine, Naïve Bayes, K-Nearest Neighbors, and Random Forest. This methodology’s stacking strategy of ensemble technique allowed the integration of five separate algorithms. Compared to other machine learning classifiers, the results obtained using this ensemble method is superior with accuracy 92.8%, AUC 91%, recall 100%, precision 85%, F1-score 91%, specificity 100%, macro-average 94%, weighted average 98%, and error rate 5.4%. The relative importance of each variable and the degree of connection between them in explaining malaria prevalence are calculated. The results indicate that the hybrid approach is valuable for anticipating malaria outbreaks. © 2023, The Author(s), under exclusive license to Springer Nature Singapore Pte Ltd.</t>
  </si>
  <si>
    <t xml:space="preserve">664 LNNS</t>
  </si>
  <si>
    <t xml:space="preserve">10.1007/978-981-99-1479-1_31</t>
  </si>
  <si>
    <t xml:space="preserve">https://www.scopus.com/inward/record.uri?eid=2-s2.0-85168763565&amp;doi=10.1007%2f978-981-99-1479-1_31&amp;partnerID=40&amp;md5=33f9f860e19769182b76b22d64ddff9d</t>
  </si>
  <si>
    <t xml:space="preserve">Department of Computer Science and Engineering, GD Goenka University, Sohna, India</t>
  </si>
  <si>
    <t xml:space="preserve">Adamu Y.A., Department of Computer Science and Engineering, GD Goenka University, Sohna, India; Singh J., Department of Computer Science and Engineering, GD Goenka University, Sohna, India</t>
  </si>
  <si>
    <t xml:space="preserve">Climatic and non-climatic factors; Ensemble machine learning algorithms; Prediction of malaria</t>
  </si>
  <si>
    <t xml:space="preserve">Diagnosis; Diseases; Learning algorithms; Learning systems; Nearest neighbor search; Support vector machines; Climatic and non-climatic factor; Climatic factors; Ensemble machine learning algorithm; Ensemble methods; Ensemble techniques; Fatal disease; Hybrid machine learning; Machine learning algorithms; Machine learning models; Prediction of malaria; Decision trees</t>
  </si>
  <si>
    <t xml:space="preserve">World Malaria Report 2020, (2019); Cella W., Et al., Do climate changes alter the distribution and transmission of malaria? Evidence assessment and recommendations for future studies, Rev Soc Bras Med Trop, 52, (2019); Midekisa A., Beyene B., Mihretie A., Bayabil E., Wimberly M.C., Seasonal associations of climatic drivers and malaria in the highlands of Ethiopia, Parasit Vectors, 8, (2015); Adamu YA (2021) Malaria prediction model using machine learning algorithms, Turk J Comput Math Educ (TURCOMAT), 12, 10, pp. 7488-7496; Adamu Y.A., Singh J., Malaria prediction model using advanced ensemble machine learning techniques, J Med Pharm Allied Sci, 10, 6, (1701); Li H., Et al., Ensemble learning for overall power conversion efficiency of the all organic dye-sensitized solar cells, IEEE Access, 6, pp. 34118-34126, (2018); Zinszer K., Kigozi R., Charland K., Dorsey G., Kamya M., Buckeridge D., Predicting malaria in a highly endemic country using environmental and clinical data sources, Online J Public Health Inform, 6, 1, (2013); Danger R., Segura-Bedmar I., Martinez P., Rosso P., A comparison of machine learning techniques for detection of drug target articles, J Biomed Inform, 43, 6, pp. 902-913, (2010); Urquiza J.M., Rojas I., Pomares H., Herrera J., Florido J.P., Valenzuela O., Cepero M., Using machine learning techniques and genomic/proteomic information from known databases for defining relevant features for PPI classification, Comput Biol Med, 42, 6, pp. 639-650, (2012); Rastogi S., Singh J., A systematic review on machine learning for fall detection system, Comput Intell, 37, pp. 951-974, (2021); Worner S.P., Gevrey M., Modeling global insect pest species assemblages to determine risk of invasion, J Appl Ecol, 43, 5, pp. 858-867, (2006); Patel J., Shah S., Thakkar P., Kotecha K., Predicting stock and stock price index movement using trend deterministic data preparation and machine learning techniques, Expert Syst Appl, 42, 1, pp. 259-268, (2015); Abisoye O.A., Jimoh Gbenga R., Symptomatic and climatic based malaria threat detection using multilevel thresholding feed-forward neural network, Int J Inf Technol Comput Sci, 8, pp. 40-46, (2017); Kam H.T., The random subspace method for constructing decision forests, IEEE Trans Pattern Anal Mach Intell, 20, 8, pp. 832-844, (1998); Breiman L., Bagging predictors, Mach Learn, 24, 2, pp. 123-140, (1996); Schapire R.E., Singer Y., Improved boosting algorithms using confidence-rated predictions, Mach Learn, 37, 3, pp. 297-336, (1999); Zhang B., Et al., Ensemble learners of multiple deep CNNs for pulmonary nodules classification using CT images, IEEE Access, 7, pp. 110358-110371, (2019); Han L., Luo S., Yu J., Pan L., Chen S., Rule extraction from support vector machines using an ensemble learning approach: An application for diagnosis of diabetes, IEEE J Biomed Health Inform, 19, 2, pp. 728-734, (2015); Leon F., Floria S.-A., Badica C., Evaluating the effect of voting methods on ensemble based classification, IEEE International Conference on Innovations in Intelligent Systems and Applications (INISTA), July, 20, pp. 1-6, (2017); Banfield R.E., Hall L.O., Bowyer K.W., Kegel Meyer W.P., A comparison of decision tree ensemble creation techniques, IEEE Trans Pattern Anal Mach Intell, 29, 1, pp. 173-180, (2007); Ruta D., Gabrys B., Lemke C., A generic multilevel architecture for time series prediction, IEEE Trans Knowl Data Eng, 23, 3, pp. 350-359, (2011); Gupta A., Kumar L., Jain R., Nagrath P., Heart disease prediction using classification (Naive Bayes), Proceedings of First International Conference on Computing, Communications, and Cybersecurity (IC4S 2019). Lecture Notes in Networks and Systems, 121, (2022); Oza P., Sharma P., Patel S., Machine learning applications for computer-aided medical diagnostics, Proceedings of Second International Conference on Computing, Communications, and Cyber-Security. Lecture Notes in Networks and Systems, 203, (2021)</t>
  </si>
  <si>
    <t xml:space="preserve">Y.A. Adamu; Department of Computer Science and Engineering, GD Goenka University, Sohna, India; email: yaadamu@yumsuk.edu.ng</t>
  </si>
  <si>
    <t xml:space="preserve">Tanwar S.; Wierzchon S.T.; Singh P.K.; Ganzha M.; Epiphaniou G.</t>
  </si>
  <si>
    <t xml:space="preserve">4th International Conference on Computing, Communications, and Cyber-Security, IC4S 2022</t>
  </si>
  <si>
    <t xml:space="preserve">16 December 2022 through 17 December 2022</t>
  </si>
  <si>
    <t xml:space="preserve">978-981991478-4</t>
  </si>
  <si>
    <t xml:space="preserve">2-s2.0-85168763565</t>
  </si>
  <si>
    <t xml:space="preserve">Awotunde J.B.; Misra S.; Ayo F.E.; Agrawal A.; Ahuja R.</t>
  </si>
  <si>
    <t xml:space="preserve">Awotunde, Joseph Bamidele (57211158827); Misra, Sanjay (56962766700); Ayo, Femi Emmanuel (57193704537); Agrawal, Akshat (57213441821); Ahuja, Ravin (35068989100)</t>
  </si>
  <si>
    <t xml:space="preserve">57211158827; 56962766700; 57193704537; 57213441821; 35068989100</t>
  </si>
  <si>
    <t xml:space="preserve">Hybridized Support Vector Machine and Adaboost Technique for Malaria Diagnosis</t>
  </si>
  <si>
    <t xml:space="preserve">One of the most prevalence diseases in developing countries in recent years is still Malaria with global public health concern. Malaria is caused by mosquitoe’s parasites which are very common in developing nations. This reason was not far from environmental insanity coupled with inadequate healthcare facilities. Thus, develop a reliable and efficient classification model for early diagnosis and discovery of the malaria symptoms is required. Hence, to reduce malaria endemic globally, the use machine learning models is essentials and paramount. Therefore, this paper proposes malaria diagnosis model using hybrid Support Vector Machines (SVM) and Adaboost. SVM classifiers for malaria classification and eliminating redundant or extraneous features were extracted using Chi-square. The classification accuracy of SVM and Adaboost models gave 97% with the six features removed but from seventh feature the accuracy reduced to 91%. The study revealed that, the developed hybridized model gives optimal solutions by using the most prominent features (symptoms) for malaria classification. © 2023, The Author(s), under exclusive license to Springer Nature Singapore Pte Ltd.</t>
  </si>
  <si>
    <t xml:space="preserve">519 LNNS</t>
  </si>
  <si>
    <t xml:space="preserve">10.1007/978-981-19-5191-6_3</t>
  </si>
  <si>
    <t xml:space="preserve">https://www.scopus.com/inward/record.uri?eid=2-s2.0-85161360186&amp;doi=10.1007%2f978-981-19-5191-6_3&amp;partnerID=40&amp;md5=1e298dba93cea955eeb23be7b76c93d7</t>
  </si>
  <si>
    <t xml:space="preserve">Department of Computer Science, University of Ilorin, Ilorin, Nigeria; Department of Computer Science and Comunication, Ostfold University, Halden, Norway; Department of Computer Science, McPherson University, Seriki-Sotayo, Abeokuta, Nigeria; Amity University, Hariyana, Gurgaon, India; Center of ICT/ICE, Covenant University, Ota, Nigeria</t>
  </si>
  <si>
    <t xml:space="preserve">Awotunde J.B., Department of Computer Science, University of Ilorin, Ilorin, Nigeria; Misra S., Department of Computer Science and Comunication, Ostfold University, Halden, Norway; Ayo F.E., Department of Computer Science, McPherson University, Seriki-Sotayo, Abeokuta, Nigeria; Agrawal A., Amity University, Hariyana, Gurgaon, India; Ahuja R., Center of ICT/ICE, Covenant University, Ota, Nigeria</t>
  </si>
  <si>
    <t xml:space="preserve">Adaboost; Data mining; Diagnosis; Malaria; Malaria fever; Mosquitoes parasites; Support vector machines</t>
  </si>
  <si>
    <t xml:space="preserve">Adaptive boosting; Classification (of information); Computer aided diagnosis; Developing countries; Diseases; Support vector machines; Developing nations; Global public health; Health concerns; Healthcare facility; Malaria; Malaria diagnosis; Malaria fever; Mosquito parasite; Parasite-; Support vectors machine; Data mining</t>
  </si>
  <si>
    <t xml:space="preserve">World Malaria Report, (2013); Awotunde J.B., Jimoh R.G., Oladipo I.D., Abdulraheem M., Prediction of malaria fever using long-short-term memory and big data, Communications in Computer and Information Science, November, 1350, pp. 41-53, (2020); Mutabingwa T.K., Artemisinin-based combination therapies (ACTs): Best hope for malaria treatment but inaccessible to the needy, Acta Trop, 95, pp. 305-315, (2005); Leslie T., Mikhail A., Mayan I., Anwar M., Bakhtash S., Nader M., Et al., Over-diagnosis and mistreatment of malaria among febrile patients at primary healthcare level in Afghanistan: An observational study, BMJ, 345, (2012); Ayo F.E., Awotunde J.B., Ogundokun R.O., Folorunso S.O., Adekunle A.O., A decision support system for multi-target disease diagnosis: A bioinformatics approach, Heliyon, 6, 3, (2020); Awotunde J.B., Folorunso S.O., Bhoi A.K., Adebayo P.O., Ijaz M.F., Disease diagnosis system for IoT-based wearable body sensors with machine learning algorithm, Intell Syst Ref Libr, 2021, 209, pp. 201-222, (2021); Ameen A.O., Olagunju M., Awotunde J.B., Adebakin T.O., Alabi I.O., Performance evaluation of breast cancer diagnosis using radial basis function. In: C4.5 and Adaboost, University of Pitesti scientific bulletin electronic and computer science series, 17(2):1–12. published by EdituraUniversitatii din Pitesti, Romania, (2017); Lebbe A., Saabith S., Sundararajan E., Bakar A.A., Comparative study on different classification techniques for breast cancer dataset, Int J Comput Sci Mob Comput, 3, 10, pp. 185-191, (2014); Johansson E.W., Selling K.E., Nsona H., Mappin B., Gething P.W., Petzold M., Hildenwall H., Integrated paediatric fever management and antibiotic over-treatment in Malawi health facilities: Data mining a national facility census, Malar J, 15, 1, (2016); Bui Q.T., Nguyen Q.H., Pham V.M., Pham M.H., Tran A.T., Understanding spatial variations of malaria in Vietnam using remotely sensed data integrated into GIS and machine learning classifiers, Geocarto Int, 34, 12, pp. 1300-1314, (2019); Jain V.K., Kumar S., Effective surveillance and predictive mapping of mosquito-borne diseases using social media, J Comput Sci, 25, pp. 406-415, (2018); Sow B., Mukhtar H., Ahmad H.F., Suguri H., Assessing the relative importance of social determinants of health in malaria and anemia classification based on machine learning techniques, Inform Health Soc Care, pp. 1-13, (2019); Sajana T., Narasingarao M.R., An ensemble framework for classification of malaria disease, ARPN J Eng Appl Sci Asian Res Publishing Net (ARPN), 13, 9, (2018); Kouwaye B., Rossi F., Fonton N., Garcia A., Dossou-Gbete S., Hounkonnou M.N., Cottrell G., Predicting local malaria exposure using a Lasso-based two-level cross validation algorithm, Plos ONE, 12, 10, (2017); Taufik W.M., Ghani N.L., Drus S.M., Data mining techniques for disease risk prediction model: A systematic literature review, Proceedings of the 3Rd International Conference of Reliable Information and Communication, pp. 40-46, (2019); Lashari S.A., Ibrahim R., Senan N., Taujuddin N.S.A.M., Application of data mining techniques for medical data classification: A review, MATEC Web of Conferences, 150, (2018); Rabbi F., Uddin P., Ali A., Kibria F., Afjal I., Islam S., Nitu M., Performance evaluation of data mining classification techniques for heart disease prediction, American J Eng Res, 7, 2, pp. 278-283, (2018); Ogundokun R.O., Sadiku P.O., Misra S., Ogundokun O.E., Awotunde J.B., Jaglan V., Diagnosis of long sightedness using neural network and decision tree algorithms, J Phys: Conf Series, 1767, 1, (2021); Oladele T.O., Ogundokun R.O., Awotunde J.B., Adebiyi M.O., Adeniyi J.K., Diagmal: A malaria coactive neuro-fuzzy expert system. In: Lecture notes in computer science (including subseries Lecture Notes in Artificial Intelligence and Lecture Notes in Bioinformatics), July, vol 12254. LNCS, Pp 428–441, (2020); Oladipo I.D., Babatunde A.O., Awotunde J.B., Abdulraheem M., An improved hybridiza-tion in the diagnosis of diabetes mellitus using selected computational intelligence, Communications in Computer and Information Science, 1350, pp. 272-285, (2020); Naraei P., Abhari A., Sadeghian A., Application of multilayer perceptron neural networks and support vector machines in classification of healthcare data. In: 2016 Future technologies conference (FTC), December, IEEE, pp. 848-852, (2016); Ren Y., Zhang L., Suganthan P.N., Ensemble classification and regression-recent developments, applications and future directions, IEEE Comput Intell Mag, 11, 1, pp. 41-53, (2016); Krawczyk B., Galar M., Jelen L., Herrera F., Evolutionary undersampling boosting for imbalanced classification of breast cancer malignancy, Appl Soft Comput, 38, pp. 714-726, (2016); Galar M., Fernandez A., Barrenechea E., Bustince H., Herrera F., Ordering-based pruning for improving the performance of ensembles of classifiers in the framework of imbalanced datasets, Inf Sci, 354, pp. 178-196, (2016); Salunkhe U.R., Mali S.N., Classifier ensemble design for imbalanced data classification: A hybrid approach, Proc Comput Sci, 85, pp. 725-732, (2016); Xia Y., Liu C., Li Y., Liu N., A boosted decision tree approach using Bayesian hyper-parameter optimization for credit scoring, Expert Syst Appl, 78, pp. 225-241, (2017); Hassan A.R., Haque M.A., An expert system for automated identification of obstructive sleep apnea from single-lead ECG using random under sampling boosting, Neurocomputing, 235, pp. 122-130, (2017); Zhou T., Han G., Xu X., Lin Z., Han C., Huang Y., Qin J., δ-agree AdaBoost stacked autoencoder for short-term traffic flow forecasting, Neurocomputing, 247, pp. 31-38, (2017); Wyner A.J., Olson M., Bleich J., Mease D., Explaining the success of adaboost and random forests as interpolating classifiers, J Mach Learn Res, 18, 1, pp. 1558-1590, (2017); Baig M.M., Awais M.M., El-Alfy E.S.M., AdaBoost-based artificial neural network learning, Neurocomputing, 248, pp. 120-126, (2017); Lee W., Jun C.H., Lee J.S., Instance categorization by support vector machines to adjust weights in AdaBoost for imbalanced data classification, Inf Sci, 381, pp. 92-103, (2017)</t>
  </si>
  <si>
    <t xml:space="preserve">A. Agrawal; Amity University, Gurgaon, Hariyana, India; email: akshatag20@gmail.com</t>
  </si>
  <si>
    <t xml:space="preserve">Mandal J.K.; De D.</t>
  </si>
  <si>
    <t xml:space="preserve">7th International Conference on Emerging Applications of Information Technology, EAIT 2022</t>
  </si>
  <si>
    <t xml:space="preserve">27 March 2022 through 28 March 2022</t>
  </si>
  <si>
    <t xml:space="preserve">kolkata</t>
  </si>
  <si>
    <t xml:space="preserve">978-981195190-9</t>
  </si>
  <si>
    <t xml:space="preserve">2-s2.0-85161360186</t>
  </si>
  <si>
    <t xml:space="preserve">Kuzhaloli S.; Thenappan S.; Premavathi T.; Nivedita V.; Mageshbabu M.; Navaneethan S.</t>
  </si>
  <si>
    <t xml:space="preserve">Kuzhaloli, S. (56441702300); Thenappan, S. (57430086300); Premavathi, T. (58521826600); Nivedita, V. (57208263702); Mageshbabu, M. (58521442400); Navaneethan, S. (57918759100)</t>
  </si>
  <si>
    <t xml:space="preserve">56441702300; 57430086300; 58521826600; 57208263702; 58521442400; 57918759100</t>
  </si>
  <si>
    <t xml:space="preserve">Identification of Malaria Disease Using Machine Learning Models</t>
  </si>
  <si>
    <t xml:space="preserve">Malaria, caused by Plasmodium parasites in the bloodstream spread by infected mosquitoes, is a highly severe and sometimes deadly disease. Image analysis and machine learning can enhance diagnosis by quantifying parasitemia on blood slides. The building of an autonomous, accurate, and effective model can significantly reduce the need for trained laborers. This article discusses computer-assisted approaches for finding malaria parasites in blood smear images. These procedures consist of obtaining the dataset, preprocessing the images, segmenting the red blood cells, extracting and choosing features, and classifying the images. The approach is based on well-known Convolutional neural network (CNN) models of Plasmodium parasites and erythrocytes. The trained CNN and VGG-19 are given images of infected and uninfected erythrocytes from the same dataset. VGG 19 gives 96% detection accuracy where CNN achieves 94%.  © 2023 IEEE.</t>
  </si>
  <si>
    <t xml:space="preserve">2023 5th International Conference on Electrical, Computer and Communication Technologies, ICECCT 2023</t>
  </si>
  <si>
    <t xml:space="preserve">10.1109/ICECCT56650.2023.10179665</t>
  </si>
  <si>
    <t xml:space="preserve">https://www.scopus.com/inward/record.uri?eid=2-s2.0-85166671323&amp;doi=10.1109%2fICECCT56650.2023.10179665&amp;partnerID=40&amp;md5=4d40e7dc2f37b9927dc05e755f2ef99c</t>
  </si>
  <si>
    <t xml:space="preserve">Agni College of Technology, Department of Mechatronics Engineering, Thalambur, India; Vel Tech Rangarajan Dr. Sagunthala R&amp;D Institute of Science and Technology, Department of Electronics and Communication Engineering, Chennai, India; Marwadi University, Department of Computer Engineering, Rajkot, India; SRM Institute of Science and Technology, Department of Computer Science Engineering, Trichy, India; Saveetha School of Engineering, Chennai, India; Saveetha Engineering College, Department of Electronics and Communication Engineering, Chennai, India</t>
  </si>
  <si>
    <t xml:space="preserve">Kuzhaloli S., Agni College of Technology, Department of Mechatronics Engineering, Thalambur, India; Thenappan S., Vel Tech Rangarajan Dr. Sagunthala R&amp;D Institute of Science and Technology, Department of Electronics and Communication Engineering, Chennai, India; Premavathi T., Marwadi University, Department of Computer Engineering, Rajkot, India; Nivedita V., SRM Institute of Science and Technology, Department of Computer Science Engineering, Trichy, India; Mageshbabu M., Saveetha School of Engineering, Chennai, India; Navaneethan S., Saveetha Engineering College, Department of Electronics and Communication Engineering, Chennai, India</t>
  </si>
  <si>
    <t xml:space="preserve">Convolution Neural Network; feature extraction; Plasmodium parasites; Preprocessing; selection</t>
  </si>
  <si>
    <t xml:space="preserve">Blood; Classification (of information); Convolution; Convolutional neural networks; Diagnosis; Diseases; Image enhancement; Convolution neural network; Convolutional neural network; Features extraction; Image-analysis; Machine learning models; Machine-learning; Parasitemia; Plasmodium parasites; Preprocessing; Selection; Feature extraction</t>
  </si>
  <si>
    <t xml:space="preserve">World Malaria Report, Geneva World Heal, (2017); WHO guidelines for malaria, (2021); Zemouri R., Zerhouni N., Racoceanu D., Deep learning in the biomedical applications: Recent and future status, Applied Sciences, 9, 8, (2019); Tobore Li J., Yuhang L., Et al., Deep learning intervention for health care challenges: Some biomedical domain considerations, JMIR mHealth and uHealth, 7, 8, pp. 15-23, (2019); Dinesh Jackson Samuel R., Rajesh Kanna B., Tuberculosis (TB) detection system using deep neural networks, Neural Computing and Applications, 31, 5, pp. 1533-1545, (2019); Navaneethan S., Siva Satya Sreedhar P., Padmakala S., Senthilkumar C., The human eye pupil detection system using bat optimized deep learning architecture, Computer Systems Science and Engineering, 46, 1, pp. 125-135, (2023); Navaneethan S., Nandhagopal N., RE-PUPIL: Resource efficient pupil detection system using the technique of average black pixel density, Sadhana, 46, 3, (2021); Hung J., Carpenter A., Applying faster R-CNN for object detection on malaria images, Proceedings of the 2017 IEEE Comput. Soc. Conf. Comput. Vis. Pattern Recognit. Work, pp. 1-7, (2017); Bibin D., Nair M.S., Punitha P., Malaria parasite detection from peripheral blood smear images using deep belief networks, IEEE Access, 5, pp. 9099-9108, (2017); Shaik F., Kumar Sharma A., Musthak Ahmed S., Kumar Gunjan V., Naik C., An improved model for analysis of diabetic Retinopathy related imagery, Indian Journal of Science and Technology, 9, 44, pp. 1-6, (2016); Rahman A., Zunair H., Rahman M.S., Et al., Improving Malaria Parasite Detection from Red Blood Cell Using Deep Convolutional Neural Networks, pp. 1-33, (2019); Alqudah Alqudah A.M., Qazan S., Lightweight deep learning for malaria parasite detection using cell-image of blood smear images, Revue d'IntelligenceArtificielle, 34, 5, pp. 571-576, (2020); SuryaNarayana G., Kolli K., Ansari M.D., Gunjan V.K., A traditional analysis for efficient data mining with integrated association mining into regression techniques, ICCCE 2020 Lecture Notes in Electrical Engineering, 698, pp. 1393-1404, (2021); Lister Hill National Center for Biomedical Communications (LHNCBC), a division of the National Library of Medicine (NLM); Singh N., Kumar A., Ahuja N.J., Implementation and evaluation of personalized intelligent tutoring system, international Journal of Innovative Technology and Exploring Engineering (IJITEE), 8, 6, (2019); Howard J., Gugger S., Fastai: A Layered API for Deep Learning, Information, 11, 2, pp. 108-126, (2020); Rajaraman S., Antani S.K., Poostchi M., Silamut K., Hossain M.A., Maude R.J., Jaeger S., Thoma G.R., Pre-trained convolutional neural networks as feature extractors toward improved malaria parasite detection in thin blood smear images, PeerJ, 6, (2018)</t>
  </si>
  <si>
    <t xml:space="preserve">S. Kuzhaloli; Agni College of Technology, Department of Mechatronics Engineering, Thalambur, India; email: kuzhal.oli@gmail.com</t>
  </si>
  <si>
    <t xml:space="preserve">5th IEEE International Conference on Electrical, Computer and Communication Technologies, ICECCT 2023</t>
  </si>
  <si>
    <t xml:space="preserve">978-166549360-4</t>
  </si>
  <si>
    <t xml:space="preserve">Int. Conf. Electr., Comput. Commun. Technol., ICECCT</t>
  </si>
  <si>
    <t xml:space="preserve">2-s2.0-85166671323</t>
  </si>
  <si>
    <t xml:space="preserve">Rezaeikarjani H.; Valinataj M.</t>
  </si>
  <si>
    <t xml:space="preserve">Rezaeikarjani, Hadi (58921548400); Valinataj, Mojtaba (26649183200)</t>
  </si>
  <si>
    <t xml:space="preserve">58921548400; 26649183200</t>
  </si>
  <si>
    <t xml:space="preserve">Improving a Deep Neural Network Accelerator using FPGA for Diagnosing Malaria Diseased Blood Cells</t>
  </si>
  <si>
    <t xml:space="preserve">The increasing computational demands of deep neural networks across various applications have driven the adoption of hardware accelerators. These specialized hardware devices are tailor-made for specific computational tasks, offering enhanced efficiency compared to conventional computer systems. In medical diagnosis applications, particularly the detection of malaria-infected blood cells, hardware accelerators play a pivotal role. This paper explores the augmentation and acceleration of malaria-infected blood cell detection by leveraging FPGA-based hardware accelerators with deep neural networks. The significance of this research is twofold. Firstly, rapid and precise processing of medical images is imperative in diagnosing malaria. FPGA-based hardware accelerators excel in parallel processing and high efficiency, significantly expediting disease detection, a crucial advantage during outbreaks. Secondly, the intricate architectures and numerous parameters of deep neural networks demand efficient implementation. Hardware accelerators, notably FPGA-based ones, facilitate precise and efficient model execution, enhancing diagnosis accuracy, a paramount factor in disease detection. This study adopts an Artificial Neural Network (ANN) with a Multilayer Perceptron (MLP) architecture and implements various hardware units, resulting in substantially faster malaria-infected cell detection. The simulation results demonstrate an acceptable accuracy increase from 94.8% to 98.3% and a significant reduction in latency from 5.93 ns to 0.4 ns in the hardware implementation. Moreover, the output representation has been improved, transitioning from a matrix display to a visually interpretable format with distinct colors, enabling real-time disease detection. © 2023 IEEE.</t>
  </si>
  <si>
    <t xml:space="preserve">14th International Conference on Information and Knowledge Technology, IKT 2023</t>
  </si>
  <si>
    <t xml:space="preserve">10.1109/IKT62039.2023.10433016</t>
  </si>
  <si>
    <t xml:space="preserve">https://www.scopus.com/inward/record.uri?eid=2-s2.0-85186757601&amp;doi=10.1109%2fIKT62039.2023.10433016&amp;partnerID=40&amp;md5=3bb84e67e298a3c3bd8f6e2cdce51a65</t>
  </si>
  <si>
    <t xml:space="preserve">Babol Noshirvani University of Technology, Faculty of Electrical and Computer Engineering, Babol, Iran</t>
  </si>
  <si>
    <t xml:space="preserve">Rezaeikarjani H., Babol Noshirvani University of Technology, Faculty of Electrical and Computer Engineering, Babol, Iran; Valinataj M., Babol Noshirvani University of Technology, Faculty of Electrical and Computer Engineering, Babol, Iran</t>
  </si>
  <si>
    <t xml:space="preserve">disease detection with neural networks; FPGA; hardware accelerator; medical diagnosis; neural networks</t>
  </si>
  <si>
    <t xml:space="preserve">Blood; Cells; Computer hardware; Cytology; Deep neural networks; Diagnosis; Diseases; Efficiency; Medical imaging; Multilayer neural networks; Network architecture; Blood cells; Cell detection; Computational demands; Disease detection; Disease detection with neural network; FPGA-based hardware accelerators; Hardware accelerators; Neural-networks; Specialized hardware; Field programmable gate arrays (FPGA)</t>
  </si>
  <si>
    <t xml:space="preserve">Abd El-Maksoud A.J., Ebbed M., Khalil A.H., Mostafa H., Power Efficient Design of High-Performance Convolutional Neural Networks Hardware Accelerator on FPGA: A Case Study with GoogLeNet, IEEE Access, 2021, 9, pp. 151897-151911; Nogueira-Rodriguez A., Et al., Deep neural networks approaches for detecting and classifying colorectal polyps, Neurocomputing, 423, pp. 721-734, (2021); Anderson J.G., Abrahamson K., Your health care may kill you: Medical errors, ITCH, 234, pp. 13-17, (2017); Duarte J., Et al., Fast inference of deep neural networks in FPGAs for particle physics, Journal of Instrumentation, 13, 7, (2018); Winzker M., Schwandt A., Open education teaching unit for lowpower design and FPGA image processing, 2019 IEEE Frontiers in Education Conference (FIE, (2019); Xiaopeng W., Gu L., Wang Z., Computer medical image segmentation based on neural network, IEEE Access, 8, pp. 158778-158786, (2020); Mohit K., Hosseini M., Paneliya H., Mohsenin T., David Hairston W., Waytowich N., Energy efficient convolutional neural networks for eeg artifact detection, 2018 IEEE Biomedical Circuits and Systems Conference (BioCAS, pp. 1-4, (2018); Ahmed S., Yang C., Alexeev Y., Yoshii K., Herbordt M.C., Real-Time data analysis for medical diagnosis using FPGA-Accelerated neural networks, BMC Bioinformatics, 19, 2018, pp. 19-31; Rijad S., Jokic D., Beganovic N., Gurbeta Pokvic L., Badnjevic A., FPGA-based real-Time epileptic seizure classification using Artificial Neural Network, Biomedical Signal Processing and Control, 62, 2020; Saglam S., Tat F., Bayar S., Fpga implementation of cnn algorithm for detecting malaria diseased blood cells, 2019 International Symposium on Advanced Electrical and Communication Technologies (ISAECT; U.S National Library of Medicine, (2018)</t>
  </si>
  <si>
    <t xml:space="preserve">26 December 2023 through 28 December 2023</t>
  </si>
  <si>
    <t xml:space="preserve">Isfahan</t>
  </si>
  <si>
    <t xml:space="preserve">979-835034941-2</t>
  </si>
  <si>
    <t xml:space="preserve">Int. Conf. Inf. Knowl. Technol., IKT</t>
  </si>
  <si>
    <t xml:space="preserve">2-s2.0-85186757601</t>
  </si>
  <si>
    <t xml:space="preserve">Zaman Khan G.; Ali Shah I.; Farhatullah; Hassan M.A.; Junaid H.; Sardar F.</t>
  </si>
  <si>
    <t xml:space="preserve">Zaman Khan, Gul (58243663500); Ali Shah, Ibrar (55410031000); Farhatullah (58179263000); Hassan, Muhammad Abul (57219412779); Junaid, Hazrat (58179147400); Sardar, Fouzia (57205508875)</t>
  </si>
  <si>
    <t xml:space="preserve">58243663500; 55410031000; 58179263000; 57219412779; 58179147400; 57205508875</t>
  </si>
  <si>
    <t xml:space="preserve">Intelligent Systems for Early Malaria Disease Detection in Patient Cells Using Transfer Learning Approaches</t>
  </si>
  <si>
    <t xml:space="preserve">Malaria is an infectious disease spread by mosquitoes that effect humans and other animals. It is a massive threat to humanity, with instances growing each year. It is essential to prevent and diagnose malaria immediately and efficiently. For the time being, conventional methods are used for diagnosing malaria in which the patient's blood sample is examined by microscope or by using malaria RTD kits. This approach has several limitations because it requires medical expertise, is expensive, takes a long time, and the results are unsatisfactory. Artificial intelligence-based systems can prevent and help in diagnose of this infectious disease. Because of these limitations, the proposed work has proposed an AI-based diagnosis system that can detect malaria parasites immediately and efficiently. In the proposed experiment, we have applied four different pre-trained deep learning models on the image dataset with some preprocessing and optimization techniques for malaria parasite detection. After investigations, evaluation matrices such as precision, Recall, F1-score, sensitivity, and specificity are used to measure the performance of the proposed models. The Inception-Resnet outperformed by achieving 95% accuracy, VGG16 achieved 92% accuracy, inception achieved 93% accuracy, and VGG19 achieved 91% accuracy. The positive outcomes of this study show that this approach performs much better than the approaches currently used. Furthermore, the proposed method is relevant to health experts for screening purposes.  © 2023 IEEE.</t>
  </si>
  <si>
    <t xml:space="preserve">2023 4th International Conference on Computing, Mathematics and Engineering Technologies: Sustainable Technologies for Socio-Economic Development, iCoMET 2023</t>
  </si>
  <si>
    <t xml:space="preserve">10.1109/iCoMET57998.2023.10099260</t>
  </si>
  <si>
    <t xml:space="preserve">https://www.scopus.com/inward/record.uri?eid=2-s2.0-85158927818&amp;doi=10.1109%2fiCoMET57998.2023.10099260&amp;partnerID=40&amp;md5=f2624452e8d92fc04d277f34451e7aa6</t>
  </si>
  <si>
    <t xml:space="preserve">Uet, Department of Computer Software Engineering, Mardan, Pakistan; School of Automation, China University of Geosciences, Wuhan, 430074, China; University of Trento, Department of Information Engineering and Computer Science, Italy; University of Malakand, Department of Computer Science and Information Technology, Pakistan; University F Malakand, Department of Zoology, Dir Lower, Pakistan</t>
  </si>
  <si>
    <t xml:space="preserve">Zaman Khan G., Uet, Department of Computer Software Engineering, Mardan, Pakistan; Ali Shah I., Uet, Department of Computer Software Engineering, Mardan, Pakistan; Farhatullah, School of Automation, China University of Geosciences, Wuhan, 430074, China; Hassan M.A., University of Trento, Department of Information Engineering and Computer Science, Italy; Junaid H., University of Malakand, Department of Computer Science and Information Technology, Pakistan; Sardar F., University F Malakand, Department of Zoology, Dir Lower, Pakistan</t>
  </si>
  <si>
    <t xml:space="preserve">classification; Malaria disease; transfer learning</t>
  </si>
  <si>
    <t xml:space="preserve">Deep learning; Diagnosis; Intelligent systems; Learning systems; Transfer learning; Blood samples; Conventional methods; Diagnose system; Disease detection; Disease spread; Infectious disease; Learning approach; Malaria disease; Malaria parasite; Transfer learning; Diseases</t>
  </si>
  <si>
    <t xml:space="preserve">World malaria report 2019, (2023); Monitoring health for the SDG - world health organization, (2023); Maddula S.S.H., Yadav N., Dasari G., Malaria detection using blood smear images | neu journal for artificial intelligence and internet of things, Malaria Detection Using Blood Smear Images | NEU Journal for Artificial Intelligence and Internet of Things, (2022); Sinha S., Srivastava U., Dhiman A.P.S.V., Mishra S., Performance assessment of deep learning procedures on malaria dataset, Journal of Robotics and Control (JRC), 2, 1, (2020); Jameela T., Athotha K., Singh N., Gunjan V.K., Kahali S., Deep learning and transfer learning for malaria detection, Computational Intelligence and Neuroscience, 2022, pp. 1-14, (2022); Kumar A., Sarkar S., Pradhan C., Malaria disease detection using CNN technique with SGD, RMSPROP and Adam Optimizers, Studies in Big Data, pp. 211-230, (2019); Oyewola D.O., Dada E.G., Misra S., Damasevicius R., A novel data augmentation convolutional neural network for detecting malaria parasite in blood smear images, Applied Artificial Intelligence, 36, 1, (2022); Maqsood A., Farid M.S., Khan M.H., Grzegorzek M., Deep malaria parasite detection in thin blood smear microscopic images, Applied Sciences, 11, 5, (2021); Empirical analysis of a fine-tuned deep convolutional model in classifying and detecting malaria parasites from blood smears, KSII Transactions on Internet and Information Systems, 15, 1, (2021); mariadeor/DL-RBCSegmentation-MalariaDetection: Source Code of a Digital Pathology System for RBC Segmentation and Malaria Detection through Deep Learning, (2020); Yadav S.S., Kadam V.J., Jadhav S.M., Jagtap S., Pathak P.R., Machine learning based malaria prediction using clinical findings, 2021 International Conference on Emerging Smart Computing and Informatics (ESCI), (2021); Ahsan M.M., Luna S.A., Siddique Z., Machine-learning-based disease diagnosis: A comprehensive review, Healthcare, 10, 3, (2022); Shah D., Kawale K., Shah M., Randive S., Mapari R., Malaria parasite detection using deep learning : Beneficial to humankind, 2020 4th International Conference on Intelligent Computing and Control Systems (ICICCS), (2020); Shekar G., Revathy S., Goud E.K., Malaria detection using deep learning, 2020 4th International Conference on Trends in Electronics and Informatics (ICOEI)(48184), (2020); Jameela T., Athotha K., Singh N., Gunjan V.K., Kahali S., Deep learning and transfer learning for malaria detection, Computational Intelligence and Neuroscience, 2022, pp. 1-14, (2022); Singh M., Khurana R., Jain P., Verma A., Malaria cell detection using machine learning, International Journal for Research in Applied Science and Engineering Technology, 10, 5, pp. 2336-2343, (2022); Mustafa W.A., Alquran H., Aihsan M.Z., Saifizi M., Khairunizam W., Abdul-Nasir A.S., Kader M.M.A., Salimi M.N., Nasrudin M.W., Malaria parasite diagnosis using computational techniques: A comprehensive review, Journal of Physics: Conference Series, 2107, 1, (2021); Breesha R., Alagu S., Malarial parasite detection based on smartphone microscopic imaging using Deep Learning Approach, Algorithms for Intelligent Systems, pp. 565-577, (2022); Islam M.R., Nahiduzzaman M., Goni M.O., Sayeed A., Anower M.S., Ahsan M., Haider J., Explainable transformer-based deep learning model for the detection of malaria parasites from blood cell images, Sensors, 22, 12, (2022)</t>
  </si>
  <si>
    <t xml:space="preserve">4th International Conference on Computing, Mathematics and Engineering Technologies, iCoMET 2023</t>
  </si>
  <si>
    <t xml:space="preserve">17 March 2023 through 18 March 2023</t>
  </si>
  <si>
    <t xml:space="preserve">Sukkur</t>
  </si>
  <si>
    <t xml:space="preserve">979-835033531-6</t>
  </si>
  <si>
    <t xml:space="preserve">Int. Conf. Comput., Math. Eng. Technol.: Sustain. Technol. Socio-Econ. Dev., iCoMET</t>
  </si>
  <si>
    <t xml:space="preserve">2-s2.0-85158927818</t>
  </si>
  <si>
    <t xml:space="preserve">Rajab S.; Nakatumba-Nabende J.; Marvin G.</t>
  </si>
  <si>
    <t xml:space="preserve">Rajab, Solimo (58478806700); Nakatumba-Nabende, Joyce (59157756300); Marvin, Ggaliwango (57302525500)</t>
  </si>
  <si>
    <t xml:space="preserve">58478806700; 59157756300; 57302525500</t>
  </si>
  <si>
    <t xml:space="preserve">Interpretable Machine Learning Models for Predicting Malaria</t>
  </si>
  <si>
    <t xml:space="preserve">Malaria remains one of the deadliest diseases in underdeveloped regions, particularly in Sub-Saharan Africa. The lack of high-quality healthcare services and accurate disease diagnosis systems has resulted in acute medical problems for patients. This necessitates reliable automated decision-making tools to aid medical professionals in their decision-making process. This paper presents a transparent approach to malaria diagnosis by applying Explainable Artificial Intelligence (XAI) techniques, namely Shapley Additive Explanation (SHAP) and Local Interpretable Model-agnostic Explanation (LIME), to provide meaningful interpretations of severe malaria predictions made by machine learning models. Various models, including Extreme Gradient Boosting, K-means, K-Nearest Neighbor, Support Vector Machine (SVM), Decision Tree, Logistic Regression (LR), Random Forest, Naive Bayes, AdaBoost, and Explainable Boosting Machines (EBMs) are deployed for this task. The results of the study showed that Random Forest and Explainable Boosting Machines achieved the highest accuracy of 84%. EBM also provided a practical clinical understanding of features that drive clear prediction. The LR achieved an accuracy of 81% after applying GridSearchCV to increase prediction accuracy. Furthermore, K-fold validation was used on XGBoost to estimate the model's skill on new data. The interpretations were enhanced by XAI, which revealed features that contribute to severe malaria. The application of these techniques can significantly improve the accuracy of severe malaria predictions and aid medical professionals in making informed decisions. This paper provides a compelling argument for the urgent need for XAI techniques to address the challenges associated with severe malaria diagnosis and treatment. The study's findings demonstrate the effectiveness of these techniques in enhancing the accuracy and interpretability of machine learning models, which can greatly benefit medical professionals in their decision-making process. © 2023 IEEE.</t>
  </si>
  <si>
    <t xml:space="preserve">2023 2nd International Conference on Smart Technologies and Systems for Next Generation Computing, ICSTSN 2023</t>
  </si>
  <si>
    <t xml:space="preserve">10.1109/ICSTSN57873.2023.10151538</t>
  </si>
  <si>
    <t xml:space="preserve">https://www.scopus.com/inward/record.uri?eid=2-s2.0-85164260379&amp;doi=10.1109%2fICSTSN57873.2023.10151538&amp;partnerID=40&amp;md5=d7e27c98f88f1309a32992bbb074bdde</t>
  </si>
  <si>
    <t xml:space="preserve">Makerere University, Department of Computer Science, Kampala, Uganda</t>
  </si>
  <si>
    <t xml:space="preserve">Rajab S., Makerere University, Department of Computer Science, Kampala, Uganda; Nakatumba-Nabende J., Makerere University, Department of Computer Science, Kampala, Uganda; Marvin G., Makerere University, Department of Computer Science, Kampala, Uganda</t>
  </si>
  <si>
    <t xml:space="preserve">Diagnosis; Explainable AI; Explainable Boosting Machines; Machine Learning; Malaria</t>
  </si>
  <si>
    <t xml:space="preserve">Adaptive boosting; Decision trees; Diagnosis; Digital storage; Diseases; Learning systems; Lime; Logistic regression; Medical problems; Nearest neighbor search; Random forests; Support vector machines; Decision-making process; Explainable AI; Explainable boosting machine; Logistics regressions; Machine learning models; Machine-learning; Malaria; Malaria diagnosis; Medical professionals; Random forests; Forecasting</t>
  </si>
  <si>
    <t xml:space="preserve">Fornace K.M., Diaz A.V., Lines J., Drakeley C.J., Achieving global malaria eradication in changing landscapes, Malaria journal, 20, pp. 1-14, (2021); Sharma M., Bhave A., Janghel R.R., White blood cell classification using convolutional neural network, pp. 135-143, (2019); Esteva A., Kuprel B., Novoa R.A., Ko J., Swetter S.M., Blau H.M., Thrun S., Dermatologist-level classification of skin cancer with deep neural networks, nature, 542, 7639, pp. 115-118, (2017); Lundberg Scott M., Gabriel E., Hugh C., Alex D., Prutkin Jordan M., Bala N., Ronit K., Jonathan H., Nisha B., Su-In L., Explainable AI for trees: From local explanations to global understanding, (2019); Global Malaria Programme, (2020); World Malaria Report 2020; Hay S.I., Abajobir A., Abate K., Abbafati C., Abbas K., Abd-Allah F., Global, regional, and national disability-adjusted life-years (DALYs) for 333 diseases and injuries and healthy life expectancy (HALE) for 195 countries and territories, 1990a2016: A systematic analysis for the Global Burden of Disease Study 2016, The Lancet., 390, pp. 1260-1344, (2017); Watson O.J., Sumner K.M., Janko M., Goel V., Winskill P., Slater H.C., False-negative malaria rapid diagnostic test results and their impact on community-based malaria surveys in sub-Saharan Africa, BMJ global health, 4, (2019); Camacho D.M., Collins K.M., Powers R.K., Costello J.C., Collins J.J., Next-generation machine learning for biological networks, Cell, 173, 7, (2018); Kumar R., Kumar P., Tripathi R., Gupta G.P., Islam A.N., Shorfuzzaman M., Permissioned blockchain and deep-learning for secure and efficient data sharing in industrial healthcare systems, IEEE Transactions on Industrial Informatics, (2022); Sarkar R., Chatterjee C., Application of Different Time Series Models on Epidemiological DataaComparison and Predictions for Malaria Prevalence, SM J. Biom. Biostat, 2, (2017); Arrieta A.B., Daz-Rodrguez N., Del Ser J., Bennetot A., Tabik S., Barbado A., Herrera F., Explainable Artificial Intelligence (XAI): Concepts, taxonomies, opportunities and challenges toward responsible AI, Information fusion, 58, pp. 82-115, (2020); Lee C.M., Lee D.S., Kwon T.S., Athar M., Park Y.S., Predicting the global distribution of Solenopsis geminata (Hymenoptera: Formicidae) under climate change using the MaxEnt model, Insects, 12, (2021); Lee D.S., Bae Y.S., Byun B.K., Lee S., Park J.K., Park Y.S., Occurrence prediction of the citrus flatid planthopper (Metcalfa pruinosa (Say, 1830)) in South Korea using a random forest model, Forests, 10, (2019); Cha Y., Shin J., Go B., Lee D.S., Kim Y., Kim T., Park Y.S., An interpretable machine learning method for supporting ecosystem management: Application to species distribution models of freshwater macroinvertebrates, Journal of Environmental Management, 291, (2021); Molnar C., Interpretable Machine Learning: A Guide for Making Black Box Models Explainable, 2 ed., (2022); Kalipe G., Gautham V., Behera R.K., Predicting malarial outbreak using machine learning and deep learning approach: A review and analysis, 2018 International Conference on Information Technology (ICIT), pp. 33-38; Thakur S., Dharavath R., Artificial neural network based prediction of malaria abundances using big data: A knowledge capturing approach, Clinical Epidemiology and Global Health, 7, pp. 121-126, (2019); Khanam J.J., Foo S.Y., A comparison of machine learning algorithms for diabetes prediction, ICT Express, 7, pp. 432-439, (2021); Yadav S.S., Kadam V.J., Jadhav S.M., Jagtap S., Pathak P.R., Machine learning based malaria prediction using clinical findings, 2021 International Conference on Emerging Smart Computing and Informatics (ESCI), pp. 216-222, (2021); Marvin G., Alam M.G.R., Explainable Feature Learning for Predicting Neonatal Intensive Care Unit (NICU) Admissions, 2021 IEEE International Conference on Biomedical Engineering, Computer and Information Technology for Health (BECITHCON), pp. 69-74, (2021)</t>
  </si>
  <si>
    <t xml:space="preserve">S. Rajab; Makerere University, Department of Computer Science, Kampala, Uganda; email: solimo.rajab77@students.mak.ac.ug</t>
  </si>
  <si>
    <t xml:space="preserve">2nd International Conference on Smart Technologies and Systems for Next Generation Computing, ICSTSN 2023</t>
  </si>
  <si>
    <t xml:space="preserve">21 April 2023 through 22 April 2023</t>
  </si>
  <si>
    <t xml:space="preserve">Villupuram</t>
  </si>
  <si>
    <t xml:space="preserve">979-835034800-2</t>
  </si>
  <si>
    <t xml:space="preserve">Int. Conf. Smart Technol. Syst. for Next Gener. Comput., ICSTSN</t>
  </si>
  <si>
    <t xml:space="preserve">2-s2.0-85164260379</t>
  </si>
  <si>
    <t xml:space="preserve">Baweja A.K.; Aditya S.; Kanchana M.</t>
  </si>
  <si>
    <t xml:space="preserve">Baweja, Asis Kaur (57439990700); Aditya, S. (58373212800); Kanchana, M. (57216477082)</t>
  </si>
  <si>
    <t xml:space="preserve">57439990700; 58373212800; 57216477082</t>
  </si>
  <si>
    <t xml:space="preserve">Leprosy Diagnosis using Explainable Artificial Intelligence Techniques</t>
  </si>
  <si>
    <t xml:space="preserve">LRprosy, also known as Hansen's Disease is a chronic curable infection that seldom causes skin lesion and nerve damage. The World Health organization reported 127558 new leprosy cases detected globally in 2020. National Leprosy Eradication Program (NLEP) initiated by India, is the largest leprosy eradication program of the world. Despite this, 53.64% of leprosy cases (120,000 to 130,000 per year) are in India. Although this disease is curable at the later stages, an early diagnosis eradicates the complications incurred by nerve involvement. Existing research predicts leprosy on basis of electronic health records which require complex contact based techniques for procuration. Image based predictors lack credibility as it is hard to determine what features are being taken into consideration for prediction. This paper proposes an optimal AXI-CNN architecture for leprosy prediction called LeprosyNet. Deep Learning models are seldom black box in nature, in order to understand the area of interest in the images, explainable AI techniques like Activation Layer Visualization, Occlusion Sensitivity and Grad-CAM are used. The proposed model is compared with famous state-of-art architectures AlexNet and ResNet. Evaluation of the model has been undertaken using a ROC curve and confusion matrix. Accuracy obtained on LeprosyNet is 98%.  © 2023 IEEE.</t>
  </si>
  <si>
    <t xml:space="preserve">2nd International Conference on Sustainable Computing and Data Communication Systems, ICSCDS 2023 - Proceedings</t>
  </si>
  <si>
    <t xml:space="preserve">10.1109/ICSCDS56580.2023.10104958</t>
  </si>
  <si>
    <t xml:space="preserve">https://www.scopus.com/inward/record.uri?eid=2-s2.0-85159096925&amp;doi=10.1109%2fICSCDS56580.2023.10104958&amp;partnerID=40&amp;md5=b4c651ea70228b5967489dee532756d4</t>
  </si>
  <si>
    <t xml:space="preserve">Srm Institute of Science and Technology (SRMIST), Department of Computing Technologies (SRMIST), Chennai, India</t>
  </si>
  <si>
    <t xml:space="preserve">Baweja A.K., Srm Institute of Science and Technology (SRMIST), Department of Computing Technologies (SRMIST), Chennai, India; Aditya S., Srm Institute of Science and Technology (SRMIST), Department of Computing Technologies (SRMIST), Chennai, India; Kanchana M., Srm Institute of Science and Technology (SRMIST), Department of Computing Technologies (SRMIST), Chennai, India</t>
  </si>
  <si>
    <t xml:space="preserve">Convolutional Neural Network; Deep Learning; Explainable Artificial Intelligence; Gradient-weighted Class Activation Mapping (Grad-CAM); Occlusion Sensitivity Map</t>
  </si>
  <si>
    <t xml:space="preserve">Chemical activation; Convolutional neural networks; Deep learning; Diagnosis; Network architecture; Activation mapping; Artificial intelligence techniques; Convolutional neural network; Deep learning; Eradication programs; Explainable artificial intelligence; Gradient-weighted class activation mapping; Occlusion sensitivity map; Sensitivity map; Skin lesion; Diseases</t>
  </si>
  <si>
    <t xml:space="preserve">Rao P.N., Suneetha S., Current Situation of Leprosy in India and its Future Implications, Indian Dermatol Online J., 9, 2, pp. 83-89, (2018); Mehta J., Dharamsey J., Domal P., Classification of Leprosy using Artificial Neural Networks and Machine Learning, IRJET., 8, 6, (2021); Jalpa M., Jaydeep D., Pravalika D.P., Clinical Text Mining of EHRs to Classify Leprosy Cases, IJITEE., 9, 5, (2020); Chow M., Shue L., Sierro T., Tran K., Vaccaro S., Ochoa M.T., Characterization and Outcomes of Pat ients With Hansen Disease Treated at the Los Angeles County Hospital, JAMA Dermatol., 155, 10, pp. 1190-1192, (2019); Hazarika N., Gupta P.K., Dhanta A., Et al., Renaissance of Hansen's Disease in Post-Elimination Era in North India: A Retrospective Clinico-Bacteriological Study, Cureus, 13, 8; Nunzi E., Massone C., Leprosy: a practical guide, (2012); Girdhar A., Girdhar B.K., Nerve thickening in leprosy pat ients and risk of paralyt ic deformities: a field based study in Agra, India, Leprosy review, 75, 2, pp. 135-142, (2004); De Souza M.L.M., Ayres Lopes G., Castelo Branco A., Fairley J.K.D., Oliveira Fraga L.A., Leprosy Screening Based on Artificial Intelligence: Development of a Cross-Plat form App, JMIR Mhealth Uhealth, 9, 4, (2021); Nwankpa C., Ijomah W., Gachagan A., Marshall S., Act ivation functions: Comparison of trends in practice and research for deep learning, (2018); Kingma D.P., Ba J., Adam: A method for stochastic optimization, (2014); Rao N.P., Leprosy: The challenges ahead for India, Journal of Skin and Sexually Transmitted Diseases, 3, 2, pp. 106-110, (2021); Govindasamy K., John A.S., Lal V., Arif M., Moturu Solomon R., Ghosal J., Dutta A., A comparison of three types of targeted, community-based methods aimed at promoting early detection of new leprosy cases in rural parts of three endemic states in India, (2021); Grantz K.H., Chabaari W., Samuel R.K., Et al., Spatial dist ribution of leprosy in India: an ecological study, Infect Dis Poverty, 7, (2018); Adadi A., Berrada M., Peeking inside the blackbox: a survey on explainable Artificial intelligence (XAI), IEEE access, 6, pp. 52138-52160, (2018); Yang G., Rao A., Fernandez-Maloigne C., Calhoun V., Menegaz G., Explainable AI (XAI) In Biomedical Signal and Image Processing: Promises and Challenges, 2022 IEEE International Conference on Image Processing (ICIP), pp. 1531-1535, (2022); Nakagawa P.I., Ferreira Pires L., Rebelo Moreira J.L., Olavo Bonino L., Towards Semant ic Description of Explainable Machine Learning Workflows, 2021 IEEE 25th International Enterprise Distributed Object Computing Workshop (EDOCW), pp. 236-244, (2021); Ong J.H., Goh K.M., Lim L.L., Comparative Analysis of Explainable Artificial Intelligence for COVID-19 Diagnosis on CXR Image, 2021 IEEE International Conference on Signal and Image Processing Applications (ICSIPA), pp. 185-190, (2021); Giuste F., Shi W., Zhu Y., Naren T., Isgut M., Sha Y., Tong L., Gupte M., Wang M.D., Explainable Artificial intelligence methods in combating pandemics: A systemat ic review, IEEE Reviews in Biomedical Engineering, (2022); Bhattacharjee S., Hwang Y.-B., Ikromjanov K., Sumon R.I., Kim H.-C., Choi H.-K., An Explainable Computer Vision in Histopathology: Techniques for Interpreting Black Box Model, 2022 International Conference on Artificial Intelligence in Information and Communication (ICAIIC), pp. 392-398, (2022); Aminu M., Atinah Ahmad N., Halim Mohd Noor M., Covid-19 detection via deep neural network and occlusion sensitivity maps, Alexandria Engineering Journal, 60, 5, pp. 4829-4855, (2021); Kingma D.P., Ba J., Adam: A method for stochastic optimization, (2014); Baweja H.S., Parhar T., Leprosy lesion recognition using convolutional neural networks, 2016 International Conference on Machine Learning and Cybernetics (ICMLC), pp. 141-145, (2016)</t>
  </si>
  <si>
    <t xml:space="preserve">A.K. Baweja; Srm Institute of Science and Technology (SRMIST), Department of Computing Technologies (SRMIST), Chennai, India; email: ab8161@srmist.edu.in</t>
  </si>
  <si>
    <t xml:space="preserve">2nd International Conference on Sustainable Computing and Data Communication Systems, ICSCDS 2023</t>
  </si>
  <si>
    <t xml:space="preserve">23 March 2023 through 25 March 2023</t>
  </si>
  <si>
    <t xml:space="preserve">978-166549199-0</t>
  </si>
  <si>
    <t xml:space="preserve">Int. Conf. Sustain. Comput. Data Commun. Syst., ICSCDS - Proc.</t>
  </si>
  <si>
    <t xml:space="preserve">2-s2.0-85159096925</t>
  </si>
  <si>
    <t xml:space="preserve">Petrea D.; Stoleru G.-I.; Iftene A.</t>
  </si>
  <si>
    <t xml:space="preserve">Petrea, Daniela (58759448200); Stoleru, Georgiana-Ingrid (57210115267); Iftene, Adrian (23397232600)</t>
  </si>
  <si>
    <t xml:space="preserve">58759448200; 57210115267; 23397232600</t>
  </si>
  <si>
    <t xml:space="preserve">Leveraging Convolutional Neural Networks for Malaria Detection from Red Blood Cell Images</t>
  </si>
  <si>
    <t xml:space="preserve">In recent years, artificial intelligence (AI) has started to be used more and more in the medical field. This paper presents a study focused on malaria classification based on segmented blood cells from images collected from the National Institutes of Health (NIH) database. The research involved the development of a handcrafted convolutional neural network (CNN), as well as experimentation with various fine-tuning approaches using the VGG16 architecture. The conducted experiments have yielded promising results, providing empirical evidence for the potential effectiveness of these techniques in future applications. The augmented CNN achieved an impressive accuracy of 96.51%, while the VGG16 fully trainable model outperformed it with an accuracy of 96.69%. A problem that needs to be analyzed more carefully in the future concerns the explainability of the results so that they can be used with confidence by healthcare professionals. © 2023 IEEE.</t>
  </si>
  <si>
    <t xml:space="preserve">17th International Conference on INnovations in Intelligent SysTems and Applications, INISTA 2023 - Proceedings</t>
  </si>
  <si>
    <t xml:space="preserve">10.1109/INISTA59065.2023.10310367</t>
  </si>
  <si>
    <t xml:space="preserve">https://www.scopus.com/inward/record.uri?eid=2-s2.0-85179557317&amp;doi=10.1109%2fINISTA59065.2023.10310367&amp;partnerID=40&amp;md5=56f70367bb50e34c2c2eec5ee9738883</t>
  </si>
  <si>
    <t xml:space="preserve">"Alexandru Ioan Cuza"University, Faculty of Computer Science, Iasi, Romania</t>
  </si>
  <si>
    <t xml:space="preserve">Petrea D., "Alexandru Ioan Cuza"University, Faculty of Computer Science, Iasi, Romania; Stoleru G.-I., "Alexandru Ioan Cuza"University, Faculty of Computer Science, Iasi, Romania; Iftene A., "Alexandru Ioan Cuza"University, Faculty of Computer Science, Iasi, Romania</t>
  </si>
  <si>
    <t xml:space="preserve">Convolutional Neural Network (CNN); Deep Learning; Explainable AI; Malaria; Medical Imaging</t>
  </si>
  <si>
    <t xml:space="preserve">Blood; Cells; Classification (of information); Convolution; Deep learning; Diseases; Medical imaging; Blood cell images; Blood cells; Convolutional neural network; Deep learning; Explainable artificial intelligence; Malaria; Medical fields; National institute of healths; Red blood cell; Convolutional neural networks</t>
  </si>
  <si>
    <t xml:space="preserve">Suzuki K., Artificial neural networks-methodological advances and biomedical applications, InTech, Janeza Trdine, 9, (2011); Simonyan K., Zisserman A., Very deep convolutional networks for large-scale image recognition, (2014); Ribeiro M.T., Singh S., Guestrin C., why should i trust you? explaining the predictions of any classifier, Proceedings of the 22nd ACM SIGKDD international conference on knowledge discovery and data mining, pp. 1135-1144, (2016); Selvaraju R., Cogswell M., Das A., Vedantam R., Parikh D., Batra D., Grad-cam: Visual explanations from deep networks via gradient-based localization, ICCV, pp. 618-626, (2017); World malaria report 2022, (2022); Selvaraju R., Cogswell M., Das A., Vedantam R., Parikh D., Batra D., Malaria: fact sheet, World Health Organization. Regional Office for the Eastern Mediterranean, (2014); Gollin D., Zimmermann C., Malaria: Disease impacts and long-run income differences, 2997, (2007); Rahman A., Zunair H., Rahman M.S., Yuki J.Q., Biswas S., Alam M.A., Alam N.B., Mahdy M.R.C., Improving malaria parasite detection from red blood cell using deep convolutional neural networks, (2019); Who guidelines for malaria, 16 february 2021, (2021); Jameela T., Athotha K., Singh N., Gunjan V.K., Kahali S., Deep learning and transfer learning for malaria detection, Computational Intelligence and Neuroscience, 2022, (2022); Stoleru G., Iftene A., Transfer learning for alzheimer's disease diagnosis from mri slices: A comparative study of deep learning models, Proceedings of 27th International Conference on Knowledge-Based and Intelligent Information &amp; Engineering Systems (KES 2023), (2023); Suzuki K., Overview of deep learning in medical imaging, Radiological physics and technology, 10, 3, pp. 257-273, (2017); Talukdar T.R., Hossain M., Talukdar T.H., Malaria detection in segmented blood cell using convolutional neural networks and canny edge detection, (2022); Rajaraman S., Antani S.K., Poostchi M., Silamut K., Hossain M.A., Maude R.J., Jaeger S., Thoma G.R., Pre-trained convolutional neural networks as feature extractors toward improved malaria parasite detection in thin blood smear images, PeerJ, 6, (2018); Muhandisin A., Azhar Y., Et al., Malaria blood cell image classification using transfer learning with fine-tune resnet50 and data augmentation, Jurnal RESTI, 6, 5, pp. 891-897, (2022); Narayanan B.N., Ali R., Hardie R.C., Performance analysis of machine learning and deep learning architectures for malaria detection on cell images, Applications of Machine Learning, pp. 240-247, (2019); National institutes of health.; Parsania P., Virparia P., A review: Image interpolation techniques forimage scaling, Int. Journal of Innovative Research in Computer and Communication Engineering, 2, pp. 7409-7414, (2015); Githubrepo, (2023); sklearn. model selection. parametergrid.; He K., Zhang X., Ren S., Sun J., Delving deep into rectifiers: Surpassing human-level performance on imagenet classification, 2015 IEEE International Conference on Computer Vision (ICCV), pp. 1026-1034, (2015); Maxpooling2d layer; Dropout layer; Imagenet; Banegas-Luna A., Pena-Garcia J., Iftene A., Guadagni F., Ferroni P., Scarpato N., Zanzotto F., Bueno-Crespo A., Perez-Sanchez H., Towards the interpretability of machine learning predictions for medical applications targeting personalised therapies: A cancer case survey, International Journal of Molecular Sciences, 22, (2021); Yang W., Le H., Laud T.A., Savarese S., Hoi S.C.H., Omnixai: A library for explainable ai, (2022); Omnixai</t>
  </si>
  <si>
    <t xml:space="preserve">D. Petrea; "Alexandru Ioan Cuza"University, Faculty of Computer Science, Iasi, Romania; email: danapetrea.dp@gmail.com</t>
  </si>
  <si>
    <t xml:space="preserve">Yildirim T.; Chbeir R.; Bellatreche L.; Badica C.</t>
  </si>
  <si>
    <t xml:space="preserve">OpenCEMS - Connected Environment and Distributed Energy Data Management Solutions</t>
  </si>
  <si>
    <t xml:space="preserve">17th International Conference on INnovations in Intelligent SysTems and Applications, INISTA 2023</t>
  </si>
  <si>
    <t xml:space="preserve">20 September 2023 through 23 September 2023</t>
  </si>
  <si>
    <t xml:space="preserve">Hammamet</t>
  </si>
  <si>
    <t xml:space="preserve">979-835033890-4</t>
  </si>
  <si>
    <t xml:space="preserve">Int. Conf. INnov. Intell. Syst. Appl., INISTA - Proc.</t>
  </si>
  <si>
    <t xml:space="preserve">2-s2.0-85179557317</t>
  </si>
  <si>
    <t xml:space="preserve">Mbunge E.; Milham R.C.; Sibiya M.N.; Takavarasha S., Jr</t>
  </si>
  <si>
    <t xml:space="preserve">Mbunge, Elliot (57216856427); Milham, Richard C. (58624132800); Sibiya, Maureen Nokuthula (16744575400); Takavarasha, Sam (55795072000)</t>
  </si>
  <si>
    <t xml:space="preserve">57216856427; 58624132800; 16744575400; 55795072000</t>
  </si>
  <si>
    <t xml:space="preserve">Machine Learning Techniques for Predicting Malaria: Unpacking Emerging Challenges and Opportunities for Tackling Malaria in Sub-saharan Africa</t>
  </si>
  <si>
    <t xml:space="preserve">Malaria resurgence significantly threatens progress made towards malaria elimination in the past years and consequently increases socioeconomic and public health burden, especially in developing countries. This is exacerbated by the lack of intelligent models for predicting, mapping, diagnosing, and detecting malaria to strengthen malaria prevention and control measures. Predicting malaria and understanding risk factors leading to malaria outbreaks can assist policymakers in re-strategizing and re-aligning malaria elimination strategies and optimizing resource allocation by prioritizing malaria-endemic areas. Therefore, this study provides a comprehensive review of machine learning techniques applied to predict malaria using various risk factors. The study revealed that despite the distribution of mosquito nets, indoor spraying of insecticides, community engagement programmes and awareness strategies, socioeconomic factors, climate and environmental conditions significantly contribute towards malaria outbreaks and remain underexploited and poorly understood. Socioeconomic factors such as lower income, living conditions with house type, distance to health facilities, availability, and use of mosquito nets influence malaria outbreaks. Climatic and environmental risk factors including land surface temperature, rainfall, humidity, enhanced vegetation index, normalized difference vegetation index, and normalized difference water index significantly influence malaria incidences. The study further revealed that machine learning models such as support vector machines, decision trees, random forests, Extreme Gradient Boosting, logistic regression, K-Nearest Neighbors, Naïve Bayes, and multilayer perceptron have been greatly used to predict malaria using socioeconomic, climatic and environmental data. Predicting malaria can assist to develop early malaria warning systems, redesign interventions, make informed decision-making and subsequently strengthening malaria prevention and control measures. © 2023, The Author(s), under exclusive license to Springer Nature Switzerland AG.</t>
  </si>
  <si>
    <t xml:space="preserve">724 LNNS</t>
  </si>
  <si>
    <t xml:space="preserve">10.1007/978-3-031-35314-7_30</t>
  </si>
  <si>
    <t xml:space="preserve">https://www.scopus.com/inward/record.uri?eid=2-s2.0-85170422992&amp;doi=10.1007%2f978-3-031-35314-7_30&amp;partnerID=40&amp;md5=94d209997b1564d0a2d3b867afe78cc2</t>
  </si>
  <si>
    <t xml:space="preserve">Department of Computer Science, Faculty of Science and Engineering, University of Eswatini (Formerly Swaziland), Kwaluseni, Manzini, Swaziland; Department of Information Technology, Faculty of Accounting and Informatics, Durban University of Technology, P. O. Box 1334, Durban, 4000, South Africa; Research, Innovation and Engagement, Mangosuthu University of Technology, 511 Griffiths Mxenge Hwy, Umlazi, 4031, South Africa; Faculty of Management and Entrepreneurial Sciences, Women’s University of Africa, 549 Arcturus Road, Harare, Zimbabwe</t>
  </si>
  <si>
    <t xml:space="preserve">Mbunge E., Department of Computer Science, Faculty of Science and Engineering, University of Eswatini (Formerly Swaziland), Kwaluseni, Manzini, Swaziland, Department of Information Technology, Faculty of Accounting and Informatics, Durban University of Technology, P. O. Box 1334, Durban, 4000, South Africa; Milham R.C., Department of Information Technology, Faculty of Accounting and Informatics, Durban University of Technology, P. O. Box 1334, Durban, 4000, South Africa; Sibiya M.N., Research, Innovation and Engagement, Mangosuthu University of Technology, 511 Griffiths Mxenge Hwy, Umlazi, 4031, South Africa; Takavarasha S., Jr, Faculty of Management and Entrepreneurial Sciences, Women’s University of Africa, 549 Arcturus Road, Harare, Zimbabwe</t>
  </si>
  <si>
    <t xml:space="preserve">machine learning; Malaria; Prediction; sub-Saharan Africa</t>
  </si>
  <si>
    <t xml:space="preserve">Adaptive boosting; Decision trees; Developing countries; Diseases; Learning systems; Logistic regression; Nearest neighbor search; Random forests; Support vector regression; Vegetation; Control measures; Machine learning techniques; Machine-learning; Malaria; Mosquito nets; Prevention and controls; Prevention measures; Risk factors; Socio-economic factor; Sub-saharan africa; Forecasting</t>
  </si>
  <si>
    <t xml:space="preserve">Tian H., Et al., Malaria elimination on Hainan Island despite climate change, Commun. Med., 21, 2, pp. 1-9, (2022); Mbunge E., Ndumiso N., Kavu T.D., Dandajena K., Batani J., Fashoto, S.G:. Towards QR Code Health Systems Amid COVID-19: Lessons Learnt from Other QR Code Digital Technologies, pp. 129-143, (2022); Kebede Y., Et al., Primary school students’ poetic malaria messages from Jimma zone, Oromia, Ethiopia: A qualitative content analysis, BMC Public Health, 21, pp. 1-16, (2021); Mbunge E., Millham R., Sibiya M.N., Takavarasha S., Impact of COVID-19 on Malaria Elimination: Juxtaposing Indoor Residual Spraying and Mobile Phones in Buhera Rural District, (2021); Tarekegn M., Tekie H., Dugassa S., Wolde-Hawariat Y., Malaria prevalence and associated risk factors in Dembiya district North-western Ethiopia, Malar J, 20, pp. 1-11, (2021); Mohammed M.A., Hong T., Role of vector control in fighting against malaria: Evidence from Ethiopian health-related indicators, J. Infect. Public Health, 14, pp. 527-532, (2021); Cheng B., Htoo S.N., Mhote N.P.P., Davison C.M., A systematic review of factors influencing participation in two types of malaria prevention intervention in Southeast Asia, Malar J, 20, pp. 1-9, (2021); Mbunge E., Millham R., Sibiya N., Takavarasha S., Is malaria elimination a distant dream? Reconsidering malaria elimination strategies in Zimbabwe, Public Heal Pract, 2, (2021); Li X.H., Et al., Seven decades towards malaria elimination in Yunnan, China, Malar J, 20, pp. 1-16, (2021); Kamndaya M., Mfipa D., Lungu K., Household knowledge, perceptions and practices of mosquito larval source management for malaria prevention and control in Mwanza district, Malawi: A cross-sectional study, Malar J, 20, pp. 1-8, (2021); Dong S., Dong Y., Simoes M.L., Dimopoulos G., Mosquito transgenesis for malaria control, Trends Parasitol, 38, pp. 54-66, (2022); Mbunge E., Millham R.C., Sibiya M.N., Takavarasha S., Diverging mobile technology’s cognitive techniques into tackling malaria in sub-saharan africa: A review, Comesyso 2021. LNNS, 232, pp. 679-699, (2021); Mbunge E., Sibiya M.N., Millham R.C., Takavarasha S., Micro-spatial modelling of malaria cases and environmental risk factors in Buhera rural district, 2021 Conference on Information Communications Technology and Society ICTAS 2021-Proceedings, pp. 2-8, (2021); Fikrie A., Kayamo M., Bekele H., Malaria prevention practices and associated factors among households of Hawassa City Administration, Southern Ethiopia, 2020, Plos ONE, 16, (2021); Brown B.J., Et al., Data-driven malaria prevalence prediction in large densely populated urban holoendemic sub-Saharan West Africa, Sci. Reports, 101, 10, pp. 1-17, (2020); Okagbue H.I., Oguntunde P.E., Obasi E.C.M., Adamu P.I., Opanuga A.A., Diagnosing malaria from some symptoms: A machine learning approach and public health implications, Health Technol. (Berl.), 11, pp. 23-37, (2021); Mwanga E.P., Et al., Using mid-infrared spectroscopy and supervised machine-learning to identify vertebrate blood meals in the malaria vector, Anopheles arabiensis, Malar J, 18, pp. 1-9, (2019); Martineau P., Et al., Predicting malaria outbreaks from sea surface temperature variability up to 9 months ahead in Limpopo, South Africa, using machine learning, Front. Public Heal., 10, (2022); Harvey D., Valkenburg W., Amara A., Predicting malaria epidemics in Burkina Faso with machine learning, Plos ONE, 16, (2021); Nkiruka O., Prasad R., Clement O., Prediction of malaria incidence using climate variability and machine learning, Inform. Med Unlocked, 22, (2021); Shamseer L., Et al., Preferred reporting items for systematic review and meta-analysis protocols (PRISMA-P) 2015: Elaboration and explanation, BMJ, 349, (2015); Yadav S.S., Kadam V.J., Jadhav S.M., Jagtap S., Pathak P.R., Machine learning based malaria prediction using clinical findings, 2021 International Conference on Emerging Smart Computing and Informatics, ESCI 2021, Pp. 216–222, (2021); Mohapatra P., Tripathi N.K., Pal I., Shrestha S., Determining Suitable Machine Learning Classifier Technique for Prediction of Malaria Incidents Attributed to Climate of Odisha, (2021); Lee Y.W., Choi J.W., Shin E.H., Machine learning model for predicting malaria using clinical information, Comput. Biol. Med., 129, (2021); Muhammad B., Varol A., A symptom-based machine learning model for malaria diagnosis in Nigeria, 9Th International Symposium on Digital Forensics and Security, ISDFS 2021, (2021); Zacarias O.P., Bostrom H., Comparing support vector regression and random forests for predicting malaria incidence in Mozambique, 2013 International Conference on Advances in ICT for Emerging Regions (Icter 2013)-Conference Proceedings, pp. 217-221, (2013); Mbunge E., Millham R.C., Sibiya M.N., Takavarasha S., Application of machine learning models to predict malaria using malaria cases and environmental risk factors, 2022 Conference on Information Communications Technology and Society, (2022); Zafar A., Et al., Machine learning-based risk factor analysis and prevalence prediction of intestinal parasitic infections using epidemiological survey data, Plos Negl. Trop. Dis., 16, (2022); Masinde M., Africa’s Malaria epidemic predictor: Application of machine learning on Malaria incidence and climate data, ACM International Conference Proceeding Series, pp. 29-37, (2020); Dukuzumuremyi A., Machine Learning Based Prediction of Malaria Outbreak Using Environment Data in Rwanda, (2020); Adamu Y.A., Malaria prediction model using machine learning algorithms, Turkish J. Comput. Math. Educ., 12, pp. 7488-7496, (2021); Phoobane P., Masinde M., Botai J., Prediction Model for Malaria: An Ensemble of Machine Learning and Hydrological Drought Indices, 216, pp. 569-584, (2022); Iradukunda O., Et al., Malaria disease prediction based on machine learning, IEEE International Conference on Signal, Information and Data Processing 2019, (2019); Mbunge E., Et al., predicting student dropout in massive open online courses using deep learning models-a systematic review, LNNS, 503, pp. 212-231, (2022); Mariki M., Mkoba E., Mduma N., Combining clinical symptoms and patient features for Malaria diagnosis, Mach. Learn. Appr., (2022); Mbunge E., Et al., Predicting diarrhoea among children under five years using machine learning techniques, LNNS, 502, pp. 94-109, (2022); Akinnuwesi B.A., Et al., Application of support vector machine algorithm for early differential diagnosis of prostate cancer, Data Sci. Manag., (2022); Zinszer K., Et al., A scoping review of malaria forecasting: Past work and future directions, BMJ Open, 2, (2012); Golumbeanu M., Et al., Leveraging mathematical models of disease dynamics and machine learning to improve development of novel malaria interventions, Infect. Dis. Poverty, 11, pp. 1-17, (2022); Sharma R.K., Thakor H.G., Saha K.B., Sonal G.S., Dhariwal A.C., Singh N., Malaria situation in India with special reference to tribal areas, Indian J. Med. Res., 141, (2015); Sudheer C., Et al., a support vector machine-firefly algorithm based forecasting model to determine malaria transmission, Neurocomputing, 129, pp. 279-288, (2014); Wang M., Et al., A novel model for malaria prediction based on ensemble algorithms, Plos ONE, 14, (2019); Zhang H., Guo J., Li H., Guan Y., Machine learning for artemisinin resistance in malaria treatment across in vivo-in vitro platforms, Iscience, 25, (2022); Pourhomayoun M., Shakibi M., Predicting mortality risk in patients with COVID-19 using machine learning to help medical decision-making, Smart Heal, 20, (2021); Buczak A.L., Et al., Fuzzy association rule mining and classification for the prediction of malaria in South Korea Standards, technology, and modeling, BMC Med. Inform. Decis. Mak., 15, pp. 1-17, (2015); Sornsuwit P., Jaiyen S., A New Hybrid Machine Learning for Cybersecurity Threat Detection Based on Adaptive Boosting, 33, pp. 462-482, (2019); Walker K.W., Jiang Z., Application of adaptive boosting (AdaBoost) in demand-driven acquisition (DDA) prediction: A machine-learning approach, J. Acad. Librariansh, 45, pp. 203-212, (2019); Feng D.C., Et al., Machine learning-based compressive strength prediction for concrete: An adaptive boosting approach, Constr. Build. Mater., 230, (2020); Fashoto S.G., Mbunge E., Ogunleye G., Den Burg J.V., Implementation of machine learning for predicting maize crop yields using multiple linear regression and backward elimination, Stephen Gbenga Fashoto, (2021); Uddin S., Khan A., Hossain M.E., Moni M.A., Comparing different supervised machine learning algorithms for disease prediction, BMC Med. Informat. Decis. Mak., 191, 19, pp. 1-16, (2019); Cunningham P., Delany S.J., k-Nearest neighbour classifiers-a tutorial, ACM Comput. Surv., 54, (2021); Grampurohit S., Sagarnal C., Disease prediction using machine learning algorithms, Int Conf Emerg Technol INCET, 2020, 2020, (2020); Chingombe I., Et al., Predicting HIV status among men who have sex with men in Bulawayo &amp; Harare, Zimbabwe using bio-behavioural data.In: Recurrent Neural Networks, and Machine Learning Techniques, Trop Med Infect Dis, 7, (2022); Sokolova M., Lapalme G., A systematic analysis of performance measures for classification tasks, Inf. Process. Manag., 45, pp. 427-437, (2009); Lahmiri S., Dawson D.A., Shmuel A., Performance of machine learning methods in diagnosing Parkinson’s disease based on dysphonia measures, Biomed. Eng. Lett., 8, pp. 29-39, (2018); Seliya N., Khoshgoftaar T.M., van Hulse J., A study on the relationships of classifier performance metrics, Proceedings of International Conference on Tools with Artificial Intelligence (ICTAI 2009), pp. 59-66, (2009); Erickson B.J., Kitamura F., Magician’s corner: 9. performance metrics for machine learning models, Radiol. Artif. Intell., 3, (2021); Alaa Khaleel F., Al-Bakry A.M., Diagnosis of diabetes using machine learning algorithms, Mater Today Proc. (, 2021; Gonzalez-Cuautle D., Et al., Synthetic minority oversampling technique for optimizing classification tasks in Botnet and intrusion-detection-system datasets, Appl. Sci., 10, (2020); Gunda R., Chimbari M.J., Shamu S., Sartorius B., Mukaratirwa S., Malaria incidence trends and their association with climatic variables in rural Gwanda, Zimbabwe, 2005–2015, Malar. J, 161, pp. 1-13, (2017); Gong Y.F., Zhu L.Q., Li Y.L., Zhang L.J., Xue J.B., Xia S., Et al., Identification of the high-risk area for schistosomiasis transmission in China based on information value and machine learning: A newly data-driven modeling attempt, Infect Dis Poverty, 10, pp. 1-11, (2021); Manyangadze T., Mavhura E., Mudavanhu C., Pedzisai E., An exploratory analysis of the spatial variation of malaria cases and associated household socio-economic factors in flood-prone areas of Mbire district, Zimbabwe. Geojournal, pp. 1-16, (2021); Zinszer K., Et al., Forecasting malaria in a highly endemic country using environmental and clinical predictors, Malar J, 14, pp. 1-9, (2015); Chekol B.E., Hagras H., Employing machine learning techniques for the Malaria epidemic prediction in Ethiopia, 10Th Computer Science and Electronic Engineering Conference (CEEC): Conference Proceedings, pp. 89-94, (2018); Seo J.H., Kim Y.H., Machine-learning approach to optimize smote ratio in class imbalance dataset for intrusion detection, Comput. Intell. Neurosci., 2018, (2018); Liu X.Y., Wu J., Zhou Z.H., Exploratory undersampling for class-imbalance learning, IEEE Trans. Syst. Man Cybern. Part B Cybern., 39, pp. 539-550, (2009); Guo X., Yin Y., Dong C., Yang G., Zhou. G.: On the class imbalance problem, Proceedings-4Th International Conference on Natural Computation, ICNC 2008, Vol. 4, Pp. 192–201, (2008); Zhu T., Lin Y., Liu Y., Synthetic minority oversampling technique for multiclass imbalance problems, Pattern Recognit, 72, pp. 327-340, (2017); Elreedy D., Atiya A.F., A comprehensive analysis of synthetic minority oversampling technique (smote) for handling class imbalance, Inf. Sci. (Ny), 505, pp. 32-64, (2019); Mfisimana L.D., Nibayisabe E., Badu K., Niyukuri D., Exploring predictive frameworks for malaria in Burundi, Infect. Dis. Model, 7, pp. 33-44, (2022); Sow B., Mukhtar H., Ahmad H.F., Suguri H., Assessing the Relative Importance of Social Determinants of Health in Malaria and Anemia Classification Based on Machine Learning Techniques, 45, pp. 229-241, (2019); Chingombe I., Et al., Predicting HIV Status using machine learning techniques and bio-behavioural data from the zimbabwe population-based hiv impact assessment (ZIMPHIA15– 16), Artificial Intelligence Trends in Systems. CSOC 2022. LNNS, 502, (2022)</t>
  </si>
  <si>
    <t xml:space="preserve">E. Mbunge; Department of Computer Science, Faculty of Science and Engineering, University of Eswatini (Formerly Swaziland), Manzini, Kwaluseni, Swaziland; email: mbungeelliot@gmail.com</t>
  </si>
  <si>
    <t xml:space="preserve">Silhavy R.; Silhavy P.</t>
  </si>
  <si>
    <t xml:space="preserve">12th International Conference on Computer Science Online Conference, CSOC 2023</t>
  </si>
  <si>
    <t xml:space="preserve">3 April 2023 through 5 April 2023</t>
  </si>
  <si>
    <t xml:space="preserve">978-303135313-0</t>
  </si>
  <si>
    <t xml:space="preserve">2-s2.0-85170422992</t>
  </si>
  <si>
    <t xml:space="preserve">Gois F.N.B.; Marques J.A.L.; de Oliveira Dantas A.B.; Santos M.C.; Neto J.V.S.; de Macêdo J.A.F.; Du W.; Li Y.</t>
  </si>
  <si>
    <t xml:space="preserve">Gois, Francisco Nauber Bernardo (57220176589); Marques, João Alexandre Lobo (57196897667); de Oliveira Dantas, Allberson Bruno (57194948971); Santos, Márcio Costa (55325594300); Neto, José Valdir Santiago (58020083300); de Macêdo, José Antônio Fernandes (22034115100); Du, Wencai (24340663500); Li, Ye (57192879224)</t>
  </si>
  <si>
    <t xml:space="preserve">57220176589; 57196897667; 57194948971; 55325594300; 58020083300; 22034115100; 24340663500; 57192879224</t>
  </si>
  <si>
    <t xml:space="preserve">Malaria Blood Smears Object Detection Based on Convolutional DCGAN and CNN Deep Learning Architectures</t>
  </si>
  <si>
    <t xml:space="preserve">Fast and efficient malaria diagnostics are essential in efforts to detect and treat the disease in a proper time. The standard approach to diagnose malaria is a microscope exam, which is submitted to a subjective interpretation. Thus, the automating of the diagnosis process with the use of an intelligent system capable of recognizing malaria parasites could aid in the early treatment of the disease. Usually, laboratories capture a minimum set of images in low quality using a system of microscopes based on mobile devices. Due to the poor quality of such data, conventional algorithms do not process those images properly. This paper presents the application of deep learning techniques to improve the accuracy of malaria plasmodium detection in the presented context. In order to increase the number of training sets, deep convolutional generative adversarial networks (DCGAN) were used to generate reliable training data that were introduced in our deep learning model to improve accuracy. A total of 6 experiments were performed and a synthesized dataset of 2.200 images was generated by the DCGAN for the training phase. For a real image database with 600 blood smears with malaria plasmodium, the proposed Deep Learning architecture obtained the accuracy of 100% for the plasmodium detection. The results are promising and the solution could be employed to support a mass medical diagnosis system. © 2023, The Author(s), under exclusive license to Springer Nature Switzerland AG.</t>
  </si>
  <si>
    <t xml:space="preserve">Studies in Computational Intelligence</t>
  </si>
  <si>
    <t xml:space="preserve">10.1007/978-3-031-12127-2_14</t>
  </si>
  <si>
    <t xml:space="preserve">https://www.scopus.com/inward/record.uri?eid=2-s2.0-85144204858&amp;doi=10.1007%2f978-3-031-12127-2_14&amp;partnerID=40&amp;md5=9ff25ccf2602cdd1d43989eba164092e</t>
  </si>
  <si>
    <t xml:space="preserve">University of Saint Joseph, Macao; Controllership and General Ombudsman of the State of Ceara, Ceara, Fortaleza, Brazil; Institute of Distance Education, University for the International Integration of the Afro-Brazilian Lusophony, Liberdade Campus, Redenção, Brazil; Shenzhen Institutes of Advanced Technology/Chinese Academy of Sciences, Shenzhen, China; Department of Computer Science, Federal University of Ceará, Russas Campus, Russas, Brazil; Repair Pricer, Austin, TX, United States; Science Center, Department of Computer Science, Federal University of Ceará, Fortaleza, Brazil</t>
  </si>
  <si>
    <t xml:space="preserve">Gois F.N.B., University of Saint Joseph, Macao, Controllership and General Ombudsman of the State of Ceara, Ceara, Fortaleza, Brazil; Marques J.A.L., University of Saint Joseph, Macao, Institute of Distance Education, University for the International Integration of the Afro-Brazilian Lusophony, Liberdade Campus, Redenção, Brazil; de Oliveira Dantas A.B., Shenzhen Institutes of Advanced Technology/Chinese Academy of Sciences, Shenzhen, China; Santos M.C., Department of Computer Science, Federal University of Ceará, Russas Campus, Russas, Brazil; Neto J.V.S., Repair Pricer, Austin, TX, United States; de Macêdo J.A.F., Science Center, Department of Computer Science, Federal University of Ceará, Fortaleza, Brazil; Du W., University of Saint Joseph, Macao; Li Y., Shenzhen Institutes of Advanced Technology/Chinese Academy of Sciences, Shenzhen, China</t>
  </si>
  <si>
    <t xml:space="preserve">Dong Y., Jiang Z., Shen H., Pan W.D., Classification accuracies of malaria infected cells using deep convolutional neural networks based on decompressed images, SoutheastCon, 2017, pp. 1-6, (2017); Shuleenda Devi S., Alam Sheikh S., Hussain Laskar R., Erythrocyte features for malaria parasite detection in microscopic images of thin blood smear: a review, Int. J. Interact. Multimed. Artif. Intel, 4, 2, (2016); Quinn J.A., Nakasi R., Mugagga P.K.B., Byanyima P., Lubega W., Andama A., Deep convolutional neural networks for microscopy-based point of care diagnostics, Machine Learning and Healthcare Conference (MLHC 2016), 56, (2016); Premaratne S.P., Karunaweera N.D., Fernando S., A neural network architecture for automated recognition of intracellular malaria parasites in stained blood films, pp. 4-7, (2006); Penas K.E.D., Rivera P.T., Naval P.C., Malaria parasite detection and species identification on thin blood smears using a convolutional neural network, 2017 IEEE/ACM International Conference on Connected Health: Applications, Systems and Engineering Technologies (CHASE), pp. 1-6, (2017); Sorgedrager R., Automated malaria diagnosis using convolutional neural networks in an on-field setting The analysis of low quality smartphone based microscope images, (2018); Yan Z., Zhan Y., Zhang S., Metaxas D., Zhou X.S., Multi-Instance Multi-Stage Deep Learning for Medical Image Recognition, (2017); Dong Y., Jiang Z., Shen H., Pan W.D., Classification accuracies of malaria infected cells using deep convolutional neural networks based on decompressed images, SoutheastCon, 2017, pp. 1-6, (2017); Goodfellow I.J., Pouget-Abadie J., Mirza M., Xu B., Warde-Farley D., Ozair S., Courville A., Bengio Y., Generative Adversarial Networks, pp. 1-9, (2014); Radford A., Metz L., Chintala S., Unsupervised Representation Learning with Deep Convolutional Generative Adversarial Networks, pp. 1-16, (2015); Zhang Z., Ong L. S., Fang K., Matthew A., Dauwels J., Dao M., Asada H., Image classification of unlabeled malaria parasites in red blood cells, 2016 38th Annual International Conference of the IEEE Engineering in Medicine and Biology Society (EMBC), pp. 3981-3984, (2016); Linder N., Turkki R., Walliander M., Martensson A., Diwan V., Rahtu E., Pietikainen M., Lundin M., Lundin J., A malaria diagnostic tool based on computer vision screening and visualization of plasmodium falciparum candidate areas in digitized blood smears, PLoS One, 9, 8, (2014); Tek F.B., Dempster A.G., Kale I., Malaria parasite detection in peripheral blood images, BMVC, pp. 347-356, (2006); Diaz G., Gonzalez F.A., Romero E., A semi-automatic method for quantification and classification of erythrocytes infected with malaria parasites in microscopic images, J Biomed Inf, 42, 2, pp. 296-307, (2009); Rajpurkar P., Polamreddi V., Balakrishnan A., Malaria likelihood prediction by effectively surveying households using deep reinforcement learning, no. Nips, (2017); Krizhevsky A., Sutskever I., Hinton G.E., Imagenet classification with deep convolutional neural networks, Adv Neural Inf Process Syst, pp. 1097-1105, (2012); Szegedy C., Liu W., Jia Y., Sermanet P., Reed S., Anguelov D., Erhan D., Vanhoucke V., Rabinovich A., Going deeper with convolutions, Proceedings of the IEEE Conference On Computer Vision and Pattern Recognition, pp. 1-9, (2015); Simonyan K., Zisserman A., Very deep convolutional networks for large-scale image recognition, (2014); Srivastava N., Hinton G., Krizhevsky A., Sutskever I., Salakhutdinov R., Dropout: a simple way to prevent neural networks from overfitting, J. Mach. Learn. Res, 15, 1, pp. 1929-1958, (2014); Krizhevsky A., Sutskever I., Hinton G.E., Imagenet classification with deep convolutional neural networks, Proceedings of the 25th International Conference on Neural Information Processing Systems—Volume 1, ser. NIPS’12, pp. 1097-1105, (2012); Liu W., Wang Z., Liu X., Zeng N., Liu Y., Alsaadi F.E., A survey of deep neural network architectures and their applications, Neurocomputing, 234, pp. 11-26, (2017); Hinton G.E., Training products of experts by minimizing contrastive divergence, Neural Comput, 14, 8, pp. 1771-1800, (2002); Nair V., Hinton G.E., 3d object recognition with deep belief nets, Adv. Neural Inf. Process. Syst, pp. 1339-1347, (2009); Hung J., Carpenter A., Applying faster r-cnn for object detection on malaria images, 2017 IEEE Conference on Computer Vision and Pattern Recognition Workshops (CVPRW) (IEEE, 2017), pp. 808-813; Poostchi M., Silamut K., Maude R. J., Jaeger S., Thoma G., Image analysis and machine learning for detecting malaria, Transl. Res, 194, pp. 36-55, (2018); Liang Z., Powell A., Ersoy I., Poostchi M., Silamut K., Palaniappan K., Guo P., Hossain M., Sameer A., Maude R., Huang J., Jaeger S., Thoma G., CNN-based image analysis for malaria diagnosis, Proceedings—2016 IEEE International Conference on Bioinformatics and Biomedicine, BIBM 2016, 2017, pp. 493-496; Gopakumar G.P., Swetha M., Sai Siva G., Sai Subrahmanyam G.R., Convolutional neural network-based malaria diagnosis from focus stack of blood smear images acquired using custom-built slide scanner, J. Biophoton, 11, 3, (2018); Bibin D., Nair M.S., Punitha P., Malaria parasite detection from peripheral blood smear images using deep belief networks, IEEE Access, 5, pp. 9099-9108, (2017); Goodfellow I., Pouget-Abadie J., Mirza M., Xu B., Warde-Farley D., Ozair S., Courville A., Bengio Y., Generative adversarial nets, Adv. Neural Inf. Process. Syst, pp. 2672-2680, (2014); Vijayalakshmi A., Rajesh Khanna B., Deep learning approach to detect malaria from microscopic images, Multimedia Tools and Applications, (2019); Liu M.-Y., Tuzel O., Coupled generative adversarial networks, NIPS, pp. 469-477, (2016); Radford A., Metz L., Chintala S., Unsupervised Representation Learning with Deep Convolutional Generative Adversarial Networks, pp. 1-16, (2015)</t>
  </si>
  <si>
    <t xml:space="preserve">J.A.L. Marques; University of Saint Joseph, Macao; email: alexandre.lobo@usj.edu.mo</t>
  </si>
  <si>
    <t xml:space="preserve">Lee R.</t>
  </si>
  <si>
    <t xml:space="preserve">22nd IEEE/ACIS International Conference on Computer and Information Science, ICIS 2022</t>
  </si>
  <si>
    <t xml:space="preserve">26 June 2022 through 28 June 2022</t>
  </si>
  <si>
    <t xml:space="preserve">Zhuhai</t>
  </si>
  <si>
    <t xml:space="preserve">1860949X</t>
  </si>
  <si>
    <t xml:space="preserve">978-303112126-5</t>
  </si>
  <si>
    <t xml:space="preserve">Stud. Comput. Intell.</t>
  </si>
  <si>
    <t xml:space="preserve">2-s2.0-85144204858</t>
  </si>
  <si>
    <t xml:space="preserve">Shourie P.; Anand V.; Chauhan R.; Choudhary A.; Gupta S.</t>
  </si>
  <si>
    <t xml:space="preserve">Shourie, Poonam (58246074400); Anand, Vatsala (57197116465); Chauhan, Rahul (57220045108); Choudhary, Ankur (57197104444); Gupta, Sheifali (57072019200)</t>
  </si>
  <si>
    <t xml:space="preserve">58246074400; 57197116465; 57220045108; 57197104444; 57072019200</t>
  </si>
  <si>
    <t xml:space="preserve">Malaria Categorization Using an Autonomous CNN System in Conjunction with Data Augmentation</t>
  </si>
  <si>
    <t xml:space="preserve">A major worldwide health issue continues to be malaria, a potentially fatal infectious illness spread by mosquitoes and caused by parasites called Plasmodium. An early and precise diagnosis is essential for the condition to be treated and controlled effectively. Deep learning (DL) methods, in specific Convolutional Neural Networks (CNNs), have freshly established promising results in a variety of picture identification applications, including the detection of malaria. The development of an automated malaria classification system employing CNNs and data augmentation is the main goal of this study. A sizable number of blood smear pictures, some labeled as 'Parasitized' (infested with Plasmodium parasites), are present in the dataset used for training and assessment. In order to increase model generalization and solve the lack of labeled data, data augmentation structures including rotation, flipping, and scaling are used to extract more varied samples from the existing pictures. The findings show that the CNN model, in conjunction with data augmentation, achieves good accuracy and achievement in differentiating among 'Parasitized' and 'Uninfected' blood smear pictures. The danger of overfitting is decreased by the use of data augmentation, which also aids in the model's capacity to simplify effectively to novel data. By advancing automated malaria detection, this study might help medical professionals in places with a shortage of resources and knowledge. To maximize their beneficial effects on malaria management and control efforts, such models must be carefully integrated into the current healthcare infrastructures. This demands careful consideration of ethical and legal issues. © 2023 IEEE.</t>
  </si>
  <si>
    <t xml:space="preserve">2023 2nd International Conference on Futuristic Technologies, INCOFT 2023</t>
  </si>
  <si>
    <t xml:space="preserve">10.1109/INCOFT60753.2023.10425678</t>
  </si>
  <si>
    <t xml:space="preserve">https://www.scopus.com/inward/record.uri?eid=2-s2.0-85187364699&amp;doi=10.1109%2fINCOFT60753.2023.10425678&amp;partnerID=40&amp;md5=f446e6846befe54facdbfda0f5a3913f</t>
  </si>
  <si>
    <t xml:space="preserve">Chitkara University Institute of Engineering and Technology, Chitkara University, Punjab, India; Computer Science and Engineering Graphic, Era Hill University, Uttarakhand, Dehradun, India; Computer Science &amp; Engineering Graphic Era Deemed to Be University, Uttarakhand, Dehradun, 248002, India</t>
  </si>
  <si>
    <t xml:space="preserve">Shourie P., Chitkara University Institute of Engineering and Technology, Chitkara University, Punjab, India; Anand V., Chitkara University Institute of Engineering and Technology, Chitkara University, Punjab, India; Chauhan R., Computer Science and Engineering Graphic, Era Hill University, Uttarakhand, Dehradun, India; Choudhary A., Computer Science &amp; Engineering Graphic Era Deemed to Be University, Uttarakhand, Dehradun, 248002, India; Gupta S., Chitkara University Institute of Engineering and Technology, Chitkara University, Punjab, India</t>
  </si>
  <si>
    <t xml:space="preserve">CNN; health; healthcare; malaria; parasitized</t>
  </si>
  <si>
    <t xml:space="preserve">Blood; Deep learning; Diagnosis; Diseases; Health care; Blood smears; Convolutional neural network; Data augmentation; Health issues; Healthcare; Malaria; Neural network systems; Parasite-; Parasitized; Potentially fatal; Convolutional neural networks</t>
  </si>
  <si>
    <t xml:space="preserve">Poostchi M., Silamut K., Maude R.J., Jaeger S., Thoma G., Image analysis and machine learning for detecting malaria, Transl. Res., 194, pp. 36-55, (2018); Masud M., Et al., Leveraging deep learning techniques for malaria parasite detection using mobile application, Wirel. Commun. Mob. Comput., 2020, pp. 1-15, (2020); Shekar G., Revathy S., Goud E.K., Malaria Detection using Deep Learning, 2020 4th International Conference on Trends in Electronics and Informatics (ICOEI), pp. 746-750, (2020); Setyawan D., Wardoyo R., Wibowo M.E., Herdiana Murhandarwati E.E., Jamilah J., Malaria classification using convolutional neural network: A review, 2021 Sixth International Conference on Informatics and Computing (ICIC), pp. 1-9, (2021); Anand V., Gupta S., Altameem A., Nayak S.R., Poonia R.C., Saudagar A.K.J., An enhanced transfer learning based classification for diagnosis of skin cancer, Diagnostics (Basel), 12, 7, (2022); Singh S., Aggarwal A.K., Ramesh N.L., Damodharan P., Pandian M.T., COVID 19: Identification of Masked Face using CNN Architecture, 2022 3rd International Conference on Electronics and Sustainable Communication Systems (ICESC), pp. 1045-1051, (2022); Anand V., Gupta S., Nayak S.R., Koundal D., Prakash D., Verma K.D., An automated deep learning models for classification of skin disease using Dermoscopy images: A comprehensive study, Multimed. Tools Appl., 81, 26, pp. 37379-37401, (2022); Prasher S., Nelson L., Follicle prediction for polycystic ovary syndrome diagnosis from ovarian ultrasound images using CNN, 2023 10th International Conference on Computing for Sustainable Global Development (INDIACom), pp. 789-793, (2023); Jdey I., Hcini G., Ltifi H., Deep learning and machine learning for Malaria detection: overview, challenges and future directions, (2022); Narayanan B.N., Ali R.A., Hardie R.C., Performance analysis of machine learning and deep learning architectures for malaria detection on cell images, Applications of Machine Learning, (2019); Vijayalakshmi A., Rajesh Kanna B., Deep learning approach to detect malaria from microscopic images, Multimed. Tools Appl., 79, 21-22, pp. 15297-15317, (2020); Abubakar A.M., Yahya I.U., DeepFMD: Computational analysis for malaria detection in blood-smear images using deeplearning features, Appl. Syst. Innov., 4, 4, (2021); Manning K., Zhai X., Yu W., Image analysis and machine learning-based malaria assessment system, Digit. Commun. Netw., 8, 2, pp. 132-142, (2022); Pattanaik P.A., Mittal M., Khan M.Z., Panda S.N., Malaria detection using deep residual networks with mobile microscopy, J. King Saud Univ.-Comput. Inf. Sci., 34, 5, pp. 1700-1705, (2022)</t>
  </si>
  <si>
    <t xml:space="preserve">2nd IEEE International Conference on Futuristic Technologies, INCOFT 2023</t>
  </si>
  <si>
    <t xml:space="preserve">24 November 2023 through 26 November 2023</t>
  </si>
  <si>
    <t xml:space="preserve">Belagavi, Karnataka</t>
  </si>
  <si>
    <t xml:space="preserve">979-835030884-6</t>
  </si>
  <si>
    <t xml:space="preserve">Int. Conf. Futur. Technol., INCOFT</t>
  </si>
  <si>
    <t xml:space="preserve">2-s2.0-85187364699</t>
  </si>
  <si>
    <t xml:space="preserve">Mathupriya S.; Raj Ronald Shaw V.; Nihaal Tharwat M.</t>
  </si>
  <si>
    <t xml:space="preserve">Mathupriya, S. (57456545300); Raj Ronald Shaw, V. (58965445300); Nihaal Tharwat, M. (58965718900)</t>
  </si>
  <si>
    <t xml:space="preserve">57456545300; 58965445300; 58965718900</t>
  </si>
  <si>
    <t xml:space="preserve">Malaria Disease Prediction using Faster RCNN</t>
  </si>
  <si>
    <t xml:space="preserve">Malaria is a disease caused by Plasmodium parasites that remains a major threat to global health. It affects 200 million people and causes 400,000 deaths each year. The Plasmodium parasite, which is spread through the bites of female Anopheles mosquitoes, is the main cause of malaria. Typically, the use of a microscope in microbiological studies facilitates the identification of infected cells in a blood sample, followed by expert analysis of the results to complete the diagnostic process. This type of expert analysis does not give a completely 100% perfect conclusion and it also costs more. Identifying such targets is also a challenge, largely due to differences in cell shape, density and color, and the ambiguity surrounding certain cell classes. Therefore, a method based on deep learning is used to predict malaria with the highest accuracy. Deep learning-based technologies have proven to be able to achieve human-level accuracy in object detection/classification in image data. These approaches can be used to automate many of the monotonous tasks involved in analyzing micrographs of blood samples. It uses Faster R-CNN. The proposed models were trained and tested on a publicly available erythrocyte image dataset containing both infected and uninfected cells. Methods developed to fine-tune the images using image pre-processing successfully identified malariainfected erythrocytes with the highest accuracy in ashort period of time. The software is also adapted to a budget microcomputer to speed up prototyping.  © 2023 IEEE.</t>
  </si>
  <si>
    <t xml:space="preserve">2023 Intelligent Computing and Control for Engineering and Business Systems, ICCEBS 2023</t>
  </si>
  <si>
    <t xml:space="preserve">10.1109/ICCEBS58601.2023.10448699</t>
  </si>
  <si>
    <t xml:space="preserve">https://www.scopus.com/inward/record.uri?eid=2-s2.0-85189143600&amp;doi=10.1109%2fICCEBS58601.2023.10448699&amp;partnerID=40&amp;md5=7ff697068c04f62da62d7ed66f9f67be</t>
  </si>
  <si>
    <t xml:space="preserve">Sri Sai Ram Institute of Technology, Computer Science and Engineering, Chennai, India</t>
  </si>
  <si>
    <t xml:space="preserve">Mathupriya S., Sri Sai Ram Institute of Technology, Computer Science and Engineering, Chennai, India; Raj Ronald Shaw V., Sri Sai Ram Institute of Technology, Computer Science and Engineering, Chennai, India; Nihaal Tharwat M., Sri Sai Ram Institute of Technology, Computer Science and Engineering, Chennai, India</t>
  </si>
  <si>
    <t xml:space="preserve">Deep learning; Malaria; Object detection; Red blood cells; Region-based Convolutional Neural Network</t>
  </si>
  <si>
    <t xml:space="preserve">Blood; Budget control; Cells; Convolutional neural networks; Cytology; Deep learning; Diagnosis; Diseases; Health risks; Blood samples; Convolutional neural network; Deep learning; Expert analysis; Malaria; Objects detection; Plasmodium parasites; Red blood cell; Region-based; Region-based convolutional neural network; Object detection</t>
  </si>
  <si>
    <t xml:space="preserve">Chowdhury A.B., Roberson J., Hukkoo A., Bodapati S., Cappelleri D.J., Automated complete blood cell count andmalariapathogendetectionusingconvolutionalneuralnetwork, IEEERobot icsand Automationletters; Antonio Alonso-Ramirez A., Rostro-Gonzalez H., Juanprado-Olivarez, Classifying parasitized and uninfected malaria redblood cells usingconvolutional-recureent neural networks, Tecnologiconacional deMexicoenCelaya; Umer M., Sadiq S., Ahmad M., Ullah S., Choi G., Mehmood A., A novel stacked CNN for malarial parasitedetection in thin blood smear images, Department of Computer science andInformation technology, Digital object identifier; Koirala A., Jha M., Bodapati S., Mishra A., Deeplearning for real-time malaria parasite detection and counting using yolo-mp, Centre for intelligent systems, school of engineering and technology; Yang F., Poostchi M., Yu H., Zhou Z., Silamut K., Yu J., Maude R.J., Jaeger S., Antani S., Deeplearning for smartphone-based malariaparasite detection in thick bloodsmears, IEEEjournalofbiomedicaland healthinformatics; Pattanaik P.A., Object detection technique formalaria parasite in thin blood smear images, IEEE international conferenceonbioinformaticsand biomedicine (BIBM); Kassim Y.M., Palaniappan K., Yang F., Poostchi M., Palaniappan N., Maude R.J., Antani S., Jaeger S., Clustering-based dual deep learning architecture for detecting redblood cells in malaria diagnostic smears, IEEE journal of biomedical andhealthinformatics; Vinoth Kumar B., Jeneessha P., Nivethitha M., A differential evolutionaryalgorithmforimagesegmentationofwhitebloodcellsinacutelymp hoblasticleukaemiaimages</t>
  </si>
  <si>
    <t xml:space="preserve">979-835039458-0</t>
  </si>
  <si>
    <t xml:space="preserve">Intell. Comput. Control Eng. Bus. Syst., ICCEBS</t>
  </si>
  <si>
    <t xml:space="preserve">2-s2.0-85189143600</t>
  </si>
  <si>
    <t xml:space="preserve">Ahmad H.I.; Prasad R.; Sharma B.K.; Madaki A.Y.; Shuaibu A.R.</t>
  </si>
  <si>
    <t xml:space="preserve">Ahmad, Hamisu Ismail (57216433385); Prasad, Rajesh (57191422092); Sharma, Birendra Kumar (57211293815); Madaki, Aisha Yakubu (58850777700); Shuaibu, Aliyu Rabiu (58257652100)</t>
  </si>
  <si>
    <t xml:space="preserve">57216433385; 57191422092; 57211293815; 58850777700; 58257652100</t>
  </si>
  <si>
    <t xml:space="preserve">Malaria Disease Prediction Using Frequency-Based Machine Learning Algorithms and Ensembles Algorithms</t>
  </si>
  <si>
    <t xml:space="preserve">Malaria is one of the most serious and threatening diseases in Sub-Saharan Africa. Its cases increase drastically during the rainy season. It can spread throughout an infected person's entire body in less than an hour. The diagnosis process is time-consuming, and its accuracy is negatively affected due to the lack of technical tools and infrastructure in many laboratories in malaria-prone countries. Hospitals, however, keep patient data during the diagnosis period. Due to the vast amount of diagnostic data gathered and stored on a daily basis in various mediums such as files, it has become increasingly crucial to develop powerful techniques for analysing and interpreting the data. This analysis aims to extract meaningful knowledge and insights that can significantly contribute to malaria diagnosis and decision-making processes. This paper selected four frequency-based algorithms, namely Naïve Bayes, (J48) Decision Tree, ZeroR, and the OneR algorithm, to develop a hybrid model for frequency-based classification algorithms using the available dataset of malaria diagnoses collected from the Federal Medical Centre in Yola, Adamawa state. The research results indicate that the highest accuracy, 88.4%, was achieved by the (J48) Decision Tree model. Additionally, this research employed ensemble methods to enhance the performance of each classification model. The results demonstrated that the accuracy of the Decision Tree and ZeroR models remained the same at 88.4% and 60.9% before and after boosting, respectively. In contrast, the accuracy of the Naïve Bayes and OneR models increased from 79.9% to 87.0% and from 79.8% to 87.6% before and after boosting, respectively. In conclusion, among the frequency-based classification models, the Decision Tree model consistently exhibited the highest accuracy both before and after boosting.  © 2023 IEEE.</t>
  </si>
  <si>
    <t xml:space="preserve">2023 2nd International Conference on Multidisciplinary Engineering and Applied Science, ICMEAS 2023</t>
  </si>
  <si>
    <t xml:space="preserve">10.1109/ICMEAS58693.2023.10379206</t>
  </si>
  <si>
    <t xml:space="preserve">https://www.scopus.com/inward/record.uri?eid=2-s2.0-85183472504&amp;doi=10.1109%2fICMEAS58693.2023.10379206&amp;partnerID=40&amp;md5=f9d91610d822006e55f6131472f9047d</t>
  </si>
  <si>
    <t xml:space="preserve">Nile University of Nigeria, Department of Computer Science, Abuja, Nigeria; Ajay Kumar Garg Engineering College, Department of Computer Science and Engineering, UP, Ghaziabad, India; Ajay Kumar Garg Engineering College, Department of Mca, UP, Ghaziabad, India; Nile University of Nigeria, Department of Software Engineering, Abuja, Nigeria</t>
  </si>
  <si>
    <t xml:space="preserve">Ahmad H.I., Nile University of Nigeria, Department of Computer Science, Abuja, Nigeria; Prasad R., Ajay Kumar Garg Engineering College, Department of Computer Science and Engineering, UP, Ghaziabad, India; Sharma B.K., Ajay Kumar Garg Engineering College, Department of Mca, UP, Ghaziabad, India; Madaki A.Y., Nile University of Nigeria, Department of Computer Science, Abuja, Nigeria; Shuaibu A.R., Nile University of Nigeria, Department of Software Engineering, Abuja, Nigeria</t>
  </si>
  <si>
    <t xml:space="preserve">classification; data mining; decision tree; ensembles; malaria prediction; naïve Bayes</t>
  </si>
  <si>
    <t xml:space="preserve">Adaptive boosting; Classification (of information); Data mining; Diagnosis; Diseases; Hospital data processing; Hospitals; Machine learning; Classification models; Decision-tree model; Ensemble; Ensemble algorithms; High-accuracy; Machine learning algorithms; Malaria diagnosis; Malaria prediction; Naive bayes; Sub-saharan africa; Decision trees</t>
  </si>
  <si>
    <t xml:space="preserve">Hossain M.B., Rahman M.M., Malaria: A Global Perspective of Burden, Challenges and Control, International Journal of Environmental Research and Public Health, 16, 3, (2019); Data mining techniques: supervised and unsupervised learning, (2016); Kumar S., Kumar A., P.N.B, Predictive Analysis of Malaria Incidence Using Data Mining Techniques: A Case Study in India, International Journal of Computer Applications, 181, 8, pp. 25-31, (2020); Gupta S., Kumar D., Sharma A., P Erformance a Nalysis of V Arious D Ata M Ining C Lassification T Echniques on, 3, 4, pp. 155-169, (2011); Shah Z.U., Khatoon N., Khan U.A., Nazir M.Z., Rasheed A., Bibi M., Malaria Prediction6Model Using Data Mining Techniques, International Journal of Engineering &amp; Technology, 9, 5-39, pp. 823-827, (2020); Omotoso O.A., Adegbola J., Ayodele T., Application of K-Nearest Neighbor (KNN) Algorithm in Malaria Prediction Model, International Journal of Data Mining &amp; Bioinformatics, 16, 2, pp. 224-233, (2020); Haque M.M., Rahman M.S., Akter M.S., Hossain M.S., Predictive data mining models for malaria prediction: A review and comparison, Malaria Journal, 19, 1, (2020); Liu C., Chen Y., Li Y., Wang L., Machine learning and data mining techniques for predicting malaria, Computers &amp; Mathematics with Applications, 79, 10, pp. 3723-3733, (2020); Peters J.S., Srivastava D., Application of data mining techniques for malaria prediction: A review, Computer Methods and Programs in Biomedicine, 196, (2020); Aliyu Rajesh Prasad A., Fonkam M., A Framework for Predicting Malaria using Naïve Bayes Classifier, (IJTMPC) Int, J. Telemedicine and Clinical Practices, pp. 1-3, (2018); Cdc C.F.D.C., Treatment of Malaria ( Guidelines For Clinicians ), Treatment of Malaria (Guidelines for Clinicians), pp. 1-8, (2013); Seladi J., Mosquito-Borne Diseases, (2018); Malaria disease, (2018); Stefanowski J., Fast and accurate decision tree induction, Information Sciences, 178, 13, pp. 2880-2900, (2008); Provost F., Kohavi R., The Case Against Accuracy Estimation for Comparing Induction Algorithms, Proceedings of the Fifteenth International Conference on Machine Learning, pp. 445-453, (1998); Freund Y., Boosting a weak learning algorithm by majority, Information and Computation, 121, 2, pp. 256-285, (1996); Quinlan J.R., Induction of Decision Trees, Machine Learning, 1, pp. 81-106, (1986)</t>
  </si>
  <si>
    <t xml:space="preserve">H.I. Ahmad; Nile University of Nigeria, Department of Computer Science, Abuja, Nigeria; email: ahmad.ismail@nileuniversity.edu.ng</t>
  </si>
  <si>
    <t xml:space="preserve">2nd International Conference on Multidisciplinary Engineering and Applied Science, ICMEAS 2023</t>
  </si>
  <si>
    <t xml:space="preserve">1 November 2023 through 3 November 2023</t>
  </si>
  <si>
    <t xml:space="preserve">Abuja</t>
  </si>
  <si>
    <t xml:space="preserve">979-835035883-4</t>
  </si>
  <si>
    <t xml:space="preserve">Int. Conf. Multidiscip. Eng. Appl. Sci., ICMEAS</t>
  </si>
  <si>
    <t xml:space="preserve">2-s2.0-85183472504</t>
  </si>
  <si>
    <t xml:space="preserve">Verma A.K.; Bettahally N K.; Ravi Prasad K.J.; Kuppili V.</t>
  </si>
  <si>
    <t xml:space="preserve">Verma, Ajeet Kumar (57211191647); Bettahally N, Keshavamurthy (36782417100); Ravi Prasad, K.J. (37031229500); Kuppili, Venkatanareshbabu (54784668100)</t>
  </si>
  <si>
    <t xml:space="preserve">57211191647; 36782417100; 37031229500; 54784668100</t>
  </si>
  <si>
    <t xml:space="preserve">Malaria Incidence Prediction Using Leaky Integrate and Fire Neuron</t>
  </si>
  <si>
    <t xml:space="preserve">A malaria parasite is transmitted to humans with female anopheles bites. Malaria is a common disease in rural and urban areas of most countries. Malaria affects public health and flourishes mainly in sub-tropical countries and tropical countries. The impact of the disease is high, whereas the prevention control system facilities are limited. A prominent prediction model is needed to overcome the effects of malaria disease and prevent infected humans from it. In this study, we focus on determining the malaria-abundant regions with the help of environmental factors and utilizing spiking neural networks as a classification/prediction model for the Ponda region in Goa, India. Groundwork findings of malaria-abundant areas are collected using clinical data from a renowned regional hospital. Leaky integrate and fire neuron models exhibited interesting spiking patterns, which are further used for classifying the malaria-prone zones. This model also demonstrated the best prediction accuracy of 98.47% and 90.87% for village Boma using the MalariaDataset2 and Curti using the MalariaDataset1, respectively. This study tries to contribute a step forward in making India a malaria-free country, a target set by World Health Organization.  © 2023 IEEE.</t>
  </si>
  <si>
    <t xml:space="preserve">10.1109/AIC57670.2023.10263918</t>
  </si>
  <si>
    <t xml:space="preserve">https://www.scopus.com/inward/record.uri?eid=2-s2.0-85174492522&amp;doi=10.1109%2fAIC57670.2023.10263918&amp;partnerID=40&amp;md5=ec166ac0d33593c22d58e4ea8972f0f4</t>
  </si>
  <si>
    <t xml:space="preserve">Nit Goa, Dept of Cse, Goa, India; Iit Jammu, Dept of Cse, India; Nit Goa, Dept of Applied Sciences, Goa, India; Indian Institute of Technology Jammu, India</t>
  </si>
  <si>
    <t xml:space="preserve">Verma A.K., Nit Goa, Dept of Cse, Goa, India, Iit Jammu, Dept of Cse, India, Indian Institute of Technology Jammu, India; Bettahally N K., Iit Jammu, Dept of Cse, India; Ravi Prasad K.J., Nit Goa, Dept of Applied Sciences, Goa, India; Kuppili V., Iit Jammu, Dept of Cse, India</t>
  </si>
  <si>
    <t xml:space="preserve">Classification; Integrate and Fire Neuron (IFN); Leaky integrate and Fire Neuron (LIFN); Malaria; Prediction</t>
  </si>
  <si>
    <t xml:space="preserve">Disease control; Diseases; Fires; Neural networks; Neurons; Rural areas; Tropics; Common disease; Integrate and fire neuron; Integrate-and-fire neurons; Leaky integrate and fire neuron; Malaria; Malaria parasite; Prediction modelling; Rural and urban; Tropical countries; Forecasting</t>
  </si>
  <si>
    <t xml:space="preserve">Medical Superintendent, of Sub District Hospital; Science and Engineering Research Board, SERB, (ECR/2017/001074); Science and Engineering Research Board, SERB</t>
  </si>
  <si>
    <t xml:space="preserve">We thank the Department of Science and Technology, Science and Engineering Research Board, New Delhi, India vide, Project No. ECR/2017/001074, for financial support. We also thank the Medical Superintendent, of Sub District Hospital, Ponda, for providing data for this study.</t>
  </si>
  <si>
    <t xml:space="preserve">Dutta S., Kumar V., Shukla A., Mohapatra N. R., Ganguly U., Leaky integrate and fire neuron by charge-discharge dynamics in floating-body mosfet, Scientific reports, 7, 1, (2017); Organization W. H., Et al., High burden to high impact: a targeted malaria response, (2018); Tapias-Rivera J., Gutierrez J. D., Environmental and socioeconomic determinants of the occurrence of malaria clusters in colombia, Acta Tropica, 241, (2023); Adamu Y. A., Et al., Malaria prediction model using machine learning algorithms, Turkish Journal of Computer and Mathematics Education (TURCOMAT), 12, 10, pp. 7488-7496, (2021); Wang C., Thakuri B., Roy A. K., Mondal N., Qi Y., Chakraborty A., Changes in the associations between malaria incidence and climatic factors across malaria endemic countries in africa and asia-pacific region, Journal of Environmental Management, 331, (2023); Vavilala H., Yaladanda N., Krishna Kondeti P., Unissa R., Mopuri R., Gouda K. C., Rao Bhimala K., Rao Kadiri M., Upadhyayula S. M., Rao Mutheneni S., Weather integrated malaria prediction system using bayesian structural time series model for northeast states of india, Environmental Science and Pollution Research, 29, 45, pp. 68232-68246, (2022); Tian H., Li N., Li Y., Kraemer M. U., Tan H., Liu Y., Li Y., Wang B., Wu P., Cazelles B., Et al., Malaria elimination on hainan island despite climate change, Communications Medicine, 2, 1, (2022); Nkiruka O., Prasad R., Clement O., Prediction of malaria incidence using climate variability and machine learning, Informatics in Medicine Unlocked, 22, (2021); Yu Q., Tan K. C., Tang H., Pattern recognition computation in a spiking neural network with temporal encoding and learning, The 2012 International Joint Conference on Neural Networks (IJCNN). IEEE, pp. 1-7, (2012); Lopez-Vazquez G., Ornelas-Rodriguez M., Espinal A., Soria-Alcaraz J. A., Rojas-Dominguez A., Puga-Soberanes H., Carpio J. M., Rostro-Gonzalez H., Evolutionary spiking neural networks for solving supervised classification problems, Computational intelligence and neuroscience, 2019, (2019); Vazquez R., Izhikevich neuron model and its application in pattern recognition, Australian Journal of Intelligent Information Processing Systems, 11, 1, pp. 35-40, (2010); Izhikevich E. M., Simple model of spiking neurons, IEEE Transactions on neural networks, 14, 6, pp. 1569-1572, (2003); Wang Z., Guo L., Adjouadi M., A generalized leaky integrateand-fire neuron model with fast implementation method, International journal of neural systems, 24, (2014); Hodgkin A. L., Huxley A. F., A quantitative description of membrane current and its application to conduction and excitation in nerve, The Journal of physiology, 117, 4, (1952); Sahoo G., Schladow S., Reuter J., Forecasting stream water temperature using regression analysis, artificial neural network, and chaotic non-linear dynamic models, Journal of hydrology, 378, 3-4, pp. 325-342, (2009); Dopazo J., Wang H., Carazo J. M., A new type of unsupervised growing neural network for biological sequence classification that adopts the topology of a phylogenetic tree, Biological and Artificial Computation: From Neuroscience to Technology: International Work-Conference on Artificial and Natural Neural Networks, IWANN'97 Lanzarote, Canary Islands, Spain, June 4-6, 1997 Proceedings, pp. 932-941, (2005); Darkoh E. L., Larbi J. A., Lawer E. A., A weather-based prediction model of malaria prevalence in amenfi west district, ghana, Malaria research and treatment, 2017, (2017); Das N. G., Dhiman S., Talukdar P. K., Goswami D., Rabha B., Baruah I., Veer V., Role of asymptomatic carriers and weather variables in persistent transmission of malaria in an endemic district of assam, india, Infection ecology &amp; epidemiology, 5, 1, (2015); Devi N. P., Jauhari R., Climatic variables and malaria incidence in dehradun, uttaranchal, india, Journal of vector borne diseases, 43, 1, (2006); Verma A. K., Kuppili V., Data-oriented neural time series with long short-term memories (lstm) for malaria incidence prediction in goa, india, 2019 10th International Conference on Computing, Communication and Networking Technologies (ICCCNT), pp. 1-6, (2019); Verma A. K., Kuppili V., Srivastava S. K., Suri J. S., A new backpropagation neural network classification model for prediction of incidence of malaria, Frontiers in Bioscience-Landmark, 25, 2, pp. 299-334, (2020); An ai-based approach in determining the effect of meteorological factors on incidence of malaria, Frontiers in Bioscience-Landmark, 25, 7, pp. 1202-1229, (2020); Koch C., Segev I., Methods in neuronal modeling: from ions to networks, (1998); Srivastava S., Kumar S., Verma A. K., Optimal path sequencing in basis path testing, International journal of Advanced computational Engineering and Networking, 1, 1, pp. 2320-2106, (2013)</t>
  </si>
  <si>
    <t xml:space="preserve">V. Kuppili; Iit Jammu, Dept of Cse, India; email: venkatanaresh@nitgoa.ac.in</t>
  </si>
  <si>
    <t xml:space="preserve">2-s2.0-85174492522</t>
  </si>
  <si>
    <t xml:space="preserve">Areefa; Koneru S.K.; Pragathi K.; Rishitha K.</t>
  </si>
  <si>
    <t xml:space="preserve">Areefa (57739926800); Koneru, Sivarama Krishna (58723380800); Pragathi, Kota (58690025400); Rishitha, Koyyada (57739520000)</t>
  </si>
  <si>
    <t xml:space="preserve">57739926800; 58723380800; 58690025400; 57739520000</t>
  </si>
  <si>
    <t xml:space="preserve">Malaria Parasite Detection and Outbreak Warning System Using Deep Learning</t>
  </si>
  <si>
    <t xml:space="preserve">Malaria is an epidemic disease which causes by parasites that are spread through bites from infected Anopheles mosquitoes. Through early diagnosis and timely treatment, malaria death rates can be decreased and prevented. But the manual examination of blood smears by laboratory technicians is time-consuming and probable chances of human errors. Considering this need, in this paper, we are demonstrating a proposed system deployed over a WebApp could help laboratories to perform fast and accurate tests. For the malaria parasite detection in the blood cells, we proposed our custom CNN model and even implemented the dataset on the Transfer Learning model (VGG19) to compare the results. We got the highest accuracy of 97.74% for our CNN model which is the simplest of the current models as it prioritizes only important parameters, provides great computational efficiency, and is realistic for implementation. Additionally, a malaria outbreak warning system is proposed to warn the people in localities when there is availing risk based on climatic factors. A logistic regression model implemented by Gradient Descent Optimizer is deployed which predicts the malaria outbreak from the live weather forecast inputs from the OpenWeather API and displays the probability of the outbreak to the users with one click. © 2023, The Author(s), under exclusive license to Springer Nature Singapore Pte Ltd.</t>
  </si>
  <si>
    <t xml:space="preserve">1066 LNEE</t>
  </si>
  <si>
    <t xml:space="preserve">10.1007/978-981-99-4634-1_43</t>
  </si>
  <si>
    <t xml:space="preserve">https://www.scopus.com/inward/record.uri?eid=2-s2.0-85177883580&amp;doi=10.1007%2f978-981-99-4634-1_43&amp;partnerID=40&amp;md5=299df4cea8e8cf5671d6e84a128099d3</t>
  </si>
  <si>
    <t xml:space="preserve">S R Engineering College, Telangana State, Warangal, India</t>
  </si>
  <si>
    <t xml:space="preserve">Areefa, S R Engineering College, Telangana State, Warangal, India; Koneru S.K., S R Engineering College, Telangana State, Warangal, India; Pragathi K., S R Engineering College, Telangana State, Warangal, India; Rishitha K., S R Engineering College, Telangana State, Warangal, India</t>
  </si>
  <si>
    <t xml:space="preserve">Custom CNN model; Deep learning; Malaria; Web/App</t>
  </si>
  <si>
    <t xml:space="preserve">Blood; Deep learning; Diagnosis; Diseases; Gradient methods; Learning systems; Weather forecasting; Anopheles mosquitoes; CNN models; Custom CNN model; Deep learning; Early diagnosis; Epidemic disease; Malaria; Malaria parasite; Parasite-; Web App; Computational efficiency</t>
  </si>
  <si>
    <t xml:space="preserve">Var E., Boray F., Malaria parasite detection with deep transfer learning, 3Rd International Conference on Computer Science and Engineering (UBMK). IEEE, Sarajevo, Bosnia and Herzegovina, pp. 298-302, (2018); Kathuria C., Logistic Regression Using Gradient Descent Optimizer in Python; Anggraini D., Nugroho A., Pratama C., Rozi I., Iskandar A., Hartono R., Automated status identification of microscopic images obtained from malaria thin blood smears, ICEEI 2011 Committees, pp. 1-6, (2011); Leal Neto O., Albuquerque C., Albuquerque J., Barbosa C., The schisto track: A system for gathering and monitoring epidemiological surveys by connecting geographical information systems in real time, JMIR Mhealth Uhealth, 2, 1, (2014); Rajaraman S., Antani S., Poostchi M., Silamut K., Hossain M., Maude R., Jaeger S., Thoma G., Pre-trained convolutional neural networks as feature extractors toward improved malaria parasite detection in thin blood smear images, Peerj, 6, (2018); Mayo Clinic Homepage; Nduati J., Introduction to Neural Networks; Masud M., Alhumyani H., Alshamrani S., Cheikhrouhou O., Ibrahim S., Ghulam M., Hossain M., Shorfuzzaman M., Leveraging deep learning techniques for malaria parasite detection using mobile application, Wirel Commun Mob Comput, (2020); Jha A., Vartak S., Nair K., Hingmire A., Malaria Outbreak Prediction Using Machine Learning. Int J Eng Res Technol (IJERT) NTASU-2020, (2020); Noor A., Kinyoki D., Mundia C., Kabaria C., Mutua J., Alegana V., Fall I., Snow R., The Changing Risk of Plasmodium Falciparum Malaria Infection in Africa: 2000–10: A Spatial and Temporal Analysis of Transmission Intensity. Lancet. Epub; Gramacy R., An R package for Bayesian nonstationary, semiparametric nonlinear regression and design by treed Gaussian process models, J Stat Softw, 19, 9, pp. 1-46, (2007); Poostchi M., Silamut K., Maude R., Jaeger S., Thoma G., Image analysis and machine learning for detecting malaria, Transl Res. Epub, 194, pp. 36-55, (2018); Mandal M., Introduction to Convolutional Neural Networks (CNN).; Dertat A., Applied Deep learning—Part 4: Convolutional Neural Networks</t>
  </si>
  <si>
    <t xml:space="preserve">Areefa; S R Engineering College, Warangal, Telangana State, India; email: areefahnk@gmail.com</t>
  </si>
  <si>
    <t xml:space="preserve">Sharma S.; Subudhi B.; Sahu U.K.</t>
  </si>
  <si>
    <t xml:space="preserve">International Conference on Robotics, Control, Automation and Artificial Intelligence, RCAAI 2022</t>
  </si>
  <si>
    <t xml:space="preserve">978-981994633-4</t>
  </si>
  <si>
    <t xml:space="preserve">2-s2.0-85177883580</t>
  </si>
  <si>
    <t xml:space="preserve">Ahmed K.M.T.; Rahman Z.; Shaikh R.; Hossain S.I.</t>
  </si>
  <si>
    <t xml:space="preserve">Ahmed, K M Tanvir (7202086359); Rahman, Zahidur (57207765704); Shaikh, Rizwan (57219987218); Hossain, Sk Imran (55744105500)</t>
  </si>
  <si>
    <t xml:space="preserve">7202086359; 57207765704; 57219987218; 55744105500</t>
  </si>
  <si>
    <t xml:space="preserve">Malaria Parasite Detection Using CNN-Based Ensemble Technique on Blood Smear Images</t>
  </si>
  <si>
    <t xml:space="preserve">The parasite genus Plasmodium found in red blood cells of an infected person causes malaria, a disease that is transmitted by female Anopheles mosquitoes. The gold standard for diagnosing malaria is by reviewing blood smear under a mi-croscope. By aiding with triage and disease diagnosis, computer-aided diagnostic (CADx) methods and tools incorporating ma-chine learning (ML) algorithms on microscopic blood smear images possess the capability to lessen therapeutic encumbrance. On blood smear images, prominent pre-processing techniques have been performed, and two benchmark architectures have been applied along with ensemble technique. The ensemble approach was used to enhance the accuracy and performance of our suggested method. The NIH Malaria Dataset is used for all experimental evaluations. According to the results, the proposed approach has a 96.71 percent accuracy rate for identifying malaria in microscopic blood smears, with precision of 97.44 percent, specificity of 97.48 percent, F1-score of 96.69 percent, and Cohen's Kappa coefficient of 99.39 percent. Our study supports that convolutional neural networks (CNNs) can be used to quickly diagnose red blood cells (RBCs) with malaria parasite infection from segmented microscopic blood smear images, which is advantageous in regions with a shortage of medical personnel. © 2023 IEEE.</t>
  </si>
  <si>
    <t xml:space="preserve">3rd International Conference on Electrical, Computer and Communication Engineering, ECCE 2023</t>
  </si>
  <si>
    <t xml:space="preserve">10.1109/ECCE57851.2023.10101524</t>
  </si>
  <si>
    <t xml:space="preserve">https://www.scopus.com/inward/record.uri?eid=2-s2.0-85158923067&amp;doi=10.1109%2fECCE57851.2023.10101524&amp;partnerID=40&amp;md5=478c5dd0e9d32b072e7077a93bed0dd3</t>
  </si>
  <si>
    <t xml:space="preserve">Khulna University of Engineering and Technology (KUET), Dept. of Cse, Khulna, 9203, Bangladesh; East West University, Dept. of Ece, Dhaka, 1212, Bangladesh</t>
  </si>
  <si>
    <t xml:space="preserve">Ahmed K.M.T., Khulna University of Engineering and Technology (KUET), Dept. of Cse, Khulna, 9203, Bangladesh; Rahman Z., East West University, Dept. of Ece, Dhaka, 1212, Bangladesh; Shaikh R., East West University, Dept. of Ece, Dhaka, 1212, Bangladesh; Hossain S.I., Khulna University of Engineering and Technology (KUET), Dept. of Cse, Khulna, 9203, Bangladesh</t>
  </si>
  <si>
    <t xml:space="preserve">Blood smear images; computer-aided diagnosis (CADx); convolutional neural net-works (CNN); deep learning (DL); machine learning (ML); malaria parasite detection; pre-trained models</t>
  </si>
  <si>
    <t xml:space="preserve">Blood; Cells; Computer aided instruction; Convolution; Convolutional neural networks; Deep learning; Diseases; Learning systems; Blood smear image; Blood smears; Computer-aided diagnose (CADx); Convolutional neural net-work; Deep learning; Machine learning; Machine-learning; Malaria parasite; Malaria parasite detection; Net work; Pre-trained model; Computer aided diagnosis</t>
  </si>
  <si>
    <t xml:space="preserve">Cdc-parasites-malaria, (2022); Cdc-malaria-about malaria-biology, (2020); Mitiku K., Mengistu G., Gelaw B., The reliability of blood film examination for malaria at the peripheral health unit, The Ethiopian Journal of Health Development, 17, 3, (2003); Hommelsheim C.M., Frantzeskakis L., Huang M., Ulker B., Pcr amplification of repetitive dna: A limitation to genome editing technologies and many other applications, Scientific reports, 4, 1, pp. 1-13, (2014); Hawkes M., Katsuva J.P., Masumbuko C.K., Use and limitations of malaria rapid diagnostic testing by community health workers in wartorn democratic republic of congo, Malaria journal, 8, 1, pp. 1-8, (2009); Suzuki K., Overview of deep learning in medical imaging, Radiological physics and technology, 10, 3, pp. 257-273, (2017); Dong Y., Jiang Z., Shen H., David Pan W., Williams L.A., Reddy V.V.B., Benjamin W.H., Bryan A.W., Evaluations of deep convolutional neural networks for automatic identification of malaria infected cells, 2017 IEEE EMBS International Conference on Biomedical Health Informatics (BHI), pp. 101-104, (2017); Liang Z., Powell A., Ersoy I., Poostchi M., Silamut K., Palaniappan K., Guo P., Hossain M.A., Sameer A., Maude R.J., Huang J.X., Jaeger S., Thoma G., Cnn-based image analysis for malaria diagnosis, 2016 IEEE International Conference on Bioinformatics and Biomedicine (BIBM), pp. 493-496, (2016); Bibin D., Nair M.S., Punitha P., Malaria parasite detection from peripheral blood smear images using deep belief networks, IEEE Access, 5, pp. 9099-9108, (2017); Hung J., Carpenter A., Applying faster r-cnn for object detection on malaria images, Proceedings of the IEEE Conference on Computer Vision and Pattern Recognition (CVPR) Workshops, (2017); Das D.K., Ghosh M., Pal M., Maiti A.K., Chakraborty C., Machine learning approach for automated screening of malaria parasite using light microscopic images, Micron, 45, pp. 97-106, (2013); Nlm-malaria data, (2022); Simonyan K., Zisserman A., Very deep convolutional networks for large-scale image recognition, (2014); He K., Zhang X., Ren S., Sun J., Deep residual learning for image recognition, (2015); Tadesse M.M., Lin H., Xu B., Yang L., Detection of depressionrelated posts in reddit social media forum, IEEE Access, 7, pp. 44883-44893, (2019); Ross N.E., Pritchard C.J., Rubin D.M., Duse A.G., Automated image processing method for the diagnosis and classification of malaria on thin blood smears, Medical Biological Engineering Computing, 44, 5, pp. 427-436, (2006)</t>
  </si>
  <si>
    <t xml:space="preserve">Z. Rahman; East West University, Dept. of Ece, Dhaka, 1212, Bangladesh; email: zahid.ece@ewubd.edu</t>
  </si>
  <si>
    <t xml:space="preserve">23 February 2023 through 25 February 2023</t>
  </si>
  <si>
    <t xml:space="preserve">Chittagong</t>
  </si>
  <si>
    <t xml:space="preserve">979-835034536-0</t>
  </si>
  <si>
    <t xml:space="preserve">Int. Conf. Electr., Comput. Commun. Eng., ECCE</t>
  </si>
  <si>
    <t xml:space="preserve">2-s2.0-85158923067</t>
  </si>
  <si>
    <t xml:space="preserve">Babu K.K.; Reddy M.S.R.; Bhavanam S.R.; Chimma A.; Nuthalapati P.; Kovvuri S.</t>
  </si>
  <si>
    <t xml:space="preserve">Babu, Kancharagunta Kishan (57205620099); Reddy, Musku Sai Ritish (58991232700); Bhavanam, Santhosh Reddy (58986411300); Chimma, Akhil (58987104200); Nuthalapati, Parthav (59008633100); Kovvuri, Srikar (58847430900)</t>
  </si>
  <si>
    <t xml:space="preserve">57205620099; 58991232700; 58986411300; 58987104200; 59008633100; 58847430900</t>
  </si>
  <si>
    <t xml:space="preserve">Malaria Parasite Disease Classification using Deep Learning Neural Networks</t>
  </si>
  <si>
    <t xml:space="preserve">Malaria is a global health threat caused by the Plasmodium parasite. The early identification and classification of the parasite are vital for prompt treatment and improved patient outcomes. However, traditional detection methods depend heavily on expert knowledge for accurate diagnosis, making them challenging to implement. This paper aims to conduct a comprehensive analysis of 6 existing deep learning models including AlexNet, GoogleNet, VGG19, MobileNet, ResNet, and RCCNet utilizing the malaria parasite dataset. Additionally, we perform a comparative evaluation of these models by implementing various Data Augmentation techniques and improving accuracy by 3% reaching maximum accuracy up to 96.73 %. The assessment is centered around key factors such as training duration, precision, weighted f1 score, specificity, and sensitivity. © 2023 IEEE.</t>
  </si>
  <si>
    <t xml:space="preserve">2023 Global Conference on Information Technologies and Communications, GCITC 2023</t>
  </si>
  <si>
    <t xml:space="preserve">10.1109/GCITC60406.2023.10426537</t>
  </si>
  <si>
    <t xml:space="preserve">https://www.scopus.com/inward/record.uri?eid=2-s2.0-85191693109&amp;doi=10.1109%2fGCITC60406.2023.10426537&amp;partnerID=40&amp;md5=f0aeb30f4a167d4a687042a6a202a810</t>
  </si>
  <si>
    <t xml:space="preserve">Vnr Vignana Jyothi Institute of Engineering and Technology, Department of Cse - Aiml &amp; IoT, Hyderabad, India; Adlai E. Stevenson High School, Lincolnshire, IL, United States</t>
  </si>
  <si>
    <t xml:space="preserve">Babu K.K., Vnr Vignana Jyothi Institute of Engineering and Technology, Department of Cse - Aiml &amp; IoT, Hyderabad, India; Reddy M.S.R., Vnr Vignana Jyothi Institute of Engineering and Technology, Department of Cse - Aiml &amp; IoT, Hyderabad, India; Bhavanam S.R., Vnr Vignana Jyothi Institute of Engineering and Technology, Department of Cse - Aiml &amp; IoT, Hyderabad, India; Chimma A., Vnr Vignana Jyothi Institute of Engineering and Technology, Department of Cse - Aiml &amp; IoT, Hyderabad, India; Nuthalapati P., Vnr Vignana Jyothi Institute of Engineering and Technology, Department of Cse - Aiml &amp; IoT, Hyderabad, India; Kovvuri S., Adlai E. Stevenson High School, Lincolnshire, IL, United States</t>
  </si>
  <si>
    <t xml:space="preserve">Convolutional neural networks; Data augmentation; Deep learning; Malaria parasite disease classification</t>
  </si>
  <si>
    <t xml:space="preserve">Deep learning; Diagnosis; Diseases; Health risks; Learning systems; Patient treatment; Convolutional neural network; Data augmentation; Deep learning; Disease classification; Global health; Learning neural networks; Malaria parasite; Malaria parasite disease classification; Plasmodium parasites; Convolutional neural networks</t>
  </si>
  <si>
    <t xml:space="preserve">Department of CSE; Vallurupalli Nageswara Rao Vignana Jyothi Institute of Engineering and Technology</t>
  </si>
  <si>
    <t xml:space="preserve">We thank the Department of CSE - (AIML &amp; IoT), Vallurupalli Nageswara Rao Vignana Jyothi Institute of Engineering and Technology for their generosity in providing the NVIDIA GPU k40 which we used to conduct experiments in this research.</t>
  </si>
  <si>
    <t xml:space="preserve">Bar Y., Et al., Deep learning with non-medical training used for chest pathology identification, Medical Imaging 2015: Computer-Aided Diagnosis., 9414, (2015); Ting S.W.D., Et al., Development and validation of a deep learning system for diabetic retinopathy and related eye diseases using retinal images from multiethnic populations with diabetes, Jama, 318, 22, pp. 2211-2223, (2017); Afza F., Et al., Multiclass skin lesion classification using hybrid deep features selection and extreme learning machine, Sensors, 22, 3, (2022); Krizhevsky A., Sutskever I., Hinton G.E., Imagenet classification with deep convolutional neural networks, Advances in neural information processing systems, pp. 1097-1105, (2012); Szegedy C., Liu W., Jia Y., Sermanet P., Reed S., Anguelov D., Erhan D., Vanhoucke V., Rabinovich A., Going deeper with convolutions, Proceedings of the IEEE conference on computer vision and pattern recognition, pp. 1-9, (2015); Simonyan K., Zisserman A., Very deep convolutional networks for large-scale image recognition, (2014); He K., Zhang X., Ren S., Sun J., Deep residual learning for image recognition, Proceedings of the IEEE conference on computer vision and pattern recognition, pp. 770-778, (2016); Basha S.S., Ghosh S., Babu K.K., Dubey S.R., Pulabaigari V., Mukherjee S., Rccnet: An efficient convolutional neural network for histological routine colon cancer nuclei classification, 2018 15th International Conference on Control, Automation, Robotics and Vision (ICARCV), pp. 1222-1227, (2018); Kingma D.P., Ba J., Adam: A method for stochastic optimization, (2014); Agarap A.F., Deep learning using rectified linear units (relu), (2018)</t>
  </si>
  <si>
    <t xml:space="preserve">K.K. Babu; Vnr Vignana Jyothi Institute of Engineering and Technology, Department of Cse - Aiml &amp; IoT, Hyderabad, India; email: kishan.kancharagunta@gmail.com</t>
  </si>
  <si>
    <t xml:space="preserve">2023 IEEE Global Conference on Information Technologies and Communications, GCITC 2023</t>
  </si>
  <si>
    <t xml:space="preserve">1 December 2023 through 3 December 2023</t>
  </si>
  <si>
    <t xml:space="preserve">Karnataka</t>
  </si>
  <si>
    <t xml:space="preserve">979-835030816-7</t>
  </si>
  <si>
    <t xml:space="preserve">Glob. Conf. Inf. Technol. Commun., GCITC</t>
  </si>
  <si>
    <t xml:space="preserve">2-s2.0-85191693109</t>
  </si>
  <si>
    <t xml:space="preserve">Samanta S.; Singh J.; Bhattacharjee A.; Kumar S.; Behera M.</t>
  </si>
  <si>
    <t xml:space="preserve">Samanta, Subhankar (57437106700); Singh, Jasanjeet (58883888500); Bhattacharjee, Asmita (58883776200); Kumar, Sananda (56537270800); Behera, Manjusha (57216313135)</t>
  </si>
  <si>
    <t xml:space="preserve">57437106700; 58883888500; 58883776200; 56537270800; 57216313135</t>
  </si>
  <si>
    <t xml:space="preserve">Medical Image Processing Using CNN</t>
  </si>
  <si>
    <t xml:space="preserve">Malaria detection takes time. The sole approach that provides confirmation is blood sample analysis. A variety of computational techniques are currently being used to speed it up. Our proposed methodology employs the usage of image enhancement filters along with the Convolutional Neural Network (CNN) idea to reduce the time complexity of malaria identification. The standard model employs several deep-learning approaches while confirming stability on the same dataset. The model employs a self-built CNN architecture with multiple filters. The Gaussian filter, along with our dataset, produced the best accuracy of 98.13%. While the model with no filter, achieves 95% accuracy.  © 2023 IEEE.</t>
  </si>
  <si>
    <t xml:space="preserve">2023 IEEE 3rd International Conference on Applied Electromagnetics, Signal Processing, and Communication, AESPC 2023</t>
  </si>
  <si>
    <t xml:space="preserve">10.1109/AESPC59761.2023.10390095</t>
  </si>
  <si>
    <t xml:space="preserve">https://www.scopus.com/inward/record.uri?eid=2-s2.0-85184848779&amp;doi=10.1109%2fAESPC59761.2023.10390095&amp;partnerID=40&amp;md5=52e0ab1f0a470fa61c5402efe9cf9f1b</t>
  </si>
  <si>
    <t xml:space="preserve">School of Electronics Engineering, Kiit (Deemed to Be University), Bhubaneswar, India</t>
  </si>
  <si>
    <t xml:space="preserve">Samanta S., School of Electronics Engineering, Kiit (Deemed to Be University), Bhubaneswar, India; Singh J., School of Electronics Engineering, Kiit (Deemed to Be University), Bhubaneswar, India; Bhattacharjee A., School of Electronics Engineering, Kiit (Deemed to Be University), Bhubaneswar, India; Kumar S., School of Electronics Engineering, Kiit (Deemed to Be University), Bhubaneswar, India; Behera M., School of Electronics Engineering, Kiit (Deemed to Be University), Bhubaneswar, India</t>
  </si>
  <si>
    <t xml:space="preserve">Convolutional Neural Network; EfficentNetB3; Gaussian Filter; Image Processing Filters; Swish; Wiener Filter</t>
  </si>
  <si>
    <t xml:space="preserve">Convolution; Deep learning; Diseases; Gaussian distribution; Image enhancement; Medical imaging; Blood samples; Computational technique; Convolutional neural network; Efficentnetb3; Gaussian filters; Image processing filters; Medical images processing; Sample analysis; Swish; Wiener filter; Convolutional neural networks</t>
  </si>
  <si>
    <t xml:space="preserve">O'Shea K., Nash R., An Introduction to Convolutional Neural Networks, (2015); Who Malaria Terminology, (2021); Ye Y., Kyobutungi C., Ogutu B., Villegas L., Diallo D., Tinto H., Sankoh O., Malaria mortality estimates: Need for agreeable approach, Tropical Medicine &amp; International Health, 18, 2, pp. 219-221, (2013); Liu L., Black R.E., Cousens S., Mathers C., Lawn J.E., Hogan D.R., Causes of child death: Comparison of MCEE and GBD 2013 estimates, The Lancet, 385, 9986, pp. 2461-2462, (2015); Latif J., Xiao C., Imran A., Tu S., Medical Imaging using Machine Learning and Deep Learning Algorithms: A Review, 2019 2nd International Conference on Computing, Mathematics and Engineering Technologies (ICoMET, pp. 1-5, (2019); Alkrimi J.A., Toma S.A., Mohammed R.S., Georged L.E., Comparison of Different Classification Techniques using Data Mining to Detect Malaria-Infected Red Blood Cells, International Journal of Advanced Research in Technology and Innovation, pp. 1-11, (2020); Saiprasath G., Naren Babu R., ArunPriyan J., Vinayakumar R., Sowmya V., Soman K., Performance comparison of machine learning algorithms for malaria detection using microscopic images, Int J Curr Res Acad Rev, (2019); Soner Can K., Koray Sahingoz O., Deep Learning Based Classification of Malaria from Slide Images, 2019 Scientific Meeting on Electrical-Electronics &amp; Biomedical Engineering and Computer Science (EBBT, pp. 1-4, (2019); Balaaditya M., Dunston S.D., Analysis of the Effect of Adversarial Training in Defending EfficientNet-B0 Model from DeepFool Attack, 2023 3rd International Conference on Intelligent Communication and Computational Techniques (ICCT, pp. 1-7, (2023); Oyewola D.O., Dada E.G., Misra S., Damasevicius R., A novel data augmentation convolutional neural network for detecting malaria parasite in blood smear images, Applied Artificial Intelligence, 36, 1, (2022); Rameen I., Shahadat A., Mehreen M., Razzaq S., Asghar M.A., Khan M.J., Leveraging Supervised Machine Learning Techniques for Identification of Malaria Cells using Blood Smears, 2021 International Conference on Digital Futures and Transformative Technologies (ICoDT2, pp. 1-6, (2021); Cinar A., Yildirim M., Classification of Malaria Cell Images with Deep Learning Architectures, Ingénierie des Systèmes D Inf, 25, 1, pp. 35-39, (2020); Chandel R., Gupta G., Image filtering algorithms and techniques: A review, International Journal of Advanced Research in Computer Science and Software Engineering, 3, (2013); Vaseghi Saeed V., Wiener filters, Advanced Signal Processing and Digital Noise Reduction, pp. 140-163, (1996); Wang M., Zheng S., Li X., Qin X., A new image denoising method based on Gaussian filter, 2014 International Conference on Information Science, Electronics and Electrical Engineering, 1, pp. 163-167, (2014); Zhu R., Wang Y., Application of Improved Median Filter on Image Processing, J. Comput, 7, 4, pp. 838-841, (2012); Hwang H., Haddad R.A., Adaptive median filters: New algorithms and results, IEEE Transactions on Image Processing, 4, 4, pp. 499-502, (1995); Ramachandran P., Zoph B., Le Q.V., Searching for Activation Functions, (2017); Sharma S., Sharma S., Athaiya A., Activation functions in neural networks, Towards Data Sci, 6, 12, pp. 310-316, (2017); Zhang D., Liu Z., Shi X., Transfer learning on efficientnet for remote sensing image classification, 2020 5th International Conference on Mechanical, Control and Computer Engineering (ICMCCE, pp. 2255-2258, (2020); Prechelt L., Early stopping-but when?, Neural Networks: Tricks of the Trade, pp. 55-69, (2002)</t>
  </si>
  <si>
    <t xml:space="preserve">3rd IEEE International Conference on Applied Electromagnetics, Signal Processing, and Communication, AESPC 2023</t>
  </si>
  <si>
    <t xml:space="preserve">979-835035874-2</t>
  </si>
  <si>
    <t xml:space="preserve">IEEE Int. Conf. Appl. Electromagn., Signal Process., Commun., AESPC</t>
  </si>
  <si>
    <t xml:space="preserve">2-s2.0-85184848779</t>
  </si>
  <si>
    <t xml:space="preserve">Jomtarak R.; Kittichai V.; Kaewthamasorn M.; Thanee S.; Arnuphapprasert A.; Naing K.M.; Tongloy T.; Boonsang S.; Chuwongin S.</t>
  </si>
  <si>
    <t xml:space="preserve">Jomtarak, Rangsan (36473218200); Kittichai, Veerayuth (35503529300); Kaewthamasorn, Morakot (14033023800); Thanee, Suchansa (57218513621); Arnuphapprasert, Apinya (57218515740); Naing, Kaung Myat (57224307999); Tongloy, Teerawat (57193333016); Boonsang, Siridech (15064031100); Chuwongin, Santhad (57212696483)</t>
  </si>
  <si>
    <t xml:space="preserve">36473218200; 35503529300; 14033023800; 57218513621; 57218515740; 57224307999; 57193333016; 15064031100; 57212696483</t>
  </si>
  <si>
    <t xml:space="preserve">Mobile Bot Application for Identification of Trypanosoma evansi Infection through Thin-Blood Film Examination Based on Deep Learning Approach</t>
  </si>
  <si>
    <t xml:space="preserve">Trypanosomiasis caused Trypanosoma evansi is current public health concern especially, in south Asia and Southeast Asia. Although polymerase chain reaction is currently used as a standard method, the techniques required skilled personnel, were performed in multiple steps, and required expensive instruments. Fundamental microscopic approach also has limitation in use by facing both inter- and intra-variability of interpretation by examiners. New automatic tool with the microscopic examination is needed. The study aimed to develop the mobile application-based YOLO neural network algorithms to predict T. evansi blood stages from thin-blood film examination. YOLO v4 tiny model is outperformed to localize and classify unseen images with the best performance at 95% of sensitivity, specificity, precision, accuracy and F1 score, respectively, with less misclassification rate than 5%. Simulation implementation platform, calling CiRA bot, give the empirical result and reliably comparable to that from the computational experiment studied with the area under ROC and precision-recall curves as 0.964 and 0.962, respectively. The result obtained from the CIRA bot platform is good enough for further distribution in field site. In the future, the study could contribute human and animal public health staff to simply identify the unicellular parasitic flagellate infection and also benefit them for designing the strategy in prevention and treatment of the disease.  © 2023 IEEE.</t>
  </si>
  <si>
    <t xml:space="preserve">International Conference on Cybernetics and Innovations, ICCI 2023</t>
  </si>
  <si>
    <t xml:space="preserve">10.1109/ICCI57424.2023.10112327</t>
  </si>
  <si>
    <t xml:space="preserve">https://www.scopus.com/inward/record.uri?eid=2-s2.0-85159860271&amp;doi=10.1109%2fICCI57424.2023.10112327&amp;partnerID=40&amp;md5=c05d53f1787eaaca52c264620e74438d</t>
  </si>
  <si>
    <t xml:space="preserve">Suan Dusit University, Faculty of Science and Technology, Bangkok, Thailand; King Mongkut's Institute of Technology Ladkrabang, Faculty of Medicine, Bangkok, Thailand; Chulalongkorn University, Faculty of Veterinary Science, Bangkok, Thailand; College of Advanced Manufacturing Innovation, King Mongkut's Institute of Technology Ladkrabang, Bangkok, Thailand; King Mongkut's Institute of Technology Ladkrabang, Faculty of Engineering, Department of Electrical Engineering, Bangkok, Thailand</t>
  </si>
  <si>
    <t xml:space="preserve">Jomtarak R., Suan Dusit University, Faculty of Science and Technology, Bangkok, Thailand; Kittichai V., King Mongkut's Institute of Technology Ladkrabang, Faculty of Medicine, Bangkok, Thailand; Kaewthamasorn M., Chulalongkorn University, Faculty of Veterinary Science, Bangkok, Thailand; Thanee S., Chulalongkorn University, Faculty of Veterinary Science, Bangkok, Thailand; Arnuphapprasert A., Chulalongkorn University, Faculty of Veterinary Science, Bangkok, Thailand; Naing K.M., College of Advanced Manufacturing Innovation, King Mongkut's Institute of Technology Ladkrabang, Bangkok, Thailand; Tongloy T., College of Advanced Manufacturing Innovation, King Mongkut's Institute of Technology Ladkrabang, Bangkok, Thailand; Boonsang S., King Mongkut's Institute of Technology Ladkrabang, Faculty of Engineering, Department of Electrical Engineering, Bangkok, Thailand; Chuwongin S., College of Advanced Manufacturing Innovation, King Mongkut's Institute of Technology Ladkrabang, Bangkok, Thailand</t>
  </si>
  <si>
    <t xml:space="preserve">a microscopic examination; Mobile application; model performance; Trypanosoma evansi; YOLO algorithms</t>
  </si>
  <si>
    <t xml:space="preserve">Blood; Deep learning; Public health; 'current; A microscopic examination; Health concerns; Learning approach; Mobile applications; Modeling performance; South Asia; Trypanosoma; Trypanosomum evansi; YOLO algorithm; Polymerase chain reaction</t>
  </si>
  <si>
    <t xml:space="preserve">College of Advanced Manufacturing Innovation; Office of the Permanent Secretary; Thailand Science Research and Innovation Fund Chulalongkorn University, (188_31_07); National Research Council of Thailand, NRCT, (NRCT5-RSA63001-10); King Mongkut's Institute of Technology Ladkrabang, KMITL; Ministry of Higher Education, Science, Research and Innovation, Thailand, MHESRI, (RGNS 65 – 212); Faculty of Veterinary Science, Chulalongkorn University, CU-VET</t>
  </si>
  <si>
    <t xml:space="preserve">Funding text 1: This Research is funded by the National Research Council of Thailand (NRCT) [NRCT5-RSA63001-10] , Office of the Permanent Secretary, Ministry of Higher Education, Science, Research and Innovation [RGNS 65 – 212] ,and Thailand Science Research and Innovation Fund Chulalongkorn University (CU_FRB65_food (24) 188_31_07) to Morakot Kaewthamasorn. We are grateful to Suchansa Thanee at the Parasitology Unit, Faculty of Veterinary Science, Chulalongkorn University, for assisting in the parasite identification. We also thank the College of Advanced Manufacturing Innovation, King Mongkut’s Institute of Technology Ladkrabang which provided the deep learning platform and software to support the research project.; Funding text 2: This Research is funded by the National Research Council of Thailand (NRCT) [NRCT5-RSA63001-10] , Office of the Permanent Secretary, Ministry of Higher Education, Science, Research and Innovation [RGNS 65 212] ,and Thailand Science Research and Innovation Fund Chulalongkorn University (CU_FRB65_food (24) 188_31_07) to Morakot Kaewthamasorn. We are grateful to Suchansa Thanee at the Parasitology Unit, Faculty of Veterinary Science, Chulalongkorn University, for assisting in the parasite identification. We also thank the College of Advanced Manufacturing Innovation, King Mongkut s Institute of Technology Ladkrabang which provided the deep learning platform and software to support the research project.</t>
  </si>
  <si>
    <t xml:space="preserve">Van Vinh Chau N., Buu Chau L., Desquesnes M., Herder S., Phu Huong Lan N., Campbell J.I., Et al., A Clinical and Epidemiological Investigation of the First Reported Human Infection With the Zoonotic Parasite Trypanosoma evansi in Southeast Asia, Clin Infect Dis., 62, 8, pp. 1002-1008, (2016); Black S.J., Seed J.R., Murphy N.B., Innate and acquired resistance to African trypanosomiasis, J Parasitol [Internet], pp. 1-9, (2001); Barrett M.P., Burchmore R.J., Stich A., Lazzari J.O., Frasch A.C., Cazzulo J.J., Et al., The trypanosomiases, Lancet., 362, 9394, pp. 1469-1480, (2003); Joshi P.P., Shegokar V.R., Powar R.M., Herder S., Katti R., Salkar H.R., Et al., Human trypanosomiasis caused by Trypanosoma evansi in India: The first case report, Am J Trop Med Hyg., 73, 3, pp. 491-495, (2005); World Health O., A new form of human trypanosomiasis in India. Description of the first human case in the world caused by Trypanosoma evansi, Wkly Epidemiol Rec., 80, 7, pp. 62-63, (2005); Da Silva A.S., Duck M.R., Fanfa Vda R., Ma O., Nunes J.T., Tonin A.A., Et al., Trypanocidal activity of human plasma on Trypanosoma evansi in mice, Rev Bras Parasitol Vet., 21, 1, pp. 55-59, (2012); Liu M., Wang X., Zhou A., Fu X., Ma Y., Piao C., UAV-YOLO: Small Object Detection on Unmanned Aerial Vehicle Perspective, Sensors (Basel), 20, 8, (2020); Liu G., Nouaze J.C., Touko Mbouembe P.L., Kim J.H., YOLO-Tomato: A Robust Algorithm for Tomato Detection Based on YOLOv3, Sensors (Basel), 20, 7, (2020); Joseph Redmon A.F., YOLOv3: An Incremental Improvement, (2018); Joseph Redmon S.D., Girshick R., Farhadi A., You Only Look Once: Unified, Real-Time Object Detection, (2016); Joseph Redmon A.F., YOLO9000: Better, Faster, Stronger, (2016); Wang Z., Walsh K., Koirala A., Mango Fruit Load Estimation Using a Video Based MangoYOLO-Kalman Filter-Hungarian Algorithm Method, Sensors (Basel)., 19, 12, (2019); Liu J., Wang X., Early recognition of tomato gray leaf spot disease based on MobileNetv2-YOLOv3 model, Plant Methods., 16, (2020); Jaiswal A., Gianchandani N., Singh D., Kumar V., Kaur M., Classification of the COVID-19 infected patients using DenseNet201 based deep transfer learning, J Biomol Struct Dyn., pp. 1-8, (2020); Singh D., Kumar V., Vaishali K.M., Classification of COVID-19 patients from chest CT images using multi-objective differential evolution-based convolutional neural networks, Eur J Clin Microbiol Infect Dis., 39, 7, pp. 1379-1389, (2020); Rahman Mehc T., Khandakar A., Islam K.R., Islam K.F., Mahbub Z.B., Kadir M.A., Kashem S., Transfer Learning with Deep Convolutional Neural Network (CNN) for Pneumonia Detection using Chest X-ray, Applied Sciences., 20, (2020); Ozturk T., Talo M., Yildirim E.A., Baloglu U.B., Yildirim O., Rajendra Acharya U., Automated detection of COVID-19 cases using deep neural networks with X-ray images, Comput Biol Med., 121, (2020); Silva P., Luz E., Silva G., Moreira G., Silva R., Lucio D., Et al., COVID-19 detection in CT images with deep learning: A voting-based scheme and cross-datasets analysis, Inform Med Unlocked., 20, (2020); Wang Q., Bi S., Sun M., Wang Y., Wang D., Yang S., Deep learning approach to peripheral leukocyte recognition, PLoS One., 14, 6, (2019); Fuhad K.M.F., Tuba J.F., Sarker M.R.A., Momen S., Mohammed N., Rahman T., Deep Learning Based Automatic Malaria Parasite Detection from Blood Smear and its Smartphone Based Application, Diagnostics (Basel), 10, 5, (2020); Kaewkamnerd S., Uthaipibull C., Intarapanich A., Pannarut M., Chaotheing S., Tongsima S., An automatic device for detection and classification of malaria parasite species in thick blood film, BMC Bioinformatics., 13, (2012); Arista-Jalife A., Nakano M., Garcia-Nonoal Z., Robles-Camarillo D., Perez-Meana H., Arista-Viveros H.A., Aedes mosquito detection in its larval stage using deep neural networks, Knowledge-Based Systems., 189, (2020); Sanchez-Ortiz Af-R A., Arista-Jalife A., Cedillo-Hernandez M., Robles-Camarillo D., Cuatepotzo-Jimenez V., Mosquito Larva Classification Method Based on CNN, IEEE Xplore., (2017); Bochkovskiy C-Yw A., Mark Liao H., YOLOv4: Optimal Speed and Accuracy of Object Detection, (2020); Zhong Y., Gao J., Lei Q., Zhou Y., A Vision-Based Counting and Recognition System for Flying Insects in Intelligent Agriculture, Sensors (Basel), 18, 5, (2018); Joseph Redmon A.F., YOLOv3: An Incremental Improvement, (2018); Joseph Redmon A.F., YOLO9000: Better, Faster, Stronger, (2016); Esperanca P.M., Blagborough A.M., Da D.F., Dowell F.E., Churcher T.S., Detection of Plasmodium berghei infected Anopheles stephensi using near-infrared spectroscopy, Parasit Vectors., 11, 1, (2018); Jane Hung A.C., Applying Faster R-CNN for Object Detection on Malaria Images, pp. 56-61, (2019); Soner Can Kalkan O.K.S., Deep Learning Based Classification of Malaria from Slide Images, (2019); Vijayalakshmi A., Rajesh Kanna B., Deep learning approach to detect malaria from microscopic images, Multimedia Tools and Applications., 79, 21-22, pp. 15297-15317, (2019); Zhaohui Liang A.P., Ersoy I., Poostchi M., Silamut K., Palaniappan K., Guo P., Amir Hossain M., Sameer A., James Maude R., Xiangji Huang J., Jaeger S., Thoma G., CNN-Based Image Analysis for Malaria Diagnosis, IEEE International Conference on Bioinformatics and Biomedicine (BIBM), (2016); Yuhang Dong Z.J., Shen H., David Pan W., Williams L.A., Reddy B.V.V., Benjamin W.H., Bryan A.W., Evaluations of Deep Convolutional Neural Networks for AutomaticIdentification of Malaria Infected Cells, (2017); Park J., Kim D.I., Choi B., Kang W., Kwon H.W., Classification and Morphological Analysis of Vector Mosquitoes using Deep Convolutional Neural Networks, Sci Rep., 10, 1, (2020); Christian Matek S.S., Spiekermann K., Marr C., Humanlevel recognition of blast cells in acute myeloid leukaemia with convolutional neural networks, Nature Machine Intelligence volume., 1, pp. 538-544, (2019)</t>
  </si>
  <si>
    <t xml:space="preserve">S. Chuwongin; College of Advanced Manufacturing Innovation, King Mongkut's Institute of Technology Ladkrabang, Bangkok, Thailand; email: santhad.ch@kmitl.ac.th</t>
  </si>
  <si>
    <t xml:space="preserve">2nd International Conference on Cybernetics and Innovations, ICCI 2023</t>
  </si>
  <si>
    <t xml:space="preserve">29 March 2023 through 31 March 2023</t>
  </si>
  <si>
    <t xml:space="preserve">979-835033657-3</t>
  </si>
  <si>
    <t xml:space="preserve">Int. Conf. Cybern. Innov., ICCI</t>
  </si>
  <si>
    <t xml:space="preserve">2-s2.0-85159860271</t>
  </si>
  <si>
    <t xml:space="preserve">Mathews J.; Joseph J.; Reji R.; Kamthe A.; Deshmukh R.</t>
  </si>
  <si>
    <t xml:space="preserve">Mathews, Jairus (58939708400); Joseph, John (59031256600); Reji, Ronald (58940246400); Kamthe, Abhijeet (58939926700); Deshmukh, Rupali (57119195900)</t>
  </si>
  <si>
    <t xml:space="preserve">58939708400; 59031256600; 58940246400; 58939926700; 57119195900</t>
  </si>
  <si>
    <t xml:space="preserve">Multi-Disease Prediction System Using Machine Learning</t>
  </si>
  <si>
    <t xml:space="preserve">The proposed Multi-Disease Prediction System will be a web application for predicting common diseases like diabetes, cancer, and chronic conditions using machine learning. The goal will be to provide easy access to risk analysis and disease awareness through an interactive platform. The system will employ statistical models and deep neural networks trained on medical datasets to predict multiple diseases. Users can input their health data like symptoms and lab tests to get real-time predictions. Disease-specific models are developed using appropriate algorithms and saved via pickling. The malaria and pneumonia models leverage deep learning on imaging data. By making reliable disease prediction accessible the system enables users to get early insights into potential risks. It also provides information on disease causes and prevention to promote proactive health management. The aim is to develop an accurate and convenient application for data-driven disease screening without needing in person clinic visits. This could make personalized health analysis more accessible to the broader population. The models are continuously improved using the latest advancements in AI and ML predictive techniques. © 2023 IEEE.</t>
  </si>
  <si>
    <t xml:space="preserve">2023 6th IEEE International Conference on Advances in Science and Technology, ICAST 2023</t>
  </si>
  <si>
    <t xml:space="preserve">10.1109/ICAST59062.2023.10455036</t>
  </si>
  <si>
    <t xml:space="preserve">https://www.scopus.com/inward/record.uri?eid=2-s2.0-85187799804&amp;doi=10.1109%2fICAST59062.2023.10455036&amp;partnerID=40&amp;md5=f70bec78d57a87a44b0ae69280972d3d</t>
  </si>
  <si>
    <t xml:space="preserve">Fr. C. Rodrigues Institute of Technology, Dept. of Information Technology, Navi Mumbai, India</t>
  </si>
  <si>
    <t xml:space="preserve">Mathews J., Fr. C. Rodrigues Institute of Technology, Dept. of Information Technology, Navi Mumbai, India; Joseph J., Fr. C. Rodrigues Institute of Technology, Dept. of Information Technology, Navi Mumbai, India; Reji R., Fr. C. Rodrigues Institute of Technology, Dept. of Information Technology, Navi Mumbai, India; Kamthe A., Fr. C. Rodrigues Institute of Technology, Dept. of Information Technology, Navi Mumbai, India; Deshmukh R., Fr. C. Rodrigues Institute of Technology, Dept. of Information Technology, Navi Mumbai, India</t>
  </si>
  <si>
    <t xml:space="preserve">CNN; disease prediction; Keras; machine learning; Random forest; Tensorflow</t>
  </si>
  <si>
    <t xml:space="preserve">Deep neural networks; Diagnosis; Diseases; Learning systems; Risk analysis; Risk assessment; Chronic conditions; Common disease; Disease prediction; Keras; Machine-learning; Prediction systems; Random forests; Tensorflow; WEB application; Web applications; Forecasting</t>
  </si>
  <si>
    <t xml:space="preserve">Singh A., Yadav A., Shah S., Nagpure R., Multiple disease prediction system, International Research Journal of Engineering and Technology (IRJET), 9, 3, pp. 1697-1701, (2022); Visumathi J., Durga Venkata Rama Reddy T., Abhinandhan V., Anil Kumar P., Multi-Disease Prediction Using Machine Learning Algorithm, International Journal for Research in Applied Science &amp; Engineering Technology, 11, 4, pp. 447-453, (2023); Mohit I., Kumar K., Reddy U., Kumar B., An Approach to detect multiple diseases using a machine learning algorithm, Journal of Physics: Conference Series, 2089, (2021); Mandem D., Prajna B., Multi-disease prediction system, International Journal for Innovative Research in Technology, 8, 6, pp. 504-509, (2021); Himi S.T., Monalisa N.T., Whaiduzzaman M., Barros A., Uddin M.S., MedAi: A Smartwatch-Based Application Framework for the Prediction of Common Diseases Using Machine Learning, IEEE Access, 11, pp. 12342-12359, (2023); Kumar A., Singh K.U., Kumar M., A Clinical Data Analysis Based Diagnostic Systems for Heart Disease Prediction Using Ensemble Method, Big Data Mining and Analytics, 6, 4, pp. 513-525, (2023); Yang J., Ju X., Liu F., Asan O., Church T.S., Smith J.O., Prediction for the Risk of Multiple Chronic Conditions Among Working Population in the United States with Machine Learning Models, IEEE Open Journal of Engineering in Medicine and Biology, 2, pp. 291-298, (2021); Nayak S.K., Garanayak M., Swain S.K., Panda S.K., Godavarthi D., An Intelligent Disease Prediction and Drug Recommendation Prototype by Using Multiple Approaches of Machine Learning Algorithms, IEEE Access, 11, pp. 99304-99318, (2023); Bravo F.P., Et al., SMURF: Systematic Methodology for Unveiling Relevant Factors in Retrospective Data on Chronic Disease Treatments, IEEE Access, 7, pp. 92598-92614, (2019); El-Sappagh S., Ali F., Ali A., Hendawi A., Badria F.A., Suh D.Y., Clinical Decision Support System for Liver Fibrosis Prediction in Hepatitis Patients: A Case Comparison of Two Soft Computing Techniques, IEEE Access, 6, pp. 52911-52929, (2018); Wang H., Huang Z., Zhang D., Arief J., Lyu T., Tian J., Integrating Co-Clustering and Interpretable Machine Learning for the Prediction of Intravenous Immunoglobulin Resistance in Kawasaki Disease, IEEE Access, 8, pp. 97064-97071, (2020); Kononenko I., Machine learning for medical diagnosis: history, state of the art and perspective, Artif Intell Med., 23, 1, pp. 89-109, (2001)</t>
  </si>
  <si>
    <t xml:space="preserve">6th IEEE International Conference on Advances in Science and Technology, ICAST 2023</t>
  </si>
  <si>
    <t xml:space="preserve">8 December 2023 through 9 December 2023</t>
  </si>
  <si>
    <t xml:space="preserve">Mumbai</t>
  </si>
  <si>
    <t xml:space="preserve">979-835035981-7</t>
  </si>
  <si>
    <t xml:space="preserve">IEEE Int. Conf. Adv. Sci. Technol., ICAST</t>
  </si>
  <si>
    <t xml:space="preserve">2-s2.0-85187799804</t>
  </si>
  <si>
    <t xml:space="preserve">Chowdary M.K.; Kumar K.A.; Ganesh C.; Turaka R.; Rao B.D.; Naik S.L.</t>
  </si>
  <si>
    <t xml:space="preserve">Chowdary, M. Kalpana (57223138837); Kumar, K.Anil (58587999700); Ganesh, C. (58724734400); Turaka, Rajsekhar (57209249839); Rao, B.Devananda (58308352200); Naik, Sk.Lokesh (57209417143)</t>
  </si>
  <si>
    <t xml:space="preserve">57223138837; 58587999700; 58724734400; 57209249839; 58308352200; 57209417143</t>
  </si>
  <si>
    <t xml:space="preserve">Multiple Disease Prediction by Applying Machine Learning and Deep Learning Algorithms</t>
  </si>
  <si>
    <t xml:space="preserve">A large number of machine-learning projects for healthcare inspection concentrate on just one disease at one time. One analysis is performed for each of the following conditions: diabetes, cancer, skin disease, and heart disease. A single analysis cannot forecast more than one disease using a same system. Numerous machine learning approaches can perform predictive analytics on colossal data sets. Although using predictive modeling in healthcare is challenging, it will eventually help practitioners make quick choices about the health and treatment of patients based on vast amounts of data. In this post, a system that uses the Flask API to forecast numerous diseases is proposed. Tensor flow, Flask API, and machine learning techniques were used to implement multiple illness analyses. The model behavior is saved using Python pickling, and the pickle file is loaded when needed using Python unpickling. The goal in this effort is to create a web application that can forecast numerous diseases, such as breast cancer, diabetes, heart disease, malaria, and pneumonia, using the principles of machine learning and deep learning. The finished model's behavior will be captured in a Python pickle file. The Flask API is created. The parameters of the disease must be sent together with the disease name when using this API. The relevant model will be called by the Flask API, which then returns the patient's state. In order to track patient condition and provide early warnings to patients in order to reduce death rates, it is important to identify the most common diseases. © 2023 IEEE.</t>
  </si>
  <si>
    <t xml:space="preserve">Proceedings of the 7th International Conference on Intelligent Computing and Control Systems, ICICCS 2023</t>
  </si>
  <si>
    <t xml:space="preserve">10.1109/ICICCS56967.2023.10142766</t>
  </si>
  <si>
    <t xml:space="preserve">https://www.scopus.com/inward/record.uri?eid=2-s2.0-85163805656&amp;doi=10.1109%2fICICCS56967.2023.10142766&amp;partnerID=40&amp;md5=a8b3e7c0a68a492ea6a5036b4e997e16</t>
  </si>
  <si>
    <t xml:space="preserve">MLR Institute of Technology, Department of CSE, Hyderabad, India; Malla Reddy Engineering College, Department of ECE, Hyderabad, India; Sri Eshwar College of Engineering, Department of CCE, Coimbatore, India; Nalla Narsimha Reddy Education Soviety's Group of Institutions, Department of ECE, Hyderabad, India</t>
  </si>
  <si>
    <t xml:space="preserve">Chowdary M.K., MLR Institute of Technology, Department of CSE, Hyderabad, India; Kumar K.A., Malla Reddy Engineering College, Department of ECE, Hyderabad, India; Ganesh C., Sri Eshwar College of Engineering, Department of CCE, Coimbatore, India; Turaka R., Nalla Narsimha Reddy Education Soviety's Group of Institutions, Department of ECE, Hyderabad, India; Rao B.D., MLR Institute of Technology, Department of CSE, Hyderabad, India; Naik S.L., MLR Institute of Technology, Department of CSE, Hyderabad, India</t>
  </si>
  <si>
    <t xml:space="preserve">Flask API (Application Programming Interface); Machine Learning algorithms; Python pickling</t>
  </si>
  <si>
    <t xml:space="preserve">Application programming interfaces (API); Bottles; Cardiology; Deep learning; Diseases; High level languages; Learning algorithms; Learning systems; Predictive analytics; Applications programming interfaces; Condition; Flask  application programming interface; Heart disease; Learning projects; Machine learning algorithms; Machine-learning; Modeling behaviour; One-time; Python pickling; Python</t>
  </si>
  <si>
    <t xml:space="preserve">Yaganteeswarudu A., Multi Disease Prediction Model by using Machine Learning and Flask API, 2020 5th International Conference on Communication and Electronics Systems (ICCES), pp. 1242-1246, (2020); Saravanan B., Duraipandian M., Pandiaraj V., An Effective Possibilistic Fuzzy Clustering Method for Tumor Segmentation in MRI brain Images, 2022 Sixth International Conference on I-SMAC (IoT in Social, Mobile, Analytics and Cloud)(I-SMAC), pp. 823-827, (2022); Mohit I., Kumar K.S., Reddy U.A.K., Kumar B.S., An Approach to detect multiple diseases using machine learning algorithm, Journal of Physics: Conference Series 2089 1st International Conference on Applied Mathematics, Modeling and Simulation in Engineering (AMSE), (2021); Sonar P., JayaMalini K., Diabetes Prediction Using Different Machine Learning Approaches, 2019 3rd International Conference on Computing Methodologies and Communication (ICCMC), pp. 367-371, (2019); Singh A., Kumar R., Heart Disease Prediction Using Machine Learning Algorithms, 2020 International Conference on Electrical and Electronics Engineering (ICE3), pp. 452-457, (2020); Khourdifi Y., Bahaj M., Applying Best Machine Learning Algorithms for Breast Cancer Prediction and Classification, 2018 International Conference on Electronics, Control, Optimization and Computer Science (ICECOCS), pp. 1-5, (2018); Vijayan V.V., Anjali C., Prediction and diagnosis of diabetes mellitus-A machine learning approach, 2015 IEEE Recent Advances in Intelligent Computational Systems (RAICS), pp. 122-127, (2015); Pal R., Poray J., Sen M., Application of machine learning algorithms on diabetic retinopathy, 2017 2nd IEEE International Conference on Recent Trends in Electronics, Information &amp; Communication Technology (RTEICT), pp. 2046-2051, (2017); Chen M., Hao Y., Hwang K., Wang L., Wang L., Disease Prediction by Machine Learning over Big Data From Healthcare Communities, IEEE Access, 5, pp. 8869-8879, (2017); Ahmed L.J., Fathima B.A., Mahaboob M., Gokulavasan B., Biomedical Image Processing with Improved SPIHT Algorithm and optimized Curvelet Transform Technique, 2021 7th International Conference on Advanced Computing and Communication Systems (ICACCS), 1, pp. 1596-1602, (2021); Bharti R., Khamparia A., Shabaz M., Dhiman G., Pande S., Singh P., Prediction of Heart Disease Using a Combination of Machine Learning and Deep Learning, Computational Intelligence and Neuroscience, 2021, (2021); Zheng Y., Yang C.K., Breast cancer screening using convolutional neural network and follow-up digital mammography, Proceedings Volume 10669, Computational Imaging III, (2018); Himi S.T., Monalisa N.T., Whaiduzzaman M., Barros A., Uddin M.S., MedAi: A Smartwatch-Based Application Framework for the Prediction of Common Diseases Using Machine Learning, IEEE Access, 11, pp. 12342-12359, (2023); Iradukunda O., Che H., Uwineza J., Bayingana J.Y., Bin-Imam M.S., Niyonzima I., Malaria Disease Prediction Based on Machine Learning, 2019 IEEE International Conference on Signal, Information and Data Processing (ICSIDP), pp. 1-7, (2019); Singh U., Totla A., Kumar D.P., Deep Learning Model to Predict Pneumonia Disease based on Observed Patterns in Lung X-rays, 2020 4th International Conference on Electronics, Communication and Aerospace Technology (ICECA), pp. 1315-1320, (2020)</t>
  </si>
  <si>
    <t xml:space="preserve">M.K. Chowdary; MLR Institute of Technology, Department of CSE, Hyderabad, India; email: dr.kalpana@mlrinstitutions.ac.in</t>
  </si>
  <si>
    <t xml:space="preserve">7th International Conference on Intelligent Computing and Control Systems, ICICCS 2023</t>
  </si>
  <si>
    <t xml:space="preserve">17 May 2023 through 19 May 2023</t>
  </si>
  <si>
    <t xml:space="preserve">Madurai</t>
  </si>
  <si>
    <t xml:space="preserve">979-835039725-3</t>
  </si>
  <si>
    <t xml:space="preserve">Proc. Int. Conf. Intell. Comput. Control Syst., ICICCS</t>
  </si>
  <si>
    <t xml:space="preserve">2-s2.0-85163805656</t>
  </si>
  <si>
    <t xml:space="preserve">Rodriguez M.F.; Cornejo D.R.; Diaz L.A.; Ravelo-Garcia A.; Alvarez E.; Cabrera-Caso V.; Condori-Merma D.; Cornejo M.V.</t>
  </si>
  <si>
    <t xml:space="preserve">Rodriguez, Maria Fernanda (58189068000); Cornejo, Diego Rodrigo (57222005271); Diaz, Luz Alexandra (58147880900); Ravelo-Garcia, Antonio (9634135600); Alvarez, Esteban (7203082633); Cabrera-Caso, Victor (58189751900); Condori-Merma, Dante (57207622703); Cornejo, Miguel Vizcardo (6503955900)</t>
  </si>
  <si>
    <t xml:space="preserve">58189068000; 57222005271; 58147880900; 9634135600; 7203082633; 58189751900; 57207622703; 6503955900</t>
  </si>
  <si>
    <t xml:space="preserve">Optimal Artificial Neural Network for the Diagnosis of Chagas Disease Using Approximate Entropy and Data Augmentation</t>
  </si>
  <si>
    <t xml:space="preserve">The use of machine learning for disease diagnosis is gaining popularity due to its ability to process data and provide accurate results, but optimazing it remains a challenge. Chagas disease is endemic in Latin America and has emerged as a health problem in more urban areas. Early and accurate diagnosis is essential to prevent cardiac complications, since an estimated 65 million people are at risk of contracting this disease. This study used a database of 292 subjects distributed into three groups: healthy volunteers (Control group), asymptomatic Chagasic patients (CHI group) and seropositive Chagasic patients with incipient heart disease (CH2 group). A densely connected neural network was used to classify them into their respective groups. The network received as input the Approximate Entropy values of each individual, which were calculated from the 24-hour circadian profiles every 5 minutes (288 RR subsegments). Time series data augmentation algorithms were applied during the training phase to improve the classification results. This approach allowed to achieve 100% accuracy and precision, validated by the ROC curve with AUC values of 1, proving to be a robust approach for early diagnosis and prevention of heart complications in Chagas disease. © 2023 CinC.</t>
  </si>
  <si>
    <t xml:space="preserve">10.22489/CinC.2023.143</t>
  </si>
  <si>
    <t xml:space="preserve">https://www.scopus.com/inward/record.uri?eid=2-s2.0-85182331484&amp;doi=10.22489%2fCinC.2023.143&amp;partnerID=40&amp;md5=a6fdf3f8a7c70e36bfc9228cc79b6c42</t>
  </si>
  <si>
    <t xml:space="preserve">Escuela Profesional de Física, Universidad Nacional de San Agustín de Arequipa, Peru; Institute for Technological Development and Innovation in Communications, Universidad de Las Palmas de Gran Canaria, Spain; Escuela de Física, Universidad Central de Venezuela, Venezuela</t>
  </si>
  <si>
    <t xml:space="preserve">Rodriguez M.F., Escuela Profesional de Física, Universidad Nacional de San Agustín de Arequipa, Peru; Cornejo D.R., Escuela Profesional de Física, Universidad Nacional de San Agustín de Arequipa, Peru; Diaz L.A., Escuela Profesional de Física, Universidad Nacional de San Agustín de Arequipa, Peru; Ravelo-Garcia A., Institute for Technological Development and Innovation in Communications, Universidad de Las Palmas de Gran Canaria, Spain; Alvarez E., Escuela de Física, Universidad Central de Venezuela, Venezuela; Cabrera-Caso V., Escuela Profesional de Física, Universidad Nacional de San Agustín de Arequipa, Peru; Condori-Merma D., Escuela Profesional de Física, Universidad Nacional de San Agustín de Arequipa, Peru; Cornejo M.V., Escuela Profesional de Física, Universidad Nacional de San Agustín de Arequipa, Peru</t>
  </si>
  <si>
    <t xml:space="preserve">Disease control; Entropy; Neural networks; Risk perception; Cardiac complications; Chagas disease; Control groups; Data augmentation; Disease diagnosis; Healthy volunteers; Latin America; Machine-learning; Process data; Urban areas; Diagnosis</t>
  </si>
  <si>
    <t xml:space="preserve">HEIC, (8474000132)</t>
  </si>
  <si>
    <t xml:space="preserve">The authors thank the Biomedical Engineering Department and the Healthcare Engineering Innovation Center (HEIC) at Khalifa University of Science and Technology. M.A was funded by the HEIC under award: 8474000132.</t>
  </si>
  <si>
    <t xml:space="preserve">Enfermedad de Chagas e Inmunosupresíon, (2021); First WHO report on neglected tropical diseases: working to overcome the global impact of neglected tropical diseases, (2010); Marin-Neto J., Cunha-Neto E., Maciel B., Simoes M., Pathogenesis of chronic Chagas heart disease, Circulation, 115, 9, pp. 1109-1123, (2007); Di Lorenzo Oliveira C., Nunes M.C., Colosimo E., Ribeiro A.L.P., Risk Score for Predicting 2-Year Mortality in Patients With Chagas Cardiomyopathy From Endemic Areas: SaMi-Trop Cohort Study, Journal of the American Heart Association, 9, 6, (2020); Beckers F., Ramaekers D., Auber E., Approximate Entropy of Heart Rate Variability: Validation of Methods and Application in Heart Failure, Cardiovascular Engineering: An International Journal, 1, pp. 177-182, (2001); Namazi H., Baleanu D., Krejcar O., Age-Based Analysis of Heart Rate Variability (hrv) for Patients with Congestive Heart Failure, Fractals, 29, 3, pp. 2150135-2151073, (2021); Rassi A., Rassi A., Marin-Neto J.A., Chagas heart disease: pathophysiologic mechanisms, prognostic factors and risk stratification, Mem Inst Oswaldo Cruz, 1, pp. 152-158, (2009); Vizcardo M., Ravelo A., Use of Approximation Entropy for Stratification of Risk in Patients With Chagas Disease, 2018 Computing in Cardiology Conference (CinC), 45, pp. 1-4, (2018); Cochero J., Pattori L., Balsalobre A., Ceccarelli S., Marti G., A convolutional neural network to recognize Chagas disease vectors using mobile phone images, Ecological Informatics, 68, (2022); Sanchez-Patino N., Toriz-Vazquez A., Hevia-Montiel N., Perez-Gonzalez J., Convolutional Neural Networks for Chagas Parasite Detection in Histopathological Images, International Conference of the IEEE Engineering in Medicine &amp; Biology Society, pp. 2732-2735, (2021); Pereira A., Mazza L., Pinto, Soares G., Deep convolutional neural network applied to Trypanosoma cruzi detection in blood samples, International Journal of Bio-Inspired Computation, 19, 1, pp. 1-17, (2022); Pan J., Tompkins W.J., A Real-Time QRS Detection Algorithm, IEEE Transactions on Biomedical Engineering, 32, 3, pp. 230-236, (1985); Pincus S.M., Approximate entropy as a measure of system complexity, Proceedings of the National Academy of Sciences, 88, 6, pp. 2297-2301, (1991); Iwana B., Uchida S., Time Series Data Augmentation for Neural Networks by Time Warping with a Discriminative Teacher, International Conference on Pattern Recognition, pp. 3558-3565, (2020); Cornejo D., Ravelo A., Vizcardo M., Deep Learning and Permutation Entropy in the Stratification of Patients with Chagas Disease, 2022 Computing in Cardiology Conference (CinC), 49, pp. 1-4, (2022); Rodriguez M., Ravelo A., Vizcardo M., Approximate Entropy and Densely Connected Neural Network in the Early Diagnostic of Patients with Chagas Disease, 2022 Computing in Cardiology Conference (CinC), 49, pp. 1-4, (2022); Hevia-Montiel N., Perez-Gonzalez J., Neme A., Haro P., Machine Learning-Based Feature Selection and Classification for the Experimental Diagnosis of Trypanosoma cruzi, Electronics, 11, 5, (2022)</t>
  </si>
  <si>
    <t xml:space="preserve">2-s2.0-85182331484</t>
  </si>
  <si>
    <t xml:space="preserve">Sreeja S.P.; Asha V.; Saju B.; Pooja Yadav S.; Prashant P.C.S.; Prasad A.</t>
  </si>
  <si>
    <t xml:space="preserve">Sreeja, S.P. (57664951900); Asha, V. (35519321500); Saju, Binju (57219650201); Pooja Yadav, S. (58546982900); Prashant, Prabhu Chodnekar Sammit (58547718200); Prasad, Arpana (57222391420)</t>
  </si>
  <si>
    <t xml:space="preserve">57664951900; 35519321500; 57219650201; 58546982900; 58547718200; 57222391420</t>
  </si>
  <si>
    <t xml:space="preserve">Parasitical Disease Prediction Model - a Deep Learning Based Approach</t>
  </si>
  <si>
    <t xml:space="preserve">Female anopheles mosquitoes transmit the highly contagious parasitical diseases. Animals as well as humans are harmed by this sickness. In the worst-case scenario, this illness could result in the patient's death if it is not adequately diagnosed in the early stages. It is exceedingly difficultly in confirming 0 the presence of ailment in industry owing towards a deficiency of exceedingly methodological competence. Cutting-edge this situation, data retrieval assistance is required for accurate and quick disease identification. With the aid of IT division buzzword know-hows like Machine Learning, Deep Learning, and Non-natural Acumen, modern IT sectors are working tirelessly to combat this sickness. If appropriately applied, these technologies will continue to be the backbone of healthcare as they have been in recent years. In order to determine if an organism is infected with a parasite or not, this study applies the Convolutional Neural Network (CNN) algorithm to a minuscule carbon copy of the contaminated blood cells. 15 out of 16 random photos can be accurately predicted by our suggested model, which achieved an accuracy of 95.23 percent.  © 2023 IEEE.</t>
  </si>
  <si>
    <t xml:space="preserve">ACCESS 2023 - 2023 3rd International Conference on Advances in Computing, Communication, Embedded and Secure Systems</t>
  </si>
  <si>
    <t xml:space="preserve">10.1109/ACCESS57397.2023.10200876</t>
  </si>
  <si>
    <t xml:space="preserve">https://www.scopus.com/inward/record.uri?eid=2-s2.0-85168686434&amp;doi=10.1109%2fACCESS57397.2023.10200876&amp;partnerID=40&amp;md5=3f9c9991ed4e6ced01de2aee6a297dba</t>
  </si>
  <si>
    <t xml:space="preserve">New Horizon College of Engineering, Master of Computer Applications, Bengaluru, India</t>
  </si>
  <si>
    <t xml:space="preserve">Sreeja S.P., New Horizon College of Engineering, Master of Computer Applications, Bengaluru, India; Asha V., New Horizon College of Engineering, Master of Computer Applications, Bengaluru, India; Saju B., New Horizon College of Engineering, Master of Computer Applications, Bengaluru, India; Pooja Yadav S., New Horizon College of Engineering, Master of Computer Applications, Bengaluru, India; Prashant P.C.S., New Horizon College of Engineering, Master of Computer Applications, Bengaluru, India; Prasad A., New Horizon College of Engineering, Master of Computer Applications, Bengaluru, India</t>
  </si>
  <si>
    <t xml:space="preserve">Algorithm; CNN; Deep Learning; Malaria diagnosis; Parasite</t>
  </si>
  <si>
    <t xml:space="preserve">Blood; Convolutional neural networks; Deep learning; Diagnosis; Learning systems; Anopheles mosquitoes; Convolutional neural network; Cutting edges; Data retrieval; Deep learning; Learning-based approach; Malaria diagnosis; Parasite-; Prediction modelling; Worst case scenario; Diseases</t>
  </si>
  <si>
    <t xml:space="preserve">Ching T., Himmelstein D.S., Beaulieu-Jones B.K., Kalinin A.A., Do B.T., Way G.P., Ferrero E., Agapow P.-M., Zietz M., Hoffman M.M., Et al., Opportunities and obstacles for deep learning in biology and medicine, J. R. Soc. Interface, 15, (2018); Rajaraman S., Antani S.K., Poostchi M., Silamut K., Hossain A., Maude R.J., Jaeger S., Thoma G.R., Pre-trained convolutional neural networks as feature extractors toward improved malaria parasite detection in thin blood smear carbon copies, PeerJ, 6, (2018); Faust O., Hagiwara Y., Hong T.J., Lih O.S., Acharya U.R., Deep learning for healthcare applications based on physiological signals: A review, Comput. Methods Programs Biomed., 161, pp. 1-13, (2018); Lee S., Lee Y.H., Improving emergency department efficiency by reinforcement learning, Healthcare, 8, (2020); Da Silva F.L., Costa A.R., A Survey on Transfer Learning for Multiagent Reinforcement Learning Systems, J. Artif. Intell. Res., 64, pp. 645-703, (2019); Chi J., Walia E., Babyn P., Wang J., Groot G., Eramian M., Thyroid Nodule Classification in Ultrasound Carbon copies by Fine-Tuning Deep Convolutional Neural Network, J. Digit. Imaging, 30, pp. 477-486, (2017); Erickson B.J., Korfiatis P., Kline T.L., Akkus Z., Philbrick K., Weston A.D., Deep Learning in Radiology: Does One Size Fit All?, J. Am. Coll. Radiol., 15, pp. 521-526, (2018); DeLancey E.R., Simms J.F., Mahdianpari M., Brisco B., Mahoney C., Kariyeva J., Comparing Deep Learning and Shallow Learning for Large-Scale Wetland Classification in Alberta, Canada, Remote. Sens., 12, (2019); Singh N., Ahuja N.J., Kumar A., A novel architecture for learner-centric curriculum sequencing in adaptive intelligent tutoring system, Journal of Cases on Information Technology, 20, 3, pp. 1-20, (2018); Baraga V.K., Chrape K.C., Comparison of Texture Features Used for Classification of Life Stages of Malaria Parasite, International Journal of Biomedical Imaging, pp. 1-9, (2016); Ahiwar N., Pattnaik S., Acharya B., Advanced Carbon copy Analysis based System for Automatic Detection and Classification of Malarial Parasite in Blood Carbon copies, International Journal of Information Technology and Knowledge Management, 5, pp. 59-64, (2012); Tek F.B., Dempster A.G., Kale I., Computer vision for microscopy diagnosis of malaria, 8, 1, pp. 153-157, (2009); Das D.K., Ghosh M., Pal M., Maiti A.K., Chakraborty, C.: Machine learning approach for automated screening of malaria parasite using light microscopic carbon copies, Micron, 45, pp. 97-106, (2013); Pan W.D., Dong Y., Wu D., Classification of Malaria-Infected Cells using Deep Convolutional Neural Networks, Machine Learning-Advanced Techniques and Emerging Applications, pp. 36-55, (2018); Dong Y., Jiang Z., Shen H., Pan W.D., Wiliams L.A., Reddy V.V.B., Benjamin W.H., Evaluations of deep convolutional neural networks for automatic identification of malaria infected cells, 2017 IEEE EMBS International Conference on Biomedical &amp; Health Informatics (BHI), pp. 101-104, (2017); Princeton University Stanford Vision Lab</t>
  </si>
  <si>
    <t xml:space="preserve">S.P. Sreeja; New Horizon College of Engineering, Master of Computer Applications, Bengaluru, India; email: sreeja.anil71@gmail.com</t>
  </si>
  <si>
    <t xml:space="preserve">3rd International Conference on Advances in Computing, Communication, Embedded and Secure Systems, ACCESS 2023</t>
  </si>
  <si>
    <t xml:space="preserve">18 May 2023 through 20 May 2023</t>
  </si>
  <si>
    <t xml:space="preserve">Ernakulam</t>
  </si>
  <si>
    <t xml:space="preserve">979-835034616-9</t>
  </si>
  <si>
    <t xml:space="preserve">ACCESS - Int. Conf. Adv. Comput., Commun., Embed. Secur. Syst.</t>
  </si>
  <si>
    <t xml:space="preserve">2-s2.0-85168686434</t>
  </si>
  <si>
    <t xml:space="preserve">Sinha S.; Sinha S.</t>
  </si>
  <si>
    <t xml:space="preserve">Sinha, Sanya (57995171600); Sinha, Sanjeev (57208713503)</t>
  </si>
  <si>
    <t xml:space="preserve">57995171600; 57208713503</t>
  </si>
  <si>
    <t xml:space="preserve">Parasitisation Prediction in Malarial Cell Images using Transfer Learning- driven Vision Transformers</t>
  </si>
  <si>
    <t xml:space="preserve">The World Malaria Report 2022 stated that nearly 247 million cases of malaria and 619,000 deaths were reported annually as of 2021. This emphasizes on the tremendous impact the disease has, especially in third-world countries. Through efficient and timely diagnosis, the disease could be accurately identified and suitable lines-of-treatment could be initiated. The requirement for systematic diagnosis benchmarked the arrival of the computer-aided diagnosis landscape through imaging and Machine Learning (ML) techniques. Deep learning-based backbones are particularly efficient for image classification and disease detection. Through this paper, we propose a Deep Neural Network (DNN) backbone VGG16 for extracting the local and global features of blood smear cell images marked with the Giemsa stain, followed by a Vision Transformer (ViT) neural network architecture for classifying the coloured malarial cell images into the parasitized and uninfected classes of images based on the extracted features. This novel approach returned 97.72% classification accuracy with leading sensitivity, specificity, precision, recall, and area under curve metrics.  © The Institution of Engineering &amp; Technology 2023.</t>
  </si>
  <si>
    <t xml:space="preserve">IET Conference Proceedings</t>
  </si>
  <si>
    <t xml:space="preserve">Institution of Engineering and Technology</t>
  </si>
  <si>
    <t xml:space="preserve">10.1049/icp.2023.1494</t>
  </si>
  <si>
    <t xml:space="preserve">https://www.scopus.com/inward/record.uri?eid=2-s2.0-85174362453&amp;doi=10.1049%2ficp.2023.1494&amp;partnerID=40&amp;md5=eb2a613545f7b1a743d92cfb56c8fd42</t>
  </si>
  <si>
    <t xml:space="preserve">Department of Electronics and Communications Engineering, Birla Institute of Technology, Patna, India; Department of Civil Engineering, National Institute of Technology Patna, Patna, India</t>
  </si>
  <si>
    <t xml:space="preserve">Sinha S., Department of Electronics and Communications Engineering, Birla Institute of Technology, Patna, India; Sinha S., Department of Civil Engineering, National Institute of Technology Patna, Patna, India</t>
  </si>
  <si>
    <t xml:space="preserve">Computer aided diagnosis; Computer aided instruction; Deep neural networks; Image classification; Network architecture; Cell images; Disease detection; Global feature; Images classification; Local feature; Machine learning techniques; Network backbones; Systematic diagnosis; Third-world countries; Transfer learning; Diseases</t>
  </si>
  <si>
    <t xml:space="preserve">Lee S., Lu W., Using Elastic Light Scattering of Red Blood Cells to Detect Infection of Malaria Parasite, IEEE Transactions on Biomedical Engineering, 59, 1, pp. 150-155, (2021); Rosa B. M. G., Yang G. Z., Portable Impedance Analyzer as a Rapid Screening Tool for Malaria: An Experimental Study With Culture and Blood Infected Samples by Early Forms of Plasmodium Falciparum, IEEE Transactions on Biomedical Engineering, 67, 12, pp. 3531-3541, (2020); Wang S., Yang C., Preiser P., Zheng Y., A Photoacoustic-Surface-Acoustic-Wave Sensor for Ring- Stage Malaria Parasite Detection, IEEE Transactions on Circuits and Systems II: Express Briefs, 67, 5, pp. 881-885, (2020); Chen K., Perlaki C., Xiong A., Preiser P., Liu Q., Review of Surface Enhanced Raman Spectroscopy for Malaria Diagnosis and a New Approach for the Detection of Single Parasites in the Ring Stage, IEEE Journal of Selected Topics in Quantum Electronics, 22, 4, pp. 179-187, (2016); Haryanto S. E. V., Mashor M. Y., Nasir A. S. A., Jaafar H., Malaria parasite detection with histogram color space method in Giemsa-stained blood cell images, 2017 5th International Conference on Cyber and IT Service Management (CITSM), pp. 1-4, (2017); Sarrafzadeh Omid, Alireza M. D, Nucleus and cytoplasm segmentation in microscopic images using Kmeans clustering and region growing, Advanced Biomedical Research, 4, (2015); Rakshit P., Bhowmik K., Detection of presence of parasites in human RBC in case of diagnosing malaria using image processing, 2013 IEEE Second International Conference on Image Information Processing (ICIIP- 2013), pp. 329-334, (2013); Kaewkamnerd S, Uthaipibull C, Intarapanich A, Pannarut M, Chaotheing S, Tongsima S., An automatic device for detection and classification of malaria parasite species in thick blood film, BMC Bioinformatics, (2012); Dave I. R., Upla K. P., Computer aided diagnosis of Malaria disease for thin and thick blood smear microscopic images, 2017 4th International Conference on Signal Processing and Integrated Networks (SPIN), pp. 561-565, (2017); Chakrabortya, Et al., J Health Med Informatic, 6, (2015); Samad H, Coll F, Preston MD, Ocholla H, Fairhurst RM, Clark TG., Imputation-based population genetics analysis of Plasmodium falciparum malaria parasites, PLoS Genet, 11, 4, (2015); Jaffar Sadiq M., Balaram V.V.S.S.S., OFS-Z: Optimal Features Selection by Z-Score for Malaria- Infected Erythrocyte Detection Using Supervised Learning, Proceedings of the Second International Conference on Computational Intelligence and Informatics, Advances in Intelligent Systems and Computing, 712, (2018); Mohanty Itishree, Pattanaik P. A., Swarnka Tripti, Proceedings of the International Conference on ISMAC in Computational Vision and Bio-Engineering, (2018); Purnama I.K.E., Rahmanti F.Z., Purnomo M.H., Malaria parasite identification on thick blood film using genetic programming, Proceedings of the International Conference on Instrumentation, Communications, Information Technology and Biomedical Engineering, pp. 194-198, (2013); Yunda L., Alarcon A., Millan J., Automated image analysis method for p-vivax malaria parasite detection in thick film blood images, Sistemas &amp; Telemática, 10, pp. 9-25, (2012); Quinn C, Anthousi A, Wondji C, Nolan T., CRISPRmediated knock-in of transgenes into the malaria vector Anopheles funestus, G3 (Bethesda), 11, 8, (2021); Rosado J, Carrasco-Escobar G, Nolasco O, Garro K, Rodriguez-Ferruci H, Guzman-Guzman M, Llanos- Cuentas A, Vinetz JM, Nekkab N, White MT, Mueller I, Gamboa D., Malaria transmission structure in the Peruvian Amazon through antibody signatures to Plasmodium vivax, PLoS Negl Trop Dis, 16, 5, (2022); Gopakumar GP, Swetha M, Sai Siva G, Sai Subrahmanyam GRK., Convolutional neural networkbased malaria diagnosis from focus stack of blood smear images acquired using custom-built slide scanner, J Biophotonics, 11, 3, (2018); Arrabelly Sai Bharadwaj Reddy, Juliet Sujitha, Transfer Learning with ResNet-50 for Malaria Cell-Image Classification, pp. 0945-0949, (2019); Sifat M.H., Islam M.M., A Fully Automated System to Detect Malaria Parasites and their Stages from the Blood Smear, Proceedings of the 2020 IEEE Region 10 Symposium (TENSYMP), pp. 1351-1354, (2020); Rajaraman S., Antani S.K., Poostchi M., Silamut K., Hossain M.A., Maude R.J., Jaeger S., Thoma G.R., Pretrained convolutional neural networks as feature extractors toward improved malaria parasite detection in thin blood smear images, PeerJ, 6, (2018); Zhang H., Cisse M., Dauphin Y. N, Mixup:Empirical Risk Minimization, (2017); Yun S., Han D., Oh S. J., Chun S., Choe J., Yoo Y., CutMix: Regularization Strategy to Train Strong Classifiers with Localizable Features, (2019); Kumawat S., Kanojia G., Raman S., ShuffleBlock:Shuffle to Reugularize Deep Convolutional Neural Networks; Simonyan. K., Zizzerman, A Ver Deep Convolutional Networks for Large-Scale Image Recognition, (2014); Masud Mehedi, Alhumyani Hesham, Alshamrani Sultan S., Cheikhrouhou Omar, Ibrahim Saleh, Muhammad Ghulam, Shamim Hossain M., Shorfuzzaman Mohammad, Leveraging Deep Learning Techniques for Malaria Parasite Detection Using Mobile Application, Wireless Communications and Mobile Computing, 2020, (2020); Dosovitskiy A., Beyer L., Kolesnikov A., Weissenborn D., Zhai X., Unterthiner T., Dehghani M., Minderer M., Heigold G., Gelly S., Uszkoreit J., Houlsby N., An Image is Worth 16x16 Words: Transformers for Image Recognition at Scale, (2020); Su F., Zhang Y., Li F., Ji D., Balancing Precision and Recall for Neural Biomedical Event Extraction, IEEE/ACM Transactions on Audio, Speech, and Language Processing, 30, pp. 1637-1649, (2022); Abdi Masoud, Nahavandi Saeid, Multiresidual networks: Improving the speed and accuracy of residual networks, (2016)</t>
  </si>
  <si>
    <t xml:space="preserve">S. Sinha; Department of Electronics and Communications Engineering, Birla Institute of Technology, Patna, India; email: ssanya0904@gmail.com</t>
  </si>
  <si>
    <t xml:space="preserve">8th International Conference on Computing in Engineering and Technology, ICCET 2023</t>
  </si>
  <si>
    <t xml:space="preserve">Hybrid, Patna</t>
  </si>
  <si>
    <t xml:space="preserve">IET. Conf. Proc.</t>
  </si>
  <si>
    <t xml:space="preserve">2-s2.0-85174362453</t>
  </si>
  <si>
    <t xml:space="preserve">Chandrasekara E.S.K.; Vidanagamachchi S.M.</t>
  </si>
  <si>
    <t xml:space="preserve">Chandrasekara, E.S.K. (57454647500); Vidanagamachchi, S.M. (54386126700)</t>
  </si>
  <si>
    <t xml:space="preserve">57454647500; 54386126700</t>
  </si>
  <si>
    <t xml:space="preserve">Performance Analysis of Transfer Learning Methods for Malaria Disease Identification</t>
  </si>
  <si>
    <t xml:space="preserve">Malaria has become a widespread disease and one of the leading causes of many deaths worldwide. Malaria is a blood disease brought on by Plasmodium parasites, which are transmitted by the bite of a female Anopheles mosquito. To diagnose the condition, medical experts analyse thick and thin blood smears. However, their precision is dependent on the quality of the smear and experience in categorising and counting parasitized and uninfected cells. Such an investigation could be complicated and time-consuming for large-scale diagnosis, resulting in poor quality as well. Deep learning (DL) approaches such as Convolutional Neural Networks (CNN) offer highly scalable and improved performance with end-to-end feature extraction and classification in cutting-edge image analysis-based computer-aided-diagnosis (CAD) procedures. Automated malaria screening employing DL approaches could contribute in the development of an effective diagnostic aid. In this study, we assessed the efficacy of VGG16, EfficientNetB3, InceptionV3, and ResNet50 as feature extractors to categorise parasitized and uninfected cells and aid in enhanced malaria disease screening. Our results showed that optimum accuracy of 0.97 is achieved after 40 epochs. Our study demonstrated the successful application of deep learning techniques, specifically ResNet50 and EfficientNetB3, among the analysed models, for malaria disease screening and detection. © 2023 IEEE.</t>
  </si>
  <si>
    <t xml:space="preserve">Proceedings - International Research Conference on Smart Computing and Systems Engineering, SCSE 2023</t>
  </si>
  <si>
    <t xml:space="preserve">10.1109/SCSE59836.2023.10214984</t>
  </si>
  <si>
    <t xml:space="preserve">https://www.scopus.com/inward/record.uri?eid=2-s2.0-85170081248&amp;doi=10.1109%2fSCSE59836.2023.10214984&amp;partnerID=40&amp;md5=e819207a4ab7010ac8a56110c62495cc</t>
  </si>
  <si>
    <t xml:space="preserve">University of Ruhuna, Department of Physics, Matara, Sri Lanka; University of Ruhuna, Department of Computer Science, Matara, Sri Lanka</t>
  </si>
  <si>
    <t xml:space="preserve">Chandrasekara E.S.K., University of Ruhuna, Department of Physics, Matara, Sri Lanka; Vidanagamachchi S.M., University of Ruhuna, Department of Computer Science, Matara, Sri Lanka</t>
  </si>
  <si>
    <t xml:space="preserve">Convolutional Neural Networks (CNN); Deep Learning; Machine Learning; Malaria Disease Detection; Transfer Learning</t>
  </si>
  <si>
    <t xml:space="preserve">Blood; Computer aided analysis; Computer aided diagnosis; Convolution; Convolutional neural networks; Deep learning; Image enhancement; Learning systems; Transfer learning; Convolutional neural network; Deep learning; Disease detection; Disease screening; Learning approach; Machine-learning; Malaria disease detection; Performances analysis; Transfer learning; Diseases</t>
  </si>
  <si>
    <t xml:space="preserve">Rajaraman S., Jaeger S., Antani S.K., Performance evaluation of deep neural ensembles toward malaria parasite detection in thin-blood smear images, PeerJ, 7, (2019); Barat L.M., Palmer N., Basu S., Worrall E.V.E., Hanson K., Mills A., Do malaria control interventions reach the poor? A view through the equity lens, American Journal of Tropical Medicine and Hygiene,., 71, 2, pp. 174-178, (2004); Sato S., Plasmodium-A brief introduction to the parasites causing human malaria and their basic biology, Journal of Physiological Anthropology, 40, 1, (2021); Stanisic D., McCarthy J., Good M., Controlled human malaria infection: Applications, advances, and challenges, Infection and Immunity, 86, 1, (2018); Meibalan E., Marti M., Biology of malaria transmission, Cold Spring Harbor Perspectives in Medicine, 7, 3, (2016); Gharakhanlou N.M., Mesgari M., Hooshangi N., Developing an agent-based model for simulating the dynamic spread of Plasmodium vivax malaria: A case study of Sarbaz, Iran, Ecological Informatics, 54, (2019); Milner D., Malaria pathogenesis, Cold Spring Harbor Perspectives in Medicine, 8, 1, (2017); Sori G., Zewdie O., Tadele G., Samuel A., External quality assessment of malaria microscopy diagnosis in selected health facilities in western oromia, ethiopia, Malaria Journal, 17, 1, (2018); Kotepui M., Masangkay F., Kotepui K., De Jesus M.G., Misidentification of plasmodium ovale as plasmodium vivax malaria by a microscopic method: A meta-analysis of confirmed P. Ovale cases, Scientific Reports, 10, 1, (2020); Currie G., Hawk K., Rohren E., Vial A., Klein R., Machine learning and deep learning in medical imaging: Intelligent imaging, Journal of Medical Imaging and Radiation Sciences, 50, 4, pp. 477-487, (2019); Willemink M., Et al., Preparing medical imaging data for machine learning, Radiology, 295, 1, pp. 4-15, (2020); Al-Dasuqi K., Johnson M., Cavallo J., Use of artificial intelligence in emergency radiology: An overview of current applications, challenges, and opportunities, Clinical Imaging, 89, pp. 61-67, (2022); Kim S., Et al., An open medical platform to share source code and various pre-trained weights for models to use in deep learning research, Korean Journal of Radiology, 22, 12, (2021); Zhou S., Et al., A review of deep learning in medical imaging: Imaging traits, technology trends, case studies with progress highlights, and future promises, Proceedings of the IEEE, 109, 5, pp. 820-838, (2021); Anaya-Isaza A., Mera-Jimenez L., Zequera-Diaz M., An overview of deep learning in medical imaging, Informatics in Medicine Unlocked, 26, (2021); Roy K., Sharmin S., Mukta R.B.M., Sen A., Detection of malaria parasite in giemsa blood sample using image processing, International Journal of Computer Science and Information Technology, 10, 1, pp. 55-65, (2018); Waghmare V., Akhter S., Image analysis based system for automatic detection of malarial parasite in blood images, International Journal of Science Research (IJSR), (2015); Ren S., He K., Girshick R., Sun J., Faster r-cnn: Towards real-time object detection with region proposal networks, Advances in neural information processing systems,., 28, (2015); Vink J.P., An automatic vision-based malaria diagnosis system, Journal of microscopy,., 250, 3, pp. 166-178, (2013); Penas K.E.D., Rivera P.T., Naval P.C., Malaria parasite detection and species identification on thin blood smears using a convolutional neural network, 2017 IEEE/ACM International Conference on Connected Health: Applications, Systems and Engineering Technologies (CHASE), pp. 1-6, (2017); Mehanian C., Computer-automated malaria diagnosis and quantitation using convolutional neural networks, Proceedings of the IEEE international conference on computer vision workshops, pp. 116-125, (2017); Reddy A.S.B., Juliet D.S., Transfer learning with resnet-50 for malaria cell-image classification, 2019 International Conference on Communication and Signal Processing (ICCSP), pp. 945-949, (2019); Rousseau F., Drumetz L., Fablet R., Residual networks as flows of diffeomorphisms, Journal of Mathematical Imaging and Vision,., 62, 3, pp. 365-375, (2020); (2022); He K., Zhang X., Ren S., Sun J., Deep residual learning for image recognition, 2016 IEEE Conference on Computer Vision and Pattern Recognition (CVPR), (2016); Simonyan K., Zisserman A., Very deep convolutional networks for large-scale image recognition, (2014); Szegedy C., Vanhoucke V., Ioffe S., Shlens J., Wojna Z., Rethinking the inception architecture for computer vision, Proceedings of the IEEE Conference on Computer Vision and Pattern Recognition, pp. 2818-2826, (2016); Tan M., Le Q., Efficientnet: Rethinking model scaling for convolutional neural networks, Proceedings of the 36th International Conference on Machine Learning, 97, pp. 6105-6114, (2019); Ucar M.K., Nour M., Sindi H., Polat K., The effect of training and testing process on machine learning in biomedical datasets, Mathematical Problems in Engineering,. 2020, (2020); Xu J., Zhang Y., Miao D., Three-way confusion matrix for classification: A measure driven view, Information sciences,., 507, pp. 772-794, (2020); Vabalas A., Gowen E., Poliakoff E., Casson A.J., Machine learning algorithm validation with a limited sample size, PloS one,., 14, 11, (2019); Heydarian M., Doyle T.E., Samavi R., MLCM: Multi-label confusion matrix, IEEE Access,., 10, pp. 19083-19095, (2022); Hong C.S., Oh T.G., TPR-TNR plot for confusion matrix, Communications for Statistical Applications and Methods,., 28, 2, pp. 161-169, (2021); Yacouby R., Axman D., Probabilistic extension of precision, recall, and F1 score for more thorough evaluation of classification models, Proceedings of the first workshop on evaluation and comparison of NLP systems, pp. 79-91, (2020); Luque A., Carrasco A., Martin A., De Las H.A., The impact of class imbalance in classification performance metrics based on the binary confusion matrix, Pattern Recognition,., 91, pp. 216-231, (2019); Beauxis-Aussalet E., Hardman L., Simplifying the visualization of confusion matrix, 26th Benelux Conference on Artificial Intelligence (BNAIC), (2014); Visa S., Ramsay B., Ralescu A.L., Van Der Knaap E., Confusion matrix-based feature selection, Maics, 710, 1, pp. 120-127, (2011); Luque A., Carrasco A., Martin A., De Las H.A., The impact of class imbalance in classification performance metrics based on the binary confusion matrix, Pattern Recognition, 91, pp. 216-231, (2019); Liang J., Confusion matrix, POGIL Activity Clearinghouse, 3, 4, pp. 1-10, (2022); Cinar A., Yildirim M., Classification of malaria cell images with deep learning architectures, Ingenierie des Syst`emes d'Inf., 25, 1, pp. 35-39, (2020); Sharma A.K., Nandal A., Dhaka A., Dixit R., Medical image classification techniques and analysis using deep learning networks: A review, Health Informatics: A Computational Perspective in Healthcare, pp. 233-258, (2021); Srinivas C., Ks N.P., Zakariah M., Alothaibi Y.A., Shaukat K., Partibane B., Awal H., Deep transfer learning approaches in performance analysis of brain tumor classification using MRI images, J. Healthcare Eng., 2022, (2022); Sengoz N., Yigit T., Ozmen O., Isik A.H., Importance of preprocessing in histopathology image classification using deep convolutional neural network, Advances in Artificial Intelligence Research, 2, 1, pp. 1-6, (2022)</t>
  </si>
  <si>
    <t xml:space="preserve">Kavirathna C.A.</t>
  </si>
  <si>
    <t xml:space="preserve">2023 International Research Conference on Smart Computing and Systems Engineering, SCSE 2023</t>
  </si>
  <si>
    <t xml:space="preserve">Kelaniya</t>
  </si>
  <si>
    <t xml:space="preserve">979-835034145-4</t>
  </si>
  <si>
    <t xml:space="preserve">Proc. - Int. Res. Conf. Smart Comput. Syst. Eng., SCSE</t>
  </si>
  <si>
    <t xml:space="preserve">2-s2.0-85170081248</t>
  </si>
  <si>
    <t xml:space="preserve">Araujo F.A.S.; Colares N.D.; Carvalho U.P.; Costa Filho C.F.F.; Costa M.G.F.</t>
  </si>
  <si>
    <t xml:space="preserve">Araujo, F.A.S. (58850874600); Colares, N.D. (58175340700); Carvalho, U.P. (58850791700); Costa Filho, C.F.F. (6506784770); Costa, M.G.F. (55252953100)</t>
  </si>
  <si>
    <t xml:space="preserve">58850874600; 58175340700; 58850791700; 6506784770; 55252953100</t>
  </si>
  <si>
    <t xml:space="preserve">Plasmodium Life Cycle-Stage Classification on Thick Blood Smear Microscopy Images using Deep Learning: A Contribution to Malaria Diagnosis</t>
  </si>
  <si>
    <t xml:space="preserve">Malaria is a life-threatening disease spread to humans through the bites of female Anopheles mosquitoes infected with Plasmodium parasite species. Prompt malaria diagnosis is recommended by WHO for all patients with suspected malaria before they are given treatment. The blood smear microscopy is one of the recommended diagnostic tests. However, blood smear microscopy requires expertise, is time consuming and subject to intra and inter microscopist variability. Automated microscopy has the potential to overcome the problems mentioned. In this context, some computational methods based on machine learning for object detection and classification have been developed aiming to automatic parasitological diagnosis of malaria. This work proposes the classification of plasmodium life cycle-stage in patches of microscopy images of blood smears. We analyzed three deep network models through an ablation study in a 2-level classification: the first comprising a binary classification where the four Plasmodium Life Cycle-Stages (ring, trophozoite, schizont and gametocyte) are considered as a single class, of infected red blood cells, At the second level the infected cells are classified according to the Plasmodium Life Cycle-Stage into four classes. The models were tested with a public domain image dataset. The best results were obtained with the Efficient Net B7 deep network. With this network an accuracy of 87.95% and an Fl-score of87.80% were obtained, which outperformed the results presented in previous studies.  © 2023 IEEE.</t>
  </si>
  <si>
    <t xml:space="preserve">10.1109/SIPAIM56729.2023.10373424</t>
  </si>
  <si>
    <t xml:space="preserve">https://www.scopus.com/inward/record.uri?eid=2-s2.0-85183463939&amp;doi=10.1109%2fSIPAIM56729.2023.10373424&amp;partnerID=40&amp;md5=94e1ae52254f8987a19270f9cd9c74a8</t>
  </si>
  <si>
    <t xml:space="preserve">Federal University of Amazonas, Manaus, Brazil; Federal University of Amazonas, Center for R&amp;d in Electronics and Information Technology, Manaus, Brazil</t>
  </si>
  <si>
    <t xml:space="preserve">Araujo F.A.S., Federal University of Amazonas, Manaus, Brazil; Colares N.D., Federal University of Amazonas, Manaus, Brazil; Carvalho U.P., Federal University of Amazonas, Manaus, Brazil; Costa Filho C.F.F., Federal University of Amazonas, Center for R&amp;d in Electronics and Information Technology, Manaus, Brazil; Costa M.G.F., Federal University of Amazonas, Center for R&amp;d in Electronics and Information Technology, Manaus, Brazil</t>
  </si>
  <si>
    <t xml:space="preserve">Deep Learning; Diagnosis; Malaria; Plasmodium smear microscopy</t>
  </si>
  <si>
    <t xml:space="preserve">Blood; Computer aided diagnosis; Deep learning; Image classification; Object detection; Patient treatment; Anopheles mosquitoes; Blood smears; Deep learning; Disease spread; Life cycle stages; Malaria; Malaria diagnosis; Microscopy images; Plasmodium parasites; Plasmodium smear microscopy; Diseases</t>
  </si>
  <si>
    <t xml:space="preserve">World malaria report 2022, (2022); World malaria report 2022, (2022); Hung J., Lopes S.C.P., Nery O.A., Nosten F., Ferreira M.U., Duraisingh M.T., Marti M., Ravel D., Rangel G., Malleret B.B., Lacerda M.V.G., Renia L., Costa F.T.M., Carpenter A.E., Applying Faster RCNN for Object Detection on Malaria Images, Conf Comput Vis Pattern Recognit Workshops., 2017, pp. 808-813, (2017); Rahman A., Zunair H., Reme T.R., Rahman M.S., Mahdy M.R.C., A comparative analysis of deep learning architectures on high variation malaria parasite classification dataset, Tissue Cell., 69, (2021); Manku R., Sharma A., Panchbhai A., Malaria Detection and Classificaiton, (2020); Fuhad K.M.F., Et al., Deep Learning Based Automatic Malaria Parasite Detection from Blood Smear and its Smartphone Based Application, Diagnostics (Basel)., (2020); Arshad Q., Ali M., Hassan S.-U., Chen C., Imran A., Rasul G., Sultani W., A dataset and benchmark for malaria life-cycle classification in thin blood smear images, Neural Computing and Applications, 34, (2022); Tan M., Le Q.V., EfficientNet: Rethinking model scaling for convolutional neural networks, 36th Int. Conf. Mach. Learn. ICML 2019, 2019, pp. 10691-10700, (2019); Aggarwal C.C., Neural Networks Deep Learning, (2018); Ljosa V., Sokolnicki K., Carpenter A., Annotated high-throughput microscopy image sets for validation, Nat Methods, 9, (2012); Abbas S.S., Dijkstra T.M.H., Detection and stage classification of Plasmodium falciparum from images of Giemsa-stained thin blood films using random forest classifiers, Diagn Pathol, 15, 130, pp. 1-11, (2020)</t>
  </si>
  <si>
    <t xml:space="preserve">F.A.S. Araujo; Federal University of Amazonas, Manaus, Brazil; email: fabioaraujo@super.ufam.edu.br</t>
  </si>
  <si>
    <t xml:space="preserve">2-s2.0-85183463939</t>
  </si>
  <si>
    <t xml:space="preserve">Mehta J.; Kalla M.</t>
  </si>
  <si>
    <t xml:space="preserve">Mehta, Jalpa (57214277221); Kalla, Mukesh (57218448633)</t>
  </si>
  <si>
    <t xml:space="preserve">57214277221; 57218448633</t>
  </si>
  <si>
    <t xml:space="preserve">Predicting Severity from Electronic Health Records of Leprosy Patients using Ensemble Learning</t>
  </si>
  <si>
    <t xml:space="preserve">Electronic Health Records (EHRs) are speedily being enforced by healthcare providers in recent years. Leprosy is a specially listed neglected tropical disease that continues as a major health problem in India. The delay in the diagnosis can lead to increase disability rate among patients. This paper intends to identify various risk factors from EHRs by applying ensemble machine learning techniques. The EHRs are included with the first sign of symptoms and various diagnosis details of leprosy cases. This information is used to determine the severity of leprosy cases and classify them into 3 categories, namely mild, moderate, and severe. To predict the severity, AdaBoost and XGBoost ensemble classifiers are applied in this paper. The performance of these classifiers is compared with Classification and Regression Trees (CART) and Random Forest (RF) techniques. The results show that AdaBoost gives with 97% accuracy and 97% precision. XGBoost gives 97% accuracy and 99% recall.  © 2023 IEEE.</t>
  </si>
  <si>
    <t xml:space="preserve">2023 World Conference on Communication and Computing, WCONF 2023</t>
  </si>
  <si>
    <t xml:space="preserve">10.1109/WCONF58270.2023.10235056</t>
  </si>
  <si>
    <t xml:space="preserve">https://www.scopus.com/inward/record.uri?eid=2-s2.0-85173003509&amp;doi=10.1109%2fWCONF58270.2023.10235056&amp;partnerID=40&amp;md5=9f6ea0c7a58966ef0e276d3816cc46ae</t>
  </si>
  <si>
    <t xml:space="preserve">Sir Padampat Singhania University, Udaipur, India</t>
  </si>
  <si>
    <t xml:space="preserve">Mehta J., Sir Padampat Singhania University, Udaipur, India; Kalla M., Sir Padampat Singhania University, Udaipur, India</t>
  </si>
  <si>
    <t xml:space="preserve">AdaBoost; Classification and Regression Trees (CART); Electronic Health Records; ensemble learning; Random Forest; XGBoost</t>
  </si>
  <si>
    <t xml:space="preserve">Adaptive boosting; Classification (of information); Diagnosis; Diseases; E-learning; Forestry; Random forests; Records management; Classification and regression tree; Classification trees; Electronic health; Electronic health record; Ensemble learning; Health care providers; Health records; Random forests; Regression trees; Xgboost; Learning systems</t>
  </si>
  <si>
    <t xml:space="preserve">Rachmani E., Lin M., Hsu C., Shidik G.F., Noersasongko E., Mining Medication Behavior of the Completion Leprosy's Multi-Drug Therapy in Indonesia, International Seminar on Application for Technology of Information and Communication, Semarang, pp. 271-274, (2018); Global leprosy (Hansen disease) update, 2021: Moving towards interruption of transmission, (2022); Ramesh M., Do More Detected Cases Mean Leprosy Making A Comeback In India Experts, Government Differ, (2019); Yang H., Li J., Liu S., Yang X., Liu J., Predicting Risk of Hypoglycemia in Patients with Type 2 Diabetes by Electronic Health Record-Based Machine Learning: Development and Validation, JMIR Medical Informatics, 10, 6, (2022); Hasan S.M.M., Mamun M.A., Uddin M.P., Hossain M.A., Comparative Analysis of Classification Approaches for Heart Disease Prediction, 2018 International Conference on Computer, Communication, Chemical, Material and Electronic Engineering (IC4ME2), (2018); Sisodia D.S., Verma A., Prediction performance of individual and ensemble learners for chronic kidney disease, 2017 International Conference on Inventive Computing and Informatics (ICICI), (2017); Shailaja K., Seetharamulu B., Jabbar M.A., Machine Learning in Healthcare: A Review, IEEE Xplore, 1, (2018); Caroprese L., Veltri P., Vocaturo E., Zumpano E., Deep Learning Techniques for Electronic Health Record Analysis, 2018 9th International Conference on Information, Intelligence, Systems and Applications (IISA), (2018); Gahtani A.A., El-Sayed H., Building a Novel Ensemble Learning-Based Prediction Framework for Diagnosis of Coronary Heart Disease, Int J Intell Syst Appl Eng, 10, 3, pp. 265-273, (2022); Alam M.Z., Rahman M.S., Rahman M.S., A Random Forest based predictor for medical data classification using feature ranking, Informatics in Medicine Unlocked, 15, (2019); Shannon W., Katherine C.W., Scott L.Z., Clinical risk prediction with random forests for survival, longitudinal, and multivariate (RFSLAM) data analysis, BMC Medical Research Methodology, (2020); Qader W.A., Ameen M.M., Diagnosis of Diseases from Medical Check-up Test Reports Using OCR Technology with BoW and AdaBoost algorithms, IEEE Xplore, 1, (2019); Zhang W., Ram S., A Comprehensive Analysis of Triggers and Risk Factors for Asthma Based on Machine Learning and Large Heterogeneous Data Sources, MIS Quarterly, 44, 1, pp. 305-349, (2020); Zhang E., Robinson R., Pfahringer B., Deep Holistic Representation Learning from EHR, 2018 12th International Symposium on Medical Information and Communication Technology (ISMICT), (2018); Metsker O., Bolgova E., Yakovlev A., Funkner A., Kovalchuk S., Pattern-based Mining in Electronic Health Records for Complex Clinical Process Analysis, Procedia Computer Science, 119, pp. 197-206, (2017); Friedman J.H., Greedy function approximation: A gradient boosting machine, The Annals of Statistics, 29, 5, pp. 1189-1232, (2001); Virgeniya S.C., Ramaraj E., Predictive Analytics Using Rule Based Classification And Hybrid Logistic Regression (HLR) Algorithm For Decision Making, International Journal of Scientific &amp; Technology Research, 8, pp. 1509-1513; Reimer A.P., Milinovich A., Using UMLS for electronic health data standardization and database design, Journal of the American Medical Informatics Association, 27, 10, pp. 1520-1528, (2020); Xu Y., Et al., Enhancing ICD-Code-Based Case Definition for Heart Failure Using Electronic Medical Record Data, Journal of Cardiac Failure, 26, 7, pp. 610-617, (2020)</t>
  </si>
  <si>
    <t xml:space="preserve">J. Mehta; Sir Padampat Singhania University, Udaipur, India; email: jalpa.mehta@sakec.ac.in</t>
  </si>
  <si>
    <t xml:space="preserve">IEEE; IEEE MP Section; IEEE Technical Committee</t>
  </si>
  <si>
    <t xml:space="preserve">2023 IEEE World Conference on Communication and Computing, WCONF 2023</t>
  </si>
  <si>
    <t xml:space="preserve">14 July 2023 through 16 July 2023</t>
  </si>
  <si>
    <t xml:space="preserve">979-835031120-4</t>
  </si>
  <si>
    <t xml:space="preserve">2-s2.0-85173003509</t>
  </si>
  <si>
    <t xml:space="preserve">Indhumathi K.; Kumar K.S.</t>
  </si>
  <si>
    <t xml:space="preserve">Indhumathi, K. (58132303600); Kumar, K. Sathesh (56112102200)</t>
  </si>
  <si>
    <t xml:space="preserve">58132303600; 56112102200</t>
  </si>
  <si>
    <t xml:space="preserve">Prediction of Infectious Diseases based on Age and Gender using OCSVM-CDT</t>
  </si>
  <si>
    <t xml:space="preserve">Dengue, malaria, pneumonia and typhoid are the most notable infectious diseases because it causes terrible effects on people. These types of diseases affect particular age groups of people. Researchers face so many difficulties in finding the accurate affected age patterns of individual diseases. So, this study focused on age-wise and gender-wise occurrence of infectious diseases like dengue, malaria, pneumonia and typhoid. It is most useful to the doctors and health analyst to more concentrate on predicted age groups of people to reduce the death ratio. This prediction will create the disease alert system for the Madurai district. It will very helpful for the public. Machine learning is the most efficient technique to solve healthcare difficulties. The main aim of the study is to predict the age and gender distribution of these diseases using machine learning approaches. This study proposes a hybrid model One- Class Support Vector Machine - Chi Square Automatic Interaction Detection Decision Tree (OCSVM-CDT) for classifying the age and gender-wise occurrence of infectious diseases like dengue, malaria etc. Accuracy, precision, recall, and F1-score are the metrics used to evaluate the performance of this new hybrid technique. Five machine learning algorithms Such as Neural network, Decision tree, Support vector machine, K-means Chi-Square Automatic Interaction Detection Decision Tree (KM-CDT) and One-Class Support Vector Machine - Decision Tree (OCSVMDT) are compared with the proposed hybrid model. The proposed hybrid OCSVM-CDT performs better when compared to other machine learning models. © 2023 IEEE.</t>
  </si>
  <si>
    <t xml:space="preserve">Proceedings of the 3rd International Conference on Artificial Intelligence and Smart Energy, ICAIS 2023</t>
  </si>
  <si>
    <t xml:space="preserve">10.1109/ICAIS56108.2023.10073793</t>
  </si>
  <si>
    <t xml:space="preserve">https://www.scopus.com/inward/record.uri?eid=2-s2.0-85152386934&amp;doi=10.1109%2fICAIS56108.2023.10073793&amp;partnerID=40&amp;md5=4e7ed67026395c8239fd393fad176e18</t>
  </si>
  <si>
    <t xml:space="preserve">Kalasalingam Academy of Research and Education, Department of Computer Science and Information Technology, Krishnankoil, India</t>
  </si>
  <si>
    <t xml:space="preserve">Indhumathi K., Kalasalingam Academy of Research and Education, Department of Computer Science and Information Technology, Krishnankoil, India; Kumar K.S., Kalasalingam Academy of Research and Education, Department of Computer Science and Information Technology, Krishnankoil, India</t>
  </si>
  <si>
    <t xml:space="preserve">Age-wise distribution; Gender-wise distribution; Machine learning and ailments; OCSVM-CDT (One Class Support Vector Machine- Chi square Automatic Interaction Detection Decision Tree)</t>
  </si>
  <si>
    <t xml:space="preserve">Diseases; Forecasting; K-means clustering; Learning algorithms; Learning systems; Support vector machines; Vectors; Age groups; Age-wise distribution; Automatic interaction detection; Gender-wise distribution; Hybrid model; Infectious disease; Machine learning and ailment; Machine-learning; OCSVM-CDT (one class support vector machine- chi square automatic interaction detection decision tree); Support vectors machine; Decision trees</t>
  </si>
  <si>
    <t xml:space="preserve">Jothi L.V., Rajasri S., Vipashini R.M.S.R., Dengue prediction using machine learning, International Research Journal of Modernization in Engineering and Science", 4, 5, (2022); Forrest G.N., Van Schooneveld T.C., Kullar R., Schulz L.T., Duong P., Postelnick M., Use of electronic health records and clinical decision support systems for antimicrobial stewardship, Clin. Infect. Dis., 59, pp. S122-S133, (2014); Samir S.Y., Vinod J.K., Shivajirao M.J., Prasad R.P., Machine learning based malaria prediction using clinical findings, International conference on Emerging smart computing and informatics 2021, (2022); Crdenas J.G., Carmona J.C., Ceron L.G., Agugliaro F.M., Valle C.M., Analysis of global research on malaria and plasmodium vivax, International Journal of Environmental Research and Public Health, 16, 5, (2019); Shailender K., Pankaj S., Mohit R., A review on deep learning based pneumonia detection systems, Proceedings of the international conference on Artificial intelligence and smart systems (ICAIS-2021), (2021); Typhoid, (2020); Stanaway J.D., Reiner R.C., Blacker B.F., The global burden of typhoid and paratyphoid fevers: A systematic analysis for the global burden of disease study 2017, Lancet Infect Dis, 19, pp. 369-381, (2019); Chen M., Hao Y., Hwang K., Wang L., Wang L., Disease prediction by machine learning over big data from healthcare communities, IEEE Access, 5, pp. 8869-8879, (2017); Iqbal N., Islam M., Machine learning for dengue outbreak prediction: A performance evaluation of different prominent classifiers, Informatica, 43, pp. 363-371, (2019); Ibrahim F., Taib M.N., Abas W.A., Guan C.C., Sulaiman S., A novel dengue fever (df). and dengue haemorrhagic fever (dhf). analysis using artificial neural network (ann), Computer methods and programs in biomedicine, 79, 3, pp. 273-281, (2005); Kalipe G., Gautham V., Behera R.K., Predicting malarial outbreak using machine learning and deep learning approach: A review and analysis, (2018); Groeneveld G.H., Van't Wout J.W., Aarts N.J., Van Rooden C.J., Verheij T.J.M., Cobbaert C.M., Prediction model for pneumonia in primary care patients with an acute respiratory tract infection: Role of symptoms, signs, and biomarkers, BMC. Infect. Dis, 19, (2019); Naydenova E., Tsanas A., Howie S., Casals-Pascual C., De Vos M., The power of data mining in diagnosis of childhood pneumonia, J. R. Soc. Interface, 13, (2016); Ayo F.E., Awotunde J.B., Ogundokun R.O., Folorunso S.O., Adekunle A.O., A decision support system for multi-target disease diagnosis: A bioinformatics approach, (2020); Thary H.H., Azidan K., A framework Questionnaire for diagnosing infectious disease using machine learning techniques, INTCSET 2020, (2020); Dreiseitl S., Osl D., Scheibbock C., Binder M., Outlier detection with one-class SVM: An application to melanoma prognosis, AMIA symposium proceedings, (2010); Thomas R., Judith J.E., Hybrid outlier detection in health care datasets using DNN and one class-svm. Fourth international conference on electronics, communication and aerospace technology (ICECA-2020), (2020); Erfani S.M., Rajasegarar S., Karunasekera S., Leckie C., High dimensional and large scale anomaly detection using a linear one class svm with deep learning, Pattern Recognition, 58, pp. 121-134, (2016); Cohen G., Hilario M., Sax H., Hugonnet S., Pellegrini C., Geissbuhler A., An application of one-class support vector machines to nosocominal infection detection, Studies in health technology and informatics, (2014); Miller B., Fridline M., Liu P.Y., Marino D., Use of chaid decision trees to formulate pathways for the early detection of metabolic syndrome in young adults, Computational and Mathematical methods in medicine, (2014); Mphekgwana, Ellisras longitudinal study 2017: Childhood underweight and blood pressure status in a rural black population of south africa (els 26), Cardiovascular Journal of Africa, (2019)</t>
  </si>
  <si>
    <t xml:space="preserve">K. Indhumathi; Kalasalingam Academy of Research and Education, Department of Computer Science and Information Technology, Krishnankoil, India; email: indhu16aug@gmail.com</t>
  </si>
  <si>
    <t xml:space="preserve">3rd International Conference on Artificial Intelligence and Smart Energy, ICAIS 2023</t>
  </si>
  <si>
    <t xml:space="preserve">2 February 2023 through 4 February 2023</t>
  </si>
  <si>
    <t xml:space="preserve">978-166546216-7</t>
  </si>
  <si>
    <t xml:space="preserve">Proc. Int. Conf. Artif. Intell. Smart Energy, ICAIS</t>
  </si>
  <si>
    <t xml:space="preserve">2-s2.0-85152386934</t>
  </si>
  <si>
    <t xml:space="preserve">Ambarka A.; Djara T.; Sobabe A.-A.; Fayomi H.</t>
  </si>
  <si>
    <t xml:space="preserve">Ambarka, Abdou (58499905100); Djara, Tahirou (57201954333); Sobabe, Abdou-Aziz (57205193969); Fayomi, Horace (55911127700)</t>
  </si>
  <si>
    <t xml:space="preserve">58499905100; 57201954333; 57205193969; 55911127700</t>
  </si>
  <si>
    <t xml:space="preserve">Prediction of Malaria Plasmodium Stage and Type Through Object Detection</t>
  </si>
  <si>
    <t xml:space="preserve">The use of image processing, artificial intelligence in general, and objects detection in particular for the diagnosis of malaria is increasingly remarkable. In the present work, we suggested a comparison of two objects detection models which is not only capable of detecting the infected blood smears cells but also it enables to distinguish the plasmodium different species and the parasitic stage of malaria. To create our two models, transfer learning from the Faster-RCNN and YOLO models have been used with the MP-IDB database (Malaria Parasite Image Database for Image Processing and Analysis). Then, we have followed three main steps to develop our approach of objects detection for malaria: the creation of annotated databases, image preprocessing, and fine-tuning the two pre-trained models on our annotated database. The Faster R-CNN-based model produced better results than the Yolo-based one, with a mAP @.50IOU of 0.76 versus 0.3.  © 2023 IEEE.</t>
  </si>
  <si>
    <t xml:space="preserve">BioSMART 2023 - Proceedings: 5th International Conference on Bio-Engineering for Smart Technologies</t>
  </si>
  <si>
    <t xml:space="preserve">10.1109/BioSMART58455.2023.10162108</t>
  </si>
  <si>
    <t xml:space="preserve">https://www.scopus.com/inward/record.uri?eid=2-s2.0-85165492412&amp;doi=10.1109%2fBioSMART58455.2023.10162108&amp;partnerID=40&amp;md5=7fcc0b6fdc63014a1ea3746f47f5871c</t>
  </si>
  <si>
    <t xml:space="preserve">Laboratoire d'Electrotechnique, de Telecommunication et d'Informatique Appliquee (LETIA/EPAC), Université d'Abomey-Calavi (UAC), Institut d'Innovation Technologique (IITECH), Cotonou, Benin</t>
  </si>
  <si>
    <t xml:space="preserve">Ambarka A., Laboratoire d'Electrotechnique, de Telecommunication et d'Informatique Appliquee (LETIA/EPAC), Université d'Abomey-Calavi (UAC), Institut d'Innovation Technologique (IITECH), Cotonou, Benin; Djara T., Laboratoire d'Electrotechnique, de Telecommunication et d'Informatique Appliquee (LETIA/EPAC), Université d'Abomey-Calavi (UAC), Institut d'Innovation Technologique (IITECH), Cotonou, Benin; Sobabe A.-A., Laboratoire d'Electrotechnique, de Telecommunication et d'Informatique Appliquee (LETIA/EPAC), Université d'Abomey-Calavi (UAC), Institut d'Innovation Technologique (IITECH), Cotonou, Benin; Fayomi H., Laboratoire d'Electrotechnique, de Telecommunication et d'Informatique Appliquee (LETIA/EPAC), Université d'Abomey-Calavi (UAC), Institut d'Innovation Technologique (IITECH), Cotonou, Benin</t>
  </si>
  <si>
    <t xml:space="preserve">Deep learning; Machine learning; Malaria diagnosis; Object detection; Parasite stage; Plasmodium; Transfer learning</t>
  </si>
  <si>
    <t xml:space="preserve">Database systems; Deep learning; Diseases; Learning systems; Object recognition; Transfer learning; Annotated database; Deep learning; Images processing; Machine-learning; Malaria diagnosis; Objects detection; Parasite stage; Parasite-; Plasmodium; Transfer learning; Object detection</t>
  </si>
  <si>
    <t xml:space="preserve">(2019); Habeeb A., Introduction du Artificial Intelligence; Chollet F., Deep Learning with Python, (2018); Andrea L.M.K., Cecilia D.R., Guy P., MP-IDB: The Malaria Parasite Image Database for Image Processing and Analysis, (2019); Pattanaik P.A., Swarnkar T., Sheet D., Object detection technique for malaria parasite in thin blood smear images, researchgate, (2017); Hung J., Et al., Applying Faster R-CNN for Object Detection on Malaria Images, Proceedings of the IEEE Conference on Computer Vision and Pattern Recognition (CVPR) Workshops, pp. 56-61, (2017); Yang F., Et al., Cascading YOLO: Automated malaria parasite detection for Plasmodium vivax in thin blood smears March, (2020); Priyanka M., Ekansh G., Object Detection Techniques: A Comparison 2020 International Conference on ICT for Smart Society (ICISS); Ren S., He K., Girshick R., Sun J., Faster r-cnn, Towards real-time object detection with region proposal networks, Advances in neural information processing systems, (2015)</t>
  </si>
  <si>
    <t xml:space="preserve">A. Ambarka; Laboratoire d'Electrotechnique, de Telecommunication et d'Informatique Appliquee (LETIA/EPAC), Université d'Abomey-Calavi (UAC), Institut d'Innovation Technologique (IITECH), Cotonou, Benin; email: abdou.ambarka@gmail.com</t>
  </si>
  <si>
    <t xml:space="preserve">5th International Conference on Bio-engineering for Smart Technologies, BioSMART 2023</t>
  </si>
  <si>
    <t xml:space="preserve">7 June 2023 through 9 June 2023</t>
  </si>
  <si>
    <t xml:space="preserve">Paris</t>
  </si>
  <si>
    <t xml:space="preserve">979-835033849-2</t>
  </si>
  <si>
    <t xml:space="preserve">BioSMART - Proc.: Int. Conf. Bio-Eng. Smart Technol.</t>
  </si>
  <si>
    <t xml:space="preserve">2-s2.0-85165492412</t>
  </si>
  <si>
    <t xml:space="preserve">Awasthi A.K.; Sharma M.; Garo A.K.; Chaudhary P.</t>
  </si>
  <si>
    <t xml:space="preserve">Awasthi, A.K. (8899866000); Sharma, Minakshi (57852559300); Garo, Arun Kumar (57381802700); Chaudhary, Prayanshu (58196242400)</t>
  </si>
  <si>
    <t xml:space="preserve">8899866000; 57852559300; 57381802700; 58196242400</t>
  </si>
  <si>
    <t xml:space="preserve">Presentation of futuristic Malarial Disease through a Hybrid Model of A.I. and Big data</t>
  </si>
  <si>
    <t xml:space="preserve">Transmission of parasites of female Anopheles mosquito is a major cause for the fatal disease like Malaria and most common symptoms are high fever, headache, abdominal pain, muscle pain, vomiting, diarrhea, Anemia, etc.Healthcare is a field where Forecasting is most beneficial and helpful for the cure of diseases and it can be possible only by using models of Neural Networks, Regression, and LSTM for predicting that how many confirmed cases will occur, how many people will get recovered and among them how many get dead cause of any disease based on past and present data for forecasting the future trend of these cases. Even though forecasting can be done by traditional methods but traditional methods are time consuming. The machine learning techniques are fast and accurate then also for adding efficiency and accuracy to these methods and techniques, Artificial Intelligence takes place in the field of Data Sciences. Artificial Intelligence came into the picture 100 years ago and shows remarkable growth in every field in the past few years. There are a lot of models proposed for different types of diseases in the field of healthcare. The visible patterns of symptoms and cases related to the disease can help in the medical field to prevent and cure it. This work is going to deal with the applications of Artificial Intelligence in Data Sciences which is to make an early reliable prediction of Malarial disease using Neural Networks, Regression, and LSTM model. It Compares the trends of different models and comparative results will demonstrate that the machine learning techniques practiced to forecast the malarial disease along with visible patterns gives information related to the patient's data.  © 2023 IEEE.</t>
  </si>
  <si>
    <t xml:space="preserve">2023 International Conference on Artificial Intelligence and Smart Communication, AISC 2023</t>
  </si>
  <si>
    <t xml:space="preserve">10.1109/AISC56616.2023.10085407</t>
  </si>
  <si>
    <t xml:space="preserve">https://www.scopus.com/inward/record.uri?eid=2-s2.0-85153535731&amp;doi=10.1109%2fAISC56616.2023.10085407&amp;partnerID=40&amp;md5=90e23e4a40ba4ff32e44bcdd0c7a7ea6</t>
  </si>
  <si>
    <t xml:space="preserve">Lovely Professional University, Department of Mathematics, Phagwara, India</t>
  </si>
  <si>
    <t xml:space="preserve">Awasthi A.K., Lovely Professional University, Department of Mathematics, Phagwara, India; Sharma M., Lovely Professional University, Department of Mathematics, Phagwara, India; Garo A.K., Lovely Professional University, Department of Mathematics, Phagwara, India; Chaudhary P., Lovely Professional University, Department of Mathematics, Phagwara, India</t>
  </si>
  <si>
    <t xml:space="preserve">ARIMA-SARIMA; Artificial intelligence; LSTM; Neural Networks</t>
  </si>
  <si>
    <t xml:space="preserve">Big data; Curing; Diseases; Health care; Internet of things; Learning algorithms; Long short-term memory; Abdominal pain; Anopheles mosquitoes; ARIMA-SARIMA; Fatal disease; Hybrid model; LSTM; Machine learning techniques; Neural-networks; Parasite-; Past and present; Forecasting</t>
  </si>
  <si>
    <t xml:space="preserve">Awasthi A.K., Kumar S., Garov A.K., IoT in the healthcare sector, Machine Learning, Deep Learning, Big Data, and Internet of Things for Healthcare, pp. 107-123; Tai K.Y., Dhaliwal J., The machine learning model for malaria risk prediction based on mutation location of large-scale genetic variation data, Journal of Big Data, 9, 1, pp. 1-22, (2022); Sharma M., Data mining prediction techniques in health care sector, Journal of Physics: Conference Series, 2267, 1, (2022); Kumar V., Mangal A., Panesar S., Yadav G., Talwar R., Raut D., Singh S., Forecasting malaria cases using climatic factors in Delhi, India: A time series analysis, Malaria research and treatment 2014, (2014); Awasthi A.K., Kumar S., Garov A.K., A Mathematical Model for Stability Analysis of Covid-like epidemic/Endemic/Pandemic, (2021); Gawande R., Patil D., Prediction of frequent hospitalisation of diabetic patients, Prediction of Frequent Hospitalisation of Diabetic Patients, (2022); Garov A.K., Awasthi A.K., Quantity based time series fuzzified approach for forecasting stock index, AIP Conference proceeding, AIP Publishing LLC., (2022); Mitchell G., Roma G., Van Der Wel A.V., Beibel M., Zeeman A.M., Schuierer S., Diagana T.T., Transcriptional profiling of hepatocytes infected with the replicative form of the malaria parasite Plasmodium cynomolgi, Malaria Journal, 21, 1, pp. 1-12, (2022); Mawejje H.D., Asiimwe J.R., Kyagamba P., Kamya M.R., Rosenthal P.J., Lines J., Staedke S.G., Impact of different mosquito collection methods on indicators of Anopheles malaria vectors in Uganda, Malaria Journal, 21, 1, pp. 1-12, (2022); Mawejje H.D., Asiimwe J.R., Kyagamba P., Kamya M.R., Rosenthal P.J., Lines J., Staedke S.G., Impact of different mosquito collection methods on indicators of Anopheles malaria vectors in Uganda, Malaria Journal, 21, 1, pp. 1-12, (2022); Garov A.K., Quantity based weights forecasting for taiex, Journal of Physics: Conference Series, 2267, 1, (2022); Worges M., Kamala B., Yukich J., Chacky F., Lazaro S., Dismas C., Koenker H., Estimation of bed net coverage indicators in Tanzania using mobile phone surveys: A comparison of sampling approaches, Malaria Journal, 21, 1, pp. 1-11, (2022); Garov A.K., Awasthi A.K., Time series arima based forecasting of rice price, intl, Jl. of Agricultural &amp; Statistical Sciences, 19, 1, (2023); Bhattarai S., Blackburn J.K., Ryan S.J., Malaria transmission in nepal under climate change: Anticipated shifts in extent and season, and comparison with risk definitions for intervention, Malaria Journal, 21, 1, pp. 1-15, (2022)</t>
  </si>
  <si>
    <t xml:space="preserve">A.K. Awasthi; Lovely Professional University, Department of Mathematics, Phagwara, India; email: dramitawasthi@gmail.com</t>
  </si>
  <si>
    <t xml:space="preserve">27 January 2023 through 29 January 2023</t>
  </si>
  <si>
    <t xml:space="preserve">979-835032230-9</t>
  </si>
  <si>
    <t xml:space="preserve">Int. Conf. Artif. Intell. Smart Commun., AISC</t>
  </si>
  <si>
    <t xml:space="preserve">2-s2.0-85153535731</t>
  </si>
  <si>
    <t xml:space="preserve">Haddawy P.; Yin M.S.; Meth P.; Srikaew A.; Wavemanee C.; Niyom S.L.; Sriraksa K.; Limpitikul W.; Kittirat P.; Malasit P.; Avirutnan P.; Mairiang D.</t>
  </si>
  <si>
    <t xml:space="preserve">Haddawy, Peter (6701739890); Yin, Myat Su (56347534100); Meth, Panhavath (58454351700); Srikaew, Araya (58452240300); Wavemanee, Chonnikarn (58451547500); Niyom, Saranath Lawpoolsri (57204511828); Sriraksa, Kanokwan (57225054450); Limpitikul, Wannee (7801681213); Kittirat, Preedawadee (58455064600); Malasit, Prida (56261466400); Avirutnan, Panisadee (8344220300); Mairiang, Dumrong (55554504000)</t>
  </si>
  <si>
    <t xml:space="preserve">6701739890; 56347534100; 58454351700; 58452240300; 58451547500; 57204511828; 57225054450; 7801681213; 58455064600; 56261466400; 8344220300; 55554504000</t>
  </si>
  <si>
    <t xml:space="preserve">Prognostic Prediction of Pediatric DHF in Two Hospitals in Thailand</t>
  </si>
  <si>
    <t xml:space="preserve">Dengue virus infection is a major global health problem. While dengue fever rarely results in serious complications, the more severe illness dengue hemorrhagic fever (DHF) has a significant mortality rate due to the associated plasma leakage. Proper care thus requires identifying patients with DHF among those with suspected dengue so that they can be provided with adequate and prompt fluid replacement. In this paper, we use 18 years of pediatric patient data collected prospectively from two hospitals in Thailand to develop models to predict DHF among patients with suspected dengue. The best model using pooled data from both hospitals achieved an AUC of 0.92. We then investigate the generalizability of the models by constructing a model for one hospital and testing it on the other, a question that has not yet been adequately explored in the literature on DHF prediction. For some models, we find significant degradation in performance. We show this is due to differences in attribute values among the two hospital patient populations. Possible sources of this are differences in the definition of attributes and differences in the pathogenesis of the disease among the two sub-populations. We conclude that while high predictive accuracy is possible, care must be taken when seeking to apply DHF predictive models from one clinical setting to another. © 2023, The Author(s), under exclusive license to Springer Nature Switzerland AG.</t>
  </si>
  <si>
    <t xml:space="preserve">13897 LNAI</t>
  </si>
  <si>
    <t xml:space="preserve">10.1007/978-3-031-34344-5_36</t>
  </si>
  <si>
    <t xml:space="preserve">https://www.scopus.com/inward/record.uri?eid=2-s2.0-85164003286&amp;doi=10.1007%2f978-3-031-34344-5_36&amp;partnerID=40&amp;md5=aa8ee2b71d9d22f37f1db352ab488501</t>
  </si>
  <si>
    <t xml:space="preserve">Faculty of ICT, Mahidol University, Nakhon Pathom, 73170, Thailand; Bremen Spatial Cognition Center, University of Bremen, Bremen, 28359, Germany; Faculty of Tropical Medicine, Mahidol University, Bangkok, 10400, Thailand; Pediatric Department, Khon Kaen Hospital, Khon Kaen, 40000, Thailand; Pediatric Department, Songkhla Hospital, Songkhla, 90100, Thailand; Faculty of Medicine Siriraj Hospital, Mahidol University, Bangkok, 10700, Thailand; National Center for Genetic Engineering and Biotechnology, National Science and Technology Development Agency, Pathumthani, 12120, Thailand</t>
  </si>
  <si>
    <t xml:space="preserve">Haddawy P., Faculty of ICT, Mahidol University, Nakhon Pathom, 73170, Thailand, Bremen Spatial Cognition Center, University of Bremen, Bremen, 28359, Germany; Yin M.S., Faculty of ICT, Mahidol University, Nakhon Pathom, 73170, Thailand; Meth P., Faculty of ICT, Mahidol University, Nakhon Pathom, 73170, Thailand; Srikaew A., Faculty of ICT, Mahidol University, Nakhon Pathom, 73170, Thailand; Wavemanee C., Faculty of ICT, Mahidol University, Nakhon Pathom, 73170, Thailand; Niyom S.L., Faculty of Tropical Medicine, Mahidol University, Bangkok, 10400, Thailand; Sriraksa K., Pediatric Department, Khon Kaen Hospital, Khon Kaen, 40000, Thailand; Limpitikul W., Pediatric Department, Songkhla Hospital, Songkhla, 90100, Thailand; Kittirat P., Pediatric Department, Songkhla Hospital, Songkhla, 90100, Thailand; Malasit P., National Center for Genetic Engineering and Biotechnology, National Science and Technology Development Agency, Pathumthani, 12120, Thailand; Avirutnan P., Faculty of Medicine Siriraj Hospital, Mahidol University, Bangkok, 10700, Thailand; Mairiang D., Faculty of Medicine Siriraj Hospital, Mahidol University, Bangkok, 10700, Thailand, National Center for Genetic Engineering and Biotechnology, National Science and Technology Development Agency, Pathumthani, 12120, Thailand</t>
  </si>
  <si>
    <t xml:space="preserve">Clinical Decision Support; Dengue Hemorrhagic Fever; Generalizability; Machine learning; Pediatrics; Prognostic Prediction</t>
  </si>
  <si>
    <t xml:space="preserve">Decision support systems; Hospital data processing; Hospitals; Machine learning; Pediatrics; Viruses; Clinical decision support; Dengue fevers; Dengue hemorrhagic fever; Dengue virus; Generalizability; Global health; Machine-learning; Prognostic prediction; Thailand; Virus infection; Forecasting</t>
  </si>
  <si>
    <r>
      <rPr>
        <sz val="11"/>
        <color theme="1"/>
        <rFont val="Aptos Narrow"/>
        <family val="0"/>
        <charset val="1"/>
      </rPr>
      <t xml:space="preserve">Carlos III Research Institute, (PI19/00375); Center for Artificial Intelligence, (2019/07665-4); Coor-dena¸cão de Aperfei¸coamento de Pessoal de Ńıvel Superior; ERA PerMed; European Astronaut Centre; FEDER fund; German Federal Ministry of Health; Hanse-Wissenschaftskolleg Institute for Advanced Study; Innovate UK Regu; Junta de Andalucía and Universidad de Granada; Mahidol-Bremen Medical Informatics Research Unit; NHSX; Normandy County Council; Region North Denmark Health Innovation Foundation; Research Fund Flanders; Slovenian Research Agency Program; Spanish Ministry of Economic Affairs and Digital Transformation; Spanish Ministry of the Economy, Industry and Competitiveness; Spanish Secretariat of State for Digitization and Artificial Intelligence, (FPU18/02220); National Institutes of Health, NIH, (R01DK122073, R01DK131586, R01EB032752); National Institutes of Health, NIH; Defense Advanced Research Projects Agency, DARPA, (D20AC00002); Defense Advanced Research Projects Agency, DARPA; U.S. Department of the Interior, DOI; International Business Machines Corporation, IBM; Horizon 2020 Framework Programme, H2020, (876852); Horizon 2020 Framework Programme, H2020; H2020 Marie Skłodowska-Curie Actions, MSCA, (860974); H2020 Marie Skłodowska-Curie Actions, MSCA; Interior Business Center, IBC; Ministerio de Ciencia, Innovación y Universidades, MCIU, (R-933/2021); Ministerio de Ciencia, Innovación y Universidades, MCIU; National Institute for Health and Care Research, NIHR; European Commission, EC, (2021/C005/00150055); European Commission, EC; European Space Agency, ESA; Schweizerischer Nationalfonds zur Förderung der Wissenschaftlichen Forschung, SNF, (200021 197021); Schweizerischer Nationalfonds zur Förderung der Wissenschaftlichen Forschung, SNF; Fundação de Amparo à Pesquisa do Estado de São Paulo, FAPESP, (2020/06443-5, 2020/16543-7); Fundação de Amparo à Pesquisa do Estado de São Paulo, FAPESP; Coordenação de Aperfeiçoamento de Pessoal de Nível Superior, CAPES; Bundesministerium für Bildung und Forschung, BMBF, (01ZZ1802H); Bundesministerium für Bildung und Forschung, BMBF; Generalitat de Catalunya, (2021 SGR 01125); Generalitat de Catalunya; Stichting MS Research; Fonds Wetenschappelijk Onderzoek, FWO, (1S38023N); Fonds Wetenschappelijk Onderzoek, FWO; Ministero della Salute, (RF-2016-02362405); Ministero della Salute; Ministerio de Economía y Competitividad, MINECO; Ministero dell’Istruzione, dell’Università e della Ricerca, MIUR, (2017SNW5MB); Ministero dell’Istruzione, dell’Università e della Ricerca, MIUR; Università degli Studi di Padova, UNIPD, (C94I19001730001); Università degli Studi di Padova, UNIPD; Mahidol University, MU; National Science and Technology Development Agency, </t>
    </r>
    <r>
      <rPr>
        <sz val="11"/>
        <color theme="1"/>
        <rFont val="Arial Unicode MS"/>
        <family val="0"/>
        <charset val="1"/>
      </rPr>
      <t xml:space="preserve">สวทช</t>
    </r>
    <r>
      <rPr>
        <sz val="11"/>
        <color theme="1"/>
        <rFont val="Aptos Narrow"/>
        <family val="0"/>
        <charset val="1"/>
      </rPr>
      <t xml:space="preserve">, (P-20-52599); National Science and Technology Development Agency, </t>
    </r>
    <r>
      <rPr>
        <sz val="11"/>
        <color theme="1"/>
        <rFont val="Arial Unicode MS"/>
        <family val="0"/>
        <charset val="1"/>
      </rPr>
      <t xml:space="preserve">สวทช</t>
    </r>
    <r>
      <rPr>
        <sz val="11"/>
        <color theme="1"/>
        <rFont val="Aptos Narrow"/>
        <family val="0"/>
        <charset val="1"/>
      </rPr>
      <t xml:space="preserve">; Javna Agencija za Raziskovalno Dejavnost RS, ARRS, (L2-3170, P2-0209); Javna Agencija za Raziskovalno Dejavnost RS, ARRS; Universidad de Murcia; Narodowe Centrum Badań i Rozwoju, NCBR, (INFOSTRATEG-I/0022/2021-00); Narodowe Centrum Badań i Rozwoju, NCBR; European Regional Development Fund, ERDF; Medizinische Universität Graz, Med Uni Graz, (30-146 ex 17/18); Medizinische Universität Graz, Med Uni Graz; Vlaamse regering; Faculty of Medicine Siriraj Hospital, Mahidol University, (R016536004); Faculty of Medicine Siriraj Hospital, Mahidol University; Poul Due Jensens Fond</t>
    </r>
  </si>
  <si>
    <t xml:space="preserve">Funding text 1: Acknowledgement. This study received approval from the Ethics Committee of the Medical University of Graz (approval no. 30-146 ex 17/18) and was supported by a research grant from ERA PerMed within the project called “PreCareML”. The source codes of this study are publicly available in PreCareML/XAI Repository.; Funding text 2: Acknowledgements. Parts of this work were generously supported by a grant of the German Federal Ministry of Research and Education (01ZZ1802H).; Funding text 3: Acknowledgements. This work was funded by Research Fund Flanders (FWO fellowship 1S38023N) and supported by the Flemish government (through the AI Research Program) and Stichting MS Research (through a Monique Blom-de Wagt grant). We furthermore thank Professor Bénédicte Dubois, neurologist at UZ Leuven, for collecting the data that was used retrospectively in this work.; Funding text 4: Acknowledgement. This research was partially funded by the German Federal Ministry of Health as part of the KINBIOTICS project.; Funding text 5: Acknowledgments. This work was done and funded in the scope of the European Union’s Horizon 2020 research and innovation program, under project VALU3S (grant agreement no. 876852). This work has also received funding from UIDP/00760/2020. A publicly available dataset was utilized in this work. The data can be found at: https://hdl.handle.net/2268/191620.; Funding text 6: Acknowledgements. This work received joint funding from the European Regional Development Fund (ERDF), the Spanish Ministry of the Economy, Industry and Competitiveness (MINECO), the Carlos III Research Institute (grant no. PI19/00375), and received support from the Generalitat de Catalunya 2021 SGR 01125.; Funding text 7: the support. RT, SD have received funding from the Swiss National Science Foundation (SNSF), grant agreement No 200021 197021.; Funding text 8: Partly supported by FAPESP grants 2020/16543-7 and 2020/06443-5, and by Coor-dena¸cão de Aperfei¸coamento de Pessoal de Ńıvel Superior - Brasil (CAPES) - Finance Code 001. Carried out at the Center for Artificial Intelligence (C4AI-USP), supported by FAPESP grant 2019/07665-4 and by the IBM Corporation.; Funding text 9: Acknowledgements. This work was supported by the internship programme at the European Astronaut Centre (EAC), European Space Agency (ESA). The authors would like to thank dr. Guillauime Weerts and dr. Sergi Vaquer Araujo as the Space Medicine Team Leads and dr. Ulrich Straube for their support throughout this project. Mona Nasser’s research is partially supported by the National Institute for Health Research Applied Research Collaboration South West Peninsula. The views expressed in this publication are those of the author(s) and not necessarily those of the National Institute for Health Research or the Department of Health and Social Care or the European Space Agency.; Funding text 10: Acknowledgements. This work was supported by the Slovenian Research Agency Program Grant P2-0209. We would also like to thank the Slovenian National Institute of Public Health for their constructive cooperation.; Funding text 11: Supported by the Slovenian Research Agency grants P2-0209 and L2-3170.; Funding text 12: This study is co-funded by the Normandy County Council and the European Union (PredicAlert European Project - FEDER fund). Part of this work was performed using computing resources of CRIANN (Normandy, France). This work was performed using HPC resources from GENCI-IDRIS (Grant 2022-102446).; Funding text 13: Acknowledgments. This study received funding from the Region North Denmark Health Innovation Foundation. This study is also supported by the Poul Due Jensen Foundation.; Funding text 14: This work has been supported by project B-TIC-324-UGR20 FEDER/Junta de Andalucía and Universidad de Granada.; Funding text 15: Acknowledgments. This research was supported by the National Health Institute (NIH) under grant number R01DK122073.; Funding text 16: Acknowledgements. This work was financially supported by the Polish National Center for Research and Development grant number INFOSTRATEG-I/0022/2021-00, and carried out with the support of the Laboratory of Bioinformatics and Computational Genomics and the High Performance Computing Center of the Faculty of Mathematics and Information Science, Warsaw University of Technology.; Funding text 17: This work was funded by NHSX and the Innovate UK Regu-; Funding text 18: Acknowledgement. The work presented in this paper was supported in part by NIH grants R01EB032752 and R01DK131586. The content of this paper is solely the responsibility of the authors and does not necessarily represent the official views of NIH.; Funding text 19: Acknowledgements. this work was partially funded by the CONFAINCE project (Ref: PID2021-122194OB-I00) by MCIN/AEI/10.13039/501100011033 and, as appropriate, by “ERDF A way of making Europe”, by the “European Union”, and by the GRALENIA project (Ref: 2021/C005/00150055) supported by the Spanish Ministry of Economic Affairs and Digital Transformation, the Spanish Secretariat of State for Digitization and Artificial Intelligence, Red.es and by the NextGenerationEU funding. This research was also partially funded by a national grant (Ref: FPU18/02220), of the Spanish Ministry of Science, Innovation and Universities (MCIU) and by a mobility grant (Ref: R-933/2021), of the University of Murcia.; Funding text 20: Supported by the Defense Advanced Research Projects Agency (DARPA) through Cooperative Agreement D20AC00002 awarded by the U.S. Department of the Interior, Interior Business Center. The content of the article does not necessarily reflect the position or the policy of the Government, and no official endorsement should be inferred.; Funding text 21: Acknowledgements. This research was supported by the University of Padova project C94I19001730001, by the Italian Ministry of Health grant RF-2016-02362405, and by the Italian Ministry of Education, University and Research (PRIN) grant 2017SNW5MB.; Funding text 22: Acknowledgment. This work was partially supported by National Science and Technology Development Agency grant no. P-20-52599, Faculty of Medicine Siriraj Hospital, Mahidol University grant no. R016536004, a grant from the Mahidol University Office of International Relations to Haddawy in support of the Mahidol-Bremen Medical Informatics Research Unit, a Study Group grant from the Hanse-Wissenschaftskolleg Institute for Advanced Study to Haddawy, a fellowship from the Hanse-Wissenschaftskolleg Institute for Advanced Study, and by a Young Researcher grant from Mahidol University to Su Yin.; Funding text 23: Acknowledgements. This project has received funding from the European Union’s Horizon 2020 research and innovation programme under the Marie Sklodowska-Curie grant agreement No 860974. This publication reflects only the authors’ view, and the funding agencies are not responsible for any use that maybe made of the information it contains.</t>
  </si>
  <si>
    <t xml:space="preserve">Barak-Corren Y., Chaudhari P., Perniciaro J., Waltzman M., Fine A.M., Reis B.Y., Prediction across healthcare settings: A case study in predicting emergency department disposition. NPJ Digit, Med, 4, 1, pp. 1-7, (2021); Bhatt S., Et al., The global distribution and burden of dengue, Nature, 496, 7446, pp. 504-507, (2013); Burns M.L., Kheterpal, S.: Machine Learning Comes of Age: Local Impact versus National Generalizability, (2020); Carrasco L.R., Et al., Predictive tools for severe dengue conforming to world health organization 2009 criteria. PLoS Negl. Trop, Dis, 8, 7, (2014); Chandna A., Et al., Prediction of disease severity in young children presenting with acute febrile illness in resource-limited settings: A protocol for a prospective observational study. BMJ Open 11(1), E045826, (2021); Fernandez E., Smieja M., Walter S.D., Loeb M., A retrospective cohort study to predict severe dengue in Honduran patients, BMC Infect. Dis, 17, 1, pp. 1-6, (2017); Gomes A.L.V., Et al., Classification of dengue fever patients based on gene expression data using support vector machines, Plos ONE, 5, 6, (2010); Grzymala-Busse J.W., Discretization based on entropy and multiple scanning, Entropy, 15, 5, pp. 1486-1502, (2013); Herath H., Et al., Prediction of plasma leakage phase of dengue in resource limited settings. Clin. Epidemiol, Global Health, 7, 3, pp. 279-282, (2019); Ke G., Et al., LightGBM: A highly efficient gradient boosting decision tree, Advances in Neural Information Processing Systems, 30, (2017); Lee V.J., Lye D., Sun Y., Leo Y., Decision tree algorithm in deciding hospitalization for adult patients with dengue Haemorrhagic fever in Singapore, Trop. Med. Int. Health, 14, 9, pp. 1154-1159, (2009); McDermott M.B., Wang S., Marinsek N., Ranganath R., Foschini L., Ghassemi M., Reproducibility in machine learning for health research: Still a ways to go. Sci. Transl. Med. 13(586), Eabb1655, (2021); Phakhounthong K., Et al., Predicting the severity of dengue fever in children on admission based on clinical features and laboratory indicators: Application of classification tree analysis, BMC Pediatr, 18, 1, pp. 1-9, (2018); Tan K.W., Dynamic dengue Haemorrhagic fever calculators as clinical decision support tools in adult dengue, Trans. R. Soc. Trop. Med. Hyg, 114, 1, pp. 7-15, (2020); Department of Control of Neglected Tropical Diseases and World Health Organization. Epidemic and Pandemic Alert: Dengue: Guidelines for diagnosis, treatment, prevention and control, World Health Organization, (2009); Yang J., Soltan A.A., Clifton D.A., Machine learning generalizability across healthcare settings: Insights from multi-site COVID-19 screening. NPJ Digit, Med, 5, 1, pp. 1-8, (2022)</t>
  </si>
  <si>
    <t xml:space="preserve">M.S. Yin; Faculty of ICT, Mahidol University, Nakhon Pathom, 73170, Thailand; email: myatsu.yin@mahidol.edu</t>
  </si>
  <si>
    <t xml:space="preserve">Juarez J.M.; Marcos M.; Stiglic G.; Tucker A.</t>
  </si>
  <si>
    <t xml:space="preserve">21st International Conference on Artificial Intelligence in Medicine, AIME 2023</t>
  </si>
  <si>
    <t xml:space="preserve">12 June 2023 through 15 June 2023</t>
  </si>
  <si>
    <t xml:space="preserve">Portoroz</t>
  </si>
  <si>
    <t xml:space="preserve">978-303134343-8</t>
  </si>
  <si>
    <t xml:space="preserve">2-s2.0-85164003286</t>
  </si>
  <si>
    <t xml:space="preserve">Sharma H.; Jain S.; Vasudeva A.</t>
  </si>
  <si>
    <t xml:space="preserve">Sharma, Himanshu (58709486800); Jain, Shruti (7404324730); Vasudeva, Amol (35109928400)</t>
  </si>
  <si>
    <t xml:space="preserve">58709486800; 7404324730; 35109928400</t>
  </si>
  <si>
    <t xml:space="preserve">Recognition System for Malarial Parasites Causing Protozoa Infections in Thin Blood Smears</t>
  </si>
  <si>
    <t xml:space="preserve">Fungi, bacteria, and protozoa are the primary agents of infectious diseases. Bacteria are the prokaryote kingdom, and yeast mold belongs to the fungi kingdom. Protists are the kingdom of protozoa. The malaria parasite is nothing but Plasmodium, a genus of parasitic protozoa. Parasites are organisms that use another organism directly to their benefit. This research article uses a computer-aided diagnostic tool to recognize malarial parasites that result in protozoa infections in thin blood smears. Six different machine learning algorithms were used, out of which the support vector machine resulted in 89.94% accuracy. The results are validated using the proposed Convolution Neural Network (CNN) model. With convolution and pooling processes for each pixel, CNN learns more compelling features, thus resulting in a much better decision hyperplane. The different layers were designed to get better accuracy. The accuracy of 96.46% is attained using CNN, which results in a 6.76 % accuracy improvement.  © 2023 IEEE.</t>
  </si>
  <si>
    <t xml:space="preserve">2023 IEEE 4th Annual Flagship India Council International Subsections Conference: Computational Intelligence and Learning Systems, INDISCON 2023</t>
  </si>
  <si>
    <t xml:space="preserve">10.1109/INDISCON58499.2023.10270348</t>
  </si>
  <si>
    <t xml:space="preserve">https://www.scopus.com/inward/record.uri?eid=2-s2.0-85174798631&amp;doi=10.1109%2fINDISCON58499.2023.10270348&amp;partnerID=40&amp;md5=4701025cd22805f863d1b98eae1e1f54</t>
  </si>
  <si>
    <t xml:space="preserve">Jaypee University of Information Technology, Department of Cse &amp; It, Himachal Pradesh, Solan, India; Jaypee University of Information Technology, Department of Ece, Himachal Pradesh, Solan, India</t>
  </si>
  <si>
    <t xml:space="preserve">Sharma H., Jaypee University of Information Technology, Department of Cse &amp; It, Himachal Pradesh, Solan, India; Jain S., Jaypee University of Information Technology, Department of Ece, Himachal Pradesh, Solan, India; Vasudeva A., Jaypee University of Information Technology, Department of Cse &amp; It, Himachal Pradesh, Solan, India</t>
  </si>
  <si>
    <t xml:space="preserve">CNN; machine learning; Malaria parasites; preprocessing; protozoa</t>
  </si>
  <si>
    <t xml:space="preserve">Bacteria; Blood; Convolution; Diagnosis; Diseases; Learning algorithms; Protozoa; Support vector machines; Blood smears; Convolution neural network; Infectious disease; Machine-learning; Malaria parasite; Malarial parasites; Parasite-; Parasitics; Preprocessing; Recognition systems; Fungi</t>
  </si>
  <si>
    <t xml:space="preserve">Bashir A., Mustafa Z.A., Abdelhameid I., Ibrahem R., Detection of malaria parasites using digital image processing, 2017 International Conference on Communication, Control, Computing and Electronics Engineering (ICCCCEE), pp. 1-5, (2017); Patel A., Dobariya Z., Paramar C., A Survey on Detection of Malarial Parasites in Blood Using Image Processing, International Journal of Innovative Research in Computer and Communication Engineering, 1, 6, pp. 48-52, (2014); Punitha S., Logeshwari P., P. Sivaranjani P., Priyanka S., Detection of Malarial Parasite in Blood Using Image Processing Asian Journal of Applied Science and Technology (AJAST), 1, 2, pp. 211-213, (2017); Savkare S.S., Narote S.P., Automatic Detection of Malaria Parasites for Estimating Parasitemia, International Journal of Computer Science and Security (IJCSS), 5, 3, pp. 310-315, (2011); Ghate D., Jadhav C., Usha Rani N., Automatic detection of parasite from blood images, International Journal of Advanced Computer Technology (IJACT), 4, 1, pp. 129-132, (2011); Rakshit P., Bhowmik K., Detection of presence of parasites in human RBC in case of diagnosing malaria using image processing, 2013 IEEE Second International Conference on Image Information Processing (ICIIP-2013), pp. 329-334, (2013); Suwalka I., Sanadhya A., Mathur A., Chouhan M.S., Identify malaria parasite using pattern recognition technique, 2012 International Conference on Computing, Communication and Applications, pp. 1-4, (2012); Who Report 2015, (2015); Mendez-Vilas A., Joshua D., Microscopic determination of malaria parasite load: role of image analysis, Medicine, (2011); Moon S., Lee S., Kim H., Freitas-Junior L.H., Kang M., Ayong L., Hansen M.A.E., An Image Analysis Algorithm for Malaria Parasite Stage Classification and Viability Quantification, PLoS One., 8, 4, (2013); Jan Z., Khan A., Sajjad M., Et al., A review on automated diagnosis of malaria parasite in microscopic blood smears images, Multimed Tools Appl, 77, pp. 9801-9826, (2018); Poostchi M., Silamut K., Maude R.J., Jaeger S., Thoma G., Image analysis and machine learning for detecting malaria, Translational Research, 194, pp. 36-55, (2018); Awchite A., Pasalkar K., Killedar M., Dongre S., Godse S.P., Detection of Malaria and Anaemia parasites in blood using image processing, International journal of innovative research in science engineering and technology, 6, 5, pp. 9633-9644, (2017); Anand A., Chhaniwal V.K., Patel N.R., Javidi B., Automatic Identification of Malaria-Infected RBC With Digital Holographic Microscopy Using Correlation Algorithms, IEEE Photonics Journal, 4, 5, pp. 1456-1464, (2012); Khan N.A., Pervaz H., Latif A.K., Musharraf A., Saniya, Unsupervised identification of malaria parasites using computer vision, 2014 11th International Joint Conference on Computer Science and Software Engineering (JCSSE), pp. 263-267, (2014); Ahirwar N., Pattnaik S., Acharya B., Advanced Image Analysis based System for Automatic Detection and Classification of Malarial Parasite In Blood Images, International Journal of Information Technology and Knowledge Management, 5, 1, pp. 59-64, (2012); Tek F.B., Dempster A.G., Kale I., Malaria parasite detection in peripheral blood images. in: Chantler, British Machine Vision Conference 2006 (BMVC 2006); Suryawanshi S.R., Dixit V.V., Comparative Study of Malaria Parasite Detection using Euclidean Distance Classifier &amp; SVM, International Journal of Advanced Research in Computer Engineering &amp; Technology (IJARCET), 2, 11, (2013); Roy K., Detection of Malaria Parasite in Giemsa Blood Sample Using Image Processing, (2018); Somasekar J., Reddy B.E., Reddy E.K., Lai C., An Image Processing Approach for Accurate Determination of Parasitemia in Peripheral Blood Smear Images, IJCA Special Issue on Novel Aspects of Digital Imaging Applications (DIA), 1, pp. 23-28, (2011); Krishnadas P., K Chadaga K., Sampathila N., Rao S., Sk S., Prabhu S., Classification of Malaria Using Object Detection Models, Informatics., 9, 4, (2022); Maity M., Maity A.K., Dutta P.K., Chakraborty C., Article: A Web-accessible Framework for Automated Storage with Compression and Textural Classification of Malaria Parasite Images, International Journal of Computer Applications, 52, 15, pp. 31-39, (2012); Maqsood A., Farid M.S., Khan M.H., Grzegorzek M., Deep Malaria Parasite Detection in Thin Blood Smear Microscopic Images, Applied Sciences., 11, 5, (2021); Pattanaik P.A., Wang Z., Horain P., Deep CNN frameworks comparison for malaria diagnosis. IMVIP 2019: Irish Machine Vision &amp; Image Processing; Nugroho H.A., Akbar S.A., Murrhandarwati E.E.H., Feature extraction and classification for detection Malaria Parasites in thin blood smear, 2015 2nd International Conference on Information Technology, Computer, and Electrical Engineering (ICITACEE), pp. 197-201, (2015); Zheng Z., Ong L.L., Kong F., Matthew A., Dauwels J., Ming D., Asad H., Image classification of unlabeled malaria parasites in red blood cells, Annu Int Conf IEEE Eng Med Biol Soc., 2016, pp. 3981-3984, (2016); Salau A.O., Jain S., Feature Extraction: A Survey of the Types, Techniques, Applications, 2019 International Conference on Signal Processing and Communication (ICSC), pp. 158-164, (2019); Jain S., Salau A.O., An image feature selection approach for dimensionality reduction based on kNN and SVM for AkT proteins, Cogent Engineering, 6, (2019); Jain S., Computer Aided Detection system for the Classification of Non Small Cell Lung Lesions using SVM, Current Computer-Aided Drug Design, 16, 6, pp. 833-840, (2021); Jain S., Sood M., SVM Classification of Cell Survival/Apoptotic Death for Color Texture Images of Survival Receptor Proteins, International Journal on Emerging Technologies, 10, 2, pp. 23-28, (2019)</t>
  </si>
  <si>
    <t xml:space="preserve">Boeing</t>
  </si>
  <si>
    <t xml:space="preserve">4th IEEE Annual Flagship India Council International Subsections Conference, INDISCON 2023</t>
  </si>
  <si>
    <t xml:space="preserve">5 August 2023 through 7 August 2023</t>
  </si>
  <si>
    <t xml:space="preserve">Mysore</t>
  </si>
  <si>
    <t xml:space="preserve">979-835033355-8</t>
  </si>
  <si>
    <t xml:space="preserve">IEEE Annu. Flagship India Counc. Int. Subsections Conf.: Comput. Intell. Learn. Syst., INDISCON</t>
  </si>
  <si>
    <t xml:space="preserve">2-s2.0-85174798631</t>
  </si>
  <si>
    <t xml:space="preserve">Zhang X.; Chen B.</t>
  </si>
  <si>
    <t xml:space="preserve">Zhang, Xiujie (58169843100); Chen, Baiyi (59068050000)</t>
  </si>
  <si>
    <t xml:space="preserve">58169843100; 59068050000</t>
  </si>
  <si>
    <t xml:space="preserve">Research on Malaria Parasite Detection in Thick Blood Smears Based on YOLO-VF</t>
  </si>
  <si>
    <t xml:space="preserve">Aiming at the low detection efficiency of Plasmodium vivax in microscopic thick blood smears of malaria patients, which is prone to omission and false detection, a lightweight deep learning algorithm YOLO-VF is proposed, which is based on the improvement of YOLOv7-Tiny, which improves the coordinate regression loss function and up-sampling operator, and introduces a dynamic convolutional and dynamic detection head. It is experimentally demonstrated that the improved scheme provides more accurate detection of microscopic pathogens in the images and achieves superiority in detection speed. Tested on images containing three datasets of Plasmodium vivax, Plasmodium falciparum, and uninfected people, the average detection accuracy is improved by 1.9% while the model inference speed reaches 29.772ms and the model parameters are reduced by 50.76%.  © 2023 IEEE.</t>
  </si>
  <si>
    <t xml:space="preserve">2023 5th International Academic Exchange Conference on Science and Technology Innovation, IAECST 2023</t>
  </si>
  <si>
    <t xml:space="preserve">10.1109/IAECST60924.2023.10502526</t>
  </si>
  <si>
    <t xml:space="preserve">https://www.scopus.com/inward/record.uri?eid=2-s2.0-85192385230&amp;doi=10.1109%2fIAECST60924.2023.10502526&amp;partnerID=40&amp;md5=5a376d8a478d38a36dd747b94bc71732</t>
  </si>
  <si>
    <t xml:space="preserve">Chongqing University of Technology, College of Computer Science and Engineering, Chongqing, China</t>
  </si>
  <si>
    <t xml:space="preserve">Zhang X., Chongqing University of Technology, College of Computer Science and Engineering, Chongqing, China; Chen B., Chongqing University of Technology, College of Computer Science and Engineering, Chongqing, China</t>
  </si>
  <si>
    <t xml:space="preserve">deep learning; medical images; plasmodium; thick blood smear; YOLOv7-Tiny</t>
  </si>
  <si>
    <t xml:space="preserve">Blood; Deep learning; Diseases; Image enhancement; Medical imaging; Blood smears; Deep learning; Detection efficiency; False detections; Malaria parasite; Medical image; Plasmodium; Plasmodium vivax; Thick blood smear; YOLOv7-tiny; Learning algorithms</t>
  </si>
  <si>
    <t xml:space="preserve">Yang F., Poostchi M., Yu H., Et al., Deep Learning for Smartphone-Based Malaria Parasite Detection in Thick Blood Smears[J], IEEE Journal of Biomedical and Health Informatics, 24, 5, pp. 1427-1438, (2020); Wang C.Y., Bochkovskiy A., Liao H.Y.M., YOLOv7: Trainable bag-of-freebies sets new state-of-the-art for real-time object detectors [J], (2022); Zhang C.W., Zhang C.L., He Q., Et al., Research on box regression loss function in target detection[J], Computer Engineering and Applications, 57, 20, (2021); Zhang J., Research on tree detection method for high-resolution remote sensing images based on deep learning [D], (2020); Tian D., Han Y., Wang S., Et al., Absolute size IoU loss for the bounding box regression of the object detection[J], Neurocomputing, (2022); Wang J., Xu C., Yang W., Et al., A Normalized Gaussian Wasserstein Distance for Tiny Object Detection [J], (2021); Li C., Zhou A., Yao A., Omni Dimensional Dynamic Convolution[C], International Conference on Learning Representations, (2022); Loy C.C., Lin D., Wang J., Et al., CARAFE: Content-Aware ReAssembly of FEatures, (2019); Xiyang D., Yinpeng C., Bin X., Et al., Dynamic Head: Unifying Object Detection Heads with Attentions[C], Computer Vision and Pattern Recognition, pp. 7373-7382, (2021); Kassim Y., Yang F., Yu H., Et al., Diagnosing Malaria Patients with Plasmodium falciparum and vivax Using Deep Learning for Thick Smear Images [J], Diagnostics, (2021); Liu J., Research on Model Alignment Technology and Application in Digital Inspection of Blade [D], (2006); Mousouliotis P.G., Petrou L.P., CNN-Grinder: From Algorithmic to High-Level Synthesis descriptions of CNNs for Low-end-low-cost FPGA SoCs [J], Microprocessors and Microsystems, 73, (2020)</t>
  </si>
  <si>
    <t xml:space="preserve">B. Chen; Chongqing University of Technology, College of Computer Science and Engineering, Chongqing, China; email: chenbaiyiaz97@163.com</t>
  </si>
  <si>
    <t xml:space="preserve">5th International Academic Exchange Conference on Science and Technology Innovation, IAECST 2023</t>
  </si>
  <si>
    <t xml:space="preserve">8 December 2023 through 10 December 2023</t>
  </si>
  <si>
    <t xml:space="preserve">Hybrid, Guangzhou</t>
  </si>
  <si>
    <t xml:space="preserve">979-835035773-8</t>
  </si>
  <si>
    <t xml:space="preserve">Int. Acad. Exch. Conf. Sci. Technol. Innov., IAECST</t>
  </si>
  <si>
    <t xml:space="preserve">2-s2.0-85192385230</t>
  </si>
  <si>
    <t xml:space="preserve">Kandula A.R.; Kalyanapu S.; Gottipati L.S.; Kamma H.; Munagala M.; Ramachandran P.</t>
  </si>
  <si>
    <t xml:space="preserve">Kandula, Ashok Reddy (57222164508); Kalyanapu, Srinivas (57209506527); Gottipati, Likitha Sai (58512428000); Kamma, Harika (58513154400); Munagala, Mohitha (58511939900); Ramachandran, Priyadarshini (58513154500)</t>
  </si>
  <si>
    <t xml:space="preserve">57222164508; 57209506527; 58512428000; 58513154400; 58511939900; 58513154500</t>
  </si>
  <si>
    <t xml:space="preserve">Revolutionizing Malaria Diagnosis: A Deep Learning Approach</t>
  </si>
  <si>
    <t xml:space="preserve">Malaria is a hazardous disease affecting millions worldwide, and early, accurate diagnosis is crucial for leveraging effective treatment. The proposed method involves training the VGG19 algorithm on a large dataset of images that detects the presence of malaria parasites. The outcomes show the effectiveness of the suggested strategy, with a 95 percent accuracy rate in identifying cells infected with malaria. The suggested method can potentially increase the effectiveness of malaria diagnosis, especially in an environment with limited resources and access to qualified medical personnel.  © 2023 IEEE.</t>
  </si>
  <si>
    <t xml:space="preserve">International Conference on Sustainable Computing and Smart Systems, ICSCSS 2023 - Proceedings</t>
  </si>
  <si>
    <t xml:space="preserve">10.1109/ICSCSS57650.2023.10169586</t>
  </si>
  <si>
    <t xml:space="preserve">https://www.scopus.com/inward/record.uri?eid=2-s2.0-85166216848&amp;doi=10.1109%2fICSCSS57650.2023.10169586&amp;partnerID=40&amp;md5=cbab22fe097154b3b36306f950bc09b5</t>
  </si>
  <si>
    <t xml:space="preserve">Seshadri Rao Gudlavalleru Engineering College, Dept. of Ai&amp;ds, Gudlavalleru, India</t>
  </si>
  <si>
    <t xml:space="preserve">Kandula A.R., Seshadri Rao Gudlavalleru Engineering College, Dept. of Ai&amp;ds, Gudlavalleru, India; Kalyanapu S., Seshadri Rao Gudlavalleru Engineering College, Dept. of Ai&amp;ds, Gudlavalleru, India; Gottipati L.S., Seshadri Rao Gudlavalleru Engineering College, Dept. of Ai&amp;ds, Gudlavalleru, India; Kamma H., Seshadri Rao Gudlavalleru Engineering College, Dept. of Ai&amp;ds, Gudlavalleru, India; Munagala M., Seshadri Rao Gudlavalleru Engineering College, Dept. of Ai&amp;ds, Gudlavalleru, India; Ramachandran P., Seshadri Rao Gudlavalleru Engineering College, Dept. of Ai&amp;ds, Gudlavalleru, India</t>
  </si>
  <si>
    <t xml:space="preserve">cell images; diagnosis; Malaria detection; vgg19</t>
  </si>
  <si>
    <t xml:space="preserve">Deep learning; Diseases; Large dataset; Accuracy rate; Cell images; Large datasets; Learning approach; Malaria detection; Malaria diagnosis; Malaria parasite; Medical personnel; Vgg19; Diagnosis</t>
  </si>
  <si>
    <t xml:space="preserve">World malaria report 2020, (2020); Han J., Kamber M., Pei J., Data mining: concepts and techniques, (2011); Adedokun M.G., Adebiyi A.A., Adesomoju A.A., Akinbiyi A.A., Computer-aided diagnosis of malaria using digital image processing of microscopic images, International Journal of Emerging Technology and Advanced Engineering, 4, 11, pp. 237-242, (2014); Singh A., Acharya U.R., Ng E.Y.K., Eugene L.W., Kah J.C., Computer-aided malaria infection diagnosis using texture, shape, and color features, Journal of Medical Systems, 38, 7, (2014); Das D.K., Mukhopadhyay S., Dutta P., Malaria detection using an ensemble of SVM classifiers with color histogram feature extraction, Journal of Medical Systems, 41, 4, (2017); Bhattacharya S., Kar R., Datta S., Computer-aided malaria diagnosis system using image processing and machine learning techniques, International Journal of Computer Applications, 171, 7, pp. 22-27, (2017); Rajaraman S., Antani S.K., Poostchi M., Silamut K., Hossain M.A., Maude R.J., Jaeger S., Thoma G.R., Pre-trained convolutional neural networks as feature extractors toward improved malaria parasite detection in thin blood smear images, PeerJ, 6, (2018); Adedokun A.O., Oluleye T.S., Akinwale O.P., Adeyemo T.A., Malaria Detection Using Rule-Based Classification, International Journal of Engineering and Technology, 10, 2, pp. 84-91, (2018); Kandula A.R., Sathya R., Narayana S., Comparative Analysis of Machine Learning Techniques On Genetic Mutation Based Cancer Diagnosis Data, Journal of Theoretical and Applied Information Technology, 100, 6, (2022); Kandula A.R., Tamilarasi K., Maan S., Deep Neural Network for Image Recognition in Medical Diagnosis, Journal of Pharmaceutical Negative Results, 13, 2022; Kandula A.R., Sathya R., Narayana S., Multivariate Analysis on Personalized Cancer Data using a Hybrid Classification Model using Voting Classifier, International Journal of Intelligent Systems and Applications in Engineering, 11, 1, pp. 354-362, (2023); Du X., Cai Y., Wang S., Zhang L., Overview of deep learning, 2016 31st Youth Academic Annual Conference of Chinese Association of Automation (YAC), pp. 159-164, (2016); Mascarenhas S., Agarwal M., A comparison between VGG16, VGG19 and ResNet50 architecture frameworks for Image Classification, 2021 International Conference on Disruptive Technologies for Multi-Disciplinary Research and Applications (CENTCON), pp. 96-99, (2021); Wen L., Li X., Li X., Gao L., A New Transfer Learning Based on VGG-19 Network for Fault Diagnosis, 2019 IEEE 23rd International Conference on Computer Supported Cooperative Work in Design (CSCWD), pp. 205-209, (2019); Dufera M., Dabsu R., Tiruneh G., Assessment of malaria as a public health problem in and around Arjo Didhessa sugar cane plantation area, Western Ethiopia, BMC Public Health, 20, (2020)</t>
  </si>
  <si>
    <t xml:space="preserve">A.R. Kandula; Seshadri Rao Gudlavalleru Engineering College, Dept. of Ai&amp;ds, Gudlavalleru, India; email: ashokreddy.gec@gmail.com</t>
  </si>
  <si>
    <t xml:space="preserve">2023 International Conference on Sustainable Computing and Smart Systems, ICSCSS 2023</t>
  </si>
  <si>
    <t xml:space="preserve">14 June 2023 through 16 June 2023</t>
  </si>
  <si>
    <t xml:space="preserve">979-835033360-2</t>
  </si>
  <si>
    <t xml:space="preserve">Int. Conf. Sustain. Comput. Smart Syst., ICSCSS - Proc.</t>
  </si>
  <si>
    <t xml:space="preserve">2-s2.0-85166216848</t>
  </si>
  <si>
    <t xml:space="preserve">Härer D.; Kraft K.; Ibenthal A.</t>
  </si>
  <si>
    <t xml:space="preserve">Härer, David (58636075600); Kraft, Konrad (58636204400); Ibenthal, Achim (6603205449)</t>
  </si>
  <si>
    <t xml:space="preserve">58636075600; 58636204400; 6603205449</t>
  </si>
  <si>
    <t xml:space="preserve">Small Training Datasets for Deep Learning Based Medical Diagnosis</t>
  </si>
  <si>
    <t xml:space="preserve">In a computer-aided diagnosis framework binary, patch-based classification of malaria from thick blood smear images is investigated. Following a state-of-the-art study on malaria, deep learning and transfer learning, classical networks like ResNet are being adapted and optimized for training by the public dataset of the Automated Laboratory Diagnostics project of John A. Quinn et al. at Makerere University, Uganda. The dataset comprises 2,703 thick blood smear images treated with Fields stain. Furthermore models are cross-validated on other thick and thin blood smear datasets treated with Giemsa stain. Data augmentation with zoomed-in versions of the image tiles in the training dataset and the use of shallow models with relatively few network parameters is evaluated as a solution to the problem of small training databases. Using grid search, optimum hyperparameters for learning rate scheduling are found empirically for each network architecture. The self-developed deep learning models achieve a TP (True-Positive) rate of 98% at a FP (False-Positive) rate of 0.9% on the thick blood smear images and a TP rate of 90% at a FP rate of 8% on the thin blood smear images. The maximum validation accuracy over the set of models and hyperparameters is 99.3%. © 2023, The Author(s), under exclusive license to Springer Nature Switzerland AG.</t>
  </si>
  <si>
    <t xml:space="preserve">1800 CCIS</t>
  </si>
  <si>
    <t xml:space="preserve">10.1007/978-3-031-31327-1_8</t>
  </si>
  <si>
    <t xml:space="preserve">https://www.scopus.com/inward/record.uri?eid=2-s2.0-85173564705&amp;doi=10.1007%2f978-3-031-31327-1_8&amp;partnerID=40&amp;md5=484bf165ac6a6eb7c1821df50f3ef819</t>
  </si>
  <si>
    <t xml:space="preserve">HAWK University of Applied Sciences and Arts, Göttingen, Germany</t>
  </si>
  <si>
    <t xml:space="preserve">Härer D., HAWK University of Applied Sciences and Arts, Göttingen, Germany; Kraft K., HAWK University of Applied Sciences and Arts, Göttingen, Germany; Ibenthal A., HAWK University of Applied Sciences and Arts, Göttingen, Germany</t>
  </si>
  <si>
    <t xml:space="preserve">classification; deep learning; hyperparameters; malaria; neural networks; small dataset</t>
  </si>
  <si>
    <t xml:space="preserve">Blood; Classification (of information); Deep learning; Diseases; Learning systems; Network architecture; Blood smears; Deep learning; False positive rates; Hyper-parameter; Malaria; Neural-networks; Small data set; Small training; Training dataset; True positive rates; Computer aided diagnosis</t>
  </si>
  <si>
    <t xml:space="preserve">Ethiopian Artificial Intelligence Institute; HAWK; Deutscher Akademischer Austauschdienst, DAAD</t>
  </si>
  <si>
    <t xml:space="preserve">Funding text 1: Supported by DAAD and HAWK.; Funding text 2: Supported by Ethiopian Artificial Intelligence Institute.</t>
  </si>
  <si>
    <t xml:space="preserve">Design and implementation of a highly efficient three-level t-type converter for low-voltage applications, IEEE Transactions on Power Electronics, 28, 2, (2013); Design and implementation of a highly efficient three-level t-type converter for low-voltage applications, IEEE Transactions on Power Electronics, 28, 2, (2013); Abubakar A., Ajuji M., Yahya I.U., DeepFMD: Computational analysis for malaria detection in blood-smear images using deep-learning features, Appl. Syst. Innov., 4, 4, (2021); Design and implementation of a highly efficient three-level t-type converter for low-voltage applications, IEEE Transactions on Power Electronics, 28, 2, (2013); Design and implementation of a highly efficient three-level t-type converter for low-voltage applications, IEEE Transactions on Power Electronics, 28, 2, (2013); Design and implementation of a highly efficient three-level t-type converter for low-voltage applications, IEEE Transactions on Power Electronics, 28, 2, (2013); Design and implementation of a highly efficient three-level t-type converter for low-voltage applications, IEEE Transactions on Power Electronics, 28, 2, (2013); Design and implementation of a highly efficient three-level t-type converter for low-voltage applications, IEEE Transactions on Power Electronics, 28, 2, (2013); Design and implementation of a highly efficient three-level t-type converter for low-voltage applications, IEEE Transactions on Power Electronics, 28, 2, (2013); Design and implementation of a highly efficient three-level t-type converter for low-voltage applications, IEEE Transactions on Power Electronics, 28, 2, (2013); Alemu M., Et al., Performance of laboratory professionals working on malaria microscopy in tigray, north ethiopia, J. Parasitol. Res., (2017); Chakradeo K., Delves M., Titarenko S., Malaria parasite detection using deep learning methods, Int. J. Comput. Inf. Eng., 15, 2, pp. 175-182, (2021); Design and implementation of a highly efficient three-level t-type converter for low-voltage applications, IEEE Transactions on Power Electronics, 28, 2, (2013); Fuhad K., Tuba J., Sarker M., Momen S., Mohammed N., Rahman T., Deep learning based automatic malaria parasite detection from blood smear and its smartphone based application, Diagnostics (Basel), 10, 5, (2020); Gezahegn Y.G., E-Mail Correspondence, (2019); Design and implementation of a highly efficient three-level t-type converter for low-voltage applications, IEEE Transactions on Power Electronics, 28, 2, (2013); He K., Zhang X., Ren S., Sun J., Deep Residual Learning for Image Recognition, (2015); Design and implementation of a highly efficient three-level t-type converter for low-voltage applications, IEEE Transactions on Power Electronics, 28, 2, (2013); Harer D., Deep Learning on Small Image Datasets for Computer Aided Medical Diagnosis-Binary Patch Based Classification and Localization of Plasmodia. Bachelor’s Thesis, (2019); Jan Z., Khan A., Sajjad M., Muhammad K., Rho S., Mehmood I., A review on automated diagnosis of malaria parasite in microscopic blood smears images, Multimed. Tools Appl, 77, 8, pp. 9801-9826, (2018); Kapoor R., Malaria Detection Using Deep Convolutional Network, (2020); Kraft K., Automatic Plasmodium Highlighting in Thick Blood Smear Images Using Deep Learning. Bachelor’s Thesis, (2019); Li S., Du Z., Meng X., Zhang Y., Multi-stage malaria parasite recognition by deep learning, Gigascience, 10, 6, (2016); Negi A., Kumar K., Chauhan P., Machine Learning for Healthcare Applications, chap. 12: Deep Learning-Based Image Classifier for Malaria Cell Detection, Blackie Academic, 187-197, (2021); Design and implementation of a highly efficient three-level t-type converter for low-voltage applications, IEEE Transactions on Power Electronics, 28, 2, (2013); Oyewola D.O., Dada E.G., Misra S., Damasevicius R., A novel data augmentation convolutional neural network for detecting malaria parasite in blood smear images, Appl. Artif. Intell., 36, 1, (2022); Poostchi M., Silamut K., Maude R.J., Jaeger S., Thoma G., Image analysis and machine learning for detecting malaria, Transl. Res., 194, pp. 36-55, (2018); Quinn J.A., Andama A., Munabi I., Kiwanuka F.N., Automated Blood Smear Analysis for Mobile Malaria Diagnosis. In: Mobile Point-Of-Care Monitors and Diagnostic Device Design, pp. 115-135, (2014); Quinn J.A., Nakasi R., Mugagga P.K.B., Byanyima P., Lubega W., Andama A., Deep Convolutional Neural Networks for Microscopy-Based Point of Care Diagnostics, (2016); Shah D., Kawale K., Shah M., Randive S., Mapari R., Malaria parasite detection using deep learning: (beneficial to humankind), 2020 4Th International Conference on Intelligent Computing and Control Systems (ICICCS), pp. 984-988, (2020); Design and implementation of a highly efficient three-level t-type converter for low-voltage applications, IEEE Transactions on Power Electronics, 28, 2, (2013); Design and implementation of a highly efficient three-level t-type converter for low-voltage applications, IEEE Transactions on Power Electronics, 28, 2, (2013)</t>
  </si>
  <si>
    <t xml:space="preserve">D. Härer; HAWK University of Applied Sciences and Arts, Göttingen, Germany; email: david@haerer.dev</t>
  </si>
  <si>
    <t xml:space="preserve">Girma Debelee T.; Ibenthal A.; Schwenker F.</t>
  </si>
  <si>
    <t xml:space="preserve">1st Pan-African Conference on Artificial Intelligence, PanAfriCon AI 2022</t>
  </si>
  <si>
    <t xml:space="preserve">4 October 2022 through 5 October 2022</t>
  </si>
  <si>
    <t xml:space="preserve">Addis Ababa</t>
  </si>
  <si>
    <t xml:space="preserve">978-303131326-4</t>
  </si>
  <si>
    <t xml:space="preserve">2-s2.0-85173564705</t>
  </si>
  <si>
    <t xml:space="preserve">Al-Hagree S.; Alalayah K.M.; Al-Majmar N.A.; Mohsen A.A.; Aqlan A.; Alhel-Iani M.; Mohammed M.; Albazel M.; Al-Qasem F.; Mohammed Aljafari M.; Musleh A.; Alnedam I.</t>
  </si>
  <si>
    <t xml:space="preserve">Al-Hagree, Salah (57216314598); Alalayah, Khaled M. (57190568317); Al-Majmar, Nashwan Ahmed (57213355598); Mohsen, Ayedh Abdulaziz (57216313950); Aqlan, Amal (57223299201); Alhel-Iani, Mostafa (58727961000); Mohammed, Merown (57212285027); Albazel, Mohammad (57261467800); Al-Qasem, Fahd (58727162700); Mohammed Aljafari, Motea (58729545300); Musleh, Abdulbaset (58727162800); Alnedam, Ibrahim (57423027400)</t>
  </si>
  <si>
    <t xml:space="preserve">57216314598; 57190568317; 57213355598; 57216313950; 57223299201; 58727961000; 57212285027; 57261467800; 58727162700; 58729545300; 58727162800; 57423027400</t>
  </si>
  <si>
    <t xml:space="preserve">Smart System for Dengue Fever Diagnosis: A Machine Learning Approach</t>
  </si>
  <si>
    <t xml:space="preserve">Dengue fever is a serious illness that can lead to death in areas where epidemics spread and in third world countries. Early diagnosis is crucial in preventing the severity of the disease and avoiding fatalities. To address this issue, a smart Android application has been developed that uses machine learning algorithms such as the decision tree to diagnose dengue patients. The decision tree algorithm was found to be the most accurate, with an accuracy rate of 93.7%, while other algorithms like close neighborhood had an accuracy rate of 74.29%, naïve bays had an accuracy rate of 93.07%, and SVM had an accuracy rate of 68.32%. The system's response is based on specific data that is entered and processed through the decision tree algorithm. Overall, the development of this smart system can greatly improve early diagnosis of dengue fever and potentially save lives.  © 2023 IEEE.</t>
  </si>
  <si>
    <t xml:space="preserve">2023 3rd International Conference on Emerging Smart Technologies and Applications, eSmarTA 2023</t>
  </si>
  <si>
    <t xml:space="preserve">10.1109/eSmarTA59349.2023.10293518</t>
  </si>
  <si>
    <t xml:space="preserve">https://www.scopus.com/inward/record.uri?eid=2-s2.0-85178117522&amp;doi=10.1109%2feSmarTA59349.2023.10293518&amp;partnerID=40&amp;md5=e3add50827732de494677171f9002fb6</t>
  </si>
  <si>
    <t xml:space="preserve">Computer Science Department, Faculty of Sciences, Ibb University, Yemen; Computer Science, Aljazeera University, Yemen; Computer Science, Ibb University, Yemen; Computer Science, Najran University, Saudi Arabia; Department of Computer Sciences, King Khalid University, Community College, Mohayel Aseer, Saudi Arabia; Information Technology Department, University of Science and Technology, Yemen</t>
  </si>
  <si>
    <t xml:space="preserve">Al-Hagree S., Computer Science Department, Faculty of Sciences, Ibb University, Yemen, Computer Science, Aljazeera University, Yemen; Alalayah K.M., Computer Science, Ibb University, Yemen, Computer Science, Najran University, Saudi Arabia; Al-Majmar N.A., Computer Science Department, Faculty of Sciences, Ibb University, Yemen, Computer Science, Aljazeera University, Yemen; Mohsen A.A., Computer Science Department, Faculty of Sciences, Ibb University, Yemen; Aqlan A., Department of Computer Sciences, King Khalid University, Community College, Mohayel Aseer, Saudi Arabia; Alhel-Iani M., Information Technology Department, University of Science and Technology, Yemen; Mohammed M., Computer Science Department, Faculty of Sciences, Ibb University, Yemen; Albazel M., Information Technology Department, University of Science and Technology, Yemen; Al-Qasem F., Information Technology Department, University of Science and Technology, Yemen; Mohammed Aljafari M., Information Technology Department, University of Science and Technology, Yemen; Musleh A., Computer Science Department, Faculty of Sciences, Ibb University, Yemen; Alnedam I., Information Technology Department, University of Science and Technology, Yemen</t>
  </si>
  <si>
    <t xml:space="preserve">Android Application; Decision Tree; Dengue Fever Diagnosis; Machine Learning</t>
  </si>
  <si>
    <t xml:space="preserve">Android (operating system); Diagnosis; Learning algorithms; Machine learning; Accuracy rate; Android applications; Decision-tree algorithm; Dengue fever diagnose; Dengue fevers; Early diagnosis; Epidemic spread; Machine learning approaches; Machine-learning; Smart System; Decision trees</t>
  </si>
  <si>
    <t xml:space="preserve">Sarma D., Hossain S., Mittra T., Bhuiya M.A.M., Saha I., Chakma R., Dengue prediction using machine learning algorithms, 2020 IEEE 8th R10 humanitarian technology conference (R10-HTC), pp. 1-6, (2020); Majeed M.A., Shafri H.Z.M., Zulkafli Z., Wayayok A., A Deep Learning Approach for Dengue Fever Prediction in Malaysia Using LSTM with Spatial Attention, International Journal of Environmental Research and Public Health, 20, 5, (2023); Rana S.K., Boruah A.N., Biswas S.K., Chakraborty M., Purkayastha B., Dengue fever prediction using machine learning analytics, 2022 International conference on machine learning, big data, cloud and parallel computing (COM-IT-CON), 1, pp. 126-130, (2022); Dourjoy S.M.K., Rafi A.M.G.R., Tumpa Z.N., Saifuzzaman M., A comparative study on prediction of dengue fever using machine learning algorithm, Advances in Distributed Computing and Machine Learning, pp. 501-510, (2021); Salah A.H., Alsayadi H.A., Alsurori M., Mohammed M., Mohsen A.A., Albazel M., Alndary E., Decision Tree based Smart System for Pregnant Women Diagnosis, 2022 International Conference on Intelligent Technology, System and Service for Internet of Everything (ITSS-IoE), pp. 1-6, (2022); Pan American Health Organization/World Health Organization, Epidemiological Update: Dengue, chikungunya and Zika, (2023); Razak T.R.B., Wahab R.A., Ramli M.H., Dengue notification system using fuzzy logic, 2013 International Conference on Computer, Control, Informatics and Its Applications (IC3INA), pp. 231-235, (2013); Mello-Roman J.D., Mello-Roman J.C., Gomez-Guerrero S., Garcia-Torres M., Predictive models for the medical diagnosis of dengue: A case study in Paraguay, Computational and mathematical methods in medicine, (2019); Salman A., Lina Y., Simon C., Computational intelligence method for early diagnosis dengue haemorrhagic fever using fuzzy on mobile device, EPJ Web of Conferences, 68, (2014); Nilashi M., Ahmadi H., Shahmoradi L., Ibrahim O., Akbari E., A predictive method for hepatitis disease diagnosis using ensembles of neuro-fuzzy technique, Journal of infection and public health, 12, 1, pp. 13-20, (2019); Mello-Roman J.D., Mello-Roman J.C., Gomez-Guerrero S., Garcia-Torres M., Predictive models for the medical diagnosis of dengue: A case study in Paraguay, Computational and mathematical methods in medicine, (2019); Vinarti R.A., Hederman L.M., A personalized infectious disease risk prediction system, Expert Systems with Applications, 131, pp. 266-274, (2019); Zhang Y., Ibaraki M., Schwartz F.W., Disease surveillance using online news: Dengue and zika in tropical countries, Journal of Biomedical Informatics, 102, (2020); Husin N.A., Alharogi A., Mustapha N., Hamdan H., Husin U.A., Early self-diagnosis of dengue symptoms using fuzzy and data mining approach, AIP conference proceedings, 2016, 1, (2018); Rao N.K., Varma G.S., Rao D., Cse P., Classification rules using decision tree for dengue disease, International Journal of Research in Computer and Communication Technology, 3, 3, pp. 340-343, (2014); Vandhana S., Anuradha J., Dengue prediction using hierarchical clustering methods, Designing for a Digital and Globalized World: 13th International Conference, DESRIST 2018, 13, pp. 157-168, (2018); Rosid M.A., Fitrani A.S., Findawati Y., Winata S., Firmansyah V.A., Classification of dengue hemorrhagic disease using decision tree with Id3 algorithm, Journal of Physics: Conference Series, 1381, 1, (2019); Tanner L., Schreiber M., Low J.G., Ong A., Tolfvenstam T., Lai Y.L., Ooi E.E., Decision tree algorithms predict the diagnosis and outcome of dengue fever in the early phase of illness, PLoS neglected tropical diseases, 2, 3, (2008); Nguyen V.H., Tuyet-Hanh T.T., Mulhall J., Minh H.V., Duong T.Q., Chien N.V., Son M.T., Deep learning models for forecasting dengue fever based on climate data in Vietnam, PLoS Neglected Tropical Diseases, 16, 6, (2022); Hoyos W., Aguilar J., Toro M., Dengue models based on machine learning techniques: A systematic literature review, Artificial intelligence in medicine, 119, (2021); Cabrera M., Leake J., Naranjo-Torres J., Valero N., Cabrera J.C., Rodriguez-Morales A.J., Dengue prediction in Latin America using machine learning and the one health perspective: A literature review, Tropical Medicine and Infectious Disease, 7, 10, (2022); Manivannan P.I.D.P., Devi P.I., Dengue fever prediction using K-means clustering algorithm, 2017 IEEE International Conference on Intelligent Techniques in Control, Optimization and Signal Processing (INCOS), pp. 1-5, (2017); Rocha F.P., Giesbrecht M., Machine learning algorithms for dengue risk assessment: A case study for São Luís do Maranhão, Computational and Applied Mathematics, 41, 8, (2022); Kaur S., Sharma S., Rehman A.U., Eldin E.T., Ghamry N.A., Shafiq M., Bharany S., Predicting Infection Positivity, Risk Estimation, and Disease Prognosis in Dengue Infected Patients by ML Expert System, Sustainability, 14, 20, (2022); Salim N.A.M., Wah Y.B., Reeves C., Smith M., Yaacob W.F.W., Mudin R.N., Haque U., Prediction of dengue outbreak in Selangor Malaysia using machine learning techniques, Scientific reports, 11, 1, (2021); Lee V.J., Lye D.C., Sun Y., Leo Y.S., Decision tree algorithm in deciding hospitalization for adult patients with dengue haemorrhagic fever in Singapore, Tropical Medicine &amp; International Health, 14, 9, pp. 1154-1159, (2009); Abdulaziz Mohsen A., Alsurori M., Aldobai B., Mohsen G.A., New approach to medical diagnosis using artificial neural network and decision tree algorithm: Application to dental diseases, International Journal of Information Engineering and Electronic Business, 11, 4, (2019); Hadwan M., Al-Hagery M.A., Al-Sanabani M., Al-Hagree S., Soft Bigram distance for names matching, PeerJ Computer Science, 7, (2021)</t>
  </si>
  <si>
    <t xml:space="preserve">3rd International Conference on Emerging Smart Technologies and Applications, eSmarTA 2023</t>
  </si>
  <si>
    <t xml:space="preserve">10 October 2023 through 11 October 2023</t>
  </si>
  <si>
    <t xml:space="preserve">Taiz</t>
  </si>
  <si>
    <t xml:space="preserve">979-835030533-3</t>
  </si>
  <si>
    <t xml:space="preserve">Int. Conf. Emerg. Smart Technol. Appl., eSmarTA</t>
  </si>
  <si>
    <t xml:space="preserve">2-s2.0-85178117522</t>
  </si>
  <si>
    <t xml:space="preserve">Acula D.D.; Buico C.P.L.; Cruzada G.U., Jr.; Encelan M.K.C.; Rivera C.Y.G.</t>
  </si>
  <si>
    <t xml:space="preserve">Acula, Donata D. (57195516506); Buico, Cecilia Patrice L. (58795648500); Cruzada, Gil U. (58795474500); Encelan, Martius Ken C. (58795518100); Rivera, Carlos Yuan G. (58795564800)</t>
  </si>
  <si>
    <t xml:space="preserve">57195516506; 58795648500; 58795474500; 58795518100; 58795564800</t>
  </si>
  <si>
    <t xml:space="preserve">Soil Transmitted Helminth Egg Detection and Classification in Fecal Smear Images Using Faster Region-Based Convolutional Neural Network with Residual Network-50</t>
  </si>
  <si>
    <t xml:space="preserve">Intestinal parasitic infections are one of the leading causes of morbidity in areas within tropical and subtropical countries. These infections can cause symptoms such as malnutrition and anemia- factors for growth failure. Soil-Transmitted Helminth, in particular, has been identified as the leading cause of sickness in developing countries. In clinical diagnosis, lengthy inspections could occur despite the guidance of experienced medical laboratory technologists. The researchers aim to circumvent this problem by using Convolutional Neural Networks as systems for the most prevalent species of STH eggs-Ascaris lumbricoides, Trichuris trichiura, and Hookworm eggs. The study evaluated and compared the performance and speed of three CNN architectures, mainly ResNet-50 and Faster R-CNN, with some preprocessing methods derived from Suzuki et al. (2017). The results from the study indicated that Faster R-CNN with ResNet-50 had the highest accuracy with 97.65% out of the three CNN architectures. In terms of efficiency, ResNet-50 was the most efficient with 0.0167 seconds average runtime. © The Institution of Engineering &amp; Technology 2023.</t>
  </si>
  <si>
    <t xml:space="preserve">10.1049/icp.2023.1793</t>
  </si>
  <si>
    <t xml:space="preserve">https://www.scopus.com/inward/record.uri?eid=2-s2.0-85181536775&amp;doi=10.1049%2ficp.2023.1793&amp;partnerID=40&amp;md5=b4422dfefb5bcf70bcbbe1e37274140f</t>
  </si>
  <si>
    <t xml:space="preserve">Computer Science Department, University of Santo Tomas, Manila, Philippines</t>
  </si>
  <si>
    <t xml:space="preserve">Acula D.D., Computer Science Department, University of Santo Tomas, Manila, Philippines; Buico C.P.L., Computer Science Department, University of Santo Tomas, Manila, Philippines; Cruzada G.U., Jr., Computer Science Department, University of Santo Tomas, Manila, Philippines; Encelan M.K.C., Computer Science Department, University of Santo Tomas, Manila, Philippines; Rivera C.Y.G., Computer Science Department, University of Santo Tomas, Manila, Philippines</t>
  </si>
  <si>
    <t xml:space="preserve">Convolution; Convolutional neural networks; Diagnosis; Diseases; Image classification; Laboratories; Network architecture; Tropics; Ascaris; Clinical diagnosis; Convolutional neural network; Helminths eggs; Medical laboratories; Parasitic infections; Performance; Region-based; Subtropical countries; Tropical countries; Developing countries</t>
  </si>
  <si>
    <t xml:space="preserve">Anantrasirichai N., Chalidabhongse T. H., Palasuwan D., Naruenatthanaset K., Kobchaisawat T., Nunthanasup N., Boonpeng K., Ma X., Achim A., ICIP 2022 challenge on parasitic egg detection and classification in microscopic images: Dataset, methods and results, 2022 IEEE International Conference on Image Processing (ICIP), (2022); Cooper A. J., Hollingsworth T. D., The impact of seasonality on the dynamics and control of ascaris lumbricoides infections, Journal of Theoretical Biology, 453, pp. 96-107, (2018); Suzuki C. T., Gomes J. F., Falcao A. X., Papa J. P., Hoshino-Shimizu S., Automatic segmentation and classification of human intestinal parasites from microscopy images, IEEE Transactions on Biomedical Engineering, 60, 3, pp. 803-812, (2013); Nkamgang O. T., Tchiotsop D., Tchinda B. S., Fotsin H. B., A neuro-fuzzy system for automated detection and classification of human intestinal parasites, Informatics in Medicine Unlocked, 13, pp. 81-91, (2018); Poostchi M., Silamut K., Maude R. J., Jaeger S., Thoma G., Image analysis and machine learning for detecting malaria, Translational Research, 194, pp. 36-55, (2018); Verma A., Qassim H., Feinzimer D., Residual squeeze CNDS deep learning CNN model for very large scale places image recognition, 2017 IEEE 8th Annual Ubiquitous Computing, Electronics and Mobile Communication Conference (UEMCON), pp. 463-469, (2017); Ren S., He K., Girshick R., Sun J., Faster R-CNN: Towards real-time object detection with region proposal networks, IEEE Transactions on Pattern Analysis and Machine Intelligence, 39, 6, pp. 1137-1149, (2017); Suwannaphong T., Sawaphob C., Tongsom S., Palasuwan D., Chalidabhongse T. H., Anantrasirichai N., Parasitic Egg Detection and Classification in Low-cost Microscopic Images using Transfer Learning, (2021); Cheng S., Suhua Y., Shaofeng J., Improved faster RCNN for white blood cells detection in blood smear image, 2019 14th IEEE International Conference on Electronic Measurement &amp; Instruments (ICEMI), (2019); Mayo P., Anantrasirichai N., Chalidabhongse T., Palasuwan D., Achim A., Detection of Parasitic Eggs from Microscopy Images and the emergence of a new dataset, (2022)</t>
  </si>
  <si>
    <t xml:space="preserve">D.D. Acula; Computer Science Department, University of Santo Tomas, Manila, Philippines; email: ddacula@ust.edu.ph</t>
  </si>
  <si>
    <t xml:space="preserve">2023 International Conference on Green Energy, Computing and Intelligent Technology, GEn-CITy 2023</t>
  </si>
  <si>
    <t xml:space="preserve">10 July 2023 through 12 July 2023</t>
  </si>
  <si>
    <t xml:space="preserve">Hybrid, Iskandar Puteri</t>
  </si>
  <si>
    <t xml:space="preserve">2-s2.0-85181536775</t>
  </si>
  <si>
    <t xml:space="preserve">Gupta K.; Ruan Y.; Ibrahim A.; Mendonca R.; Cooper S.; Morris S.; Hattery D.</t>
  </si>
  <si>
    <t xml:space="preserve">Gupta, Krishnam (57125401100); Ruan, Yongshao (58547656100); Ibrahim, Ahmed (58590685900); Mendonca, Rouella (58547041000); Cooper, Shawna (57220068646); Morris, Sarah (57201993389); Hattery, David (58895674600)</t>
  </si>
  <si>
    <t xml:space="preserve">57125401100; 58547656100; 58590685900; 58547041000; 57220068646; 57201993389; 58895674600</t>
  </si>
  <si>
    <t xml:space="preserve">Transforming Rapid Diagnostic Tests into Trusted Diagnostic Tools in LMIC using AI</t>
  </si>
  <si>
    <t xml:space="preserve">In low and middle-income countries (LMICs), Rapid Diagnostic Tests (RDTs) are often the only way to diagnose diseases such as malaria, HIV, and COVID efficiently and cost effectively, especially in rural settings. However, basic RDTs are often misinterpreted, reducing their reliability for medical treatment or official case counts. AI-based mobile solutions are difficult to implement in LMICs due to limited resources available on commonly used phones and unstable Internet connectivity. HealthPulse AI algorithms aim to address these issues by providing a lightweight, yet highly accurate library of Computer Vision (CV) models for the detection and interpretation of common RDTs for conditions such as malaria, HIV, and COVID. The complete system can function end-to-end offline on phones with as little as 1 GB of total device memory. In addition to detecting the RDT type and interpreting the results, the system can flag image quality issues such as bad lighting or blurriness. If required, it can ask the user for a photo retake in real-time, reducing the need for re-testing. The system provides accurate and consistent result interpretation for surveillance or decision support use cases, helping health systems better understand current disease prevalence which may help mitigate the next pandemic. The AI algorithm pipeline uses deep learning to analyze RDT images, with multiple computer vision models working together to confirm the presence of the expected RDT, flag adverse image conditions, and provide accurate and consistent results. HealthPulse AI prioritizes privacy, accountability, and accessibility while aiming to revolutionize care delivery in LMICs by transforming low-cost RDTs into trusted diagnostic tools using computer vision and AI.  © 2023 IEEE.</t>
  </si>
  <si>
    <t xml:space="preserve">Proceedings - 2023 IEEE Conference on Artificial Intelligence, CAI 2023</t>
  </si>
  <si>
    <t xml:space="preserve">10.1109/CAI54212.2023.00136</t>
  </si>
  <si>
    <t xml:space="preserve">https://www.scopus.com/inward/record.uri?eid=2-s2.0-85168711192&amp;doi=10.1109%2fCAI54212.2023.00136&amp;partnerID=40&amp;md5=60d35f037ff190d3b4b74a4b790f7297</t>
  </si>
  <si>
    <t xml:space="preserve">Audere, Seattle, WA, United States</t>
  </si>
  <si>
    <t xml:space="preserve">Gupta K., Audere, Seattle, WA, United States; Ruan Y., Audere, Seattle, WA, United States; Ibrahim A., Audere, Seattle, WA, United States; Mendonca R., Audere, Seattle, WA, United States; Cooper S., Audere, Seattle, WA, United States; Morris S., Audere, Seattle, WA, United States; Hattery D., Audere, Seattle, WA, United States</t>
  </si>
  <si>
    <t xml:space="preserve">AI; AI algorithms; artificial intelligence; computer vision; CV; machine learning; ML; rapid diagnostic test; rapid test; RDT</t>
  </si>
  <si>
    <t xml:space="preserve">Computer vision; Decision support systems; Diagnosis; Diseases; Learning algorithms; Network security; AI algorithms; Diagnostic tests; Low income countries; Machine-learning; Middle-income countries; ML; Rapid diagnostic test; Rapid test; Deep learning</t>
  </si>
  <si>
    <t xml:space="preserve">Bill and Melinda Gates Foundation, BMGF, (INV-007492, INV-054895); Bill and Melinda Gates Foundation, BMGF</t>
  </si>
  <si>
    <t xml:space="preserve">VI. ACKNOWLEDGMENT Financial support for Audere’s work was provided by the Bill and Melinda Gates foundation, grant numbers INV-007492 and INV-054895.</t>
  </si>
  <si>
    <t xml:space="preserve">Pike J., Godbert S., Johnson S., Comparison of volunteers' experience of using, and accuracy of reading, different types of home pregnancy test formats, Expert Opinion on Medical Diagnostics, 7, 5, pp. 435-441, (2013); Kabaghe A.N., Et al., Health workers' compliance to rapid diagnostic tests (RDTs) to guide malaria treatment: a systematic review and meta-analysis, Malaria Journal, 15, 1, pp. 1-11, (2016); Habiyambere V., Et al., Forecasting the global demand for HIV monitoring and diagnostic tests: A 2016-2021 analysis, PLoS One, 13, 9, (2018); Bermejo-Pelaez D., Et al., A Smartphone-Based Platform Assisted by Artificial Intelligence for Reading and Reporting Rapid Diagnostic Tests: Evaluation Study in SARS-CoV-2 Lateral Flow Immunoassays, JMIR public health and surveillance, 8, 12, (2022); Mendels D.-A., Et al., Using artificial intelligence to improve COVID-19 rapid diagnostic test result interpretation, Proceedings of the National Academy of Sciences, 118, 12, (2021); Park C., Et al., The design and evaluation of a mobile system for rapid diagnostic test interpretation, Proceedings of the ACM on Interactive, Mobile, Wearable and Ubiquitous Technologies, 5, 1, pp. 1-26, (2021); Lugaresi C., Et al., Mediapipe: A framework for building perception pipelines, (2019); Ge Z., Et al., Yolox: Exceeding yolo series in 2021, (2021); Lin T.-Y., Et al., Microsoft coco: Common objects in context, Computer Vision-ECCV 2014: 13th European Conference, (2014); Chen T., Et al., Mxnet: A flexible and efficient machine learning library for heterogeneous distributed systems, (2015); Managing Machine Learning Projects in International Development: A Practical Guide, (2023)</t>
  </si>
  <si>
    <t xml:space="preserve">K. Gupta; Audere, Seattle, United States; email: krishnam@auderenow.org</t>
  </si>
  <si>
    <t xml:space="preserve">IEEE Computer Society; IEEE Signal Processing Society; IEEE Systems, Man, and Cybernetics Society</t>
  </si>
  <si>
    <t xml:space="preserve">2023 IEEE Conference on Artificial Intelligence, CAI 2023</t>
  </si>
  <si>
    <t xml:space="preserve">5 June 2023 through 6 June 2023</t>
  </si>
  <si>
    <t xml:space="preserve">Santa Clara</t>
  </si>
  <si>
    <t xml:space="preserve">979-835033984-0</t>
  </si>
  <si>
    <t xml:space="preserve">Proc. - IEEE Conf. Artif. Intell., CAI</t>
  </si>
  <si>
    <t xml:space="preserve">2-s2.0-85168711192</t>
  </si>
  <si>
    <t xml:space="preserve">Sondhi M.; Sharma A.; Malhotra R.</t>
  </si>
  <si>
    <t xml:space="preserve">Sondhi, Mrigank (58746148000); Sharma, Ayush (57217109384); Malhotra, Ruchika (15758058000)</t>
  </si>
  <si>
    <t xml:space="preserve">58746148000; 57217109384; 15758058000</t>
  </si>
  <si>
    <t xml:space="preserve">TwT: A Texture weighted Transformer for Medical Image Classification and Diagnosis</t>
  </si>
  <si>
    <t xml:space="preserve">Medical imaging is an integral part of disease diagnosis and treatment. However, interpreting medical images can be time-consuming and subjective, making it challenging for healthcare professionals. Recent advances in deep learning show promising results in automating medical image classification and diagnosis. In this paper, we explore the application of texture-features, Central Difference Convolution (CDC) enhanced Convolutional Neural Networks (CNNs) and Compact Convolutional Transformers (CCT) to medical image classification and diagnosis. We compared the performance of existing architectures and our proposed Texture weighted Transformer (TwT) architecture. We evaluate each model’s performance and develop a robust architecture. Our results show that TwT outperforms other existing models in terms of Accuracy (ACC), Area Under the Receiver Operating Characteristic Curve (AUC) and other metrics. Our model combines texture-features with the advantages and performance of CDC-enhanced CNNs and the CCT architecture. Our proposed architecture gave an AUC of 0.9941 and an ACC of 96.84% on the Malaria dataset and an AUC of 0.9933 and an ACC of 92.75% on the BloodMNIST dataset while being compact (only about 6.3M parameters) and without any pre-training, and at the same time beating the AUC, ACC and other scores of other existing models proving that transfer learning is not always necessary. Our proposed architecture required less training time than most existing architectures, making it more practical for real-world applications. Our findings suggest that TwT can revolutionise medical image analysis by providing accurate and efficient diagnoses of diseases. The proposed architecture can be extended to other medical imaging tasks, including cancer detection, diabetic retinopathy and COVID-19 diagnosis. Thus, it can help healthcare professionals make accurate and timely diagnoses, improving patient outcomes. © 2023, The Author(s), under exclusive license to Springer Nature Singapore Pte Ltd.</t>
  </si>
  <si>
    <t xml:space="preserve">787 LNNS</t>
  </si>
  <si>
    <t xml:space="preserve">10.1007/978-981-99-6550-2_12</t>
  </si>
  <si>
    <t xml:space="preserve">https://www.scopus.com/inward/record.uri?eid=2-s2.0-85178631959&amp;doi=10.1007%2f978-981-99-6550-2_12&amp;partnerID=40&amp;md5=6f9fa68a1c7dc592c742bfcad8e56649</t>
  </si>
  <si>
    <t xml:space="preserve">Department of Software Engineering, Delhi Technological University, New Delhi, India</t>
  </si>
  <si>
    <t xml:space="preserve">Sondhi M., Department of Software Engineering, Delhi Technological University, New Delhi, India; Sharma A., Department of Software Engineering, Delhi Technological University, New Delhi, India; Malhotra R., Department of Software Engineering, Delhi Technological University, New Delhi, India</t>
  </si>
  <si>
    <t xml:space="preserve">Central Difference Convolution; Compact Convolutional Transformers; Medical Image Classification; Texture; Vision Transformers</t>
  </si>
  <si>
    <t xml:space="preserve">Architecture; Computer aided diagnosis; Convolution; Convolutional neural networks; Deep learning; Diseases; Eye protection; Health care; Image classification; Image enhancement; Medical imaging; Central difference; Central difference convolution; Compact convolutional transformer; Health care professionals; Medical image classification; Medical image diagnosis; Performance; Proposed architectures; Texture features; Vision transformer; Textures</t>
  </si>
  <si>
    <t xml:space="preserve">Hassani A., Walton S., Shah N., Abuduweili A., Li J., Shi H., Escaping the Big Data Paradigm with Compact Transformers. Arxiv Preprint Arxiv, 2104, (2021); Yu Z., Zhao C., Wang Z., Qin Y., Su Z., Li X., Zhou F., Zhao G., Searching central difference convolutional networks for face anti-spoofing, Proceedings of the IEEE/CVF Conference on Computer Vision and Pattern Recognition, pp. 5295-5305, (2020); Rajaraman S., Antani S.K., Poostchi M., Silamut K., Hossain M.A., Maude R.J., Jaeger S., Thoma G.R., Pre-trained convolutional neural networks as feature extractors toward improved malaria parasite detection in thin blood smear images, Peerj, 6, (2018); Yang J., Shi R., Wei D., Liu Z., Zhao L., Ke B., Pfister H., Ni B., MedMNIST v2—a large-scale lightweight benchmark for 2D and 3D biomedical image classification, Sci Data, 10, 1, (2023); Acevedo A., Merino A., Alferez S., Molina A., Boldu L., Rodellar J., A dataset of microscopic peripheral blood cell images for development of automatic recognition systems, Data Brief, 30, (2020); Yacin M., Alrasheadi B.A., Prakash N.B., Hemalakshmi G.R., Mohanarathinam A., Shankar K., Deep learning based an automated skin lesion segmentation and intelligent classification model, J Ambient Intell Humaniz Comput, 12, pp. 3245-3255, (2021); Wang S., Kang B., Ma J., Zeng X., Xiao M., Guo J., Cai M., Yang J., Li Y., Meng X., Xu B., A deep learning algorithm using CT images to screen for Corona Virus Disease (COVID-19), Eur Radiol, 31, pp. 6096-6104, (2021); Ozturk T., Talo M., Yildirim E.A., Baloglu U.B., Yildirim O., Acharya U.R., Automated detection of COVID-19 cases using deep neural networks with X-ray images, Comput Biol Med, 121, (2020); Ryu H., Shin S.Y., Lee J.Y., Lee K.M., Kang H.J., Yi J., Joint segmentation and classification of hepatic lesions in ultrasound images using deep learning, Eur Radiol, 31, pp. 8733-8742, (2021); Daanouni O., Cherradi B., Tmiri A., Self-attention mechanism for diabetic retinopathy detection, Emerging Trends in ICT for Sustainable Development: The Proceedings of NICE2020 International Conference, pp. 79-88, (2021); Nguyen A.P., Moreno D.L., Le-Bel N., Rodriguez Martinez M., MonoNet: Enhancing interpretability in neural networks via Monotonic Features, Bioinform Adv, 3, 1, (2023); Vaswani A., Shazeer N., Parmar N., Uszkoreit J., Jones L., Gomez A.N., Kaiser L., Polosukhin I., Attention is all you need, Advances in Neural Information Processing Systems, (2017); Yang J., Li A., Xiao S., Lu W., Gao X., Mtd-net: Learning to detect deepfakes images by multi-scale texture difference, IEEE Trans Inf Forensics Secur, 16, pp. 4234-4245, (2021); Park N., Kim S., How Do Vision Transformers Work? Arxiv Preprint Arxiv, 2202, (2022); Schwarz Schuler J.P., Also S.R., Puig D., Rashwan H., Abdel-Nasser M., An enhanced scheme for reducing the complexity of pointwise convolutions in CNNs for image classification based on interleaved grouped filters without divisibility constraints, Entropy, 24, 9, (2022); Sinha S., Srivastava U., Dhiman V., Akhilan P.S., Mishra S., Performance assessment of Deep Learning procedures on Malaria dataset, J Robot Control, 2, 1, pp. 12-18, (2021); Qadir A.M., Abdalla P.A., Ghareb M.I., Malaria parasite identification from red blood cell images using transfer learning models, Passer J Basic Appl Sci, 4, Special, pp. 63-79, (2022); Rahman A., Zunair H., Rahman M.S., Yuki J.Q., Biswas S., Alam M.A., Alam N.B., Mahdy M.R.C., Improving Malaria Parasite Detection from Red Blood Cell Using Deep Convolutional Neural Networks. Arxiv Preprint Arxiv, 1907, (2019); Cherrat E.A., Kerenidis I., Mathur N., Landman J., Strahm M., Li Y.Y., Quantum Vision Transformers. Arxiv Preprint Arxiv, 2209, (2022); Kerenidis I., Landman J., Mathur N., Classical and Quantum Algorithms for Orthogonal Neural Networks. Arxiv Preprint Arxiv, 2106, (2021); Feurer M., Klein A., Eggensperger K., Springenberg J., Blum M., Hutter F., Efficient and robust automated machine learning, Advances in Neural Information Processing Systems, (2015)</t>
  </si>
  <si>
    <t xml:space="preserve">M. Sondhi; Department of Software Engineering, Delhi Technological University, New Delhi, India; email: mriganksondhi@outlook.com</t>
  </si>
  <si>
    <t xml:space="preserve">Swaroop A.; Polkowski Z.; Correia S.D.; Virdee B.</t>
  </si>
  <si>
    <t xml:space="preserve">International Conference on Data Analytics and Management, ICDAM 2023</t>
  </si>
  <si>
    <t xml:space="preserve">23 June 2023 through 24 June 2023</t>
  </si>
  <si>
    <t xml:space="preserve">Jelenia Gora</t>
  </si>
  <si>
    <t xml:space="preserve">978-981996549-6</t>
  </si>
  <si>
    <t xml:space="preserve">2-s2.0-85178631959</t>
  </si>
  <si>
    <t xml:space="preserve">Islam M.F.; Zabeen S.; Rahman F.B.; Islam M.A.; Kibria F.B.; Manab M.A.; Karim D.Z.; Rasel A.A.</t>
  </si>
  <si>
    <t xml:space="preserve">Islam, Md. Farhadul (57225862398); Zabeen, Sarah (57793806800); Rahman, Fardin Bin (58266795900); Islam, Md. Azharul (58143733500); Kibria, Fahmid Bin (58266796000); Manab, Meem Arafat (58143234900); Karim, Dewan Ziaul (57203065236); Rasel, Annajiat Alim (56495276900)</t>
  </si>
  <si>
    <t xml:space="preserve">57225862398; 57793806800; 58266795900; 58143733500; 58266796000; 58143234900; 57203065236; 56495276900</t>
  </si>
  <si>
    <t xml:space="preserve">UnIC-Net: Uncertainty Aware Involution-Convolution Hybrid Network for Two-level Disease Identification</t>
  </si>
  <si>
    <t xml:space="preserve">Convolution is commonly used in deep learning models for image classification problems, and its primary purpose is to retrieve representations in the spatial domain that are concealed from view. However, since convolution only works on a single channel at a time, it often ignores the cross-channel correlations that may exist in an image. Involution is an inversed process of convolutions, resolving the issues convolutions create. Involution is a location-specific process that are skillfully coupled with the well-established design of convolutions, which results in an excellent efficiency for the network, especially in cell-like images. But ensuring and analyzing robust and reliable performance in medical images are also very important, since uncertainty aware models are helpful when it comes to reducing the risk factors. We utilize Monte Carlo dropout (MCD), for introducing uncertainty-aware feature to our model. In this paper, we propose an uncertainty aware involution-convolution hybrid network that achieves 98.79% accuracy in HAM10000 dataset and 96.81% accuracy in Malaria parasitized cells dataset. © 2023 IEEE.</t>
  </si>
  <si>
    <t xml:space="preserve">Conference Proceedings - IEEE SOUTHEASTCON</t>
  </si>
  <si>
    <t xml:space="preserve">10.1109/SoutheastCon51012.2023.10115109</t>
  </si>
  <si>
    <t xml:space="preserve">https://www.scopus.com/inward/record.uri?eid=2-s2.0-85159776808&amp;doi=10.1109%2fSoutheastCon51012.2023.10115109&amp;partnerID=40&amp;md5=b885a8fe12523241ca6af53af0a3d044</t>
  </si>
  <si>
    <t xml:space="preserve">Brac University, School of Data and Sciences, Dhaka, Bangladesh</t>
  </si>
  <si>
    <t xml:space="preserve">Islam M.F., Brac University, School of Data and Sciences, Dhaka, Bangladesh; Zabeen S., Brac University, School of Data and Sciences, Dhaka, Bangladesh; Rahman F.B., Brac University, School of Data and Sciences, Dhaka, Bangladesh; Islam M.A., Brac University, School of Data and Sciences, Dhaka, Bangladesh; Kibria F.B., Brac University, School of Data and Sciences, Dhaka, Bangladesh; Manab M.A., Brac University, School of Data and Sciences, Dhaka, Bangladesh; Karim D.Z., Brac University, School of Data and Sciences, Dhaka, Bangladesh; Rasel A.A., Brac University, School of Data and Sciences, Dhaka, Bangladesh</t>
  </si>
  <si>
    <t xml:space="preserve">convolution; image classification; involution; malaria parasite; skin cancer</t>
  </si>
  <si>
    <t xml:space="preserve">Convolution; Deep learning; Diseases; Medical imaging; Uncertainty analysis; Channel correlation; Hybrid network; Images classification; Involution; Learning models; Malaria parasite; Single channels; Skin cancers; Spatial domains; Uncertainty; Image classification</t>
  </si>
  <si>
    <t xml:space="preserve">Zhang R., Making convolutional networks shift-invariant again, Proceedings of the 36th International Conference on Machine Learning, ser. Proceedings of Machine Learning Research, 97, pp. 7324-7334, (2019); Li D., Hu J., Wang C., Li X., She Q., Zhu L., Zhang T., Chen Q., Involution: Inverting the inherence of convolution for visual recognition, (2021); Jaderberg M., Vedaldi A., Zisserman A., Speeding up convolutional neural networks with low rank expansions, (2014); Lecun Y., Bottou L., Bengio Y., Haffner P., Gradient-based learning applied to document recognition, Proceedings of the IEEE, 86, 11, pp. 2278-2324, (1998); Gao T., Li Y., Han X., A convolution-involution hybrid framework for monocular 3d object detection, 2021 IEEE 4th International Conference on Computer and Communication Engineering Technology (CCET), pp. 41-47, (2021); Liang G., Wang H., I-cnet: Leveraging involution and convolution for image classification, IEEE Access, 10, pp. 2077-2082, (2022); Younis H., Bhatti M.H., Azeem M., Classification of skin cancer dermoscopy images using transfer learning, 2019 15th International Conference on Emerging Technologies (ICET), pp. 1-4, (2019); Pham T.-C., Luong C., Visani M., Dung H.V., Deep CNN and Data Augmentation for Skin Lesion Classification, pp. 573-582, (2018); Demir A., Yilmaz F.G., Kose O., Early detection of skin cancer using deep learning architectures: resnet-101 and inception-v3, 2019 Medical Technologies Congress (TIPTEKNO), pp. 1-4, (2019); Gopakumar G.P., Swetha M., Sai Siva G., Sai Subrahmanyam G.R.K., Convolutional neural network-based malaria diagnosis from focus stack of blood smear images acquired using custom-built slide scanner, Journal of Biophotonics, 11, 3, (2018); Rajaraman S., Antani S.K., Poostchi M., Silamut K., Hossain M.A., Maude R.J., Jaeger S., Thoma G.R., Pre-trained convolutional neural networks as feature extractors toward improved malaria parasite detection in thin blood smear images, PeerJ, 6, (2018); He K., Zhang X., Ren S., Sun J., Deep residual learning for image recognition, 2016 IEEE Conference on Computer Vision and Pattern Recognition (CVPR), pp. 770-778, (2016); Huang G., Liu Z., Van Der Maaten L., Weinberger K.Q., Densely connected convolutional networks, 2017 IEEE Conference on Computer Vision and Pattern Recognition (CVPR), pp. 2261-2269, (2017); Wang F., Jiang M., Qian C., Yang S., Li C., Zhang H., Wang X., Tang X., Residual attention network for image classification, 2017 IEEE Conference on Computer Vision and Pattern Recognition (CVPR), pp. 6450-6458, (2017); Seoh R., Qualitative analysis of monte carlo dropout, (2020); Milanes-Hermosilla D., Trujillo Codorniu R., Lopez-Baracaldo R., Sagaro-Zamora R., Delisle-Rodriguez D., Villarejo-Mayor J.J., Nunez-Alvarez J.R., Monte carlo dropout for uncertainty estimation and motor imagery classification, Sensors, 21, 21, (2021); Avci M.Y., Li Z., Fan Q., Huang S., Bilgic B., Tian Q., Quantifying the uncertainty of neural networks using monte carlo dropout for deep learning based quantitative mri, (2021); Tabarisaadi P., Khosravi A., Nahavandi S., Uncertainty-aware skin cancer detection: The element of doubt, Computers in Biology and Medicine, 144, (2022); Li D., Hu J., Wang C., Li X., She Q., Zhu L., Zhang T., Chen Q., Involution: Inverting the inherence of convolution for visual recognition, (2021); Srivastava N., Hinton G., Krizhevsky A., Sutskever I., Salakhutdinov R., Dropout: A simple way to prevent neural networks from overfitting, Journal of Machine Learning Research, 15, 56, pp. 1929-1958, (2014); Gal Y., Ghahramani Z., Dropout as a bayesian approximation: Representing model uncertainty in deep learning, ser. ICML'16, pp. 1050-1059, (2016); Codella N.C.F., Rotemberg V., Tschandl P., Celebi M.E., Dusza S.W., Gutman D.A., Helba B., Kalloo A., Liopyris K., Marchetti M.A., Kittler H., Halpern A., Skin lesion analysis toward melanoma detection 2018: A challenge hosted by the international skin imaging collaboration (ISIC), (2019); Lan Z., Cai S., He X., Wen X., Fixcaps: An improved capsules network for diagnosis of skin cancer, IEEE Access, 10, pp. 76261-76267, (2022); Datta S.K., Shaikh M.A., Srihari S.N., Gao M., Soft attention improves skin cancer classification performance, Interpretability of Machine Intelligence in Medical Image Computing, and Topological Data Analysis and Its Applications for Medical Data, pp. 13-23, (2021); Charan D.S., Nadipineni H., Sahayam S., Jayaraman U., Method to classify skin lesions using dermoscopic images, (2020); He K., Zhang X., Ren S., Sun J., Deep residual learning for image recognition, 2016 IEEE Conference on Computer Vision and Pattern Recognition (CVPR), pp. 770-778, (2016); Huang G., Liu Z., Van Der Maaten L., Weinberger K.Q., Densely connected convolutional networks, 2017 IEEE Conference on Computer Vision and Pattern Recognition (CVPR), pp. 2261-2269, (2017); Chen Y., Li J., Xiao H., Jin X., Yan S., Feng J., Dual path networks, (2017); Liang Z., Powell A., Ersoy I., Poostchi M., Silamut K., Palaniappan K., Guo P., Hossain M.A., Sameer A., Maude R.J., Huang J.X., Jaeger S., Thoma G., Cnn-based image analysis for malaria diagnosis, 2016 IEEE International Conference on Bioinformatics and Biomedicine (BIBM), pp. 493-496, (2016); Rajaraman S., Antani S.K., Poostchi M., Silamut K., Hossain M.A., Maude R.J., Jaeger S., Thoma G.R., Pre-trained convolutional neural networks as feature extractors toward improved malaria parasite detection in thin blood smear images, PeerJ, 6, (2018)</t>
  </si>
  <si>
    <t xml:space="preserve">M.F. Islam; Brac University, School of Data and Sciences, Dhaka, Bangladesh; email: md.farhadul.islam@g.bracu.ac.bd</t>
  </si>
  <si>
    <t xml:space="preserve">2023 IEEE SoutheastCon, SoutheastCon 2023</t>
  </si>
  <si>
    <t xml:space="preserve">1 April 2023 through 16 April 2023</t>
  </si>
  <si>
    <t xml:space="preserve">Orlando</t>
  </si>
  <si>
    <t xml:space="preserve">978-166547611-9</t>
  </si>
  <si>
    <t xml:space="preserve">CPISD</t>
  </si>
  <si>
    <t xml:space="preserve">Conf Proc IEEE SOUTHEASTCON</t>
  </si>
  <si>
    <t xml:space="preserve">2-s2.0-85159776808</t>
  </si>
  <si>
    <t xml:space="preserve">Lalitha T.; Jagruthi H.; Laxmi V.; Bordoloi D.; Balaji N.A.; Singh Rawat R.</t>
  </si>
  <si>
    <t xml:space="preserve">Lalitha, T. (55233597900); Jagruthi, H. (57467290500); Laxmi, V. (57222344992); Bordoloi, Dibyhash (57132673500); Balaji, N. Alangudi (57203417635); Singh Rawat, Ramesh (57215855215)</t>
  </si>
  <si>
    <t xml:space="preserve">55233597900; 57467290500; 57222344992; 57132673500; 57203417635; 57215855215</t>
  </si>
  <si>
    <t xml:space="preserve">Use of Machine Learning and Deep Learning Techniques to Predict Cases of Hospitalizations Caused by Dengue</t>
  </si>
  <si>
    <t xml:space="preserve">Dengue fever mosquito-borne disease viral global health crisis affecting tens of millions of people every year. Early prediction of hospitalizations caused by dengue fever can help healthcare providers allocate resources and plan for outbreaks. Deep learning and machine learning techniques happen to be used to predict dengue outbreaks, but their application to predict hospitalizations caused by dengue fever is relatively new. This case study, we propose implementation of ML/DL (machine learning/deep learning) techniques to predict cases of hospitalizations caused by dengue fever. We collected data from hospitals in dengue-endemic areas and used it to train and validate our models. The data includes patient demographic information, clinical features, and laboratory results. We applied several machine learning and deep strategies for learning which include Using a Logistic Model, A.N.N.s, decision trees, random forests, and support vector machines, the use of deep neural networks. We assessed the efficiency of these models using various indicators such F1 score, recall rate, and accuracy rate.Our results show that deep neural networks outperformed all other models, with an accuracy of 96.4%. The model was also able to identify the most important features that contribute to hospitalizations caused by dengue fever, including platelet count, hematocrit level, and age. The implementation of ML/DL techniques techniques to predict hospitalizations caused by dengue fever can help healthcare providers allocate resources more efficiently and plan for outbreaks. Future studies can further improve the accuracy of these models by incorporating additional features and data sources, such as meteorological and environmental data. © 2023 IEEE.</t>
  </si>
  <si>
    <t xml:space="preserve">Proceedings of the 2nd IEEE International Conference on Advances in Computing, Communication and Applied Informatics, ACCAI 2023</t>
  </si>
  <si>
    <t xml:space="preserve">10.1109/ACCAI58221.2023.10199840</t>
  </si>
  <si>
    <t xml:space="preserve">https://www.scopus.com/inward/record.uri?eid=2-s2.0-85170054616&amp;doi=10.1109%2fACCAI58221.2023.10199840&amp;partnerID=40&amp;md5=350b411a6c3010e47e950ca82da2a517</t>
  </si>
  <si>
    <t xml:space="preserve">Vellore Institute of Technology, Department of Computer Science, Tamil Nadu, Vellore, 632014, India; Bnm Institute of Technology, Department of Information Science and Engineering, Karnataka, Bangalore, 560070, India; Graphic Era Deemed to Be University, Department of Computer Science and Engineering, Uttarakhand, Dehradun, 248002, India; Koneru Lakshmaiah Education Foundation, Department of Computer Science and Engineering, Andhra Pradesh, Vaddeswaram, 522302, India</t>
  </si>
  <si>
    <t xml:space="preserve">Lalitha T., Vellore Institute of Technology, Department of Computer Science, Tamil Nadu, Vellore, 632014, India; Jagruthi H., Bnm Institute of Technology, Department of Information Science and Engineering, Karnataka, Bangalore, 560070, India; Laxmi V., Bnm Institute of Technology, Department of Information Science and Engineering, Karnataka, Bangalore, 560070, India; Bordoloi D., Graphic Era Deemed to Be University, Department of Computer Science and Engineering, Uttarakhand, Dehradun, 248002, India; Balaji N.A., Koneru Lakshmaiah Education Foundation, Department of Computer Science and Engineering, Andhra Pradesh, Vaddeswaram, 522302, India; Singh Rawat R., Graphic Era Deemed to Be University, Department of Computer Science and Engineering, Uttarakhand, Dehradun, 248002, India</t>
  </si>
  <si>
    <t xml:space="preserve">Deep learning; etc; Machine Learning; Predict cases</t>
  </si>
  <si>
    <t xml:space="preserve">Deep neural networks; Forecasting; Health care; Learning algorithms; Learning systems; Support vector machines; Deep learning; Dengue fevers; Etc; Global health; Health care providers; Health crisis; Learning techniques; Machine-learning; Mosquito-borne disease; Predict case; Decision trees</t>
  </si>
  <si>
    <t xml:space="preserve">Dey S.K., Et al., Prediction of dengue incidents using hospitalized patients, metrological and socio-economic data in Bangladesh: A machine learning approach, PLoS ONE, 17, (2022); Larkin J.W., Et al., Prediction of gastrointestinal bleeding hospitalization in hemodialysis, medRxiv, (2023); Khannous-Lleiffe O., Et al., Microbiome profiling from fecal immunochemical test reveals microbial signatures with potential for colorectal cancer screening, Cancers, 15, (2022); Valdiviezo-Diaz P., Data Mining to Predict COVID-19 Patients' Recovery on a Balanced Dataset, (2020); Genisol I., Uzunlu O., Using machine learning technique to predict the most reliable diagnostic finding for foreign body aspiration in children: Symptoms, chest x-ray, or auscultation?, Cureus, 14, (2022); Kondaka L.S., Thenmozhi M., Vijayakumar K., Et al., An intensive healthcare monitoring paradigm by using IoT based machine learning strategies, Multimed Tools Appl, (2021); Jiang F., Deng L., Zhang L., Cai Y., Cheung C.W., Xia Z., Review of the clinical characteristics of coronavirus disease 2019 (COVID-19), J. Gen. Intern. Med., 35, 5, pp. 1545-1549, (2020); Randhawa G.S., Soltysiak M.P.M., Roz H.E., De Souza C.P.E., Hill K.A., Kari L., Machine learning-based analysis of genomes suggests associations between Wuhan 2019-nCoV and bat Betacoronaviruses, bioRxiv, (2020); Dolin R., Perlman S., Mandell, Douglas, and Bennett's Principles and Practice of Infectious Diseases. Elsevier, (2020); Rao C.S., Babu S.B.G.T., Image Authentication Using Local Binary Pattern on the Low Frequency Components, (2016); Dafni R.J., Vijayakumar K., Data transmission using multiple medium concurrently, International Journal of Engineering &amp; Technology, 7, pp. 409-411, (2018); Munivel K.V., Samraj T., Kandasamy V., Chilamkurti N., Improving the lifetime of an out-patient implanted medical device using a novel flower pollination-based optimization algorithm in wban systems, Mathematics, 8, (2020)</t>
  </si>
  <si>
    <t xml:space="preserve">T. Lalitha; Vellore Institute of Technology, Department of Computer Science, Vellore, Tamil Nadu, 632014, India; email: lalithasrilekha31@gmail.com</t>
  </si>
  <si>
    <t xml:space="preserve">2nd IEEE International Conference on Advances in Computing, Communication and Applied Informatics, ACCAI 2023</t>
  </si>
  <si>
    <t xml:space="preserve">25 May 2023 through 26 May 2023</t>
  </si>
  <si>
    <t xml:space="preserve">979-835031590-5</t>
  </si>
  <si>
    <t xml:space="preserve">Proc. IEEE Int. Conf. Adv. Comput., Commun. Appl. Informatics, ACCAI</t>
  </si>
  <si>
    <t xml:space="preserve">2-s2.0-85170054616</t>
  </si>
  <si>
    <t xml:space="preserve">Borges A.L.; Gonçalves C.A.; Dias V.B.L.; Sousa E.A.; Costa C.H.N.; Silva R.R.V.</t>
  </si>
  <si>
    <t xml:space="preserve">Borges, Armando Luz (58091283600); Gonçalves, Clésio de Araújo (58091518400); Dias, Viviane Barbosa Leal (58478360400); Sousa, Emille Andrade (58478556500); Costa, Carlos Henrique Nery (56248887900); Silva, Romuere Rodrigues Veloso e (55646245100)</t>
  </si>
  <si>
    <t xml:space="preserve">58091283600; 58091518400; 58478360400; 58478556500; 56248887900; 55646245100</t>
  </si>
  <si>
    <t xml:space="preserve">Visceral Leishmaniasis Detection Using Deep Learning Techniques and Multiple Color Space Bands</t>
  </si>
  <si>
    <t xml:space="preserve">Leishmaniasis is a group of neglected popular parasitic diseases typical of tropical and subtropical countries, and its most serious form is Visceral Leishmaniasis (VL). Every year, it’s 700,000 to 1 million cases are recorded worldwide, leading to the death of 26,000 to 65,000 people. The diagnostic, performed through parasitological examination, is very tiring and error-prone; simultaneously, it is a step with a great capacity for automation. Therefore, this work aims to develop an automatic system based on computer vision capable of diagnosing patients infected with VL through medical images. We compared the results obtained in this study with related works, where it was possible to observe that the methodology implemented here proved superior and more efficient, reaching an Accuracy of 99%. In this way, we demonstrated that the deep learning models, trained with images of the patient’s bone marrow’s biological material, can help specialists accurately and safely diagnose patients with VL. © 2023, The Author(s), under exclusive license to Springer Nature Switzerland AG.</t>
  </si>
  <si>
    <t xml:space="preserve">716 LNNS</t>
  </si>
  <si>
    <t xml:space="preserve">10.1007/978-3-031-35501-1_49</t>
  </si>
  <si>
    <t xml:space="preserve">https://www.scopus.com/inward/record.uri?eid=2-s2.0-85164266206&amp;doi=10.1007%2f978-3-031-35501-1_49&amp;partnerID=40&amp;md5=0aae4fa0976031f21bf40d0861fdf0a3</t>
  </si>
  <si>
    <t xml:space="preserve">Information Systems - CSHNB/UFPI, Picos, Piauí, Brazil; Electrical Engineering - PPGEE/UFPI, Piauí, Picos, Brazil; Informatics Department - IFSertão-PE, Pernambuco, Ouricuri, Brazil; Department of Community Medicine - UFPI, Piauí, Teresina, Brazil; Center for Intelligence on Emerging and Neglected Tropical Diseases (CIENTD), Piauí, Teresina, Brazil</t>
  </si>
  <si>
    <t xml:space="preserve">Borges A.L., Information Systems - CSHNB/UFPI, Picos, Piauí, Brazil; Gonçalves C.A., Electrical Engineering - PPGEE/UFPI, Piauí, Picos, Brazil, Informatics Department - IFSertão-PE, Pernambuco, Ouricuri, Brazil; Dias V.B.L., Information Systems - CSHNB/UFPI, Picos, Piauí, Brazil; Sousa E.A., Center for Intelligence on Emerging and Neglected Tropical Diseases (CIENTD), Piauí, Teresina, Brazil; Costa C.H.N., Department of Community Medicine - UFPI, Piauí, Teresina, Brazil, Center for Intelligence on Emerging and Neglected Tropical Diseases (CIENTD), Piauí, Teresina, Brazil; Silva R.R.V., Information Systems - CSHNB/UFPI, Picos, Piauí, Brazil, Electrical Engineering - PPGEE/UFPI, Piauí, Picos, Brazil, Center for Intelligence on Emerging and Neglected Tropical Diseases (CIENTD), Piauí, Teresina, Brazil</t>
  </si>
  <si>
    <t xml:space="preserve">Deep Learning; Space color; Visceral Leishmaniasis</t>
  </si>
  <si>
    <t xml:space="preserve">Color; Deep learning; Diagnosis; Learning systems; Medical computing; Medical imaging; Tropics; Automatic systems; Deep learning; Error prones; Learning techniques; Multiple color spaces; Parasitics; Space color; Subtropical countries; Tropical countries; Visceral leishmaniasis; Biological materials</t>
  </si>
  <si>
    <t xml:space="preserve">DGRST; FAIR, (CUP H97G22000210007, PE00000013); Funda¸cão de Amparo a Pesquisa do Piaúı; General Direction of Scientific Research; Ministry of higher education and research and the Tunisian Ministry of higher education and scientific research in the CMCU, (22G1403); NRRP; Providence Health Care, PHC; Japan Society for the Promotion of Science, KAKEN; Grantová Agentura České Republiky, GA ČR, (21-33574K); Grantová Agentura České Republiky, GA ČR; Ministère des Affaires Etrangères; Narodowe Centrum Nauki, NCN, (2020/02/Y/ST6/00037); Narodowe Centrum Nauki, NCN; European Social Fund Plus, ESF, (100602780); European Social Fund Plus, ESF; Russian Science Foundation, RSF, (22-21-00494); Russian Science Foundation, RSF</t>
  </si>
  <si>
    <t xml:space="preserve">Funding text 1: Supported by Funda¸cão de Amparo a Pesquisa do Piaúı.; Funding text 2: Acknowledgements. This research is supported by the Russian Science Foundation, Grant No. 22-21-00494.; Funding text 3: which has received funding from the National Science Centre, Poland under grant agreement No. 2020/02/Y/ST6/00037, and the GACR-Czech Science Foundation project No. 21-33574K “Lifelong Machine Learning on Data Streams”.; Funding text 4: Acknowledgment. Gianluca Zaza and Giovanna Castellano acknowledge the support of the PNRR project FAIR - Future AI Research (PE00000013), Spoke 6 - Symbiotic AI (CUP H97G22000210007) under the NRRP MUR program funded by the NextGen-erationEU.; Funding text 5: Acknowledgement. This work was partially supported by JSPS KAKENHI, JSPS Research Fellowships for Young Scientists.; Funding text 6: Acknowledgments. The authors would like to acknowledge the financial support of this work by grants from General Direction of Scientific Research (DGRST), Tunisia, under the ARUB.; Funding text 7: Acknowledgement. This work has been supported and funded by the ESF (European Social Fund) as part of the REACT research group “Wandlungsfähige Produk-tionsumgebungen” (WaPro, application number: 100602780). REACT-EU: Funded as part of the EU reaction to the COVID-19 pandemic.; Funding text 8: Acknowledgements. This work was supported by the CEUS-UNISONO programme,</t>
  </si>
  <si>
    <t xml:space="preserve">Alvar J., Et al., Leishmaniasis worldwide and global estimates of its incidence, PloS One, 7, (2012); Harigua-Souiai E., Oualha R., Souiai O., Abdeljaoued-Tej I., Guizani I., Applied machine learning toward drug discovery enhancement: Leishmaniases as a case study, Bioinform. Biol. Insights, 16, (2022); Jameson J.L., Fauci A.S., Kasper D.L., Hauser S.L., Longo D.L., Loscalzo J., Harrison’s manual of medicine, 20, (2020); Farahi M., Rabbani H., Talebi A., Sarrafzadeh O., Ensafi S., Automatic segmentation of leishmania parasite in microscopic images using a modified cv level set method, 12, (2015); Kumar R., Nylen S., Immunobiology of visceral leishmaniasis, Front. Immunol, 3, (2012); Silva J., Et al., Bone marrow parasite burden among patients with new world kala-azar is associated with disease severity, Am. J. Trop. Med. Hyg, 90, (2014); Rodrigues Veloso e Silva R., Henrique Duarte de Araujo F., Moreno Rodrigues dos Santos L., Melo Souza Veras R., NelsizeumaSombra de Medeiros F., Optic disc detection in retinal images using algorithms committee with weighted voting, IEEE Latin America Trans, 14, 5, pp. 2446-2454, (2016); e Silva R.R.V., de Araujo F.H.D., dos Santos L.M.R., Veras R.M.S., de Medeiros F.N.S., IEEE Latin America Trans, 14, 5, pp. 2446-2454, (2016); Cook A., Using transfer learning to classify images with keras, (2017); Neves J.C., Castro H., Tomas A., Coimbra M., Proenca H., Detection and separation of overlapping cells based on contour concavity for leishmania images, Cytometry Part A, 85, 6, pp. 491-500, (2014); Gorriz M., Aparicio A., Raventos B., Vilaplana V., Sayrol E., Lopez-Codina D., Leishmaniasis parasite segmentation and classification using deep learning, AMDO 2018. LNCS, 10945, pp. 53-62, (2018); Isaza-Jaimes A., Et al., A computational approach for leishmania genus protozoa detection in bone marrow samples from patients with visceral leishmaniasis, (2020); Coelho G., Et al., Microscopic image segmentation to quantification of leishmania infection in macrophages, Fronteiras: J. Soc. Technol. Environ. Sci, 9, 1, pp. 488-498, (2020); Huang G., Liu Z., Weinberger K.Q., Densely connected convolutional networks, CoRR, (2016); Simonyan K., Zisserman A., Very deep convolutional networks for large-scale image recognition, (2014); He K., Zhang X., Ren S., Sun J., Identity mappings in deep residual networks, CoRR, (2016); Szegedy C., Ioffe S., Vanhoucke V., Inception-v4, inception-resnet and the impact of residual connections on learning, (2016); Russakovsky O., Et al., Imagenet large scale visual recognition challenge, Int. J. Comput. Vision, 115, 3, pp. 211-252, (2015); Xiang Y., Wang J., Hong Q.-Q., Teku R., Wang S.-H., Zhang Y.-D., Transfer learning for medical images analyses: a survey, Neurocomputing, 489, pp. 230-254, (2022); Fleiss J.L., Levin B., Paik M.C., Statistical methods for rates and proportions, (2013); Grad-cam: Por que você disse isso? explicações visuais da deep networks via local-ização baseada em gradiente; Nogueira P.A., Teofilo L.F., A probabilistic approach to organic component detection in leishmania infected microscopy images, AIAI 2012. IAICT, 381, pp. 1-10, (2012)</t>
  </si>
  <si>
    <t xml:space="preserve">R.R.V. Silva; Information Systems - CSHNB/UFPI, Piauí, Picos, Brazil; email: romuere@ufpi.edu.br</t>
  </si>
  <si>
    <t xml:space="preserve">Abraham A.; Abraham A.; Pllana S.; Casalino G.; Ma K.; Bajaj A.</t>
  </si>
  <si>
    <t xml:space="preserve">22nd International Conference on Intelligent Systems Design and Applications, ISDA 2022</t>
  </si>
  <si>
    <t xml:space="preserve">12 December 2022 through 14 December 2022</t>
  </si>
  <si>
    <t xml:space="preserve">978-303135500-4</t>
  </si>
  <si>
    <t xml:space="preserve">2-s2.0-85164266206</t>
  </si>
  <si>
    <t xml:space="preserve">Obonyo N.G.; Olupot-Olupot P.; Mpoya A.; Nteziyaremye J.; Chebet M.; Uyoga S.; Muhindo R.; Fanning J.P.; Shiino K.; Chan J.; Fraser J.F.; Maitland K.</t>
  </si>
  <si>
    <t xml:space="preserve">Obonyo, Nchafatso G. (20735366100); Olupot-Olupot, Peter (23987091400); Mpoya, Ayub (55621345200); Nteziyaremye, Julius (55611435000); Chebet, Martin (56125021300); Uyoga, Sophie (9042273400); Muhindo, Rita (57194002701); Fanning, Jonathon P. (53983925400); Shiino, Kenji (40262518400); Chan, Jonathan (52363214300); Fraser, John F. (34769608400); Maitland, Kathryn (57216495418)</t>
  </si>
  <si>
    <t xml:space="preserve">20735366100; 23987091400; 55621345200; 55611435000; 56125021300; 9042273400; 57194002701; 53983925400; 40262518400; 52363214300; 34769608400; 57216495418</t>
  </si>
  <si>
    <t xml:space="preserve">A Clinical and Physiological Prospective Observational Study on the Management of Pediatric Shock in the Post-Fluid Expansion as Supportive Therapy Trial Era∗</t>
  </si>
  <si>
    <t xml:space="preserve">OBJECTIVES: Fluid bolus resuscitation in African children is harmful. Little research has evaluated physiologic effects of maintenance-only fluid strategy. DESIGN: We describe the efficacy of fluid-conservative resuscitation of septic shock using case-fatality, hemodynamic, and myocardial function endpoints. SETTING: Pediatric wards of Mbale Regional Referral Hospital, Uganda, and Kilifi County Hospital, Kenya, conducted between October 2013 and July 2015. Data were analysed from August 2016 to July 2019. PATIENTS: Children (≥ 60 d to ≤ 12 yr) with severe febrile illness and clinical signs of impaired perfusion. INTERVENTIONS: IV maintenance fluid (4 mL/kg/hr) unless children had World Health Organization (WHO) defined shock (≥ 3 signs) where they received two fluid boluses (20 mL/kg) and transfusion if shock persisted. Clinical, electrocardiographic, echocardiographic, and laboratory data were collected at presentation, during resuscitation and on day 28. Outcome measures were 48-hour mortality, normalization of hemodynamics, and cardiac biomarkers. MEASUREMENT AND MAIN RESULTS: Thirty children (70% males) were recruited, six had WHO shock, all of whom died (6/6) versus three of 24 deaths in the non-WHO shock. Median fluid volume received by survivors and nonsurvivors were similar (13 [interquartile range (IQR), 9-32] vs 30 mL/kg [28-61 mL/kg], z = 1.62, p = 0.23). By 24 hours, we observed increases in median (IQR) stroke volume index (39 mL/m2[32-42 mL/m2] to 47 mL/m2[41-49 mL/m2]) and a measure of systolic function: fractional shortening from 30 (27-33) to 34 (31-38) from baseline including children managed with no-bolus. Children with WHO shock had a higher mean level of cardiac troponin (t = 3.58; 95% CI, 1.24-1.43; p = 0.02) and alpha-atrial natriuretic peptide (t = 16.5; 95% CI, 2.80-67.5; p &lt; 0.01) at admission compared with non-WHO shock. Elevated troponin (&gt; 0.1 μg/mL) and hyperlactatemia (&gt; 4 mmol/L) were putative makers predicting outcome. CONCLUSIONS: Maintenance-only fluid therapy normalized clinical and myocardial perturbations in shock without compromising cardiac or hemodynamic function whereas fluid-bolus management of WHO shock resulted in high fatality. Troponin and lactate biomarkers of cardiac dysfunction could be promising outcome predictors in pediatric septic shock in resource-limited settings. © 2022 Lippincott Williams and Wilkins. All rights reserved.</t>
  </si>
  <si>
    <t xml:space="preserve">Pediatric Critical Care Medicine</t>
  </si>
  <si>
    <t xml:space="preserve">10.1097/PCC.0000000000002968</t>
  </si>
  <si>
    <t xml:space="preserve">https://www.scopus.com/inward/record.uri?eid=2-s2.0-85134361512&amp;doi=10.1097%2fPCC.0000000000002968&amp;partnerID=40&amp;md5=c0b0752a2e387dc1964c53eca57d124d</t>
  </si>
  <si>
    <t xml:space="preserve">Kenya Medical Research Institute, Clinical Sciences Department, Wellcome Trust Research Programme, Kilifi, Kenya; Initiative to Develop African Research Leaders, Kilifi, Kenya; Mbale Clinical Research Institute, Department of Paediatrics, Mbale, Uganda; Critical Care Research Group, The Prince Charles Hospital Brisbane, VIC, Australia; Faculty of Medicine, University of Queensland Brisbane, VIC, Australia; School of Medicine, Griffith University, Gold Coast, QLD, Australia; Busitema University, Faculty of Health Sciences, Mbale, Uganda; Department of Infectious Disease and Institute of Global Health and Innovation, Division of Medicine, Imperial College, London, United Kingdom</t>
  </si>
  <si>
    <t xml:space="preserve">Obonyo N.G., Kenya Medical Research Institute, Clinical Sciences Department, Wellcome Trust Research Programme, Kilifi, Kenya; Olupot-Olupot P., Initiative to Develop African Research Leaders, Kilifi, Kenya; Mpoya A., Kenya Medical Research Institute, Clinical Sciences Department, Wellcome Trust Research Programme, Kilifi, Kenya; Nteziyaremye J., Mbale Clinical Research Institute, Department of Paediatrics, Mbale, Uganda; Chebet M., Mbale Clinical Research Institute, Department of Paediatrics, Mbale, Uganda; Uyoga S., Kenya Medical Research Institute, Clinical Sciences Department, Wellcome Trust Research Programme, Kilifi, Kenya; Muhindo R., Mbale Clinical Research Institute, Department of Paediatrics, Mbale, Uganda; Fanning J.P., Critical Care Research Group, The Prince Charles Hospital Brisbane, VIC, Australia, Faculty of Medicine, University of Queensland Brisbane, VIC, Australia; Shiino K., Critical Care Research Group, The Prince Charles Hospital Brisbane, VIC, Australia, School of Medicine, Griffith University, Gold Coast, QLD, Australia; Chan J., Critical Care Research Group, The Prince Charles Hospital Brisbane, VIC, Australia, Busitema University, Faculty of Health Sciences, Mbale, Uganda; Fraser J.F., Critical Care Research Group, The Prince Charles Hospital Brisbane, VIC, Australia, Department of Infectious Disease and Institute of Global Health and Innovation, Division of Medicine, Imperial College, London, United Kingdom; Maitland K., Kenya Medical Research Institute, Clinical Sciences Department, Wellcome Trust Research Programme, Kilifi, Kenya</t>
  </si>
  <si>
    <t xml:space="preserve">cardiac biomarkers; echocardiography; fluid resuscitation; management; pediatrics; shock</t>
  </si>
  <si>
    <t xml:space="preserve">Biomarkers; Child; Female; Fluid Therapy; Humans; Male; Shock; Shock, Septic; Troponin; Uganda; atrial natriuretic factor; atrial natriuretic factor alpha; biological marker; brain natriuretic peptide; creatinine; lactic acid; potassium; troponin; biological marker; troponin; anemia; Article; blood transfusion; cardiac index; case fatality rate; child; clinical article; clinical effectiveness; clinical feature; comparative study; disease severity; echocardiography; electrocardiography; female; fever; fluid resuscitation; fractional shortening; heart ejection fraction; heart muscle injury; heart output; heart stroke volume; hemodynamics; human; Human immunodeficiency virus infection; hyperlactatemia; hypotension; infant; Kenya; leukocytosis; maintenance therapy; malaria; male; multicenter study; observational study; pediatric patient; pediatric ward; prediction; prospective study; septic shock; stress echocardiography; survivor; systolic blood pressure; tachycardia; tachypnea; Uganda; World Health Organization; fluid therapy; procedures; septic shock; shock</t>
  </si>
  <si>
    <t xml:space="preserve">atrial natriuretic factor, 85637-73-6; atrial natriuretic factor alpha, 89213-87-6; brain natriuretic peptide, 114471-18-0; creatinine, 19230-81-0, 60-27-5; lactic acid, 113-21-3, 50-21-5; potassium, 7440-09-7; Biomarkers, ; Troponin, </t>
  </si>
  <si>
    <t xml:space="preserve">Vivid 1, GE Healthcare</t>
  </si>
  <si>
    <t xml:space="preserve">GE Healthcare</t>
  </si>
  <si>
    <t xml:space="preserve">Mbale Clinical Research Institute; Medical Research Institute-Wellcome Trust Research Programme; Wellcome Trust Imperial College Centre for Global Health Research; Wellcome Trust, WT, (100693/Z/12/Z, 203077/Z/16/Z); Wellcome Trust, WT; Department for International Development, UK Government, DFID, (DEL-15-003); Department for International Development, UK Government, DFID; Imperial College London, (105603/Z/14/Z]); Imperial College London</t>
  </si>
  <si>
    <t xml:space="preserve">Funding text 1: Management of Pediatric Septic Shock study was supported, in part, by an Institutional Strategic Support Fund Award, Wellcome Trust Centre for Global Health Research, Imperial College London (grant code 105603/Z/14/Z). Supported, in part, by the Wellcome Trust (105603/Z/14/Z, 100693/Z/12/Z, and 203077/Z/16/Z). For the purpose of open access, the author has applied a CC BY public copyright license to any Author Accepted Manuscript version arising from this submission. The funding body did not play any role in the design of the study, data collection or analysis or manuscript preparation. ; Funding text 2: Drs. Obonyo, Olupot-Olupot, and Uyoga are funded and supported through the Wellcome Trust and the Department for International Development funded DELTAS Africa Initiative (DEL-15-003). Dr. Obonyo received funding from Imperial College London (Institutional Strategic Support Funds [105603/Z/14/Z]) and Wellcome Trust Imperial College Centre for Global Health Research [100693/Z/12/Z]) and the Initiative to Develop African Research Leaders/Kenya Medical Research Institute-Wellcome Trust Research Programme. Dr. Chebet received funding from Mbale Clinical Research Institute. Drs. Olupot-Olupot, Nteziyaremye, Muhindo, and Maitland received support for article research from Research Councils UK. Drs. Nteziyaremye, Chebet, Muhindo, and Maitland received support for article research from Wellcome Trust/Charity Open Access Fund. Dr. Maitland received funding from Wellcome East African Overseas Programme Award from the Wellcome Trust (203077/Z/16/Z). The remaining authors have disclosed that they do not have any potential conflicts of interest. </t>
  </si>
  <si>
    <t xml:space="preserve">Cruz A.T., Lane R.D., Balamuth F., Updates on pediatric sepsis., J Am Coll Emerg Physicians Open, 1, pp. 981-993, (2020); Moisi J.C., Gatakaa H., Berkley J.A., Excess child mortality after discharge from hospital in Kilifi, Kenya: A retrospective cohort analysis., Bull World Health Organ, 89, pp. 725-732, (2011); Maitland K., Kiguli S., Opoka R.O., Mortality after fluid bolus in African children with severe infection., N Engl J Med, 364, pp. 2483-2495, (2011); Maitland K., George E.C., Evans J.A., Exploring mechanisms of excess mortality with early fluid resuscitation: Insights from the FEAST trial., BMC Med, 11, (2013); Pocket Book of Hospital Care for Children: Guidelines for the Management of Common Childhood Illnesses, (2013); Houston K.A., George E.C., Maitland K., Implications for paediatric shock management in resource-limited settings: A perspective from the FEAST trial., Crit Care, 22, (2018); Kiguli S., Akech S.O., Mtove G., WHO guidelines on fluid resuscitation in children: Missing the FEAST data., BMJ, 348, (2014); Maitland K., Molyneux S., Boga M., Use of deferred consent for severely ill children in a multi-centre phase III trial., Trials, 12, (2011); Von Elm E., Altman D.G., Egger M., The strengthening the reporting of observational studies in epidemiology (STROBE) statement: Guidelines for reporting observational studies., Ann Intern Med, 147, pp. 573-577, (2007); Kligfield P., Gettes L.S., Bailey J.J., Recommendations for the standardization and interpretation of the electrocardiogram: Part I: The electrocardiogram and its technology: A scientific statement from the American Heart Association Electrocardiography and Arrhythmias Committee, Council on Clinical Cardiology; the American College of Cardiology Foundation; and the Heart Rhythm Society: Endorsed by the International Society for Computerized Electrocardiology., Circulation, 115, pp. 1306-1324, (2007); Bazett H.C., An analysis of the time-relations of electrocardiograms., Heart-J Stud Circ, 7, pp. 353-370, (1920); Tutar H.E., Ocal B., Imamoglu A., Dispersion of QT and QTc interval in healthy children, and effects of sinus arrhythmia on QT dispersion., Heart, 80, pp. 77-79, (1998); Towbin J.A., Gajarski R.J., Cardiac troponin I: A new diagnostic gold standard of cardiac injury in children?, J Pediatr, 130, pp. 853-855, (1997); Levin E.R., Gardner D.G., Samson W.K., Natriuretic peptides., N Engl J Med, 339, pp. 321-328, (1998); Goldstein B., Giroir B., Randolph A., International pediatric sepsis consensus conference: Definitions for sepsis and organ dysfunction in pediatrics., Pediatr Crit Care Med, 6, pp. 2-8, (2005); Byrne L., Obonyo N.G., Diab S.D., Unintended consequences: Fluid resuscitation worsens shock in an ovine model of endotoxemia., Am J Respir Crit Care Med, 198, pp. 1043-1054, (2018); Guideline: Updates on Paediatric Emergency Triage, Assessment and Treatment: Care of Critically-Ill Children, (2016); Opiyo N., Molyneux E., Sinclair D., Immediate fluid management of children with severe febrile illness and signs of impaired circulation in low-income settings: A contextualised systematic review., BMJ Open, 4, (2014); Guyatt G.H., Oxman A.D., Kunz R., GRADE guidelines: 8. Rating the quality of evidence-indirectness., J Clin Epidemiol, 64, pp. 1303-1310, (2011); Ford N., Hargreaves S., Shanks L., Mortality after fluid bolus in children with shock due to sepsis or severe infection: A systematic review and meta-analysis., PLoS One, 7, (2012); Mehta N.J., Khan I.A., Gupta V., Cardiac troponin I predicts myocardial dysfunction and adverse outcome in septic shock., Int J Cardiol, 95, pp. 13-17, (2004); Ver Elst K.M., Spapen H.D., Nguyen D.N., Cardiac troponins I and T are biological markers of left ventricular dysfunction in septic shock., Clin Chem, 46, pp. 650-657, (2000); Sheyin O., Davies O., Duan W., The prognostic significance of troponin elevation in patients with sepsis: A meta-analysis., Heart Lung, 44, pp. 75-81, (2015); Soldin S.J., Murthy J.N., Agarwalla P.K., Pediatric reference ranges for creatine kinase, CKMB, Troponin I, iron, and cortisol., Clin Biochem, 32, pp. 77-80, (1999); Maack T., The broad homeostatic role of natriuretic peptides., Arq Bras Endocrinol Metabol, 50, pp. 198-207, (2006); Price J.F., Thomas A.K., Grenier M., B-type natriuretic peptide predicts adverse cardiovascular events in pediatric outpatients with chronic left ventricular systolic dysfunction., Circulation, 114, pp. 1063-1069, (2006); Gangnus T., Burckhardt B.B., Potential and limitations of atrial natriuretic peptide as biomarker in pediatric heart failure-A comparative review., Front Pediatr, 6, (2018); Kotby A.A., Taman K.H., Sedky H.T., Atrial natriuretic peptide as a marker of heart failure in children with left ventricular volume overload., J Paediatr Child Health, 49, pp. 43-47, (2013); Chappell D., Bruegger D., Potzel J., Hypervolemia increases release of atrial natriuretic peptide and shedding of the endothelial glycocalyx., Crit Care, 18, (2014); Cowman M.K., Lee H.G., Schwertfeger K.L., The content and size of hyaluronan in biological fluids and tissues., Front Immunol, 6, (2015)</t>
  </si>
  <si>
    <t xml:space="preserve">K. Maitland; Kenya Medical Research Institute, Clinical Sciences Department, Wellcome Trust Research Programme, Kilifi, Kenya; email: k.maitland@imperial.ac.uk</t>
  </si>
  <si>
    <t xml:space="preserve">Pediatr. Crit. Care Med.</t>
  </si>
  <si>
    <t xml:space="preserve">2-s2.0-85134361512</t>
  </si>
  <si>
    <t xml:space="preserve">Soylu E.</t>
  </si>
  <si>
    <t xml:space="preserve">Soylu, Emel (57188877016)</t>
  </si>
  <si>
    <t xml:space="preserve">A Deep Transfer Learning-Based Comparative Study for Detection of Malaria Disease</t>
  </si>
  <si>
    <t xml:space="preserve">Malaria is a disease caused by a parasite. The parasite is transmitted to humans through the bite of infected mosquitoes. Thousands of people die every year due to malaria. When this disease is diagnosed early, it can be fully treated with medication. Diagnosis of malaria can be made according to the presence of parasites in the blood taken from the patient. In this study, malaria detection and diagnosis study were performed using The Malaria dataset containing a total of 27,558 cell images with samples of equally parasitized and uninfected cells from thin blood smear slide images of segmented cells. It is possible to detect malaria from microscopic blood smear images via modern deep learning techniques. In this study, 5 of the popular convolutional neural network architectures for malaria detection from cell images were retrained to find the best combination of architecture and learning algorithm. AlexNet, GoogLeNet, ResNet-50, MobileNet-v2, VGG-16 architectures from pre-trained networks were used, their hyperparameters were adjusted and their performances were compared. In this study, a maximum 96.53% accuracy rate was achieved with MobileNet-v2 architecture using the adam learning algorithm. © 2022, Sakarya University. All rights reserved.</t>
  </si>
  <si>
    <t xml:space="preserve">Sakarya University Journal of Computer and Information Sciences</t>
  </si>
  <si>
    <t xml:space="preserve">Sakarya University</t>
  </si>
  <si>
    <t xml:space="preserve">10.35377/saucis.05.03.1197119</t>
  </si>
  <si>
    <t xml:space="preserve">https://www.scopus.com/inward/record.uri?eid=2-s2.0-85196408747&amp;doi=10.35377%2fsaucis.05.03.1197119&amp;partnerID=40&amp;md5=db5cd6325283ed652c46a521d4fbae71</t>
  </si>
  <si>
    <t xml:space="preserve">Samsun University, Faculty of Engineering, Department of Software Engineering, Samsun, Turkey</t>
  </si>
  <si>
    <t xml:space="preserve">Soylu E., Samsun University, Faculty of Engineering, Department of Software Engineering, Samsun, Turkey</t>
  </si>
  <si>
    <t xml:space="preserve">Convolutional Neural Network; deep transfer learning; malaria detection; Matlab</t>
  </si>
  <si>
    <t xml:space="preserve">Sıtma; World malaria report 2020-WHO, (2020); What is malaria?, Global Health, Division of Parasitic Diseases and Malaria, (2021); Soylu E., Soylu T., Bayir R., Design and implementation of SOC prediction for a Li-Ion battery pack in an electric car with an embedded system, Entropy, 19, 4, (2017); Karabacak Y., Uysal A., Fuzzy logic controlled brushless direct current motor drive design and application for regenerative braking, 2017 International Artificial Intelligence and Data Processing Symposium (IDAP), pp. 1-7, (2017); Uysal A., Gokay S., Soylu E., Soylu T., Caska S., Fuzzy proportional-integral speed control of switched reluctance motor with MATLAB/Simulink and programmable logic controller communication, Meas. Control (United Kingdom), 52, 7–8, (2019); Selby L. V., Narain W. R., Russo A., Strong V. E., Stetson P., Autonomous detection, grading, and reporting of postoperative complications using natural language processing, Surg. (United States), 164, 6, pp. 1300-1305, (2018); Shustanov A., Yakimov P., CNN Design for Real-Time Traffic Sign Recognition, Procedia Eng, 201, pp. 718-725, (2017); LeCun Y., Et al., Comparison of learning algorithms for handwritten digit recognition, International conference on artificial neural networks, 60, pp. 53-60, (1995); Seebock Philipp, Deep Learning in Medical Image Analysis, (2015); Kaya U., Yilmaz A., Dikmen Y., Sağlık Alanında Kullanılan Derin Öğrenme Yöntemleri, Eur. J. Sci. Technol, 16, pp. 792-808, (2019); Kumar V. B., Kumar S. S., Saboo V., Dermatological Disease Detection Using Image Processing and Machine Learning, 2016 3rd Int. Conf. Artif. Intell. Pattern Recognition, AIPR 2016, pp. 88-93, (2016); Jain S., Jagtap V., Pise N., Computer aided melanoma skin cancer detection using image processing, Procedia Computer Science, International Conference on Intelligent Computing, Communication &amp; Convergence (ICCC-2015), 48, C, pp. 735-740, (2015); Chaudhary A., Singh S. S., Lung cancer detection on CT images by using image processing, Proc. Turing 100-Int. Conf. Comput. Sci. ICCS 2012, pp. 142-146, (2012); Kumar Mallick P., Ryu S. H., Satapathy S. K., Mishra S., Nguyen G. N., Tiwari P., Brain MRI Image Classification for Cancer Detection Using Deep Wavelet Autoencoder-Based Deep Neural Network, IEEE Access, 7, pp. 46278-46287, (2019); Horry M. J., Et al., COVID-19 Detection through Transfer Learning Using Multimodal Imaging Data, IEEE Access, 8, pp. 149808-149824, (2020); Togacar M., Ergen B., Comert Z., Tumor type detection in brain MR images of the deep model developed using hypercolumn technique, attention modules, and residual blocks, Med. Biol. Eng. Comput, 59, 1, pp. 57-70, (2021); Abbasi A. A., Et al., Detecting prostate cancer using deep learning convolution neural network with transfer learning approach, Cogn. Neurodyn, 14, 4, pp. 523-533, (2020); Rahman T., Et al., Transfer learning with deep Convolutional Neural Network (CNN) for pneumonia detection using chest X-ray, Appl. Sci, 10, 9, (2020); Vijayalakshmi A, Rajesh Kanna B, Deep learning approach to detect malaria from microscopic images, Multimed. Tools Appl, 79, 21–22, pp. 15297-15317, (2020); Dong Y., Et al., Evaluations of deep convolutional neural networks for automatic identification of malaria infected cells, 2017 IEEE EMBS Int. Conf. Biomed. Heal. Informatics, BHI 2017, pp. 101-104, (2017); Yang F., Et al., Deep Learning for Smartphone-Based Malaria Parasite Detection in Thick Blood Smears, IEEE J. Biomed. Heal. Informatics, 24, 5, pp. 1427-1438, (2020); Pan W. D., Dong Y., Wu D., Classification of Malaria-Infected Cells Using Deep Convolutional Neural Networks, Machine Learning-Advanced Techniques and Emerging Applications, pp. 159-173, (2018); Sai Bharadwaj Reddy A., Sujitha Juliet D., Transfer learning with RESNET-50 for malaria cell-image classification, Proc. 2019 IEEE Int. Conf. Commun. Signal Process. ICCSP 2019, pp. 945-949, (2019); Fuhad K. M. F., Tuba J. F., Sarker M. R. A., Momen S., Mohammed N., Rahman T., Deep learning based automatic malaria parasite detection from blood smear and its smartphone based application, Diagnostics, 10, 5, (2020); Albawi S., Mohammed T. A., Al-Zawi S., Understanding of a convolutional neural network, Proc. 2017 Int. Conf. Eng. Technol. ICET 2017, 2018, pp. 1-6, (2018); Bayar B., Stamm M. C., A deep learning approach to universal image manipulation detection using a new convolutional layer, IH MMSec 2016-Proc. 2016 ACM Inf. Hiding Multimed. Secur. Work, pp. 5-10, (2016); Miao D., Pedrycz W., Slezak D., Peters G., Hu Q., Wang R., Mixed Pooling for Convolutional Neural Networks, International Conference on Rough Sets and Knowledge Technology, 8818, pp. 364-375, (2014); Sun M., Song Z., Jiang X., Pan J., Pang Y., Learning Pooling for Convolutional Neural Network, Neurocomputing, 224, pp. 96-104, (2016); Postalciloglu S., Performance Analysis of Different Optimizers for Deep Learning-Based Image Recognition, Int. J. Pattern Recognit. Artif. Intell, 34, 2, (2020); Chen H., Et al., Deep Transfer Learning for Person Re-Identification, 2018 IEEE 4th Int. Conf. Multimed. Big Data, BigMM 2018, (2018); Krizhevsky A., Sutskever I., Hinton G. E., 2012 AlexNet, Adv. Neural Inf. Process. Syst, (2012); Krizhevsky A., Sutskever I., Hinton G. E., ImageNet classification with deep convolutional neural networks, Commun. ACM, 60, 6, pp. 84-90, (2017); Szegedy C., Et al., Going deeper with convolutions, Proceedings of the IEEE conference on computer vision and pattern recognition, pp. 1-9, (2015); He K., Zhang X., Ren S., Sun J., Deep residual learning for image recognition, Proceedings of the IEEE conference on computer vision and pattern recognition, pp. 770-778, (2016); Rajaraman S., Et al., Pre-trained convolutional neural networks as feature extractors toward improved malaria parasite detection in thin blood smear images, PeerJ, 6, (2018); Malaria Cell Images Dataset</t>
  </si>
  <si>
    <t xml:space="preserve">E. Soylu; Samsun University, Faculty of Engineering, Department of Software Engineering, Samsun, Turkey; email: emel.soylu@samsun.edu.tr</t>
  </si>
  <si>
    <t xml:space="preserve">Sakarya. Univ. J. Comp. Inf. Sci.</t>
  </si>
  <si>
    <t xml:space="preserve">2-s2.0-85196408747</t>
  </si>
  <si>
    <t xml:space="preserve">Kotepui K.U.; Thirarattanasunthon P.; Rattaprasert P.; Kotepui M.</t>
  </si>
  <si>
    <t xml:space="preserve">Kotepui, Kwuntida Uthaisar (57205182598); Thirarattanasunthon, Phiman (55356448200); Rattaprasert, Pongruj (54279274800); Kotepui, Manas (55601980600)</t>
  </si>
  <si>
    <t xml:space="preserve">57205182598; 55356448200; 54279274800; 55601980600</t>
  </si>
  <si>
    <t xml:space="preserve">A systematic review and meta-analysis of blood interleukin-4 levels concerning malaria infection and severity</t>
  </si>
  <si>
    <t xml:space="preserve">Background: Interleukin (IL)-4 had been linked to malaria severity, but the findings are controversial, and the evidence is inconsistent and imprecise. In the current investigation, data on IL-4 levels in patients with severe and uncomplicated malaria were compiled. Methods: The systematic review was registered at PROSPERO (CRD42022323387). Searches for relevant articles on IL-4 levels in patients with severe malaria and studies that examined IL-4 levels in both uncomplicated malaria and healthy controls were performed in PubMed, Embase, and Scopus using the search strategy without limitation to publication years or language. The quality of all included studies was evaluated using The Strengthening the Reporting of Observational Studies in Epidemiology (STROBE) Statement: standards for reporting observational studies. Qualitative and quantitative data syntheses were performed. The random-effects model, which weights each study according to its between- and within-study variance, was used to pool the mean difference (MD) of individual studies. The degree of heterogeneity was determined using Cochran's Q and I2 statistics. Additionally, meta-regression and subgroup analyses were perfomed to investigate possible sources of heterogeneity. The outliers were identified using the leave-one-out method and assessed publication bias using funnel plots, Egger’s test, and a contour-enhanced funnel plot. Results: A total of 2300 studies were identified through database searches, and 36 were included for analyses. The meta-analysis results showed lower mean IL-4 levels in severe malaria (434 cases) than in uncomplicated malaria (611 cases) (P = 0.01, pooled MD: −3.36 pg/mL, 95% confidence intervals CI −5.55 to −1.16 pg/mL, I2: 98.15%, 11 studies). The meta-analysis results showed no difference in mean IL-4 levels between cerebral malaria (96 cases) and noncerebral severe malaria (108 cases) (P = 0.71, pooled MD: 0.86 pg/mL, 95% CI −3.60 to 5.32 pg/mL, I2 92.13%, four studies). Finally, no difference was found in mean IL-4 levels between uncomplicated malaria (635 cases) and healthy controls (674 cases) (P = 0.57, pooled MD: 0.79 pg/mL, 95% CI −1.92 to 3.50 pg/mL, I2: 99.89%, 11 studies). Conclusion: The meta-analysis revealed lower IL-4 levels in patients with severe malaria than in those with uncomplicated malaria, though a trend toward comparable IL-4 levels between both groups was more likely because several sources of heterogeneities were observed. Based on the limited number of studies included in the meta-analysis, until additional investigations have been conducted, IL-4 consideration as an alternative prognostic factor for malaria severity is not warranted. © 2022, The Author(s).</t>
  </si>
  <si>
    <t xml:space="preserve">10.1186/s12936-022-04237-z</t>
  </si>
  <si>
    <t xml:space="preserve">https://www.scopus.com/inward/record.uri?eid=2-s2.0-85133927487&amp;doi=10.1186%2fs12936-022-04237-z&amp;partnerID=40&amp;md5=0133e4b7204e409937c7f7ec31f1902f</t>
  </si>
  <si>
    <t xml:space="preserve">Medical Technology Program, School of Allied Health Sciences, Walailak University, Tha Sala, Nakhon Si Thammarat, Thailand; Public Health Program, School of Public Health, Walailak University, Tha Sala, Nakhon Si Thammarat, Thailand; Department of Protozoology, Faculty of Tropical Medicine, Mahidol University, Bangkok, Thailand</t>
  </si>
  <si>
    <t xml:space="preserve">Kotepui K.U., Medical Technology Program, School of Allied Health Sciences, Walailak University, Tha Sala, Nakhon Si Thammarat, Thailand; Thirarattanasunthon P., Public Health Program, School of Public Health, Walailak University, Tha Sala, Nakhon Si Thammarat, Thailand; Rattaprasert P., Department of Protozoology, Faculty of Tropical Medicine, Mahidol University, Bangkok, Thailand; Kotepui M., Medical Technology Program, School of Allied Health Sciences, Walailak University, Tha Sala, Nakhon Si Thammarat, Thailand</t>
  </si>
  <si>
    <t xml:space="preserve">Cerebral malaria; IL-4; Immune response; Interleukin-4; Severe malaria</t>
  </si>
  <si>
    <t xml:space="preserve">Humans; Interleukin-4; Malaria, Cerebral; interleukin 4; interleukin 4; Article; blood sampling; cerebral malaria; data synthesis; disease severity; factual database; human; immune response; meta analysis; outcome assessment; prognosis; protein blood level; qualitative analysis; quantitative analysis; sensitivity analysis; systematic review</t>
  </si>
  <si>
    <t xml:space="preserve">Interleukin-4, </t>
  </si>
  <si>
    <t xml:space="preserve">World malaria report 2021, (2021); Farrington L., Vance H., Rek J., Prahl M., Jagannathan P., Katureebe A., Et al., Both inflammatory and regulatory cytokine responses to malaria are blunted with increasing age in highly exposed children, Malar J, 16, (2017); Wilairatana P., Mala W., Milanez G.D.M., Masangkay F.R., Kotepui K.U., Kotepui M., Increased interleukin-6 levels associated with malaria infection and disease severity: a systematic review and meta-analysis, Sci Rep, 12, (2022); Oyegue-Liabagui S.L., Bouopda-Tuedom A.G., Kouna L.C., Maghendji-Nzondo S., Nzoughe H., Tchitoula-Makaya N., Et al., Pro- and anti-inflammatory cytokines in children with malaria in Franceville, Gabon, Am J Clin Exp Immunol, 6, pp. 9-20, (2017); Leao L., Puty B., Dolabela M.F., Povoa M.M., Ne Y.G.S., Eiro L.G., Et al., Association of cerebral malaria and TNF-alpha levels: a systematic review, BMC Infect Dis, 20, (2020); Brown M.A., Hural J., Functions of IL-4 and control of its expression, Crit Rev Immunol, 17, pp. 1-32, (1997); Luzina I.G., Keegan A.D., Heller N.M., Rook G.A., Shea-Donohue T., Atamas S.P., Regulation of inflammation by interleukin-4: a review of "alternatives, J Leukoc Biol, 92, pp. 753-764, (2012); Zeyrek F.Y., Kurcer M.A., Zeyrek D., Simsek Z., Parasite density and serum cytokine levels in Plasmodium vivax malaria in Turkey, Parasite Immunol, 28, pp. 201-207, (2006); Torre D., Speranza F., Giola M., Matteelli A., Tambini R., Biondi G., Role of Th1 and Th2 cytokines in immune response to uncomplicated Plasmodium falciparum malaria, Clin Diagn Lab Immunol, 9, pp. 348-351, (2002); Chaves Y.O., Da Costa A.G., Pereira M.L.M., De Lacerda M.V.G., Coelho-Dos-Reis J.G., Martins-Filho O.A., Et al., Immune response pattern in recurrent Plasmodium vivax malaria, Malar J, 15, (2016); Othoro C., Lal A.A., Nahlen B., Koech D., Orago A.S.S., Udhayakumar V., A low interleukin-10 tumor necrosis factor-α ratio is associated with malaria anemia in children residing in a holoendemic malaria region in western Kenya, J Infect Dis, 179, pp. 279-282, (1999); Lobaloba Ingoba L., Adedoja A., Peko S.M., Vairo F., Haider N., Kock R., Et al., Diagnosis of chikungunya virus in febrile patients from a malaria holoendemic area, Int J Infect Dis, 109, pp. 247-252, (2021); Menezes R.A.O., Gomes M., Mendes A.M., Couto A.A.R.A., Nacher M., Pimenta T.S., Et al., Enteroparasite and vivax malaria co-infection on the Brazil-French Guiana border: Epidemiological, haematological and immunological aspects, PLoS ONE, 13, (2018); Davenport G.C., Hittner J.B., Otieno V., Karim Z., Mukundan H., Fenimore P.W., Et al., Reduced parasite burden in children with falciparum malaria and bacteremia coinfections: Role of mediators of inflammation, Mediat Inflamm, 2016, (2016); Pinna R.A., Dos Santos A.C., Perce-da-Silva D.S., da Silva L.A., da Silva R.N.R., Alves M.R., Et al., Correlation of APRIL with production of inflammatory cytokines during acute malaria in the Brazilian Amazon, Immun Inflamm Dis, 6, pp. 207-220, (2018); Frimpong A., Amponsah J., Adjokatseh A.S., Agyemang D., Bentum-Ennin L., Ofori E.A., Et al., Asymptomatic malaria infection is maintained by a balanced pro- and anti-inflammatory response, Front Microbiol, 11, (2020); Wilson N.O., Bythwood T., Solomon W., Jolly P., Yatich N., Jiang Y., Et al., Elevated levels of IL-10 and G-CSF associated with asymptomatic malaria in pregnant women, Infect Dis Obstet Gynecol, 2010, (2010); Biemba G., Gordeuk V.R., Thuma P., Weiss G., Markers of inflammation in children with severe malarial anaemia, Trop Med Int Health, 5, pp. 256-262, (2000); Mandala W.L., Msefula C.L., Gondwe E.N., Drayson M.T., Molyneux M.E., MacLennan C.A., Cytokine profiles in Malawian children presenting with uncomplicated malaria, severe malarial anemia, and cerebral malaria, Clin Vaccine Immunol, 24, pp. e00533-e616, (2017); Singotamu L., Hemalatha R., Madhusudhanachary P., Seshacharyulu M., Cytokines and micronutrients in Plasmodium vivax infection, J Med Sci, 6, pp. 962-967, (2006); Duarte J., Deshpande P., Guiyedi V., Mecheri S., Fesel C., Cazenave P.A., Et al., Total and functional parasite specific IgE responses in Plasmodium falciparum-infected patients exhibiting different clinical status, Malar J, 6, (2007); Sinha S., Qidwai T., Kanchan K., Jha G.N., Anand P., Pati S.S., Et al., Distinct cytokine profiles define clinical immune response to falciparum malaria in regions of high or low disease transmission, Eur Cytokine Netw, 21, pp. 232-240, (2010); Guidelines for malaria, (2022); von Elm E., Altman D.G., Egger M., Pocock S.J., Gotzsche P.C., Vandenbroucke J.P., Et al., The strengthening the reporting of observational studies in epidemiology (STROBE) Statement: guidelines for reporting observational studies, Int J Surg, 12, pp. 1495-1499, (2014); Wan X., Wang W., Liu J., Tong T., Estimating the sample mean and standard deviation from the sample size, median, range and/or interquartile range, BMC Med Res Methodol, 14, (2014); Wilairatana P., Mala W., Kotepui M., Kotepui K.U., Alteration of blood lactate levels in severe falciparum malaria: a systematic review and meta-analysis, Biology (Basel), 10, (2021); DerSimonian R., Kacker R., Random-effects model for meta-analysis of clinical trials: an update, Contemp Clin Trials, 28, 2, pp. 105-114, (2007); Wilairatana P., Mala W., Klangbud W.K., Kotepui K.U., Rattaprasert P., Kotepui M., Prevalence, probability, and outcomes of typhoidal/non-typhoidal Salmonella and malaria co-infection among febrile patients: a systematic review and meta-analysis, Sci Rep, 11, (2021); Wilairatana P., Mahannop P., Tussato T., Hayeedoloh I.M., Boonhok R., Klangbud W.K., Et al., C-reactive protein as an early biomarker for malaria infection and monitoring of malaria severity: a meta-analysis, Sci Rep, 11, (2021); Armah H.B., Wilson N.O., Sarfo B.Y., Powell M.D., Bond V.C., Anderson W., Et al., Cerebrospinal fluid and serum biomarkers of cerebral malaria mortality in Ghanaian children, Malar J, 6, (2007); Cabantous S., Ranque S., Poudiougou B., Traore A., Berbache S., Vitte J., Et al., Genotype combinations of two IL4 polymorphisms influencing IL-4 plasma levels are associated with different risks of severe malaria in the Malian population, Immunogenetics, 67, pp. 283-288, (2015); Mohapatra P.C., Sarangi A., Sarangi A.K., Dalai R.K., Sahoo D., Sequential serum cytokine levels of TNF-alpha, IL-4 and IL-12 are associated with prognosis in Plasmodium falciparum malaria, Indian J Clin Biochem, 29, pp. 321-326, (2014); Okoli C.A., Igunnu A., Malomo S.O., Adebayo J.O., Oguche S., Responses of selected inflammatory, kidney and liver function markers in serum of Nigerian children with severe falciparum malaria to treatment with artesunate/artemether-lumefantrine combination therapy, Afr J Biomed Res, 22, pp. 165-177, (2019); Thuma P.E., Weiss G., Herold M., Gordeuk V.R., Serum neopterin, interleukin-4, and interleukin-6 concentrations in cerebral malaria patients and the effect of iron chelation therapy, Am J Trop Med Hyg, 54, pp. 164-168, (1996); Baptista J.L., Vanham G., Wery M., Van Marck E., Cytokine levels during mild and cerebral falciparum malaria in children living in a mesoendemic area, Trop Med Int Health, 2, pp. 673-679, (1997); Elhussein A.B., Huneif M.A., Naeem A., Fadlelseed O.E., Babiker W.G., Rahma N.E., Et al., Correlation of interleukin-4 levels with Plasmodium falciparum malaria parasitaemia in Sudanese children, Acta Clin Belg, 70, pp. 414-418, (2015); Jain V., Armah H.B., Tongren J.E., Ned R.M., Wilson N.O., Crawford S., Et al., Plasma IP-10, apoptotic and angiogenic factors associated with fatal cerebral malaria in India, Malar J, 7, (2008); Jakobsen P.H., Morris-Jones S., Theander T.G., Hviid L., Hansen M.B., Bendtzen K., Et al., Increased plasma levels of soluble IL-2R are associated with severe Plasmodium falciparum malaria, Clin Exp Immunol, 96, pp. 98-103, (1994); Mendonca V.R., Queiroz A.T., Lopes F.M., Andrade B.B., Barral-Netto M., Networking the host immune response in Plasmodium vivax malaria, Malar J, 12, (2013); Mirghani H.A., Eltahir H.G., A-elgadir T.M., Mirghani Y.A., Elbashir M.I., Adam I., Cytokine profiles in children with severe plasmodium falciparum malaria in an area of unstable malaria transmission in central sudan, J Trop Pediatr, 57, pp. 392-395, (2011); Nmorsi O.P.G., Isaac C., Ukwandu N.C.D., Ohaneme B.A., Pro-and anti-inflammatory cytokines profiles among Nigerian children infected with Plasmodium falciparum malaria, Asian Pac J Trop Dis, 3, pp. 41-44, (2010); Ong'echa J.M., Davenport G.C., Vulule J.M., Hittner J.B., Perkins D.J., Identification of inflammatory biomarkers for pediatric malarial: anemia severity using novel statistical methods, Infect Immun, 79, pp. 4674-4680, (2011); Prakash D., Fesel C., Jain R., Cazenave P.A., Mishra G.C., Pied S., Clusters of cytokines determine malaria severity in Plasmodium falciparum-infected patients from endemic areas of central India, J Infect Dis, 194, pp. 198-207, (2006); Tangteerawatana P., Pichyangkul S., Hayano M., Kalambaheti T., Looareesuwan S., Troye-Blomberg M., Et al., Relative levels of IL4 and IFN-γ in complicated malaria: Association with IL4 polymorphism and peripheral parasitemia, Acta Trop, 101, pp. 258-265, (2007); Medina T.S., Costa S.P., Oliveira M.D., Ventura A.M., Souza J.M., Gomes T.F., Et al., Increased interleukin-10 and interferon-levels in Plasmodium vivax malaria suggest a reciprocal regulation which is not altered by IL-10 gene promoter polymorphism, Malar J, 10, (2011); Ourives S.S., Borges Q.I., Dos Santos D.S.A., Melo E.C.M., De Souza R.M., Damazo A.S., Analysis of the lymphocyte cell population during malaria caused by Plasmodium vivax and its correlation with parasitaemia and thrombocytopaenia, Malar J, 17, (2018); Van den Bogaart E., Talha A.B.A., Straetemans M., Mens P.F., Adams E.R., Grobusch M.P., Et al., Cytokine profiles amongst Sudanese patients with visceral leishmaniasis and malaria co-infections, BMC Immunol, 15, (2014); Vinhaes C.L., Carmo T.A., Queiroz A.T.L., Fukutani K.F., Araujo-Pereira M., Arriaga M.B., Et al., Dissecting disease tolerance in Plasmodium vivax malaria using the systemic degree of inflammatory perturbation, PLoS Negl Trop Dis, 15, (2021); Burte F., Brown B.J., Orimadegun A.E., Ajetunmobi W.A., Afolabi N.K., Akinkunmi F., Et al., Circulatory hepcidin is associated with the anti-inflammatory response but not with iron or anemic status in childhood malaria, Blood, 121, pp. 3016-3022, (2013); Herr J., Mehrfar P., Schmiedel S., Wichmann D., Brattig N.W., Burchard G.D., Et al., Reduced cardiac output in imported Plasmodium falciparum malaria, Malar J, 10, (2011); Rovira-Vallbona E., Moncunill G., Bassat Q., Aguilar R., MacHevo S., Puyol L., Et al., Low antibodies against Plasmodium falciparum and imbalanced pro-inflammatory cytokines are associated with severe malaria in Mozambican children: a case-control study, Malar J, 11, (2012); Thuma P.E., van Dijk J., Bucala R., Debebe Z., Nekhai S., Kuddo T., Et al., Distinct clinical and immunologic profiles in severe malarial anemia and cerebral malaria in Zambia, J Infect Dis, 203, pp. 211-219, (2011); Higgins J.P.T., Thomas J., Chandler J., Cumpston M., Li T., Page M.J., Et al., Cochrane handbook for systematic reviews of interventions version 6.3, (2019); Rodrigues V., Baudier J.B., Chantal I., Development of a bead-based multiplexed assay for simultaneous quantification of five bovine cytokines by flow cytometry, Cytometry A, 91, pp. 901-907, (2017); de Jager W., Rijkers G.T., Solid-phase and bead-based cytokine immunoassay: a comparison, Methods, 38, pp. 294-303, (2006); Wagner B., Freer H., Development of a bead-based multiplex assay for simultaneous quantification of cytokines in horses, Vet Immunol Immunopathol, 127, pp. 242-248, (2009); Kouttab N.M., Mehta S., Morgan J., Tannir N., Sahasrabuddhe C., Maizel A.L., Lymphokines and monokines as regulators of human lymphoproliferation, Clin Chem, 30, pp. 1539-1545, (1984); Akdis M., Burgler S., Crameri R., Eiwegger T., Fujita H., Gomez E., Et al., Interleukins, from 1 to 37, and interferon-gamma: receptors, functions, and roles in diseases, J Allergy Clin Immunol, 127, pp. 701-721, (2011); May J., Lell B., Luty A.J., Meyer C.G., Kremsner P.G., Plasma interleukin-10: Tumor necrosis factor (TNF)-alpha ratio is associated with TNF promoter variants and predicts malarial complications, J Infect Dis, 182, pp. 1570-1573, (2000); Min B., Prout M., Hu-Li J., Zhu J., Jankovic D., Morgan E.S., Et al., Basophils produce IL-4 and accumulate in tissues after infection with a Th2-inducing parasite, J Exp Med, 200, pp. 507-517, (2004); van Panhuys N., Prout M., Forbes E., Min B., Paul W.E., Le Gros G., Basophils are the major producers of IL-4 during primary helminth infection, J Immunol, 186, pp. 2719-2728, (2011); Helmby H., Kullberg M., Troye-Blomberg M., Expansion of IL-3-responsive IL-4-producing non-B non-T cells correlates with anemia and IL-3 production in mice infected with blood-stage Plasmodium chabaudi malaria, Eur J Immunol, 28, pp. 2559-2570, (1998); Perlmann P., Perlmann H., Flyg B.W., Hagstedt M., Elghazali G., Worku S., Et al., Immunoglobulin E, a pathogenic factor in Plasmodium falciparum malaria, Infect Immun, 65, pp. 116-121, (1997); Perkmann T., Winkler H., Graninger W., Kremsner P.G., Winkler S., Circulating levels of the interleukin (IL)-4 receptor and of IL-18 in patients with Plasmodium falciparum malaria, Cytokine, 29, pp. 153-158, (2005)</t>
  </si>
  <si>
    <t xml:space="preserve">M. Kotepui; Medical Technology Program, School of Allied Health Sciences, Walailak University, Nakhon Si Thammarat, Tha Sala, Thailand; email: manas.ko@wu.ac.th</t>
  </si>
  <si>
    <t xml:space="preserve">2-s2.0-85133927487</t>
  </si>
  <si>
    <t xml:space="preserve">Kumar N.K.; Sikamani K.T.</t>
  </si>
  <si>
    <t xml:space="preserve">Kumar, N. Komal (57212324259); Sikamani, K. Thirunadana (36976344800)</t>
  </si>
  <si>
    <t xml:space="preserve">57212324259; 36976344800</t>
  </si>
  <si>
    <t xml:space="preserve">AN EFFICIENT APPROACH FOR MALARIAL EPIDEMIC PROGNOSIS USING MACHINE LEARNING CLASSIFIERS</t>
  </si>
  <si>
    <t xml:space="preserve">Malaria is an acute infectious disease, which affects nearly two-thirds of the global population. Annually, the deaths due to malaria have crossed millions, the countries with fewer medical facilities are the ones which are most affected, thus the prediction of its outbreak at early stages will reduce the intense diminishing of human lives. This systematic investigation deals with the analysis and prediction of the malarial epidemic outbreak by investigating several factors such as climate, global warming, human activities, mosquitoes, sewage, etc., with malarial incidence. The first stage includes data collection by the passive surveillance system; the second stage includes establishing relationships among the climatic factors with malarial incidence and finally predicting using machine learning classifiers. In the analysis, the adaptive boosted J48 (AB-J48) decision tree machine learning classifier outperformed other classifiers under the study with an accuracy of 95% in establishing a relationship among climatic factors with malarial incidence. The inferred results from the investigation are found to be stupendous which helps the public health authorities and medical practitioners to take precautionary steps to avoid more deaths. © 2022, Engg Journals Publications. All rights reserved.</t>
  </si>
  <si>
    <t xml:space="preserve">Indian Journal of Computer Science and Engineering</t>
  </si>
  <si>
    <t xml:space="preserve">Engg Journals Publications</t>
  </si>
  <si>
    <t xml:space="preserve">10.21817/indjcse/2022/v13i1/221301107</t>
  </si>
  <si>
    <t xml:space="preserve">https://www.scopus.com/inward/record.uri?eid=2-s2.0-85125092338&amp;doi=10.21817%2findjcse%2f2022%2fv13i1%2f221301107&amp;partnerID=40&amp;md5=3988e0c59b8f676f9c7a82167603bede</t>
  </si>
  <si>
    <t xml:space="preserve">Department of Computer Science and Engineering, St. Peter’s Institute of Higher Education and Research, Tamil Nadu, Chennai, India</t>
  </si>
  <si>
    <t xml:space="preserve">Kumar N.K., Department of Computer Science and Engineering, St. Peter’s Institute of Higher Education and Research, Tamil Nadu, Chennai, India; Sikamani K.T., Department of Computer Science and Engineering, St. Peter’s Institute of Higher Education and Research, Tamil Nadu, Chennai, India</t>
  </si>
  <si>
    <t xml:space="preserve">Epidemic; Malaria; Outbreak; Paradigm; Prediction</t>
  </si>
  <si>
    <t xml:space="preserve">Hartman TK, Rogerson SJ, Fischer PR., The impact of maternal malaria on newborns, Annals of Tropical Paediatrics, 30, 4, pp. 271-282, (2010); Haque U, Et al., The role of climate variability in the spread of malaria in Bangladeshi highlands, PLoS ONE, 5, (2010); Bonan G.B, Shugart H.H, Environmental factors and ecological processes in boreal forests, Annu. Rev.Ecol. Syst, 20, pp. 1-28, (1989); Kumar V, Et al., Forecasting malaria cases using climatic factors in Delhi, India: A time series analysis, Malar. Res. Treat, (2014); Ngarakana-Gwasira E.T., Bhunu, Assessing the Role of Climate Change in Malaria Transmission in Africa, Malar. Res. Treat, (2016); Nath D.C., Mwchahary D.D, Association between Climatic Variables and Malaria Incidence: A Study in Kokrajhar District of Assam, India: Climatic Variables and Malaria Incidence in Kokrajhar District, Glob. J.Health Sci, 5, (2013); Sharma V, Et al., A. Malaria outbreak prediction model using machine learning, Int. J. Adv. Res. Comput. Eng. Technol, 4, pp. 4415-4419, (2015); Kumar Komal, Vigneswari.D N, Roopa Devi B A S, MSO – MLP diagnostic approach for detecting DENV serotypes, International Journal of Pure and Applied Mathematics, 118, 5, pp. 1-6, (2018); Ganesan N., Venkatesh K., Rama M.A., Application of Neural Networks in diagnosing cancer disease using demographic data, Int. J. Comput. Appl, 1, pp. 76-85, (2010); Aditya M., Prince K., Himanshu A., Pankaj K., Early heart disease prediction using data mining techniques, Comput. Sci. Inf. Technol, pp. 53-59, (2014); Enas M.F., El Houby,. A survey on applying machine learning techniques for management of diseases, Journal of Applied Biomedicine, 16, 3, pp. 165-174, (2018); Yassin Nisreen I.R., Et al., Machine learning techniques for breast cancer computer aided diagnosis using different image modalities: A systematic review, Computer Methods and Programs in Biomedicine, 156, pp. 25-45, (2018); JesminNahar, Et al., Computational intelligence for heart disease diagnosis: A medical knowledge driven approach, Expert Systems with Applications, 40, 1, pp. 96-104, (2013); Bayles B.R, Et al., Ecosystem Services Connect Environmental Change to Human Health Outcomes, EcoHealth, 13, pp. 443-449, (2016); Polit DF, Beck CT, Nursing Research: Generating and Assessing Evidence for Nursing Practice, (2012); Tarka Piotr, An overview of structural equation modeling: Its beginnings, historical development, usefulness and controversies in the social sciences, Quality &amp; Quantity, 52, 1, pp. 313-354, (2017); Pearson Karl, Notes on regression and inheritance in the case of two parents, Proceedings of the Royal Society of London, 58, pp. 240-242, (1895); Cattell Raymond, The scree test for the number of factors, Multivariate Behavioral Research, 1, 2, pp. 245-276, (1966); Cortes Corinna, Vapnik Vladimir N., Support-vector networks, Machine Learning, 20, 3, pp. 273-297, (1995); Quinlan J. R., Simplifying decision trees, International Journal of Man-Machine Studies, 27, 3, (1987); Altman N. S., An introduction to kernel and nearest-neighbor nonparametric regression, The American Statistician, 46, 3, pp. 175-185, (1992); Artificial Neural Networks as Models of Neural Information Processing | Frontiers Research Topic; McKenzie Dean P, Constructing a Minimal Diagnostic Decision Tree, Methods of Information in Medicine, 32, pp. 161-166, (1993); Nawir Mukrimah, Et al., Effective and efficient network anomaly detection system using machine learning algorithm, Bulletin of Electrical Engineering and Informatics, 8, 1, pp. 46-51, (2019); Nor Liyana Wan, Hassan Ibeni Wan, Et al., Comparative analysis on bayesian classification for breast cancer problem, Bulletin of Electrical Engineering and Informatics, 8, 4, pp. 1303-1311, (2019); Yasmin Nur Sakinah Ahmad, Et al., Performance comparison of SVM and ANN for aerobic granular sludge, Bulletin of Electrical Engineering and Informatics, 8, 4, pp. 1392-1401, (2019); Saringat Zainuri, Et al., Comparative analysis of classification algorithms for chronic kidney disease diagnosis, Bulletin of Electrical Engineering and Informatics, 8, 4, pp. 1496-1501, (2019); Abidin Ahmad Firdaus Zainal, Et al., Adaboost-multilayer perceptron to predict the student’s performance in software engineering, Bulletin of Electrical Engineering and Informatics, 8, 4, pp. 1556-1562, (2019); Takruri Maen, Et al., PSO-SVM hybrid system for melanoma detection from histo-pathological images, International Journal of Electrical and Computer Engineering, 9, 4, pp. 2941-2949, (2019); Abdul Lateef Haroon P.S, Eranna U., A simplified machine learning approach for recognizing human activity, International Journal of Electrical and Computer Engineering, 9, 5, pp. 3465-3473, (2019); Ozdemir Abdulkadir, Yavuz Ugur, Dael Fares Abdulhafidh, Performance evaluation of different classification techniques using different datasets, International Journal of Electrical and Computer Engineering, 9, 5, pp. 3584-3590, (2019); Jittawiriyanukoon Chanintorn, Estimation of regression-based model withbulk noisy data, International Journal of Electrical and Computer Engineering, 9, 5, pp. 3649-3656, (2019); Ali Fauzi M., Random Forest Approach for Sentiment Analysis in Indonesian Language, Indonesian Journal of Electrical Engineering and Computer Science, 12, 1, pp. 46-50, (2018); Komal Kumar N, Lakshmi Tulasi R., Vigneswari D, An ensemble multi-model technique for predicting chronic kidney disease, International Journal of Electrical and Computer Engineering, 9, 2, pp. 1321-1326, (2019); Jadhav Sachin B., Udupi Vishwanath R., Patil Sanjay B., Soybean leaf disease detection and severity measurement using multiclass SVM and KNN classifier, International Journal of Electrical and Computer Engineering, 9, 5, pp. 4077-4091, (2019); Komal Kumar N., Lakshmi Tulasi R., Vigneswari D., Investigating dengue outbreak in Tamil Nadu, India, Indonesian Journal of Electrical Engineering and Computer Science, 18, 1, pp. 502-507, (2020); Chaithra V D, Hybrid approach: naive bayes and sentiment VADER for analyzing sentiment of mobile unboxing video comments, International Journal of Electrical and Computer Engineering, 9, 5, pp. 4452-4459, (2019)</t>
  </si>
  <si>
    <t xml:space="preserve">Indian J. Comp. Sci. Eng.</t>
  </si>
  <si>
    <t xml:space="preserve">2-s2.0-85125092338</t>
  </si>
  <si>
    <t xml:space="preserve">Oliveira B.A.S.; Moreira J.M.P.; Coelho P.R.S.; Negrão-Corrêa D.A.; Geiger S.M.; Guimarães F.G.</t>
  </si>
  <si>
    <t xml:space="preserve">Oliveira, Bruno Alberto Soares (57221874506); Moreira, João Marcelo Peixoto (56823019300); Coelho, Paulo Ricardo Silva (58066290700); Negrão-Corrêa, Deborah Aparecida (35576546500); Geiger, Stefan Michael (7006771025); Guimarães, Frederico Gadelha (7005645510)</t>
  </si>
  <si>
    <t xml:space="preserve">57221874506; 56823019300; 58066290700; 35576546500; 7006771025; 7005645510</t>
  </si>
  <si>
    <t xml:space="preserve">Automated diagnosis of schistosomiasis by using faster R-CNN for egg detection in microscopy images prepared by the Kato–Katz technique</t>
  </si>
  <si>
    <t xml:space="preserve">One of the biggest concerns in the area of public health is caused by human intestinal parasites, which are found largely in tropical countries. The diagnosis of these parasitic diseases is done through physiological symptoms and fecal examination. Often, few professionals are available and able to perform this type of examination, which is considered time-consuming, requires trained personnel, prone to errors, and can cause eye strain in the specialist. In this paper, we investigate the use of the faster R-CNN object detection method to identify eggs of Schistosoma mansoni, forming a system to aid decision making in the diagnosis of fecal examination. A real database was built with 66 images prepared by the Kato–Katz method. Online and offline data augmentation techniques were used to obtain a larger number of samples. As a result, the proposed solution reached an average precision value of 0.765 for an IoU (intersection over union) of 0.50. The results and applicability of the system are promising and may be used in public health programs to assist health professionals in the diagnosis and monitoring of schistosomiasis in endemic areas. © 2022, The Author(s), under exclusive licence to Springer-Verlag London Ltd., part of Springer Nature.</t>
  </si>
  <si>
    <t xml:space="preserve">10.1007/s00521-022-06924-z</t>
  </si>
  <si>
    <t xml:space="preserve">https://www.scopus.com/inward/record.uri?eid=2-s2.0-85128263227&amp;doi=10.1007%2fs00521-022-06924-z&amp;partnerID=40&amp;md5=19fe15bdda44e83ff403babd16a441d7</t>
  </si>
  <si>
    <t xml:space="preserve">Graduate Program in Electrical Engineering, Federal University of Minas Gerais, Av. Antônio Carlos 6627, MG, Belo Horizonte, 31270-901, Brazil; Department of Parasitology, Institute of Biology Sciences, Federal University of Minas Gerais, Av. Antônio Carlos 6627, MG, Belo Horizonte, 31270-901, Brazil; Machine Intelligence and Data Science (MINDS) Laboratory, Federal University of Minas Gerais, Av. Antônio Carlos 6627, MG, Belo Horizonte, 31270-901, Brazil</t>
  </si>
  <si>
    <t xml:space="preserve">Oliveira B.A.S., Graduate Program in Electrical Engineering, Federal University of Minas Gerais, Av. Antônio Carlos 6627, MG, Belo Horizonte, 31270-901, Brazil; Moreira J.M.P., Department of Parasitology, Institute of Biology Sciences, Federal University of Minas Gerais, Av. Antônio Carlos 6627, MG, Belo Horizonte, 31270-901, Brazil; Coelho P.R.S., Department of Parasitology, Institute of Biology Sciences, Federal University of Minas Gerais, Av. Antônio Carlos 6627, MG, Belo Horizonte, 31270-901, Brazil; Negrão-Corrêa D.A., Department of Parasitology, Institute of Biology Sciences, Federal University of Minas Gerais, Av. Antônio Carlos 6627, MG, Belo Horizonte, 31270-901, Brazil; Geiger S.M., Department of Parasitology, Institute of Biology Sciences, Federal University of Minas Gerais, Av. Antônio Carlos 6627, MG, Belo Horizonte, 31270-901, Brazil; Guimarães F.G., Machine Intelligence and Data Science (MINDS) Laboratory, Federal University of Minas Gerais, Av. Antônio Carlos 6627, MG, Belo Horizonte, 31270-901, Brazil</t>
  </si>
  <si>
    <t xml:space="preserve">Deep learning; Diagnosis; Faster R-CNN; Medical imaging; Schistosoma mansoni</t>
  </si>
  <si>
    <t xml:space="preserve">Decision making; Deep learning; Medical imaging; Object detection; Public health; Automated diagnosis; Decisions makings; Deep learning; Eye strain; Intestinal parasites; Microscopy images; Object detection method; Parasitics; Schistosoma mansoni; Tropical countries; Diagnosis</t>
  </si>
  <si>
    <t xml:space="preserve">Coordenação de Aperfeiçoamento de Pessoal de Nível Superior, CAPES; Conselho Nacional de Desenvolvimento Científico e Tecnológico, CNPq</t>
  </si>
  <si>
    <t xml:space="preserve">Abadi M., Barham P., Chen J., Chen Z., Davis A., Dean J., Devin M., Ghemawat S., Irving G., Isard M., Et al., Tensorflow: A system for large-scale machine learning, 12Th { USENIX } Symposium on Operating Systems Design and Implementation ({ OSDI } 16), pp. 265-283, (2016); Akselrod-Ballin A., Karlinsky L., Hazan A., Bakalo R., Horesh A.B., Shoshan Y., Barkan E., Deep Learning for Automatic Detection of Abnormal Findings in Breast Mammography. In: Deep Learning in Medical Image Analysis and Multimodal Learning for Clinical Decision Support, pp. 321-329, (2019); Ash L.R., Orihel T.C., Savioli L., Organización Mundial De La Salud, (1994); Avci D., Varol A., An expert diagnosis system for classification of human parasite eggs based on multi-class svm, Expert Syst Appl, 36, 1, pp. 43-48, (2009); Barbosa C.S., Gomes E.C.S., Marcelino J.M.R., Cavalcante K.R., Nascimento W.R.C., Quality control of the slides by kato-katz method for the parasitological diagnosis of schistosomiasis infection by Schistosoma mansoni, Jornal Brasileiro de Patologia e Medicina Laboratorial, 53, pp. 110-114, (2017); Berhe N., Medhin G., Erko B., Smith T., Gedamu S., Bereded D., Moore R., Habte E., Redda A., Gebre-Michael T., Et al., Variations in helminth faecal egg counts in kato-katz thick smears and their implications in assessing infection status with Schistosoma mansoni, Acta Trop, 92, 3, pp. 205-212, (2004); Bochkovskiy A., Wang C.Y., Liao H.Y.M., Yolov4: Optimal Speed and Accuracy of Object Detection. Arxiv Preprint Arxiv, 2004, (2020); Burges C.J., A tutorial on support vector machines for pattern recognition, Data Min Knowl Disc, 2, 2, pp. 121-167, (1998); Butploy N., Kanarkard W., Intapan P.M., Deep learning approach for Ascaris lumbricoides parasite egg classification, J Parasitol Res, 2021, pp. 1-8, (2021); Coelho P.M.Z., Siqueira L.M.V., Grenfell R.F.Q., Almeida N.B.F., Katz N., Almeida A., Carneiro N.F.F., Oliveira E., Improvement of poc-cca interpretation by using lyophilization of urine from patients with Schistosoma mansoni low worm burden: towards an elimination of doubts about the concept of trace, PLoS Negl Trop Dis, 10, 6, (2016); Colley D.G., Bustinduy A.L., Secor W.E., King C.H., Human schistosomiasis, The Lancet, 383, 9936, pp. 2253-2264, (2014); Dacal E., Bermejo-Pelaez D., Lin L., Alamo E., Cuadrado D., Martinez A., Mousa A., Postigo M., Soto A., Sukosd E., Mobile microscopy and telemedicine platform assisted by deep learning for quantification of Trichuris trichiura infection. BioRxiv, (2021); Dalal N., Triggs B., Histograms of oriented gradients for human detection. In: 2005 IEEE computer society conference on computer vision and pattern recognition (CVPR’05), IEEE, 1, pp. 886-893, (2005); de Carli G.A., Parasitologia clínica: Seleção de métodos e técnicas de laboratório para diagnóstico das parasitoses humanas, Parasitologia clínica: seleção De métodos E técnicas De laboratório Para diagnóstico Das Parasitoses Humanas, (2001); De Vlas S., Gryseels B., Underestimation of Schistosoma mansoni prevalences, Parasitol Today, 8, 8, pp. 274-277, (1992); Huaynalaya E.D., Hirata N.S.T., Detecção De Ovos De S. Mansoni a Partir Da detecção De Seus Contornos, (2012); Deng L., Yu D., Deep learning: methods and applications, Foundations and trends in signal processing, 7, 3-4, pp. 197-387, (2014); Ding J., Li A., Hu Z., Wang L., Accurate pulmonary nodule detection in computed tomography images using deep convolutional neural networks. In: International conference on medical image computing and computer-assisted intervention, pp 559–567, Springer, (2017); Dogantekin E., Yilmaz M., Dogantekin A., Avci E., Sengur A., A robust technique based on invariant moments-anfis for recognition of human parasite eggs in microscopic images, Expert Syst Appl, 35, 3, pp. 728-738, (2008); Engstrom E., Strimling P., Deep learning diffusion by infusion into preexisting technologies-implications for users and society at large, Technol Soc, 63, (2020); Enk M.J., Lima A.C.L., Drummond S.C., Schall V.T., Coelho P.M.Z., The effect of the number of stool samples on the observed prevalence and the infection intensity with Schistosoma mansoni among a population in an area of low transmission, Acta Trop, 108, 2-3, pp. 222-228, (2008); Espirito-Santo M.C.C., Alvarado-Mora M.V., Dias-Neto E., Botelho-Lima L.S., Moreira J.P., Amorim M., Pinto P.L.S., Heath A.R., Castilho V.L.P., do NascimentoGoncalves E.M., Et al., Evaluation of real-time pcr assay to detect Schistosoma mansoni infections in a low endemic setting, BMC Infect Dis, 14, 1, (2014); Fuss A., Mazigo H.D., Tappe D., Kasang C., Mueller A., Comparison of sensitivity and specificity of three diagnostic tests to detect Schistosoma mansoni infections in school children in mwanza region, tanzania, PLoS ONE, 13, 8, (2018); Girshick R., Fast r-cnn, Proceedings of the IEEE International Conference on Computer Vision, pp. 1440-1448, (2015); Girshick R., Donahue J., Darrell T., Malik J., Rich feature hierarchies for accurate object detection and semantic segmentation, Proceedings of the IEEE Conference on Computer Vision and Pattern Recognition, pp. 580-587, (2014); Goodfellow I., Bengio Y., Courville A., Bengio Y., Deep learning, 2, (2016); Gryseels B., Polman K., Clerinx J., Kestens L., Human schistosomiasis, The Lancet, 368, 9541, pp. 1106-1118, (2006); Hinz R., Schwarz N.G., Hahn A., Frickmann H., Serological approaches for the diagnosis of schistosomiasis-a review, Mol Cell Probes, 31, pp. 2-21, (2017); Katz N., Et al., Inquérito Nacional De prevalência Da Esquistossomose Mansoni E Geo-Helmintoses, (2018); Kluyver T., Ragan-Kelley B., Perez F., Granger B.E., Bussonnier M., Frederic J., Kelley K., Hamrick J.B., Grout J., Corlay S., Et al., Jupyter Notebooks-A Publishing Format for Reproducible Computational Workflows, pp. 87-90, (2016); Kongs A., Marks G., Verle P., Van Der Stuyft P., The unreliability of the kato-katz technique limits its usefulness for evaluating S. mansoni infections, Tropical Med Int Health, 6, 3, pp. 163-169, (2001); Larsson J., Hedberg R., Development of Machine Learning Models for Object Identification of Parasite Eggs Using Microscopy, (2020); LeCun Y., Bengio Y., Hinton G., Deep learning, Nature, 521, 7553, pp. 436-444, (2015); Lin T.Y., Maire M., Belongie S., Hays J., Perona P., Ramanan D., Dollar P., Zitnick C.L., Microsoft coco: Common objects in context, European Conference on Computer Vision, pp. 740-755, (2014); Lowe D.G., (1999); Mahmood T., Arsalan M., Owais M., Lee M.B., Park K.R., Artificial intelligence-based mitosis detection in breast cancer histopathology images using faster r-cnn and deep cnns, J Clin Med, 9, 3, (2020); Mittal U., Srivastava S., Chawla P., Review of different techniques for object detection using deep learning, Proceedings of the Third International Conference on Advanced Informatics for Computing Research, pp. 1-8, (2019); Nascimento G.L., Pegado H.M., Domingues A.L.C., Ximenes R.A.A., Itria A., Cruz L.N., Oliveira M.R.F., The cost of a disease targeted for elimination in Brazil: the case of Schistosomiasis mansoni, Memórias do Instituto Oswaldo Cruz, 114, pp. 1-9, (2019); Neves D.P., Parasitologia dinâmica, (2003); Nkamgang O.T., Tchiotsop D., Fotsin H.B., Talla P.K., Dorr V.L., Wolf D., Automating the clinical stools exam using image processing integrated in an expert system, Inf Med Unlocked, 15, (2019); Nkamgang O.T., Tchiotsop D., Tchinda B.S., Fotsin H.B., A neuro-fuzzy system for automated detection and classification of human intestinal parasites, Inf Med Unlocked, 13, pp. 81-91, (2018); Oliveira B.A.S., De Faria Neto A.P., Fernandino R.M.A., Carvalho R.F., Fernandes A.L., Guimaraes F.G., Automated monitoring of construction sites of electric power substations using deep learning, IEEE Access, 9, pp. 19195-19207, (2021); Oliveira B.A.S., Guimaraes F., Negrao-Correa D., Moreira J., Coelho P., Schistosoma mansoni - kato katz, Https://Doi.Org/10.17632/5Ckgmp4zzj.2, (2021); Oliveira W.J., Magalhaes F.C., Elias A.M.S., de Castro V.N., Favero V., Lindholz C.G., Oliveira A.A., Barbosa F.S., Gil F., Gomes M.A., Et al., Evaluation of diagnostic methods for the detection of intestinal schistosomiasis in endemic areas with low parasite loads: Saline gradient, helmintex, kato-katz and rapid urine test, PLoS Negl Trop Dis, 12, 2, (2018); Padilla R., Netto S.L., da Silva E.A.B., A survey on performance metrics for object-detection algorithms, 2020 International Conference on Systems, Signals and Image Processing (IWSSIP), pp. 237-242, (2020); Penas K.E., Villacorte E.A., Rivera P.T., Naval P.C., Automated detection of helminth eggs in stool samples using convolutional neural networks, : 2020 IEEE REGION 10 CONFERENCE (TENCON), pp. 750-755, (2020); Pontes L.A., Dias-Neto E., Rabello A., Detection by polymerase chain reaction of Schistosoma mansoni dna in human serum and feces, Am J Trop Med Hyg, 66, 2, pp. 157-162, (2002); Ren S., He K., Girshick R., Sun J., Faster r-cnn: Towards real-time object detection with region proposal networks, Advances in Neural Information Processing Systems, pp. 91-99, (2015); Rosati R., Romeo L., Silvestri S., Marcheggiani F., Tiano L., Frontoni E., Faster r-cnn approach for detection and quantification of dna damage in comet assay images, Comput Biol Med, 123, (2020); Ross A.G., Olveda R.M., Chy D., Olveda D.U., Li Y., Harn D.A., Gray D.J., McManus D.P., Tallo V., Chau T.N., Et al., Can mass drug administration lead to the sustainable control of schistosomiasis?, J Infect Dis, 211, 2, pp. 283-289, (2015); Sa R., Owens W., Wiegand R., Studin M., Capoferri D., Barooha K., Greaux A., Rattray R., Hutton A., Cintineo J., Et al., Intervertebral disc detection in x-ray images using faster r-cnn, 2017 39Th Annual International Conference of the Ieee Engineering in Medicine and Biology Society (EMBC), pp. 564-567, (2017); Santos I., Castro L., Rodriguez-Fernandez N., Torrente-Patino A., Carballal A., Artificial neural networks and deep learning in the visual arts: a review, Neural Comput Appl, 33, 1, pp. 121-157, (2021); Savioli L., Albonico M., Colley D.G., Correa-Oliveira R., Fenwick A., Green W., Kabatereine N., Kabore A., Katz N., Klohe K., Et al., Building a global schistosomiasis alliance: an opportunity to join forces to fight inequality and rural poverty, Infect Dis Poverty, 6, 1, pp. 1-6, (2017); Sheng B., Zhou M., Hu M., Li Q., Sun L., Wen Y., A blood cell dataset for lymphoma classification using faster r-cnn, Biotechnol Biotechnol Equip, 34, 1, pp. 413-420, (2020); Silva-Moraes V., Shollenberger L.M., Siqueira L.M.V., Castro-Borges W., Harn D.A., Rabello A.L.T., Coelho P.M.Z., Et al., Diagnosis of Schistosoma mansoni infections: what are the choices in Brazilian low-endemic areas?, Memórias do Instituto Oswaldo Cruz, 114, pp. 1-12, (2019); Siqueira L.M.V., Gomes L.I., Oliveira E., Oliveira E.R., Oliveira A.A., Enk M.J., Carneiro N.F., Rabello A., Coelho P.M.Z., Evaluation of parasitological and molecular techniques for the diagnosis and assessment of cure of schistosomiasis mansoni in a low transmission area, Mem Inst Oswaldo Cruz, 110, pp. 209-214, (2015); Suzuki C.T., Gomes J.F., Falcao A.X., Papa J.P., Hoshino-Shimizu S., Automatic segmentation and classification of human intestinal parasites from microscopy images, IEEE Trans Biomed Eng, 60, 3, pp. 803-812, (2012); Suzuki C.T., Gomes J.F., Falcao A.X., Shimizu S.H., Papa J.P., Automated diagnosis of human intestinal parasites using optical microscopy images, 2013 IEEE 10Th International Symposium on Biomedical Imaging, pp. 460-463, (2013); Tarafder M., Carabin H., Josephbalolong L., Olveda R., McGarvey S., Estimating the sensitivity and specificity of kato-katz stool examination technique for detection of hookworms, ascaris lumbricoides and Trichuris trichiura infections in humans in the absence of a ‘gold standard’, Int J Parasitol, 40, 4, pp. 399-404, (2010); Tchinda B.S., Noubom M., Tchiotsop D., Louis-Dorr V., Wolf D., Towards an automated medical diagnosis system for intestinal parasitosis, Inf Med Unlocked, 16, (2019); Tzutalin L., Git Code, (2015); Van Rossum G., Drake F.L., Python 3 reference manual, (2009); Viet N.Q., Thanhtuyen D.T., Hoang T.H., Parasite worm egg automatic detection in microscopy stool image based on faster r-cnn, Proceedings of the 3Rd International Conference on Machine Learning and Soft Computing, pp. 197-202, (2019); Viola P., Jones M., Rapid object detection using a boosted cascade of simple features. In: Proceedings of the 2001 IEEE computer society conference on computer vision and pattern recognition. CVPR 2001, vol. 1, pp I–I, IEEE, (2001); Voulodimos A., Doulamis N., Doulamis A., Protopapadakis E., Deep learning for computer vision: a brief review, Comput Intell Neurosci, 2018, pp. 1-13, (2018); Weerakoon K.G., Gordon C.A., McManus D.P., Dna diagnostics for schistosomiasis control, Tropical Med Infect Disease, 3, 3, (2018); Bench aids for the diagnosis of intestinal parasites, World Health Organization, (2020); Xiao Y., Tian Z., Yu J., Zhang Y., Liu S., Du S., Lan X., A review of object detection based on deep learning, Multimed Tools Appl, 79, 33, pp. 23729-23791, (2020); Yang S., Fang B., Tang W., Wu X., Qian J., Yang W., Faster r-cnn based microscopic cell detection, 2018 International Conference on Security, Pattern Analysis, and Cybernetics (SPAC, pp. 345-350, (2018); Yang Y.S., Park D.K., Kim H.C., Choi M.H., Chai J.Y., Automatic identification of human helminth eggs on microscopic fecal specimens using digital image processing and an artificial neural network, IEEE Trans Biomed Eng, 48, 6, pp. 718-730, (2001); Zhao Z.Q., Zheng P., Xu S., Wu X., Object detection with deep learning: a review, IEEE Trans Neural Netw Learn Syst, 30, 11, pp. 3212-3232, (2019)</t>
  </si>
  <si>
    <t xml:space="preserve">F.G. Guimarães; Machine Intelligence and Data Science (MINDS) Laboratory, Federal University of Minas Gerais, Belo Horizonte, Av. Antônio Carlos 6627, MG, 31270-901, Brazil; email: fredericoguimaraes@ufmg.br</t>
  </si>
  <si>
    <t xml:space="preserve">2-s2.0-85128263227</t>
  </si>
  <si>
    <t xml:space="preserve">Pise R.; Patil K.; Pise N.</t>
  </si>
  <si>
    <t xml:space="preserve">Pise, Reshma (57440724700); Patil, Kailas (49862163900); Pise, Neeraj (57609551600)</t>
  </si>
  <si>
    <t xml:space="preserve">57440724700; 49862163900; 57609551600</t>
  </si>
  <si>
    <t xml:space="preserve">AUTOMATIC CLASSIFICATION OF MOSQUITO GENERA USING TRANSFER LEARNING</t>
  </si>
  <si>
    <t xml:space="preserve">Certain species of mosquitoes are the main vectors of arboviruses that cause Dengue, Yellow fever, Chikungunya, Zika and Japanese encephalitis. These species are contained in the genera Anopheles, Culex, Aedes. Mosquito-borne diseases pose significant threat to public health. Therefore, vector surveillance and vector control strategies are crucial. Automation of genera identification is essential to implement effective vector control strategies. In the past decade several machine learning and deep learning models have been investigated for image-based automatic and accurate classification of vector mosquitoes. Such applications also aid entomologists in insect identification task. In this study, a deep convolutional neural network technique to classify two genera of mosquitoes: Aedes and Culex based on the morphological features is proposed. In our work, an optimization technique i.e., transfer learning using the pretrained deep learning models has been employed. Transfer learning saves the model training time and addresses the problem of low performance due to insufficient amount of training data. This paper presents the architecture of three state of the art pretrained neural networks, including VGGNet, ResNet and GoogLeNet. The models were trained with our own dataset of images of the two genera of mosquitoes. Classification performance of the models is evaluated in terms of classification accuracy and loss during training and validation phases of model building. © 2022 Little Lion Scientific</t>
  </si>
  <si>
    <t xml:space="preserve">https://www.scopus.com/inward/record.uri?eid=2-s2.0-85128595090&amp;partnerID=40&amp;md5=ce26adf1448c9640401dc7c2179c92da</t>
  </si>
  <si>
    <t xml:space="preserve">Vishwakarma University, Department of Computer Engg., Pune, India; Vishwakarma Institute of Information Technology, Department of Computer Engg., Pune, India</t>
  </si>
  <si>
    <t xml:space="preserve">Pise R., Vishwakarma University, Department of Computer Engg., Pune, India; Patil K., Vishwakarma University, Department of Computer Engg., Pune, India; Pise N., Vishwakarma Institute of Information Technology, Department of Computer Engg., Pune, India</t>
  </si>
  <si>
    <t xml:space="preserve">Artificial Neural Networks; Image Classification; Machine Learning; Vector Control</t>
  </si>
  <si>
    <t xml:space="preserve">National Vector Borne Disease Control Programme (NVBDCP); Ainapure Bharati S, Pise Reshma, Wagh Aniket, Tejnani Jitesh, Oza Kaushal, Prognosis of COVID- 19 Patients with Machine Learning Techniques, Annals of RSCB, 25, 6, pp. 20183-20200, (2021); He Nan, Li Guanghao, Urban neighbourhood environment assessment based on street view image processing: A review of research trends, Environmental Challenges, 4, (2021); Hassan Siti, Rahman Nur, Zaw Zaw, Win Shoon, Vision Based Entomology: A Survey, International Journal of Computer Science &amp; Engineering Survey, 5, pp. 19-32, (2014); Silva DF, De Souza VMA, Batista GEAPA, Keogh E, Ellis DPW., Applying machine learning and audio analysis techniques to insect recognition in intelligent traps, Proceedings—2013 12th International Conference on Machine Learning and Applications, ICMLA 2013, pp. 99-104, (2013); Ravi Prashant, Syam Uma, Kapre Nachiket, Preventive Detection of Mosquito Populations using Embedded Machine Learning on Low Power IoT Platforms, ACM DEV’16, (2016); Chen Yanping, Et al., Flying insect detection and classification with inexpensive sensors, Journal of visualized experiments: JoVE, 92, (2014); De Souza VMA, Silva DF, Batista GEAPA, Classification of data streams applied to insect recognition: Initial results, Proc—2013 Brazilian Conf Intell Syst BRACIS 2013, pp. 76-81, (2013); Batovska J., Blacket M. J., Brown K., Lynch S. E., Molecular identification of mosquitoes (Diptera: Culicidae) in southeastern Australia, Ecology and evolution, 6, 9, pp. 3001-3011, (2016); Vossenberg BTLH Van De Vossenberg BTLH Van De, Ibañez-Justicia A, Metz-Verschure E, Van EJ, Bruil-Dieters ML, Scholte EJ., Real-Time PCR Tests in Dutch Exotic Mosquito Surveys; “Implementation of Aedes aegypti and Aedes albopictus Identification Tests, and the Development of Tests for the Identification of Aedes atropalpus and Aedes japonicus japonicus (Diptera: Culicidae), J Med Entomol, 52, pp. 336-350, (2015); Wilke ABB, Christe RdO, Multini LC, Vidal PO, Wilk-da-Silva R, de Carvalho GC, Et al., Morphometric Wing Characters as a Tool for Mosquito Identification, PLoS ONE, 11, 8, (2016); Fuchida Masataka, Et al., Vision-Based Perception and Classification of Mosquitoes Using Support Vector Machine, Applied Sciences, 7, (2017); Minakshi M., Bharti P., Chellappan S., Identifying mosquito species using smart-phone camera, Proceedings of the 2017 European Conference on Networks and Communications (EuCNC), (2017); Silva Diego F., Vinicius M. A. Vinicius M. A., de Souza Eamonn Keogh, Daniel P. W. Ellis “Applying Machine Learning and Audio Analysis Techniques to Insect Recognition in Intelligent Traps, 12th International Conference on Machine Learning and Applications, (2013); Souza Vinicius Mourao Alves de, Identifying Aedes aegypti Mosquitoes by Sensors and One-Class Classifiers, Chapter from book Progress in Pattern Recognition, Image Analysis, Computer Vision, and Applications: 21st Iberoamerican Congress, CIARP 2016, pp. 10-18, (2016); Martineau Maxime, Conte Donatello, Raveaux Romain, Arnault Ingrid, Munier Damien, Et al., A survey on image-based insect classification, Pattern Recognition, 65, pp. 273-284, (2017); Krizhevsky Alex, Sutskever Ilya, Hinton Geoffrey E., Imagenet Classification with Deep Convolution Neural Network, Communications of the ACM, 60, 6, pp. 84-90, (2017); Valan Miroslav, Makonyi Karoly, Maki Atsuto, Vondracek Dominik, Ronquist Fredrik, Automated Taxonomic Identification of Insects with Expert-Level Accuracy Using Effective Feature Transfer from Convolutional Networks, Systematic Biology, 68, 6, pp. 876-895, (2019); Okayasu Kazushige, Yoshida Kota, Fuchida Masataka, Nakamura Akio, Vision-Based Classification of Mosquito Species: Comparison of Conventional and Deep Learning Methods, Appl. Sci, 9, (2019); Park J., Kim D.I., Choi B., Et al., Classification and Morphological Analysis of Vector Mosquitoes using Deep Convolutional Neural Networks, Sci Rep, 10, (2020); Pise Reshma, Aungmaneeporn Mayawadee, Patil Kailas, Chumchu Prawit, Image Dataset of Aedes and Culex Mosquito Species, IEEE Dataport, (2020); Geron Aurelien, Hands-On Machine Learning with Scikit-Learn, Keras, and TensorFlow: Concepts, Tools, and Techniques to Build Intelligent Systems; Weiss K., Khoshgoftaar T.M., Wang D., A survey of transfer learning, J Big Data, 3, (2016); Meshram V.A., Patil K., Ramteke S.D., MNet: A framework to reduce fruit image misclassification, Ingénierie des Systèmes d’Information, 26, 2, pp. 159-170, (2021); Transfer learning and fine-tuning; He K., Zhang X., Ren S., Sun J., Deep residual learning for image recognition; Simonyan K., Zisserman A., Very deep convolutional networks for large-scale image recognition, Proceedings of the International Conference on Learning Representations (ICLR), (2015); ImageNet Large Scale Visual Recognition Challenge (ILSVRC); Szegedy C, Liu W, Jia Y, Sermanet P, Reed S, Anguelov D, Et al., Going Deeper with Convolutions, (2014)</t>
  </si>
  <si>
    <t xml:space="preserve">2-s2.0-85128595090</t>
  </si>
  <si>
    <t xml:space="preserve">Rodrigues A.B.; da Gama Torres H.O.; Nunes M.D.C.P.; de Assis Silva Gomes J.; Rodrigues A.B.; Pinho L.L.N.; Rocha M.O.; Botoni F.A.</t>
  </si>
  <si>
    <t xml:space="preserve">Rodrigues, Angela Braga (57876517700); da Gama Torres, Henrique Oswaldo (24476281000); Nunes, Maria do Carmo Pereira (55235627300); de Assis Silva Gomes, Juliana (57776276300); Rodrigues, Aline Braga (57206933823); Pinho, Laura Lopes Nogueira (57210752804); Rocha, Manoel Otavio (57195540427); Botoni, Fernando Antonio (16047263200)</t>
  </si>
  <si>
    <t xml:space="preserve">57876517700; 24476281000; 55235627300; 57776276300; 57206933823; 57210752804; 57195540427; 16047263200</t>
  </si>
  <si>
    <t xml:space="preserve">Biomakers in Chronic Chagas Cardiomyopathy</t>
  </si>
  <si>
    <t xml:space="preserve">The primary objective was to observe the relationship between serum levels of BNP, Ca-125, C-reactive protein and uric acid as prognostic and functional markers in patients with chronic Chagas cardiomyopathy (CCC). Circulating levels of cytokines: IL-1β, TNFα, IL-10, IL6, IL-8 and IL-12 were determined and investigated regarding their association with hemodynamic parameters, clinical signs of heart failure and outcome. Chagas is still a neglected disease that affects numerous individuals, many of them in their most productive years. CCC with left ventricular dysfunction is the most severe presentation of Chagas Disease. BNP is a well-recognized prognostic and clinical biomarker, not only in chronic heart failure patients but also in patients with CCC. Previous studies have shown Ca-125, C-reactive protein, and uric acid to be potentially good prognostic markers in heart failure (HF). Fifty patients with left ventricular fraction less (LVEF) than 55% were selected and followed for a mean period of 18 ± 8.3 months. Patient’s mean age was 43.42 ± 10.3 years (32 male), their BNP was 293 (160–530) pg/mL, Ca-125 8.5 (5.5–16.75) U/mL, uric acid 6.2 ± 2 mg/dL, and C- reactive protein 4.5 (4.5–7.3) mg/L. Patients who had LVEF less than 35% had higher BNP (p = 0.0023), Ca-125 (p = 0.027) and uric acid (p = 0.01) serum levels. Patients who died also showed higher BNP (p = 0.01), uric acid (p = 0.05) and a trend towards higher Ca-125 serum levels (p = 0.056). All markers: BNP, Ca-125, uric acid and C-reactive had good predictability of death in Cox-regression univariate analysis, however, not on the final multivariate model. Of the inflammatory cytokines, IL-8 and IL-12 showed a relation to LVEF of less than 35%. IL-12 was related to adverse cardiovascular events and non-survival. IL-1β was a good predictor of mortality in the final Cox regression model. Determination of Ca-125, uric acid levels and C-reactive protein may add useful clinical and prognostic information and may help clinical decision making for patients with CCC. © 2022 by the authors.</t>
  </si>
  <si>
    <t xml:space="preserve">Microorganisms</t>
  </si>
  <si>
    <t xml:space="preserve">10.3390/microorganisms10081602</t>
  </si>
  <si>
    <t xml:space="preserve">https://www.scopus.com/inward/record.uri?eid=2-s2.0-85137365674&amp;doi=10.3390%2fmicroorganisms10081602&amp;partnerID=40&amp;md5=89aa42ecfa15db3bbf423020fce5dc6b</t>
  </si>
  <si>
    <t xml:space="preserve">Postgraduate Course of Infectious Diseases and Tropical Medicine, The Post-Graduate Program in Infectious Diseases and Tropical Medicine (PPG-IMT), School of Medicine, Universidade Federal de Minas Gerais, MG, Belo Horizonte, 30130-100, Brazil; School of Medicine, Universidade Federal de Minas Gerais, Minas Gerais, MG, Belo Horizonte, 30130-100, Brazil; Department of Morphology, Institute of Biological Sciences, Universidade Federal de Minas Gerais, MG, Belo Horizonte, 31270-901, Brazil; Department of Cardiology, Hospital Felicio Rocho, MG, Belo Horizonte, 30110-934, Brazil</t>
  </si>
  <si>
    <t xml:space="preserve">Rodrigues A.B., Postgraduate Course of Infectious Diseases and Tropical Medicine, The Post-Graduate Program in Infectious Diseases and Tropical Medicine (PPG-IMT), School of Medicine, Universidade Federal de Minas Gerais, MG, Belo Horizonte, 30130-100, Brazil; da Gama Torres H.O., School of Medicine, Universidade Federal de Minas Gerais, Minas Gerais, MG, Belo Horizonte, 30130-100, Brazil; Nunes M.D.C.P., Postgraduate Course of Infectious Diseases and Tropical Medicine, The Post-Graduate Program in Infectious Diseases and Tropical Medicine (PPG-IMT), School of Medicine, Universidade Federal de Minas Gerais, MG, Belo Horizonte, 30130-100, Brazil, School of Medicine, Universidade Federal de Minas Gerais, Minas Gerais, MG, Belo Horizonte, 30130-100, Brazil; de Assis Silva Gomes J., Department of Morphology, Institute of Biological Sciences, Universidade Federal de Minas Gerais, MG, Belo Horizonte, 31270-901, Brazil; Rodrigues A.B., Department of Cardiology, Hospital Felicio Rocho, MG, Belo Horizonte, 30110-934, Brazil; Pinho L.L.N., Postgraduate Course of Infectious Diseases and Tropical Medicine, The Post-Graduate Program in Infectious Diseases and Tropical Medicine (PPG-IMT), School of Medicine, Universidade Federal de Minas Gerais, MG, Belo Horizonte, 30130-100, Brazil; Rocha M.O., Postgraduate Course of Infectious Diseases and Tropical Medicine, The Post-Graduate Program in Infectious Diseases and Tropical Medicine (PPG-IMT), School of Medicine, Universidade Federal de Minas Gerais, MG, Belo Horizonte, 30130-100, Brazil, School of Medicine, Universidade Federal de Minas Gerais, Minas Gerais, MG, Belo Horizonte, 30130-100, Brazil; Botoni F.A., Postgraduate Course of Infectious Diseases and Tropical Medicine, The Post-Graduate Program in Infectious Diseases and Tropical Medicine (PPG-IMT), School of Medicine, Universidade Federal de Minas Gerais, MG, Belo Horizonte, 30130-100, Brazil, School of Medicine, Universidade Federal de Minas Gerais, Minas Gerais, MG, Belo Horizonte, 30130-100, Brazil</t>
  </si>
  <si>
    <t xml:space="preserve">biomakers; Chagas cardiomyopathy; cytokines</t>
  </si>
  <si>
    <t xml:space="preserve">Conselho Nacional de Desenvolvimento ientífico e Tecnológico, (480104/2010-7); Conselho Nacional de Desenvolvimento Científico e Tecnológico, CNPq</t>
  </si>
  <si>
    <t xml:space="preserve">This investigation was funded and supported by CNPQ (Conselho Nacional de Desenvolvimento ientífico e Tecnológico). with a grant of 30,000.00 (thirty thousand) reais. Project number: 480104/2010-7.</t>
  </si>
  <si>
    <t xml:space="preserve">Chagas Disease (American Trypanosomiasis), (2017); Nunes M.C., Beaton A., Acquatella H., Bern C., Bolger A.F., Echeverria L.E., Dutra W.O., Gascon J., Morillo C.A., Oliveira-Filho J., Et al., Chagas cardiomyopathy: An update of current clinical knowledge and management: A scientific statement from the American Heart Association, Circulation, 138, pp. e169-e209, (2018); Benziger C.P., do Carmo G.A., Ribeiro A.L., Chagas Cardiomyopathy, Cardiol. Clin, 35, pp. 31-47, (2017); Ribeiro A.L., Nunes M.P., Teixeira M.M., Rocha M.O., Diagnosis and management of Chagas disease and cardiomyopathy, Nat. Rev. Cardiol, 9, pp. 576-589, (2012); Perez-Molina J.A., Molina I., Chagas disease, Lancet, 391, pp. 82-94, (2018); Rocha M.O., Teixeira M.M., Ribeiro A.L., An update on the management of Chagas cardiomyopathy, Expert Rev. Anti-Infect. Ther, 5, pp. 727-743, (2007); Braunwald E., Biomarkers in heart failure, N. Engl. J. Med, 358, pp. 2148-2159, (2008); Ribeiro A.L., dos Reis A.M., Barros M.V., de Sousa M.R., Rocha A.L., Perez A.A., Pereira J.B., Machado F.S., Rocha M.O., Brain natriuretic peptide and left ventricular dysfunction in Chagas’ disease, Lancet, 360, pp. 461-462, (2002); Talvani A., Rocha M.O., Cogan J., Maewal P., Lemos J.D., Ribeiro A.L., Teixeira M.M., Brain natriuretic peptide and left ventricular dysfunction in chagasic cardiomyopathy, Mem. Do Inst. Oswaldo Cruz, 99, pp. 645-649, (2004); Oliveira B.M., Botoni F.A., Ribeiro A.L., Pinto A.S., Reis A.M., Nunes M.D., Rocha M.O., Correlation between BNP levels and Doppler echocardiographic parameters of left ventricle filling pressure in patients with Chagasic cardiomyopathy, Echocardiography, 26, pp. 521-527, (2009); D'Aloia A., Faggiano P., Aurigemma G., Bontempi L., Ruggeri G., Metra M., Nodari S., Dei Cas L., Serum levels of carbohydrate antigen 125 in patients with chronic heart failure: Relation to clinical severity, hemodynamic and Doppler echocardiographic abnormalities, and short-term prognosis, J. Am. Coll. Cardiol, 41, pp. 1805-1811, (2003); Pontremoli R., The role of urate-lowering treatment on cardiovascular and renal disease: Evidence from CARES, FAST, ALL-HEART, and FEATHER studies, Curr. Med. Res. Opin, 33, pp. 27-32, (2017); Anand I.S., Latini R., Florea V.G., Kuskowski M.A., Rector T., Masson S., Signorini S., Mocarelli P., Hester A., Glazer R., Et al., C-reactive protein in heart failure: Prognostic value and the effect of valsartan, Circulation, 112, pp. 1428-1434, (2005); Nagele H., Bahlo M., Klapdor R., Schaeperkoetter D., Rodiger W., CA 125 and its relation to cardiac function, Am. Heart J, 137, pp. 1044-1049, (1999); Nunez J., Llacer P., Bertomeu-Gonzalez V., Bosch M.J., Merlos P., Garcia-Blas S., Montagud V., Bodi V., Bertomeu-Martinez V., Pedrosa V., Et al., Carbohydrate Antigen-125–Guided Therapy in Acute Heart Failure: CHANCE-HF: A Randomized Study, JACC Heart Fail, 4, pp. 833-843, (2016); Hung C.L., Hung T.C., Lai Y.H., Lu C.S., Wu Y.J., Yeh H.I., Beyond malignancy: The role of carbohydrate antigen 125 in heart failure, Biomark. Res, 1, (2013); Ordu S., Ozhan H., Alemdar R., Aydin M., Caglar O., Yuksel H., Kandis H., Carbohydrate antigen-125 and N-terminal pro-brain natriuretic peptide levels: Compared in heart-failure prognostication, Tex. Heart Inst. J, 39, (2012); Nunez J., Llacer P., Garcia-Blas S., Bonanad C., Ventura S., Nunez J.M., Sanchez R., Facila L., de la Espriella R., Vaquer J.M., Et al., CA125-guided diuretic treatment versus usual care in patients with acute heart failure and renal dysfunction, Am. J. Med, 133, pp. 370-380, (2020); Anker S.D., Doehner W., Rauchhaus M., Sharma R., Francis D., Knosalla C., Davos C.H., Cicoira M., Shamim W., Kemp M., Et al., Uric acid and survival in chronic heart failure, Circulation, 107, pp. 1991-1997, (2003); Hamaguchi S., Furumoto T., Tsuchihashi-Makaya M., Goto K., Goto D., Yokota T., Kinugawa S., Yokoshiki H., Takeshita A., Tsutsui H., JCARE-CARD Investigators. Hyperuricemia predicts adverse outcomes in patients with heart failure, Int. J. Cardiol, 151, pp. 143-147, (2011); Huang H., Huang B., Li Y., Huang Y., Li J., Yao H., Jing X., Chen J., Wang J., Uric acid and risk of heart failure: A systematic review and meta-analysis, Eur. J. Heart Fail, 16, pp. 15-24, (2014); Huynh K., Van Tassell B., Chow S.L., Predicting therapeutic response in patients with heart failure: The story of C-reactive protein, Expert Rev. Cardiovasc. Ther, 13, pp. 153-161, (2015); Van der Heijden T., Bot I., Kuiper J., The IL-12 cytokine family in cardiovascular diseases, Cytokine, 122, (2019); Ikonomidis I., Papadavid E., Makavos G., Andreadou I., Varoudi M., Gravanis K., Theodoropoulos K., Pavlidis G., Triantafyllidi H., Moutsatsou P., Et al., Lowering interleukin-12 activity improves myocardial and vascular function compared with tumor necrosis factor-a antagonism or cyclosporine in psoriasis, Circ. Cardiovasc. Imaging, 10, (2017); Sousa G.R., Gomes J.A., Fares R.C., de Souza Damasio M.P., Chaves A.T., Ferreira K.S., Nunes M.C., Medeiros N.I., Valente V.A., Correa-Oliveira R., Et al., Plasma cytokine expression is associated with cardiac morbidity in chagas disease, PLoS ONE, 9, (2014); Aleksova A., Beltrami A.P., Carriere C., Barbati G., Lesizza P., Perrieri-Montanino M., Isola M., Gentile P., Salvioni E., Not T., Et al., Interleukin-1β levels predict long-term mortality and need for heart transplantation in ambulatory patients affected by idiopathic dilated cardiomyopathy, Oncotarget, 8, (2017); Sandek A., Bauditz J., Swidsinski A., Buhner S., Weber-Eibel J., von Haehling S., Schroedl W., Karhausen T., Doehner W., Rauchhaus M., Et al., Altered intestinal function in patients with chronic heart failure, J. Am. Coll. Cardiol, 50, pp. 1561-1569, (2007); Sousa G.R., Gomes J.A., Damasio M.P., Nunes M.C., Costa H.S., Medeiros N.I., Fares R.C., Chaves A.T., Correa-Oliveira R., Rocha M.O., The role of interleukin 17-mediated immune response in Chagas disease: High level is correlated with better left ventricular function, PLoS ONE, 12, (2017); Cardoso C.S., Sabino E.C., Oliveira C.D., de Oliveira L.C., Ferreira A.M., Cunha-Neto E., Bierrenbach A.L., Ferreira J.E., Haikal D.S., Reingold A.L., Et al., Longitudinal study of patients with chronic Chagas cardiomyopathy in Brazil (SaMi-Trop project): A cohort profile, BMJ Open, 6, (2016); Ridker P.M., Everett B.M., Thuren T., MacFadyen J.G., Chang W.H., Ballantyne C., Fonseca F., Nicolau J., Koenig W., Anker S.D., Et al., Antiinflammatory therapy with canakinumab for atherosclerotic disease, N. Engl. J. Med, 377, pp. 1119-1131, (2017)</t>
  </si>
  <si>
    <t xml:space="preserve">A.B. Rodrigues; Postgraduate Course of Infectious Diseases and Tropical Medicine, The Post-Graduate Program in Infectious Diseases and Tropical Medicine (PPG-IMT), School of Medicine, Universidade Federal de Minas Gerais, Belo Horizonte, MG, 30130-100, Brazil; email: braga.angela@gmail.com</t>
  </si>
  <si>
    <t xml:space="preserve">Microorg.</t>
  </si>
  <si>
    <t xml:space="preserve">2-s2.0-85137365674</t>
  </si>
  <si>
    <t xml:space="preserve">Onyango D.O.; Akelo V.; Van Der Sande M.A.B.; Ridzon R.; Were J.A.; Agaya J.A.; Oele E.A.; Wandiga S.; Igunza A.K.; Young P.W.; Blau D.M.; Joseph R.H.; Yuen C.M.; Zielinski-Gutierrez E.; Tippett-Barr B.A.</t>
  </si>
  <si>
    <t xml:space="preserve">Onyango, Dickens O. (55520990300); Akelo, Victor (55839488800); Van Der Sande, Marianne A.B. (16403677800); Ridzon, Renee (56253256100); Were, Joyce A. (57193556797); Agaya, Janet A. (23972385000); Oele, Elizabeth A. (57211540139); Wandiga, Steve (57368060300); Igunza, Aggrey K. (57367647200); Young, Peter W. (55601191900); Blau, Dianna M. (15729433700); Joseph, Rachael H. (57213537157); Yuen, Courtney M. (55565336500); Zielinski-Gutierrez, Emily (12773907600); Tippett-Barr, Beth A. (55151157800)</t>
  </si>
  <si>
    <t xml:space="preserve">55520990300; 55839488800; 16403677800; 56253256100; 57193556797; 23972385000; 57211540139; 57368060300; 57367647200; 55601191900; 15729433700; 57213537157; 55565336500; 12773907600; 55151157800</t>
  </si>
  <si>
    <t xml:space="preserve">Causes of death in hiv-infected and hiv-uninfected children aged under-five years in western kenya</t>
  </si>
  <si>
    <t xml:space="preserve">Objectives:Describe the causes of death among infants and children less than 5 years stratified by HIV status.Design:Cross-sectional analysis of causes of death ascertained through minimally invasive tissue sampling (MITS) in the Kenya Child Health and Mortality Prevention Surveillance site.Methods:We included decedents aged 28 days to less than 5 years, whose death was reported within 36 h, underwent MITS, and had HIV test results and causes of death determined. MITS specimens were tested using Taqman Array Cards, culture, cytology, histopathology and immunohistochemistry and HIV PCR. A panel evaluated epidemiologic, clinical, verbal autopsy and laboratory data to assign causes of death using ICD-10 guidelines. Causes of death and etiological agents were stratified by HIV status.Results:Of 176 included decedents, 14% (n = 25) were HIV-infected, median viral load was 112 205 copies/ml [interquartile range (IQR) = 9349-2 670 143). HIV-disease (96%; n = 24) and malnutrition (23%; n = 34) were the leading underlying causes of death in HIV-infected and HIV-uninfected decedents, respectively. Malnutrition was more frequent in the causal chain of HIV-infected (56%; n = 14) than HIV-uninfected decedents (31%; n = 49) (P value = 0.03). Viral pneumonia was twice as common in HIV-infected (50%; n = 9) than HIV-uninfected decedents (22%; n = 7) (P value = 0.04).Conclusion:Nearly all HIV-infected decedents' underlying cause of death was HIV disease, which was associated with malnutrition. Our findings underscore the need for strengthening early identification and management of HIV-infected children. Prevention, early diagnosis and treatment of malnutrition could be instrumental in improving the survival of HIV-infected and HIV-uninfected children. © 2022 Lippincott Williams and Wilkins. All rights reserved.</t>
  </si>
  <si>
    <t xml:space="preserve">AIDS</t>
  </si>
  <si>
    <t xml:space="preserve">10.1097/QAD.0000000000003086</t>
  </si>
  <si>
    <t xml:space="preserve">https://www.scopus.com/inward/record.uri?eid=2-s2.0-85120913699&amp;doi=10.1097%2fQAD.0000000000003086&amp;partnerID=40&amp;md5=a6c8b4fe2aff700b8df76f2bacd9ae58</t>
  </si>
  <si>
    <t xml:space="preserve">Kisumu County Department of Health, Kisumu, Kenya; Department of Public Health, Institute of Tropical Medicine, Antwerp, Belgium; Julius Global Health, Julius Centre for Health Sciences and Primary Care, University Medical Centre, Utrecht, Netherlands; Division of Global HIV and TB, US Centers for Disease Control and Prevention (CDC), Nairobi, Kisumu, Kenya; Kenya Medical Research Institute (KEMRI), Kisumu, Kenya; US Centers for Disease Control and Prevention, Atlanta, GA, United States; Harvard Medical School, Boston, MA, United States; Division of Global Health Protection, US Centers for Disease Control and Prevention, Guatemala</t>
  </si>
  <si>
    <t xml:space="preserve">Onyango D.O., Kisumu County Department of Health, Kisumu, Kenya, Department of Public Health, Institute of Tropical Medicine, Antwerp, Belgium, Julius Global Health, Julius Centre for Health Sciences and Primary Care, University Medical Centre, Utrecht, Netherlands; Akelo V., Division of Global HIV and TB, US Centers for Disease Control and Prevention (CDC), Nairobi, Kisumu, Kenya; Van Der Sande M.A.B., Department of Public Health, Institute of Tropical Medicine, Antwerp, Belgium, Julius Global Health, Julius Centre for Health Sciences and Primary Care, University Medical Centre, Utrecht, Netherlands; Ridzon R., Division of Global HIV and TB, US Centers for Disease Control and Prevention (CDC), Nairobi, Kisumu, Kenya; Were J.A., Kenya Medical Research Institute (KEMRI), Kisumu, Kenya; Agaya J.A., Kenya Medical Research Institute (KEMRI), Kisumu, Kenya; Oele E.A., Kisumu County Department of Health, Kisumu, Kenya; Wandiga S., Kenya Medical Research Institute (KEMRI), Kisumu, Kenya; Igunza A.K., Kenya Medical Research Institute (KEMRI), Kisumu, Kenya; Young P.W., Division of Global HIV and TB, US Centers for Disease Control and Prevention (CDC), Nairobi, Kisumu, Kenya; Blau D.M., US Centers for Disease Control and Prevention, Atlanta, GA, United States; Joseph R.H., Division of Global HIV and TB, US Centers for Disease Control and Prevention (CDC), Nairobi, Kisumu, Kenya; Yuen C.M., Harvard Medical School, Boston, MA, United States; Zielinski-Gutierrez E., Division of Global Health Protection, US Centers for Disease Control and Prevention, Guatemala; Tippett-Barr B.A., Division of Global HIV and TB, US Centers for Disease Control and Prevention (CDC), Nairobi, Kisumu, Kenya</t>
  </si>
  <si>
    <t xml:space="preserve">Cause of death; Child mortality; HIV; Infant mortality</t>
  </si>
  <si>
    <t xml:space="preserve">Adult; Autopsy; Cause of Death; Child; Cross-Sectional Studies; HIV Infections; Humans; Infant; Kenya; tuberculostatic agent; Adenoviridae; anemia; Article; aspiration pneumonia; autopsy; catchment area; cause of death; child; clinical feature; cross-sectional study; Cytomegalovirus; educational status; female; gastroenteritis; head injury; histopathology; human; Human immunodeficiency virus infection; human tissue; ICD-10; immunohistochemistry; infant; Kenya; Klebsiella pneumoniae; live birth; major clinical study; malaria; male; malnutrition; mortality rate; Mycobacterium tuberculosis; pneumonia; polymerase chain reaction; sepsis; Streptococcus pneumoniae; virus load; virus pneumonia; adult; cause of death; epidemiology; Human immunodeficiency virus infection</t>
  </si>
  <si>
    <t xml:space="preserve">Yaya S, Bishwajit G, Okonofua F, Uthman OA., Under five mortality patterns and associated maternal risk factors in sub-Saharan Africa: A multicountry analysis, PLoS One, 13, (2018); Children: Reducing mortality, (2018); Adewemimo A, Kalter HD, Perin J, Koffi AK, Quinley J, Black RE., Direct estimates of cause-specific mortality fractions and rates of under-five deaths in the northern and southern regions of Nigeria by verbal autopsy interview, PLoS One, 12, (2017); Sanyang Y., Prevalence of under-five years of age mortality by infectious diseases in West African region, Int J Africa Nurs Sci, 11, (2019); Menendez C, Castillo P, Martinez MJ, Jordao D, Lovane L, Ismail MR, Et al., Validity of a minimally invasive autopsy for cause of death determination in stillborn babies and neonates in Mozambique: An observational study, PLoS Med, 14, (2017); Bassat Q, Castillo P, Martinez MJ, Jordao D, Lovane L, Hurtado JC, Et al., Validity of a minimally invasive autopsy tool for cause of death determination in pediatric deaths in Mozambique: An observational study, PLoS Med, 14, (2017); Abrams EJ, Woldesenbet S, Silva JS, Coovadia A, Black V, Technau K-G, Kuhn L., Despite access to antiretrovirals for prevention and treatment, high rates of mortality persist among HIV-infected infants and young children, Pediatr Infect Dis J, 36, pp. 595-601, (2017); Njuguna IN, Cranmer LM, Otieno VO, Mugo C, Okinyi HM, Benki-Nugent S, Et al., Urgent versus poststabilisation antiretroviral treatment in hospitalised HIV-infected children in Kenya (PUSH): A randomised controlled trial, Lancet HIV, 5, pp. e12-e22, (2018); Kenya Demographic and Health Survey 2014, (2014); Brault MA, Ngure K, Haley CA, Kabaka S, Sergon K, Desta T, Et al., The introduction of new policies and strategies to reduce inequities and improve child health in Kenya: A country case study on progress in child survival, 2000-2013, PLoS One, 12, (2017); Kenya HIV estimates report 2018, (2018); 2019 Kenya Housing and Population Census, (2019); Guidelines on use of antiretroviral drugs for treating and preventing HIV infection in Kenya, 2018 Edition, (2018); Guidelines on Use of Antiretroviral Drugs for Treating and Preventing HIV Infection in Kenya 2018 Edition, (2018); Mortuary and Hospital-Based Surveillance of HIV-Associated Mortality in Kisumu County: Final Report, (2020); Amek NO, Eijk A, Lindblade KA, Hamel M, Bayoh N, Gimnig J, Et al., Infant and child mortality in relation to malaria transmission in KEMRI/CDC HDSS, Western Kenya: Validation of verbal autopsy, Malar J, 17, (2018); Sifuna P, Otieno L, Ogwang S, Ogutu B, Andagalu B, Owuoth J, Et al., Cause-specific mortality in the Kombewa health and demographic surveillance systems site, rural Western Kenya from 2011-2015, Global Health Action, 11, (2018); Bassat Q, Castillo P, Alonso PL, Ordi J, Menendez C., Resuscitating the dying autopsy, PLoS Med, 13, (2016); Boerma T, Mathers CD., The World Health Organization and global health estimates: Improving collaboration and capacity, BMC Med, 13, (2015); Abubakar I, Tillmann T, Banerjee A., Global, regional, and national age-sex specific all-cause and cause-specific mortality for 240 causes of death, 1990-2013: A systematic analysis for the Global Burden of Disease Study 2013, Lancet, 385, pp. 117-171, (2015); Mushtaq F, Ritchie D., Do we know what people die of in the emergency department?, Emerg Med J, 22, pp. 718-721, (2005); Gupta N, Bharti B, Singhi S, Kumar P, Thakur J., Errors in filling WHO death certificate in children: Lessons from 1251 death certificates, J Trop Pediatr, 60, pp. 74-78, (2013); Oluwasola OA, Fawole OI, Otegbayo AJ, Ogun GO, Adebamowo CA, Bamigboye AE., The autopsy: Knowledge, attitude, and perceptions of doctors and relatives of the deceased, Arch Pathol Lab Med, 133, pp. 78-82, (2009); Lishimpi K, Chintu C, Lucas S, Mudenda V, Kaluwaji J, Story A, Et al., Necropsies in African children: Consent dilemmas for parents and guardians, Arch Dis Childhood, 84, pp. 463-467, (2001); Blokker BM, Weustink AC, Hunink MM, Oosterhuis JW., Autopsy rates in the Netherlands: 35 years of decline, PloS One, 12, (2017); Turnbull A, Osborn M, Nicholas N., Hospital autopsy: Endangered or extinct?, J Clin Pathol, 68, pp. 601-604, (2015); Raut A, Andrici J, Severino A, Gill AJ., The death of the hospital autopsy in Australia? The hospital autopsy rate is declining dramatically, PathologyV, 48, pp. 645-649, (2016); Ruan X, Chiravuri S, Kaye AD., From death to death certificate: A call for preventing autopsy from dying, J Med Toxicol, 13, (2017); Blokker BM, Wagensveld IM, Weustink AC, Oosterhuis JW, Hunink MM., Noninvasive or minimally invasive autopsy compared to conventional autopsy of suspected natural deaths in adults: A systematic review, Eur Radiol, 26, pp. 1159-1179, (2016); Castillo P, Ussene E, Ismail MR, Jordao D, Lovane L, Carrilho C, Et al., Pathological methods applied to the investigation of causes of death in developing countries: Minimally invasive autopsy approach, PLoS One, 10, (2015); Byass P., Minimally invasive autopsy: A new paradigm for understanding global health?, PLoS Med, 13, (2016); Maixenchs M, Anselmo R, Sanz A, Castillo P, Macete E, Carrilho C, Et al., Healthcare providers' views and perceptions on postmortem procedures for cause of death determination in southern Mozambique, PLos One, 13, (2018); Bassat Q., Minimally invasive autopsy: welcoming a new tool for cause of death investigation in children in resource-constrained countries, (2017); Taylor AW, Blau DM, Bassat Q, Onyango D, Kotloff KL, El Arifeen S, Et al., Initial findings from a novel population-based child mortality surveillance approach: A descriptive study, Lancet Glob Health, 8, pp. e909-e919, (2020); Cunningham SA, Shaikh NI, Nhacolo A, Raghunathan PL, Kotloff K, Naser AM, Et al., Health and demographic surveillance systems within the Child Health and Mortality Prevention Surveillance Network, 69, pp. S274-S279, (2019); Anthony Waruru DO, Lilly N, Alex S, Wanjiru W, Solomon S, Elizabeth O, Et al., Leading causes of death and highmortality rates in a HIV endemic setting (Kisumu County, Kenya, 2019), (2020); Rogena EA, Waruru A, Young PW, Abade P, Nyaga LM, Walong EO., A review of completeness, correctness, and order of cause of death statements among decedents with documented causes of death and HIV status at two major mortuaries in Kenya, 2015, J Forensic Legal Med, 2020; Salzberg NT, Sivalogan K, Bassat Q, Taylor AW, Adedini S, El Arifeen S, Et al., Mortality surveillance methods to identify and characterize deaths in child health and mortality prevention surveillance network sites, Clin Infect Dis, 69, pp. S262-S273, (2019); Rakislova N, Fernandes F, Lovane L, Jamisse L, Castillo P, Sanz A, Et al., Standardization of minimally invasive tissue sampling specimen collection and pathology training for the Child Health and Mortality Prevention Surveillance Network, 69, pp. S302-S310, (2019); Blau DM, Caneer JP, Philipsborn RP, Madhi SA, Bassat Q, Varo R, Et al., Overview and development of the Child Health and Mortality Prevention Surveillance Determination of Cause of Death (DeCoDe) Process and DeCoDe Diagnosis Standards, Clin Infect Dis, 69, pp. S333-S341, (2019); ICD-10: International statistical classification of diseases and related health problems: Tenth revision, (2004); WHO case definitions of HIV for surveillance and revised clinical staging and immunological classification of HIV-related disease in adults and children, (2007); Odhiambo FO, Laserson KF, Sewe M, Hamel MJ, Feikin DR, Adazu K, Et al., Profile: The KEMRI/CDC health and demographic surveillance system-Western Kenya, Int J Epidemiol, 41, pp. 977-987, (2012); Achoki T, Miller-Petrie MK, Glenn SD, Kalra N, Lesego A, Gathecha GK, Et al., Health disparities across the counties of Kenya and implications for policy makers, 1990-2016: A systematic analysis for the Global Burden of Disease Study 2016, Lancet Glob Health, 7, pp. e81-e95, (2019); Naghavi M, Abajobir AA, Abbafati C, Abbas KM, Abd-Allah F, Abera SF, Et al., Global, regional, and national age-sex specific mortality for 264 causes of death, 1980-2016: A systematic analysis for the Global Burden of Disease Study 2016, Lancet, 390, pp. 1151-1210, (2016); Fokam J, Santoro MM, Chimbiri I, Chindiura J, Deula R, Rombe A, Et al., Programmatic challenges in implementing PMTCT option BR and pediatric HIV Care: Baseline assessment from 'Save the Families for Africa' in Malawi, Health Sci Dis, 20, (2019); Pricilla RA, Brown M, Wexler C, Maloba M, Gautney BJ, Finocchario-Kessler S., Progress toward eliminating mother to child transmission of HIV in Kenya: Review of treatment guidelines uptake and pediatric transmission between 2013 and 2016-a follow up, Maternal and child health journal, 22, pp. 1685-1692, (2018); Waruru A, Achia TNO, Muttai H, Zielinski-Gutierrez E, Ochanda B, Katana A, Et al., Spatial-temporal trend for mother-tochild transmission of HIV up to infancy and during pre-Option BR in western Kenya, 2007-13, PeerJ, 6, (2018); Streatfield PK, Khan WA, Bhuiya A, Hanifi SM, Alam N, Ouattara M, Et al., Cause-specific childhood mortality in Africa and Asia: Evidence from INDEPTH health and demographic surveillance system sites, Glob Health Action, 7, (2014); Preliminary KENPHIA 2018 report, (2020); Global burden of 369 diseases and injuries in 204 countries and territories, 1990-2019: A systematic analysis for the Global Burden of Disease Study 2019, Lancet, 396, pp. 1204-1222, (2020); Sohn AH, Lumbiganon P, Kurniati N, Lapphra K, Law M, Do VC, Et al., Determining standardized causes of death of infants, children, and adolescents living with HIV in Asia, AIDS, 34, pp. 1527-1537, (2020); Nalwanga D, Musiime V, Kizito S, Kiggundu JB, Batte A, Musoke P, Tumwine JK., Mortality among children under five years admitted for routine care of severe acute malnutrition: A prospective cohort study from Kampala, Uganda, BMC Pediatr, 20, (2020); Kapesa A, Kweka EJ, Atieli H, Afrane YA, Kamugisha E, Lee MC, Et al., The current malaria morbidity and mortality in different transmission settings in Western Kenya, PLoS One, 13, (2018); Njuguna IN, Cranmer LM, Wagner AD, LaCourse SM, Mugo C, Benki-Nugent S, Et al., Brief report: Cofactors of mortality among hospitalized HIV-infected children initiating antiretroviral therapy in Kenya, J Acquir Immune Defic Syndr, 81, pp. 138-144, (2019); Bates M, Shibemba A, Mudenda V, Chimoga C, Tembo J, Kabwe M, Et al., Burden of respiratory tract infections at post mortem in Zambian children, BMC Med, 14, (2016); Jakhar SK, Pandey M, Shah D, Ramachandran VG, Saha R, Gupta N, Gupta P., Etiology and risk factors determining poor outcome of severe pneumonia in under-five children, Ind J Pediatr, 85, pp. 20-24, (2018); Negash AA, Asrat D, Abebe W, Hailemariam T, Hailu T, Aseffa A, Vaneechoutte M., Bacteremic community-acquired pneumonia in ethiopian children: Etiology, antibiotic resistance, risk factors, and clinical outcome, Open Forum Infect Dis, 6, (2019); Prince SE, Dominger KA, Cunha BA, Klein NC., Klebsiella pneumoniae pneumonia, Heart Lung, 26, pp. 413-417, (1997); Ashurst JV, Dawson A., Klebsiella pneumonia, (2019); Aiken AM, Mturi N, Njuguna P, Mohammed S, Berkley JA, Mwangi I, Et al., Risk and causes of paediatric hospital-acquired bacteraemia in Kilifi District Hospital, Kenya: A prospective cohort study, Lancet, 378, pp. 2021-2027, (2011); Ngumi ZWW., Nosocomial infections at Kenyatta National Hospital Intensive-Care Unit in Nairobi, Kenya, Dermatology, 212, pp. 4-7, (2006); Ogalo EA, Owuor CO, Boor KG, Mutai KK., High prevalence of multidrug resistant Klebsiella pneumoniae in a tertiary teaching hospital in Western Kenya, Afr J Infect Dis, 10, pp. 89-95, (2016); Annamalay AA, Abbott S, Sikazwe C, Khoo S-K, Bizzintino J, Zhang G, Et al., Respiratory viruses in young South African children with acute lower respiratory infections and interactions with HIV, J Clin Virol, 81, pp. 58-63, (2016); Green RJ, Zar HJ, White DA, SAJVIiC Madhi, Viral lower respiratory tract infections, (2020); Basic paediatric protocol, pp. 30-31, (2016); Webb C, Ngama M, Ngatia A, Shebbe M, Morpeth S, Mwarumba S, Et al., Treatment failure among Kenyan children with severe pneumonia-a cohort study, Pediatr Infect Dis J, 31, (2012); Garcia-Basteiro AL, Hurtado JC, Castillo P, Fernandes F, Navarro M, Lovane L, Et al., Unmasking the hidden tuberculosis mortality burden in a large post mortem study in Maputo Central Hospital, Mozambique, Eur Respir J, 54, (2019); Garcia-Basteiro AL, Hurtado JC, Castillo P, Fernandes F, Navarro M, Lovane L, Et al., Performance of the Xpert MTB/RIF ultra assay for determining cause of death by tuberculosis in tissue samples obtained by minimally invasive autopsies, Chest, 159, pp. 103-107, (2021); Rudd KE, Johnson SC, Agesa KM, Shackelford KA, Tsoi D, Kievlan DR, Et al., Global, regional, and national sepsis incidence and mortality, 1990-2017: Analysis for the Global Burden of Disease Study, Lancet, 395, pp. 200-211, (2020); de Souza DC, Shieh HH, Barreira ER, Ventura AMC, Bousso A, Troster EJ, Epidemiology of sepsis in children admitted to PICUs in South America, Pediatr Crit Care Med, 17, pp. 727-734, (2016); Vincent J-L, Rello J, Marshall J, Silva E, Anzueto A, Martin CD, Et al., International study of the prevalence and outcomes of infection in intensive care units, JAMA, 302, pp. 2323-2329, (2009); Sakr Y, Jaschinski U, Wittebole X, Szakmany T, Lipman J, Namendys-Silva SA, Et al., Sepsis in intensive care unit patients: worldwide data from the intensive care over nations audit, Forum Infect Dis, 5, (2018); Zahar J-R, Timsit J-F, Garrouste-Orgeas M, Francais A, Vesim A, Descorps-Declere A, Et al., Outcomes in severe sepsis and patients with septic shock: Pathogen species and infection sites are not associated with mortality, 39, pp. 1886-1895, (2011); Blanco J, Muriel-Bombin A, Sagredo V, Taboada F, Gandia F, Tamayo L, Et al., Grupo de Estudios y Analisis en Cuidados Intensivos, Incidence, organ dysfunction and mortality in severe sepsis: A Spanish multicentre study, 12, (2008)</t>
  </si>
  <si>
    <t xml:space="preserve">D.O. Onyango; Kenya Ministry of Health, Kisumu, P.O. Box 3670-40100, Kenya; email: macdickens2002@gmail.com</t>
  </si>
  <si>
    <t xml:space="preserve">AIDSE</t>
  </si>
  <si>
    <t xml:space="preserve">2-s2.0-85120913699</t>
  </si>
  <si>
    <t xml:space="preserve">Setyawan D.; Wardoyo R.; Wibowo M.E.; Murhandarwati E.E.H.</t>
  </si>
  <si>
    <t xml:space="preserve">Setyawan, Doni (57431824200); Wardoyo, Retantyo (36057614100); Wibowo, Moh Edi (54975678100); Murhandarwati, E. Elsa Herdiana (17135727300)</t>
  </si>
  <si>
    <t xml:space="preserve">57431824200; 36057614100; 54975678100; 17135727300</t>
  </si>
  <si>
    <t xml:space="preserve">Classification of plasmodium falciparum based on textural and morphological features</t>
  </si>
  <si>
    <t xml:space="preserve">Malaria is a disease caused by plasmodium parasites transmitted through the bites of female anopheles-mosquito that infect the human red blood cell (RBC). The standard malaria diagnosis is based on manual examination of a thick and thin blood smear, which heavily depends on the microscopist experience. This study proposed a system that can identify the life stages of plasmodium falciparum in human RBC. The image preprocessing process was done by illumination correction using gray world assumption, contrast enhancement using shadow correction, extraction of saturation component, and noise filtering. The segmentation process was applied using Otsu thresholding and morphological operation. The test results showed that the use of artificial neural network (ANN) using a combination of texture and morphological features gives better results when compared to the use of only texture or morphology features. The results showed that the proposed feature achieved an accuracy of 82.67%, a sensitivity of 82.18%, and a specificity of 94.17%, thus improving decision-making for malaria diagnosis. © 2022 Institute of Advanced Engineering and Science. All rights reserved.</t>
  </si>
  <si>
    <t xml:space="preserve">10.11591/ijece.v12i5.pp5036-5048</t>
  </si>
  <si>
    <t xml:space="preserve">https://www.scopus.com/inward/record.uri?eid=2-s2.0-85135267910&amp;doi=10.11591%2fijece.v12i5.pp5036-5048&amp;partnerID=40&amp;md5=fa0e3374d253294462466f6c25f994c7</t>
  </si>
  <si>
    <t xml:space="preserve">Department of Computer Science and Electronics, Faculty of Mathematics and Natural Science, Universitas Gadjah Mada, Yogyakarta, Indonesia; Department of Parasitology, Faculty of Medicine, Public Health and Nursing, Universitas Gadjah Mada, Yogyakarta, Indonesia; Department of Informatics, Faculty of Computer Science, Universitas Widya Dharma, Klaten, Indonesia</t>
  </si>
  <si>
    <t xml:space="preserve">Setyawan D., Department of Computer Science and Electronics, Faculty of Mathematics and Natural Science, Universitas Gadjah Mada, Yogyakarta, Indonesia, Department of Informatics, Faculty of Computer Science, Universitas Widya Dharma, Klaten, Indonesia; Wardoyo R., Department of Computer Science and Electronics, Faculty of Mathematics and Natural Science, Universitas Gadjah Mada, Yogyakarta, Indonesia; Wibowo M.E., Department of Computer Science and Electronics, Faculty of Mathematics and Natural Science, Universitas Gadjah Mada, Yogyakarta, Indonesia; Murhandarwati E.E.H., Department of Parasitology, Faculty of Medicine, Public Health and Nursing, Universitas Gadjah Mada, Yogyakarta, Indonesia</t>
  </si>
  <si>
    <t xml:space="preserve">Hue, saturation, value color space; Morphological feature; Neural network; Plasmodium falciparum; Texture feature</t>
  </si>
  <si>
    <t xml:space="preserve">World malaria report 2019, (2019); Symptoms malaria; Poostchi M., Silamut K., Maude R. J., Jaeger S., Thoma G., Image analysis and machine learning for detecting malaria, Translational Research, 194, pp. 36-55, (2018); Jan Z., Khan A., Sajjad M., Muhammad K., Rho S., Mehmood I., A review on automated diagnosis of malaria parasite in microscopic blood smears images, Multimedia Tools and Applications, 77, 8, pp. 9801-9826, (2018); Blood specimens-microscopic examination; Mitiku K., Mengistu G., Gelaw B., The reliability of blood film examination for malaria at the peripheral health unit, Ethiopian Journal of Health Development, 17, 3, pp. 197-204, (2003); Mehrjou A., Abbasian T., Izadi M., Automatic malaria diagnosis system, 2013 First RSI/ISM International Conference on Robotics and Mechatronics (ICRoM), pp. 205-211, (2013); Mckenzie F. E., Sirichaisinthop J., Miller R. S., Robert J., Gasser A., Wongsrichanalai C., Dependence of malaria detection and species diagnosis by microscopy on parasite density, The American Journal of Tropical Medicine and Hygiene, 69, 4, pp. 372-376, (2003); Maysanjaya I. M. D., Nugroho H. A., Setiawan N. A., Murhandarwati E. E. H., Segmentation of Plasmodium vivax phase on digital microscopic images of thin blood films using colour channel combination and Otsu method, AIP Conference Proceedings, 1755, (2016); Aggarwal P., Khatter A., Vyas G., An intensity threshold based image segmentation of malaria infected cells, 2018 Second International Conference on Computing Methodologies and Communication (ICCMC), pp. 549-553, (2018); Nugroho H. A., Akbar S. A., Murhandarwati E. E. H., Feature extraction and classification for detection malaria parasites in thin blood smear, 2015 2nd International Conference on Information Technology, Computer, and Electrical Engineering (ICITACEE), pp. 197-201, (2015); Adi K., Pujiyanto S., Gernowo R., Pamungkas A., Putranto A. B., Identifying the developmental phase of plasmodium falciparum in malaria-infected red blood cells using adaptive color segmentation and back propagation neural network, International Journal of Applied Engineering Research, 11, 15, pp. 8754-8759, (2016); Nugroho H. A., Darojatun A., Ardiyanto I., Buana R. L. B., Classification of plasmodium malariae dan plasmodium ovale in microscopic thin blood smear digital images, International Journal on Advanced Science, Engineering and Information Technology, 8, 6, (2018); Nanoti A., Jain S., Gupta C., Vyas G., Detection of malaria parasite species and life cycle stages using microscopic images of thin blood smear, 2016 International Conference on Inventive Computation Technologies (ICICT), 1, pp. 1-6, (2016); Bairagi V. K., Charpe K. C., Comparison of texture features used for classification of life stages of malaria parasite, International Journal of Biomedical Imaging, 2016, pp. 1-9, (2016); Loddo A., Di Ruberto C., Kocher M., Prod'Hom G., MP-IDB: the malaria parasite image database for image processing and analysis, Lecture Notes in Computer Science (including subseries Lecture Notes in Artificial Intelligence and Lecture Notes in Bioinformatics), pp. 57-65, (2019); Public health image library, (2017); Das D. K., Ghosh M., Pal M., Maiti A. K., Chakraborty C., Machine learning approach for automated screening of malaria parasite using light microscopic images, Micron, 45, pp. 97-106, (2013); Das D. K., Maiti A. K., Chakraborty C., Automated system for characterization and classification of malaria-infected stages using light microscopic images of thin blood smears, Journal of Microscopy, 257, 3, pp. 238-252, (2015); Lam E. Y., Combining gray world and retinex theory for automatic white balance in digital photography, Proceedings of the Ninth International Symposium on Consumer Electronics (ISCE 2005), pp. 134-139, (2005); Albu F., Vertan C., Florea C., Drimbarean A., One scan shadow compensation and visual enhancement of color images, 2009 16th IEEE International Conference on Image Processing (ICIP), pp. 3133-3136, (2009); Jourlin M., Pinoli J. C., Logarithmic image processing: the mathematical and physical framework for the representation and processing of transmitted images, Advances in Imaging and Electron Physics, 115, C, pp. 129-196, (2001); Wang W., Zhang B., An improved visual enhancement method for color images, Fifth International Conference on Digital Image Processing (ICDIP 2013), 8878, (2013); Anggraini D., Nugroho A. S., Pratama C., Rozi I. E., Iskandar A. A., Hartono R. N., Automated status identification of microscopic images obtained from malaria thin blood smears, Proceedings of the 2011 International Conference on Electrical Engineering and Informatics, pp. 1-6, (2011); Devi S. S., Sheikh S. A., Talukdar A., Laskar R. H., Malaria infected erythrocyte classification based on the histogram features using microscopic images of thin blood smear, Indian Journal of Science and Technology, 9, 45, (2016); Devi S. S., Singha J., Sharma M., Laskar R. H., Erythrocyte segmentation for quantification in microscopic images of thin blood smears, Journal of Intelligent and Fuzzy Systems, 32, 4, pp. 2847-2856, (2017); Otsu N., A threshold selection method from gray-level histograms, IEEE Transactions on Systems, Man, and Cybernetics, 9, 1, pp. 62-66, (1979); Nugroho H. A., Wibawa M. S., Setiawan N. A., Murhandarwati E. E. H., Buana R. L. B., Identification of plasmodium falciparum and plasmodium vivax on digital image of thin blood films gf, Indonesian Journal of Electrical Engineering and Computer Science (IJEECS), 13, 3, pp. 933-944, (2019); Devi S. S., Laskar R. H., Sheikh S. A., Hybrid classifier based life cycle stages analysis for malaria-infected erythrocyte using thin blood smear images, Neural Computing and Applications, 29, 8, pp. 217-235, (2018); Fausett L., Fundamentals of neural network: architectures, algorithms, and applications, (1994); Huang G.-B., Learning capability and storage capacity of two-hidden-layer feedforward networks, IEEE Transactions on Neural Networks, 14, 2, pp. 274-281, (2003)</t>
  </si>
  <si>
    <t xml:space="preserve">R. Wardoyo; Department of Computer Sciences and Electronics, Universitas Gadjah Mada, Bulaksumur, North Sekip, Yogyakarta, Indonesia; email: rw@ugm.ac.id</t>
  </si>
  <si>
    <t xml:space="preserve">2-s2.0-85135267910</t>
  </si>
  <si>
    <t xml:space="preserve">Otambo W.O.; Onyango P.O.; Ochwedo K.; Olumeh J.; Onyango S.A.; Orondo P.; Atieli H.; Lee M.-C.; Wang C.; Zhong D.; Githeko A.; Zhou G.; Githure J.; Ouma C.; Yan G.; Kazura J.</t>
  </si>
  <si>
    <t xml:space="preserve">Otambo, Wilfred Ouma (57612101100); Onyango, Patrick O. (36629112100); Ochwedo, Kevin (57224988568); Olumeh, Julius (57377220300); Onyango, Shirley A. (56004445400); Orondo, Pauline (57376614600); Atieli, Harrysone (27067574900); Lee, Ming-Chieh (42861873000); Wang, Chloe (57613427300); Zhong, Daibin (7102032554); Githeko, Andrew (7004051379); Zhou, Guofa (7403685986); Githure, John (7005263111); Ouma, Collins (13007943200); Yan, Guiyun (7202089824); Kazura, James (7006841072)</t>
  </si>
  <si>
    <t xml:space="preserve">57612101100; 36629112100; 57224988568; 57377220300; 56004445400; 57376614600; 27067574900; 42861873000; 57613427300; 7102032554; 7004051379; 7403685986; 7005263111; 13007943200; 7202089824; 7006841072</t>
  </si>
  <si>
    <t xml:space="preserve">Clinical malaria incidence and health seeking pattern in geographically heterogeneous landscape of western Kenya</t>
  </si>
  <si>
    <t xml:space="preserve">Background: Malaria remains a public health problem in Kenya despite sustained interventions deployed by the government. One of the major impediments to effective malaria control is a lack of accurate diagnosis and effective treatment. This study was conducted to assess clinical malaria incidence and treatment seeking profiles of febrile cases in western Kenya. Methods: Active case detection of malaria was carried out in three eco-epidemiologically distinct zones topologically characterized as lakeshore, hillside, and highland plateau in Kisumu County, western Kenya, from March 2020 to March 2021. Community Health Volunteers (CHVs) conducted biweekly visits to residents in their households to interview and examine for febrile illness. A febrile case was defined as an individual having fever (axillary temperature ≥ 37.5 °C) during examination or complaints of fever and other nonspecific malaria related symptoms 1–2 days before examination. Prior to the biweekly malaria testing by the CHVs, the participants' treatment seeking methods were based on their behaviors in response to febrile illness. In suspected malaria cases, finger-prick blood samples were taken and tested for malaria parasites with ultra-sensitive Alere® malaria rapid diagnostic tests (RDT) and subjected to real-time polymerase chain reaction (RT-PCR) for quality control examination. Results: Of the total 5838 residents interviewed, 2205 residents had high temperature or reported febrile illness in the previous two days before the visit. Clinical malaria incidence (cases/1000people/month) was highest in the lakeshore zone (24.3), followed by the hillside (18.7) and the highland plateau zone (10.3). Clinical malaria incidence showed significant difference across gender (χ2 = 7.57; df = 2, p = 0.0227) and age group (χ2 = 58.34; df = 4, p &lt; 0.0001). Treatment seeking patterns of malaria febrile cases showed significant difference with doing nothing (48.7%) and purchasing antimalarials from drug shops (38.1%) being the most common health-seeking pattern among the 2205 febrile residents (χ2 = 21.875; df = 4, p &lt; 0.0001). Caregivers of 802 school-aged children aged 5–14 years with fever primarily sought treatment from drug shops (28.9%) and public hospitals (14.0%), with significant lower proportions of children receiving treatment from traditional medication (2.9%) and private hospital (4.4%) (p &lt; 0.0001). There was no significant difference in care givers' treatment seeking patterns for feverish children under the age of five (p = 0.086). Residents with clinical malaria cases in the lakeshore and hillside zones sought treatment primarily from public hospitals (61.9%, 60/97) traditional medication (51.1%, 23/45) respectively (p &lt; 0.0001). However, there was no significant difference in the treatment seeking patterns of highland plateau residents with clinical malaria (p = 0.431).The main factors associated with the decision to seek treatment were the travel distance to the health facility, the severity of the disease, confidence in the treatment, and affordability. Conclusion: Clinical malaria incidence remains highest in the Lakeshore (24.3cases/1000 people/month) despite high LLINs coverage (90%). The travel distance to the health facility, severity of disease and affordability were mainly associated with 80% of residents either self-medicating or doing nothing to alleviate their illness. The findings of this study suggest that the Ministry of Health should strengthen community case management of malaria by providing supportive supervision of community health volunteers to advocate for community awareness, early diagnosis, and treatment of malaria. © 2022, The Author(s).</t>
  </si>
  <si>
    <t xml:space="preserve">10.1186/s12879-022-07757-w</t>
  </si>
  <si>
    <t xml:space="preserve">https://www.scopus.com/inward/record.uri?eid=2-s2.0-85139131004&amp;doi=10.1186%2fs12879-022-07757-w&amp;partnerID=40&amp;md5=36c23e60b8a3e8726ef30bfe8905b9a2</t>
  </si>
  <si>
    <t xml:space="preserve">Department of Zoology, Maseno University, Kisumu, Kenya; International Centre of Excellence for Malaria Research, Tom Mboya University College-University of California Irvine Joint Lab, Homa Bay, Kenya; School of Natural and Environmental Science, Newcastle University, Newcastle Upon Tyne, United Kingdom; Program in Public Health, University of California Irvine, Irvine, CA, United States; Centre for Global Health Research, Kenya Medical Research Institute, Kisumu, Kenya; Department of Biomedical Sciences and Technology, Maseno University, Kisumu, Kenya; Department of Pathology, School of Medicine, Case Western Reserve University, Cleveland, OH, United States</t>
  </si>
  <si>
    <t xml:space="preserve">Otambo W.O., Department of Zoology, Maseno University, Kisumu, Kenya, International Centre of Excellence for Malaria Research, Tom Mboya University College-University of California Irvine Joint Lab, Homa Bay, Kenya; Onyango P.O., Department of Zoology, Maseno University, Kisumu, Kenya; Ochwedo K., International Centre of Excellence for Malaria Research, Tom Mboya University College-University of California Irvine Joint Lab, Homa Bay, Kenya; Olumeh J., School of Natural and Environmental Science, Newcastle University, Newcastle Upon Tyne, United Kingdom; Onyango S.A., International Centre of Excellence for Malaria Research, Tom Mboya University College-University of California Irvine Joint Lab, Homa Bay, Kenya; Orondo P., International Centre of Excellence for Malaria Research, Tom Mboya University College-University of California Irvine Joint Lab, Homa Bay, Kenya; Atieli H., International Centre of Excellence for Malaria Research, Tom Mboya University College-University of California Irvine Joint Lab, Homa Bay, Kenya; Lee M.-C., Program in Public Health, University of California Irvine, Irvine, CA, United States; Wang C., Program in Public Health, University of California Irvine, Irvine, CA, United States; Zhong D., Program in Public Health, University of California Irvine, Irvine, CA, United States; Githeko A., Centre for Global Health Research, Kenya Medical Research Institute, Kisumu, Kenya; Zhou G., Program in Public Health, University of California Irvine, Irvine, CA, United States; Githure J., International Centre of Excellence for Malaria Research, Tom Mboya University College-University of California Irvine Joint Lab, Homa Bay, Kenya; Ouma C., Department of Biomedical Sciences and Technology, Maseno University, Kisumu, Kenya; Yan G., Program in Public Health, University of California Irvine, Irvine, CA, United States; Kazura J., Department of Pathology, School of Medicine, Case Western Reserve University, Cleveland, OH, United States</t>
  </si>
  <si>
    <t xml:space="preserve">Active case detection; Health seeking behavior; Kenya; Malaria incidence; Self-medication; Traditional medication; Ultrasensitive RDT</t>
  </si>
  <si>
    <t xml:space="preserve">Antimalarials; Child; Fever; Humans; Incidence; Infant, Newborn; Kenya; Malaria; antimalarial agent; antimalarial agent; adolescent; adult; Article; artificial neural network; awareness; blood sampling; caregiver; case management; child; DNA extraction; early diagnosis; female; fever; health care facility; high temperature; human; incidence; interview; Kenya; malaria; malaria control; male; Plasmodium; private hospital; public health; public hospital; quality control; questionnaire; real time polymerase chain reaction; resident; self medication; temperature; traditional medicine; fever; incidence; malaria; newborn</t>
  </si>
  <si>
    <t xml:space="preserve">QuantStudio</t>
  </si>
  <si>
    <t xml:space="preserve">National Institutes of Health, NIH, (U19 AI129326); Fogarty International Center, FIC, (D43TW001505)</t>
  </si>
  <si>
    <t xml:space="preserve">This research is supported by grants from the National Institutes of Health (U19 AI129326 and D43 TW001505). </t>
  </si>
  <si>
    <t xml:space="preserve">The Kenya Malaria Communication Strategy, (2016); Nairobi, Kenya, and Rockville, Maryland, USA: NMCP, KNBS, and ICF International, (2015); Githinji S., Oyando R., Malinga J., Ejersa W., Soti D., Rono J., Et al., Completeness of malaria indicator data reporting via the District Health Information Software 2 in Kenya, 2011–2015, Malar J, 16, (2017); Maina J.K., Macharia P.M., Ouma P.O., Coverage of routine reporting on malaria parasitological testing in Kenya, 2015–2016, Glob Health Action, 10, (2017); Carlucci J.G., Blevins Peratikos M., Cherry C.B., Lopez M.L., Green A.F., Gonzalez-Calvo L., Et al., Prevalence and determinants of malaria among children in Zambézia Province, Mozambique, Malar J, 16, pp. 1-13, (2017); Guidelines for Malaria Vector Control [Internet], World Health Organization, (2019); Guerra M., De S.B., Mabale N.N., Berzosa P., Arez A.P., Malaria determining risk factors at the household level in two rural villages of mainland Equatorial Guinea, Malar J, 17, (2018); Bannister-Tyrrell M., Srun S., Sluydts V., Gryseels C., Mean V., Kim S., Et al., Importance of household-level risk factors in explaining micro- epidemiology of asymptomatic malaria infections in Ratanakiri Province, Cambodia. Sci Rep., pp. 1-15, (2018); Kwenti T.E., TayongDizzleBitaKwenti A.L., Njunda L.A., Nkuo-Akenji T., Epidemiological and clinical profile of paediatric malaria: a cross sectional study performed on febrile children in five epidemiological strata of malaria in Cameroon, BMC Infect Dis, 17, pp. 1-13, (2017); Hajison P.L., Feresu S.A., Mwakikunga B.W., Malaria in children under-five: a comparison of risk factors in lakeshore and highland areas, Zomba district, Malawi, PLoS ONE, 13, (2018); Cohee L., Laufer M., Tackling malaria transmission in sub-Saharan Africa, Lancet Glob Heal, 6, pp. e598-e599, (2018); Mwakalinga V.M., Sartorius B.K.D., Limwagu A.J., Mlacha Y.P., Msellemu D.F., Chaki P.P., Et al., Topographic mapping of the interfaces between human and aquatic mosquito habitats to enable barrier targeting of interventions against malaria vectors, R Soc Open Sci, 5, (2018); National Guidelines for the diagnosis, Treatment and Prevention of Malaria in Kenya, (2016); President’s Malaria Initiative, Kenya Malaria Operational Plan FY 2022 [Internet], (2022); Dave-agboola I.O., Raji J., Health-Seeking Behaviour of Malaria Patients in Lagos, Nigeria, Int J Heal Sci Res, 8, pp. 259-264, (2018); Otambo W.O., Omondi C.J., Ochwedo K.O., Onyango O., Atieli H., Ming-chiehLee C.W., Et al., Risk associations of submicroscopic malaria infection in lakeshore, plateau and highland areas of Kisumu County in western Kenya, PLoS ONE, 17, (2022); Manya M.H., Keymeulen F., Ngezahayo J., Bakari A.S., Kalonda M.E., Kahumba B.J., Et al., Antimalarial herbal remedies of Bukavu and Uvira areas in DR Congo: an ethnobotanical survey, J Ethnopharmacol, 249, (2020); Traore M., Balde M., Diallo M., Balde E., Camara A., Et al., Ethnobotanical survey on medicinal plants used by Guinean traditional healers in the treatment of malaria, J Ethnopharmacol., 150, (2013); Gathwira J.W., Rukunga G.M., Mwitari P.G., Mwikwabe M.N., Kimani C.W., Muthaura C.N., Et al., Traditional herbal antimalarial therapy in Kilifi district, Kenya, J Ethnopharmacol, 134, pp. 434-442, (2010); Karyana M., Devine A., Kenangalem E., Burdarm L., Poespoprodjo J.R., Vemuri R., Et al., Treatment—seeking behaviour and associated costs for malaria in Papua, Indonesia, Malar J, 15, (2016); Kisumu County Integrated Development Plan, 2018-2022, Internet, (2018); Ministry of Health K. Interim guidelines on management of COVID-19 in Kenya, Repub Kenya, pp. 1-76, (2020); WHO informal consultation on fever management in peripheral health care settings: A global review of evidence and practice [Internet], Vol, (2013); Plowe C.V., Djimde A., Bouare M., Doumbo O., Wellems T.E., Pyrimethamine and proguanil resistance-conferring mutations in Plasmodium falciparum dihydrofolate reductase: polymerase chain reaction methods for surveillance in Africa, Am J Trop Med Hyg, 52, pp. 565-568, (1995); Veron V., Stephane S., Bernard C., Experimental parasitology multiplex real-time PCR detection of P. falciparum, P. vivax and P. malariae in human blood samples, Exp Parasitol., 121, pp. 346-351, (2009); Matsushita N., Kim Y., Ng C.F.S., Moriyama M., Igarashi T., Yamamoto K., Et al., Differences of rainfall-Malaria associations in lowland and highland in Western Kenya, Int J Environ Res Public Health, 16, (2019); Amek N., Bayoh N., Hamel M., Lindblade K.A., Gimnig J.E., Odhiambo F., Et al., Spatial and temporal dynamics of malaria transmission in rural Western Kenya, Parasit Vectors, 5, (2012); Matsushita N., Kim Y., Ng C.F.S., Moriyama M., Igarashi T., Yamamoto K., Et al., Differences of rainfall–malaria associations in lowland and highland in western Kenya, Int J Environ Res Public Health, 16, (2019); Dellicour S., Hill J., Bruce J., Ouma P., Marwanga D., Otieno P., Et al., Effectiveness of the delivery of interventions to prevent malaria in pregnancy in Kenya, Malar J, 15, pp. 1-13, (2016); Ng'ang'a P.N., Aduogo P., Mutero C.M., Long lasting insecticidal mosquito nets (LLINs) ownership, use and coverage following mass distribution campaign in Lake Victoria basin, Western Kenya, BMC Public Health, 21, (2021); Kapesa A., Kweka E.J., Zhou G., Atieli H.E., Kamugisha E., Mazigo H.D., Et al., Utility of passive malaria surveillance in hospitals as a surrogate to community infection transmission dynamics in western Kenya, Arch Public Heal, 76, pp. 1-11, (2018); Ochwedo K.O., Omondi C.J., Magomere E.O., Olumeh J.O., Debrah I., Onyango S.A., Et al., Hyper-prevalence of submicroscopic Plasmodium falciparum infections in a rural area of western Kenya with declining malaria cases, Malar J, 20, (2021); Diiro G.M., Affognon H.D., Muriithi B.W., Wanja S.K., Mbogo C., Mutero C., The role of gender on malaria preventive behaviour among rural households in Kenya, Malar J, 15, (2016); Jenkins R., Omollo R., Ongecha M., Sifuna P., Othieno C., Ongeri L., Et al., Prevalence of malaria parasites in adults and its determinants in malaria endemic area of Kisumu County, Kenya, Malar J, 14, (2015); Franckel A., Lalou R., Health-seeking behaviour for childhood malaria: household dynamics in rural Senegal, J Biosoc Sci, 41, pp. 1-19, (2009); Budu E., Seidu A.A., Armah-Ansah E.K., Sambah F., Baatiema L., Ahinkorah B.O., Women’s autonomy in healthcare decisionmaking and healthcare seeking behaviour for childhood illness in Ghana: analysis of data from the 2014 Ghana Demographic and Health Survey, PLoS ONE, 15, (2020); Kamau A., Nyaga V., Bauni E., Tsofa B., Noor A.M., Bejon P., Et al., Trends in bednet ownership and usage, and the effect of bednets on malaria hospitalization in the Kilifi Health and Demographic Surveillance System (KHDSS): 2008–2015, BMC Infect Dis, 17, (2017); Minakawa N., Kongere J.O., Sonye G.O., Lutiali P.A., Awuor B., Kawada H., Et al., Long-lasting insecticidal nets incorporating piperonyl butoxide reduce the risk of malaria in children in Western Kenya: a cluster randomized controlled trial, Am J Trop Med Hyg, 105, pp. 461-471, (2021); Abossie A., Yohanes T., Nedu A., Tafesse W., Damitie M., Prevalence of malaria and associated risk factors among febrile children under five years: a cross-sectional study in arba minch zuria district, south Ethiopia, Infect Drug Resist, 13, pp. 363-372, (2020); Maketa V., Mavoko H.M., Inocencio R., Zanga J., Lubiba J., Kalonji A., Et al., The relationship between Plasmodium infection, anaemia and nutritional status in asymptomatic children aged under five years living in stable transmission zones in Kinshasa, Democratic Republic of Congo, Malar J, 14, (2015); Roberts D., Matthews G., Risk factors of malaria in children under the age of five years old in Uganda, Malar J, 15, (2016); Agwu E., Ihongbe J.C., Okogun G.R.A., Inyang N.J., High incidence of co-infection with malaria and typhoid in febrile HIV infected and AIDS patients in Ekpoma, Edo State, Nigeria Brazilian, J Microbiol, 40, pp. 329-332, (2009); Heng S., Durnez L., Mao S., Siv S., Tho S., Mean V., Et al., Passive case detection of malaria in Ratanakiri Province (Cambodia) to detect villages at higher risk for malaria, Malar J, 16, pp. 1-11, (2017); Ajayi I.O., Ajumobi O.O., Falade C., Malaria and COVID-19: commonalities, intersections and implications for sustaining malaria control, Pan Afr Med J, 37, pp. 1-10, (2020); Weiss D.J., Bertozzi-villa A., Rumisha S.F., Amratia P., Arambepola R., Battle K.E., Et al., Indirect effects of the COVID-19 pandemic on malaria intervention coverage, morbidity, and mortality in Africa: a geospatial modelling analysis, Lancet Infect Dis, 21, pp. 59-69, (2021); Heuschen A.K., Lu G., Razum O., Mumin A.A., Sankoh O., Von S.L., Et al., Public health—relevant consequences of the COVID-19 pandemic on malaria in sub-Saharan Africa: a scoping review, Malar J, 20, (2021); Maryland, USA: DNMP and ICF, (2021); Reichert E.N., Hume J.C.C., Sagara I., Healy S.A., Assadou M.H., Guindo M.A., Et al., Ultra-sensitive RDT performance and antigen dynamics in a high-transmission Plasmodium falciparum setting in Mali, Malar J, 19, (2020); Danwang C., Kirakoya-Samadoulougou F., Samadoulougou S., Assessing field performance of ultrasensitive rapid diagnostic tests for malaria: a systematic review and meta-analysis, Malar J, 20, (2021); Acquah F.K., Donu D., Obboh E.K., Bredu D., Mawuli B., Amponsah J.A., Et al., Diagnostic performance of an ultrasensitive HRP2-based malaria rapid diagnostic test kit used in surveys of afebrile people living in Southern Ghana, Malar J, 20, (2021)</t>
  </si>
  <si>
    <t xml:space="preserve">W.O. Otambo; Department of Zoology, Maseno University, Kisumu, Kenya; email: oumaotambo@gmail.com</t>
  </si>
  <si>
    <t xml:space="preserve">2-s2.0-85139131004</t>
  </si>
  <si>
    <t xml:space="preserve">Turuk M.; Sreemathy R.; Kadiyala S.; Kotecha S.; Kulkarni V.</t>
  </si>
  <si>
    <t xml:space="preserve">Turuk, Mousami (57136780300); Sreemathy, R. (53064437800); Kadiyala, Sadhvika (57889441100); Kotecha, Sakshi (57889845600); Kulkarni, Vaishnavi (57563299900)</t>
  </si>
  <si>
    <t xml:space="preserve">57136780300; 53064437800; 57889441100; 57889845600; 57563299900</t>
  </si>
  <si>
    <t xml:space="preserve">CNN Based Deep Learning Approach for Automatic Malaria Parasite Detection</t>
  </si>
  <si>
    <t xml:space="preserve">Malaria is a deadly disease spread by the bite of a female anopheles mosquito infected by the plasmodium parasite. Despite thorough research in the medical field, the pervasiveness of this deadly disease is increasing globally. More than 1.5 billion cases have been averted in the last two decades, with 7.6 million deaths. The traditional microscopic method of detecting whether a person is infected or not is time-consuming. Its accuracy depends on smear quality and individual expertise in counting and classifying parasitized and uninfected cells. Computer-aided diagnostic methods based on image processing and Machine learning (ML) use hand-generated features and need expertise in texture, morphological aspects, and analysis of a region of interest. Convolution Neural Network (CNN) based methods are superior to the traditional ML-based approach. They are highly scalable and give the best results with end-to-end feature extraction and classification. Hence, this research intends to design and develop a reliable framework for automatic malaria parasite detection using Deep learning (DL), which could serve as the best effective aid. This research paper evaluates the performance of pre-trained CNN-based DL models like AlexNet, ResNet50, and VGG19 as feature extractors for analyzing infected and non-infected cells. Statistical results show pre-trained CNN models serve as the best feature extractor tool for this purpose. Features extracted using VGG19 are proven to be more efficient than the ResNet50 and AlexNet to detect the presence of malaria parasites with a training accuracy of 95.28% and a testing accuracy of 93.89%. This transfer learning and CNN model are integrated further with a web application for accurate and automatic malaria parasite detection. © 2022, IAENG International Journal of Computer Science. All Rights Reserved.</t>
  </si>
  <si>
    <t xml:space="preserve">IAENG International Journal of Computer Science</t>
  </si>
  <si>
    <t xml:space="preserve">International Association of Engineers</t>
  </si>
  <si>
    <t xml:space="preserve">IJCS_49_3_14</t>
  </si>
  <si>
    <t xml:space="preserve">https://www.scopus.com/inward/record.uri?eid=2-s2.0-85138002278&amp;partnerID=40&amp;md5=e7c21bc39861e2871c0d2eefff0cc4ab</t>
  </si>
  <si>
    <t xml:space="preserve">Department of Electronics &amp; Tele Communication Engineering, Pune Institute of Computer Technology, Pune, India</t>
  </si>
  <si>
    <t xml:space="preserve">Turuk M., Department of Electronics &amp; Tele Communication Engineering, Pune Institute of Computer Technology, Pune, India; Sreemathy R., Department of Electronics &amp; Tele Communication Engineering, Pune Institute of Computer Technology, Pune, India; Kadiyala S., Department of Electronics &amp; Tele Communication Engineering, Pune Institute of Computer Technology, Pune, India; Kotecha S., Department of Electronics &amp; Tele Communication Engineering, Pune Institute of Computer Technology, Pune, India; Kulkarni V., Department of Electronics &amp; Tele Communication Engineering, Pune Institute of Computer Technology, Pune, India</t>
  </si>
  <si>
    <t xml:space="preserve">Deep learning; Malaria parasite detection; Transfer learning</t>
  </si>
  <si>
    <t xml:space="preserve">Computer aided analysis; Computer aided diagnosis; Computer aided instruction; Deep learning; Diseases; Feature extraction; Image segmentation; Textures; Convolution neural network; Deep learning; Feature extractor; Learning approach; Machine-learning; Malaria parasite; Malaria parasite detection; Network-based; Neural network model; Transfer learning; Neural network models</t>
  </si>
  <si>
    <t xml:space="preserve">World Malaria Report, (2020); Cox-Singh Janet, Et al., Plasmodium knowlesi malaria in humans is widely distributed and potentially life threatening, Clinical infectious diseases, 46, 2, pp. 165-171, (2008); Mehrjou Arash, Abbasian Tooraj, Izadi Morteza, Automatic malaria diagnosis system, 2013 First RSI/ISM International Conference on Robotics and Mechatronics (ICRoM), pp. 205-211, (2013); McKENZIE F. ELLIS, Et al., Dependence of malaria detection and species diagnosis by microscopy on parasite density, The American journal of tropical medicine and hygiene, 69, 4, (2003); Roy Kishor, Et al., Detection of malaria parasite in giemsa blood sample using image processing, AIRCC's International Journal of Computer Science and Information Technology, 10, 1, pp. 55-65, (2018); Suryawanshi S., Dixit V. V., Comparative study of Malaria parasite detection using euclidean distance classifier &amp; SVM, International Journal of Advanced Research in Computer Engineering &amp; Technology (IJARCET), 2, 11, pp. 2994-2997, (2013); Saiprasath G., Et al., Performance comparison of machine learning algorithms for malaria detection using microscopic images, IJRAR19RP014 Int. J. Res. Anal. Rev. (IJRAR), 6, 1, pp. 86-90, (2019); Vijayalakshmi A., Deep learning approach to detect malaria from microscopic images, Multimedia Tools and Applications, 79, 21, pp. 15297-15317, (2020); Rajaraman Sivaramakrishnan, Et al., Pre-trained convolutional neural networks as feature extractors toward improved malaria parasite detection in thin blood smear images, PeerJ, 6, (2018); Nakasi Rose, Et al., A new approach for microscopic diagnosis of malaria parasites in thick blood smears using pre-trained deep learning models, SN Applied Sciences, 2, 7, pp. 1-7, (2020); Masud Mehedi, Et al., Leveraging deep learning techniques for malaria parasite detection using mobile application, Wireless Communications and Mobile Computing, 2020, pp. 1-15, (2020); Kalkan Soner Can, Sahingoz Ozgur Koray, Deep learning-based classification of malaria from slide images, 2019 scientific meeting on electrical-electronics &amp; biomedical engineering and computer science (EBBT), pp. 1-4, (2019); Dong Yuhang, Et al., Evaluations of deep convolutional neural networks for automatic identification of malaria infected cells, 2017 IEEE EMBS international conference on biomedical &amp; health informatics (BHI), (2017); Liang Zhaohui, Et al., CNN-based image analysis for malaria diagnosis, 2016 IEEE international conference on bioinformatics and biomedicine (BIBM). IEEE, pp. 101-104, (2016); Das Dev Kumar, Et al., Machine learning approach for automated screening of malaria parasite using light microscopic images, Micron, 45, pp. 97-106, (2013); Yang Feng, Et al., Malaria Thick Blood Smears, Web, (2018); Yang Feng, Et al., Deep learning for smartphone-based malaria parasite detection in thick blood smears, IEEE journal of biomedical and health informatics, 24, 5, pp. 1427-1438, (2019); Poostchi Mahdieh, Et al., Image analysis and machine learning for detecting malaria, Translational Research, 194, pp. 36-55, (2018); Simonyan Karen, Zisserman Andrew, Very deep convolutional networks for large-scale image recognition, (2014); Krizhevsky Alex, Sutskever Ilya, Hinton Geoffrey E., Imagenet classification with deep convolutional neural networks, Advances in neural information processing systems, 25, pp. 84-90, (2012); He Kaiming, Et al., Deep residual learning for image recognition, Proceedings of the IEEE conference on computer vision and pattern recognition, pp. 770-778, (2016); Cortes Corinna, Vapnik Vladimir, Support-vector networks, Machine learning, 20, 3, pp. 273-297, (1995); Fuhad K. M., Et al., Deep learning based automatic malaria parasite detection from blood smear and its smartphone-based application, Diagnostics, 10, 5, (2020); Zongo P., Dorville R., Gouba E., Method for identifying spatial reservoirs of malaria infection and control strategies, IAENG International Journal of Applied Mathematics, 48, 1, pp. 33-39, (2018)</t>
  </si>
  <si>
    <t xml:space="preserve">M. Turuk; Department of Electronics &amp; Tele Communication Engineering, Pune Institute of Computer Technology, Pune, India; email: mpturuk@pict.edu</t>
  </si>
  <si>
    <t xml:space="preserve">1819656X</t>
  </si>
  <si>
    <t xml:space="preserve">IAENG Int. J. Comput. Sci.</t>
  </si>
  <si>
    <t xml:space="preserve">2-s2.0-85138002278</t>
  </si>
  <si>
    <t xml:space="preserve">Lopez A.R.; Ghansah A.; Nyamordey C.; Brown C.A.</t>
  </si>
  <si>
    <t xml:space="preserve">Lopez, Aquel R. (58484593800); Ghansah, Anita (15839433100); Nyamordey, Christiana (58484035200); Brown, Charles A. (55364131300)</t>
  </si>
  <si>
    <t xml:space="preserve">58484593800; 15839433100; 58484035200; 55364131300</t>
  </si>
  <si>
    <t xml:space="preserve">Comparison of clinical, microscopic, and rapid diagnostic test methods in the diagnosis of Plasmodium falciparum malaria in four districts in the Eastern Region, Ghana</t>
  </si>
  <si>
    <t xml:space="preserve">Background: The WHO recommends all suspected malaria cases to be confirmed by laboratory diagnosis (microscopy or rapid diagnostic test (RDT)), wherever possible, before the commencement of antimalarial treatment. In deprived settings, getting laboratory confirmation can be challenging and treatment may be based on a presumptive clinical diagnosis of malaria. However, the accuracy of clinical diagnosis is variable, and a universal predictive clinical algorithm is nonexistent. Objective: This study aimed to compare the use of clinical, microscopic and RDT methods in the diagnosis of Plasmodium falciparum malaria in four districts in the Eastern Region of Ghana. Methods: Patients initially seen and clinically diagnosed with malaria by a physician and referred for laboratory confirmation (microscopy and RDT) were recruited. Each patient provided a blood sample for malaria parasite detection. Microscopy was considered the diagnostic “gold standard”. The performance analysis included sensitivity, specificity, receiver operating characteristics (ROC), kappa and Youden index. Results: In all 500 patients were recruited (33.2% males; mean age = 29.6 ± 20.3 years). Seventeen symptoms were reported — fever (84.4%), headache (64.2%) and chills (54.4%) were the highest. Hyperpyrexia (62.8%) and splenomegaly (38.8%) were the highest of the 6 vital signs recorded. Only Plasmodium falciparum parasites were identified by both microscopy and RDT. Prevalence values of 96.8%, 90.8%, and 43.0% were obtained for microscopy, RDT and clinical diagnosis, respectively (p &lt; 0.05). Mean parasite density by microscopy was 16229.4 ± 10533.6 parasites/mL. Using microscopy as the gold standard, RDT reported a higher sensitivity (91.3%) compared to clinical diagnosis (43.6%), but a lower specificity (25.0% against 80.0%). Both RDT and clinical diagnosis had low negative predictive values, 8.7% and 4.2% respectively, against microscopy. There was poor consensus (kappa &lt; 0.20) between all three diagnostic approaches. Conclusion: All clinically diagnosed malaria cases should be confirmed with a laboratory test, preferably microscopy before antimalarial treatment starts. © 2022 University of Ghana College of Health Sciences on behalf of HSI Journal. All rights reserved.</t>
  </si>
  <si>
    <t xml:space="preserve">Health Sciences Investigations Journal</t>
  </si>
  <si>
    <t xml:space="preserve">University of Ghana College of Health Sciences</t>
  </si>
  <si>
    <t xml:space="preserve">10.46829/hsijournal.2022.6.3.1.320-326</t>
  </si>
  <si>
    <t xml:space="preserve">https://www.scopus.com/inward/record.uri?eid=2-s2.0-85164594052&amp;doi=10.46829%2fhsijournal.2022.6.3.1.320-326&amp;partnerID=40&amp;md5=79532eb59969213d0a7675183e17fd2c</t>
  </si>
  <si>
    <t xml:space="preserve">Tetteh Quarshie Memorial Hospital, Mampong, Ghana; Department of Parasitology, Noguchi Memorial Institute for Medical Research, College of Health Sciences, University of Ghana, Accra, Ghana; Department of Medical Laboratory Sciences, School of Biomedical and Allied Health Sciences, College of Health Sciences, University of Ghana, Legon, Ghana</t>
  </si>
  <si>
    <t xml:space="preserve">Lopez A.R., Tetteh Quarshie Memorial Hospital, Mampong, Ghana; Ghansah A., Department of Parasitology, Noguchi Memorial Institute for Medical Research, College of Health Sciences, University of Ghana, Accra, Ghana; Nyamordey C., Department of Medical Laboratory Sciences, School of Biomedical and Allied Health Sciences, College of Health Sciences, University of Ghana, Legon, Ghana; Brown C.A., Department of Medical Laboratory Sciences, School of Biomedical and Allied Health Sciences, College of Health Sciences, University of Ghana, Legon, Ghana</t>
  </si>
  <si>
    <t xml:space="preserve">clinical diagnosis; Ghana; Malaria; microscopy; rapid diagnostic test</t>
  </si>
  <si>
    <t xml:space="preserve">World malaria report 2019, (2019); Abdul-Aziz AR, Harris E, Munyakazi L, Risk Factors in Malaria Mortality Among Children in Northern Ghana: a Case Study At the Tamale Teaching Hospital, Int J Bus Soc Res, 2, pp. 35-45, (2012); Nonvignon J, Aryeetey GC, Malm KL, Agyemang SA, Aubyn VNA, Peprah NY, Bart-Plange CN, Aikins M, Economic burden of malaria on businesses in Ghana: A case for private sector investment in malaria control, Malar J, 15, (2016); Andrade BB, Reis-Filho A, Barros AM, Souza-Neto SM, Nogueira LL, Fukutani KF, Camargo EP, Camargo LM, Barral A, Duarte N, Barral-Netto M, Towards a precise test for malaria diagnosis in the Brazilian Amazon: Comparison among field microscopy, a rapid diagnostic test, nested PCR, and a computational expert system based on artificial neural networks, Malar J, 9, (2010); Uzochukwu BSC, Obikeze EN, Onwujekwe OE, Onoka CA, Griffiths UK, Cost-effectiveness analysis of rapid diagnostic test, microscopy, and syndromic approach in the diagnosis of malaria in Nigeria: Implications for scaling-up deployment of ACT, Malar J, 8, (2009); Wongsrichanalai C, Barcus MJ, Muth S, Sutamihardja A, Wernsdorfer WH, A review of malaria diagnostic tools: Microscopy and rapid diagnostic test (RDT), Am J Trop Med Hyg, 77, pp. 119-127, (2007); Rafael ME, Taylor T, Magill A, Lim YW, Girosi F, Allan R, Reducing the burden of childhood malaria in Africa: the role of improved, Nature, 444, pp. 39-48, (2006); Global Health, Division of Parasitic Diseases and Malaria; Tangpukdee N, Duangdee C, Wilairatana P, Krudsood S, Malaria diagnosis: A brief review, Korean J. Parasitol, 47, pp. 93-102, (2009); van Duijn SMC, Siteyi AK, Smith S, Milimo E, Stijvers L, Oguttu M, Amollo MO, Okeyo EO, Dayo L, Kwambai T, Onyango D, Rinke de Wit TF, Connected diagnostics to improve accurate diagnosis, treatment, and conditional payment of malaria services in Kenya, BMC Med Inform Decis Mak, 21, (2021); Mwangi TW, Ross A, Snow RW, Marsh K, Case definitions of clinical malaria under different transmission conditions in Kilifi District, Kenya, J Infect Dis, 191, pp. 1932-1939, (2005); Lee YW, Choi JW, Shin EH, Machine learning model for predicting malaria using clinical information, Comput Biol Med, 129, (2021); Bria YP, Yeh CH, Bedingfield S, Significant symptoms and nonsymptom-related factors for malaria diagnosis in endemic regions of Indonesia, Int J Infect Dis, 103, pp. 194-200, (2021); Ghana National Malaria Control Programme Annual Report, (2015); FY 2020 Ghana Malaria Operational Plan, (2020); Ghana Malaria Indicator Survey 2019 Final Report, (2020); A repository of all Local Assemblies in Ghana; Ojurongbe O, Adegbosin OO, Taiwo SS, Alli OAT, Olowe OA, Ojurongbe TA, Bolaji OS, Adeyeba OA, Assessment of clinical diagnosis, microscopy, rapid diagnostic tests, and polymerase chain reaction in the diagnosis of Plasmodium falciparum in Nigeria, Malar Res Treat, 2013, (2013); Trevethan R, Sensitivity, Specificity, and Predictive Values: Foundations, Pliabilities, and Pitfalls in Research and Practice, Front Public Heal, 5, (2017); Attu H, Adjei JK, Local knowledge and practices towards malaria in an irrigated farming community in Ghana, Malar J, 17, (2018); Tetteh-Quarcoo PB, Dayie NTKD, Adutwum-Ofosu KK, Ahenkorah J, Afutu E, Amponsah SK, Abdul-Rahman M, Kretchy JP, Ocloo JY, Nii-Trebi NI, Yalley AK, Hagan OCK, Niriwa BP, Aghasili CC, Kotey FCN, Donkor ES, Ayeh-Kumi PF, Udofia EA, Unravelling the perspectives of day and night traders in selected markets within a sub-saharan african city with a malaria knowledge, attitude and practice survey, Int J Environ Res Public Health, 18, (2021); World Malaria Report 2020, (2013); Osei-Yeboah J, Kwame Norgbe G, Yao Lokpo S, Khadijah Kinansua M, Nettey L, Allotey EA, Comparative Performance Evaluation of Routine Malaria Diagnosis at Ho Municipal Hospital, J Parasitol Res, 2016, (2016); Wogu MN, Nduka FO, Evaluating Malaria Prevalence Using Clinical Diagnosis Compared with Microscopy and Rapid Diagnostic Tests in a Tertiary Healthcare Facility in Rivers State, Nigeria, J Trop Med, 2018, (2018); Amexo M, Tolhurst R, Barnish G, Bates I, Malaria misdiagnosis: Effects on the poor and vulnerable, Lancet, 364, pp. 1896-1898, (2004); Batwala V, Magnussen P, Nuwaha F, Are rapid diagnostic tests more accurate in diagnosis of plasmodium falciparum malaria compared to microscopy at rural health centres?, Malar J, 9, (2010); Bisoffi Z, Sirima SB, Menten J, Pattaro C, Angheben A, Gobbi F, Tinto H, Lodesani C, Neya B, Gobbo M, Van Den Ende J, Accuracy of a rapid diagnostic test on the diagnosis of malaria infection and of malaria-Attributable fever during low and high transmission season in Burkina Faso, Malar J, 9, (2010); Anagu OL, Ikegbunam MN, Unachukwu CK, Uchenna C O, Esimone CO, Comparison of Microscopic Determination and Rapid Diagnostic Tests (RDTs) in the Detection of Plasmodium Infection, Adv Microbiol, pp. 604-609, (2015); McMorrow ML, Masanja MI, Abdulla SMK, Kahigwa E, Kachur SP, Challenges in routine implementation and quality control of rapid diagnostic tests for malaria-Rufiji District, Tanzania, Am J Trop Med Hyg, 79, pp. 385-390, (2008); Murray CK, Gasser RA, Magill AJ, Miller RS, Update on rapid diagnostic testing for malaria, Clin. Microbiol. Rev, 21, pp. 97-110, (2008); Endeshaw T, Gebre T, Ngondi J, Graves PM, Shargie EB, Ejigsemahu Y, Ayele B, Yohannes G, Teferi T, Messele A, Zerihun M, Genet A, Mosher AW, Emerson PM, Richards FO, Evaluation of light microscopy and rapid diagnostic test for the detection of malaria under operational field conditions: A household survey in Ethiopia, Malar J, 7, (2008); Abdallah JF, Okoth SA, Fontecha GA, Mejia Torres RE, Banegas EI, Matute ML, Bucheli STM, Goldman IF, De Oliveira AM, Barnwell JW, Udhayakumar V, Prevalence of pfhrp2 and pfhrp3 gene deletions in Puerto Lempira, Honduras, Malar J, 14, (2015); Amoah LE, Abankwa J, Oppong A, Plasmodium falciparum histidine rich protein-2 diversity and the implications for PfHRP 2: Based malaria rapid diagnostic tests in Ghana, Malar J, 15, (2016); Atroosh WM, Al-Mekhlafi HM, Al-Jasari A, Sady H, Al-Delaimy AK, Nasr NA, Dawaki S, Abdulsalam AM, Ithoi I, Lau YL, Fong MY, Surin J, Genetic variation of pfhrp2 in Plasmodium falciparum isolates from Yemen and the performance of HRP2-based malaria rapid diagnostic test, Parasites and Vectors, 8, (2015); Kozycki CT, Umulisa N, Rulisa S, Mwikarago EI, Musabyimana JP, Habimana JP, Karema C, Krogstad DJ, False-negative malaria rapid diagnostic tests in Rwanda: impact of Plasmodium falciparum isolates lacking hrp2 and declining malaria transmission, Malar J, 16, (2017); Mouatcho JC, Dean Goldring JP, Malaria rapid diagnostic tests: Challenges and prospects, J. Med. Microbiol, 62, pp. 1491-1505, (2013); Ali IM, Bigoga JD, Forsah DA, Cho-Ngwa F, Tchinda V, Moor VA, Fogako J, Nyongalema P, Nkoa T, Same-Ekobo A, Mbede J, Fondjo E, Mbacham WF, Leke RGF, Field evaluation of the 22 rapid diagnostic tests for community management of malaria with artemisinin combination therapy in Cameroon, Malar J, 15, (2016); Ansah EK, Narh-Bana S, Epokor M, Akanpigbiam S, Quartey AA, Gyapong J, Whitty CJM, Rapid testing for malaria in settings where microscopy is available and peripheral clinics where only presumptive treatment is available: A randomised controlled trial in Ghana, BMJ, 340, (2010)</t>
  </si>
  <si>
    <t xml:space="preserve">C.A. Brown; Department of Medical Laboratory Sciences, School of Biomedical and Allied Health Sciences, College of Health Sciences, University of Ghana, Legon, Ghana; email: cabrown@chs.edu.gh</t>
  </si>
  <si>
    <t xml:space="preserve">Health. Sci. Investig. J.</t>
  </si>
  <si>
    <t xml:space="preserve">2-s2.0-85164594052</t>
  </si>
  <si>
    <t xml:space="preserve">Stefan C.P.; Hall A.T.; Graham A.S.; Minogue T.D.</t>
  </si>
  <si>
    <t xml:space="preserve">Stefan, Christopher P. (57189311649); Hall, Adrienne T. (56024372600); Graham, Amanda S. (57204973740); Minogue, Timothy D. (6506772991)</t>
  </si>
  <si>
    <t xml:space="preserve">57189311649; 56024372600; 57204973740; 6506772991</t>
  </si>
  <si>
    <t xml:space="preserve">Comparison of Illumina and Oxford Nanopore Sequencing Technologies for Pathogen Detection from Clinical Matrices Using Molecular Inversion Probes</t>
  </si>
  <si>
    <t xml:space="preserve">Next-generation sequencing is rapidly finding footholds in numerous microbiological fields, including infectious disease diagnostics. Here, we describe a molecular inversion probe panel for the identification of bacterial, viral, and parasitic pathogens. We describe the ability of Illumina and Oxford Nanopore Technologies (ONT) to sequence small amplicons originating from this panel for the identification of pathogens in complex matrices. The panel correctly classified 31 bacterial pathogens directly from positive blood culture bottles with a genus-level concordance of 96.7% and 90.3% on the Illumina and ONT platforms, respectively. Both sequencing platforms detected 18 viral and parasitic organisms directly from mock clinical samples of plasma and whole blood at concentrations of 104 PFU/mL with few exceptions. In general, Illumina sequencing exhibited greater read counts with lower percent mapped reads; however, this resulted in no effect on limits of detection compared with ONT sequencing. Mock clinical evaluation of the probe panel on the Illumina and ONT platforms resulted in positive predictive values of 0.91 and 0.88 and negative predictive values of 1 and 1 from de-identified human chikungunya virus samples compared with gold standard quantitative RT-PCR. Overall, these data show that molecular inversion probes are an adaptable technology capable of pathogen detection from complex sample matrices on current next-generation sequencing platforms. © 2022</t>
  </si>
  <si>
    <t xml:space="preserve">Journal of Molecular Diagnostics</t>
  </si>
  <si>
    <t xml:space="preserve">10.1016/j.jmoldx.2021.12.005</t>
  </si>
  <si>
    <t xml:space="preserve">https://www.scopus.com/inward/record.uri?eid=2-s2.0-85127181456&amp;doi=10.1016%2fj.jmoldx.2021.12.005&amp;partnerID=40&amp;md5=846b5b356f7acb328c15238bc6a8482c</t>
  </si>
  <si>
    <t xml:space="preserve">Diagnostic Systems Division, United States Army Medical Research Institute of Infectious Disease, Maryland, Fort Detrick</t>
  </si>
  <si>
    <t xml:space="preserve">Stefan C.P., Diagnostic Systems Division, United States Army Medical Research Institute of Infectious Disease, Maryland, Fort Detrick; Hall A.T., Diagnostic Systems Division, United States Army Medical Research Institute of Infectious Disease, Maryland, Fort Detrick; Graham A.S., Diagnostic Systems Division, United States Army Medical Research Institute of Infectious Disease, Maryland, Fort Detrick; Minogue T.D., Diagnostic Systems Division, United States Army Medical Research Institute of Infectious Disease, Maryland, Fort Detrick</t>
  </si>
  <si>
    <t xml:space="preserve">Bacteria; High-Throughput Nucleotide Sequencing; Humans; Molecular Probes; Nanopore Sequencing; Nanopores; amplicon; Article; bacterium identification; blood culture; Chikungunya virus; controlled study; gold standard; illumina sequencing; intermethod comparison; limit of detection; microorganism detection; nanopore sequencing; nonhuman; plaque forming unit; predictive value; real time polymerase chain reaction; virus identification; bacterium; genetics; high throughput sequencing; human; molecular probe; nanopore; procedures</t>
  </si>
  <si>
    <t xml:space="preserve">Molecular Probes, </t>
  </si>
  <si>
    <t xml:space="preserve">Agencourt AMPure XP; Agencourt AMPure XP, Beckman Coulter, United States; AlleleID 7.73; BACTEC FX40, Thermo; CLC Genomics Workbench, CLC bio, United States; EZ1 Advanced XL, Qiagen; EZ1 DNA Tissue, Qiagen, United States; Floadaptor R9.4.1; KAPA, Hoffmann La Roche; Kapa Biosystems Library Amplification Kit, Hoffmann La Roche, United States; LabChip GX Touch, Perkin Elmer, United States; MedCalc Software version 20.027, MedCalc, Belgium; Phusion HF MM, Qiagen; Phusion High-Fidelity PCR Master Mix, New England Biolabs, United States; Prism version 7.01, Graphpad, United States; RNeasy MinElute, Qiagen; SeqPlex, MilliporeSigma, United States</t>
  </si>
  <si>
    <t xml:space="preserve">Beckman Coulter, United States; CLC bio, United States; Graphpad, United States; Hoffmann La Roche; Hoffmann La Roche, United States; MedCalc, Belgium; MilliporeSigma, United States; New England Biolabs, United States; Perkin Elmer, United States; Qiagen; Qiagen; Qiagen; Qiagen, United States; Thermo</t>
  </si>
  <si>
    <t xml:space="preserve">Defense Threat Reduction Agency, DTRA; U.S. Army</t>
  </si>
  <si>
    <t xml:space="preserve">Funding text 1: Supported by the Defense Threat Reduction Agency. The opinions, interpretations, conclusions, and recommendations contained herein are those of the authors and are not necessarily endorsed by the US Army.; Funding text 2: Supported by the Defense Threat Reduction Agency . The opinions, interpretations, conclusions, and recommendations contained herein are those of the authors and are not necessarily endorsed by the US Army. </t>
  </si>
  <si>
    <t xml:space="preserve">Chiu C.Y., Miller S.A., Clinical metagenomics, Nat Rev Genet, 20, pp. 341-355, (2019); Minogue T.D., Koehler J.W., Stefan C.P., Conrad T.A., Next-generation sequencing for biodefense: biothreat detection, forensics, and the clinic, Clin Chem, 65, pp. 383-392, (2019); Collins F.S., Hamburg M.A., First FDA authorization for next-generation sequencer, N Engl J Med, 369, pp. 2369-2371, (2013); Laehnemann D., Borkhardt A., McHardy A.C., Denoising DNA deep sequencing data-high-throughput sequencing errors and their correction, Brief Bioinform, 17, pp. 154-179, (2016); Jain M., Olsen H.E., Paten B., Akeson M., The Oxford Nanopore MinION: delivery of nanopore sequencing to the genomics community, Genome Biol, 17, (2016); Theuns S., Vanmechelen B., Bernaert Q., Deboutte W., Vandenhole M., Beller L., Matthijnssens J., Maes P., Nauwynck H.J., Nanopore sequencing as a revolutionary diagnostic tool for porcine viral enteric disease complexes identifies porcine kobuvirus as an important enteric virus, Sci Rep, 8, (2018); Mbala-Kingebeni P., Villabona-Arenas C.J., Vidal N., Likofata J., Nsio-Mbeta J., Makiala-Mandanda S., Mukadi D., Mukadi P., Kumakamba C., Djokolo B., Ayouba A., Delaporte E., Peeters M., Muyembe Tamfum J.-J., Ahuka-Mundeke S., Rapid confirmation of the Zaire Ebola virus in the outbreak of the Equateur Province in the Democratic Republic of Congo: implications for public health interventions, Clin Infect Dis, 68, pp. 330-333, (2019); Greninger A.L., Naccache S.N., Federman S., Yu G., Mbala P., Bres V., Stryke D., Bouquet J., Somasekar S., Linnen J.M., Dodd R., Mulembakani P., Schneider B.S., Muyembe-Tamfum J.-J., Stramer S.L., Chiu C.Y., Rapid metagenomic identification of viral pathogens in clinical samples by real-time nanopore sequencing analysis, Genome Med, 7, (2015); Fu S., Wang A., Au K.F., A comparative evaluation of hybrid error correction methods for error-prone long reads, Genome Biol, 20, (2019); Bowden R., Davies R.W., Heger A., Pagnamenta A.T., de Cesare M., Oikkonen L.E., Parkes D., Freeman C., Dhalla F., Patel S.Y., Popitsch N., Ip C.L.C., Roberts H.E., Salatino S., Lockstone H., Lunter G., Taylor J.C., Buck D., Simpson M.A., Donnelly P., Sequencing of human genomes with nanopore technology, Nat Commun, 10, (2019); De Coster W., De Rijk P., De Roeck A., De Pooter T., D-Hert S., Strazisar M., Sleegers K., Van Broeckhoven C., Structural variants identified by Oxford Nanopore PromethION sequencing of the human genome, Genome Res, 29, pp. 1178-1187, (2019); Stefan C.P., Hall A.T., Minogue T.D., Detection of 16S rRNA and KPC genes from complex matrix utilizing a molecular inversion probe assay for next-generation sequencing, Sci Rep, 8, (2018); Stefan C.P., Koehler J.W., Minogue T.D., Targeted next-generation sequencing for the detection of ciprofloxacin resistance markers using molecular inversion probes, Sci Rep, 6, (2016); Hardenbol P., Baner J., Jain M., Nilsson M., Namsaraev E.A., Karlin-Neumann G.A., Fakhrai-Rad H., Ronaghi M., Willis T.D., Landegren U., Davis R.W., Multiplexed genotyping with sequence-tagged molecular inversion probes, Nat Biotechnol, 21, pp. 673-678, (2003); Hardenbol P., Yu F., Belmont J., Mackenzie J., Bruckner C., Brundage T., Boudreau A., Chow S., Eberle J., Erbilgin A., Falkowski M., Fitzgerald R., Ghose S., Iartchouk O., Jain M., Karlin-Neumann G., Lu X., Miao X., Moore B., Moorhead M., Namsaraev E., Pasternak S., Prakash E., Tran K., Wang Z., Jones H.B., Davis R.W., Willis T.D., Gibbs R.A., Highly multiplexed molecular inversion probe genotyping: over 10,000 targeted SNPs genotyped in a single tube assay, Genome Res, 15, pp. 269-275, (2005); Smith D.R., Lee J.S., Jahrling J., Kulesh D.A., Turell M.J., Groebner J.L., O'Guinn M.L., Development of field-based real-time reverse transcription-polymerase chain reaction assays for detection of Chikungunya and O'nyong-nyong viruses in mosquitoes, Am J Trop Med Hyg, 81, pp. 679-684, (2009); Conrad T.A., Lo C.-C., Koehler J.W., Graham A.S., Stefan C.P., Hall A.T., Douglas C.E., Chain P.S., Minogue T.D., Diagnostic targETEd seQuencing adjudicaTion (DETEQT): algorithms for adjudicating targeted infectious disease next-generation sequencing panels, J Mol Diagn, 21, pp. 99-110, (2019); Mitra A., Skrzypczak M., Ginalski K., Rowicka M., Strategies for achieving high sequencing accuracy for low diversity samples and avoiding sample bleeding using Illumina platform, PLoS One, 10, (2015); Saito T., Rehmsmeier M., The precision-recall plot is more informative than the ROC plot when evaluating binary classifiers on imbalanced datasets, PLoS One, 10, (2015); HHS and USDA Select Agents and Toxins, (2021); Timsit J.-F., Ruppe E., Barbier F., Tabah A., Bassetti M., Bloodstream infections in critically ill patients: an expert statement, Intensive Care Med, 46, pp. 266-284, (2020); Besser J., Carleton H.A., Gerner-Smidt P., Lindsey R.L., Trees E., Next-generation sequencing technologies and their application to the study and control of bacterial infections, Clin Microbiol Infect, 24, pp. 335-341, (2018); Srinivasan R., Karaoz U., Volegova M., MacKichan J., Kato-Maeda M., Miller S., Nadarajan R., Brodie E.L., Lynch S.V., Use of 16S rRNA gene for identification of a broad range of clinically relevant bacterial pathogens, PLoS One, 10, (2015); Benitez-Paez A., Portune K.J., Sanz Y., Species-level resolution of 16S rRNA gene amplicons sequenced through the MinION™ portable nanopore sequencer, Gigascience, 5, (2016); CDC &amp; FDA Antibiotic Resistance Isolate Bank, (2021); Evans B.A., Amyes S.G.B., OXA [beta]-lactamases, Clin Microbiol Rev, 27, pp. 241-263, (2014); Schlaberg R., Chiu C.Y., Miller S., Procop G.W., Weinstock G., Validation of metagenomic next-generation sequencing tests for universal pathogen detection, Arch Pathol Lab Med, 141, pp. 776-786, (2017); Miller S., Naccache S.N., Samayoa E., Messacar K., Arevalo S., Federman S., Stryke D., Pham E., Fung B., Bolosky W.J., Ingebrigtsen D., Lorizio W., Paff S.M., Leake J.A., Pesano R., DeBiasi R., Dominguez S., Chiu C.Y., Laboratory validation of a clinical metagenomic sequencing assay for pathogen detection in cerebrospinal fluid, Genome Res, 29, pp. 831-842, (2019); Wilson M.R., Sample H.A., Zorn K.C., Arevalo S., Yu G., Neuhaus J., Et al., Clinical metagenomic sequencing for diagnosis of meningitis and encephalitis, N Engl J Med, 380, pp. 2327-2340, (2019)</t>
  </si>
  <si>
    <t xml:space="preserve">T.D. Minogue; United States Army Medical Research Institute of Infectious Disease, Frederick, 1425 Porter St., 21702, United States; email: timothy.d.minogue.civ@mail.mil</t>
  </si>
  <si>
    <t xml:space="preserve">JMDIF</t>
  </si>
  <si>
    <t xml:space="preserve">J. Mol. Diagn.</t>
  </si>
  <si>
    <t xml:space="preserve">2-s2.0-85127181456</t>
  </si>
  <si>
    <t xml:space="preserve">Silva L.; Araújo L.; Ferreira V.; Neto R.; Santos A.</t>
  </si>
  <si>
    <t xml:space="preserve">Silva, Luan (57192080409); Araújo, Leandro (58374922400); Ferreira, Victor (57867685500); Neto, Raimundo (57942789600); Santos, Adam (57196030277)</t>
  </si>
  <si>
    <t xml:space="preserve">57192080409; 58374922400; 57867685500; 57942789600; 57196030277</t>
  </si>
  <si>
    <t xml:space="preserve">Convolutional neural networks applied in the detection of pneumonia by X-ray images</t>
  </si>
  <si>
    <t xml:space="preserve">According to the World Health Organization (WHO), pneumonia kills about 2 million children under the age of 5 and is constantly estimated as the leading cause of child mortality, killing more children than AIDS, malaria, and measles together. The application of deep learning techniques for medical image classification has grown considerably in recent years. This research presents three implementations of convolutional neural networks (CNNs): ResNet50, VGG-16, and InceptionV3. These CNNs are applied to solve the classification problem of medical radiographs from people with pneumonia, as a manner to assist in the disease diagnosis. The three architectures used in this research obtained satisfactory results. The ResNet50 outperformed InceptionV3 and VGG-16, achieving the highest percentage of training and testing precision, as well as superior recall and f1-score. For the normal class, the f1-score related to ResNet50 was 88.42%, compared to 81.54% for InceptionV3 and 81.42% for VGG-16. For the pneumonia class, this metric was 95.10% against 92.82% for InceptionV3 and 92.54% for VGG-16. Copyright © 2022 Inderscience Enterprises Ltd.</t>
  </si>
  <si>
    <t xml:space="preserve">International Journal of Innovative Computing and Applications</t>
  </si>
  <si>
    <t xml:space="preserve">Inderscience Publishers</t>
  </si>
  <si>
    <t xml:space="preserve">10.1504/ijica.2022.125655</t>
  </si>
  <si>
    <t xml:space="preserve">https://www.scopus.com/inward/record.uri?eid=2-s2.0-85140632398&amp;doi=10.1504%2fijica.2022.125655&amp;partnerID=40&amp;md5=488542b840038c54653b86ffd05c8bd7</t>
  </si>
  <si>
    <t xml:space="preserve">Faculdade de Computação e Engenharia Elétrica, Universidade Federal do Sul e Sudeste do Pará, PA, Marabá, Brazil</t>
  </si>
  <si>
    <t xml:space="preserve">Silva L., Faculdade de Computação e Engenharia Elétrica, Universidade Federal do Sul e Sudeste do Pará, PA, Marabá, Brazil; Araújo L., Faculdade de Computação e Engenharia Elétrica, Universidade Federal do Sul e Sudeste do Pará, PA, Marabá, Brazil; Ferreira V., Faculdade de Computação e Engenharia Elétrica, Universidade Federal do Sul e Sudeste do Pará, PA, Marabá, Brazil; Neto R., Faculdade de Computação e Engenharia Elétrica, Universidade Federal do Sul e Sudeste do Pará, PA, Marabá, Brazil; Santos A., Faculdade de Computação e Engenharia Elétrica, Universidade Federal do Sul e Sudeste do Pará, PA, Marabá, Brazil</t>
  </si>
  <si>
    <t xml:space="preserve">CNNs; convolutional neural networks; deep learning; pattern recognition; pneumonia; X-ray</t>
  </si>
  <si>
    <t xml:space="preserve">Computer aided diagnosis; Convolution; Deep learning; Medical imaging; Pattern recognition; Well testing; Child mortality; Convolutional neural network; Deep learning; F1 scores; Learning techniques; Medical image classification; Pneumonia; World Health Organization; X-ray image; Convolutional neural networks</t>
  </si>
  <si>
    <t xml:space="preserve">Abadi M., Barham P., Chen J., Chen Z., Davis A., Dean J., Devin M., Ghemawat S., Irving G., Isard M., Et al., Tensorflow: a system for large-scale machine learning, 12th {USENIX} Symposium on Operating Systems Design and Implementation ({OSDI} 16), pp. 265-283, (2016); Arel I., Rose D.C., Karnowski T.P., Et al., Deep machine learning-a new frontier in artificial intelligence research, IEEE Computational Intelligence Magazine, 5, 4, pp. 13-18, (2010); Cai C., Wu K., Yan Y., Rapid detection and social media supervision of runway incursion based on deep learning, International Journal of Innovative Computing and Applications, 9, 2, pp. 98-106, (2018); Carneiro T., Da N'obrega R.V.M., Nepomuceno T., Bian G-B., De Albuquerque V.H.C., Reboucas Filho P.P., Performance analysis of Google colaboratory as a tool for accelerating deep learning applications, IEEE Access, 6, pp. 61677-61685, (2018); Chollet F., Et al., Keras, GitHub, (2015); da Silva R.E.V., Um estudo comparativo entre redes neurais convolucionais para a classifica¸cao de imagens, (2018); Haykin S.S., Et al., Neural Networks and Learning Machines/Simon Haykin, (2009); He K., Zhang X., Ren S., Sun J., Deep residual learning for image recognition, Proceedings of the IEEE Conference on Computer Vision and Pattern Recognition, pp. 770-778, (2016); Islam M.T., Aowal M.A., Minhaz A.T., Ashraf K., Abnormality Detection and Localization in Chest X-Rays using Deep Convolutional Neural Networks, (2017); Juraszek G.D., Et al., Reconhecimento de produtos por imagem utilizando palavras visuais e redes neurais convolucionais, (2014); Karnkawinpong T., Limpiyakorn Y., Chest x-ray analysis of tuberculosis by convolutional neural networks with affine transforms, Proceedings of the 2018 2nd International Conference on Computer Science and Artificial Intelligence, pp. 90-93, (2018); Kawahara J., BenTaieb A., Hamarneh G., Deep features to classify skin lesions, 2016 IEEE 13th International Symposium on Biomedical Imaging (ISBI), pp. 1397-1400, (2016); Kermany D.S., Goldbaum M., Cai W., Valentim C.C., Liang H., Baxter S.L., McKeown A., Yang G., Wu X., Yan F., Et al., Identifying medical diagnoses and treatable diseases by image-based deep learning, Cell, 172, 5, pp. 1122-1131, (2018); Ketkar N., Introduction to keras, Deep Learning with Python, pp. 97-111, (2017); Lakhani P., Sundaram B., Deep learning at chest radiography: automated classification of pulmonary tuberculosis by using convolutional neural networks, Radiology, 284, 2, pp. 574-582, (2017); Liu T., Rosenberg C., Rowley H.A., Clustering billions of images with large scale nearest neighbor search, 2007 IEEE Workshop on Applications of Computer Vision (WACV'07), pp. 28-28, (2007); Lopes U., Valiati J.F., Pre-trained convolutional neural networks as feature extractors for tuberculosis detection, Computers in Biology and Medicine, 89, pp. 135-143, (2017); Mezzoudj F., Benyettou A., An empirical study of statistical language models: n-gram language models vs. neural network language models, International Journal of Innovative Computing and Applications, 9, 4, pp. 189-202, (2018); Mousser W., Ouadfel S., Deep feature extraction for pap-smear image classification: a comparative study, Proceedings of the 2019 5th International Conference on Computer and Technology Applications, pp. 6-10, (2019); Neto S.A.H.C., Reconhecimento de tumores cerebrais utilizando redes neurais convolucionais, (2017); Nivrito A., Wahed M., Bin R., Et al., Comparative analysis between Inception-v3 and other learning systems using facial expressions detection, (2016); Organization W.H., Pneumonia, (2019); Parkhi O.M., Vedaldi A., Zisserman A., Et al., Deep face recognition, BMVC, 1, (2015); Rizwan M., Residual Networks (Resnets), (2018); Santos A., Aires K., Veras R., Uchoa V., Santos L., Uma abordagem de classifica¸cao de imagens dermatosc'opicas utilizando aprendizado profundo com redes neurais convolucionais, Anais do XVII Workshop de Inform'atica M'edica, (2017); Shi Z., He L., Current status and future potential of neural networks used for medical image processing, Journal of Multimedia, 6, 3, (2011); Simard P.Y., Steinkraus D., Platt J.C., Et al., Best practices for convolutional neural networks applied to visual document analysis, ICDAR, 3, (2003); Simonyan K., Zisserman A., Very Deep Convolutional Networks for Large-Scale Image Recognition, (2014); Soares G.A.d.S., Silva G.J.F.d., Macedo H.T., Prado B.O.P., Matos L.N., Reconhecimento de estados dos olhos utilizando m'aquinas de aprendizado profundo a partir de ondas cerebrais, Revista de Sistemas e Computa¸cao-RSC, 9, 1, pp. 41-57, (2019); Szegedy C., Vanhoucke V., Ioffe S., Shlens J., Wojna Z., Rethinking the inception architecture for computer vision, Proceedings of the IEEE Conference on Computer Vision and Pattern Recognition, pp. 2818-2826, (2016); Vedaldi A., Lenc K., Matconvnet: Convolutional neural networks for matlab, Proceedings of the 23rd ACM International Conference on Multimedia, pp. 689-692, (2015); Wang X., Peng Y., Lu L., Lu Z., Bagheri M., Summers R.M., Chestx-ray8: Hospital-scale chest x-ray database and benchmarks on weakly-supervised classification and localization of common thorax diseases, Proceedings of the IEEE Conference on Computer Vision and Pattern Recognition, pp. 2097-2106, (2017); Zhang J., He Z., Dehmeshki J., Segmentation for pulmonary artery from mediastinum to lung in CTA datasets, International Journal of Innovative Computing and Applications, 5, 1, pp. 37-46, (2013)</t>
  </si>
  <si>
    <t xml:space="preserve">L. Silva; Faculdade de Computação e Engenharia Elétrica, Universidade Federal do Sul e Sudeste do Pará, Marabá, PA, Brazil; email: luansilvatec@unifesspa.edu.br</t>
  </si>
  <si>
    <t xml:space="preserve">1751648X</t>
  </si>
  <si>
    <t xml:space="preserve">Int. J. Innovative Comput. Appl.</t>
  </si>
  <si>
    <t xml:space="preserve">2-s2.0-85140632398</t>
  </si>
  <si>
    <t xml:space="preserve">Levy A.; Georgeon C.; Knoeri J.; Tourabaly M.; Leveziel L.; Bouheraoua N.; Borderie V.M.</t>
  </si>
  <si>
    <t xml:space="preserve">Levy, Arielle (57220597304); Georgeon, Cristina (55959268600); Knoeri, Juliette (55782365500); Tourabaly, Moïse (57212509073); Leveziel, Loïc (57221945943); Bouheraoua, Nacim (55362087700); Borderie, Vincent M. (7004566019)</t>
  </si>
  <si>
    <t xml:space="preserve">57220597304; 55959268600; 55782365500; 57212509073; 57221945943; 55362087700; 7004566019</t>
  </si>
  <si>
    <t xml:space="preserve">Corneal Epithelial Thickness Mapping in the Diagnosis of Ocular Surface Disorders Involving the Corneal Epithelium: A Comparative Study</t>
  </si>
  <si>
    <t xml:space="preserve">Purpose:The purpose of this study was to analyze the role of corneal epithelial thickness (ET) mapping provided by spectral domain optical coherence tomography in the diagnosis of ocular surface disorders (OSDs) involving the corneal epithelium.Design:This was a retrospective comparative study.Methods:Institutional settings are as follows. Study population includes 303 eyes with an OSD and 55 normal eyes (controls). Observation procedures include spectral domain optical coherence tomography with epithelial mapping in the central 6 mm. Main outcome measures include ET map classification (normal, doughnut, spoke-wheel, localized/diffuse, and thinning/thickening patterns) and ET data and statistics (minimum, maximum, and SD). A quantitative threshold was determined with receiver operating curves to distinguish pathological from normal corneas. Sensitivity and specificity of classification and quantitative data were calculated using all eyes to assess the ability to distinguish corneas with a given corneal disorder from other conditions.Results:Classification of full agreement between 3 readers was obtained in 75.4% to 99.4% of cases. Main OSD features were keratoconus (135 eyes), doughnut pattern (sensitivity/specificity = 56/94%), and max-min ET ≥ 13 m (84/43%); limbal deficiency (56 eyes), spoke-wheel pattern (66/98%), and max-min ET ≥ 14 m (91/59%); epithelial basement membrane dystrophy (55 eyes), inferior thickening pattern (55/92%), and central ET &gt; 56 m (53/81%); dry eye (21 eyes), superior thinning pattern (67/88%), and minimal ET ≤ 44 m (86/48%); pterygium (10 eyes), nasal thickening pattern (100/86%), and nasal ET &gt; 56 m (80/71%); and in situ carcinoma (11 eyes), max ET &gt; 60 m (91/60%), and ET SD &gt;5 m (100/58%).Conclusions:The epithelial map pattern recognition combined with quantitative analysis of ET is relevant for the diagnosis of OSDs and for distinguishing various OSDs from each other. Deep learning analysis of big data could lead to the fully automated diagnosis of these disorders. © 2022 Lippincott Williams and Wilkins. All rights reserved.</t>
  </si>
  <si>
    <t xml:space="preserve">Cornea</t>
  </si>
  <si>
    <t xml:space="preserve">10.1097/ICO.0000000000003012</t>
  </si>
  <si>
    <t xml:space="preserve">https://www.scopus.com/inward/record.uri?eid=2-s2.0-85135828841&amp;doi=10.1097%2fICO.0000000000003012&amp;partnerID=40&amp;md5=e9c9fe569919163651be5b7c03098fd8</t>
  </si>
  <si>
    <t xml:space="preserve">Grc 32, Transplantation et Thérapies Innovantes de la Cornée, Sorbonne Université, Centre Hospitalier National d'Ophtalmologie des Quinze-Vingts, Paris, France</t>
  </si>
  <si>
    <t xml:space="preserve">Levy A., Grc 32, Transplantation et Thérapies Innovantes de la Cornée, Sorbonne Université, Centre Hospitalier National d'Ophtalmologie des Quinze-Vingts, Paris, France; Georgeon C., Grc 32, Transplantation et Thérapies Innovantes de la Cornée, Sorbonne Université, Centre Hospitalier National d'Ophtalmologie des Quinze-Vingts, Paris, France; Knoeri J., Grc 32, Transplantation et Thérapies Innovantes de la Cornée, Sorbonne Université, Centre Hospitalier National d'Ophtalmologie des Quinze-Vingts, Paris, France; Tourabaly M., Grc 32, Transplantation et Thérapies Innovantes de la Cornée, Sorbonne Université, Centre Hospitalier National d'Ophtalmologie des Quinze-Vingts, Paris, France; Leveziel L., Grc 32, Transplantation et Thérapies Innovantes de la Cornée, Sorbonne Université, Centre Hospitalier National d'Ophtalmologie des Quinze-Vingts, Paris, France; Bouheraoua N., Grc 32, Transplantation et Thérapies Innovantes de la Cornée, Sorbonne Université, Centre Hospitalier National d'Ophtalmologie des Quinze-Vingts, Paris, France; Borderie V.M., Grc 32, Transplantation et Thérapies Innovantes de la Cornée, Sorbonne Université, Centre Hospitalier National d'Ophtalmologie des Quinze-Vingts, Paris, France</t>
  </si>
  <si>
    <t xml:space="preserve">dry eye; epithelial basement membrane dystrophy; in situ carcinoma; keratoconus; limbal deficiency; optical coherence tomography; pterygium</t>
  </si>
  <si>
    <t xml:space="preserve">Corneal Pachymetry; Corneal Topography; Cross-Sectional Studies; Epithelium, Corneal; Fourier Analysis; Humans; Keratoconus; Retrospective Studies; ROC Curve; Tomography, Optical Coherence; adult; aged; aging; aniridia; Article; carcinoma in situ; chemical burn; clinical feature; comparative study; controlled study; cornea epithelium; cornea opacity; corneal pachymetry; corneal thickness; deep learning; diagnostic test accuracy study; dry eye; epithelial basement membrane dystrophy; female; herpes zoster; histopathology; human; keratoconjunctivitis; keratoconus; keratometry; major clinical study; male; medical history; ocular surface disease; pattern recognition; pterygium; qualitative analysis; quantitative analysis; retrospective study; sensitivity and specificity; spectral domain optical coherence tomography; tear break-up time; toxic epidermal necrolysis; trachoma; cross-sectional study; Fourier analysis; keratoconus; optical coherence tomography; pathology; procedures; receiver operating characteristic</t>
  </si>
  <si>
    <t xml:space="preserve">Pentacam, Oculus, Germany; RTVue-100, Optovue, United States</t>
  </si>
  <si>
    <t xml:space="preserve">Oculus, Germany; Optovue, United States</t>
  </si>
  <si>
    <t xml:space="preserve">Simon G., Ren Q., Kervick G.N., Et al., Optics of the corneal epithelium, Refract Corneal Surg, 9, pp. 42-50, (1993); Reinstein D.Z., Silverman R.H., Sutton H.F., Et al., Very high-frequency ultrasound corneal analysis identifies anatomic correlates of optical complications of lamellar refractive surgery: anatomic diagnosis in lamellar surgery, Ophthalmology, 106, pp. 474-482, (1999); Reinstein D.Z., Archer T.J., Gobbe M., Et al., Epithelial thickness after hyperopic LASIK: three-dimensional display with artemis very highfrequency digital ultrasound, J Refract Surg, 26, pp. 555-564, (2010); Vogt A., Atlas of the slitlamp-microscopy of the living eye, Surv Ophthalmol, 7, pp. 316-321, (1962); Li Y., Tan O., Brass R., Et al., Corneal epithelial thickness mapping by Fourier-domain optical coherence tomography in normal and keratoconic eyes, Ophthalmology, 119, pp. 2425-2433, (2012); Reinstein D.Z., Archer T.J., Gobbe M., Corneal epithelial thickness profile in the diagnosis of keratoconus, J Refract Surg, 25, pp. 604-610, (2009); Temstet C., Sandali O., Bouheraoua N., Et al., Corneal epithelial thickness mapping using Fourier-domain optical coherence tomography for detection of form fruste keratoconus, J Cataract Refract Surg, 41, pp. 812-820, (2015); Buffault J., Zeboulon P., Liang H., Et al., Assessment of corneal epithelial thickness mapping in epithelial basement membrane dystrophy, PLoS One, 15, (2020); Banayan N., Georgeon C., Grieve K., Et al., Spectral-domain optical coherence tomography in limbal stem cell deficiency, A case-control study. Am J Ophthalmol, 190, pp. 179-190, (2018); Liang Q., Le Q., Cordova D.W., Et al., Corneal epithelial thickness measured using anterior segment optical coherence tomography as a diagnostic parameter for limbal stem cell deficiency, Am J Ophthalmol, 216, pp. 132-139, (2020); Li H.F., Petroll W.M., Moller-Pedersen T., Et al., Epithelial and corneal thickness measurements by in vivo confocal microscopy through focusing (CMTF), Curr Eye Res, 16, pp. 214-221, (1997); Erie J.C., Patel S.V., McLaren J.W., Et al., Effect of myopic laser in situ keratomileusis on epithelial and stromal thickness: a confocal microscopy study, Ophthalmology, 109, pp. 1447-1452, (2002); Urs R., Lloyd H.O., Reinstein D.Z., Et al., Comparison of very-highfrequency ultrasound and spectral-domain optical coherence tomography corneal and epithelial thickness maps, J Cataract Refract Surg, 42, pp. 95-101, (2016); Reinstein D.Z., Archer T.J., Gobbe M., Et al., Epithelial thickness in the normal cornea: three-dimensional display with artemis very highfrequency digital ultrasound, J Refract Surg, 24, pp. 571-581, (2008); Huang D., Swanson E.A., Lin C.P., Et al., Optical coherence tomography, Science, 254, pp. 1178-1181, (1991); Kanellopoulos A.J., Asimellis G., In vivo three-dimensional corneal epithelium imaging in normal eyes by anterior-segment optical coherence tomography: a clinical reference study, Cornea, 32, pp. 1493-1498, (2013); Sella R., Zangwill L.M., Weinreb R.N., Et al., Repeatability and reproducibility of corneal epithelial thickness mapping with spectral-domain optical coherence tomography in normal and diseased cornea eyes, Am J Ophthalmol, 197, pp. 88-97, (2019); Sin S., Simpson T.L., The repeatability of corneal and corneal epithelial thickness measurements using optical coherence tomography, Optom Vis Sci, 83, pp. 360-365, (2006); Werkmeister R.M., Sapeta S., Schmidl D., Et al., Ultrahigh-resolution OCT imaging of the human cornea, Biomed Opt Express, 8, pp. 1221-1239, (2017); Rabinowitz Y.S., McDonnell P.J., Computer-assisted corneal topography in keratoconus, Refract Corneal Surg, 5, pp. 400-408, (1989); El Sanharawi M., Sandali O., Basli E., Et al., Fourier-domain optical coherence tomography imaging in corneal epithelial basement membrane dystrophy: a structural analysis, Am J Ophthalmol, 159, pp. 755-763, (2015); Bron A.J., Evans V.E., Smith J.A., Grading of corneal and conjunctival staining in the context of other dry eye tests, Cornea, 22, pp. 640-650, (2003); Reinstein D.Z., Silverman R.H., Trokel S.L., Et al., Corneal pachymetric topography, Ophthalmology, 101, pp. 432-438, (1994); Pircher N., Schwarzhans F., Holzer S., Et al., Distinguishing keratoconic eyes and healthy eyes using ultrahigh-resolution optical coherence tomography-based corneal epithelium thickness mapping, Am J Ophthalmol, 189, pp. 47-54, (2018); Haque S., Jones L., Simpson T., Thickness mapping of the cornea and epithelium using optical coherence tomography, Optom Vis Sci, 85, pp. E963-E976, (2008); Reinstein D.Z., Gobbe M., Archer T.J., Et al., Epithelial, stromal, and total corneal thickness in keratoconus: three-dimensional display with artemis very-high frequency digital ultrasound, J Refract Surg, 26, pp. 259-271, (2010); Tang M., Shekhar R., Miranda D., Et al., Characteristics of keratoconus and pellucid marginal degeneration in mean curvature maps, Am J Ophthalmol, 140, pp. 993-1001, (2005); Cui X., Hong J., Wang F., Et al., Assessment of corneal epithelial thickness in dry eye patients, Optom Vis Sci, 91, pp. 1446-1454, (2014); Francoz M., Karamoko I., Baudouin C., Et al., Ocular surface epithelial thickness evaluation with spectral-domain optical coherence tomography, Invest Ophthalmol Vis Sci, 52, pp. 9116-9123, (2011); Liang Q., Liang H., Liu H., Et al., Ocular surface epithelial thickness evaluation in dry eye patients: clinical correlations, J Ophthalmol, 2016, (2016); El-Fayoumi D., Youssef M.M., Khafagy M.M., Et al., Assessment of corneal and tear film parameters in rheumatoid arthritis patients using anterior segment spectral domain optical coherence tomography, Ocul Immunol Inflamm, 26, pp. 632-638, (2018); Fabiani C., Barabino S., Rashid S., Et al., Corneal epithelial proliferation and thickness in a mouse model of dry eye, Exp Eye Res, 89, pp. 166-171, (2009); Bouheraoua N., Hrarat L., Parsa C.F., Et al., Decreased corneal sensation and subbasal nerve density, and thinned corneal epithelium as a result of 360-degree laser retinopexy, Ophthalmology, 122, pp. 2095-2102, (2015); Weiss J.S., Moller H.U., Lisch W., Et al., The IC3D classification of the corneal dystrophies, Cornea, 27, pp. S1-S83, (2008); Fogle J.A., Kenyon K.R., Stark W.J., Et al., Defective epithelial adhesion in anterior corneal dystrophies, Am J Ophthalmol, 79, pp. 925-940, (1975); Atallah M., Joag M., Galor A., Et al., Role of high resolution optical coherence tomography in diagnosing ocular surface squamous neoplasia with coexisting ocular surface diseases, Ocul Surf, 15, pp. 688-695, (2017); Yadav R., Kottaiyan R., Ahmad K., Et al., Epithelium and Bowman's layer thickness and light scatter in keratoconic cornea evaluated using ultrahigh resolution optical coherence tomography, J Biomed Opt, 17, (2012); Tao A., Wang J., Chen Q., Et al., Topographic thickness of Bowman's layer determined by ultra-high resolution spectral domain-optical coherence tomography, Invest Ophthalmol Vis Sci, 52, pp. 3901-3907, (2011); Wang J., Fonn D., Simpson T.L., Et al., The measurement of corneal epithelial thickness in response to hypoxia using optical coherence tomography, Am J Ophthalmol, 133, pp. 315-319, (2002)</t>
  </si>
  <si>
    <t xml:space="preserve">V.M. Borderie; Service v, Centre Hospitalier National d'Ophtalmologie des 15-20, Paris, 28 rue de Charenton, 75571, France; email: vincent.borderie@upmc.fr</t>
  </si>
  <si>
    <t xml:space="preserve">CORND</t>
  </si>
  <si>
    <t xml:space="preserve">2-s2.0-85135828841</t>
  </si>
  <si>
    <t xml:space="preserve">Jang B.; Kim Y.; Il Kim G.; Wook Kim J.</t>
  </si>
  <si>
    <t xml:space="preserve">Jang, Beakcheol (27867735600); Kim, Yeongha (57824357500); Il Kim, Gun (57608329500); Wook Kim, Jong (56084128200)</t>
  </si>
  <si>
    <t xml:space="preserve">27867735600; 57824357500; 57608329500; 56084128200</t>
  </si>
  <si>
    <t xml:space="preserve">Deep similarity analysis and forecasting of actual outbreak of major infectious diseases using Internet-Sourced data</t>
  </si>
  <si>
    <t xml:space="preserve">Perhaps no other generation in the span of recorded human history has endured the risks of infectious diseases as has the current generation. The prevalence of infectious diseases is caused mainly by unlimited contact between people in a highly globalized world. Disease control and prevention (CDC) promptly collect and produce disease outbreak statistics, but CDCs rely on a curated, centralized collection system, and requires up to two weeks of lead time. Consequently, the quick release of disease outbreak information has become a great challenge. Infectious disease outbreak information is recorded and spread somewhere on the Internet much faster than CDC announcements, and Internet-sourced data have shown non-substitutable potential to watch and predict infectious disease outbreaks in advance. In this study, we performed a thorough analysis to show the similarity between the Korean Center of Disease Control (KCDC) infectious disease datasets and three Internet-sourced data for nine major infectious diseases in terms of time-series volume. The results show that many of infectious disease outbreak have strongly related to Internet-sourced data. We analyzed several factors that affect the similarity. Our analysis shows that the increase in the number of Internet-sourced data correlates with the increase in the number of infected people and thus, show the positive similarity. We also found that the greater the number of infectious disease outbreaks corresponds to having a wider spread of outbreak regions, in which it also proves to have higher similarity. We presented the prediction result of infectious disease outbreak using various Internet-sourced data and an effective deep learning algorithm. It showed that there are positive correlations between the number of infected people or the number of related web data and the prediction accuracy. We developed and currently operate a web-based system to show the similarity between KCDC and related Internet-sourced data for infectious diseases. This paper helps people to identify what kind of Internet-sourced data they need to use to predict and track a specific infectious disease outbreak. We considered as much as nine major diseases and three kinds of Internet-sourced data together, and we can say that our finding did not depend on specific infectious disease nor specific Internet-sourced data. © 2022 Elsevier Inc.</t>
  </si>
  <si>
    <t xml:space="preserve">Journal of Biomedical Informatics</t>
  </si>
  <si>
    <t xml:space="preserve">Academic Press Inc.</t>
  </si>
  <si>
    <t xml:space="preserve">10.1016/j.jbi.2022.104148</t>
  </si>
  <si>
    <t xml:space="preserve">https://www.scopus.com/inward/record.uri?eid=2-s2.0-85135186213&amp;doi=10.1016%2fj.jbi.2022.104148&amp;partnerID=40&amp;md5=fff1d32a0ce99c8eb2b8f25fccaa536c</t>
  </si>
  <si>
    <t xml:space="preserve">Graduate School of Information, Yonsei University, Seoul, 03722, South Korea; Department of Computer Science, Sangmyung University, Seoul, 03016, South Korea</t>
  </si>
  <si>
    <t xml:space="preserve">Jang B., Graduate School of Information, Yonsei University, Seoul, 03722, South Korea; Kim Y., Department of Computer Science, Sangmyung University, Seoul, 03016, South Korea; Il Kim G., Graduate School of Information, Yonsei University, Seoul, 03722, South Korea; Wook Kim J., Department of Computer Science, Sangmyung University, Seoul, 03016, South Korea</t>
  </si>
  <si>
    <t xml:space="preserve">Forecasting; Infectious disease outbreak; Internet-sourced data; KCDC; Similarity; Web data</t>
  </si>
  <si>
    <t xml:space="preserve">Communicable Diseases; Disease Outbreaks; Forecasting; Humans; Internet; Deep learning; Disease control; Diseases; Time series analysis; Control and prevention; Current generation; Disease outbreaks; Infectious disease; Infectious disease outbreaks; Internet-sourced data; Korean center of disease control; Similarity; Similarity analysis; Web data; Article; chickenpox; comparative study; controlled study; correlation analysis; data accuracy; data analysis; data base; deep learning; enterohemorrhagic Escherichia coli infection; epidemic; forecasting; geographic distribution; hemorrhagic fever with renal syndrome; hepatitis A; human; infection; infection rate; Internet; Korean Center of Disease Control; legionnaire disease; malaria; medical information; mumps; national health organization; pertussis; prediction; predictive model; probability; public health service; shigellosis; statistical significance; time series analysis; communicable disease; forecasting; Internet; Forecasting</t>
  </si>
  <si>
    <t xml:space="preserve">National Research Foundation of Korea Fund of NRF-2022R1F1A1063961</t>
  </si>
  <si>
    <t xml:space="preserve">This work was supported by the National Research Foundation of Korea Fund of NRF-2022R1F1A1063961 . </t>
  </si>
  <si>
    <t xml:space="preserve">Zhou X., Li Q., Zhu Z., Zhao H., Tang H., Feng Y., Monitoring epidemic alert levels by analyzing internet search volume, IEEE Trans. Bio Med. Eng., 60, 2, pp. 446-452, (2013); Broniatowski D.A., Paul M.J., Dredze M., Twitter: Big data opportunities, Science, 345, 6193, (2014); Freifeld C.C., Mandl K.D., Reis B.Y., Brownstein J.S., HealthMap: Global infectious disease monitoring through automated classification and visualization of Internet media reports, J. Am. Med. Inform. Assoc., 15, 2, pp. 150-157, (2008); 45, 5, pp. 119-126, (2019); Wilder-Smith A., Cohn E., Lloyd D.C., Tozan Y., Brownstein J.S., Internet-based media coverage on dengue in Sri Lanka between 2007 and 2015, Glob. Health Action, 9, 1, (2016); Chunara R., Andrews J.R., Brownstein J.S., Social and news media enable estimation of epidemiological patterns early in the 2010 Haitian cholera outbreak, Am. J. Trop. Med. Hyg., 86, 1, pp. 39-45, (2012); Kim J., Ahn I., Infectious disease outbreak prediction using media articles with machine learning models, Sci Rep, 11, 1, (2021); Culotta A., Towards detecting influenza epidemics by analyzing Twitter messages, pp. 115-122, (2010); Signorini A., Segre A.M., Polgreen P.M., Galvani A.P., The use of Twitter to track levels of disease activity and public concern in the US during the influenza A H1N1 pandemic, PLOS ONE, 6, 5, (2011); Ahmed W., Et al., Moral Panic through the Lens of Twitter: An Analysis of Infectious Disease Outbreaks, Proceedings of the 9th International Conference on Social Media and Society, (2018); Velappan N., Daughton A.R., Fairchild G., Rosenberger W.E., Generous N., Chitanvis M.E., Altherr F.M., Castro L.A., Priedhorsky R., Abeyta E.L., Naranjo L.A., Hollander A.D., Vuyisich G., Lillo A.M., Cloyd E.K., Vaidya A.R., Deshpande A., Analytics for investigation of disease outbreaks: web-based analytics facilitating situational awareness in unfolding disease outbreaks, JMIR Public Health Surveillance, 5, 1, (2019); Kim E.-K., Seok J.H., Oh J.S., Lee H.W., Kim K.H., Cook A.R., Use of hangeul twitter to track and predict human influenza infection, PLOS ONE, 8, 7, (2013); Hirose H., Wang L., Prediction of Infectious Disease Spread Using Twitter: A Case of Influenza, 2012 Fifth International Symposium on Parallel Architectures, Algorithms and Programming, pp. 100-105, (2012); Milinovich G.J., Avril S.M.R., Clements A.C.A., Brownstein J.S., Tong S., Hu W., Using internet search queries for infectious disease surveillance: screening diseases for suitability, BMC Infect Dis, 14, 1, (2014); Ginsberg J., Mohebbi M.H., Patel R.S., Brammer L., Smolinski M.S., Brilliant L., Detecting influenza epidemics using search engine query data, Nature, 457, 7232, pp. 1012-1014, (2009); Chan E.H., Sahai V., Conrad C., Brownstein J.S., Aksoy S., Using web search query data to monitor dengue epidemics: A new model for neglected tropical disease surveillance, PLOS Negl. Trop. Dis., 5, 5, (2011); Ocampo A.J., Chunara R., Brownstein J.S., Using search queries for malaria surveillance, Thailand, Malar. J., 12, 1, (2013); Verma M., Kishore K., Kumar M., Sondh A.R., Aggarwal G., Kathirvel S., Google search trends predicting disease outbreaks: an analysis from India, Healthcare Informatics Res., 24, 4, (2018); Yuan X., Et al., Trends and prediction in daily new cases and deaths of COVID-19 in the United States: an internet search-interest based model, Exploratory Res. Hypothesis Med., 5, pp. 1-6, (2020); pp. 1-4, (2009); pp. 311-319, (2017); 3, (2011); pp. 1568-1576, (2011); Ratner B., The correlation coefficient: Its values range between+ 1/− 1, or do they?, J. Target. Meas. Anal. Mark., 17, 2, pp. 139-142, (2009)</t>
  </si>
  <si>
    <t xml:space="preserve">J. Wook Kim; Department of Computer Science, Sangmyung University, Seoul, 03016, South Korea; email: jkim@smu.ac.kr</t>
  </si>
  <si>
    <t xml:space="preserve">JBIOB</t>
  </si>
  <si>
    <t xml:space="preserve">J. Biomed. Informatics</t>
  </si>
  <si>
    <t xml:space="preserve">2-s2.0-85135186213</t>
  </si>
  <si>
    <t xml:space="preserve">Ousseynou</t>
  </si>
  <si>
    <t xml:space="preserve">Figueroa-Miranda G.; Liang Y.; Suranglikar M.; Stadler M.; Samane N.; Tintelott M.; Lo Y.; Tanner J.A.; Vu X.T.; Knoch J.; Ingebrandt S.; Offenhäusser A.; Pachauri V.; Mayer D.</t>
  </si>
  <si>
    <t xml:space="preserve">Figueroa-Miranda, Gabriela (57195370801); Liang, Yuanying (57203621749); Suranglikar, Mohit (57556509600); Stadler, Matthias (57556705000); Samane, Nagesh (57224571977); Tintelott, Marcel (57201326959); Lo, Young (57218106988); Tanner, Julian A. (35513993000); Vu, Xuan T. (25958514500); Knoch, Joachim (26642931300); Ingebrandt, Sven (6603450714); Offenhäusser, Andreas (24491052600); Pachauri, Vivek (59208083300); Mayer, Dirk (7202304034)</t>
  </si>
  <si>
    <t xml:space="preserve">57195370801; 57203621749; 57556509600; 57556705000; 57224571977; 57201326959; 57218106988; 35513993000; 25958514500; 26642931300; 6603450714; 24491052600; 59208083300; 7202304034</t>
  </si>
  <si>
    <t xml:space="preserve">Delineating charge and capacitance transduction in system-integrated graphene-based BioFETs used as aptasensors for malaria detection</t>
  </si>
  <si>
    <t xml:space="preserve">Despite significant eradication efforts, malaria remains a persistent infectious disease with high mortality due to the lack of efficient point-of-care (PoC) screening solutions required to manage low-density asymptomatic parasitemia. In response, we demonstrate a quantitative electrical biosensor based on system-integrated two-dimensional field-effect transistors (2DBioFETs) of reduced graphene oxide (rGO) as transducer for high sensitivity screening of the main malaria biomarker, Plasmodium falciparum lactate dehydrogenase (PfLDH). The 2DBioFETs were biofunctionalized with pyrene-modified 2008s aptamers as specific PfLDH receptors. While we systematically optimize biosensor interface for optimal performance, aptamer-protein transduction at 2DBioFETs is elucidated based on delineation of charge and capacitance in an updated analytical model for two-dimensional rGO/biofunctional layer/electrolyte (2DiBLE) interfaces. Our 2DBioFET-aptasensors display a limit-of-detection down to 0.78 fM (0.11 pg/mL), dynamic ranges over 9 orders of magnitude (subfemto to submicromolar), high sensitivity, and selectivity in human serum validating their diagnostic potential as rapid PoC tests for malarial management. © 2022 Elsevier B.V.</t>
  </si>
  <si>
    <t xml:space="preserve">Biosensors and Bioelectronics</t>
  </si>
  <si>
    <t xml:space="preserve">10.1016/j.bios.2022.114219</t>
  </si>
  <si>
    <t xml:space="preserve">https://www.scopus.com/inward/record.uri?eid=2-s2.0-85127353941&amp;doi=10.1016%2fj.bios.2022.114219&amp;partnerID=40&amp;md5=aa52d723b54e0993f7282d14d348ec18</t>
  </si>
  <si>
    <t xml:space="preserve">Institute of Biological Information Processing, Bioelectronics (IBI-3), Forschungszentrum Jülich GmbH, Jülich, Germany; Institute of Materials in Electrical Engineering 1, RWTH Aachen University, Aachen, Germany; Institute of Polymer Optoelectronic Materials and Devices, State Key Laboratory of Luminescent Materials and Devices, South China University of Technology, Guangdong, China; School of Biomedical Sciences, Li Ka Shing Faculty of Medicine, The University of Hong Kong, Pokfulam, Hong Kong; Institute of Semiconductor Electronics (IHT), RWTH Aachen University, Aachen, Germany</t>
  </si>
  <si>
    <t xml:space="preserve">Figueroa-Miranda G., Institute of Biological Information Processing, Bioelectronics (IBI-3), Forschungszentrum Jülich GmbH, Jülich, Germany, Institute of Materials in Electrical Engineering 1, RWTH Aachen University, Aachen, Germany; Liang Y., Institute of Biological Information Processing, Bioelectronics (IBI-3), Forschungszentrum Jülich GmbH, Jülich, Germany, Institute of Polymer Optoelectronic Materials and Devices, State Key Laboratory of Luminescent Materials and Devices, South China University of Technology, Guangdong, China; Suranglikar M., Institute of Materials in Electrical Engineering 1, RWTH Aachen University, Aachen, Germany; Stadler M., Institute of Materials in Electrical Engineering 1, RWTH Aachen University, Aachen, Germany; Samane N., Institute of Materials in Electrical Engineering 1, RWTH Aachen University, Aachen, Germany; Tintelott M., Institute of Materials in Electrical Engineering 1, RWTH Aachen University, Aachen, Germany; Lo Y., School of Biomedical Sciences, Li Ka Shing Faculty of Medicine, The University of Hong Kong, Pokfulam, Hong Kong; Tanner J.A., School of Biomedical Sciences, Li Ka Shing Faculty of Medicine, The University of Hong Kong, Pokfulam, Hong Kong; Vu X.T., Institute of Materials in Electrical Engineering 1, RWTH Aachen University, Aachen, Germany; Knoch J., Institute of Semiconductor Electronics (IHT), RWTH Aachen University, Aachen, Germany; Ingebrandt S., Institute of Materials in Electrical Engineering 1, RWTH Aachen University, Aachen, Germany; Offenhäusser A., Institute of Biological Information Processing, Bioelectronics (IBI-3), Forschungszentrum Jülich GmbH, Jülich, Germany; Pachauri V., Institute of Materials in Electrical Engineering 1, RWTH Aachen University, Aachen, Germany; Mayer D., Institute of Biological Information Processing, Bioelectronics (IBI-3), Forschungszentrum Jülich GmbH, Jülich, Germany</t>
  </si>
  <si>
    <t xml:space="preserve">Aptamer-protein interaction; Aptasensor; Graphene field-effect transistor; Label-free detection; Malaria detection; Plasmodium falciparum</t>
  </si>
  <si>
    <t xml:space="preserve">Aptamers, Nucleotide; Biosensing Techniques; Graphite; Humans; L-Lactate Dehydrogenase; Limit of Detection; Malaria; Plasmodium falciparum; Bacteriophages; Biosensors; Capacitance; Diagnosis; Field effect transistors; Graphene; Graphene transistors; Proteins; aptamer; electrolyte; graphene oxide; lactate dehydrogenase; pyrene; aptamer; graphite; lactate dehydrogenase; Aptamer-protein interaction; Aptamers; Aptasensors; Graphene field-effect transistors; Label-free detection; Malaria detection; Plasmodium falciparum; Point of care; Protein interaction; Reduced graphene oxides; Article; controlled study; human; limit of detection; malaria; male; Plasmodium falciparum; process optimization; protein analysis; protein interaction; sensitivity analysis; signal transduction; genetic procedures; Diseases</t>
  </si>
  <si>
    <t xml:space="preserve">lactate dehydrogenase, 9001-60-9; lactate dehydrogenase A, ; pyrene, 129-00-0; graphite, 7782-42-5; Aptamers, Nucleotide, ; Graphite, ; L-Lactate Dehydrogenase, </t>
  </si>
  <si>
    <t xml:space="preserve">Deutscher Akademischer Austauschdienst, DAAD, (448904); Deutscher Akademischer Austauschdienst, DAAD; Deutsche Forschungsgemeinschaft, DFG, (391107823, 440055779); Deutsche Forschungsgemeinschaft, DFG; Consejo Nacional de Ciencia y Tecnología, CONACYT; RWTH Aachen University, (OPSF581); RWTH Aachen University</t>
  </si>
  <si>
    <t xml:space="preserve">G. F.-M. gratefully acknowledges the financial support provided by the Mexican National Council for Science and Technology and the German Academic Exchange Service (Grant number: 448904 ). M.S., M.T., X.T.V., S.I, and V.P. acknowledge the financial support from the DFG projects MolPro2Biosens (Grant number: 391107823 ), BioNanoLock (Grant number: 440055779 ), and from RWTH Aachen University under ERS initiative G4Neurotec (Grant number: OPSF581 ). </t>
  </si>
  <si>
    <t xml:space="preserve">Abdolhosseinzadeh S., Asgharzadeh H., Seop Kim H., Fast and fully-scalable synthesis of reduced graphene oxide, Sci. Rep., 5, (2015); Andoy N.M., Filipiak M.S., Vetter D., Gutierrez-Sanz O., Tarasov A., Graphene-based electronic immunosensor with femtomolar detection limit in whole serum, Adv. Mater. Technol., 3, 12, (2018); Ayawei N., Ebelegi A.N., Wankasi D., Modelling and interpretation of adsorption isotherms, J. Chem., (2017); Bae S., Kim H., Lee Y., Xu X., Park J.S., Zheng Y., Balakrishnan J., Lei T., Kim H.R., Song Y.I., Kim Y.J., Kim K.S., Ozyilmaz B., Ahn J.H., Hong B.H., Iijima S., Roll-to-roll production of 30-inch graphene films for transparent electrodes, Nat. Nanotechnol., 5, 8, pp. 574-578, (2010); Chen X., Liu Y., Fang X., Li Z., Pu H., Chang J., Chen J., Mao S., Ultratrace antibiotic sensing using aptamer/graphene-based field-effect transistors, Biosens. Bioelectron., 126, pp. 664-671, (2019); Cheung Y.-W., Kwok J., Law A.W.L., Watt R.M., Kotaka M., Tanner J.A., Structural basis for discriminatory recognition of Plasmodium lactate dehydrogenase by a DNA aptamer, Proc. Natl. Acad. Sci. Unit. States Am., 110, 40, pp. 15967-15972, (2013); Delle L.E., Pachauri V., Sharma S., Shaforost O., Ma H., Adabi M., Lilischkis R., Wagner P., Thoelen R., Klein N., O'Kennedy R., Ingebrandt S., ScFv-modified graphene-coated IDE-arrays for ‘label-free’ screening of cardiovascular disease biomarkers in physiological saline, Biosens. Bioelectron., 102, pp. 574-581, (2018); Figueroa-Miranda G., Feng L., Shiu S.C.-C., Dirkzwager R.M., Cheung Y.-W., Tanner J.A., Schoning M.J., Offenhausser A., Mayer D., Aptamer-based electrochemical biosensor for highly sensitive and selective malaria detection with adjustable dynamic response range and reusability, Sensor. Actuator. B Chem., 255, pp. 235-243, (2018); Figueroa-Miranda G., Wu C., Zhang Y., Norbel L., Lo Y., Alexander Tanner J., Elling L., Offenhausser A., Mayer D., Polyethylene Glycol-Mediated Blocking and Monolayer Morphology of an Electrochemical Aptasensor for Malaria Biomarker Detection in Human Serum, (2020); Figueroa-Miranda G., Chen S., Neis M., Zhou L., Zhang Y., Lo Y., Tanner J.A., Kreidenweiss A., Offenhausser A., Mayer D., Multi-target electrochemical malaria aptasensor on flexible multielectrode arrays for detection in malaria parasite blood samples, Sensor. Actuator. B Chem., 349, (2021); Gao L., Ni G.X., Liu Y., Liu B., Castro Neto A.H., Loh K.P., Face-to-face transfer of wafer-scale graphene films, Nature, 505, 7482, pp. 190-194, (2014); Harris I., Sharrock W.W., Bain L.M., Gray K.-A., Bobogare A., Boaz L., Lilley K., Krause D., Vallely A., Johnson M.-L., Gatton M.L., Shanks G.D., Cheng Q., A large proportion of asymptomatic Plasmodium infections with low and sub-microscopic parasite densities in the low transmission setting of Temotu Province, Solomon Islands: challenges for malaria diagnostics in an elimination setting, Malar. J., 9, 1, (2010); Hartwell S.K., Grudpan K., Flow-based systems for rapid and high-precision enzyme kinetics studies, J. Anal. Methods.Chem., (2012); Heller I., Chatoor S., Mannik J., Zevenbergen M.A.G., Dekker C., Lemay S.G., Influence of electrolyte composition on liquid-gated carbon nanotube and graphene transistors, J. Am. Chem. Soc., 132, 48, pp. 17149-17156, (2010); Jang J.W., Cho C.H., Han E.T., An S.S.A., Lim C.S., pLDH level of clinically isolated Plasmodium vivax and detection limit of pLDH based malaria rapid diagnostic test, Malar. J., 12, 1, (2013); Jariwala D., Sangwan V.K., Lauhon L.J., Marks T.J., Hersam M.C., Carbon nanomaterials for electronics, optoelectronics, photovoltaics, and sensing, Chem. Soc. Rev., 42, 7, pp. 2824-2860, (2013); Kerman K., Saito M., Tamiya E., Yamamura S., Takamura Y., Nanomaterial-based electrochemical biosensors for medical applications, Trac. Trends Anal. Chem., 27, 7, pp. 585-592, (2008); Krampa F.D., Aniweh Y., Awandare G.A., Kanyong P., Recent progress in the development of diagnostic tests for malaria, Diagnostics, 7, 3, (2017); Kumar S., Kurkina T., Ingebrandt S., Pachauri V., Graphene based materials for bioelectronics and healthcare, Org. Bioelectron.Life.Sci.Healthc., 56, pp. 185-242, (2019); Kumar S., Kurkina T., Ingebrandt S., Pachauri V., Graphene Based Materials for Bioelectronics and Healthcare. Organic Bioelectronics for Life Science and Healthcare, pp. 185-242, (2019); Lanche R., Pachauri V., Munief W.-M., Muller A., Schwartz M., Wagner P., Thoelen R., Ingebrandt S., Graphite oxide electrical sensors are able to distinguish single nucleotide polymorphisms in physiological buffers, FlatChem, 7, pp. 1-9, (2018); Lenyk B., Figueroa-Miranda G., Pavlushko I., Lo Y., Tanner J.A., Offenhausser A., Mayer D., Dual-transducer malaria aptasensor combining electrochemical impedance and surface plasmon polariton detection on gold nanohole arrays, Chemelectrochem, 7, 22, pp. 4594-4600, (2020); Lu X., Munief W.-M., Heib F., Schmitt M., Britz A., Grandthyl S., Muller F., Neurohr J.-U., Jacobs K., Benia H.M., Lanche R., Pachauri V., Hempelmann R., Ingebrandt S., Front-End-of-Line integration of graphene oxide for graphene-based electrical platforms, Adv. Mater. Technol., 3, 4, (2018); Mao S., Chang J., Pu H., Lu G., He Q., Zhang H., Chen J., Two-dimensional nanomaterial-based field-effect transistors for chemical and biological sensing, Chem. Soc. Rev., 46, 22, pp. 6872-6904, (2017); Martin S.K., Rajasekariah G.-H., Awinda G., Waitumbi J., Kifude C., Unified parasite lactate dehydrogenase and histidine-rich protein ELISA for quantification of Plasmodium falciparum, Am. J. Trop. Med. Hyg., 80, 4, pp. 516-522, (2009); Mishyn V., Hugo A., Rodrigues T., Aspermair P., Happy H., Marques L., Hurot C., Othmen R., Bouchiat V., Boukherroub R., Knoll W., Szunerits S., The holy grail of pyrene-based surface ligands on the sensitivity of graphene-based field effect transistors, Sensors Diagn., 1, 2, pp. 235-244, (2022); Moody A., Rapid diagnostic tests for malaria parasites, Clin. Microbiol. Rev., 15, 1, pp. 66-78, (2002); Mouatcho J.C., Goldring J.P.D., Malaria rapid diagnostic tests: challenges and prospects, J. Med. Microbiol., 62, 10, pp. 1491-1505, (2013); Novoselov K.S., Geim A.K., Morozov S.V., Jiang D., Zhang Y., Dubonos S.V., Grigorieva I.V., Firsov A.A., Electric field effect in atomically thin carbon films, Science, 306, 5696, pp. 666-669, (2004); Parsa H., Chin C.D., Mongkolwisetwara P., Lee B.W., Wang J.J., Sia S.K., Effect of volume- and time-based constraints on capture of analytes in microfluidic heterogeneous immunoassays, Lab Chip, 8, 12, pp. 2062-2070, (2008); Rani D., Pachauri V., Mueller A., Vu X.T., Nguyen T.C., Ingebrandt S., On the use of scalable NanoISFET arrays of silicon with highly reproducible sensor performance for biosensor applications, ACS Omega, 1, 1, pp. 84-92, (2016); Shoemark D.K., Cliff M.J., Sessions R.B., Clarke A.R., Enzymatic properties of the lactate dehydrogenase enzyme from Plasmodium falciparum, FEBS J., 274, 11, pp. 2738-2748, (2007); Sohn I.-Y., Kim D.-J., Jung J.-H., Yoon O.J., Nguyen Thanh T., Tran Quang T., Lee N.-E., pH sensing characteristics and biosensing application of solution-gated reduced graphene oxide field-effect transistors, Biosens. Bioelectron., 45, pp. 70-76, (2013); Tamanaha C.R., A survey of graphene-based field effect transistors for bio-sensing, Carbon-Based Nanosensor Technology, pp. 165-200, (2019); White N.J., Pukrittayakamee S., Hien T.T., Faiz M.A., Mokuolu O.A., Dondorp A.M., Malaria, Lancet, 383, 9918, pp. 723-735, (2014); Who, World Malaria Report 2021, (2021); Zuccaro L., Krieg J., Desideri A., Kern K., Balasubramanian K., Tuning the isoelectric point of graphene by electrochemical functionalization, Sci. Rep., 5, 1, (2015)</t>
  </si>
  <si>
    <t xml:space="preserve">V. Pachauri; Institute of Materials in Electrical Engineering 1, RWTH Aachen University, Aachen, Germany; email: pachauri@iwe1.rwth-aachen.de; D. Mayer; Institute of Biological Information Processing, Bioelectronics (IBI-3), Forschungszentrum Jülich GmbH, Jülich, Germany; email: dirk.mayer@fz-juelich.de</t>
  </si>
  <si>
    <t xml:space="preserve">BBIOE</t>
  </si>
  <si>
    <t xml:space="preserve">Biosens. Bioelectron.</t>
  </si>
  <si>
    <t xml:space="preserve">2-s2.0-85127353941</t>
  </si>
  <si>
    <t xml:space="preserve">Hamdani H.; Hatta H.R.; Puspitasari N.; Septiarini A.; Henderi</t>
  </si>
  <si>
    <t xml:space="preserve">Hamdani, Hamdani (57203791510); Hatta, Heliza Rahmania (56596337500); Puspitasari, Novianti (57202300216); Septiarini, Anindita (56530676100); Henderi (57205294521)</t>
  </si>
  <si>
    <t xml:space="preserve">57203791510; 56596337500; 57202300216; 56530676100; 57205294521</t>
  </si>
  <si>
    <t xml:space="preserve">Dengue classification method using support vector machines and cross-validation techniques</t>
  </si>
  <si>
    <t xml:space="preserve">Dengue is a dangerous disease that can lead to death if the diagnosis and treatment are inappropriate. The common symptoms that occur, including headache, muscle aches, fever, and rash. Dengue is a disease that causes endemics in several countries in South Asia and Southeast Asia. There are three varieties of dengue, such as dengue fever (DF), dengue hemorrhagic fever (DHF), and dengue shock syndrome (DSS). This disease can currently be classified using a machine learning approach with the input data being the dengue symptoms. This study aims to classify dengue types consisting of three classes: DF, DHF, and DSS using five classification methods including C.45, decision tree (DT), k-nearest neighbor (KNN), random forest (RF), and support vector machine (SVM). The dataset used consists of 21 attributes, which are the dengue symptoms. It was collected from 110 patients. The evaluation method was conducted using cross-validation with k-folds of 3, 5, and 10. The dengue classification method was evaluated using three parameters: precision, recall, and accuracy, which were most optimally achieved. The most optimal evaluation results were obtained using SVM with k-fold 3 and 10 with precision, recall, and accuracy values reaching 99.1%, 99.1%, and 99.1%, respectively. © 2022, Institute of Advanced Engineering and Science. All rights reserved.</t>
  </si>
  <si>
    <t xml:space="preserve">IAES International Journal of Artificial Intelligence</t>
  </si>
  <si>
    <t xml:space="preserve">10.11591/ijai.v11.i3.pp1119-1129</t>
  </si>
  <si>
    <t xml:space="preserve">https://www.scopus.com/inward/record.uri?eid=2-s2.0-85133143096&amp;doi=10.11591%2fijai.v11.i3.pp1119-1129&amp;partnerID=40&amp;md5=bb545de68f445fa4338eb035004a62f7</t>
  </si>
  <si>
    <t xml:space="preserve">Department of Informatics, Engineering Faculty, Mulawarman University, Samarinda, Indonesia; Informatics Engineering, Faculty of Science and Technology, University of Raharja, Tangerang, Indonesia</t>
  </si>
  <si>
    <t xml:space="preserve">Hamdani H., Department of Informatics, Engineering Faculty, Mulawarman University, Samarinda, Indonesia; Hatta H.R., Department of Informatics, Engineering Faculty, Mulawarman University, Samarinda, Indonesia; Puspitasari N., Department of Informatics, Engineering Faculty, Mulawarman University, Samarinda, Indonesia; Septiarini A., Department of Informatics, Engineering Faculty, Mulawarman University, Samarinda, Indonesia; Henderi, Informatics Engineering, Faculty of Science and Technology, University of Raharja, Tangerang, Indonesia</t>
  </si>
  <si>
    <t xml:space="preserve">Classification; Cross validation; Dengue; Machine learning; Support vector machine</t>
  </si>
  <si>
    <t xml:space="preserve">Mulawarman University</t>
  </si>
  <si>
    <t xml:space="preserve">The author would like to thank the Faculty of Engineering, Mulawarman University, Indonesia, for funding the research in 2021.</t>
  </si>
  <si>
    <t xml:space="preserve">Saibene A., Assale M., Giltri M., Expert systems: Definitions, advantages and issues in medical field applications, Expert Systems with Applications, 177, (2021); Septiarini A., Harjoko A., Pulungan R., Ekantini R., Automated detection of retinal nerve fiber layer by texture-based analysis for glaucoma evaluation, Healthcare Informatics Research, 24, 4, pp. 335-345, (2018); Al-Khowarizmi A.-K., Suherman S., Classification of skin cancer images by applying simple evolving connectionist system, IAES International Journal of Artificial Intelligence (IJ-AI), 10, 2, pp. 421-429, (2021); Rustam Z., Purwanto A., Hartini S., Saragih G. S., Lung cancer classification using fuzzy c-means and fuzzy kernel C-Means based on CT scan image, IAES International Journal of Artificial Intelligence (IJ-AI), 10, 2, pp. 291-297, (2021); Ashwini S. R., Nagaraj H. C., Classification of EEG signal using EACA based approach at SSVEP-BCI, IAES International Journal of Artificial Intelligence (IJ-AI), 10, 3, pp. 717-726, (2021); Mashudi N. A., Ahmad N., Noor N. M., Classification of adult autistic spectrum disorder using machine learning approach, IAES International Journal of Artificial Intelligence (IJ-AI), 10, 3, pp. 743-751, (2021); Feretzakis G., Et al., Machine learning for antibiotic resistance prediction: a prototype using off-the-shelf techniques and entry-level data to guide empiric antimicrobial therapy, Healthcare Informatics Research, 27, 3, pp. 214-221, (2021); Aurelia J. E., Rustam Z., Wirasati I., Hartini S., Saragih G. S., Hepatitis classification using support vector machines and random forest, IAES International Journal of Artificial Intelligence (IJ-AI), 10, 2, pp. 446-451, (2021); Mohite U. L., Patel H. G., Optimization assisted Kalman filter for cancer chemotherapy dosage estimation, Artificial Intelligence in Medicine, 119, (2021); Septiarini A., Harjoko A., Pulungan R., Ekantini R., Automatic detection of peripapillary atrophy in retinal fundus images using statistical features, Biomedical Signal Processing and Control, 45, pp. 151-159, (2018); Abhari S., Niakan Kalhori S. R., Ebrahimi M., Hasannejadasl H., Garavand A., Artificial intelligence applications in type 2 diabetes mellitus care: focus on machine learning methods, Healthcare Informatics Research, 25, 4, pp. 248-261, (2019); Rustam Z., Zhafarina F., Saragih G. S., Hartini S., Pancreatic cancer classification using logistic regression and random forest, IAES International Journal of Artificial Intelligence (IJ-AI), 10, 2, pp. 476-481, (2021); Patel J. J., Hadia S. K., An enhancement of mammogram images for breast cancer classification using artificial neural networks, IAES International Journal of Artificial Intelligence (IJ-AI), 10, 2, pp. 332-345, (2021); Septiarini A., Hamdani H., Khairina D. M., The contour extraction of cup in fundus images for glaucoma detection, International Journal of Electrical and Computer Engineering (IJECE), 6, 6, pp. 2797-2804, (2016); Adak S., Jana S., A model to assess dengue using type 2 fuzzy inference system, Biomedical Signal Processing and Control, 63, (2021); Gangula R., Thirupathi L., Parupati R., Sreeveda K., Gattoju S., Ensemble machine learning based prediction of dengue disease with performance and accuracy elevation patterns, Materials Today: Proceedings, (2021); Hoyos W., Aguilar J., Toro M., Dengue models based on machine learning techniques: A systematic literature review, Artificial Intelligence in Medicine, 119, (2021); Ajlan B. A., Alafif M. M., Alawi M. M., Akbar N. A., Aldigs E. K., Madani T. A., Assessment of the new World Health Organization’s dengue classification for predicting severity of illness and level of healthcare required, PLOS Neglected Tropical Diseases, 13, 8, (2019); Abid H., Malik M., Abid F., Wahiddin M. R., Mahmood N., Memon I., Global health action nature of complex network of dengue epidemic as scale-free network, Healthcare Informatics Research, 25, 3, pp. 182-192, (2018); Sasmono R. T., Et al., Molecular epidemiology of dengue in North Kalimantan, a province with the highest incidence rates in Indonesia in 2019, Infection, Genetics and Evolution, 95, (2021); Kamel Boulos M. N., Expert system shells for rapid clinical decision support module development: An ESTA demonstration of a simple rule-based system for the diagnosis of vaginal discharge, Healthcare Informatics Research, 18, 4, (2012); Sicilia R., Merone M., Valenti R., Soda P., Rule-based space characterization for rumour detection in health, Engineering Applications of Artificial Intelligence, 105, (2021); Shishehchi S., Banihashem S. Y., A rule based expert system based on ontology for diagnosis of ITP disease, Smart Health, 21, (2021); Septiarini A., Pulungan R., Harjoko A., Ekantini R., Peripapillary atrophy detection in fundus images based on sectors with scan lines approach, 2018 Third International Conference on Informatics and Computing (ICIC), pp. 1-6, (2018); Tougui I., Jilbab A., El Mhamdi J., Impact of the choice of cross-validation techniques on the results of machine learning-based diagnostic applications, Healthcare Informatics Research, 27, 3, pp. 189-199, (2021); Septiarini A., Khairina D. M., Kridalaksana A. H., Hamdani H., Automatic glaucoma detection method applying a statistical approach to fundus images, Healthcare Informatics Research, 24, 1, pp. 53-60, (2018); Baitharu T. R., Subhendu K. P., Dhal S. K., Comparison of kernel selection for support vector machines using diabetes dataset, Journal of Computer Sciences and Applications, 3, 6, pp. 181-184, (2016); Jenhani I., Ben Amor N., Elouedi Z., Decision trees as possibilistic classifiers, International Journal of Approximate Reasoning, 48, 3, pp. 784-807, (2008); Deng X., Liu Q., Deng Y., Mahadevan S., An improved method to construct basic probability assignment based on the confusion matrix for classification problem, Information Sciences, 340, 341, pp. 250-261, (2016)</t>
  </si>
  <si>
    <t xml:space="preserve">A. Septiarini; Department of Informatics, Engineering Faculty, Mulawarman University, Samarinda, Jl. Sambaliung No. 9, Indonesia; email: anindita@unmul.ac.id</t>
  </si>
  <si>
    <t xml:space="preserve">IAES Int. J. Artif. Intell.</t>
  </si>
  <si>
    <t xml:space="preserve">2-s2.0-85133143096</t>
  </si>
  <si>
    <t xml:space="preserve">Khan M.A.R.; Akter J.; Ahammad I.; Ejaz S.; Jaman Khan T.</t>
  </si>
  <si>
    <t xml:space="preserve">Khan, Md. Ashikur Rahman (36727738800); Akter, Jony (57959286400); Ahammad, Ishtiaq (57222013965); Ejaz, Sabbir (57194219305); Jaman Khan, Tanvir (57959513900)</t>
  </si>
  <si>
    <t xml:space="preserve">36727738800; 57959286400; 57222013965; 57194219305; 57959513900</t>
  </si>
  <si>
    <t xml:space="preserve">Dengue outbreaks prediction in Bangladesh perspective using distinct multilayer perceptron NN and decision tree</t>
  </si>
  <si>
    <t xml:space="preserve">Dengue fever is a disease that has been outbreak worldwide in the last few years. Dengue is a fatal disease; sometimes, it may cause life-threatening complications and even death. Dengue is considered to be one of the critical diseases which is spreading in more than 110 countries. Nearly 45,000 case reports have been found around Bangladesh in the last year. Dengue fever has become a major health hazard in Bangladesh. Hence, early detection would mitigate major casualties of Dengue disease. Distinct studies have been performed concerning Dengue disease; however, no effective study, particularly from Bangladesh's perspective, it seemed that reveals Dengue outbreaks prediction method. In this scenario, this research work aims to analyse the Dengue disease and build an apposite model to predict dengue outbreaks. This paper also aims to find the best technique to early predicts Dengue disease. The real-time data of the patients admitted to different hospitals in Bangladesh is accumulated to achieve the goal of the current research. Then different multilayer perceptron neural networks and a Decision tree are used for Dengue outbreaks prediction. Twenty-five parameters are analysed to find these parameters' infection rates in this work. A comparative study of the developed models' performances is also accomplished to obtain a better Dengue outbreaks prediction model. The results evidence that the Levenberg–Marquardt is the best technique with 97.3% accuracy and 2.7% error in Dengue disease prediction. On the other hand, the Decision tree may have the second choice to assess Dengue disease. © 2022, The Author(s), under exclusive licence to Springer Nature Switzerland AG.</t>
  </si>
  <si>
    <t xml:space="preserve">Health Information Science and Systems</t>
  </si>
  <si>
    <t xml:space="preserve">10.1007/s13755-022-00202-x</t>
  </si>
  <si>
    <t xml:space="preserve">https://www.scopus.com/inward/record.uri?eid=2-s2.0-85141557747&amp;doi=10.1007%2fs13755-022-00202-x&amp;partnerID=40&amp;md5=6fe47cbcc562e9380a6499e8252468bb</t>
  </si>
  <si>
    <t xml:space="preserve">Department of Information and Communication Engineering, Noakhali Science and Technology University, Noakhali, 3814, Bangladesh; Department of Computer Science and Engineering, Prime University, Dhaka, Bangladesh</t>
  </si>
  <si>
    <t xml:space="preserve">Khan M.A.R., Department of Information and Communication Engineering, Noakhali Science and Technology University, Noakhali, 3814, Bangladesh; Akter J., Department of Information and Communication Engineering, Noakhali Science and Technology University, Noakhali, 3814, Bangladesh; Ahammad I., Department of Computer Science and Engineering, Prime University, Dhaka, Bangladesh; Ejaz S., Department of Information and Communication Engineering, Noakhali Science and Technology University, Noakhali, 3814, Bangladesh; Jaman Khan T., Department of Information and Communication Engineering, Noakhali Science and Technology University, Noakhali, 3814, Bangladesh</t>
  </si>
  <si>
    <t xml:space="preserve">Decision tree; Dengue outbreaks; Disease; Multilayer perceptron; Neural networks</t>
  </si>
  <si>
    <t xml:space="preserve">algorithm; Article; artificial neural network; Bangladesh; controlled study; data extraction; decision tree; deep learning; dengue; diagnostic test accuracy study; human; infection rate; information processing; perceptron; performance; prediction; receiver operating characteristic; training; validation study</t>
  </si>
  <si>
    <t xml:space="preserve">General Hospital; Good Heal Hospital; Laboratory of Information and Communication Engineering Department; Patuakhali Science and Technology University, PSTU</t>
  </si>
  <si>
    <t xml:space="preserve">We are thankful to the distinct hospitals suited at Noakhali and Dhaka, including General Hospital, Sadar Noakhali; Prime Hospital, Sadar, Noakhali; Good Heal Hospital, Sadar, Noakhali. We also want to express our earnest gratitude to the patients who provided the required data. Besides, we acknowledge the persons working in the Laboratory of Information and Communication Engineering Department, Noakhali Science and Technology University, who have always helped us complete this work successfully. Finally, but not least, we are very much thankful to the Research Cell, Noakhali Science and Technology University, for her small financial support.</t>
  </si>
  <si>
    <t xml:space="preserve">Dengue and severe dengue, World Health Organization; Nishanthi P.H.M., Perera A.A.I., Wijekoon H.P., Prediction of dengue outbreaks in Sri Lanka using artificial neural networks, Int J Comput Appl, 101, 15, (2014); Mamun M.A., Misti J.M., Griffiths M.D., Gozal D., The dengue epidemic in Bangladesh: risk factors and actionable items, The Lancet, 394, pp. 2149-2150, (2019); Karim M.N., Munshi S.U., Anwar N., Alam M.S., Climatic factors influencing dengue cases in Dhaka city: a model for dengue prediction, Indian J Med Res, 136, 1, pp. 32-39, (2012); Mutsuddy P., Tahmina Jhora S., Shamsuzzaman A.K.M., Kaisar S.M., Khan M.N.A., Dengue situation in Bangladesh: An epidemiological shift in terms of morbidity and mortality, Can J Infect Dis Med Microbiol, (2019); Li C., Lu Y., Liu J., Wu X., Climate change and dengue fever transmission in China: evidence and challenges, Sci Total Environ, 622-623, pp. 493-501, (2018); Ali M., Wagatsuma Y., Emch M., Breiman R.F., Use of a geographic information system for defining spatial risk for dengue transmission in Bangladesh: role for Aedes albopictus in an urban outbreak, Am J Trop Med Hyg, 69, 6, pp. 634-640, (2003); Farooqi W., Ali S., A critical study of selected classification algorithms for dengue fever and dengue hemorrhagic fever, 2013 11Th International Conference on Frontiers of Information Technology, (2013); Aburas H.M., Cetiner B.G., Sari M., Dengue confirmed-cases prediction: a neural network model, Expert Syst Appl, 37, 6, pp. 4256-4260, (2010); Cetiner B.G., Sari M., Aburas H.M., Recognition of dengue disease patterns using artificial neural networks, In 5Th International Advanced Technologies Symposium (IATS'09), (2009); Munasinghe A., Premaratne H., Fernando M.G.N.A.S., Towards an early warning system to combat dengue, Int J Comput Sci Electron Eng, 1, 2, pp. 252-256, (2013); Balasaravanan K., Prakash M., Detection of dengue disease using artificial neural network-based classification technique, Int J Eng Technol, 7, 13, pp. 13-15, (2018); Ughelli V., Et al., Prediction of dengue cases in paraguay using artificial neural networks, . In: The 3Rd Int'l Conf on Health Informatics and Medical Systems, (2017); Paul K.K., Dhar-Chowdhury P., Haque C.E., Al-Amin H.M., Goswami D.R., Kafi M.A.H., Drebot M.A., Lindsay L.R., Ahsan G.U., Brooks W.A., Risk factors for the presence of dengue vector mosquitoes, and determinants of their prevalence and larval site selection in Dhaka, Bangladesh, PLoS ONE, 13, 6, (2018); Siriyasatien P., Phumee A., Ongruk P., Jampachaisri K., Kesorn K., Analysis of significant factors for dengue fever incidence prediction, BMC Bioinform, 17, 166, pp. 2-9, (2016); Ahmed N., Shoaib M., Ishaq A., Wahab A., Role of expert systems in identification and overcoming of dengue fever, Int J Adv Comput Sci Appl, 8, 10, pp. 82-89, (2017); Ibrahim F., Taib M.N., Abas W.A.B.W., Guan C.C., Sulaiman S., A novel dengue fever (DF) and dengue haemorrhagic fever (DHF) analysis using artificial neural network (ANN), Comput Methods Prog Biomed, 79, 3, pp. 273-281, (2005); Husin N.A., Salim N., Modeling of dengue outbreak prediction in Malaysia: A comparison of neural network and nonlinear regression model, 2008 International Symposium on Information Technology. 3, (2008); Rachata N., . Automatic prediction system of dengue haemorrhagic-fever outbreak risk by using entropy and artificial neural network, In 2008 International Symposium on Communications and Information Technologies, (2008); Balamurugan S.A., Mallick M.M., Chinthana G., Improved prediction of dengue outbreak using combinatorial feature selector and classifier based on entropy weighted score based optimal ranking, Inform Med Unlocked, 20, (2020); Ibrahim F., Faisal T., Mohamad Salim M.I., Taib M.N., Non-invasive diagnosis of risk in dengue patients using bioelectrical impedance analysis and artificial neural network, Med Biol Eng Comput, 48, 11, pp. 1141-1148, (2010); Yusof Y., Mustaffa Z., Dengue outbreak prediction: a least squares support vector machines approach, Int J Comput Theory Eng, 3, 4, (2011); Mello-Roman J.D., Mello-Roman J.C., Gomez-Guerrero S., Garcia-Torres M., Predictive models for the medical diagnosis of dengue: a case study in Paraguay, Comput Math Methods Med, 2019, pp. 1-7, (2019); Fathima S., Hundewale N., Comparison of classification techniques-SVM and naive Bayes to predict the Arboviral Disease-Dengue, 2011 IEEE International Conference on Bioinformatics and Biomedicine Workshops (BIBMW, (2011); Shakil K.A., Anis S., Alam M., Dengue disease prediction using weka data mining tool, Arxiv Preprint, 1502, (2015); Iqbal N., Islam M., Machine learning for dengue outbreak prediction: an outlook, Int J Adv Res Comput Sci, 8, 1, pp. 93-102, (2017); Wu Y., Lee G., Fu X., Hung T., Detect climatic factors contributing to dengue outbreak based on wavelet, support vector machines and genetic algorithm, In: Proceedings of the World Congress on Engineering 2008. 1, WCE 2008, (2013); Thitiprayoonwongse D., Suriyaphol P., Soonthornphisaj N., Data mining of dengue infection using decision tree, Entropy, 2, (2012); Bhavani M., Vinod Kumar S., A data mining approach for precise diagnosis of dengue fever, Int J Latest Trends Eng Technol, 7, 4, (2016); Sajana T., Navya M., Gayathri Y.V.S.S.V., Reshma N., Classification of dengue using machine learning techniques, Int J Eng Technol, 7, pp. 212-218, (2018); Shaukat K., Masood N., Mehreen S., Azmeen U., Dengue fever prediction: a data mining problem, J. Data Min. Genom. Proteom., 2015, pp. 1-5, (2015); Sahani M., Ali Z.M., Feature selection algorithms for Malaysian dengue outbreak detection model, Sains Malaysiana, 46, 2, pp. 255-265, (2017)</t>
  </si>
  <si>
    <t xml:space="preserve">M.A.R. Khan; Department of Information and Communication Engineering, Noakhali Science and Technology University, Noakhali, 3814, Bangladesh; email: ashik@nstu.edu.bd</t>
  </si>
  <si>
    <t xml:space="preserve">Health Inf. Sci. Syst.</t>
  </si>
  <si>
    <t xml:space="preserve">2-s2.0-85141557747</t>
  </si>
  <si>
    <t xml:space="preserve">Jabbar M.A.; Radhi A.M.</t>
  </si>
  <si>
    <t xml:space="preserve">Jabbar, Mohammed AbdulAmeer (57459480200); Radhi, Abdulkareem Merhej (57210932396)</t>
  </si>
  <si>
    <t xml:space="preserve">57459480200; 57210932396</t>
  </si>
  <si>
    <t xml:space="preserve">Diagnosis of Malaria Infected Blood Cell Digital Images using Deep Convolutional Neural Networks</t>
  </si>
  <si>
    <t xml:space="preserve">Automated medical diagnosis is an important topic, especially in detection and classification of diseases. Malaria is one of the most widespread diseases, with more than 200 million cases, according to the 2016 WHO report. Malaria is usually diagnosed using thin and thick blood smears under a microscope. However, proper diagnosis is difficult, especially in poor countries where the disease is most widespread. Therefore, automatic diagnostics helps in identifying the disease through images of red blood cells, with the use of machine learning techniques and digital image processing. This paper presents an accurate model using a Deep Convolutional Neural Network build from scratch. The paper also proposed three CNN models each one trained on the Malaria RBC dataset with different architectures for handling the classification tasks. Furthermore, disadvantage of the traditional method of using transfer learning, and how to control model complexity to achieve better performance was discussed. The dropout regularization technique was used to avoid overfitting problems and minimize validation loss. Applying Data Augmentation technique to avoid the problem of small data in training of proposed models, which is a very common problem in medical dataset. Finally, removing noise in Malaria images using a Median blur filter, and studying how effects of that on training CNN models. According to the classification results, the proposed model achieved better classification results at accuracy 99.22 on the original Malaria RBCs dataset, and it has the best performance comparing with related work. © 2022 University of Baghdad-College of Science. All rights reserved.</t>
  </si>
  <si>
    <t xml:space="preserve">Iraqi Journal of Science</t>
  </si>
  <si>
    <t xml:space="preserve">University of Baghdad-College of Science</t>
  </si>
  <si>
    <t xml:space="preserve">10.24996/ijs.2022.63.1.35</t>
  </si>
  <si>
    <t xml:space="preserve">https://www.scopus.com/inward/record.uri?eid=2-s2.0-85124987611&amp;doi=10.24996%2fijs.2022.63.1.35&amp;partnerID=40&amp;md5=f2c152106aad0d46d52c445411adb531</t>
  </si>
  <si>
    <t xml:space="preserve">Al-Nahrain University, Baghdad, Iraq</t>
  </si>
  <si>
    <t xml:space="preserve">Jabbar M.A., Al-Nahrain University, Baghdad, Iraq; Radhi A.M., Al-Nahrain University, Baghdad, Iraq</t>
  </si>
  <si>
    <t xml:space="preserve">Automated diagnosis system; Convolutional Neural Network; Deep Learning; Malaria classification and detection; Medical Image Classification</t>
  </si>
  <si>
    <t xml:space="preserve">World Malaria Report, (2017); Organization W. H., Malaria microscopy quality assurance manual-version 2, (2016); Kermany D. S., Et al., Identifying medical diagnoses and treatable diseases by image-based deep learning, 172, 5, pp. 1122-1131, (2018); Rosado L., Da Costa J. M. C., Elias D., Cardoso J. S. J. P. C. S., Automated detection of malaria parasites on thick blood smears via mobile devices, 90, pp. 138-144, (2016); Dong Y., Et al., Evaluations of deep convolutional neural networks for automatic identification of malaria infected cells, 2017 IEEE EMBS International Conference on Biomedical &amp; Health Informatics (BHI), pp. 101-104, (2017); Usha D., Mallikarjunaswamy M., Detection of Malaria Based on the Blood Smear Images Using Image Processing Techniques; Devi S. S., Roy A., Singha J., Sheikh S. A., Laskar R. H., Malaria infected erythrocyte classification based on a hybrid classifier using microscopic images of thin blood smear, Multimedia Tools and Applications, 77, 1, pp. 631-660, (2018); Poostchi M., Silamut K., Maude R. J., Jaeger S., Thoma G., Image analysis and machine learning for detecting malaria, Translational Research, 194, pp. 36-55, (2018); Sadafi A., Radolko M., Serafeimidis I., Hadlak S., Red Blood Cells Segmentation: A Fully Convolutional Network Approach, 2018 IEEE Intl Conf on Parallel &amp; Distributed Processing with Applications, Ubiquitous Computing &amp; Communications, Big Data &amp; Cloud Computing, Social Computing &amp; Networking, Sustainable Computing &amp; Communications (ISPA/IUCC/BDCloud/SocialCom/SustainCom), pp. 911-914, (2018); Militante S. V., Malaria Disease Recognition through Adaptive Deep Learning Models of Convolutional Neural Network, 2019 IEEE 6th International Conference on Engineering Technologies and Applied Sciences (ICETAS), pp. 1-6, (2019); Kumari U., Memon M. M., Narejo S., Afzal M., Malaria Disease Detection Using Machine Learning; Goodfellow I., Bengio Y., Courville A., Bengio Y., Deep learning, (2016); Russakovsky O., Et al., Imagenet large scale visual recognition challenge, 115, 3, pp. 211-252, (2015); Krizhevsky A., Sutskever I., Hinton G. E., Imagenet classification with deep convolutional neural networks, Advances in neural information processing systems, pp. 1097-1105, (2012); Liu X., Deng Z., Yang Y. J. A. I. R., Recent progress in semantic image segmentation, 52, 2, pp. 1089-1106, (2019); Guo T., Dong J., Li H., Gao Y., Simple convolutional neural network on image classification, 2017 IEEE 2nd International Conference on Big Data Analysis (ICBDA), pp. 721-724, (2017); Rawat W., Wang Z. J. N. c., Deep convolutional neural networks for image classification: A comprehensive review, 29, 9, pp. 2352-2449, (2017); Yamashita R., Nishio M., Do R., Togashi K., Convolutional neural networks: An overview and application in radiology, Insights Imaging, 9, 4, pp. 611-629, (2018); Srivastava N., Hinton G., Krizhevsky A., Sutskever I., Salakhutdinov R. J. T. j. o. m. l. r., Dropout: A simple way to prevent neural networks from overfitting, 15, 1, pp. 1929-1958, (2014); Bjerrum E. J. J. a. p. a., SMILES enumeration as data augmentation for neural network modeling of molecules, (2017)</t>
  </si>
  <si>
    <t xml:space="preserve">M.A. Jabbar; Al-Nahrain University, Baghdad, Iraq; email: mohammedaji86@gmail.com</t>
  </si>
  <si>
    <t xml:space="preserve">Iraqi J. Sci.</t>
  </si>
  <si>
    <t xml:space="preserve">2-s2.0-85124987611</t>
  </si>
  <si>
    <t xml:space="preserve">Barajas-Solano C.; Muñoz B.; Chicano-Gálvez E.; Escobar P.; Mejía-Ospino E.</t>
  </si>
  <si>
    <t xml:space="preserve">Barajas-Solano, Crisostomo (57196081266); Muñoz, Betsy (57209217557); Chicano-Gálvez, Eduardo (37036960800); Escobar, Patricia (7003302950); Mejía-Ospino, Enrique (57188593669)</t>
  </si>
  <si>
    <t xml:space="preserve">57196081266; 57209217557; 37036960800; 7003302950; 57188593669</t>
  </si>
  <si>
    <t xml:space="preserve">Discriminator for Cutaneous Leishmaniasis Using MALDI-MSI in a Murine Model</t>
  </si>
  <si>
    <t xml:space="preserve">Cutaneous leishmaniasis is a skin disease caused by flagellate protozoa of the genus Leishmania and transmitted by sandflies of the genus Lutzomyia. Around 1 million new cases occur in the world annually, with a total of 12 million people affected, mainly in rural areas with low access to health services and adequate treatments. In the area of the Americas, Colombia has one of the highest infection rates after Brazil. Topical treatments with pentamidine isethionate (PMD) present an attractive alternative due to their ease of application and low costs. However, cutaneous leishmaniasis lesions present nodules with seropurulent exudate that, when drying, form hyperkeratotic lesions, hindering the effective penetration of drugs for their treatment. The use of molecular histology techniques, such as MALDI-MSI, allow in situ evaluation of the penetration of the treatment to the sections of the dermis where the disease-causing parasite resides. However, the large volume of information generated makes it impossible to process it manually. Machine learning techniques allow the unsupervised processing of large amounts of information, generating prediction models for the classification of new information. This work proposes a low-cost method to generate cutaneous leishmaniasis detection and classification models using MALDI-MSI images taken from murine models. The proposed models allow a 95% efficiency when separating healthy samples from infected samples and an effectiveness of 67% when separating effectively treated samples from unsuccessfully treated samples. © 2022 Springer New York LLC. All rights reserved.</t>
  </si>
  <si>
    <t xml:space="preserve">Journal of the American Society for Mass Spectrometry</t>
  </si>
  <si>
    <t xml:space="preserve">10.1021/jasms.2c00015</t>
  </si>
  <si>
    <t xml:space="preserve">https://www.scopus.com/inward/record.uri?eid=2-s2.0-85131061964&amp;doi=10.1021%2fjasms.2c00015&amp;partnerID=40&amp;md5=f8afb3fa2185da16a329fe29b3ca272e</t>
  </si>
  <si>
    <t xml:space="preserve">Systems Engineering Department, Universidad de Investigación y Desarrollo, Barrancabermeja, 687033, Colombia; Center of Research in Tropical Diseases (CINTROP), Universidad Industrial de Santander, Bucaramanga, 680002, Colombia; Maimónides Institute of Biomedical Research of Córdoba (IMIBIC), Proteomic Unit, Córdoba, 14004, Spain; Laboratorio de Espectroscopia Atómica y Molecular (LEAM), Universidad Industrial de Santander, Bucaramanga, 680002, Colombia</t>
  </si>
  <si>
    <t xml:space="preserve">Barajas-Solano C., Systems Engineering Department, Universidad de Investigación y Desarrollo, Barrancabermeja, 687033, Colombia; Muñoz B., Center of Research in Tropical Diseases (CINTROP), Universidad Industrial de Santander, Bucaramanga, 680002, Colombia; Chicano-Gálvez E., Maimónides Institute of Biomedical Research of Córdoba (IMIBIC), Proteomic Unit, Córdoba, 14004, Spain; Escobar P., Center of Research in Tropical Diseases (CINTROP), Universidad Industrial de Santander, Bucaramanga, 680002, Colombia; Mejía-Ospino E., Laboratorio de Espectroscopia Atómica y Molecular (LEAM), Universidad Industrial de Santander, Bucaramanga, 680002, Colombia</t>
  </si>
  <si>
    <t xml:space="preserve">cutaneous leishmaniasis; machine learning; MALDI-MSI; murine model</t>
  </si>
  <si>
    <t xml:space="preserve">Animals; Disease Models, Animal; Humans; Leishmaniasis, Cutaneous; Mice; Psychodidae; Spectrometry, Mass, Matrix-Assisted Laser Desorption-Ionization; United States; Classification (of information); Costs; Machine learning; Colombia; Cutaneous leishmaniasis; Health services; Infection rates; Leishmania; MALDI-MSI; Murine model; New case; Skin disease; Topical treatments; algorithm; animal experiment; animal model; animal tissue; Article; classification; Colombia; controlled study; cutaneous leishmaniasis; dermis; dimensionality reduction; histopathology; machine learning; matrix-assisted laser desorption-ionization mass spectrometry; molecular diagnosis; mouse; murine model; nonhuman; prediction; animal; cutaneous leishmaniasis; disease model; human; matrix-assisted laser desorption-ionization mass spectrometry; parasitology; Psychodidae; United States; Discriminators</t>
  </si>
  <si>
    <t xml:space="preserve">GeForce GTX 1050 Ti, NVIDIA; TOF/TOF 5800, AB Sciex, United States; TOF/TOF Series Explorer software</t>
  </si>
  <si>
    <t xml:space="preserve">AB Sciex, United States; NVIDIA</t>
  </si>
  <si>
    <t xml:space="preserve">Buchberger A.R., DeLaney K., Johnson J., Li L., Mass Spectrometry Imaging: A Review of Emerging Advancements and Future Insights, Anal. Chem., 90, pp. 240-265, (2018); Holzlechner M., Bonta M., Lohninger H., Limbeck A., Marchetti-Deschmann M., Multisensor Imaging─From Sample Preparation to Integrated Multimodal Interpretation of LA-ICPMS and MALDI MS Imaging Data, Anal. Chem., 90, pp. 8831-8837, (2018); Leinweber B.D., Tsaprailis G., Monks T.J., Lau S.S., Improved MALDI-TOF imaging yields increased protein signals at high molecular mass, J. Am. Soc. Mass Spectrom., 20, pp. 89-95, (2009); Reyzer M.L., Caprioli R.M., MALDI-MS-based imaging of small molecules and proteins in tissues, Curr. Opin. Chem. Biol., 11, pp. 29-35, (2007); Laskin J., Lanekoff I., Ambient Mass Spectrometry Imaging Using Direct Liquid Extraction Techniques, Anal. Chem., 88, pp. 52-73, (2016); Akhoundi M., Kuhls K., Cannet A., Votypka J., Marty P., Delaunay P., Sereno D., A Historical Overview of the Classification, Evolution, and Dispersion of Leishmania Parasites and Sandflies, PLoS Neglected Trop. Dis., 10, (2016); Garcia-Almagro D., Leishmaniasis cutánea, Actas Dermo-Sifiliogr., 96, pp. 1-24, (2005); Munoz B.Y., Mantilla J.C., Escobar P., Therapeutic response and safety of the topical, sequential use of antiseptic, keratolytic, and pentamidine creams (3-PACK) on Leishmania (Viannia) braziliensis-infected mice, Mem. Inst. Oswaldo Cruz, 114, (2019); Roddy T.P., Donald M.C., Ostrowski S.G., Winograd N., Ewing A.G., Identification of Cellular Sections with Imaging Mass Spectrometry Following Freeze Fracture, Anal. Chem., 74, pp. 4020-4026, (2002); Murta T., Steven R.T., Nikula C.J., Thomas S.A., Zeiger L.B., Dexter A., Elia E.A., Yan B., Campbell A.D., Goodwin R.J.A., Takats Z., Sansom O.J., Bunch J., Implications of Peak Selection in the Interpretation of Unsupervised Mass Spectrometry Imaging Data Analyses, Anal. Chem., 93, pp. 2309-2316, (2021); Alexandrov T., MALDI imaging mass spectrometry: statistical data analysis and current computational challenges, BMC Bioinf, 13, (2012); Abdelmoula W.M., Balluff B., Englert S., Dijkstra J., Reinders M.J.T., Walch A., McDonnell L.A., Lelieveldt B.P.F., Data-driven identification of prognostic tumor subpopulations using spatially mapped t-SNE of mass spectrometry imaging data, Proc. Natl. Acad. Sci., India, 113, pp. 12244-12249, (2016); Verbeeck N., Caprioli R.M., De Plas R.V., Unsupervised machine learning for exploratory data analysis in imaging mass spectrometry, Mass Spectrom. Rev., 39, pp. 245-291, (2020); Ester M., Kriegel H.-P., Sander J., Xu X., A Density-Based Algorithm for Discovering Clusters in Large Spatial Databases with Noise, pp. 226-231, (1996); Sarycheva A., Grigoryev A., Sidorchuk D., Vladimirov G., Khaitovich P., Efimova O., Gavrilenko O., Stekolshchikova E., Nikolaev E.N., Kostyukevich Y., Structure-Preserving and Perceptually Consistent Approach for Visualization of Mass Spectrometry Imaging Datasets, Anal. Chem., 93, pp. 1677-1685, (2021); Leishmaniasis, (2021); Burza S., Croft S.L., Boelaert M., Leishmaniasis, Lancet, 392, pp. 951-970, (2018); Mitropoulos P., Konidas P., Durkin-Konidas M., New World cutaneous leishmaniasis: Updated review of current and future diagnosis and treatment, J. Am. Acad. Dermatol., 63, pp. 309-322, (2010); McGwire B.S., Satoskar A.R., Leishmaniasis: clinical syndromes and treatment, QJM, 107, pp. 7-14, (2014); Diken A.I., Diken O.E., Hanedan O., Yllmaz S., Ecevit A.N., Erol E., Yalclnkaya A., Pentamidine in Pneumocystis jirovecii prophylaxis in heart transplant recipients, World J. Transplant, 6, (2016); Jung H.-J., Suh S.-I., Suh M.-H., Baek W.-K., Park J.-W., Pentamidine reduces expression of hypoxia-inducible factor-1a in DU145 and MDA-MB-231 cancer cells, Cancer Lett., 303, pp. 39-46, (2011); Jarak I., Marjanovic M., Piantanida I., Kralj M., Karminski-Zamola G., Novel pentamidine derivatives: Synthesis, anti-tumor properties and polynucleotide-binding activities, Eur. J. Med. Chem., 46, pp. 2807-2815, (2011); Sosa N., Capitan Z., Nieto J., Nieto M., Calzada J., Paz H., Spadafora C., Kreishman-Deitrick M., Kopydlowski K., Ullman D., McCarthy W.F., Ransom J., Berman J., Scott C., Grogl M., Randomized, Double-Blinded, Phase 2 Trial of WR 279,396 (Paromomycin and Gentamicin) for Cutaneous Leishmaniasis in Panama, Am. J. Trop. Med., 89, pp. 557-563, (2013); Ameen M., Cutaneous leishmaniasis: advances in disease pathogenesis, diagnostics and therapeutics, Clin. Exp. Dermatol., 35, pp. 699-705, (2010); No J.H., Visceral leishmaniasis: Revisiting current treatments and approaches for future discoveries, Acta Trop, 155, pp. 113-123, (2016); Bruel A., Christensen E.I., Tranum-Jensen J., Qvortrup K., Geneser F., Geneser histología, (2015); Chughtai K., Heeren R.M.A., Mass Spectrometric Imaging for Biomedical Tissue Analysis, Chem. Rev., 110, pp. 3237-3277, (2010); Fernandez A.U.A., Bertolini J.E., Histoquímica, An. R. Soc. Esp. Fis. Quim., 2, pp. 114-118, (2012); Negrao F., De O., Rocha D.F., Jaeeger C.F., Rocha F.J.S., Eberlin M.N., Giorgio S., Murine cutaneous leishmaniasis investigated by MALDI mass spectrometry imaging, Mol. BioSyst., 13, pp. 2036-2043, (2017); Porta Siegel T., Hamm G., Bunch J., Cappell J., Fletcher J.S., Schwamborn K., Mass Spectrometry Imaging and Integration with Other Imaging Modalities for Greater Molecular Understanding of Biological Tissues, Mol. Imaging Biol., 20, pp. 888-901, (2018); Hu H., Yin R., Brown H.M., Laskin J., Spatial Segmentation of Mass Spectrometry Imaging Data by Combining Multivariate Clustering and Univariate Thresholding, Anal. Chem., 93, pp. 3477-3485, (2021); Dennison P.E., Halligan K.Q., Roberts D.A., A comparison of error metrics and constraints for multiple endmember spectral mixture analysis and spectral angle mapper, Remote Sens. Environ, 93, pp. 359-367, (2004)</t>
  </si>
  <si>
    <t xml:space="preserve">JAMSE</t>
  </si>
  <si>
    <t xml:space="preserve">J. Am. Soc. Mass Spectrom.</t>
  </si>
  <si>
    <t xml:space="preserve">2-s2.0-85131061964</t>
  </si>
  <si>
    <t xml:space="preserve">Abdualgalil B.; Abraham S.; Ismael W.M.</t>
  </si>
  <si>
    <t xml:space="preserve">Abdualgalil, Bilal (57216860236); Abraham, Sajimon (24400589700); Ismael, Waleed M. (57206691781)</t>
  </si>
  <si>
    <t xml:space="preserve">57216860236; 24400589700; 57206691781</t>
  </si>
  <si>
    <t xml:space="preserve">Early Diagnosis for Dengue Disease Prediction Using Efficient Machine Learning Techniques Based on Clinical Data</t>
  </si>
  <si>
    <t xml:space="preserve">Dengue fever is a worldwide issue, especially in Yemen. Although early detection is critical to reducing dengue disease deaths, accurate dengue diagnosis requires a long time due to the numerous clinical examinations. Thus, this issue necessitates the development of a new diagnostic schema. The objective of this work is to develop a diagnostic model for the earlier diagnosis of dengue disease using Efficient Machine Learning Techniques (EMLT). This paper proposed prediction models for dengue disease based on EMLT. Five different efficient machine learning models, including K-Nearest Neighbor (KNN), Gradient Boosting Classifier (GBC), Extra Tree Classifier (ETC), eXtreme Gradient Boosting (XGB), and Light Gradient Boosting Machine (LightGBM). All classifiers are trained and tested on the dataset using 10-Fold Cross-Validation and Holdout Cross-Validation approaches. On a test set, all models were evaluated using different metrics: accuracy, F1-sore, Recall, Precision, AUC, and operating time. Based on the findings, the ETC model achieved the highest accuracy in Hold-out and 10-fold cross-validation, with 99.12 % and 99.03 %, respectively. In the Holdout cross-validation approach, we conclude that the best classifier with high accuracy is ETC, which achieved 99.12 %. Finally, the experimental results indicate that classifier performance in holdout cross-validation outperforms 10-fold cross-validation. Accordingly, the proposed dengue prediction system demonstrates its efficacy and effectiveness in assisting doctors in accurately predicting dengue disease. © 2022 Department of Electrical Engineering, Universitas Muhammadiyah Yogyakarta. All right reserved.</t>
  </si>
  <si>
    <t xml:space="preserve">Journal of Robotics and Control (JRC)</t>
  </si>
  <si>
    <t xml:space="preserve">Department of Agribusiness, Universitas Muhammadiyah Yogyakarta</t>
  </si>
  <si>
    <t xml:space="preserve">10.18196/jrc.v3i3.14387</t>
  </si>
  <si>
    <t xml:space="preserve">https://www.scopus.com/inward/record.uri?eid=2-s2.0-85132373580&amp;doi=10.18196%2fjrc.v3i3.14387&amp;partnerID=40&amp;md5=daa95f816a8c65b1e38ec7ebfbd65a2a</t>
  </si>
  <si>
    <t xml:space="preserve">School of Computer Sciences, Mahatma Gandhi University, Kerala, Kottayam, India; Hohai University, Chaozhou campus, Jiangsu, China</t>
  </si>
  <si>
    <t xml:space="preserve">Abdualgalil B., School of Computer Sciences, Mahatma Gandhi University, Kerala, Kottayam, India; Abraham S., School of Computer Sciences, Mahatma Gandhi University, Kerala, Kottayam, India; Ismael W.M., Hohai University, Chaozhou campus, Jiangsu, China</t>
  </si>
  <si>
    <t xml:space="preserve">balanced dataset; Dengue Disease; Extra Tree; Machine Learning; SMOTE+ENN</t>
  </si>
  <si>
    <t xml:space="preserve">Bhatt S., Gething P. W., Brady O. J., Messina J. P., Farlow A. W., Moyes C. L., Drake J. M., Brownstein J. S., Hoen A. G., Sankoh O., Myers M. F., George D. B., Jaenisch T., Wint G. R. W., Simmons C. P., Scott T. W., Farrar J. J., Hay S. I., The global distribution and burden of dengue, Nature, 496, 7446, pp. 504-507, (2013); Dengue and severe dengue Online], (2022); Abubakar I. S., Abubakar S. B., Habib A. G., Nasidi A., Durfa N., Yusuf P. O., Larnyang S., Garnvwa J., Sokomba E., Salako L., Theakston R. D. G., Juszczak E., Alder N., Warrell D. A., Randomised Controlled Double-Blind Non-Inferiority Trial of Two Antivenoms for Saw-Scaled or Carpet Viper (Echis ocellatus) Envenoming in Nigeria, PLoS Neglected Tropical Diseases, 4, 7, (2010); Nassar A. A. H., Torbosh A. A., Mahyoub Y. A., Amad M. A. A., Risk Factors Associated With Dengue Fever Outbreak in Taiz Governorate, Yemen, 2018: Case-control Study, (2021); Nimmannitya S. S., Dengue and Dengue Haemorrhagic Fever, Manson's Tropical Diseases, pp. 753-761, (2009); GUBLER D. J., Dengue and Dengue Hemorrhagic Fever, Tropical Infectious Diseases, pp. 813-822, (1997); Marimuthu T., Balamurugan V., A novel bio-computational model for mining the dengue gene sequences, International Journal of Computer Engineering &amp; Technology, 6, 10, pp. 17-33, (2015); Rao NK Kameswara, Saradhi Varma GP, Rao D., Cse P., Classification rules using decision tree for dengue disease, International Journal of Research in Computer and Communication Technology, 3, 3, pp. 340-343, (2014); Manivannan P., Devi P. I., Dengue fever prediction using K-means clustering algorithm, 2017 IEEE International Conference on Intelligent Techniques in Control, Optimization and Signal Processing (INCOS), (2017); Ahmed Bin K. S., Kamran Jabbar S., Dengue Fever in Perspective of Clustering Algorithms, Journal of Data Mining in Genomics &amp; Proteomics, (2015); Husin N. A., Salim N., Ahmad A. R., Modeling of dengue outbreak prediction in Malaysia: A comparison of Neural Network and Nonlinear Regression Model, 2008 International Symposium on Information Technology, (2008); Padmapriya A., Subitha N., Clustering Algorithm for Spatial Data Mining: An Overview, International Journal of Computer Applications, 68, 10, pp. 28-33, (2013); Omkar Buchade, Preet Dalsania, Swarada Deshpande, Poonam Doddamani, Dengue fever classification using smo optimization algorithm, Int. Res. J. Eng. Technol, 4, 10, pp. 1683-1686, (2017); Martinez M. V., Molinaro C., Grant J., Subrahmanian V. S., Customized Policies for Handling Partial Information in Relational Databases, IEEE Transactions on Knowledge and Data Engineering, 25, 6, pp. 1254-1271, (2013); Bhavani M., Vinod Kumar S., A data mining approach for precise diagnosis of dengue fever, International journal of latest trends in engineering and technology, 7, 4, (2016); NishanthiHerath P. H.M., Perera A. A. I., Wijekoon H. P., Prediction of Dengue Outbreaks in Sri Lanka using Artificial Neural Networks, International Journal of Computer Applications, 101, 15, pp. 1-5, (2014); Mulyani Y., Rahman E. F., Herbert, Riza L. S., A new approach on prediction of fever disease by using a combination of Dempster Shafer and Naïve bayes, 2016 2nd International Conference on Science in Information Technology (ICSITech), (2016); Shaukat Dar K., Ulya Azmeen S. M., Dengue Fever Prediction: A Data Mining Problem, Journal of Data Mining in Genomics &amp; Proteomics, (2015); Siriyasatien Padet, Phumee Atchara, Ongruk Phatsavee, Jampachaisri Katechan, Kesorn Kraisak, Analysis of significant factors for dengue fever incidence prediction, BMC bioinformatics, 17, 1, pp. 1-9, (2016); Gambhir Shalini, Malik Sanjay Kumar, Kumar Yugal, PSO-ANN based diagnostic model for the early detection of dengue disease, New Horizons in Translational Medicine, 4, 1-4, pp. 1-8, (2017); Sarma Dhiman, Hossain Sohrab, Mittra Tanni, Bhuiya Md Abdul Motaleb, Saha Ishita, Chakma Ravina, Dengue Prediction using Machine Learning Algorithms, IEEE 8th R10 Humanitarian Technology Conference (R10-HTC), pp. 1-6, (2020); Gambhir S., Malik S. K., Kumar Y., The Diagnosis of Dengue Disease, International Journal of Healthcare Information Systems and Informatics, 13, 3, pp. 1-19, (2018); Iqbal N., Islam M., Machine learning for dengue outbreak prediction: A performance evaluation of different prominent classifiers, Informatica, 43, 3, (2019); Rajathi N., Kanagaraj S., Brahmanambika R., Manjubarkavi K., Early detection of dengue using machine learning algorithms, International Journal of Pure and Applied Mathematics, 118, 18, pp. 3881-3887, (2018); alias Balamurugan S. A., Mallick M. S. M., Chinthana G., Improved prediction of dengue outbreak using combinatorial feature selector and classifier based on entropy weighted score based optimal ranking, Informatics in Medicine Unlocked, 20, (2020); Mello-Roman J. D., Mello-Roman J. C., Gomez-Guerrero S., Garcia-Torres M., Predictive Models for the Medical Diagnosis of Dengue: A Case Study in Paraguay, Computational and Mathematical Methods in Medicine, 2019, pp. 1-7, (2019); Malik S., Harous S., El-Sayed H., Comparative Analysis of Machine Learning Algorithms for Early Prediction of Diabetes Mellitus in Women, Lecture Notes in Networks and Systems, pp. 95-106, (2020); Batista G. E. A. P. A., Prati R. C., Monard M. C., A study of the behavior of several methods for balancing machine learning training data, ACM SIGKDD Explorations Newsletter, 6, 1, pp. 20-29, (2004); Vapnik V. N., The Nature of Statistical Learning Theory, (1995); Lino Ferreira da Silva Barros M. H., Oliveira Alves G., Morais Florencio Souza L., da Silva Rocha E., Lorenzato de Oliveira J. F., Lynn T., Sampaio V., Endo P. T., Benchmarking of Machine Learning Models to Assist the Prognosis of Tuberculosis, (2021); Chen T., Guestrin C., XGBoost, Proceedings of the 22nd ACM SIGKDD International Conference on Knowledge Discovery and Data Mining, (2016); Sharaff A., Gupta H., Extra-Tree Classifier with Metaheuristics Approach for Email Classification, Advances in Computer Communication and Computational Sciences, pp. 189-197, (2019); Machado M. R., Karray S., de Sousa I. T., LightGBM: an Effective Decision Tree Gradient Boosting Method to Predict Customer Loyalty in the Finance Industry, 2019 14th International Conference on Computer Science &amp; Education (ICCSE), (2019); Gomathi S., Narayani V., A proposed framework using CAC algorithm to predict systemic lupus erythematosus (SLE), 2016 World Conference on Futuristic Trends in Research and Innovation for Social Welfare (Startup Conclave), (2016); Abdualgalil B., Abraham S., Applications of Machine Learning Algorithms and Performance Comparison: A Review, 2020 International Conference on Emerging Trends in Information Technology and Engineering (ic-ETITE), (2020); Alakus T. B., Turkoglu I., Comparison of deep learning approaches to predict COVID-19 infection, Chaos, Solitons &amp; Fractals, 140, (2020); Itoo F., Meenakshi, Singh S., Comparison and analysis of logistic regression, Naïve Bayes and KNN machine learning algorithms for credit card fraud detection, International Journal of Information Technology, 13, 4, pp. 1503-1511, (2020); Akter L., Islam M. M., Al-Rakhami M. S., Haque M. R., Prediction of Cervical Cancer from Behavior Risk Using Machine Learning Techniques, SN Computer Science, 2, 3, (2021); Bracher-Smith M., Crawford K., Escott-Price V., Machine learning for genetic prediction of psychiatric disorders: a systematic review, Molecular Psychiatry, 26, 1, pp. 70-79, (2020); Xu J., Zhang Y., Miao D., Three-way confusion matrix for classification: A measure driven view, Information Sciences, 507, pp. 772-794, (2020)</t>
  </si>
  <si>
    <t xml:space="preserve">B. Abdualgalil; School of Computer Sciences, Mahatma Gandhi University, Kottayam, Kerala, India; email: bsaa85@gmail.com</t>
  </si>
  <si>
    <t xml:space="preserve">J. Robot. Control.</t>
  </si>
  <si>
    <t xml:space="preserve">2-s2.0-85132373580</t>
  </si>
  <si>
    <t xml:space="preserve">Moras E.; Achappa B.; Murlimanju B.V.; Raj G.M.N.; Holla R.; Madi D.; D’Souza N.V.; Mahalingam S.</t>
  </si>
  <si>
    <t xml:space="preserve">Moras, Errol (57194279566); Achappa, Basavaprabhu (54580534500); Murlimanju, B.V. (36094636300); Raj, G. M. Naveen (57894293600); Holla, Ramesh (55270371800); Madi, Deepak (54581344300); D’Souza, Nikhil Victor (57204397134); Mahalingam, Soundarya (55232701100)</t>
  </si>
  <si>
    <t xml:space="preserve">57194279566; 54580534500; 36094636300; 57894293600; 55270371800; 54581344300; 57204397134; 55232701100</t>
  </si>
  <si>
    <t xml:space="preserve">Early diagnostic markers in predicting the severity of dengue disease</t>
  </si>
  <si>
    <t xml:space="preserve">The aim of the present study was to determine whether the serum ferritin, the biomarker of an acute phase reactant and the gall bladder wall edema, an early indicator of capillary leakage can predict the severity of dengue fever. This study included 131 patients, who were between the age group of 18–80 years. The patients presented to our department with an acute illness, within the first four days of high temperature. The statistical analysis of this study was performed by using the Chi-square and independent Student’s t tests. The diagnostic markers are considered statistically significant, if the serum ferritin level is higher than 500 ng/ml and the gall bladder wall thickness is more than 3 mm. The present study observed that, 39 patients (89%) who had severe dengue (n = 44) revealed a significant gall bladder wall thickening, and this correlation was significant statistically (p &lt; 0.000). It was also observed that, the ferritin levels have a highly significant positive correlation with the severity of dengue. The severe dengue patients had a mean ferritin level of 9125.34 μg/l, whereas the non-severe group had 4271 μg/l. This comparison was also statistically significant, as the p value was 0.003. We report that the serum ferritin levels have a highly significant positive correlation with the severity of dengue. The gall bladder wall edema during the third and fourth day of the illness was also associated with severe dengue. However, diffuse gall bladder wall thickening and high serum ferritin levels are also reported in various other conditions and their exact cause have to be determined by the correlation of associated clinical findings and imaging features. © 2022, The Author(s).</t>
  </si>
  <si>
    <t xml:space="preserve">progostics</t>
  </si>
  <si>
    <t xml:space="preserve">3 Biotech</t>
  </si>
  <si>
    <t xml:space="preserve">10.1007/s13205-022-03334-9</t>
  </si>
  <si>
    <t xml:space="preserve">https://www.scopus.com/inward/record.uri?eid=2-s2.0-85138152646&amp;doi=10.1007%2fs13205-022-03334-9&amp;partnerID=40&amp;md5=23b4d69d2e8d7c8370d7042cad229224</t>
  </si>
  <si>
    <t xml:space="preserve">Intern, Kasturba Medical College, Mangalore, Manipal Academy of Higher Education, Karnataka, Manipal, India; Department of Internal Medicine, Kasturba Medical College, Mangalore, Manipal Academy of Higher Education, Karnataka, Manipal, India; Department of Anatomy, Kasturba Medical College, Mangalore, Manipal Academy of Higher Education, Karnataka, Manipal, India; Kasturba Medical College, Mangalore, Manipal Academy of Higher Education, Karnataka, Manipal, India; Department of Community Medicine, Kasturba Medical College, Mangalore, Manipal Academy of Higher Education, Karnataka, Manipal, India; Department of Paediatrics, Kasturba Medical College, Mangalore, Manipal Academy of Higher Education, Karnataka, Manipal, India</t>
  </si>
  <si>
    <t xml:space="preserve">Moras E., Intern, Kasturba Medical College, Mangalore, Manipal Academy of Higher Education, Karnataka, Manipal, India; Achappa B., Department of Internal Medicine, Kasturba Medical College, Mangalore, Manipal Academy of Higher Education, Karnataka, Manipal, India; Murlimanju B.V., Department of Anatomy, Kasturba Medical College, Mangalore, Manipal Academy of Higher Education, Karnataka, Manipal, India; Raj G.M.N., Kasturba Medical College, Mangalore, Manipal Academy of Higher Education, Karnataka, Manipal, India; Holla R., Department of Community Medicine, Kasturba Medical College, Mangalore, Manipal Academy of Higher Education, Karnataka, Manipal, India; Madi D., Department of Internal Medicine, Kasturba Medical College, Mangalore, Manipal Academy of Higher Education, Karnataka, Manipal, India; D’Souza N.V., Department of Internal Medicine, Kasturba Medical College, Mangalore, Manipal Academy of Higher Education, Karnataka, Manipal, India; Mahalingam S., Department of Paediatrics, Kasturba Medical College, Mangalore, Manipal Academy of Higher Education, Karnataka, Manipal, India</t>
  </si>
  <si>
    <t xml:space="preserve">Dengue fever; Ferritin; Gall bladder diseases; Severe dengue</t>
  </si>
  <si>
    <t xml:space="preserve">ferritin; acute disease; adult; aged; Article; bladder wall thickness; chi square test; clinical feature; controlled study; correlation analysis; dengue; disease severity; early diagnosis; female; ferritin blood level; gallbladder wall; groups by age; high temperature; human; human tissue; major clinical study; male; predictive value; statistical analysis; statistically significant result; Student t test</t>
  </si>
  <si>
    <t xml:space="preserve">ferritin, 9007-73-2</t>
  </si>
  <si>
    <t xml:space="preserve">Cobas 6000, Hoffmann La Roche; ECLIA, Hoffmann La Roche</t>
  </si>
  <si>
    <t xml:space="preserve">Hoffmann La Roche; Hoffmann La Roche</t>
  </si>
  <si>
    <t xml:space="preserve">Adil B., Rabbani A., Ahmed S., Arshad I., Khalid M.A., Gall bladder wall thickening in dengue fever—aid in labelling dengue hemorrhagic fever and a marker of severity, Cureus, 12, 11, (2020); Anker M., Arima Y., Male-female differences in the number of reported incident dengue fever cases in six Asian countries, Western Pac Surveill Response J, 2, 2, pp. 17-23, (2011); Avirutnan P., Punyadee N., Noisakran S., Komoltri C., Thiemmeca S., Auethavornanan K., Jairungsri A., Kanlaya R., Tangthawornchaikul N., Puttikhunt C., Pattanakitsakul S.N., Yenchitsomanus P.T., Mongkolsapaya J., Kasinrerk W., Sittisombut N., Husmann M., Blettner M., Vasanawathana S., Bhakdi S., Malasit P., Vascular leakage in severe dengue virus infections: a potential role for the nonstructural viral protein NS1 and complement, J Infect Dis, 193, 8, pp. 1078-1088, (2006); Avirutnan P., Zhang L., Punyadee N., Manuyakorn A., Puttikhunt C., Kasinrerk W., Malasit P., Atkinson J.P., Diamond M.S., Secreted NS1 of dengue virus attaches to the surface of cells via interactions with heparan sulfate and chondroitin sulfate E, PLoS Pathog, 3, 11, (2007); Avirutnan P., Fuchs A., Hauhart R.E., Somnuke P., Youn S., Diamond M.S., Atkinson J.P., Antagonism of the complement component C4 by flavivirus nonstructural protein NS1, J Exp Med, 207, 4, pp. 793-806, (2010); Boo Y.L., Lim S.Y., P'ng HS, Liam C, Huan NC,, Persistent thrombocytopenia following dengue fever: what should we do?, Malays Fam Physician, 14, 3, pp. 71-73, (2019); Bos S., Gadea G., Despres P., Dengue: a growing threat requiring vaccine development for disease prevention, Pathog Glob Health, 112, 6, pp. 294-305, (2018); Bosch I., Xhaja K., Estevez L., Raines G., Melichar H., Warke R.V., Fournier M.V., Ennis F.A., Rothman A.L., Increased production of interleukin-8 in primary human monocytes and in human epithelial and endothelial cell lines after dengue virus challenge, J Virol, 76, 11, pp. 5588-5597, (2002); Cardier J.E., Marino E., Romano E., Taylor P., Liprandi F., Bosch N., Rothman A.L., Proinflammatory factors present in sera from patients with acute dengue infection induce activation and apoptosis of human microvascular endothelial cells: possible role of TNF-alpha in endothelial cell damage in dengue, Cytokine, 30, 6, pp. 359-365, (2005); Carr J.M., Hocking H., Bunting K., Wright P.J., Davidson A., Gamble J., Burrell C.J., Li P., Supernatants from dengue virus type-2 infected macrophages induce permeability changes in endothelial cell monolayers, J Med Virol, 69, 4, pp. 521-528, (2003); Chaiyaratana W., Chuansumrit A., Atamasirikul K., Tangnararatchakit K., Serum ferritin levels in children with dengue infection, Southeast Asian J Trop Med Public Health, 39, 5, pp. 832-836, (2008); Chotiwan N., Brito-Sierra C.A., Ramirez G., Lian E., Grabowski J.M., Graham B., Hill C.A., Perera R., Expression of fatty acid synthase genes and their role in development and arboviral infection of Aedes aegypti, Parasit Vectors, 15, 1, (2022); Colbert J.A., Gordon A., Roxelin R., Silva S., Silva J., Rocha C., Harris E., Ultrasound measurement of gallbladder wall thickening as a diagnostic test and prognostic indicator for severe dengue in pediatric patients, Pediatr Infect Dis J, 26, 9, pp. 850-852, (2007); Cunha M.S., de Moura C.T., Guerra J.M., Ponce C.C., Fernandes N.C.C.A., Resio R.A., Claro I.M., Salles F., Lima Neto D.F., Sabino E., A fatal case of dengue hemorrhagic fever associated with dengue virus 4 (DENV-4) in Brazil: genomic and histopathological findings, Braz J Microbiol, (2022); Deubel V., Laille M., Hugnot J.P., Chungue E., Guesdon J.L., Drouet M.T., Bassot S., Chevrier D., Identification of dengue sequences by genomic amplification: rapid diagnosis of dengue virus serotypes in peripheral blood, J Virol Methods, 30, 1, pp. 41-54, (1990); Fonseca-Portilla R., Martinez-Gil M., Morgenstern-Kaplan D., Risk factors for hospitalization and mortality due to dengue fever in a Mexican population: a retrospective cohort study, Int J Infect Dis, 110, pp. 332-336, (2021); Garcia-Carreras B., Yang B., Grabowski M.K., Sheppard L.W., Huang A.T., Salje H., Clapham H.E., Iamsirithaworn S., Doung-Ngern P., Lessler J., Cummings D.A.T., Periodic synchronisation of dengue epidemics in Thailand over the last 5 decades driven by temperature and immunity, PLoS Biol, 20, 3, (2022); Gleeson T., Pagnarith Y., Habsreng E., Lindsay R., Hill M., Sanseverino A., Patel V., Gaspari R., Dengue management in triage using ultrasound in children from Cambodia: a prospective cohort study, Lancet Reg Health West Pac, 19, (2022); Guerra-Silveira F., Abad-Franch F., Sex bias in infectious disease epidemiology: patterns and processes, PLoS ONE, 8, 4, (2013); Handler S.J., Ultrasound of gallbladder wall thickening and its relation to cholecystitis, Am J Roentgenol, 132, 4, pp. 581-585, (1979); Holmes E.C., Twiddy S.S., The origin, emergence and evolutionary genetics of dengue virus, Infect Genet Evol, 3, 1, pp. 19-28, (2003); Ibrahim M.A., Hamzah S.S., Md Noor J., Mohamad M.I.K., Mokhtar M.F., Isa M.R., Abdul Rani M.F., The association of ultrasound assessment of gallbladder wall thickness with dengue fever severity, Ultrasound J, 14, 1, (2022); Juttner H., Ralls P., Quinn M., Jenney J., Thickening of the gallbladder wall in acute hepatitis: ultrasound demonstration, Radiology, 142, 2, pp. 465-466, (1982); King C.A., Wegman A.D., Endy T.P., Mobilization and activation of the innate immune response to dengue virus, Front Cell Infect Microbiol, 10, (2020); Krishnamurti C., Peat R.A., Cutting M.A., Rothwell S.W., Platelet adhesion to dengue-2 virus-infected endothelial cells, Am J Trop Med Hyg, 66, 4, pp. 435-441, (2002); Li Y., Wu S., Dengue: what it is and why there is more, Sci Bull Sci Found Philipp, 60, 7, pp. 661-664, (2015); Libraty D.H., Endy T.P., Houng H.S., Green S., Kalayanarooj S., Suntayakorn S., Chansiriwongs W., Vaughn D.W., Nisalak A., Ennis F.A., Rothman A.L., Differing influences of virus burden and immune activation on disease severity in secondary dengue-3 virus infections, J Infect Dis, 185, 9, pp. 1213-1221, (2002); Lodha A., Pillai A., Reddy P., Munshi N., Using first-contact serum ferritin to predict severe thrombocytopenia in dengue patients: determination and validation in independent cohorts, Infect Dis (lond), 54, 6, pp. 425-430, (2022); Mahroum N., Alghory A., Kiyak Z., Alwani A., Seida R., Alrais M., Shoenfeld Y., Ferritin - from iron, through inflammation and autoimmunity, to COVID-19, J Autoimmun, 126, (2022); Mallhi T.H., Khan A.H., Adnan A.S., Sarriff A., Khan Y.H., Jummaat F., Clinico-laboratory spectrum of dengue viral infection and risk factors associated with dengue hemorrhagic fever: a retrospective study, BMC Infect Dis, 15, 1, (2015); Masood K.I., Jamil B., Rahim M., Islam M., Farhan M., Hasan Z., Role of TNF α, IL-6 and CXCL10 in dengue disease severity, Iran J Microbiol, 10, 3, pp. 202-207, (2018); Medin C.L., Fitzgerald K.A., Rothman A.L., Dengue virus nonstructural protein NS5 induces interleukin-8 transcription and secretion, J Virol, 79, 17, pp. 11053-11061, (2005); Michels M., Sumardi U., de Mast Q., Jusuf H., Puspita M., Dewi I.M., Sinarta S., Alisjahbana B., van der Ven A.J., The predictive diagnostic value of serial daily bedside ultrasonography for severe dengue in Indonesian adults, PLoS Negl Trop Dis, 7, 6, (2013); Murugananthan K., Kandasamy M., Rajeshkannan N., Noordeen F., Demographic and clinical features of suspected dengue and dengue haemorrhagic fever in the Northern Province of Sri Lanka, a region afflicted by an internal conflict for more than 30 years—a retrospective analysis, Int J Infect Dis, 27, pp. 32-36, (2014); Page A.V., Liles W.C., Biomarkers of endothelial activation/dysfunction in infectious diseases, Virulence, 4, 6, pp. 507-516, (2013); Parmar J.P., Mohan C., Vora M., Patterns of gall bladder wall thickening in dengue fever: a mirror of the severity of disease, Ultrasound Int Open, 3, 2, pp. E76-E81, (2017); Petchiappan V., Hussain T.M., Thangavelu S., Can serum ferritin levels predict the severity of dengue early: an observational study, Int J Res Med Sci, 7, pp. 876-881, (2019); Pichyangkul S., Endy T.P., Kalayanarooj S., Nisalak A., Yongvanitchit K., Green S., Rothman A.L., Ennis F.A., Libraty D.H., A blunted blood plasmacytoid dendritic cell response to an acute systemic viral infection is associated with increased disease severity, J Immunol, 171, 10, pp. 5571-5578, (2003); Roy Chaudhuri S., Bhattacharya S., Chakraborty M., Bhattacharjee K., Serum ferritin: a backstage weapon in diagnosis of dengue fever, Interdiscip Perspect Infect Dis, 2017, (2017); Ruddell R.G., Hoang-Le D., Barwood J.M., Rutherford P.S., Piva T.J., Watters D.J., Santambrogio P., Arosio P., Ramm G.A., Ferritin functions as a proinflammatory cytokine via iron-independent protein kinase C zeta/nuclear factor kappaB-regulated signaling in rat hepatic stellate cells, Hepatology, 49, 3, pp. 887-900, (2009); Senjo H., Higuchi T., Okada S., Takahashi O., Hyperferritinemia: causes and significance in a general hospital, Hematology, 23, 10, pp. 817-822, (2018); Songjaeng A., Thiemmeca S., Mairiang D., Punyadee N., Kongmanas K., Hansuealueang P., Tangthawornchaikul N., Duangchinda T., Mongkolsapaya J., Sriruksa K., Limpitikul W., Malasit P., Avirutnan P., Development of a singleplex real-time reverse transcriptase PCR assay for pan-dengue virus detection and quantification, Viruses, 14, 6, (2022); Soundravally R., Agieshkumar B., Daisy M., Sherin J., Cleetus C., Ferritin levels predict severe dengue, Infection, 43, 1, pp. 13-19, (2015); Srikiatkhachorn A., Green S., Markers of dengue disease severity, Dengue virus, pp. 67-82, (2010); Teixeira M.G., Costa M.C., Coelho G., Barreto M.L., Recent shift in age pattern of dengue hemorrhagic fever, Brazil Emerg Infect Dis, 14, 10, (2008); Tian Y., Seumois G., De-Oliveira-Pinto L.M., Mateus J., Herrera-de la Mata S., Kim C., Hinz D., Goonawardhana N.D.S., de Silva A.D., Premawansa S., Premawansa G., Wijewickrama A., Balmaseda A., Grifoni A., Vijayanand P., Harris E., Peters B., Sette A., Weiskopf D., Molecular signatures of dengue virus-specific IL-10/IFN-γ co-producing CD4 T cells and their association with dengue disease, Cell Rep, 29, 13, pp. 4482-4495.e4, (2019); Valero N., Mosquera J., Torres M., Duran A., Velastegui M., Reyes J., Fernandez M., Fernandez G., Veliz T., Increased serum ferritin and interleukin-18 levels in children with dengue, Braz J Microbiol, 50, 3, pp. 649-656, (2019); van de Weg C.A., Huits R.M., Pannuti C.S., Brouns R.M., van den Berg R.W., van den Ham H.J., Martina B.E., Osterhaus A.D., Netea M.G., Meijers J.C., van Gorp E.C., Kallas E.G., Hyperferritinaemia in dengue virus infected patients is associated with immune activation and coagulation disturbances, PLoS Negl Trop Dis, 8, 10, (2014); Vaughn D.W., Green S., Kalayanarooj S., Innis B.L., Nimmannitya S., Suntayakorn S., Endy T.P., Raengsakulrach B., Rothman A.L., Ennis F.A., Nisalak A., Dengue viremia titer, antibody response pattern, and virus serotype correlate with disease severity, J Infect Dis, 181, 1, pp. 2-9, (2000); Wang T.F., Hwang S.J., Lee E.Y., Tsai Y.T., Lin H.C., Li C.P., Cheng H.M., Liu H.J., Wang S.S., Lee S.D., Gall-bladder wall thickening in patients with liver cirrhosis, J Gastroenterol Hepatol, 12, 6, pp. 445-449, (1997); Wang W., Knovich M.A., Coffman L.G., Torti F.M., Torti S.V., Serum ferritin: past, present and future, Biochim Biophys Acta, 8, pp. 760-769, (2010); Wong P.F., Wong L.P., AbuBakar S., Diagnosis of severe dengue: challenges, needs and opportunities, J Infect Public Health, 13, 2, pp. 193-198, (2020); Zhang X.B., Fei Y.X., He T., Gao L., Zhang Y.T., Gao Y.D., Li G., Wang J., Ru Q.J., Wang H.Q., Chen G.Y., Correlation analysis between serum ferritin level and liver damage in acute stage of dengue fever, Zhonghua Gan Zang Bing Za Zhi, 29, 3, pp. 265-270, (2021)</t>
  </si>
  <si>
    <t xml:space="preserve">B. Achappa; Department of Internal Medicine, Kasturba Medical College, Mangalore, Manipal Academy of Higher Education, Manipal, Karnataka, India; email: bachu1504@gmail.com</t>
  </si>
  <si>
    <t xml:space="preserve">2190572X</t>
  </si>
  <si>
    <t xml:space="preserve">2-s2.0-85138152646</t>
  </si>
  <si>
    <t xml:space="preserve">Ojeda-Pat A.; Martin-Gonzalez A.; Brito-Loeza C.; Ruiz-Piña H.; Ruz-Suarez D.</t>
  </si>
  <si>
    <t xml:space="preserve">Ojeda-Pat, Allan (57215965022); Martin-Gonzalez, Anabel (35318178500); Brito-Loeza, Carlos (25724100900); Ruiz-Piña, Hugo (6602713029); Ruz-Suarez, Daniel (57471114700)</t>
  </si>
  <si>
    <t xml:space="preserve">57215965022; 35318178500; 25724100900; 6602713029; 57471114700</t>
  </si>
  <si>
    <t xml:space="preserve">Effective residual convolutional neural network for Chagas disease parasite segmentation</t>
  </si>
  <si>
    <t xml:space="preserve">Considered a neglected tropical pathology, Chagas disease is responsible for thousands of deaths per year and it is caused by the parasite Trypanosoma cruzi. Since many infected people can remain asymptomatic, a fast diagnosis is necessary for proper intervention. Parasite microscopic observation in blood samples is the gold standard method to diagnose Chagas disease in its initial phase; however, this is a time-consuming procedure, requires expert intervention, and there is currently no efficient method to automatically perform this task. Therefore, we propose an efficient residual convolutional neural network, named Res2Unet, to perform a semantic segmentation of Trypanosoma cruzi parasites, with an active contour loss and improved residual connections, whose design is based on Heun’s method for solving ordinary differential equations. The model was trained on a dataset of 626 blood sample images and tested on a dataset of 207 images. Validation experiments report that our model achieved a Dice coefficient score of 0.84, a precision value of 0.85, and a recall value of 0.82, outperforming current state-of-the-art methods. Since Chagas disease is a severe and silent illness, our computational model may benefit health care providers to give a prompt diagnose for this worldwide affection. Graphical abstract: [Figure not available: see fulltext.] © 2022, International Federation for Medical and Biological Engineering.</t>
  </si>
  <si>
    <t xml:space="preserve">Medical and Biological Engineering and Computing</t>
  </si>
  <si>
    <t xml:space="preserve">10.1007/s11517-022-02537-9</t>
  </si>
  <si>
    <t xml:space="preserve">https://www.scopus.com/inward/record.uri?eid=2-s2.0-85125438990&amp;doi=10.1007%2fs11517-022-02537-9&amp;partnerID=40&amp;md5=ddb02e55d9c30fc6f9bc593961faca5c</t>
  </si>
  <si>
    <t xml:space="preserve">Computational Learning and Imaging Research (CLIR), Universidad Autónoma de Yucatán, Anillo Periférico Norte, Tab. Cat. 13615, Merida, 97119, Mexico; Centro de Investigaciones Regionales, Universidad Autónoma de Yucatán, Merida, 97000, Mexico</t>
  </si>
  <si>
    <t xml:space="preserve">Ojeda-Pat A., Computational Learning and Imaging Research (CLIR), Universidad Autónoma de Yucatán, Anillo Periférico Norte, Tab. Cat. 13615, Merida, 97119, Mexico; Martin-Gonzalez A., Computational Learning and Imaging Research (CLIR), Universidad Autónoma de Yucatán, Anillo Periférico Norte, Tab. Cat. 13615, Merida, 97119, Mexico; Brito-Loeza C., Computational Learning and Imaging Research (CLIR), Universidad Autónoma de Yucatán, Anillo Periférico Norte, Tab. Cat. 13615, Merida, 97119, Mexico; Ruiz-Piña H., Centro de Investigaciones Regionales, Universidad Autónoma de Yucatán, Merida, 97000, Mexico; Ruz-Suarez D., Computational Learning and Imaging Research (CLIR), Universidad Autónoma de Yucatán, Anillo Periférico Norte, Tab. Cat. 13615, Merida, 97119, Mexico</t>
  </si>
  <si>
    <t xml:space="preserve">Chagas disease; Residual networks; ResUnet; Segmentation; U-Net</t>
  </si>
  <si>
    <t xml:space="preserve">Blood; Convolution; Convolutional neural networks; Ordinary differential equations; Semantic Segmentation; Semantics; Blood samples; Chagas disease; Convolutional neural network; Microscopic observations; Parasite-; Residual network; Resunet; Segmentation; Trypanosoma cruzi; U-net; animal experiment; animal model; Article; blood sampling; Chagas disease; computer assisted diagnosis; computer model; convolutional neural network; diagnostic accuracy; diagnostic test accuracy study; disease severity; gold standard; mouse; nonhuman; qualitative analysis; quantitative analysis; residual neural network; segmentation algorithm; Trypanosoma cruzi; validation process; Diagnosis</t>
  </si>
  <si>
    <t xml:space="preserve">Consejo Nacional de Ciencia y Tecnología, CONACYT</t>
  </si>
  <si>
    <t xml:space="preserve">This scientific work was partly supported by Consejo Nacional de Ciencia y Tecnología (CONACYT) of Mexico. </t>
  </si>
  <si>
    <t xml:space="preserve">Blood donor screening for Chagas disease–United States, 2006–2007, Morb Mortal Wkly Rep (MMWR), 56, 7, pp. 141-143, (2007); Conners E.E., Vinetz J.M., Weeks J.R., Brouwer K.C., A global systematic review of Chagas disease prevalence among migrants, Acta Trop, 156, pp. 68-78, (2016); Chagas Disease American Trypanosomiasis, pp. 2020-2105; Ballesteros R.G., Martinez C.I., Jimenez R.T., Antonio C.A., Chagas disease: an overview of diagnosis, J Microbiol Experimentation, 6, pp. 151-157, (2018); Anez N., Carrasco H., Parada H., Et al., Acute Chagas’ disease in western Venezuela: a clinical, seroparasitologic, and epidemiologic study, Am J Trop Med Hyg, 60, 2, pp. 215-222, (1999); Kirchhoff L.V., Votava J.R., Ochs D.E., Et al., Comparison of PCR and microscopic methods for detecting Trypanosoma cruzi, J Clin Microbiol, 34, 5, pp. 1171-1175, (1996); Storino R., Consenso de enfermedad de Chagas, Topico I: Enfermedad de Chagas con parasitemia evidente, Rev Arg Cardiol, 70, 1, pp. 15-39, (2002); Bern C., Chagas’ disease, N Engl J Med, 373, pp. 456-466, (2015); Uc-Cetina V., Brito-Loeza C., Ruiz-Pina H., Chagas parasites detection through gaussian discriminant analysis, Abstraction Appl, 8, pp. 6-17, (2013); Soberanis-Mukul R., Uc-Cetina V., Brito-Loeza C., Ruiz-Pina H., An automatic algorithm for the detection of Trypanosoma cruzi parasites in blood sample images, Comput Methods Programs Biomed, 112, 3, pp. 633-639, (2013); Soberanis-Mukul R., Algoritmos De segmentación De Trypanosoma Cruzi En imágenes De Muestras Sanguineas, (2014); Uc-Cetina V., Brito-Loeza C., Ruiz-Pina H., Chagas parasite detection in blood images using adaboost, Comput Math Methods Med, 2015, pp. 1-13, (2015); Latif J., Xiao C., Imran A., Tu S., Medical imaging using machine learning and deep learning algorithms: A review. In 2019 2nd International Conference on Computing, Mathematics and Engineering Technologies (Icomet), pp. 1-5, (2019); Kamal-Alsheref F., Hassan W., Blood diseases detection using classical machine learning algorithms, Int J Adv Comput Sci Appl, 10, (2019); Chen X., Williams B., Vallabhaneni S., Czanner G., Williams R., Zheng Y., Learning active contour models for medical image segmentation, 2019 IEEE/CVF Conference on Computer Vision and Pattern Recognition (CVPR)., (2019); Ronneberger O., Fischer P., Brox T., U-Net: Convolutional networks for biomedical image segmentation, Medical Image Computing and Computer-Assisted Intervention – MICCAI 2015, 9351, pp. 234-241, (2015); He K., Zhang X., Ren S., Sun J., Deep residual learning for image recognition, 2016 IEEE Conference on Computer Vision and Pattern Recognition (CVPR, (2016); Simonyan K., Zisserman A., Very deep convolutional networks for large-scale image recognition, 2015 International Conference on Learning Representations, (2015); Szegedy C., Liu W., Jia Y., Sermanet P., Reed S., Anguelov D., Erhan D., Vanhoucke V., Rabinovich A., Going deeper with convolutions, . in 2015 IEEE Conference on Computer Vision and Pattern Recognition (CVPR)., (2015); Telgarsky M., Benefits of depth in neural networks, JMLR: Workshop and Conference Proceedings, 49, pp. 1-23, (2016); Zhang K., Sun M., Han T., Yuan X., Guo L., Liu T., Residual networks of residual networks: multilevel residual networks, IEEE Trans Cir Syst Video Technol, 28, 6, pp. 1303-1314, (2018); He K., Zhang X., Ren S., Sun J., Identity mappings in deep residual networks, Comp Vis – ECCV, 2016, (2016); Zhang Z., Liu Q., Road extraction by deep residual U-Net, IEEE Geosci Remote Sens Lett, (2017); Drozdzal M., Vorontsov E., Chartrand G., Kadoury S., Pal C., The importance of skip connections in biomedical image segmentation, (2016); Haber E., Ruthotto L., Stable architectures for deep neural networks, Inverse Prob, 34, (2017); Lu Y., Zhong A., Li Q., Dong B., Beyond finite layer neural networks: Bridging deep architectures and numerical differential equations, 35Th International Conference on Machine Learning, ICML, 7, pp. 5181-5190, (2018); Sauer T., Numerical Analysis, (2018); Chen R., Rubanova Y., Bettencourt J., Duvenaud D., Neural ordinary differential equations. In 32nd Conference on Neural Information Processing Systems, (2018); Bengio Y., Simard P., Frasconi D., Learning long-term dependencies with gradient descent is difficult, IEEE Trans Neural Networks, 5, pp. 157-166, (1994); Suli E., Mayers D., An Introduction to Numerical Analysis, (2003); Sokolova M., Lapalme G., A systematic analysis of performance measures for classification tasks, Inf Process Manag, 45, 4, pp. 427-437, (2009)</t>
  </si>
  <si>
    <t xml:space="preserve">A. Martin-Gonzalez; Computational Learning and Imaging Research (CLIR), Universidad Autónoma de Yucatán, Anillo Periférico Norte, Merida, Tab. Cat. 13615, 97119, Mexico; email: amarting@correo.uady.mx</t>
  </si>
  <si>
    <t xml:space="preserve">MBECD</t>
  </si>
  <si>
    <t xml:space="preserve">Med. Biol. Eng. Comput.</t>
  </si>
  <si>
    <t xml:space="preserve">2-s2.0-85125438990</t>
  </si>
  <si>
    <t xml:space="preserve">Cavalera M.A.; Gernone F.; Uva A.; Donghia R.; Zizzadoro C.; Zatelli A.</t>
  </si>
  <si>
    <t xml:space="preserve">Cavalera, Maria Alfonsa (57188859551); Gernone, Floriana (37861448900); Uva, Annamaria (57208161601); Donghia, Rossella (57201426844); Zizzadoro, Claudia (6507833184); Zatelli, Andrea (6603131947)</t>
  </si>
  <si>
    <t xml:space="preserve">57188859551; 37861448900; 57208161601; 57201426844; 6507833184; 6603131947</t>
  </si>
  <si>
    <t xml:space="preserve">Efficacy of domperidone plus renal diet in slowing the progression of chronic kidney disease in dogs with leishmaniosis</t>
  </si>
  <si>
    <t xml:space="preserve">Background: Chronic kidney disease (CKD) represents the main cause of mortality in dogs with leishmaniosis. Domperidone has recently been reported to improve kidney function in leishmaniotic dogs affected by CKD. Serum symmetric dimethylarginine (sSDMA) has also been shown to be a useful biomarker for earlier detection of decreased kidney function when compared to serum creatinine (sCr). This study aimed to assess the efficacy of domperidone plus renal diet in slowing the progression of nephropathy in leishmaniotic dogs with CKD, evaluating sSDMA and sCr as markers of kidney function. Methods: This study was a therapeutic, prospective, randomized, controlled, 11-month-long field trial. Dogs were recruited if classified as “exposed” to or “infected” with Leishmania infantum and affected by CKD at early stages. After enrolment (T0), dogs were randomized into groups T (treatment) and C (control). All dogs were fed a renal diet and then followed up at 90 (T1), 210 (T2), and 330 (T3) days after inclusion in the study. At T1 and T2, dogs in group T received an oral suspension of domperidone (1 ml/10 kg once a day for up to 28 days). Results: Twenty-two dogs (i.e., n = 12 in group T and n = 10 in group C) completed the study. At T0, the entire population of enrolled dogs presented a mean sSDMA value of 16.5 ± 3.4 μg/dl. At T1 (i.e., after 3 months of renal diet), sSDMA was significantly decreased in both groups, with an sSDMA of 13.1 ± 4.4 μg/dl for the entire population involved. From T1 to T3, sSDMA gradually increased in group C, while remaining stable in group T, which continued to show a significantly lower value of sSDMA at T3 than at T0. Regarding sCr, at T0 and T1, the mean values of the entire population of dogs were 1.1 ± 0.3 and 1.0 ± 0.4 mg/dl, respectively, with no statistical differences between groups T and C. In group T, sCr decreased significantly from T0 to T1, while returning at T3 to values similar to T0. Conclusions: In this study, domperidone plus renal diet reduced the progression of kidney disease in leishmaniotic dogs affected by CKD. Graphical Abstract: [Figure not available: see fulltext.]. © 2022, The Author(s).</t>
  </si>
  <si>
    <t xml:space="preserve">10.1186/s13071-022-05537-8</t>
  </si>
  <si>
    <t xml:space="preserve">https://www.scopus.com/inward/record.uri?eid=2-s2.0-85140939619&amp;doi=10.1186%2fs13071-022-05537-8&amp;partnerID=40&amp;md5=a2e348509662382e56990226fcc8d646</t>
  </si>
  <si>
    <t xml:space="preserve">Department of Veterinary Medicine, University of Bari, Valenzano, Italy; Unit of Research Methodology and Data Sciences for Population Health, “Salus in Apulia Study” National Institute of Gastroenterology “S. de Bellis” Research Hospital, Bari, Italy</t>
  </si>
  <si>
    <t xml:space="preserve">Cavalera M.A., Department of Veterinary Medicine, University of Bari, Valenzano, Italy; Gernone F., Department of Veterinary Medicine, University of Bari, Valenzano, Italy; Uva A., Department of Veterinary Medicine, University of Bari, Valenzano, Italy; Donghia R., Unit of Research Methodology and Data Sciences for Population Health, “Salus in Apulia Study” National Institute of Gastroenterology “S. de Bellis” Research Hospital, Bari, Italy; Zizzadoro C., Department of Veterinary Medicine, University of Bari, Valenzano, Italy; Zatelli A., Department of Veterinary Medicine, University of Bari, Valenzano, Italy</t>
  </si>
  <si>
    <t xml:space="preserve">Canine; Chronic kidney disease; Leishmania infantum; Serum creatinine; sSDMA</t>
  </si>
  <si>
    <t xml:space="preserve">Animals; Biomarkers; Diet; Dog Diseases; Dogs; Domperidone; Leishmaniasis; Prospective Studies; Renal Insufficiency, Chronic; 6 n,n' dimethylarginine; biological marker; domperidone; biological marker; domperidone; Anaplasma phagocytophilum; animal experiment; Article; blood cell count; chronic kidney failure; controlled study; disease exacerbation; dog; drug efficacy; Ehrlichia canis; female; follow up; kidney disease; kidney function; Leishmania infantum; leishmaniasis; male; mortality; nonhuman; prospective study; randomized controlled trial; renal diet; reticulocyte count; animal; chronic kidney failure; complication; diet; dog disease; leishmaniasis; veterinary medicine</t>
  </si>
  <si>
    <t xml:space="preserve">6 n,n' dimethylarginine, 30344-00-4; domperidone, 57808-66-9; Biomarkers, ; Domperidone, </t>
  </si>
  <si>
    <t xml:space="preserve">Ecuphar Italia srl</t>
  </si>
  <si>
    <t xml:space="preserve">This research and the APC were funded by Ecuphar Italia srl, viale Francesco Restelli n 3/7 piano 1, 20124 Milan (Italy). The sponsors had no role in the design of the study, the collection, analysis, or interpretation of the data, or the writing of the manuscript. </t>
  </si>
  <si>
    <t xml:space="preserve">Solano-Gallego L., Miro G., Koutinas A., Cardoso L., Pennisi M.G., Ferrer L., Et al., LeishVet guidelines for the practical management of canine leishmaniosis, Parasit Vectors, 4, (2011); Oliva G., Roura X., Crotti A., Maroli M., Castagnaro M., Gradoni L., Et al., Guidelines for treatment of leishmaniasis in dogs, J Am Vet Med Assoc, 236, pp. 1192-1198, (2010); Baneth G., Shaw S.E., Chemotherapy of canine leishmaniosis, Vet Parasitol, 106, pp. 315-324, (2002); Reis A.B., Martins-Filho O.A., Teixeira-Carvalho A., Giunchetti R.C., Carneiro C.M., Mayrink W., Et al., Systemic and compartmentalized immune response in canine visceral leishmaniasis, Vet Immunol Immunopathol, 128, pp. 87-95, (2009); Manna L., Corso R., Galiero G., Cerrone A., Muzj P., Gravino A.E., Long-term follow-up of dogs with leishmaniosis treated with meglumine antimoniate plus allopurinol versus miltefosine plus allopurinol, Parasit Vectors, 8, (2015); Ribeiro R.R., Michalick M.S.M., da Silva M.E., Dos Santos C.C.P., Frezard F.J.G., da Silva S.M., Canine leishmaniasis: an overview of the current status and strategies for control, Biomed Res Int, 2018, (2018); Gomez-Ochoa P., Castillo J.A., Gascon M., Zarate J.J., Alvarez F., Couto C.G., Use of domperidone in the treatment of canine visceral leishmaniasis: a clinical trial, Vet J, 179, pp. 259-263, (2009); Segarra S., Miro G., Montoya A., Pardo-Marin L., Boque N., Ferrer L., Et al., Randomized, allopurinol-controlled trial of the effects of dietary nucleotides and active hexose correlated compound in the treatment of canine leishmaniosis, Vet Parasitol, 239, pp. 50-56, (2017); Baxarias M., Martinez-Orellana P., Baneth G., Solano-Gallego L., Immunotherapy in clinical canine leishmaniosis: a comparative update, Res Vet Sci, 125, pp. 218-226, (2019); Cavalera M.A., Gernone F., Uva A., D'Ippolito P., Roura X., Paltrinieri S., Et al., Effect of domperidone (leisguard&lt;sup&gt;®&lt;/sup&gt;) on antibody titers, inflammatory markers and creatinine in dogs with leishmaniosis and chronic kidney disease, Parasit Vectors, 14, (2021); Nabity M.B., Lees G.E., Boggess M.M., Yerramilli M., Obare E., Yerramilli M., Et al., Symmetric dimethylarginine assay validation, stability, and evaluation as a marker for the early detection of chronic kidney disease in dogs, J Vet Intern Med, 29, pp. 1036-1044, (2015); Hall J.A., Fritsch D.A., Yerramilli M., Obare E., Yerramilli M., Jewell D.E., A longitudinal study on the acceptance and effects of a therapeutic renal food in pet dogs with IRIS-Stage 1 chronic kidney disease, J Anim Physiol Anim Nutr (Berl), 102, pp. 297-307, (2018); Relford R., Robertson J., Clements C., Symmetric dimethylarginine: improving the diagnosis and staging of chronic kidney disease in small animals, Vet Clin North Am Small Anim Pract, 46, pp. 941-960, (2016); Mack R.M., Hegarty E., McCrann D.J., Michael H.T., Grauer G.F., Longitudinal evaluation of symmetric dimethylarginine and concordance of kidney biomarkers in cats and dogs, Vet J, 276, (2021); Mendoza-Roldan J., Benelli G., Panarese R., Furlanello T., Beugnet F., Zatelli A., Et al., Leishmania infantum and Dirofilaria immitis infections in Italy, 2009–2019: changing distribution patterns, Parasit Vectors, 13, (2020); Paltrinieri S., Solano-Gallego L., Fondati A., Lubas G., Gradoni L., Castagnaro M., Crotti A., Maroli M., Oliva G., Roura X., Zatelli A., Zini E., Guidelines for diagnosis and clinical classification of leishmaniasis in dogs, J Am Vet Med Assoc, 236, pp. 1184-1191, (2010); IRIS Staging of CKD., (2019); Cavalera M.A., Zatelli A., Donghia R., Mendoza-Roldan J.A., Gernone F., Otranto D., Et al., Conjunctival swab real time-PCR in Leishmania infantum seropositive dogs: diagnostic and prognostic values, Biology (Basel), 11, (2022); Travi B.L., Miro G., Use of domperidone in canine visceral leishmaniasis: gaps in veterinary knowledge and epidemiological implications, Mem Inst Oswaldo Cruz, 113, (2018); Otranto D., Paradies P., de Caprariis D., Stanneck D., Testini G., Grimm F., Et al., Toward diagnosing Leishmania infantum infection in asymptomatic dogs in an area where leishmaniasis is endemic, Clin Vaccine Immunol, 16, pp. 337-343, (2009); Zatelli A., Roura X., D'Ippolito P., Berlanda M., Zini E., The effect of renal diet in association with enalapril or benazepril on proteinuria in dogs with proteinuric chronic kidney disease, Open Vet J, 6, pp. 121-127, (2016); Siragy H.M., Felder R.A., Howell N.L., Chevalier R.L., Peach M.J., Carey R.M., Evidence that dopamine-2 mechanisms control renal function, Am J Physiol, 259, pp. F793-F800, (1990); Roura X., Cortadellas O., Day M.J., Benali S.L., Zatelli A., Canine leishmaniosis and kidney disease: Q&amp;A for an overall management in clinical practice, J Small Anim Pract, 62, pp. E1-E19, (2021); Obert L.A., Elmore S.A., Ennulat D., Frazier K.S., A review of specific biomarkers of chronic renal injury and their potential application in nonclinical safety assessment studies, Toxicol Pathol, 49, pp. 996-1023, (2021); Yerramilli M., Yerramilli M., Obare E., Et al., Prognostic value of symmetric dimethylarginine (SDMA) to creatinine ratio in dogs and cats with chronic kidney disease (CKD), J Vet Intern Med, 29, pp. 1122-1256, (2015); Jacob F., Polzin D.J., Osborne C.A., Allen T.A., Kirk C.A., Neaton J.D., Et al., Clinical evaluation of dietary modification for treatment of spontaneous chronic renal failure in dogs, J Am Vet Med Assoc, 220, pp. 1163-1170, (2002); Pedrinelli V., Lima D.M., Duarte C.N., Teixeira F.A., Porsani M., Zarif C., Et al., Nutritional and laboratory parameters affect the survival of dogs with chronic kidney disease, PLoS ONE, 15, (2020); Treatment Recommendations for CKD in Dogs, (2019); Torrent E., Planellas M., Ordeix L., Pastor J., Rodon J., Solano-Gallego L., Serum symmetric dimethylarginine as an early marker of excretory dysfunction in canine leishmaniosis (L. infantum) induced nephropathy, Vet Med Int, 2018, (2018); Giapitzoglou S., Saridomichelakis M.N., Leontides L.S., Kasabalis D., Chatzis M., Apostolidis K., Theodorou K., Et al., Evaluation of serum symmetric dimethylarginine as a biomarker of kidney disease in canine leishmaniosis due to Leishmania infantum, Vet Parasitol, 277, (2020)</t>
  </si>
  <si>
    <t xml:space="preserve">A. Zatelli; Department of Veterinary Medicine, University of Bari, Valenzano, Italy; email: andrea.zatelli@uniba.it</t>
  </si>
  <si>
    <t xml:space="preserve">2-s2.0-85140939619</t>
  </si>
  <si>
    <t xml:space="preserve">Jimoh R.G.; Abisoye O.A.; Uthman M.M.B.</t>
  </si>
  <si>
    <t xml:space="preserve">Jimoh, Rasheed Gbenga (57192954046); Abisoye, Opeyemi Aderiike (57221871133); Uthman, Muhammed Mubashir Babatunde (24345162300)</t>
  </si>
  <si>
    <t xml:space="preserve">57192954046; 57221871133; 24345162300</t>
  </si>
  <si>
    <t xml:space="preserve">Ensemble Feed-Forward Neural Network and Support Vector Machine for Prediction of Multiclass Malaria Infection</t>
  </si>
  <si>
    <t xml:space="preserve">Globally, recent research are focused on developing appropriate and robust algorithms to provide a robust healthcare system that is versatile and accurate. Existing malaria models are plagued with low rate of convergence, overfitting, limited generalization due to restriction to binary cases prediction, and proneness to local minimum errors in finding reliable testing output due to complexity of features in the feature space, which is a black box in nature. This study adopted a stacking method of heterogeneous ensemble learning of Artificial Neural Network (ANN) and Support Vector Machine (SVM) algorithms to predict multiclass, symptomatic, and climatic malaria infection. ANN produced 48.33 percent accuracy, 60.61 percent sensitivity, and 45.58 percent specificity. SVM with Gaussian kernel function gave better performance results of 85.60 percent accuracy, 84.06 percent sensitivity, and 86.09 percent specificity. Consequently, to improve prediction performance, a stacking method was introduced to ensemble SVM with ANN. The proposed ensemble malaria model was tuned on different thresholds at a threshold value of 0.60, theensemble model gave an optimum accuracy of 99.86 percent, sensitivity 100 percent, specificity 98.68 percent, and mean square error 0.14. The ensemble model experimental results indicated that stacked multiple classifiers produced better results than a single model.This research demonstrated the efficiency of heterogeneous stacking ensemble model on effects of climatic variations on multiclass malaria infection classification. Furthermore, the model reduced complexity, overfitting, low rate of convergence, and proneness to local minimum error problems of multiclass malaria infection in comparison to previous related models © 2022, Journal Of Information And Communication Technology. All Rights Reserved.</t>
  </si>
  <si>
    <t xml:space="preserve">Journal of Information and Communication Technology</t>
  </si>
  <si>
    <t xml:space="preserve">Universiti Utara Malaysia Press</t>
  </si>
  <si>
    <t xml:space="preserve">10.32890/jict2022.21.1.6</t>
  </si>
  <si>
    <t xml:space="preserve">https://www.scopus.com/inward/record.uri?eid=2-s2.0-85120979710&amp;doi=10.32890%2fjict2022.21.1.6&amp;partnerID=40&amp;md5=c05260107eb17c1124fab55d201c7398</t>
  </si>
  <si>
    <t xml:space="preserve">Department of Computer Science, University of Ilorin, Nigeria; Department of Computer Science, Federal University of Technology, Nigeria; Department of Epidemiology and Community Health, University of Ilorin, Nigeria</t>
  </si>
  <si>
    <t xml:space="preserve">Jimoh R.G., Department of Computer Science, University of Ilorin, Nigeria; Abisoye O.A., Department of Computer Science, Federal University of Technology, Nigeria; Uthman M.M.B., Department of Epidemiology and Community Health, University of Ilorin, Nigeria</t>
  </si>
  <si>
    <t xml:space="preserve">Artificial neural network; data mining; ensemble; malaria infection; support vector machine</t>
  </si>
  <si>
    <t xml:space="preserve">University of Ilorin; Central University of Technology, CUT; Tertiary Education Trust Fund, TETFund</t>
  </si>
  <si>
    <t xml:space="preserve">This work was supported by the University of Ilorin, Ilorin, Nigeria, TETFund Institutional Based Research Intervention (IBRI) Grant [2016]; Federal University of Technology, Minna, Niger State, Local TetFund Award [2014].</t>
  </si>
  <si>
    <t xml:space="preserve">Abisoye O. A., Jimoh R. G., Symptomatic and climatic based malaria threat detection using multilevel thresholding feedForward neural network, International Journal of Information Technology and Computer Science, 9, 8, pp. 40-47, (2017); Ali S., Wasimi S. A., Data mining: Methods and techniques, (2007); Arulampalam G., Bouzerdoum A., A generalized feedforward neural network architecture for classification and regression, Neural Networks, 16, 5–6, pp. 561-568, (2003); Bannister L., Mitchell G., The ins, outs and roundabouts of malaria, Trends in Parasitology, 19, 5, pp. 209-213, (2003); Barros A. M., Duarte A. A., Netto M. B., Andrade B. B., Artificial neural networks and Bayesian networks as supportting tools for diagnosis of asymptomatic malaria, 12th IEEE International Conference on e-Health Networking, Application and Services (Healthcom 2010), pp. 106-111, (2010); Brown G., Ensemble Learning, Encyclopedia of Machine Learning, 312, pp. 15-19, (2010); Ch S., Sohani S. K., Kumar D., Malik A., Chahar B. R., Nema A. K., Dhiman R. C., A support vector machine-firefly algorithm based forecasting model to determine malaria transmission, Neurocomputing, 129, pp. 279-288, (2014); Chaudhari T., Agrawal G., Automatic detection of malaria parasites for estimating parasitemia, International Journal of Advance Research in Engineering Science &amp; Technology, 2, 12, pp. 2393-9877, (2015); Depinay J.-M. O., Mbogo C. M., Killeen G., Knols B., Beier J., Carlson J., McKenzie F. E., A simulation model of African Anopheles ecology and population dynamics for the analysis of malaria transmission, Malaria Journal, 3, 1, (2004); Di Ruberto C., Dempster A., Khan S., Jarra B., Automatic thresholding of infected blood images using granulometry and regional extrema, Proceedings - International Conference on Pattern Recognition, 3, pp. 441-444, (2000); Ding H., Li D., Identification of mitochondrial proteins of malaria parasite using analysis of variance, Amino Acids, 47, 2, pp. 329-333, (2015); Djam X. Y., Wajiga G. M., Kimbi Y. H., Blamah N. V., A fuzzy expert system for the management of malaria, International Journal of Pure and Applied Sciences and Technology, 5, 2, pp. 84-108, (2011); Esayas E., Woyessa A., Massebo F., Malaria infection clustered into small residential areas in lowlands of Southern Ethiopia, Parasite Epidemiology and Control, 10, (2020); Aminu E. F., Ogbonnia E. O., Shehu I. S., A predictive symptoms-based system using support vector machines to enhanced classification accuracy of malaria and typhoid coinfection, International Journal of Mathematical Sciences and Computing, 2, 4, pp. 54-66, (2016); Ford C. T., Janies D., Ensemble machine learning modeling for the prediction of artemisinin resistance in malaria, BioRxiv, (Mmv), pp. 1-22, (2019); Ganesan D. N., Venkatesh D. K., Rama D. M. A., Palani A. M., Application of neural networks in diagnosing cancer disease using demographic data, International Journal of Computer Applications, 1, 26, pp. 81-97, (2010); Hairuddin N., Yusuf L., Othman M., Gender classification on skeletal remains: Efficiency of metaheuristic algorithm method and optimized back propagation neural network, Journal of Information and Communication Technology, 2, 2, pp. 251-277, (2020); Hegazy O., Soliman O. S., Salam M. A., A machine learning model for stock market prediction, International Journal of Computer Science and Telecommunications, 4, 12, (2013); Ibrahim H, Yasin W, Intelligent cooperative web caching policies for media objects based on J48 Decision Tree and Naïve Bayes supervised machine learning algorithms in structured peer-to-peer systems, Journal of ICT, 2, 2, pp. 85-116, (2016); Ji Y., Sun S., Multitask multiclass support vector machines: Model and experiments, Pattern Recognition, 46, 3, pp. 914-924, (2013); Keeling, Rohani P., Modeling infectious diseases in humans and animals, (2011); Khalid S., Khalil T., Nasreen S., A survey of feature selection and feature extraction techniques in machine learning, Proceedings of 2014 Science and Information Conference (SAI 2014), pp. 372-378, (2014); Kwon J., Kwak N., Radar application: Stacking multiple classifiers for human walking detection using micro-doppler signals, Applied Sciences (Switzerland), 9, 17, pp. 1-14, (2019); Maina E. M., Oboko R. O., Waiganjo P. W., Using machine learning techniques to support group formation in an online collaborative learning environment, International Journal of Intelligent Systems and Applications, 9, 3, pp. 26-33, (2017); Mizher M. A. A., Choo A. M., Abdullah S. N. H. S., Ng K. W., An improved action key frames extraction algorithm for complex colour video shot summarization, Journal of Information and Communication Technology, 18, 2, pp. 143-166, (2019); Moayedi H., Jahed Armaghani D., Optimizing an ANN model with ICA for estimating bearing capacity of driven pile in cohesionless soil, Engineering with Computers, 34, 2, pp. 347-356, (2018); Mohammed A. J., Ghathwan K. I., Yusof Y., A hybrid least squares support vector machine with bat and cuckoo search algorithms for time series forecasting, Journal of Information and Communication Technology, 19, 3, pp. 351-379, (2020); Mueller I., Galinski M. R., Baird J. K., Carlton J. M., Kochar D. K., Alonso P. L., del Portillo H. A., Key gaps in the knowledge of Plasmodium vivax, a neglected human malaria parasite, The Lancet Infectious Diseases, 9, 9, pp. 555-566, (2009); Namdev N., Agrawal S., Silkari S., Recent advancement in machine learning based internet traffic classification, Procedia Computer Science, 60, 1, pp. 784-791, (2015); Oguntimilehin A., Abiola O. B., A review of predictive models on diagnosis and treatment of malaria fever, International Journal of Computer Science and Mobile Computing, 4, 5, pp. 1087-1093, (2015); Oza N., Russell S., Online ensemble learning, Aaai/Iaai, 6837, pp. 1109-1109, (2000); Paintsil E. K., Omari-Sasu A. Y., Addo M. G., Boateng M. A., Analysis of haematological parameters as predictors of malaria infection using a logistic regression model: A case study of a hospital in the Ashanti Region of Ghana, Malaria Research and Treatment, 2019, pp. 1-7, (2019); Parham P. E., Michael E., Modeling the effects of weather and climate change on malaria transmission, Environmental Health Perspectives, (2010); Park H. S., Rinehart M. T., Walzer K. A., Ashley Chi J. T., Wax A., Automated detection of P. falciparum using machine learning algorithms with quantitative phase images of unstained cells, PLoS ONE, 11, 9, (2016); Pintelas P., Livieris I. E., Special issue on ensemble learning and applications, Algorithms, 13, 6, (2020); Priambodo B., Ahmad A., Traffic flow prediction model based on neighbouring roads using neural network and multiple regression, Journal of Information and Communication Technology, 17, 4, pp. 513-535, (2018); Rajaraman S., Jaeger S., Antani S. K., Performance evaluation of deep neural ensembles toward malaria parasite detection in thin-blood smear images, PeerJ, 7, (2019); Randolph S. E., Tick-borne disease systems, Rev. Sci. Tech. Off. Int. Epiz, 27, 2, (2008); Roy S. S., Ahmed M., Akhand M. A. H., Noisy image classification using hybrid deeep learning methods, Journal of ICT, 2, 2, pp. 233-269, (2018); Sajana T., Narasingarao M. R., A comparative study on imbalanced malaria disease diagnosis using machine learning techniques, Journal of Advanced Research in Dynamical and Control Systems, 10, pp. 552-561, (2017); Sajana T., Narasingarao M. R., An ensemble framework for classification of malaria disease, ARPN Journal of Engineering and Applied Sciences, 13, 9, pp. 3299-3307, (2018); Samat A., Du P., Liu S., Li J., Cheng L., E2LMs: Ensemble extreme learning machines for hyperspectral image classification, IEEE Journal of Selected Topics in Applied Earth Observations and Remote Sensing, 7, 4, pp. 1060-1069, (2014); Su A., 1D convolutional neural network for detecting ventricular heartbeats, (2020); Teboh-ewungkem M. I., Ngwa G. A., Comment COVID-19 in malaria-endemic regions: Potential consequences for malaria intervention coverage, morbidity, and mortality, BMJ, 369, pp. 20-21, (2020); Thornton J., Covid-19: Keep essential malaria services going during pandemic, urges WHO, BMJ, 369, (2020); Triwijoyo B. K., The classification of hypertensive retinopathy using convolutional neural network, Procedia Computer Science, 116, pp. 166-173, (2017); Vaughan A. M., Kappe S. H. I., Malaria parasite liver infection and exoerythrocytic biology, pp. 1-22, (2017); Wang M., Wang H., Wang J., Liu H., Lu R., Duan T., Ma J., A novel model for malaria prediction based on ensemble algorithms, PLoS ONE, 14, 12, pp. 1-15, (2019); Wang W., Some fundamental issues in ensemble methods, Proceedings of the IEEE International Joint Conference on Neural Networks, pp. 2243-2250, (2008); Yang J. J., Li J., Shen R., Zeng Y., He J., Bi J., Wang Q., Exploiting ensemble learning for automatic cataract detection and grading, Computer Methods and Programs in Biomedicine, 124, pp. 45-57, (2016); Zacarias O. P., Bostrom H., Comparing support vector regression and random forests for predicting malaria incidence in Mozambique, International Conference on Advances in ICT for Emerging Regions, ICTer 2013 - Conference Proceedings, pp. 217-221, (2013); Zhang C., Sorchampa S., Zhou H., Jiang J., Yang R., Zhang Y., Survey of asymptomatic malaria and mosquito vectors in Muang Khua District of Phongsaly Province, China–Laos Border, International Journal of Infectious Diseases, 96, pp. 141-147, (2020); Zhou G., Minakawa N., Githeko A. K., Yan G., Association between climate variability and malaria epidemics in the East African highlands, Proceedings of the National Academy of Sciences of the United States of America, 101, 8, pp. 2375-2380, (2004); Zhou Z., Ensemble learning, Encyclopedia of Biometrics, pp. 270-273, (2009); Zinszer K., Kigozi R., Charland K., Dorsey G., Brewer T. F., Brownstein J. S., Buckeridge D. L., Forecasting malaria in a highly endemic country using environmental and clinical predictors, Malaria Journal, 14, 1, (2015)</t>
  </si>
  <si>
    <t xml:space="preserve">R.G. Jimoh; Department of Computer Science, University of Ilorin, Nigeria; email: jimoh_rasheed@unilorin.edu.ng</t>
  </si>
  <si>
    <t xml:space="preserve">1675414X</t>
  </si>
  <si>
    <t xml:space="preserve">J. Inf. Commu. Technol.</t>
  </si>
  <si>
    <t xml:space="preserve">2-s2.0-85120979710</t>
  </si>
  <si>
    <t xml:space="preserve">Mohamed J.; Mohamed A.I.; Daud E.I.</t>
  </si>
  <si>
    <t xml:space="preserve">Mohamed, Jama (57340126400); Mohamed, Ahmed Ismail (57340126500); Daud, Eid Ibrahim (57340437000)</t>
  </si>
  <si>
    <t xml:space="preserve">57340126400; 57340126500; 57340437000</t>
  </si>
  <si>
    <t xml:space="preserve">Evaluation of prediction models for the malaria incidence in Marodijeh Region, Somaliland</t>
  </si>
  <si>
    <t xml:space="preserve">Malaria is a major public health concern in tropics and subtropics. Accurate malaria prediction is critical for reporting ongoing incidences of infection and its control. Hence, the purpose of this investigation was to evaluate the performances of different models of predicting malaria incidence in Marodijeh region, Somaliland. The study used monthly historical data from January 2011 to December 2020. Five deterministic and stochastic models, i.e. Seasonal Autoregressive Moving Average (SARIMA), Holt-Winters’ Exponential Smoothing, Harmonic Model, Seasonal and Trend Decomposition using Loess (STL) and Artificial Neural Networks (ANN), were fitted to the malaria incidence data. The study employed Root Mean Square Error (RMSE), Mean Absolute Error (MAE), Mean Absolute Percentage Error (MAPE) and Mean Absolute Scaled Error (MASE) to measure the accuracy of each model. The results indicated that the artificial neural network (ANN) model outperformed other models in terms of the lowest values of RMSE (39.4044), MAE (29.1615), MAPE (31.3611) and MASE (0.6618). The study also incorporated three meteorological variables (Humidity, Rainfall and Temperature) into the ANN model. The incorporation of these variables into the model enhanced the prediction of malaria incidence in terms of achieving better prediction accuracy measures (RMSE = 8.6565, MAE = 6.1029, MAPE = 7.4526 and MASE = 0.1385). The 2-year generated forecasts based on the ANN model implied a significant increasing trend. The study recommends the ANN model for forecasting malaria cases and for taking the steps to reduce malaria incidence during the times of year when high incidence is reported in the Marodijeh region. © 2021, Indian Society for Parasitology.</t>
  </si>
  <si>
    <t xml:space="preserve">Journal of Parasitic Diseases</t>
  </si>
  <si>
    <t xml:space="preserve">10.1007/s12639-021-01458-y</t>
  </si>
  <si>
    <t xml:space="preserve">https://www.scopus.com/inward/record.uri?eid=2-s2.0-85119195807&amp;doi=10.1007%2fs12639-021-01458-y&amp;partnerID=40&amp;md5=b2dc19f1e6cb231ee639e48e7ba95f53</t>
  </si>
  <si>
    <t xml:space="preserve">Faculty of Mathematics and Statistics, College of Applied and Natural Science, University of Hargeisa, Hargeisa, Somalia; Faculty of Nutrition, College of Applied and Natural Science, University of Hargeisa, Hargeisa, Somalia; Hargeisa, Somalia</t>
  </si>
  <si>
    <t xml:space="preserve">Mohamed J., Faculty of Mathematics and Statistics, College of Applied and Natural Science, University of Hargeisa, Hargeisa, Somalia; Mohamed A.I., Faculty of Nutrition, College of Applied and Natural Science, University of Hargeisa, Hargeisa, Somalia; Daud E.I., Hargeisa, Somalia</t>
  </si>
  <si>
    <t xml:space="preserve">Artificial neural network; Climate; Malaria incidence; Prediction model; Somaliland</t>
  </si>
  <si>
    <t xml:space="preserve">rain; accuracy; Article; artificial neural network; climate; human; humidity; incidence; malaria; mean absolute error; nonhuman; prediction; public health; root mean squared error; season; temperature</t>
  </si>
  <si>
    <t xml:space="preserve">Abeku T.A., De Vlas S.J., Borsboom G., Teklehaimanot A., Kebede A., Olana D., Habbema J.D.F., Forecasting malaria incidence from historical morbidity patterns in epidemic-prone areas of Ethiopia: a simple seasonal adjustment method performs best, Tropical Med Int Health, 7, pp. 851-857, (2002); Anokye R., Acheampong E., Owusu I., Isaac Obeng E., Time series analysis of malaria in Kumasi: Using ARIMA models to forecast future incidence, Cogent Soc Sci, 4, (2018); Anwar M.Y., Lewnard J.A., Parikh S., Pitzer V.E., Time series analysis of malaria in Afghanistan: using ARIMA models to predict future trends in incidence, Malar J, 15, pp. 1-10, (2016); Autino B., Noris A., Russo R., Castelli F., Epidemiology of malaria in endemic areas, Mediterranean J Hematol Infect Dis, (2012); Briet O.J., Vounatsou P., Gunawardena D.M., Galappaththy G.N., Amerasinghe P.H., Models for short term malaria prediction in Sri Lanka, Malar J, 7, pp. 1-11, (2008); Chenar S.S., Deng Z., Development of artificial intelligence approach to forecasting oyster norovirus outbreaks along Gulf of Mexico coast, Environ Int, 111, pp. 212-223, (2018); Cleveland R.B., Cleveland W.S., McRae J.E., Terpenning I.J., STL: A seasonal-trend decomposition procedure based on loess, Journal of Official Statistics, 6, pp. 3-33, (1990); Darkoh E.L., Larbi J.A., Lawer E.A., A weather-based prediction model of malaria prevalence in Amenfi West District, Ghana, Malaria Research and Treatment, (2017); Gething P.W., Smith D.L., Patil A.P., Tatem A.J., Snow R.W., Hay S.I., Climate change and the global malaria recession, Nature, 465, pp. 342-345, (2010); Grover-Kopec E.K., Blumenthal M.B., Ceccato P., Dinku T., Omumbo J.A., Connor S.J., Web-based climate information resources for malaria control in Africa, Malar J, 5, pp. 1-9, (2006); Hay S.I., Were E.C., Renshaw M., Noor A.M., Ochola S.A., Olusanmi I., Snow R.W., Forecasting, warning, and detection of malaria epidemics: a case study, The Lancet, 361, pp. 1705-1706, (2003); Holt C.E., Forecasting Seasonals and Trends by Exponentially Weighted Averages, (1957); Hyndman R.J., Koehler A.B., Another look at measures of forecast accuracy, Int J Forecast, 22, pp. 679-688, (2006); Hyndman R.J., Athanasopoulos G., Forecasting: Principles and Practice, (2018); Kumar P., Vatsa R., Sarthi P.P., Kumar M., Gangare V., Modeling an association between malaria cases and climate variables for Keonjhar district of Odisha, India: A Bayesian approach, J Parasitic Dis: off Organ Indian Soc Parasitol, 44, (2020); Lafferty K.D., The ecology of climate change and infectious diseases, Ecology, 90, pp. 888-900, (2009); Liatsis P., Foka A., Goulermas J.Y., Mandic L., Adaptive Polynomial Neural Networks for Times Series Forecasting., (2007); Makridakis S., Wheelwright S.C., Hyndman R.J., Forecasting methods and applications, (2008); Malinga J.K., Forecasting Malaria Case Admissions in Three Kenyan Health Facilities (, (2015); Malaria Diagnosis and Treatment Guidelines in Somalia, (2016); Mordecai E.A., Ryan S.J., Caldwell J.M., Shah M.M., LaBeaud A.D., Climate change could shift disease burden from malaria to arboviruses in Africa, Lancet Planetary Health, 4, pp. e416-e423, (2020); Noor A.M., Alegana V.A., Patil A.P., Moloney G., Borle M., Yusuf F., Snow R.W., Mapping the receptivity of malaria risk to plan the future of control in Somalia, BMJ Open, (2012); Noor A.M., Mutheu J.J., Tatem A.J., Hay S.I., Snow R.W., Insecticide-treated net coverage in Africa: mapping progress in 2000–07, The Lancet, 373, pp. 58-67, (2009); O'Meara W.P., Mangeni J.N., Steketee R., Greenwood B., Changes in the burden of malaria in sub-Saharan Africa, Lancet Infect Dis, 10, pp. 545-555, (2010); Patz J.A., Campbell-Lendrum D., Holloway T., Foley J.A., Impact of regional climate change on human health, Nature, 438, pp. 310-317, (2005); Ryan S.J., Lippi C.A., Zermoglio F., Shifting transmission risk for malaria in Africa with climate change: a framework for planning and intervention, Malar J, 19, pp. 1-14, (2020); Teklehaimanot H.D., Lipsitch M., Teklehaimanot A., Schwartz J., Weather-based prediction of Plasmodium falciparum malaria in epidemic-prone regions of Ethiopia I. Patterns of lagged weather effects reflect biological mechanisms, Malar J, 3, pp. 1-11, (2004); Tonnang H.E., Kangalawe R.Y., Yanda P.Z., Predicting and mapping malaria under climate change scenarios: the potential redistribution of malaria vectors in Africa, Malar J, 9, pp. 1-10, (2010); Wangdi K., Singhasivanon P., Silawan T., Lawpoolsri S., White N.J., Kaewkungwal J., Development of temporal modelling for forecasting and prediction of malaria infections using time-series and ARIMAX analyses: a case study in endemic districts of Bhutan, Malar J, 9, pp. 1-9, (2010); A global strategy for malaria control, (1993); A Global Partnership. Roll Back Malaria Partnership, (1998); Malaria Early Warning System: Concepts, Indicators and Partners., (2001); Report on the sixth intercountry meeting of national malaria programme managers, Cairo, Egypt, 3–6 June 2006 (No. WHO-EM/MAL/329/E, (2007); World malaria report 2020: 20 years of global progress and challenges, (2020); Winters P.R., Forecasting sales by exponentially weighted moving averages, Manage Sci, 6, pp. 324-342, (1960); Zhang X., Zhang T., Young A.A., Li X., Applications and comparisons of four time series models in epidemiological surveillance data, PLoS ONE, 9, (2014); Zinszer K., Verma A.D., Charland K., Brewer T.F., Brownstein J.S., Sun Z., Buckeridge D.L., A scoping review of malaria forecasting: past work and future directions, BMJ Open, (2012)</t>
  </si>
  <si>
    <t xml:space="preserve">J. Mohamed; Faculty of Mathematics and Statistics, College of Applied and Natural Science, University of Hargeisa, Hargeisa, Somalia; email: jama.mohamed@live.co.uk</t>
  </si>
  <si>
    <t xml:space="preserve">J. Parasitic Dis.</t>
  </si>
  <si>
    <t xml:space="preserve">2-s2.0-85119195807</t>
  </si>
  <si>
    <t xml:space="preserve">Scavuzzo C.M.; Scavuzzo J.M.; Campero M.N.; Anegagrie M.; Aramendia A.A.; Benito A.; Periago V.</t>
  </si>
  <si>
    <t xml:space="preserve">Scavuzzo, Carlos Matias (57225062339); Scavuzzo, Juan Manuel (57201899056); Campero, Micaela Natalia (57241281800); Anegagrie, Melaku (57190731788); Aramendia, Aranzazu Amor (14023916400); Benito, Agustín (7103210679); Periago, Victoria (57241173100)</t>
  </si>
  <si>
    <t xml:space="preserve">57225062339; 57201899056; 57241281800; 57190731788; 14023916400; 7103210679; 57241173100</t>
  </si>
  <si>
    <t xml:space="preserve">Feature importance: Opening a soil-transmitted helminth machine learning model via SHAP</t>
  </si>
  <si>
    <t xml:space="preserve">In the field of landscape epidemiology, the contribution of machine learning (ML) to modeling of epidemiological risk scenarios presents itself as a good alternative. This study aims to break with the ”black box” paradigm that underlies the application of automatic learning techniques by using SHAP to determine the contribution of each variable in ML models applied to geospatial health, using the prevalence of hookworms, intestinal parasites, in Ethiopia, where they are widely distributed; the country bears the third-highest burden of hookworm in Sub-Saharan Africa. XGBoost software was used, a very popular ML model, to fit and analyze the data. The Python SHAP library was used to understand the importance in the trained model, of the variables for predictions. The description of the contribution of these variables on a particular prediction was obtained, using different types of plot methods. The results show that the ML models are superior to the classical statistical models; not only demonstrating similar results but also explaining, by using the SHAP package, the influence and interactions between the variables in the generated models. This analysis provides information to help understand the epidemiological problem presented and provides a tool for similar studies. © 2022 The Authors</t>
  </si>
  <si>
    <t xml:space="preserve">10.1016/j.idm.2022.01.004</t>
  </si>
  <si>
    <t xml:space="preserve">https://www.scopus.com/inward/record.uri?eid=2-s2.0-85124138181&amp;doi=10.1016%2fj.idm.2022.01.004&amp;partnerID=40&amp;md5=4cca60b59620d3a0e6aa9c9a9621aeeb</t>
  </si>
  <si>
    <t xml:space="preserve">Instituto de Altos Estudios Espaciales Mario Gulich, Univesidad Nacional de Córdoba-Comisión Nacional de Actividades Espaciales, Argentina; Fundación Mundo Sano, Madrid, Spain; National Centre for Tropical Medicine, Institute of Health Carlos III, Madrid, Spain; Fundación Mundo Sano, Buenos Aires, Argentina; Consejo Nacional de Investigaciones Científicas y Técnicas (CONICET), Buenos Aires, Argentina</t>
  </si>
  <si>
    <t xml:space="preserve">Scavuzzo C.M., Instituto de Altos Estudios Espaciales Mario Gulich, Univesidad Nacional de Córdoba-Comisión Nacional de Actividades Espaciales, Argentina, Consejo Nacional de Investigaciones Científicas y Técnicas (CONICET), Buenos Aires, Argentina; Scavuzzo J.M., Instituto de Altos Estudios Espaciales Mario Gulich, Univesidad Nacional de Córdoba-Comisión Nacional de Actividades Espaciales, Argentina; Campero M.N., Instituto de Altos Estudios Espaciales Mario Gulich, Univesidad Nacional de Córdoba-Comisión Nacional de Actividades Espaciales, Argentina, Consejo Nacional de Investigaciones Científicas y Técnicas (CONICET), Buenos Aires, Argentina; Anegagrie M., Fundación Mundo Sano, Madrid, Spain, National Centre for Tropical Medicine, Institute of Health Carlos III, Madrid, Spain; Aramendia A.A., Fundación Mundo Sano, Madrid, Spain, National Centre for Tropical Medicine, Institute of Health Carlos III, Madrid, Spain; Benito A., National Centre for Tropical Medicine, Institute of Health Carlos III, Madrid, Spain; Periago V., Fundación Mundo Sano, Buenos Aires, Argentina, Consejo Nacional de Investigaciones Científicas y Técnicas (CONICET), Buenos Aires, Argentina</t>
  </si>
  <si>
    <t xml:space="preserve">Ethiopia; Hookworm; Machine learning; Remote sensing; Shap; Shapley</t>
  </si>
  <si>
    <t xml:space="preserve">article; bear; controlled study; Ethiopia; helminth; hookworm; intestine parasite; learning; machine learning; nonhuman; prediction; prevalence; remote sensing; software; soil</t>
  </si>
  <si>
    <t xml:space="preserve">Amhara National Regional State Health Bureau in Bahar Dar; Fundacion Mundo Sano and Instituto Gulich; Consejo Nacional de Investigaciones Científicas y Técnicas, CONICET; Instituto de Salud Carlos III, ISCIII; Fundación Mundo Sano</t>
  </si>
  <si>
    <t xml:space="preserve">Funding text 1: This study was funded by Fundación Mundo Sano and Instituto de Salud Carlos III. The funders had no roles in the design of the study or collection, analysis and interpretation of the data. C.M.S. and M.N.C. had a PhD scholarship from Consejo Nacional de Investigaciones Científicas y Técnicas (CONICET).We would like to thank the Amhara National Regional State Health Bureau in Bahar Dar for its collaboration and support in this study. We appreciate the support of the Zenzelema Health Center director Mr. Tadesse Meseret Kokeb and all the staff for their collaboration. We are most grateful to the community leaders for facilitating the participation and contact with the community. We would also like to thank Marcelo Abril and Marcelo Scavuzzo for their institutional support, directors of Fundacion Mundo Sano and Instituto Gulich, respectively.; Funding text 2: This study was funded by Fundación Mundo Sano and Instituto de Salud Carlos III . The funders had no roles in the design of the study or collection, analysis and interpretation of the data. C.M.S. and M.N.C. had a PhD scholarship from Consejo Nacional de Investigaciones Científicas y Técnicas (CONICET) . </t>
  </si>
  <si>
    <t xml:space="preserve">Abera B., Alem G., Yimer M., Herrador Z., Epidemiology of soil-transmitted helminths, schistosoma mansoni, and haematocrit values among schoolchildren in Ethiopia, J Infect Dev Ctries, 3, 7, pp. 253-260, (2013); Alvarez Di Fino E.M., Rubio J., Abril M.C., Porcasi X., Periago M.V., Risk map development for soil-transmitted helminth infections in Argentina, PLoS Neglected Tropical Diseases, 14, 2, (2020); Amor A., Rodriguez E., Saugar J.M., Arroyo A., Lopez-Quintana B., Abera B., High prevalence of strongyloides stercoralis in school-aged children in a rural highland of north-western Ethiopia: The role of intensive diagnostic work-up, Parasites &amp; Vectors, 1, 9, pp. 6-17, (2016); Anegagrie M., Lanfri S., Amor Aramendia A., Scavuzzo C.M., Herrador Z., Benito A., Periago M.V., Environmental characteristics around the household are strongly associated with hookworm infection in rural communities from bahir dar, amhara region, Ethiopia, Actualizar, 1, 1, pp. 1-2, (2020); Anegagrie M., Lanfri S., Aramendia A.A., Scavuzzo C.M., Herrador Z., Benito A., Periago M.V., Environmental characteristics around the household and their association with hookworm infection in rural communities from bahir dar, amhara region, Ethiopia, PLoS Neglected Tropical Diseases, 15, 6, (2021); Anunobi J.T., Okoye I.C., Aguzie I.O., Ndukwe Y.E., Okpasuo O.J., Risk of soil-transmitted helminthiasis among agrarian communities of kogi state, Nigeria, Annals of global health, 85, 1, (2019); Aramendia A.A., Anegagrie M., Zewdie D., Dacal E., Saugar J.M., Herrador Z., Epidemiology of intestinal helminthiases in a rural community of ethiopia: Is it time to expand control programs to include strongyloides stercoralis and the entire community?, PLoS Neglected Tropical Diseases, 6, 14, (2020); Azamathulla H.M., Ab Ghani A., Fei S.Y., ANFIS-based approach for predicting sediment transport in clean sewer, Applied Soft Computing Journal, 12, 3, pp. 1227-1230, (2012); Baddeley A., Turner R., Moller J., Hazelton M., Residual analysis for spatial point processes (with discussion), Journal of the Royal Statistical Society: Series B, 67, 5, pp. 617-666, (2005); Bates D.W., Saria S., Ohno-Machado L., Shah A., Escobar G., Big data in health care: Using analytics to identify and manage high-risk and high-cost patients, Health Affairs, 33, 7, pp. 1123-1131, (2014); Bose P., Kasabov N.K., Bruzzone L., Hartono R.N., Spiking neural networks for crop yield estimation based on spatiotemporal analysis of image time series, IEEE Transactions on Geoscience and Remote Sensing, 54, 11, pp. 6563-6573, (2016); Brown M.E., Lary D.J., Vrieling A., Stathakis D., Mussa H., Neural networks as a tool for constructing continuous NDVI time series from AVHRR and MODIS, International Journal of Remote Sensing, 29, 24, pp. 7141-7158, (2008); Campbell S.J., Savage G.B., Gray D.J., Atkinson J.A., Soares Magalhaes R.J., Nery S.V., Water, sanitation, and hygiene (wash): a critical component for sustainable soil-transmitted helminth and schistosomiasis control, PLoS Neglected Tropical Diseases, 4, 8, (2014); Chaiyos J., Suwannatrai K., Thinkhamrop K., Pratumchart K., Sereewong C., Tesana S., Kaewkes S., Sripa B., Wongsaroj T., Suwannatrai A., Maxent modeling of soil-transmitted helminth infection distributions in Thailand, Parasitology Research, 117, 11, pp. 3507-3517, (2018); Chen T., Guestrin C., XGBoost: A scalable tree boosting system, Proceedings of the 22nd ACM SIGKDD international Conference on knowledge Discovery and data mining, KDD ’16, pp. 785-794, (2016); Chen T., Guestrin C., Xgboost: A scalable tree boosting system, Proceedings of the 22nd acm sigkdd international conference on knowledge discovery and data mining, pp. 785-794, (2016); Chen T., He T., Benesty M., Khotilovich V., Tang Y., Cho H., Et al., Xgboost: extreme gradient boosting, R package version, 1, 4, pp. 1-4, (2015); Clasen T., Boisson S., Routray P., Cumming O., Jenkins M., Ensink J.H., The effect of improved rural sanitation on diarrhoea and helminth infection: Design of a cluster-randomized trial in Orissa, India, Emerging Themes in Epidemiology, 1, 9, (2019); Emsley P., Lohkamp B., Scott W.G., Cowtan K., Features and development of coot, Acta Crystallographica Section D Biological Crystallography, 66, 4, pp. 486-501, (2010); Estallo E.L., Benitez E.M., Lanfri M.A., Scavuzzo C.M., Almiron W.R., MODIS environmental data to assess Chikungunya, Dengue, and Zika diseases through Aedes (Stegomia) aegypti oviposition activity estimation, Ieee Journal of Selected Topics in Applied Earth Observations and Remote Sensing, 9, 12, pp. 5461-5466, (2016); Estallo E.L., Benitez E.M., Lanfri M.A., Scavuzzo C.M., Almiron W.R., Modis environmental data to assess chikungunya, dengue, and zika diseases through aedes (stegomia) aegypti oviposition activity estimation, Ieee Journal of Selected Topics in Applied Earth Observations and Remote Sensing, 9, 12, pp. 5461-5466, (2016); Gebreyes W.A., Dupouy-Camet J., Newport M.J., Oliveira C.J., Schlesinger L.S., Saif Y.M., Kariuki S., Saif L.J., Saville W., Wittum T., Et al., The global one health paradigm: Challenges and opportunities for tackling infectious diseases at the human, animal, and environment interface in low-resource settings, PLoS Neglected Tropical Diseases, 8, 11, (2014); Gilbert F., Introducing shap decision plots visualize the inner workings of machine learning models with greater detail and flexibility, (2019); Grimes J.E., Tadesse G., Mekete K., Wuletaw Y., Gebretsadik A., French M.D., Harrison W.E., Drake L.J., Gardiner I.A., Yard E., Et al., School water, sanitation, and hygiene, soil-transmitted helminths, and schistosomes: National mapping in ethiopia, PLoS Neglected Tropical Diseases, 10, 3, (2016); Han B.A., Schmidt J.P., Bowden S.E., Drake J.M., Rodent reservoirs of future zoonotic diseases, Proceedings of the National Academy of Sciences, 112, 22, pp. 7039-7044, (2015); Jafari Goldarag Y., Mohammadzadeh A., Ardakani A.S., Fire risk assessment using neural network and logistic regression, Journal of the Indian Society of Remote Sensing, 44, 6, pp. 885-894, (2016); Jiang Y., Tong G., Yin H., Xiong N., A pedestrian detection method based on genetic algorithm for optimize xgboost training parameters, IEEE Access, 7, pp. 118310-118321, (2019); Karagiannis-Voules D.A., Biedermann P., Ekpo U.F., Garba A., Langer E., Mathieu E., Spatial and temporal distribution of soil-transmitted helminth infection in sub-saharan africa: a systematic review and geostatistical meta-analysis, The Lancet Infectious Diseases, 14, 15, pp. 74-84, (2015); Knopp S., Khalfan A.M., Khamis I., Mgeni A.F., Stothard J.R., Rollinson D., Marti H., Utzinger J., Spatial distribution of soil-transmitted helminths, including strongyloides stercoralis, among children in Zanzibar, Geospatial health, 3, 1, pp. 47-56, (2008); Lary D.J., Alavi A.H., Gandomi A.H., Walker A.L., Machine learning in geosciences and remote sensing, Geoscience Frontiers, 7, 1, pp. 3-10, (2016); Lary D.J., Remer L.A., MacNeill D., Roscoe B., Paradise S., Machine learning and bias correction of MODIS aerosol optical depth, IEEE Geoscience and Remote Sensing Letters, 6, 4, pp. 694-698, (2009); Loukouri A., Meite A., Kouadio O.K., Dje N.N., Traye-Bi G., Koudou B.G., N'Goran E.K., Prevalence, intensity of soil-transmitted helminths, and factors associated with infection: Importance in control program with ivermectin and albendazole in Eastern Côte d'ivoire, Journal of Tropical Medicine, 2019, pp. 1-10, (2019); Lundberg S.M., Erion G., Chen H., DeGrave A., Prutkin J.M., Nair B., Katz R., Himmelfarb J., Bansal N., Lee S.-I., From local explanations to global understanding with explainable ai for trees, Nature machine intelligence, 2, 1, pp. 2522-5839, (2020); Lundberg S.M., Lee S., A unified approach to interpreting model predictions, Advances in Neural Information Processing Systems, (2017); Lundberg S.M., Lee S.-I., A unified approach to interpreting model predictions, Advances in neural information processing systems, 30, pp. 4765-4774, (2017); Lundberg S.M., Nair B., Vavilala M.S., Horibe M., Eisses M.J., Adams T., Liston D.E., Low D.K.-W., Newman S.-F., Kim J., Et al., Explainable machine-learning predictions for the prevention of hypoxaemia during surgery, Nature biomedical engineering, 2, 10, pp. 749-760, (2018); Madadi M.R., Azamathulla H.M., Yakhkeshi M., Application of Google Earth to investigate the change of flood inundation area due to flood detention dam, Earth Science India, 8, 3, pp. 627-638, (2015); Mayer D., Butler D., Statistical validation, Ecological Modelling, 68, 1-2, pp. 21-32, (1993); Mengitsu B., Shafi O., Kebede B., Kebede F., Worku D.T., Herero M., Ethiopia and its steps to mobilize resources to achieve 2020 elimination and control goals for neglected tropical diseases: Spider webs joined can tie a lion, Int Health, 1, 8, pp. 134-152, (2016); Milano A., Oscherov E.B., Palladino A.C., Bar A.R., Children enteroparasitosis in north east argentine urban area, Medicina, 67, 3, pp. 238-242, (2007); Molla E., Mamo H., Soil-transmitted helminth infections, anemia and undernutrition among schoolchildren in yirgacheffee, South Ethiopia, BMC Research Notes, 11, 1, pp. 1-7, (2018); Morales-Espinoza E.M., Sanchez-Perez H.J., del Mar Garcia-Gil M., Vargas-Morales G., Mendez-Sanchez J.D., Perez-Ramirez M., Intestinal parasites in children, in highly deprived areas in the border region of chiapas, Mexico, salud pública de méxico, 45, 5, pp. 379-388, (2003); Mudenda N.B., Malone J.B., Kearney M.T., Mischler P.D., del Mar Nieto P., McCarroll J.C., Vounatsou P., Modelling the ecological niche of hookworm in Brazil based on climate, Geospatial health, 6, 3, pp. S111-S123, (2012); Muluneh C., Hailu T., Alemu G., Prevalence and associated factors or soil-transmitted helminth infection among children living with and without open defecation practices in northwest ethiopia: A comparative cross-sectional study, The American Journal of Tropical Medicine and Hygiene, 1, 103, pp. 266-272, (2020); Nute A.W., Endeshaw T., Stewart A.E.P., Sata E., Bayissasse B., Zerihun M., Prevalence of soil- transmitted helminths and schistosoma mansoni among a population-based sample of school-age children in amhara region, Ethiopia, Parasites &amp; Vectors, 1, 11, (2018); Oluwole A.S., Ekpo U.F., Karagiannis-Voules D.-A., Abe E.M., Olamiju F.O., Isiyaku S., Okoronkwo C., Saka Y., Nebe O.J., Braide E.I., Et al., Bayesian geostatistical model-based estimates of soil-transmitted helminth infection in Nigeria, including annual deworming requirements, PLoS Neglected Tropical Diseases, 9, 4, (2015); O'Reilly C.E., Freeman M.C., Ravani M., Migele J., Mwaki A., Ayalo M., The impact of a school-based safe water and hygiene programme on knowledge and practices of students and their parents: Nyanza province, western Kenya, Epidemiology and Infection, 1, 136, pp. 80-91, (2008); Organization W.H., First who report on neglected tropical diseases: Working to overcome the global impact of neglected tropical diseases, 1, (2010); Organization W.H., Ending the neglect to attain the sustainable development goals: A road map for neglected tropical diseases 2021–2030. Technical report, (2020); Oswald W.E., Stewart A.E., Kramer M.R., Endeshaw T., Zerihun M., Melak B., Sata E., Gessese D., Teferi T., Tadesse Z., Et al., Association of community sanitation usage with soil-transmitted helminth infections among school-aged children in amhara region, Ethiopia, Parasites &amp; Vectors, 10, 1, pp. 1-13, (2017); Ovutor O., Helen I., Awi-waadu G.D., Assessment of physico-chemical parameters of soils in fallowing farmlands and pit toilet environments as it affects the abundance of geohelminthes in emohua local government area, rivers state, Nigeria, Annual Research &amp; Review in Biology, pp. 1-10, (2017); Parija S.C., Chidambaram M., Mandal J., Epidemiology and clinical features of soil-transmitted helminths, Tropical parasitology, 7, 2, (2017); Pena-Barragan J., Gutierrez P.A., Hervas-Martinez C., Six J., Plant R.E., Lopez-Granados F., Object-based image classification of summer crops with machine learning methods, Remote Sensing, 6, 6, pp. 5019-5041, (2014); Periago M., Garcia R., Astudillo O., Cabrera M., Abril M., Prevalence of intestinal parasites and the absence of soil-transmitted helminths in añatuya, santiago del estero, argentina, Parasites &amp; Vectors, 1, 11, (2018); Polop F., Provensal C., Scavuzzo M., Lamfri M., Calderon G., Polop J., On the relationship between the environmental history and the epidemiological situation of Argentine hemorrhagic fever, Ecological Research, 23, 1, (2007); Porcasi X., Rotela C.H., Introini M.V., Frutos N., Lanfri S., Peralta G., De Elia E.A., Lanfri M.A., Scavuzzo C.M., An operative dengue risk stratification system in Argentina based on geospatial technology, Geospatial Health, 6, 3, pp. S31-S42, (2012); Romero-Sandoval N., Ortiz-Rico C., Sanchez-Perez H.J., Valdivieso D., Sandoval C., Pastor J., Martin M., Soil transmitted helminthiasis in indigenous groups. a community cross sectional study in the amazonian southern border region of ecuador, BMJ Open, 7, 3, (2017); Roski J., Bo-Linn G.W., Andrews T.A., Creating value in health care through big data: Opportunities and policy implications, Health Affairs, 33, 7, pp. 1115-1122, (2014); Rotela C., Lopez L., Frias Cespedes M., Lighezzolo A., Porcasi X., Lanfri M., Scavuzzo C., Gorla D., Analytical report of the 2016 dengue outbreak in Córdoba city, Argentina, 12, (2017); Scavuzzo J.M., Scavuzzo C.M., Espinosa M., Andreo V., Campero M.N., Periago V., Abril M., Estimación de la importancia de variables predictoras en modelos epidemiológicos de aprendizaje automático utilizando shap, 2020 IEEE Congreso Bienal de Argentina (ARGENCON), pp. 1-6, (2020); Scavuzzo J.M., Trucco F., Espinosa M., Tauro C., Abril M., Scavuzzo C.M., Frery A.C., Modeling dengue vector population using remotely sensed data and machine learning, Acta Tropica, 185, pp. 167-175, (2018); Sedionoto B., Anamnart W., Prevalence of hookworm infection and strongyloidiasis in cats and potential risk factor of human diseases, E3S web of conferences, 31, (2018); Souris M., Epidemiology and geography: Principles, methods and tools of spatial analysis, (2019); Strunz E.C., Addiss D.G., Stocks M.E., Ogden S., Utzinger J., Freeman M.C., Water, sanitation, hygiene, and soil-transmitted helminth infection: a systematic review and meta-analysis, PLoS Medicine, 3, 11, (2014); Tekalign E., Bajiro M., Ayana M., Tiruneh A., Belay T., Prevalence and intensity of soil-transmitted helminth infection among rural community of southwest ethiopia: a community-based study, BioMed Research International, 2019, pp. 1-7, (2019); Wang D., Li Y., Gao B., Neural network technology and semi-analytical approach combined model for remote sensing chlorophyll-a concentration, 2016 IEEE international geoscience and remote sensing symposium (IGARSS), pp. 5852-5855, (2016); Weatherhead E.C., Reinsel G.C., Tiao G.C., Meng X.-L., Choi D., Cheang W.-K., Keller T., DeLuisi J., Wuebbles D.J., Kerr J.B., Et al., Factors affecting the detection of trends: Statistical considerations and applications to environmental data, Journal of Geophysical Research: Atmospheres, 103, D14, pp. 17149-17161, (1998); Wiens J., Shenoy E.S., Machine learning for healthcare: On the verge of a major shift in healthcare epidemiology, Clinical Infectious Diseases, 66, 1, pp. 149-153, (2018); Yi J., Prybutok V.R., A neural network model forecasting for prediction of daily maximum ozone concentration in an industrialized urban area, Environmental Pollution, 92, 3, pp. 349-357, (1996); Zahabiyoun B., Goodarzi M.R., Bavani A.R.M., Azamathulla H.M., Assessment of climate change impact on the Gharesou river basin using SWAT hydrological model, Clean - Soil, Air, Water, 41, 6, pp. 601-609, (2013)</t>
  </si>
  <si>
    <t xml:space="preserve">C.M. Scavuzzo; Instituto de Altos Estudios Espaciales Mario Gulich, Univesidad Nacional de Córdoba-Comisión Nacional de Actividades Espaciales, Spain; email: matiasscavuzzo@fcm.unc.edu.ar</t>
  </si>
  <si>
    <t xml:space="preserve">2-s2.0-85124138181</t>
  </si>
  <si>
    <t xml:space="preserve">Li Z.</t>
  </si>
  <si>
    <t xml:space="preserve">Li, Zhichao (59153856900)</t>
  </si>
  <si>
    <t xml:space="preserve">Forecasting Weekly Dengue Cases by Integrating Google Earth Engine-Based Risk Predictor Generation and Google Colab-Based Deep Learning Modeling in Fortaleza and the Federal District, Brazil</t>
  </si>
  <si>
    <t xml:space="preserve">Efficient and accurate dengue risk prediction is an important basis for dengue prevention and control, which faces challenges, such as downloading and processing multi-source data to generate risk predictors and consuming significant time and computational resources to train and validate models locally. In this context, this study proposed a framework for dengue risk prediction by integrating big geospatial data cloud computing based on Google Earth Engine (GEE) platform and artificial intelligence modeling on the Google Colab platform. It enables defining the epidemiological calendar, delineating the predominant area of dengue transmission in cities, generating the data of risk predictors, and defining multi-date ahead prediction scenarios. We implemented the experiments based on weekly dengue cases during 2013–2020 in the Federal District and Fortaleza, Brazil to evaluate the performance of the proposed framework. Four predictors were considered, including total rainfall (Rsum), mean temperature (Tmean), mean relative humidity (RHmean), and mean normalized difference vegetation index (NDVImean). Three models (i.e., random forest (RF), long-short term memory (LSTM), and LSTM with attention mechanism (LSTM-ATT)), and two modeling scenarios (i.e., modeling with or without dengue cases) were set to implement 1- to 4-week ahead predictions. A total of 24 models were built, and the results showed in general that LSTM and LSTM-ATT models outperformed RF models; modeling could benefit from using historical dengue cases as one of the predictors, and it makes the predicted curve fluctuation more stable compared with that only using climate and environmental factors; attention mechanism could further improve the performance of LSTM models. This study provides implications for future dengue risk prediction in terms of the effectiveness of GEE-based big geospatial data processing for risk predictor generation and Google Colab-based risk modeling and presents the benefits of using historical dengue data as one of the input features and the attention mechanism for LSTM modeling. © 2022 by the author.</t>
  </si>
  <si>
    <t xml:space="preserve">10.3390/ijerph192013555</t>
  </si>
  <si>
    <t xml:space="preserve">https://www.scopus.com/inward/record.uri?eid=2-s2.0-85140899932&amp;doi=10.3390%2fijerph192013555&amp;partnerID=40&amp;md5=8c1c834d62cca8ece0cd66e34ca2c10f</t>
  </si>
  <si>
    <t xml:space="preserve">Key Laboratory of Land Surface Pattern and Simulation, Institute of Geographic Sciences and Natural Resources Research, Chinese Academy of Sciences, Beijing, 100101, China</t>
  </si>
  <si>
    <t xml:space="preserve">Li Z., Key Laboratory of Land Surface Pattern and Simulation, Institute of Geographic Sciences and Natural Resources Research, Chinese Academy of Sciences, Beijing, 100101, China</t>
  </si>
  <si>
    <t xml:space="preserve">big geospatial data; cloud deep learning; dengue risk prediction; Google Colab; Google Earth Engine</t>
  </si>
  <si>
    <t xml:space="preserve">Artificial Intelligence; Brazil; Deep Learning; Dengue; Forecasting; Humans; Search Engine; Brazil; Ceara; Federal District [Brazil]; Fortaleza; artificial intelligence; data processing; dengue fever; epidemiology; forecasting method; GIS; Internet; risk assessment; spatial data; Article; artificial intelligence; climate change; deep learning; dengue; disease transmission; environmental factor; environmental temperature; epidemiological data; Federal District (Brasilia); human; humidity; prediction; rainy season; risk factor; vegetation; Brazil; dengue; forecasting; search engine</t>
  </si>
  <si>
    <t xml:space="preserve">UK Research and Innovation, UKRI, (104785); Key Research Program of Frontier Sciences, (QYZDB-SSW-DQC005); Chinese Academy of Sciences, CAS, (XDA19040301); Institute of Geographic Sciences and Natural Resources Research, Chinese Academy of Science, IGSNRR, CAS, (E0V00110YZ)</t>
  </si>
  <si>
    <t xml:space="preserve">This research was funded by the Key Research Program of Frontier Sciences (QYZDB-SSW-DQC005) of the Chinese Academy of Sciences (CAS), the Strategic Priority Research Program (XDA19040301) of the CAS, and the Institute of Geographic Sciences and Natural Resources Research (IGNSRR), Chinese Academy of Sciences (CAS) (E0V00110YZ).</t>
  </si>
  <si>
    <t xml:space="preserve">Horstick O., Tozan Y., Wilder-Smith A., Reviewing dengue: Still a neglected tropical disease?, PLoS Negl. Trop. Dis, 9, (2015); Bhatt S., Gething P.W., Brady O.J., Messina J.P., Farlow A.W., Moyes C.L., Drake J.M., Brownstein J.S., Hoen A.G., Sankoh O., Et al., The global distribution and burden of dengue, Nature, 496, pp. 504-507, (2013); Ryan S.J., Carlson C.J., Mordecai E.A., Johnson L.R., Global expansion and redistribution of Aedes-borne virus transmission risk with climate change, PLoS Negl. Trop. Dis, 13, (2019); Yang S., Kou S.C., Lu F., Brownstein J.S., Brooke N., Santillana M., Advances in using Internet searches to track dengue, PLoS Comput. Biol, 13, (2017); Withanage G.P., Viswakula S.D., Nilmini Silva Gunawardena Y.I., Hapugoda M.D., A forecasting model for dengue incidence in the District of Gampaha, Sri Lanka, Parasites Vectors, 11, (2018); Polwiang S., The time series seasonal patterns of dengue fever and associated weather variables in Bangkok (2003–2017), BMC Infect. Dis, 20, (2020); Estallo E.L., Benitez E.M., Lanfri M.A., Scavuzzo C.M., Almiron W.R., MODIS Environmental Data to Assess Chikungunya, Dengue, and Zika Diseases Through Aedes (Stegomia) aegypti Oviposition Activity Estimation, IEEE J. Sel. Top. Appl. Earth Obs. Remote Sens, 9, pp. 5461-5466, (2016); Jain R., Sontisirikit S., Iamsirithaworn S., Prendinger H., Prediction of dengue outbreaks based on disease surveillance, meteorological and socio-economic data, BMC Infect. Dis, 19, (2019); Li Z., Gurgel H., Xu L., Yang L., Dong J., Improving Dengue Forecasts by Using Geospatial Big Data Analysis in Google Earth Engine and the Historical Dengue Information-Aided Long Short Term Memory Modeling, Biology, 11, (2022); Zhao N., Charland K., Carabali M., Nsoesie E.O., Maheu-Giroux M., Rees E., Yuan M., Garcia Balaguera C., Jaramillo Ramirez G., Zinszer K., Machine learning and dengue forecasting: Comparing random forests and artificial neural networks for predicting dengue burden at national and sub-national scales in Colombia, PLoS Negl. Trop. Dis, 14, (2020); Buczak A.L., Baugher B., Moniz L.J., Bagley T., Babin S.M., Guven E., Ensemble method for dengue prediction, PLoS ONE, 13, (2018); Chen Y., Ong J.H.Y., Rajarethinam J., Yap G., Ng L.C., Cook A.R., Neighbourhood level real-time forecasting of dengue cases in tropical urban Singapore, BMC Med, 16, (2018); Marti R., Li Z., Catry T., Roux E., Mangeas M., Handschumacher P., Gaudart J., Tran A., Demagistri L., Faure J.-F., Et al., A Mapping Review on Urban Landscape Factors of Dengue Retrieved from Earth Observation Data, GIS Techniques, and Survey Questionnaires, Remote Sens, 12, (2020); Tamiminia H., Salehi B., Mahdianpari M., Quackenbush L., Adeli S., Brisco B., Google Earth Engine for geo-big data applications: A meta-analysis and systematic review, ISPRS J. Photogramm. Remote Sens, 164, pp. 152-170, (2020); Amani M., Ghorbanian A., Ahmadi S.A., Kakooei M., Moghimi A., Mirmazloumi S.M., Moghaddam S.H.A., Mahdavi S., Ghahremanloo M., Parsian S., Et al., Google Earth Engine Cloud Computing Platform for Remote Sensing Big Data Applications: A Comprehensive Review, IEEE J. Sel. Top. Appl. Earth Obs. Remote Sens, 13, pp. 5326-5350, (2020); Wimberly M.C., Nekorchuk D.M., Kankanala R.R., Cloud-based applications for accessing satellite Earth observations to support malaria early warning, Sci. Data, 9, (2022); Frake A.N., Peter B.G., Walker E.D., Messina J.P., Leveraging big data for public health: Mapping malaria vector suitability in Malawi with Google Earth Engine, PLoS ONE, 15, (2020); Carvajal T.M., Viacrusis K.M., Hernandez L.F.T., Ho H.T., Amalin D.M., Watanabe K., Machine learning methods reveal the temporal pattern of dengue incidence using meteorological factors in metropolitan Manila, Philippines, BMC Infect. Dis, 18, (2018); Baquero O.S., Santana L.M.R., Chiaravalloti-Neto F., Dengue forecasting in São Paulo city with generalized additive models, artificial neural networks and seasonal autoregressive integrated moving average models, PLoS ONE, 13, (2018); Liu D., Guo S., Zou M., Chen C., Deng F., Xie Z., Hu S., Wu L., A dengue fever predicting model based on Baidu search index data and climate data in South China, PLoS ONE, 14, (2019); Mussumeci E., Codeco Coelho F., Large-scale multivariate forecasting models for Dengue—LSTM versus random forest regression, Spat Spatiotemporal Epidemiol, 35, (2020); Benedum C.M., Shea K.M., Jenkins H.E., Kim L.Y., Markuzon N., Weekly dengue forecasts in Iquitos, Peru; San Juan, Puerto Rico; and Singapore, PLoS Negl. Trop. Dis, 14, (2020); Liu K., Yin L., Zhang M., Kang M., Deng A.-P., Li Q.-L., Song T., Facilitating fine-grained intra-urban dengue forecasting by integrating urban environments measured from street-view images, Infect. Dis. Poverty, 10, (2021); Xu J., Xu K., Li Z., Meng F., Tu T., Xu L., Liu Q., Forecast of Dengue Cases in 20 Chinese Cities Based on the Deep Learning Method, Int. J. Env. Res. Public Health, 17, (2020); Bomfim R., Pei S., Shaman J., Yamana T., Makse H.A., Andrade J.S., Lima Neto A.S., Furtado V., Predicting dengue outbreaks at neighbourhood level using human mobility in urban areas, J. R. Soc. Interface, 17, (2020); Nguyen V.-H., Tuyet-Hanh T.T., Mulhall J., Minh H.V., Duong T.Q., Chien N.V., Nhung N.T.T., Lan V.H., Minh H.B., Cuong D., Et al., Deep learning models for forecasting dengue fever based on climate data in Vietnam, PLoS Negl. Trop. Dis, 16, (2022); Akhtar M., Kraemer M.U.G., Gardner L.M., A dynamic neural network model for predicting risk of Zika in real time, BMC Med, 17, (2019); Aiken E.L., Nguyen A.T., Viboud C., Santillana M., Toward the use of neural networks for influenza prediction at multiple spatial resolutions, Sci. Adv, 7, (2021); Carneiro T., NoBrega R.V.M.D., Nepomuceno T., Bian G.B., Albuquerque V.H.C.D., Filho P.P.R., Performance Analysis of Google Colaboratory as a Tool for Accelerating Deep Learning Applications, IEEE Access, 6, pp. 61677-61685, (2018); Bisong E., Google colaboratory, Building Machine Learning and Deep Learning Models on Google Cloud Platform: A Comprehensive Guide for Beginners, pp. 59-64, (2019); Tsunoda T., Cuong T.C., Dong T.D., Yen N.T., Le N.H., Phong T.V., Minakawa N., Winter refuge for Aedes aegypti and Ae. albopictus mosquitoes in Hanoi during Winter, PLoS ONE, 9, (2014); Maciel-de-Freitas R., Neto R.B., Goncalves J.M., Codeco C.T., Lourenco-de-Oliveira R., Movement of dengue vectors between the human modified environment and an urban forest in Rio de Janeiro, J. Med. Entomol, 43, pp. 1112-1120, (2006); Lacroix R., Delatte H., Hue T., Reiter P., Dispersal and survival of male and female Aedes albopictus (Diptera: Culicidae) on Réunion Island, J. Med. Entomol, 46, pp. 1117-1124, (2009); Hochreiter S., Schmidhuber J., Long Short-Term Memory, Neural Comput, 9, pp. 1735-1780, (1997); Vaswani A., Shazeer N., Parmar N., Uszkoreit J., Jones L., Gomez A.N., Kaiser L., Polosukhin I., Attention is all you need, Adv. Neural Inf. Process. Syst, 30, pp. 1-15, (2017); Li Y., Zhu Z., Kong D., Han H., Zhao Y., EA-LSTM: Evolutionary attention-based LSTM for time series prediction, Knowl. -Based Syst, 181, (2019); Wang Y., Huang M., Zhu X., Zhao L., Attention-based LSTM for aspect-level sentiment classification, Proceedings of the 2016 Conference on Empirical Methods in Natural Language Processing, pp. 606-615; Breiman L., Friedman J.H., Olshen R.A., Stone C.J., Classification and Regression Trees, (2017); Hyndman R.J., Koehler A.B., Another look at measures of forecast accuracy, Int. J. Forecast, 22, pp. 679-688, (2006); Li Z., Gurgel H., Li M., Dessay N., Gong P., Urban Land Expansion from Scratch to Urban Agglomeration in the Federal District of Brazil in the Past 60 Years, Int. J. Environ. Res. Public Health, 19, (2022); da Silva Neto S.R., Tabosa de Oliveira T., Teixiera I.V., Medeiros Neto L., Souza Sampaio V., Lynn T., Endo P.T., Arboviral disease record data—Dengue and Chikungunya, Brazil, 2013–2020, Sci. Data, 9, (2022); Drumond B., Angelo J., Xavier D.R., Catao R., Gurgel H., Barcellos C., Dengue spatiotemporal dynamics in the Federal District, Brazil: Occurrence and permanence of epidemics, Cien Saude Colet, 25, pp. 1641-1652, (2020); MacCormack-Gelles B., Lima Neto A.S., Sousa G.S., Nascimento O.J., Machado M.M.T., Wilson M.E., Castro M.C., Epidemiological characteristics and determinants of dengue transmission during epidemic and non-epidemic years in Fortaleza, Brazil: 2011–2015, PLoS Negl. Trop. Dis, 12, (2018); Charlesworth S.M., Kligerman D.C., Blackett M., Warwick F., The Potential to Address Disease Vectors in Favelas in Brazil Using Sustainable Drainage Systems: Zika, Drainage and Greywater Management, Int. J. Environ. Res. Public Health, 19, (2022); Gong P., Li X., Wang J., Bai Y., Chen B., Hu T., Liu X., Xu B., Yang J., Zhang W., Et al., Annual maps of global artificial impervious area (GAIA) between 1985 and 2018, Remote Sens. Environ, 236, (2020); Rodell M., Houser P.R., Jambor U., Gottschalck J., Mitchell K., Meng C.-J., Arsenault K., Cosgrove B., Radakovich J., Bosilovich M., Et al., The Global Land Data Assimilation System, Bull. Am. Meteorol. Soc, 85, (2004); Vermote E., Wolfe R., MOD09GA MODIS/Terra Surface Reflectance Daily L2G Global 1kmand 500m SIN Grid V006. NASA EOSDIS Land Processes DAAC; Pedregosa F., Varoquaux G., Gramfort A., Michel V., Thirion B., Grisel O., Blondel M., Prettenhofer P., Weiss R., Dubourg V., Scikit-learn: Machine learning in Python, J. Mach. Learn. Res, 12, pp. 2825-2830, (2011); Li Z., Dong J., Big Geospatial Data and Data-Driven Methods for Urban Dengue Risk Forecasting: A Review, Remote Sens, 14, (2022); Zhang Y., Wang T., Liu K., Xia Y., Lu Y., Jing Q., Yang Z., Hu W., Lu J., Developing a Time Series Predictive Model for Dengue in Zhongshan, China Based on Weather and Guangzhou Dengue Surveillance Data, PLoS Negl. Trop. Dis, 10, (2016); McGough S.F., Clemente L., Kutz J.N., Santillana M., A dynamic, ensemble learning approach to forecast dengue fever epidemic years in Brazil using weather and population susceptibility cycles, J. R. Soc. Interface, 18, (2021); Kiang M.V., Santillana M., Chen J.T., Onnela J.P., Krieger N., Engo-Monsen K., Ekapirat N., Areechokchai D., Prempree P., Maude R.J., Et al., Incorporating human mobility data improves forecasts of Dengue fever in Thailand, Sci. Rep, 11, (2021); Sanchez L., Vanlerberghe V., Alfonso L., Marquetti M., Guzman M.G., Bisset J., van der Stuyft P., Aedes aegypti larval indices and risk for dengue epidemics, Emerg. Infect. Dis, 12, pp. 800-806, (2006); Ong J., Aik J., Ng L.C., Short Report: Adult Aedes abundance and risk of dengue transmission, PLoS Negl. Trop. Dis, 15, (2021); Shahid F., Zameer A., Muneeb M., Predictions for COVID-19 with deep learning models of LSTM, GRU and Bi-LSTM, Chaos Solitons Fractals, 140, (2020); Bracher J., Ray E.L., Gneiting T., Reich N.G., Evaluating epidemic forecasts in an interval format, PLoS Comput. Biol, 17, (2021)</t>
  </si>
  <si>
    <t xml:space="preserve">Z. Li; Key Laboratory of Land Surface Pattern and Simulation, Institute of Geographic Sciences and Natural Resources Research, Chinese Academy of Sciences, Beijing, 100101, China; email: lizc@igsnrr.ac.cn</t>
  </si>
  <si>
    <t xml:space="preserve">2-s2.0-85140899932</t>
  </si>
  <si>
    <t xml:space="preserve">Deelder W.; Manko E.; Phelan J.E.; Campino S.; Palla L.; Clark T.G.</t>
  </si>
  <si>
    <t xml:space="preserve">Deelder, Wouter (57189969852); Manko, Emilia (57221380377); Phelan, Jody E. (56669382100); Campino, Susana (14827794400); Palla, Luigi (57190160778); Clark, Taane G. (7403216793)</t>
  </si>
  <si>
    <t xml:space="preserve">57189969852; 57221380377; 56669382100; 14827794400; 57190160778; 7403216793</t>
  </si>
  <si>
    <t xml:space="preserve">Geographical classification of malaria parasites through applying machine learning to whole genome sequence data</t>
  </si>
  <si>
    <t xml:space="preserve">Malaria, caused by Plasmodium parasites, is a major global health challenge. Whole genome sequencing (WGS) of Plasmodium falciparum and Plasmodium vivax genomes is providing insights into parasite genetic diversity, transmission patterns, and can inform decision making for clinical and surveillance purposes. Advances in sequencing technologies are helping to generate timely and big genomic datasets, with the prospect of applying Artificial Intelligence analytical techniques (e.g., machine learning) to support programmatic malaria control and elimination. Here, we assess the potential of applying deep learning convolutional neural network approaches to predict the geographic origin of infections (continents, countries, GPS locations) using WGS data of P. falciparum (n = 5957; 27 countries) and P. vivax (n = 659; 13 countries) isolates. Using identified high-quality genome-wide single nucleotide polymorphisms (SNPs) (P. falciparum: 750 k, P. vivax: 588 k), an analysis of population structure and ancestry revealed clustering at the country-level. When predicting locations for both species, classification (compared to regression) methods had the lowest distance errors, and &gt; 90% accuracy at a country level. Our work demonstrates the utility of machine learning approaches for geo-classification of malaria parasites. With timelier WGS data generation across more malaria-affected regions, the performance of machine learning approaches for geo-classification will improve, thereby supporting disease control activities. © 2022, The Author(s).</t>
  </si>
  <si>
    <t xml:space="preserve">outbrreak monitoring</t>
  </si>
  <si>
    <t xml:space="preserve">10.1038/s41598-022-25568-6</t>
  </si>
  <si>
    <t xml:space="preserve">https://www.scopus.com/inward/record.uri?eid=2-s2.0-85143498513&amp;doi=10.1038%2fs41598-022-25568-6&amp;partnerID=40&amp;md5=170c5ea8a8b467c565238153d9e0aeea</t>
  </si>
  <si>
    <t xml:space="preserve">London School of Hygiene &amp; Tropical Medicine, Keppel Street, London, WC1E 7HT, United Kingdom; Dalberg Advisors, 7 Rue de Chantepoulet, Geneva, 1201, Switzerland; Department of Public Health and Infectious Diseases, University of Rome La Sapienza, Rome, Italy</t>
  </si>
  <si>
    <t xml:space="preserve">Deelder W., London School of Hygiene &amp; Tropical Medicine, Keppel Street, London, WC1E 7HT, United Kingdom, Dalberg Advisors, 7 Rue de Chantepoulet, Geneva, 1201, Switzerland; Manko E., London School of Hygiene &amp; Tropical Medicine, Keppel Street, London, WC1E 7HT, United Kingdom; Phelan J.E., London School of Hygiene &amp; Tropical Medicine, Keppel Street, London, WC1E 7HT, United Kingdom; Campino S., London School of Hygiene &amp; Tropical Medicine, Keppel Street, London, WC1E 7HT, United Kingdom; Palla L., London School of Hygiene &amp; Tropical Medicine, Keppel Street, London, WC1E 7HT, United Kingdom, Department of Public Health and Infectious Diseases, University of Rome La Sapienza, Rome, Italy; Clark T.G., London School of Hygiene &amp; Tropical Medicine, Keppel Street, London, WC1E 7HT, United Kingdom</t>
  </si>
  <si>
    <t xml:space="preserve">Artificial Intelligence; Genomics; Geography; Machine Learning; artificial intelligence; genomics; geography; machine learning</t>
  </si>
  <si>
    <t xml:space="preserve">BloomsburySET and Medical Research Council; Medical Research Council, MRC, (MR/M01360X/1, MR/N010469/1, MR/R020973/1, MR/R025576/1, MR/X005895/1)</t>
  </si>
  <si>
    <t xml:space="preserve">TGC was funded by Medical Research Council UK (Grant no. MR/M01360X/1, MR/N010469/1, MR/R025576/1, MR/R020973/1 and MR/X005895/1) grants. SC was funded by BloomsburySET and Medical Research Council UK grants (MR/M01360X/1, MR/R025576/1, MR/R020973/1 and MR/X005895/1). We thank Aleksei Ponomarev for providing support on Python coding. </t>
  </si>
  <si>
    <t xml:space="preserve">World Malaria Report, (2020); Preston M.D., Et al., A barcode of organellar genome polymorphisms identifies the geographic origin of Plasmodium falciparum strains, Nat. Commun., 5, pp. 1-7, (2014); DiezBenavente E., Et al., A molecular barcode to inform the geographical origin and transmission dynamics of Plasmodium vivax malaria, PloS Genet., 16, (2020); Diez Benavente E., Et al., Distinctive genetic structure and selection patterns in Plasmodium vivax from South Asia and East Africa, Nat. Commun., 12, pp. 1-11, (2021); Samad H., Et al., Imputation-based population genetics analysis of plasmodium falciparum malaria parasites, PLOS Genet., 11, (2015); Pybus M., Et al., Hierarchical boosting: A machine-learning framework to detect and classify hard selective sweeps in human populations, Bioinformatics, 31, (2015); Deelder W., Et al., Using deep learning to identify recent positive selection in malaria parasite sequence data, Malar. J., 20, pp. 1-9, (2021); Quan Q., Wang J., Liu L., An effective convolutional neural network for classifying red blood cells in malaria diseases, Interdiscip. Sci. Comput. Life Sci., 12, pp. 217-225, (2020); Liang Z., Et al., CNN-based image analysis for malaria diagnosis, Proc. - 2016 IEEE Int. Conf. Bioinforma. Biomed. BIBM 2016, pp. 493-496, (2017); Poostchi M., Silamut K., Maude R.J., Jaeger S., Thoma G., Image analysis and machine learning for detecting malaria, Transl. Res., 194, pp. 36-55, (2018); Fuhad K.M.F., Et al., Deep learning based automatic malaria parasite detection from blood smear and its smartphone based application, Diagnostics, 10, (2020); Neves B.J., Et al., Deep Learning-driven research for drug discovery: Tackling malaria, PLoS Comput. Biol., 16, (2020); Flagel L., Brandvain Y., Schrider D.R., The unreasonable effectiveness of convolutional neural networks in population genetic inference, Mol. Biol. Evol., 36, pp. 220-238, (2019); Sanchez T., Cury J., Charpiat G., Jay F., Deep learning for population size history inference: design, comparison and combination with approximate Bayesian computation, bioRxiv, (2020); Deelder W., Et al., Machine learning predicts accurately mycobacterium tuberculosis drug resistance from whole genome sequencing data, Front. Genet., 10, (2019); Libiseller-Egger J., Phelan J., Campino S., Mohareb F., Clark T.G., Robust detection of point mutations involved in multidrug-resistant mycobacterium tuberculosis in the presence of co-occurrent resistance markers, PLoS Comput. Biol., 16, (2020); Battey C.J., Ralph P.L., Kern A.D., Predicting geographic location from genetic variation with deep neural networks, Elife, 9, pp. 1-22, (2020); Guillot G., Jonsson H., Hinge A., Manchih N., Orlando L., Accurate continuous geographic assignment from low- to high-density SNP data, Bioinformatics, 32, pp. 1106-1108, (2016); Bhaskar A., Javanmard A., Courtade T.A., Tse D., Valencia A., Novel probabilistic models of spatial genetic ancestry with applications to stratification correction in genome-wide association studies, Bioinformatics, 33, pp. 879-885, (2017); Li H., Improving SNP discovery by base alignment quality, Bioinformatics, 27, pp. 1157-1158, (2011); Miles A., Et al., Indels, structural variation, and recombination drive genomic diversity in Plasmodium falciparum, Genome Res., 26, pp. 1288-1299, (2016); Benavente E.D., Et al., Genomic variation in Plasmodium vivax malaria reveals regions under selective pressure, PLoS ONE, 12, (2017); Alexander D.H., Novembre J., Lange K., Fast model-based estimation of ancestry in unrelated individuals, Genome Res., 19, pp. 1655-1664, (2009); Keras. Github., (2015); Srivastava N., Hinton G., Krizhevsky A., Salakhutdinov R., Dropout: A simple way to prevent neural networks from overfitting, J. Mach. Learn. Res., 15, pp. 1929-1958, (2014); Mordelet F., Vert J.P., ProDiGe: Prioritization of disease genes with multitask machine learning from positive and unlabeled examples, BMC Bioinform., 12, pp. 1-15, (2011); Mahe P., Tournoud M., Predicting bacterial resistance from whole-genome sequences using k-mers and stability selection, BMC Bioinform., 19, pp. 1-11, (2018); Alzubaidi L., Et al., Review of deep learning: concepts, CNN architectures, challenges, applications, future directions, J. Big Data, 8, pp. 1-74, (2021); Turkiewicz A., Et al., Genetic diversity of the Plasmodium falciparum GTP-cyclohydrolase 1, dihydrofolate reductase and dihydropteroate synthetase genes reveals new insights into sulfadoxine-pyrimethamine antimalarial drug resistance, PLoS Genet., 16, (2020)</t>
  </si>
  <si>
    <t xml:space="preserve">T.G. Clark; London School of Hygiene &amp; Tropical Medicine, London, Keppel Street, WC1E 7HT, United Kingdom; email: Taane.Clark@lshtm.ac.uk</t>
  </si>
  <si>
    <t xml:space="preserve">2-s2.0-85143498513</t>
  </si>
  <si>
    <t xml:space="preserve">Abuga K.M.; Muriuki J.M.; Uyoga S.M.; Mwai K.; Makale J.; Mogire R.M.; Macharia A.W.; Mohammed S.; Muthumbi E.; Mwarumba S.; Mturi N.; Bejon P.; Scott J.A.G.; Nairz M.; Williams T.N.; Atkinson S.H.</t>
  </si>
  <si>
    <t xml:space="preserve">Abuga, Kelvin M. (57209813107); Muriuki, John Muthii (57190577886); Uyoga, Sophie M. (9042273400); Mwai, Kennedy (57190162751); Makale, Johnstone (37009775500); Mogire, Reagan M. (57196413463); Macharia, Alex W. (57204057127); Mohammed, Shebe (7102894334); Muthumbi, Esther (56941891000); Mwarumba, Salim (21035350500); Mturi, Neema (6507882846); Bejon, Philip (8728878000); Scott, J. Anthony G. (58831119000); Nairz, Manfred (23061463200); Williams, Thomas N. (35430527200); Atkinson, Sarah H. (26642919500)</t>
  </si>
  <si>
    <t xml:space="preserve">57209813107; 57190577886; 9042273400; 57190162751; 37009775500; 57196413463; 57204057127; 7102894334; 56941891000; 21035350500; 6507882846; 8728878000; 58831119000; 23061463200; 35430527200; 26642919500</t>
  </si>
  <si>
    <t xml:space="preserve">Hepcidin regulation in Kenyan children with severe malaria and non-typhoidal Salmonella bacteremia</t>
  </si>
  <si>
    <t xml:space="preserve">Malaria and invasive non-typhoidal Salmonella (NTS) are life-threatening infections that often co-exist in African children. The iron-regulatory hormone hepcidin is highly upregulated during malaria and controls the availability of iron, a critical nutrient for bacterial growth. We investigated the relationship between Plasmodium falciparum malaria and NTS bacteremia in all pediatric admissions aged &lt;5 years between August 1998 and October 2019 (n=75,034). We then assayed hepcidin and measures of iron status in five groups: (1) children with concomitant severe malarial anemia (SMA) and NTS (SMA+NTS, n=16); and in matched children with (2) SMA (n=33); (3) NTS (n=33); (4) cerebral malaria (CM, n=34); and (5) community-based children. SMA and severe anemia without malaria were associated with a 2-fold or more increased risk of NTS bacteremia, while other malaria phenotypes were not associated with increased NTS risk. Children with SMA had lower hepcidin/ferritin ratios (0.10; interquartile range [IQR]: 0.03-0.19) than those with CM (0.24; IQR: 0.14-0.69; P=0.006) or asymptomatic malaria (0.19; IQR: 0.09-0.46; P=0.01) indicating suppressed hepcidin levels. Children with SMA+NTS had lower hepcidin levels (9.3 ng/mL; IQR: 4.7-49.8) and hepcidin/ferritin ratios (0.03; IQR: 0.01-0.22) than those with NTS alone (105.8 ng/mL; IQR: 17.3-233.3; P=0.02 and 0.31; IQR: 0.06-0.66; P=0.007, respectively). Since hepcidin degrades ferroportin on the Salmonella-containing vacuole, we hypothesize that reduced hepcidin in children with SMA might contribute to NTS growth by modulating iron availability for bacterial growth. Further studies are needed to understand how the hepcidin-ferroportin axis might mediate susceptibility to NTS in severely anemic children. © 2022 Ferrata Storti Foundation</t>
  </si>
  <si>
    <t xml:space="preserve">Haematologica</t>
  </si>
  <si>
    <t xml:space="preserve">Ferrata Storti Foundation</t>
  </si>
  <si>
    <t xml:space="preserve">10.3324/haematol.2021.279316</t>
  </si>
  <si>
    <t xml:space="preserve">https://www.scopus.com/inward/record.uri?eid=2-s2.0-85133363276&amp;doi=10.3324%2fhaematol.2021.279316&amp;partnerID=40&amp;md5=d968193223071f7b553d8dc068c667c7</t>
  </si>
  <si>
    <t xml:space="preserve">Kenya Medical Research Institute (KEMRI) Center for Geographic Medicine Research, KEMRI-Wellcome Trust Research Program, Kilifi, Kenya; Department of Public Health, School of Human and Health Sciences, Pwani University, Kilifi, Kenya; Epidemiology and Biostatistics Division, School of Public Health, University of the Witwatersrand, Johannesburg, South Africa; Open University, KEMRI-Wellcome Trust Research Program – Accredited Research Center, Kilifi, Kenya; Center for Tropical Medicine and Global Health, Nuffield Department of Clinical Medicine, University of Oxford, Oxford, United Kingdom; Department of Infectious Disease Epidemiology, London School of Hygiene and Tropical Medicine, London, United Kingdom; Department of Internal Medicine II, Medical University Innsbruck, Innsbruck, Austria; Department of Infectious Diseases, Institute of Global Health Innovation, Imperial College, London, United Kingdom; Department of Pediatrics, University of Oxford, Oxford, United Kingdom</t>
  </si>
  <si>
    <t xml:space="preserve">Abuga K.M., Kenya Medical Research Institute (KEMRI) Center for Geographic Medicine Research, KEMRI-Wellcome Trust Research Program, Kilifi, Kenya, Department of Public Health, School of Human and Health Sciences, Pwani University, Kilifi, Kenya; Muriuki J.M., Kenya Medical Research Institute (KEMRI) Center for Geographic Medicine Research, KEMRI-Wellcome Trust Research Program, Kilifi, Kenya; Uyoga S.M., Kenya Medical Research Institute (KEMRI) Center for Geographic Medicine Research, KEMRI-Wellcome Trust Research Program, Kilifi, Kenya; Mwai K., Kenya Medical Research Institute (KEMRI) Center for Geographic Medicine Research, KEMRI-Wellcome Trust Research Program, Kilifi, Kenya, Epidemiology and Biostatistics Division, School of Public Health, University of the Witwatersrand, Johannesburg, South Africa; Makale J., Kenya Medical Research Institute (KEMRI) Center for Geographic Medicine Research, KEMRI-Wellcome Trust Research Program, Kilifi, Kenya; Mogire R.M., Kenya Medical Research Institute (KEMRI) Center for Geographic Medicine Research, KEMRI-Wellcome Trust Research Program, Kilifi, Kenya, Open University, KEMRI-Wellcome Trust Research Program – Accredited Research Center, Kilifi, Kenya; Macharia A.W., Kenya Medical Research Institute (KEMRI) Center for Geographic Medicine Research, KEMRI-Wellcome Trust Research Program, Kilifi, Kenya, Open University, KEMRI-Wellcome Trust Research Program – Accredited Research Center, Kilifi, Kenya; Mohammed S., Kenya Medical Research Institute (KEMRI) Center for Geographic Medicine Research, KEMRI-Wellcome Trust Research Program, Kilifi, Kenya; Muthumbi E., Kenya Medical Research Institute (KEMRI) Center for Geographic Medicine Research, KEMRI-Wellcome Trust Research Program, Kilifi, Kenya; Mwarumba S., Kenya Medical Research Institute (KEMRI) Center for Geographic Medicine Research, KEMRI-Wellcome Trust Research Program, Kilifi, Kenya; Mturi N., Kenya Medical Research Institute (KEMRI) Center for Geographic Medicine Research, KEMRI-Wellcome Trust Research Program, Kilifi, Kenya; Bejon P., Kenya Medical Research Institute (KEMRI) Center for Geographic Medicine Research, KEMRI-Wellcome Trust Research Program, Kilifi, Kenya, Center for Tropical Medicine and Global Health, Nuffield Department of Clinical Medicine, University of Oxford, Oxford, United Kingdom; Scott J.A.G., Kenya Medical Research Institute (KEMRI) Center for Geographic Medicine Research, KEMRI-Wellcome Trust Research Program, Kilifi, Kenya, Department of Infectious Disease Epidemiology, London School of Hygiene and Tropical Medicine, London, United Kingdom; Nairz M., Department of Internal Medicine II, Medical University Innsbruck, Innsbruck, Austria; Williams T.N., Kenya Medical Research Institute (KEMRI) Center for Geographic Medicine Research, KEMRI-Wellcome Trust Research Program, Kilifi, Kenya, Center for Tropical Medicine and Global Health, Nuffield Department of Clinical Medicine, University of Oxford, Oxford, United Kingdom, Department of Infectious Diseases, Institute of Global Health Innovation, Imperial College, London, United Kingdom; Atkinson S.H., Kenya Medical Research Institute (KEMRI) Center for Geographic Medicine Research, KEMRI-Wellcome Trust Research Program, Kilifi, Kenya, Center for Tropical Medicine and Global Health, Nuffield Department of Clinical Medicine, University of Oxford, Oxford, United Kingdom, Department of Pediatrics, University of Oxford, Oxford, United Kingdom</t>
  </si>
  <si>
    <t xml:space="preserve">Anemia; Bacteremia; Child; Ferritins; Hepcidins; Humans; Iron; Kenya; Malaria; Malaria, Falciparum; Salmonella; biological marker; ceruloplasmin; ferroportin; heme oxygenase 1; hemoglobin; hepcidin; interleukin 10; iron; reactive oxygen metabolite; transferrin receptor; ferritin; hepcidin; iron; Article; bacteremia; bacterial growth; bacterium culture; blood culture; blood smear; cerebral malaria; child; down regulation; drug regulation; female; Giemsa stain; human; immune response; infection; laboratory test; major clinical study; malaria; male; parasitemia; Plasmodium falciparum; polymerase chain reaction; Salmonella; Salmonella enterica serovar Paratyphi A; Salmonella enterica serovar Typhi; sickle cell anemia; anemia; complication; epidemiology; Kenya; malaria falciparum; microbiology; Salmonella</t>
  </si>
  <si>
    <t xml:space="preserve">ceruloplasmin, 9031-37-2; hemoglobin, 9008-02-0; hepcidin, 342809-17-0, 1356390-47-0, 2222618-29-1; iron, 14093-02-8, 53858-86-9, 7439-89-6; ferritin, 9007-73-2; Ferritins, ; Hepcidins, ; Iron, </t>
  </si>
  <si>
    <t xml:space="preserve">KEMRI-Wellcome Trust Research Program, (203077, DEL-15-003); Wellcome Trust, WT, (110255, 202800, 212600); Wellcome Trust, WT; Government of the United Kingdom; New Partnership for Africa's Development, NEPAD; African Academy of Sciences, AAS</t>
  </si>
  <si>
    <t xml:space="preserve">This study was funded by Wellcome (grant numbers 110255 to SHA, 212600 to KMA, 202800 to TNW, and a core award to the KEMRI-Wellcome Trust Research Program [203077]). KMA, RMM, EM and JMM were supported by the DELTAS Africa Initiative [DEL-15-003]. The DELTAS Africa Initiative is an independent funding scheme of the African Academy of Sciences (AAS)'s Alliance for Accelerating Excellence in Science in Africa (AESA) and supported by the New Partnership for Africa's Development Planning and Coordinating Agency (NEPAD Agency) with funding from Wellcome [107769] and the UK government. The funders had no role in study design, data collection and analysis, decision to publish, or preparation of the manuscript.</t>
  </si>
  <si>
    <t xml:space="preserve">World malaria report 2020: 20 years of global progress and challenges, (2020); The global burden of non-typhoidal salmonella invasive disease: a systematic analysis for the Global Burden of Disease Study 2017, Lancet Infect Dis, 19, 12, pp. 1312-1324, (2019); Feasey NA, Dougan G, Kingsley RA, Heyderman RS, Gordon MA., Invasive non-typhoidal salmonella disease: an emerging and neglected tropical disease in Africa, Lancet, 379, 9835, pp. 2489-2499, (2012); Park SE, Pak GD, Aaby P, Et al., The relationship between invasive nontyphoidal Salmonella disease, other bacterial bloodstream infections, and malaria in Sub-Saharan Africa, Clin Infect Dis, 62, pp. S23-S31, (2016); Biggs HM, Lester R, Nadjm B, Et al., Invasive Salmonella infections in areas of high and low malaria transmission intensity in Tanzania, Clin Infect Dis, 58, 5, pp. 638-647, (2014); Tabu C, Breiman RF, Ochieng B, Et al., Differing burden and epidemiology of non-Typhi Salmonella bacteremia in rural and urban Kenya, 2006-2009, PLoS One, 7, 2, (2012); Scott JA, Berkley JA, Mwangi I, Et al., Relation between falciparum malaria and bacteraemia in Kenyan children: a population-based, case-control study and a longitudinal study, Lancet, 378, 9799, pp. 1316-1323, (2011); Mackenzie G, Ceesay SJ, Hill PC, Et al., A decline in the incidence of invasive non-typhoidal Salmonella infection in The Gambia temporally associated with a decline in malaria infection, PLoS One, 5, 5, (2010); Bronzan RN, Taylor TE, Mwenechanya J, Et al., Bacteremia in Malawian children with severe malaria: prevalence, etiology, HIV coinfection, and outcome, J Infect Dis, 195, 6, pp. 895-904, (2007); Graham SM, Mwenechanya J, Tembo M, Et al., The pattern of bacteraemia in children with severe malaria, Malawi Med J, 14, 1, pp. 11-15, (2002); Nadjm B, Amos B, Mtove G, Et al., WHO guidelines for antimicrobial treatment in children admitted to hospital in an area of intense Plasmodium falciparum transmission: prospective study, BMJ, 340, (2010); Falay D, Kuijpers LM, Phoba MF, Et al., Microbiological, clinical and molecular findings of non-typhoidal Salmonella bloodstream infections associated with malaria, Oriental Province, Democratic Republic of the Congo, BMC Infect Dis, 16, (2016); Bassat Q, Guinovart C, Sigauque B, Et al., Severe malaria and concomitant bacteraemia in children admitted to a rural Mozambican hospital, Trop Med Int Health, 14, 9, pp. 1011-1019, (2009); Abuga KM, Muriuki JM, Williams TN, Atkinson SH., How severe anaemia might influence the risk of invasive bacterial infections in African children, Int J Mol Sci, 21, 18, (2020); Cunnington AJ, de Souza JB, Walther M, Riley EM., Malaria impairs resistance to Salmonella through heme- and heme oxygenase-dependent dysfunctional granulocyte mobilization, Nat Med, 18, 1, pp. 120-127, (2011); Lokken KL, Stull-Lane AR, Poels K, Tsolis RM., Malaria parasite-mediated alteration of macrophage function and increased iron availability predispose to disseminated nontyphoidal Salmonella infection, Infect Immun, 86, 9, pp. e00301-e00318, (2018); Pagani A, Nai A, Silvestri L, Camaschella C., Hepcidin and anemia: a tight relationship, Front Physiol, 10, (2019); Yuki KE, Eva MM, Richer E, Et al., Suppression of hepcidin expression and iron overload mediate Salmonella susceptibility in ankyrin 1 ENU-induced mutant, PLoS One, 8, 2, (2013); Liu D, Gan ZS, Ma W, Et al., Synthetic porcine Hepcidin exhibits different roles in Escherichia coli and Salmonella infections, Antimicrob Agents Chemother, 61, 10, pp. e02638-16, (2017); Kim DK, Jeong JH, Lee JM, Et al., Inverse agonist of estrogen-related receptor gamma controls Salmonella typhimurium infection by modulating host iron homeostasis, Nat Med, 20, 4, pp. 419-424, (2014); Lim D, Kim KS, Jeong JH, Et al., The hepcidin-ferroportin axis controls the iron content of Salmonella-containing vacuoles in macrophages, Nat Commun, 9, 1, (2018); Flannagan RS, Farrell TJ, Trothen SM, Dikeakos JD, Heinrichs DE., Rapid removal of phagosomal ferroportin in macrophages contributes to nutritional immunity, Blood Adv, 5, 2, pp. 459-474, (2021); Muthumbi E, Morpeth SC, Ooko M, Et al., Invasive Salmonellosis in Kilifi, Kenya, Clin Infect Dis, 61, pp. S290-S301, (2015); Bejon P, Williams TN, Liljander A, Et al., Stable and unstable malaria hotspots in longitudinal cohort studies in Kenya, PLoS Med, 7, 7, (2010); Berkley JA, Lowe BS, Mwangi I, Et al., Bacteremia among children admitted to a rural hospital in Kenya, N Engl J Med, 352, 1, pp. 39-47, (2005); Atkinson SH, Uyoga SM, Armitage AE, Et al., Malaria and age variably but critically control Hepcidin throughout childhood in Kenya, EBioMedicine, 2, 10, pp. 1478-1486, (2015); Severe malaria, (2014); Enwere G, Van Hensbroek MB, Adegbola R, Et al., Bacteraemia in cerebral malaria, Ann Trop Paediatr, 18, 4, pp. 275-278, (1998); Brent AJ, Oundo JO, Mwangi I, Ochola L, Lowe B, Berkley JA., Salmonella bacteremia in Kenyan children, Pediatr Infect Dis J, 25, 3, pp. 230-236, (2006); Mandomando I, Bassat Q, Sigauque B, Et al., Invasive Salmonella infections among children from rural Mozambique, 2001-2014, Clin Infect Dis, 61, pp. S339-S345, (2015); Mabey DC, Brown A, Greenwood BM., Plasmodium falciparum malaria and Salmonella infections in Gambian children, J Infect Dis, 155, 6, pp. 1319-1321, (1987); Walsh AL, Phiri AJ, Graham SM, Molyneux EM, Molyneux ME., Bacteremia in febrile Malawian children: clinical and microbiologic features, Pediatr Infect Dis J, 19, 4, pp. 312-318, (2000); Calis JC, Phiri KS, Faragher EB, Et al., Severe anemia in Malawian children, N Engl J Med, 358, 9, pp. 888-899, (2008); Casals-Pascual C, Huang H, Lakhal-Littleton S, Et al., Hepcidin demonstrates a biphasic association with anemia in acute Plasmodium falciparum malaria, Haematologica, 97, 11, pp. 1695-1698, (2012); Burte F, Brown BJ, Orimadegun AE, Et al., Circulatory hepcidin is associated with the anti-inflammatory response but not with iron or anemic status in childhood malaria, Blood, 121, 15, pp. 3016-3022, (2013); Latour C, Wlodarczyk MF, Jung G, Et al., Erythroferrone contributes to hepcidin repression in a mouse model of malarial anemia, Haematologica, 102, 1, pp. 60-68, (2017); Jonker FA, Calis JC, Phiri K, Et al., Low hepcidin levels in severely anemic malawian children with high incidence of infectious diseases and bone marrow iron deficiency, PLoS One, 8, 12, (2013); Stoffel NU, Lazrak M, Bellitir S, Et al., The opposing effects of acute inflammation and iron deficiency anemia on serum hepcidin and iron absorption in young women, Haematologica, 104, 6, pp. 1143-1149, (2019); Mangaonkar AA, Thawer F, Son J, Et al., Regulation of iron homeostasis through the erythroferrone-hepcidin axis in sickle cell disease, Br J Haematol, 189, 6, pp. 1204-1209, (2020); Howard CT, McKakpo US, Quakyi IA, Et al., Relationship of hepcidin with parasitemia and anemia among patients with uncomplicated Plasmodium falciparum malaria in Ghana, Am J Trop Med Hyg, 77, 4, pp. 623-626, (2007); Oluboyo OA, Theodora I, Oluboyo A., Impact of malaria severity on serum levels of hepcidin and iron status in children, Online J Health Allied Sciences, 18, 1, pp. 1-4, (2019); Mendonca VR, Souza LC, Garcia GC, Et al., Associations between hepcidin and immune response in individuals with hyperbilirubinaemia and severe malaria due to Plasmodium vivax infection, Malar J, 14, 1, (2015); Muriuki JM, Mentzer AJ, Webb EL, Et al., Estimating the burden of iron deficiency among African children, BMC Med, 18, 1, (2020); Prentice S, Jallow AT, Sinjanka E, Et al., Hepcidin mediates hypoferremia and reduces the growth potential of bacteria in the immediate post-natal period in human neonates, Sci Rep, 9, 1, (2019); Cross JH, Bradbury RS, Fulford AJ, Et al., Oral iron acutely elevates bacterial growth in human serum, Sci Rep, 5, (2015); Darton TC, Blohmke CJ, Giannoulatou E, Et al., Rapidly escalating hepcidin and associated serum iron starvation are features of the acute response to typhoid infection in humans, PLoS Negl Trop Dis, 9, 9, (2015); Chlosta S, Fishman DS, Harrington L, Et al., The iron efflux protein ferroportin regulates the intracellular growth of Salmonella enterica, Infect Immun, 74, 5, pp. 3065-3067, (2006); Nairz M, Weiss G., Iron in infection and immunity, Mol Aspects Med, 75, (2020); Steele-Mortimer O, Meresse S, Gorvel JP, Toh BH, Finlay BB., Biogenesis of Salmonella typhimurium-containing vacuoles in epithelial cells involves interactions with the early endocytic pathway, Cell Microbiol, 1, 1, pp. 33-49, (1999); WHO child growth standards based on length/height, weight and age, Acta Paediatr Suppl, 450, pp. 76-85, (2006)</t>
  </si>
  <si>
    <t xml:space="preserve">S.H. Atkinson; Kenya Medical Research Institute (KEMRI) Center for Geographic Medicine Research, KEMRI-Wellcome Trust Research Program, Kilifi, Kenya; email: satkinson@kemri-wellcome.org</t>
  </si>
  <si>
    <t xml:space="preserve">HAEMA</t>
  </si>
  <si>
    <t xml:space="preserve">2-s2.0-85133363276</t>
  </si>
  <si>
    <t xml:space="preserve">Li Q.; Zhang F.; Lu Y.; Hu H.; Wang J.; Guo C.; Deng Q.; Liao C.; Wu Q.; Hu T.; Chen Z.; Lu J.</t>
  </si>
  <si>
    <t xml:space="preserve">Li, Qianlin (57216336711); Zhang, Fuqiang (55495274200); Lu, Yi (59284073900); Hu, Huan (57217031502); Wang, Jin (59066657300); Guo, Cheng (57207260189); Deng, Qiang (57306211400); Liao, Conghui (57216349278); Wu, Qin (57687443000); Hu, Tingsong (55903894200); Chen, Zeliang (8968558600); Lu, Jiahai (8079348400)</t>
  </si>
  <si>
    <t xml:space="preserve">57216336711; 55495274200; 59284073900; 57217031502; 59066657300; 57207260189; 57306211400; 57216349278; 57687443000; 55903894200; 8968558600; 8079348400</t>
  </si>
  <si>
    <t xml:space="preserve">Highly potent multivalent VHH antibodies against Chikungunya isolated from an alpaca naïve phage display library</t>
  </si>
  <si>
    <t xml:space="preserve">Background: Chikungunya virus (CHIKV) is a re-emerged mosquito-borne alphavirus that can cause musculoskeletal diseases, imposing a substantial threat to public health globally. High-affinity antibodies are need for diagnosis and treatment of CHIKV infections. As a potential diagnostic and therapeutic agent, the multivalent VHH antibodies is a promising tookit in nanomedicine. Here, we developed potent multivalent VHH antibodies from an alpaca naïve phage display library targeting the E2 glycoprotein of the CHIKV virus. Results: In the present study, we generated 20 VHH antibodies using a naïve phage display library for binders to the CHIKV E2 glycoprotein. Of these, multivalent VHH antibodies Nb-2E8 and Nb-3C5 had specific high-affinity binding to E2 protein within the nanomolar range. The equilibrium dissociation constant (KD) was between 2.59–20.7 nM, which was 100-fold stronger than the monovalent antibodies’ affinity. Moreover, epitope mapping showed that Nb-2E8 and Nb-3C5 recognized different linear epitopes located on the E2 glycoprotein domain C and A, respectively. A facile protocol of sandwich ELISA was established using BiNb-2E8 as a capture antibody and HRP-conjugated BiNb-3C5 as a detection antibody. A good linear correlation was achieved between the OD450 value and the E2 protein concentration in the 5–1000 ng/mL range (r = 0.9864, P &lt; 0.0001), indicating its potential for quantitative detection of the E2 protein. Conclusions: Compared to monovalent antibodies, multivalent VHH antibodies Nb-2E8 and Nb-3C5 showed high affinity and are potential candidates for diagnostic applications to better detect CHIKV virions in sera. Graphical Abstract: [Figure not available: see fulltext.]. © 2022, The Author(s).</t>
  </si>
  <si>
    <t xml:space="preserve">Journal of Nanobiotechnology</t>
  </si>
  <si>
    <t xml:space="preserve">10.1186/s12951-022-01417-6</t>
  </si>
  <si>
    <t xml:space="preserve">https://www.scopus.com/inward/record.uri?eid=2-s2.0-85130042829&amp;doi=10.1186%2fs12951-022-01417-6&amp;partnerID=40&amp;md5=c77e726bc396bc92ef66563fd3780bfe</t>
  </si>
  <si>
    <t xml:space="preserve">One Health Center of Excellence for Research and Training, School of Public Health, Sun Yat-Sen University, Guangzhou, 510080, China; NMPA Key Laboratory for Quality Monitoring and Evaluation of Vaccines and Biological Products, Guangzhou, 510080, China; Key Laboratory of Tropical Diseases Control, Sun Yat-Sen University, Ministry of Education, Guangzhou, 510080, China; Center for Disease Control and Prevention of Southern Theater Command, Guangzhou, 510060, China; Health Effects Institute, Boston, 02169, United States; Center for Infection and Immunity, Mailman School of Public Health, Columbia University, New York, NY, United States</t>
  </si>
  <si>
    <t xml:space="preserve">Li Q., One Health Center of Excellence for Research and Training, School of Public Health, Sun Yat-Sen University, Guangzhou, 510080, China, NMPA Key Laboratory for Quality Monitoring and Evaluation of Vaccines and Biological Products, Guangzhou, 510080, China, Key Laboratory of Tropical Diseases Control, Sun Yat-Sen University, Ministry of Education, Guangzhou, 510080, China; Zhang F., Center for Disease Control and Prevention of Southern Theater Command, Guangzhou, 510060, China; Lu Y., Health Effects Institute, Boston, 02169, United States; Hu H., One Health Center of Excellence for Research and Training, School of Public Health, Sun Yat-Sen University, Guangzhou, 510080, China, NMPA Key Laboratory for Quality Monitoring and Evaluation of Vaccines and Biological Products, Guangzhou, 510080, China, Key Laboratory of Tropical Diseases Control, Sun Yat-Sen University, Ministry of Education, Guangzhou, 510080, China; Wang J., One Health Center of Excellence for Research and Training, School of Public Health, Sun Yat-Sen University, Guangzhou, 510080, China, NMPA Key Laboratory for Quality Monitoring and Evaluation of Vaccines and Biological Products, Guangzhou, 510080, China, Key Laboratory of Tropical Diseases Control, Sun Yat-Sen University, Ministry of Education, Guangzhou, 510080, China; Guo C., Center for Infection and Immunity, Mailman School of Public Health, Columbia University, New York, NY, United States; Deng Q., One Health Center of Excellence for Research and Training, School of Public Health, Sun Yat-Sen University, Guangzhou, 510080, China, NMPA Key Laboratory for Quality Monitoring and Evaluation of Vaccines and Biological Products, Guangzhou, 510080, China, Key Laboratory of Tropical Diseases Control, Sun Yat-Sen University, Ministry of Education, Guangzhou, 510080, China; Liao C., One Health Center of Excellence for Research and Training, School of Public Health, Sun Yat-Sen University, Guangzhou, 510080, China, NMPA Key Laboratory for Quality Monitoring and Evaluation of Vaccines and Biological Products, Guangzhou, 510080, China, Key Laboratory of Tropical Diseases Control, Sun Yat-Sen University, Ministry of Education, Guangzhou, 510080, China; Wu Q., One Health Center of Excellence for Research and Training, School of Public Health, Sun Yat-Sen University, Guangzhou, 510080, China, NMPA Key Laboratory for Quality Monitoring and Evaluation of Vaccines and Biological Products, Guangzhou, 510080, China, Key Laboratory of Tropical Diseases Control, Sun Yat-Sen University, Ministry of Education, Guangzhou, 510080, China; Hu T., Center for Disease Control and Prevention of Southern Theater Command, Guangzhou, 510060, China; Chen Z., One Health Center of Excellence for Research and Training, School of Public Health, Sun Yat-Sen University, Guangzhou, 510080, China, NMPA Key Laboratory for Quality Monitoring and Evaluation of Vaccines and Biological Products, Guangzhou, 510080, China, Key Laboratory of Tropical Diseases Control, Sun Yat-Sen University, Ministry of Education, Guangzhou, 510080, China; Lu J., One Health Center of Excellence for Research and Training, School of Public Health, Sun Yat-Sen University, Guangzhou, 510080, China, NMPA Key Laboratory for Quality Monitoring and Evaluation of Vaccines and Biological Products, Guangzhou, 510080, China, Key Laboratory of Tropical Diseases Control, Sun Yat-Sen University, Ministry of Education, Guangzhou, 510080, China</t>
  </si>
  <si>
    <t xml:space="preserve">Chikungunya; E2 glycoprotein; Epitope; Naïve phage display library; VHH antibody</t>
  </si>
  <si>
    <t xml:space="preserve">Animals; Antibodies, Viral; Bacteriophages; Camelids, New World; Chikungunya Fever; Chikungunya virus; Glycoproteins; Single-Domain Antibodies; Chemical detection; Diagnosis; Dissociation; Epitopes; Glycoproteins; Health risks; Medical nanotechnology; Viruses; glycoprotein E2; nanobody; glycoprotein; nanobody; virus antibody; Alphaviruses; Chikungunya; Diagnostic agents; E2 glycoprotein; High affinity; Musculoskeletal disease; Naive phage display library; Phage display libraries; VHH antibody; Virus infection; antibody detection; Article; binding affinity; chikungunya; Chikungunya virus; controlled study; epitope mapping; Escherichia coli; nonhuman; phage display; protein targeting; sandwich ELISA; virus isolation; animal; bacteriophage; Chikungunya virus; New World camelid; Antibodies</t>
  </si>
  <si>
    <t xml:space="preserve">Antibodies, Viral, ; Glycoproteins, ; Single-Domain Antibodies, </t>
  </si>
  <si>
    <t xml:space="preserve">Ministry of Science and Technology of the People's Republic of China, MOST, (20SWAQX02); Ministry of Science and Technology of the People's Republic of China, MOST; South China University of Technology, SCUT; National Key Research and Development Program of China, NKRDPC, (2018YFE0208000); National Key Research and Development Program of China, NKRDPC; Special Project for Research and Development in Key areas of Guangdong Province, (2018B020241002); Special Project for Research and Development in Key areas of Guangdong Province</t>
  </si>
  <si>
    <t xml:space="preserve">Funding text 1: This work was funded by the National Key Research and Development Program of China (2018YFE0208000), the Key-Area Research and Development Program of Guangdong Province (2018B020241002) and the Key Research and Development Program for the 14th Five-Year Plan from the Ministry of Science and Technology, China (20SWAQX02). ; Funding text 2: We gratefully acknowledge the staffs of the AlpaLife for their excellent technical assistance. We also thank shaopei Chen and Pro. Jufang Wang (South China University of Technology) for the kind gift of anti-mouse CHIKV E2 monoclonal antibodies.</t>
  </si>
  <si>
    <t xml:space="preserve">Couderc T., Chretien F., Schilte C., Disson O., Brigitte M., Guivel-Benhassine F., Touret Y., Barau G., Cayet N., Schuffenecker I., Despres P., Arenzana-Seisdedos F., Michault A., Albert M.L., Lecuit M., A mouse model for Chikungunya: young age and inefficient type-I interferon signaling are risk factors for severe disease, PLoS Pathog, 4, 2, (2008); Burt F.J., Rolph M.S., Rulli N.E., Mahalingam S., Heise M.T., Chikungunya: a re-emerging virus, Lancet, 379, 9816, pp. 662-671, (2012); Joshi P., Yadav P., Mourya D., Sahare L., Ukey M., Khedekar R., Patil D., Barde P.V., Laboratory surveillance of Chikungunya in Madhya Pradesh, India (2016–2017), Indian J Med Res, 151, 1, pp. 87-92, (2020); Nunes M.R., Faria N.R., de Vasconcelos J.M., Golding N., Kraemer M.U., de Oliveira L.F., Azevedo Rdo S., da Silva D.E., da Silva E.V., da Silva S.P., Carvalho V.L., Coelho G.E., Cruz A.C., Rodrigues S.G., Vianez J.L., Nunes B.T., Cardoso J.F., Tesh R.B., Hay S.I., Pybus O.G., Vasconcelos P.F., Emergence and potential for spread of Chikungunya virus in Brazil, BMC Med, 13, (2015); Roth A., Mercier A., Lepers C., Hoy D., Duituturaga S., Benyon E., Guillaumot L., Souares Y., Concurrent outbreaks of dengue, chikungunya and Zika virus infections—an unprecedented epidemic wave of mosquito-borne viruses in the Pacific 2012–2014, Euro Surveill, 19, 41, (2014); Gerardin P., Barau G., Michault A., Bintner M., Randrianaivo H., Choker G., Lenglet Y., Touret Y., Bouveret A., Grivard P., Le Roux K., Blanc S., Schuffenecker I., Couderc T., Arenzana-Seisdedos F., Lecuit M., Robillard P.Y., Multidisciplinary prospective study of mother-to-child chikungunya virus infections on the island of La Réunion, PLoS Med, 5, 3, (2008); Metz S.W., Gardner J., Geertsema C., Le T.T., Goh L., Vlak J.M., Suhrbier A., Pijlman G.P., Effective Chikungunya virus-like particle vaccine produced in insect cells, PLoS Negl Trop Dis, 7, 3, (2013); Sun S., Xiang Y., Akahata W., Holdaway H., Pal P., Zhang X., Diamond M.S., Nabel G.J., Rossmann M.G., Structural analyses at pseudo atomic resolution of Chikungunya virus and antibodies show mechanisms of neutralization, Elife, 2, (2013); Cotmore S.F., Agbandje-McKenna M., Canuti M., Chiorini J.A., Eis-Hubinger A.M., Hughes J., Mietzsch M., Modha S., Ogliastro M., Penzes J.J., Pintel D.J., Qiu J., Soderlund-Venermo M., Tattersall P., Tijssen P., ICTV virus taxonomy profile: parvoviridae, J Gen Virol, 100, 3, pp. 367-368, (2019); Voss J.E., Vaney M.C., Duquerroy S., Vonrhein C., Girard-Blanc C., Crublet E., Thompson A., Bricogne G., Rey F.A., Glycoprotein organization of Chikungunya virus particles revealed by X-ray crystallography, Nature, 468, 7324, pp. 709-712, (2010); Kim A.S., Zimmerman O., Fox J.M., Nelson C.A., Basore K., Zhang R., Durnell L., Desai C., Bullock C., Deem S.L., Oppenheimer J., Shapiro B., Wang T., Cherry S., Coyne C.B., Handley S.A., Landis M.J., Fremont D.H., Diamond M.S., An evolutionary insertion in the Mxra8 receptor-binding site confers resistance to alphavirus infection and pathogenesis, Cell Host Microbe, 27, 3, pp. 428-440, (2020); Zhang R., Kim A.S., Fox J.M., Nair S., Basore K., Klimstra W.B., Rimkunas R., Fong R.H., Lin H., Poddar S., Crowe J.E., Doranz B.J., Fremont D.H., Diamond M.S., Mxra8 is a receptor for multiple arthritogenic alphaviruses, Nature, 557, 7706, pp. 570-574, (2018); Hamers-Casterman C., Atarhouch T., Muyldermans S., Robinson G., Hamers C., Songa E.B., Bendahman N., Hamers R., Naturally occurring antibodies devoid of light chains, Nature, 363, 6428, pp. 446-448, (1993); Huang N.J., Pishesha N., Mukherjee J., Zhang S., Deshycka R., Sudaryo V., Dong M., Shoemaker C.B., Lodish H.F., Genetically engineered red cells expressing single domain camelid antibodies confer long-term protection against botulinum neurotoxin, Nat Commun, 8, 1, (2017); Nordeen S.A., Andersen K.R., Knockenhauer K.E., Ingram J.R., Ploegh H.L., Schwartz T.U., A nanobody suite for yeast scaffold nucleoporins provides details of the nuclear pore complex structure, Nat Commun, 11, 1, (2020); Ma H., Zeng W., Meng X., Huang X., Yang Y., Zhao D., Zhou P., Wang X., Zhao C., Sun Y., Wang P., Ou H., Hu X., Xiang Y., Jin T., Potent neutralization of SARS-CoV-2 by hetero-bivalent alpaca nanobodies targeting the spike receptor-binding domain, J Virol, 95, 10, pp. e02438-e2520, (2021); Ingram J.R., Schmidt F.I., Ploegh H.L., Exploiting nanobodies’ singular traits, Annu Rev Immunol, 36, pp. 695-715, (2018); Detalle L., Stohr T., Palomo C., Piedra P.A., Gilbert B.E., Mas V., Millar A., Power U.F., Stortelers C., Allosery K., Melero J.A., Depla E., Generation and characterization of ALX-0171, a potent novel therapeutic nanobody for the treatment of respiratory syncytial virus infection, Antimicrob Agents Chemother, 60, 1, pp. 6-13, (2015); Crasson O., Rhazi N., Jacquin O., Freichels A., Jerome C., Ruth N., Galleni M., Filee P., Vandevenne M., Enzymatic functionalization of a nanobody using protein insertion technology, Protein Eng Des Sel, 28, 10, pp. 451-460, (2015); De Genst E., Chan P.H., Pardon E., Hsu S.D., Kumita J.R., Christodoulou J., Menzer L., Chirgadze D.Y., Robinson C.V., Muyldermans S., Matagne A., Wyns L., Dobson C.M., Dumoulin M., A nanobody binding to non-amyloidogenic regions of the protein human lysozyme enhances partial unfolding but inhibits amyloid fibril formation, J Phys Chem B, 117, 42, pp. 13245-13258, (2013); Dong J., Huang B., Jia Z., Wang B., Gallolu Kankanamalage S., Titong A., Liu Y., Development of multi-specific humanized llama antibodies blocking SARS-CoV-2/ACE2 interaction with high affinity and avidity, Emerg Microbes Infect, 9, 1, pp. 1034-1036, (2020); Huo J., Le Bas A., Ruza R.R., Duyvesteyn H.M.E., Mikolajek H., Malinauskas T., Tan T.K., Rijal P., Dumoux M., Ward P.N., Ren J., Zhou D., Harrison P.J., Weckener M., Clare D.K., Vogirala V.K., Radecke J., Moynie L., Zhao Y., Gilbert-Jaramillo J., Knight M.L., Tree J.A., Buttigieg K.R., Coombes N., Elmore M.J., Carroll M.W., Carrique L., Shah P.N.M., James W., Townsend A.R., Stuart D.I., Owens R.J., Naismith J.H., Neutralizing nanobodies bind SARS-CoV-2 spike RBD and block interaction with ACE2, Nat Struct Mol Biol, 27, 9, pp. 846-854, (2020); Yan J., Wang P., Zhu M., Li G., Romao E., Xiong S., Wan Y., Characterization and applications of nanobodies against human procalcitonin selected from a novel naïve nanobody phage display library, J Nanobiotechnology, 13, (2015); Zhang C., Zhou L., Du K., Zhang Y., Wang J., Chen L., Lyu Y., Li J., Liu H., Huo J., Li F., Wang J., Sang P., Lin S., Xiao Y., Zhang K., He K., Foundation and clinical evaluation of a new method for detecting SARS-CoV-2 antigen by fluorescent microsphere immunochromatography, Front Cell Infect Microbiol, 10, (2020); Schmidt F.I., Lu A., Chen J.W., Ruan J., Tang C., Wu H., Ploegh H.L., A single domain antibody fragment that recognizes the adaptor ASC defines the role of ASC domains in inflammasome assembly, J Exp Med, 213, 5, pp. 771-790, (2016); Lu Q., Zhang Z., Li H., Zhong K., Zhao Q., Wang Z., Wu Z., Yang D., Sun S., Yang N., Zheng M., Chen Q., Long C., Guo W., Yang H., Nie C., Tong A., Development of multivalent nanobodies blocking SARS-CoV-2 infection by targeting RBD of spike protein, J Nanobiotechnology, 19, 1, (2021); Zhou Q.F., Fox J.M., Earnest J.T., Ng T.S., Kim A.S., Fibriansah G., Kostyuchenko V.A., Shi J., Shu B., Diamond M.S., Lok S.M., Structural basis of Chikungunya virus inhibition by monoclonal antibodies, Proc Natl Acad Sci U S A, 117, 44, pp. 27637-27645, (2020); Tumkosit U., Siripanyaphinyo U., Takeda N., Tsuji M., Maeda Y., Ruchusatsawat K., Shioda T., Mizushima H., Chetanachan P., Wongjaroen P., Matsuura Y., Tatsumi M., Tanaka A., Anti-Chikungunya virus monoclonal antibody that inhibits viral fusion and release, J Virol, 94, 19, pp. e00252-e320, (2020); Muyldermans S., Nanobodies: natural single-domain antibodies, Annu Rev Biochem, 82, pp. 775-797, (2013); Shin J.E., Riesselman A.J., Kollasch A.W., McMahon C., Simon E., Sander C., Manglik A., Kruse A.C., Marks D.S., Protein design and variant prediction using autoregressive generative models, Nat Commun, 12, 1, (2021); Lee C.V., Liang W.C., Dennis M.S., Eigenbrot C., Sidhu S.S., Fuh G., High-affinity human antibodies from phage-displayed synthetic Fab libraries with a single framework scaffold, J Mol Biol, 340, 5, pp. 1073-1093, (2004); Eden T., Menzel S., Wesolowski J., Bergmann P., Nissen M., Dubberke G., Seyfried F., Albrecht B., Haag F., Koch-Nolte F., A cDNA immunization strategy to generate nanobodies against membrane proteins in native conformation, Front Immunol, 8, (2018); Muyldermans S., Atarhouch T., Saldanha J., Barbosa J.A., Hamers R., Sequence and structure of VH domain from naturally occurring camel heavy chain immunoglobulins lacking light chains, Protein Eng, 7, 9, pp. 1129-1135, (1994); Butt T.R., Edavettal S.C., Hall J.P., Mattern M.R., SUMO fusion technology for difficult-to-express proteins, Protein Expr Purif, 43, 1, pp. 1-9, (2005); Panavas T., Sanders C., Butt T.R., SUMO fusion technology for enhanced protein production in prokaryotic and eukaryotic expression systems, Methods Mol Biol, 497, pp. 303-317, (2009); Malakhov M.P., Mattern M.R., Malakhova O.A., Drinker M., Weeks S.D., Butt T.R., SUMO fusions and SUMO-specific protease for efficient expression and purification of proteins, J Struct Funct Genomics, 5, 1-2, pp. 75-86, (2004); Ye T., Lin Z., Lei H., High-level expression and characterization of an anti-VEGF165 single-chain variable fragment (scFv) by small ubiquitin-related modifier fusion in Escherichia coli, Appl Microbiol Biotechnol, 81, 2, pp. 311-317, (2008); Bommarius B., Jenssen H., Elliott M., Kindrachuk J., Pasupuleti M., Gieren H., Jaeger K.E., Hancock R.E., Kalman D., Cost-effective expression and purification of antimicrobial and host defense peptides in Escherichia coli, Peptides, 31, 11, pp. 1957-1965, (2010); Liu X., Chen Y., Wu X., Li H., Jiang C., Tian H., Tang L., Wang D., Yu T., Li X., SUMO fusion system facilitates soluble expression and high production of bioactive human fibroblast growth factor 23 (FGF23), Appl Microbiol Biotechnol, 96, 1, pp. 103-111, (2012); Gonzalez A.S., Guimaraes Assmann A.L., Romero Ramos C.R., Quelopana M.M., Aleixo Silva A.C., Thomaz-Soccol V., Recombinant mutagenic 3ABC protein and monoclonal antibody for quality-control testing in foot-and-mouth disease vaccines, Antiviral Res, 157, pp. 93-101, (2018); Chi X., Liu X., Wang C., Zhang X., Li X., Hou J., Ren L., Jin Q., Wang J., Yang W., Humanized single domain antibodies neutralize SARS-CoV-2 by targeting the spike receptor binding domain, Nat Commun, 11, 1, (2020); Spodzieja M., Kuncewicz K., Sieradzan A., Karczynska A., Iwaszkiewicz J., Cesson V., Wegrzyn K., Zhukov I., Maszota-Zieleniak M., Michielin O., Speiser D.E., Zoete V., Derre L., Rodziewicz-Motowidlo S., Disulfide-linked peptides for blocking BTLA/HVEM binding, Int J Mol Sci, 21, 2, (2020); Holliger P., Hudson P.J., Engineered antibody fragments and the rise of single domains, Nat Biotechnol, 23, 9, pp. 1126-1136, (2005); Attarwala H., Role of antibodies in cancer targeting, J Nat Sci Biol Med, 1, pp. 53-56, (2010); Farhadi S.A., Bracho-Sanchez E., Fettis M.M., Seroski D.T., Freeman S.L., Restuccia A., Keselowsky B.G., Hudalla G.A., Locally anchoring enzymes to tissues via extracellular glycan recognition, Nat Commun, 9, 1, (2018); Hartati L., Baktilisnawita D.A.R., Detection of virus causes papaya ringspot virus—with the DAS-Elisa (Double Antibody Sandwich-Enzyme-Linked Immunosorbent Assay) method at different levels in North Sumatra, Earth Environ Sci, 454, (2020); Wang C., Gu B., Liu Q., Pang Y., Xiao R., Wang S., Combined use of vancomycin-modified Ag-coated magnetic nanoparticles and secondary enhanced nanoparticles for rapid surface-enhanced Raman scattering detection of bacteria, Int J Nanomedicine, 13, pp. 1159-1178, (2018); Fan B., Sun J., Zhu L., Zhou J., Zhao Y., Yu Z., Sun B., Guo R., He K., Li B., Development of a novel double antibody sandwich quantitative enzyme-linked immunosorbent assay for detection of porcine epidemic diarrhea virus antigen, Front Vet Sci., 7, (2020); Choi S.Y., Rhie G.E., Jeon J.H., Development of a double-antibody sandwich ELISA for sensitive detection of Yersinia pestis, Microbiol Immunol, 64, 1, pp. 72-75, (2020); Wang J., Zhang S., Ni W., Zhai X., Xie F., Yuan H., Gao S., Tai G., Development and application of a double- antibody sandwich ELISA kit for the detection of serum MUC1 in lung cancer patients, Cancer Biomark, 17, 4, pp. 369-376, (2016); Pal P., Dowd K.A., Brien J.D., Edeling M.A., Gorlatov S., Johnson S., Lee I., Akahata W., Nabel G.J., Richter M.K., Smit J.M., Fremont D.H., Pierson T.C., Heise M.T., Diamond M.S., Development of a highly protective combination monoclonal antibody therapy against Chikungunya virus, PLoS Pathog, 9, 4, (2013); Lum F.M., Teo T.H., Lee W.W., Kam Y.W., Renia L., Ng L.F., An essential role of antibodies in the control of Chikungunya virus infection, J Immunol, 190, 12, pp. 6295-6302, (2013); Chua C.L., Chan Y.F., Sam I.C., Characterisation of mouse monoclonal antibodies targeting linear epitopes on Chikungunya virus E2 glycoprotein, J Virol Methods, 195, pp. 126-133, (2014)</t>
  </si>
  <si>
    <t xml:space="preserve">Z. Chen; One Health Center of Excellence for Research and Training, School of Public Health, Sun Yat-Sen University, Guangzhou, 510080, China; email: chenzliang5@mail.sysu.edu.cn; J. Lu; One Health Center of Excellence for Research and Training, School of Public Health, Sun Yat-Sen University, Guangzhou, 510080, China; email: lujiahai@mail.sysu.edu.cn; T. Hu; Center for Disease Control and Prevention of Southern Theater Command, Guangzhou, 510060, China; email: htsong2001@sina.com</t>
  </si>
  <si>
    <t xml:space="preserve">JNOAA</t>
  </si>
  <si>
    <t xml:space="preserve">J. Nanobiotechnology</t>
  </si>
  <si>
    <t xml:space="preserve">2-s2.0-85130042829</t>
  </si>
  <si>
    <t xml:space="preserve">Breton G.; Diallo O.H.; Cissé M.; Diallo N.A.; Soumaoro S.A.; Camara Y.; Montoyo A.; Rouzioux C.; Koita Y.; Peytavin G.; Tubiana R.; Frange P.; Basla J.; Becquet R.; Camara Y.; D'Ortenzio E.; Dia H.; Diallo A.; Diallo O.H.; Diallo P.; Dollfus C.; Leroy V.; Gardiennet E.; Oy K.; Agnés Soumaoro S.; Sy T.; Sylla M.; Teijokem M.</t>
  </si>
  <si>
    <t xml:space="preserve">Breton, Guillaume (56174134100); Diallo, Oumou Hawa (58823680000); Cissé, Mohamed (57203087576); Diallo, Néné Aissatou (58222351200); Soumaoro, Sény Agnès (58222351100); Camara, Yalikhatou (58222919400); Montoyo, Alice (57219226213); Rouzioux, Christine (35227863200); Koita, Youssouf (14026769600); Peytavin, Gilles (7006978579); Tubiana, Roland (7006609948); Frange, Pierre (23569060900); Basla, Joséphine (58221970400); Becquet, Renaud (9333507600); Camara, Yalikatou (58222732400); D'Ortenzio, Eric (24467247600); Dia, Hasminou (58823656200); Diallo, Alpha (56603760800); Diallo, Omou Hawa (58223107700); Diallo, Penda (57754382200); Dollfus, Catherine (7004650260); Leroy, Valériane (57201570728); Gardiennet, Elise (57205369445); Oy, Kolié (58222542600); Agnés Soumaoro, Sény (58221970600); Sy, Telly (8979025800); Sylla, Mariam (8596084700); Teijokem, Mathurin (58222165600)</t>
  </si>
  <si>
    <t xml:space="preserve">56174134100; 58823680000; 57203087576; 58222351200; 58222351100; 58222919400; 57219226213; 35227863200; 14026769600; 7006978579; 7006609948; 23569060900; 58221970400; 9333507600; 58222732400; 24467247600; 58823656200; 56603760800; 58223107700; 57754382200; 7004650260; 57201570728; 57205369445; 58222542600; 58221970600; 8979025800; 8596084700; 58222165600</t>
  </si>
  <si>
    <t xml:space="preserve">HIV stigma limits the effectiveness of PMTCT in Guinea: the ANRS 12344-DIAVINA study</t>
  </si>
  <si>
    <t xml:space="preserve">Background: Nearly half of HIV-infected children worldwide are born in West and Central African countries where access to prevention of mother-to-child transmission of HIV (PMTCT) programmes is still limited. WHO recommends reinforced antiretroviral prophylaxis for infants at high risk of mother-to-child transmission of HIV (MTCT) but its implementation needs further investigation in the field. Methods: The prospective ANRS 12344-DIAVINA study evaluated the feasibility of a strategy combining early infant diagnosis (EID) and reinforced antiretroviral prophylaxis in high-risk infants as identified by interviews with mothers at Ignace Deen Hospital, Conakry, Guinea. Results: 6493 women were admitted for delivery, 6141 (94.6%) accepted HIV testing and 114 (1.9%) were HIV positive. Among these, 51 high-risk women and their 56 infants were included. At birth, a blood sample was collected for infant EID and reinforced antiretroviral prophylaxis was initiated in 48/56 infants (86%, 95% CI 77%-95%). Iron supplementation was given to 35% of infants for non-severe anaemia. Retrospective measurement of maternal plasma viral load (pVL) at delivery revealed that 52% of women had pVL &lt; 400 copies/mL attributable to undisclosed HIV status and/or antiretroviral intake. Undisclosed HIV status was associated with self-stigmatization (85% versus 44%, P = 0.02). Based on the results of maternal pVL at delivery, 'real' high-risk infants were more frequently lost to follow-up (44% versus 8%, P &lt; 0.01) in comparison with low-risk infants, and this was associated with mothers' stigmatization (69% versus 31%, P &lt; 0.01). Conclusions: Reinforced antiretroviral prophylaxis and EID at birth are widely feasible. However, mothers' self-disclosure of HIV status and antiretroviral intake do not allow adequate evaluation of MTCT risk, which argues for maternal pVL measurement near delivery. Furthermore, actions against stigmatization are crucial to improve PMTCT. © 2022 The Author(s). Published by Oxford University Press on behalf of British Society for Antimicrobial Chemotherapy.</t>
  </si>
  <si>
    <t xml:space="preserve">Journal of Antimicrobial Chemotherapy</t>
  </si>
  <si>
    <t xml:space="preserve">10.1093/jac/dkac287</t>
  </si>
  <si>
    <t xml:space="preserve">https://www.scopus.com/inward/record.uri?eid=2-s2.0-85156192553&amp;doi=10.1093%2fjac%2fdkac287&amp;partnerID=40&amp;md5=d3b1bc83852f187a0f1bcfacfdf923ef</t>
  </si>
  <si>
    <t xml:space="preserve">Solthis, Paris, France; Infectious Diseases, Chu Pitié-Salpêtrière, Paris, France; Solthis, Conakry, Guinea; Donka Hospital, Conakry, Guinea; Fondation Espoir Guinée, Conakry, Guinea; Maternity, Ignace Deen Hospital, Conakry, Guinea; Pediatry, Ignace Deen Hospital, Conakry, Guinea; Anrs, Paris, France; Virology Chu Necker, Paris Descartes University, Paris, France; Pnlsh, Conakry, Guinea; Pharmacologie-Toxicologie, AP-HP, Hôpital Bichat-Claude Bernard and Iame, Umr 1137, Sorbonne Paris Cité and Inserm, Université Paris Diderot, Paris, France; Clinical Microbiology, Necker-Enfants Malades Hospital, Assistance Publique-Hôpitaux de Paris (APHP), Ehu 7327, Institut Imagine, Université de Paris, Paris, France</t>
  </si>
  <si>
    <t xml:space="preserve">Breton G., Solthis, Paris, France, Infectious Diseases, Chu Pitié-Salpêtrière, Paris, France; Diallo O.H., Solthis, Conakry, Guinea, Fondation Espoir Guinée, Conakry, Guinea; Cissé M., Donka Hospital, Conakry, Guinea; Diallo N.A., Fondation Espoir Guinée, Conakry, Guinea; Soumaoro S.A., Maternity, Ignace Deen Hospital, Conakry, Guinea; Camara Y., Pediatry, Ignace Deen Hospital, Conakry, Guinea; Montoyo A., Anrs, Paris, France; Rouzioux C., Virology Chu Necker, Paris Descartes University, Paris, France; Koita Y., Pnlsh, Conakry, Guinea; Peytavin G., Pharmacologie-Toxicologie, AP-HP, Hôpital Bichat-Claude Bernard and Iame, Umr 1137, Sorbonne Paris Cité and Inserm, Université Paris Diderot, Paris, France; Tubiana R., Infectious Diseases, Chu Pitié-Salpêtrière, Paris, France; Frange P., Clinical Microbiology, Necker-Enfants Malades Hospital, Assistance Publique-Hôpitaux de Paris (APHP), Ehu 7327, Institut Imagine, Université de Paris, Paris, France; Basla J.; Becquet R.; Camara Y.; D'Ortenzio E.; Dia H.; Diallo A.; Diallo O.H.; Diallo P.; Dollfus C.; Leroy V.; Gardiennet E.; Oy K.; Agnés Soumaoro S.; Sy T.; Sylla M.; Teijokem M.</t>
  </si>
  <si>
    <t xml:space="preserve">anti human immunodeficiency virus agent; cotrimoxazole; efavirenz; emtricitabine; iron; lamivudine; lamivudine plus nevirapine plus zidovudine; lamivudine plus zidovudine; lopinavir plus ritonavir; nevirapine; tenofovir; tenofovir disoproxil; zidovudine; acute kidney failure; adult; antiretroviral therapy; Article; blood sampling; candidiasis; clinical trial; coma; combination drug therapy; controlled study; dehydration; diarrhea; drug blood level; drug efficacy; drug fatality; early diagnosis; feasibility study; female; follow up; Guinea; high risk infant; hospital; hospital admission; human; Human immunodeficiency virus; Human immunodeficiency virus infection; infant; infection prevention; interview; iron therapy; liver failure; low risk patient; lung disease; major clinical study; malaria; malnutrition; maternal plasma; mother; mother to child transmission; newborn anemia; newborn infection; nonhuman; obstetric delivery; prospective study; social stigma; staphylococcal bacteremia; virus load</t>
  </si>
  <si>
    <t xml:space="preserve">cotrimoxazole, 8064-90-2; efavirenz, 154598-52-4; emtricitabine, 137530-41-7, 143491-54-7, 143491-57-0; iron, 14093-02-8, 53858-86-9, 7439-89-6; lamivudine, 134678-17-4, 134680-32-3; lamivudine plus zidovudine, 165456-81-5; lopinavir plus ritonavir, 369372-47-4; nevirapine, 129618-40-2; tenofovir, 147127-19-3, 147127-20-6; tenofovir disoproxil, 202138-50-9, 1637632-97-3, 1453166-76-1, 201341-05-1; zidovudine, 30516-87-1</t>
  </si>
  <si>
    <t xml:space="preserve">Determine, Alere; Xpert, Cepheid</t>
  </si>
  <si>
    <t xml:space="preserve">Alere; Cepheid</t>
  </si>
  <si>
    <t xml:space="preserve">ANRS-MIE, (ANRS 12344); Mairie de Paris; Maladies Infectieuses Emergentes; Agence Nationale de Recherches sur le Sida et les Hépatites Virales, ANRS</t>
  </si>
  <si>
    <t xml:space="preserve">The study received funding from the Agence Nationale de Recherches sur le Sida et les hépatites virales, Maladies Infectieuses Emergentes (ANRS-MIE) (grant number: ANRS 12344) and from the Mairie de Paris. This funding source had no role in the design of this study and did not have any role during its execution, analyses, interpretation of the data, or decision to submit results.</t>
  </si>
  <si>
    <t xml:space="preserve">UNAIDS Data, (2019); Consolidated guidelines on the use of antiretroviral drugs for treating and preventing HIV infection: recommendations for a public health approach, (2016); Violari A, Cotton MF, Gibb DM, Et al., Early antiretroviral therapy and mortality among HIV-infected infants, N Engl J Med, 359, pp. 2233-2244, (2008); Marston M, Becquet R, Zaba B, Et al., Net survival of perinatally and postnatally HIV-infected children: a pooled analysis of individual data from sub-Saharan Africa, Int J Epidemiol, 40, pp. 385-396, (2011); Sibanda EL, Weller IVD, Hakim J, Et al., The magnitude of loss to follow-up of HIV-exposed infants along the prevention of mother-to-child HIV transmission continuum of care: a systematic review and meta-analysis, AIDS, 27, pp. 2787-2797, (2013); Consolidated Guidelines on the Use of Antiretroviral Drugs for Treating and Preventing HIV Infection: Recommendations for a Public Health Approach, (2016); Division of AIDS (DAIDS) Table for Grading the Severity of Adult and Pediatric Adverse Events, (2017); Awopegba OE, Kalu A, Ahinkorah BO, Et al., Prenatal care coverage and correlates of HIV testing in sub-Saharan Africa: Insight from demographic and health surveys of 16 countries, PLoS One, 15, (2020); Guideline on HIV and infant feeding, (2010); Kim AA, Mukui I, Young PW, Et al., Undisclosed HIV infection and ART use in the Kenya AIDS Indicator Survey 2012: relevance to targets for HIV diagnosis and treatment in Kenya, AIDS, 30, pp. 2685-965, (2016); Manne-Goehler J, Rohr J, Montana L, Et al., ART Denial: Results of a Home-Based Study to Validate Self-reported Antiretroviral Use in Rural South Africa, AIDS Behav, 23, pp. 2072-2078, (2019); Jain V, Liegler T, Kabami J, Et al., Assessment of population-based HIV RNA levels in a rural east African setting using a fingerprick-based blood collection method, Clin Infect Dis, 56, pp. 598-605, (2013); Wirden M, Chentier C, Tubiana R, Et al., HIV-1 diagnosis with unquantifiable viraemia: don't be naive, look for antiretroviral drugs, J Antimicrob Chemother, 72, pp. 630-632, (2017); Thomas TK, Masaba R, Borkowf C, Et al., Triple-antiretroviral prophylaxis to prevent mother-to-child HIV transmission through breastfeeding, the Kisumu Breastfeeding Study, Kenya: a clinic, PLoS Med, 8, (2011); Gabaya G, Rukundo G, Amone A, Et al., Prevalence of undetectable viral load in pregnant women initiating option B+ in Kampala and Mityana, Uganda, International Conference on AIDS and STIs in Africa, (2019); Gourlay A, Birdthistle I, Mburu G, Et al., Barriers and facilitating factors to the uptake of antiretroviral drugs for prevention of mother-to-child transmission of HIV in sub-Saharan Africa: a systematic review, J Int AIDS Soc, 16, (2013); Prudden HJ, Hamilton M, Foss AM, Et al., Can mother-to-child transmission of HIV be eliminated without addressing the issue of stigma? Modelling the case for a setting in South Africa, PLoS One, 12, (2017); Lesosky M, Glass T, Mukonda E, Et al., Optimal timing of viral load monitoring during pregnancy to predict viraemia at delivery in HIV-infected women initiating ART in South Africa: a simulation study, J Int AIDS Soc, 20, (2017); Moyo F, Haeri Mazanderani A, Murray T, Et al., Characterizing viral load burden among HIV-infected women around the time of delivery: findings from four tertiary obstetric units in Gauteng, South Africa, J Acquir Immune Defic Syndr, 83, pp. 390-396, (2020); Myer L, Redd AD, Mukonda E, Et al., Antiretroviral adherence, elevated viral load, and drug resistance mutations in human immunodeficiency virus-infected women initiating treatment in pregnancy: a nested case-control study, Clin Infect Dis, 70, pp. 501-508, (2020); HIV diagnostics. Novel Point of care tools for early infant diagnostic of HIV, (2017); Mwenda R, Fong Y, Magombo T, Et al., Significant patient impact observed upon implementation of point-of-care early infant diagnosis technologies in an observational study in Malawi, Clin Infect Dis, 67, pp. 701-707, (2018); Tenthani L, Haas AD, Tweya H, Et al., Retention in care under universal antiretroviral therapy for HIV-infected pregnant and breastfeeding women ('Option B+') in Malawi, AIDS, 28, pp. 589-598, (2014); Ndlovu Z, Fajardo E, Mbofana E, Et al., Multidisease testing for HIV and TB using the GeneXpert platform: a feasibility study in rural Zimbabwe, PLoS One, 13, (2018); Bigna JJ, Noubiap JJ, Kouanfack C, Et al., Effect of mobile phone reminders on follow-up medical care of children exposed to or infected with HIV in Cameroun (More Care): a multicentre, single-blind, factorial, randomised controlled trial, Lancet Infect Dis, 14, pp. 600-608, (2014)</t>
  </si>
  <si>
    <t xml:space="preserve">G. Breton; Solthis, Paris, France; email: guillaume.breton@solthis.org</t>
  </si>
  <si>
    <t xml:space="preserve">JACHD</t>
  </si>
  <si>
    <t xml:space="preserve">J. Antimicrob. Chemother.</t>
  </si>
  <si>
    <t xml:space="preserve">2-s2.0-85156192553</t>
  </si>
  <si>
    <t xml:space="preserve">Zaid M.; Ali S.; Ali M.; Hussein S.; Saadia A.; Sultani W.</t>
  </si>
  <si>
    <t xml:space="preserve">Zaid, Muhammad (57339797300); Ali, Shafaqat (57220922819); Ali, Mohsen (57054179100); Hussein, Sarfaraz (57188563415); Saadia, Asma (57962963500); Sultani, Waqas (36622398000)</t>
  </si>
  <si>
    <t xml:space="preserve">57339797300; 57220922819; 57054179100; 57188563415; 57962963500; 36622398000</t>
  </si>
  <si>
    <t xml:space="preserve">Identifying out of distribution samples for skin cancer and malaria images</t>
  </si>
  <si>
    <t xml:space="preserve">Deep neural networks have shown promising results in disease detection and classification using medical image data. However, they still suffer from the challenges of handling real-world scenarios especially reliably detecting out-of-distribution (OoD) samples. We propose an approach to robustly classify OoD samples in skin and malaria images without the need to access labeled OoD samples during training. Specifically, we use metric learning along with logistic regression to force the deep networks to learn much rich class representative features. To guide the learning process against the OoD examples, we generate in distribution's similar-looking examples by either removing class-specific salient regions in the image or permuting image parts and distancing them away from in-distribution (ID) samples. During inference time, the K-reciprocal nearest neighbor is employed to detect out-of-distribution samples. For skin cancer OoD detection, we employ two standard benchmark skin cancer ISIC datasets as ID, and six different datasets with varying difficulty levels were taken as out of distribution. For malaria OoD detection, we use the BBBC041 malaria dataset as ID and five different challenging datasets as out of distribution. We achieve state-of-the-art results, improving 5% and 4% in TNR@ TPR95% over the previous state-of-the-art OoD detection methods for skin cancer and malaria images while preserving the ID classification ability. © 2022</t>
  </si>
  <si>
    <t xml:space="preserve">Biomedical Signal Processing and Control</t>
  </si>
  <si>
    <t xml:space="preserve">10.1016/j.bspc.2022.103882</t>
  </si>
  <si>
    <t xml:space="preserve">https://www.scopus.com/inward/record.uri?eid=2-s2.0-85133261121&amp;doi=10.1016%2fj.bspc.2022.103882&amp;partnerID=40&amp;md5=a14f33b276f9ebdf7d16bcb949928b5a</t>
  </si>
  <si>
    <t xml:space="preserve">Intelligent Machine Lab, Information Technology University, Pakistan; Amazon, United States; Central Park Medical College, Lahore, Pakistan</t>
  </si>
  <si>
    <t xml:space="preserve">Zaid M., Intelligent Machine Lab, Information Technology University, Pakistan; Ali S., Intelligent Machine Lab, Information Technology University, Pakistan; Ali M., Intelligent Machine Lab, Information Technology University, Pakistan; Hussein S., Amazon, United States; Saadia A., Central Park Medical College, Lahore, Pakistan; Sultani W., Intelligent Machine Lab, Information Technology University, Pakistan</t>
  </si>
  <si>
    <t xml:space="preserve">K-reciprocal neighbor; Malaria; Out of distribution; Skin cancer; Tuplet loss; Unsupervised approach</t>
  </si>
  <si>
    <t xml:space="preserve">Dermatology; Diseases; Image classification; Image enhancement; Learning systems; Medical imaging; Disease classification; Disease detection; K-reciprocal neighbor; Malaria; Out of distribution; Reciprocal neighbors; Skin cancers; State of the art; Tuplet loss; Unsupervised approaches; actinic keratosis; Article; basal cell carcinoma; comparative study; computer vision; controlled study; deep neural network; dermatofibroma; human; k nearest neighbor; logistic regression analysis; malaria; melanoma; pigmented nevus; skin cancer; visual information; Deep neural networks</t>
  </si>
  <si>
    <t xml:space="preserve">Bi D., Zhu D., Sheykhahmad F.R., Qiao M., Computer-aided skin cancer diagnosis based on a new meta-heuristic algorithm combined with support vector method, Biomed. Signal Process. Control, 68, (2021); Qin Z., Liu Z., Zhu P., Xue Y., A gan-based image synthesis method for skin lesion classification, Comput. Methods Programs Biomed., 195, (2020); Xie F., Yang J., Liu J., Jiang Z., Zheng Y., Wang Y., Skin lesion segmentation using high-resolution convolutional neural network, Comput. Methods Programs Biomed., 186, (2020); Oliveira R.B., Pereira A.S., Tavares J.M.R., Skin lesion computational diagnosis of dermoscopic images: Ensemble models based on input feature manipulation, Comput. Methods Programs Biomed., 149, pp. 43-53, (2017); Esteva A., Kuprel B., Novoa R.A., Ko J., Swetter S.M., Blau H.M., Thrun S., Dermatologist-level classification of skin cancer with deep neural networks, Nature, (2017); Yu Z., Jiang X., Zhou F., Qin J., Ni D., Chen S., Lei B., Wang T., Melanoma recognition in dermoscopy images via aggregated deep convolutional features, IEEE Trans. Biomed. Eng., (2018); Goyal M., Knackstedt T., Yan S., Hassanpour S., Artificial intelligence-based image classification methods for diagnosis of skin cancer: Challenges and opportunities, Comput. Biol. Med., 127, (2020); Lee Y.W., Choi J.W., Shin E.H., Machine learning model for predicting malaria using clinical information, Comput. Biol. Med., 129, (2021); Santosh T., Ramesh D., Reddy D., Lstm based prediction of malaria abundances using big data, Comput. Biol. Med., 124, (2020); Arshad Q.A., Ali M., Hassan S., Chen C., Imran A., Rasul G., Sultani W., A dataset and benchmark for malaria life-cycle classification in thin blood smear images, Neural Comput. Appl., (2021); Sultani W., Nawaz W., Javed S., Danish M.S., Saadia A., Ali M., Towards low-cost and efficient malaria detection, Comput. Vis. Patter Recognit., (2022); Sung H., Ferlay J., Siegel R.L., Laversanne M., Soerjomataram I., Jemal A., Bray F., Global cancer statistics 2020: Globocan estimates of incidence and mortality worldwide for 36 cancers in 185 countries, CA: Cancer J. Clin., (2021); Organization W.H., Et al., (2020); Hendrycks D., Gimpel K., A baseline for detecting misclassified and out-of-distribution examples in neural networks, (2017); Pacheco A.G., Sastry C.S., Trappenberg T., Oore S., Krohling R.A., On out-of-distribution detection algorithms with deep neural skin cancer classifiers, pp. 732-733, (2020); Liang S., Li Y., Srikant R., Enhancing the reliability of out-of-distribution image detection in neural networks, (2018); Hsu Y.C., Shen Y., Jin H., Kira Z., Generalized odin: Detecting out-of-distribution image without learning from out-of-distribution data, pp. 10951-10960, (2020); Sastry C.S., Oore S., Detecting out-of-distribution examples with gram matrices, International Conference on Machine Learning, pp. 8491-8501, (2020); Cao T., Huang C., Hui D.Y.T., Cohen J.P., A benchmark of medical out of distribution detection, (2020); Lee K., Lee K., Lee H., Shin J., A simple unified framework for detecting out-of-distribution samples and adversarial attacks, Advances in Neural Information Processing Systems 31, (2018); Tack J., Mo S., Jeong J., Shin J., Csi: Novelty detection via contrastive learning on distributionally shifted instances, Advances in Neural Information Processing Systems 33, pp. 11839-11852, (2020); Zhong Z., Zheng L., Cao D., Li S., Re-ranking person re-identification with k-reciprocal encoding, Proceedings of the IEEE Conference on Computer Vision and Pattern Recognition, pp. 1318-1327, (2017); Wang D., Pang N., Wang Y., Zhao H., Unlabeled skin lesion classification by self-supervised topology clustering network, Biomed. Signal Process. Control, 66, (2021); Fu Z., An J., Yang Q., Yuan H., Sun Y., Ebrahimian H., Skin cancer detection using kernel fuzzy c-means and developed red fox optimization algorithm, Biomed. Signal Process. Control, 71, (2022); Gessert N., Bengs M., Wittig L., Dromann D., Keck T., Schlaefer A., Ellebrecht D.B., Deep transfer learning methods for colon cancer classification in confocal laser microscopy images, Int. J. Comput. Assist. Radiol. Surg., 14, pp. 1837-1845, (2019); Magalhaes C., Tavares J.M.R., Mendes J., Vardasca R., Comparison of machine learning strategies for infrared thermography of skin cancer, Biomed. Signal Process. Control, 69, (2021); Karthik R., Vaichole T.S., Kulkarni S.K., Yadav O., Khan F., Eff2net: An efficient channel attention-based convolutional neural network for skin disease classification, Biomed. Signal Process. Control, 73, (2022); Codella N.C., Nguyen Q.B., Pankanti S., Gutman D.A., Helba B., Halpern A.C., Smith J.R., Deep learning ensembles for melanoma recognition in dermoscopy images, IBM J. Res. Dev., (2017); Gessert N., Nielsen M., Shaikh M., Werner R., Schlaefer A., Skin lesion classification using ensembles of multi-resolution efficientnets with meta data, MethodsX, (2020); Codella N., Rotemberg V., Tschandl P., Celebi M.E., Dusza S., Gutman D., Helba B., Kalloo A., Liopyris K., Marchetti M., Et al., (2019); Tschandl P., Rosendahl C., Kittler H., The ham10000 dataset, a large collection of multi-source dermatoscopic images of common pigmented skin lesions, Sci. Data, (2018); Codella N.C., Gutman D., Celebi M.E., Helba B., Marchetti M.A., Dusza S.W., Kalloo A., Liopyris K., Mishra N., Kittler H., Et al., Skin lesion analysis toward melanoma detection: A challenge at the 2017 international symposium on biomedical imaging (isbi), hosted by the international skin imaging collaboration (isic), 2018 IEEE 15th International Symposium on Biomedical Imaging, ISBI 2018, pp. 168-172, (2018); Lee K.Y., Chung N., Hwang S., Application of an artificial neural network (ann) model for predicting mosquito abundances in urban areas, Ecol. Inform., 36, pp. 172-180, (2016); Davis J.K., Gebrehiwot T., Worku M., Awoke W., Mihretie A., Nekorchuk D., Wimberly M.C., A genetic algorithm for identifying spatially-varying environmental drivers in a malaria time series model, Environ. Model. Softw., 119, pp. 275-284, (2019); Srivastava A., Nagpal B., Saxena R., Eapen A., Ravindran K., Subbarao S., Rajamanikam C., Palanisamy M., Kalra N., Appavoo N., Gis based malaria information management system for urban malaria scheme in India, Comput. Methods Programs Biomed., 71, pp. 63-75, (2003); Zinszer K., Kigozi R., Charland K., Dorsey G., Brewer T.F., Brownstein J.S., Kamya M.R., Buckeridge D.L., Forecasting malaria in a highly endemic country using environmental and clinical predictors, Malar. J., 14, pp. 1-9, (2015); Uwimana A., Senanayake R., Out of distribution detection and adversarial attacks on deep neural networks for robust medical image analysis, (2021); Hendrycks D., Mazeika M., Dietterich T., Deep anomaly detection with outlier exposure, (2018); Winkens J., Bunel R., Roy A.G., Stanforth R., Natarajan V., Ledsam J.R., MacWilliams P., Kohli P., Karthikesalingam A., Kohl S., Et al., Contrastive training for improved out-of-distribution detection, (2020); Chen T., Kornblith S., Norouzi M., Hinton G., A simple framework for contrastive learning of visual representations, International Conference on Machine Learning, pp. 1597-1607, (2020); Yu B., Tao D., Deep metric learning with tuplet margin loss, Proceedings of the IEEE/CVF International Conference on Computer Vision, pp. 6490-6499, (2019); Ren J., Liu P.J., Fertig E., Snoek J., Poplin R., Depristo M., Dillon J., Lakshminarayanan B., Likelihood ratios for out-of-distribution detection, Advances in Neural Information Processing Systems 32, (2019); Selvaraju R.R., Cogswell M., Das A., Vedantam R., Parikh D., Batra D., Grad-cam: Visual explanations from deep networks via gradient-based localization, pp. 618-626, (2017); Balsubramani A., Dasgupta S., Moran S., Et al., An adaptive nearest neighbor rule for classification, Advances in Neural Information Processing Systems 32, (2019); Qin D., Gammeter S., Bossard L., Quack T., Van Gool L., Hello neighbor: Accurate object retrieval with k-reciprocal nearest neighbors, CVPR 2011, pp. 777-784, (2011); Kather J.N., Krisam J., Charoentong P., Luedde T., Herpel E., Weis C.A., Gaiser T., Marx A., Valous N.A., Ferber D., Et al., Predicting survival from colorectal cancer histology slides using deep learning: A retrospective multicenter study, PLoS Med., (2019); Ljosa V., Sokolnicki K.L., Carpenter A.E., Annotated high-throughput microscopy image sets for validation, Nature Methods, 9, (2012); Sastry C.S., Oore S., Detecting out-of-distribution examples with in-distribution examples and gram matrices, (2019); Huang G., Liu Z., van der Maaten L., Weinberger K.Q., Densely connected convolutional networks, (2018)</t>
  </si>
  <si>
    <t xml:space="preserve">W. Sultani; Intelligent Machine Lab, Information Technology University, Pakistan; email: waqas.sultani@itu.edu.pk</t>
  </si>
  <si>
    <t xml:space="preserve">Biomed. Signal Process. Control</t>
  </si>
  <si>
    <t xml:space="preserve">2-s2.0-85133261121</t>
  </si>
  <si>
    <t xml:space="preserve">AL-Ahdal T.; Coker D.; Awad H.; Reda A.; Żuratyński P.; Khailaie S.</t>
  </si>
  <si>
    <t xml:space="preserve">AL-Ahdal, Tareq (57216279130); Coker, David (57581116900); Awad, Hamzeh (55774352100); Reda, Abdullah (57215872778); Żuratyński, Przemysław (57204715177); Khailaie, Sahamoddin (36632384600)</t>
  </si>
  <si>
    <t xml:space="preserve">57216279130; 57581116900; 55774352100; 57215872778; 57204715177; 36632384600</t>
  </si>
  <si>
    <t xml:space="preserve">Improving Public Health Policy by Comparing the Public Response during the Start of COVID-19 and Monkeypox on Twitter in Germany: A Mixed Methods Study</t>
  </si>
  <si>
    <t xml:space="preserve">Little is known about monkeypox public concerns since its widespread emergence in many countries. Tweets in Germany were examined in the first three months of COVID-19 and monkeypox to examine concerns and issues raised by the public. Understanding views and positions of the public could help to shape future public health campaigns. Few qualitative studies reviewed large datasets, and the results provide the first instance of the public thinking comparing COVID-19 and monkeypox. We retrieved 15,936 tweets from Germany using query words related to both epidemics in the first three months of each one. A sequential explanatory mixed methods research joined a machine learning approach with thematic analysis using a novel rapid tweet analysis protocol. In COVID-19 tweets, there was the selfing construct or feeling part of the emerging narrative of the spread and response. In contrast, during monkeypox, the public considered othering after the fatigue of the COVID-19 response, or an impersonal feeling toward the disease. During monkeypox, coherence and reconceptualization of new and competing information produced a customer rather than a consumer/producer model. Public healthcare policy should reconsider a one-size-fits-all model during information campaigns and produce a strategic approach embedded within a customer model to educate the public about preventative measures and updates. A multidisciplinary approach could prevent and minimize mis/disinformation. © 2022 by the authors.</t>
  </si>
  <si>
    <t xml:space="preserve">Vaccines</t>
  </si>
  <si>
    <t xml:space="preserve">10.3390/vaccines10121985</t>
  </si>
  <si>
    <t xml:space="preserve">https://www.scopus.com/inward/record.uri?eid=2-s2.0-85144729704&amp;doi=10.3390%2fvaccines10121985&amp;partnerID=40&amp;md5=d2d8a52ce9bd953d76a86e83c3b61940</t>
  </si>
  <si>
    <t xml:space="preserve">Institute of Global Health (HIGH), Heidelberg University, Heidelberg, 69117, Germany; Advanced Education Programs, Adjunct Faculty, Fort Hays State University, Hays, 67601, KS, United States; A/Professor Health Information Management and Health Informatics Research Chair, Higher College of Technology, Abu Dhabi, 25026, United Arab Emirates; Faculty of Medicine, Al-Azhar University, Cairo, 11651, Egypt; Division of Medical Rescue, Faculty of Health Sciences with the Institute of Maritime and Tropical Medicine, Medical University of Gdańsk, Gdansk, 80-210, Poland; Department of Systems Immunology and Braunschweig Integrated Centre of Systems Biology, Helmholtz Centre for Infection Research, Braunschweig, 38124, Germany</t>
  </si>
  <si>
    <t xml:space="preserve">AL-Ahdal T., Institute of Global Health (HIGH), Heidelberg University, Heidelberg, 69117, Germany; Coker D., Advanced Education Programs, Adjunct Faculty, Fort Hays State University, Hays, 67601, KS, United States; Awad H., A/Professor Health Information Management and Health Informatics Research Chair, Higher College of Technology, Abu Dhabi, 25026, United Arab Emirates; Reda A., Faculty of Medicine, Al-Azhar University, Cairo, 11651, Egypt; Żuratyński P., Division of Medical Rescue, Faculty of Health Sciences with the Institute of Maritime and Tropical Medicine, Medical University of Gdańsk, Gdansk, 80-210, Poland; Khailaie S., Department of Systems Immunology and Braunschweig Integrated Centre of Systems Biology, Helmholtz Centre for Infection Research, Braunschweig, 38124, Germany</t>
  </si>
  <si>
    <t xml:space="preserve">COVID-19; monkeypox; Natural Language Processing; public health policy; thematic analysis; unsupervised machine learning</t>
  </si>
  <si>
    <t xml:space="preserve">article; Article; clinical audit; clinical decision making; computer language; consumer; controlled study; coronavirus disease 2019; disinformation; epidemic; fatigue; health care policy; health insurance; homophobia; human; monkeypox; Monkeypox virus; narrative; natural language processing; prevalence; public health campaign; qualitative research; social media; thematic analysis; unsupervised machine learning; Zika virus</t>
  </si>
  <si>
    <t xml:space="preserve">COVID Live—Coronavirus Statistics—Worldometer; Boon-Itt S., Skunkan Y., Public Perception of the COVID-19 Pandemic on Twitter: Sentiment Analysis and Topic Modeling Study, JMIR Public Health Surveill, 6, (2020); Edo-Osagie O., De La Iglesia B., Lake I., Edeghere O., A scoping review of the use of Twitter for public health research, Comput. Biol. Med, 122, (2020); Nuzzo J.B., Borio L.L., Gostin L.O., The WHO declaration of monkeypox as a global public health emergency, JAMA, 328, pp. 615-617, (2022); Cohen J., Monkeypox outbreak questions intensify as cases soar, Science, 376, pp. 902-903, (2022); Coccia M., COVID-19 vaccination is not a sufficient public policy to face crisis management of next pandemic threats, Public Organ. Rev, 17, pp. 1-5, (2022); Sallam M., COVID-19 vaccine hesitancy worldwide: A concise systematic review of vaccine acceptance rates, Vaccines, 9, (2021); Alassad M., Agarwal N., Contextualizing focal structure analysis in social networks, Soc. Netw. Anal. Min, 12, (2022); Blandi L., Sabbatucci M., Dallagiacoma G., Alberti F., Bertuccio P., Odone A., Digital information approach through social media among Gen Z and Millennials: The global scenario during the COVID-19 pandemic, Vaccines, 10, (2022); Stracqualursi L., Agati P., Tweet topics and sentiments relating to distance learning among Italian Twitter users, Sci. Rep, 12, (2022); Xue J., Chen J., Hu R., Chen C., Zheng C., Su Y., Zhu T., Twitter discussions and emotions about the COVID-19 pandemic: Machine learning approach, J. Med. Internet Res, 22, (2020); Khan R., Shrivastava P., Kapoor A., Tiwari A., Mittal A., Social media analysis with AI: Sentiment analysis techniques for the analysis of twitter COVID-19 data, Crit. Rev, 7, pp. 2761-2774, (2020); Braun V., Clarke V., Using thematic analysis in psychology, Qual. Res. Psychol, 3, pp. 77-101, (2006); Clarke V., Braun V., Hayfield N., Thematic analysis, Qualitative Psychology: A Practical Guide to Research Methods, 222, (2015); Coker D.C., Making thematic analysis systematic: The seven deadly sins, J. Stud. Educ, 11, pp. 126-146, (2021); Fereday J., Muir-Cochrane E., Demonstrating rigor using thematic analysis: A hybrid approach of inductive and deductive coding and theme development, Int. J. Qual. Methods, 5, pp. 80-92, (2006); Ivankova N.V., Creswell J.W., Stick S.L., Using mixed-methods sequential explanatory design: From theory to practice, Field Methods, 18, pp. 3-20, (2006); Haven L.T., Van Grootel D.L., Preregistering qualitative research, Account. Res, 26, pp. 229-244, (2019); Huberman M., Miles M.B., The Qualitative Researcher’s Companion, (2002); Anderson C., Presenting and evaluating qualitative research, Am. J. Pharm. Educ, 74, pp. 1-5, (2010); Coccia M., Effects of strict containment policies on COVID-19 pandemic crisis: Lessons to cope with next pandemic impacts, Environ. Sci. Pollut. Res, pp. 1-9, (2022); Coccia M., Pandemic prevention: Lessons from COVID-19, Encyclopedia, 1, pp. 433-444, (2021); Ogbuokiri B., Ahmadi A., Bragazzi N.L., Nia Z.M., Mellado B., Wu J., Orbinski J., Asgary A., Kong J., Public sentiments toward COVID-19 vaccines in South African cities: An analysis of Twitter posts, Front. Public Health, 10, (2022); Qorib M., Oladunni T., Denis M., Ososanya E., Cotae P., COVID-19 vaccine hesitancy: Text mining, sentiment analysis and machine learning on COVID-19 vaccination twitter dataset, Expert Syst. Appl, 212, (2023); Semeraro A., Vilella S., Ruffo G., Stella M., Emotional profiling and cognitive networks unravel how mainstream and alternative press framed AstraZeneca, Pfizer and COVID-19 vaccination campaigns, Sci. Rep, 12, (2022); Chowdhury T., Chowdhury H., Bontempi E., Coccia M., Masrur H., Sait S.M., Senjyu T., Are mega-events super spreaders of infectious diseases similar to COVID-19? A look into Tokyo 2020 Olympics and Paralympics to improve preparedness of next international events, Environ. Sci. Pollut. Res, pp. 1-11, (2022); Coccia M., Optimal levels of vaccination to reduce COVID-19 infected individuals and deaths: A global analysis, Environ. Res, 204, (2022); Thelwall M., Thelwall S., A thematic analysis of highly retweeted early COVID-19 tweets: Consensus, information, dissent and lockdown life, Aslib J. Inf. Manag, 72, pp. 945-962, (2020); Mubarak H., Hassan S., Arcorona: Analyzing arabic tweets in the early days of coronavirus (COVID-19) pandemic, arXiv, (2020); Liu L., Fu Y., Study on the mechanism of public attention to a major event: The outbreak of COVID-19 in China, Sustain. Cities Soc, 81, (2022); Hosseini P., Hosseini P., Broniatowski D., Content Analysis of Persian/Farsi Tweets during COVID-19 Pandemic in Iran Using NLP, Proceedings of the 1st Workshop on NLP for COVID-19 (Part 2) at EMNLP 2020, (2020); Leelawat N., Tang J., Saengtabtim K., Laosunthara A., Trends of tweets on the coronavirus disease-2019 (COVID-19) pandemic, J. Disaster Res, 15, pp. 530-533, (2020); Chandrasekaran R., Mehta V., Valkunde T., Moustakas E., Topics, Trends, and Sentiments of Tweets about the COVID-19 Pandemic: Temporal Infoveillance Study, J. Med. Internet Res, 22, (2020); Chintalapudi N., Battineni G., Amenta F., Sentimental analysis of COVID-19 tweets using deep learning models, Infect. Dis. Rep, 13, pp. 329-339, (2021); Ortiz-Martinez Y., Sarmiento J., Bonilla-Aldana D.K., Rodriguez-Morales A.J., Monkeypox goes viral: Measuring the misinformation outbreak on Twitter, J. Infect. Dev. Ctries, 16, pp. 1218-1220, (2022); Jahanbin K., Jokar M., Rahmanian V., Using twitter and web news mining to predict the monkeypox outbreak, Asian Pac. J. Trop. Med, 15, (2022); Ng Q.X., Yau C.E., Lim Y.L., Wong L.K., Liew T.M., Public sentiment on the global outbreak of monkeypox: An unsupervised machine learning analysis of 352,182 twitter posts, Public Health, 213, pp. 1-4, (2022); Sv P., Ittamalla R., What concerns the general public the most about monkeypox virus?—A text analytics study based on Natural Language Processing (NLP), Travel Med. Infect. Dis, 49, (2022); Thomas E.E., Stornaiuolo A., Restorying the self: Bending toward textual justice, Harv. Educ. Rev, 86, pp. 313-338, (2016); Kar N., Kar B., Kar S., Stress and coping during COVID-19 pandemic: Result of an online survey, Psychiatry Res, 295, (2021); Krakowczyk J.B., Planert J., Skoda E.M., Dinse H., Kaup T., Teufel M., Bauerle A., Pandemic fatigue, psychopathological risk factors, and vaccination attitudes during the COVID-19 pandemic in 2021—A network analysis, J. Affect. Disord. Rep, 8, (2022); Panayiotou G., Panteli M., Leonidou C., Coping with the invisible enemy: The role of emotion regulation and awareness in quality of life during the COVID-19 pandemic, J. Context. Behav. Sci, 19, pp. 17-27, (2021); White R.G., Van Der Boor C., Impact of the COVID-19 pandemic and initial period of lockdown on the mental health and well-being of adults in the UK, BJPsych Open, 6, (2020); Haktanir A., Can N., Seki T., Kurnaz M.F., Dilmac B., Do we experience pandemic fatigue? Current state, predictors, and prevention, Curr. Psychol, 41, pp. 7314-7325, (2022); Al-Tammemi A.B., Tarhini Z., Akour A., A swaying between successive pandemic waves and pandemic fatigue: Where does Jordan stand?, Ann. Med. Surg, 65, (2021); O'Connor D.B., Thayer J.F., Vedhara K., Stress and health: A review of psychobiological processes, Annu. Rev. Psychol, 72, pp. 663-688, (2021); Skulmowski A., Standl B., COVID-19 information fatigue? A case study of a German university website during two waves of the pandemic, Hum. Behav. Emerg. Technol, 3, pp. 350-356, (2021); Widmann T., Fear, Hope, and COVID-19: Emotional Elite Rhetoric and Its Impact on the Public during the First Wave of the COVID-19 Pandemic, Political Psychol, 43, pp. 827-850, (2022); Shoaib H.M., The influence of visual risk communication on community during the COVID-19 pandemic: An investigation of Twitter platform, The Implementation of Smart Technologies for Business Success and Sustainability, pp. 349-364, (2022); Mansi B.A., Clark J., David F.S., Gesell T.M., Glasser S., Gonzalez J., Haller D.G., Laine C., Miller C.L., Mooney L.A., Et al., Ten recommendations for closing the credibility gap in reporting industry-sponsored clinical research: A joint journal and pharmaceutical industry perspective, Mayo Clin. Proc, 87, pp. 424-429, (2012); Kim K., King K.W., Kim J., Processing contradictory brand information from advertising and social media: An application of the multiple-motive heuristic-systematic model, J. Mark. Commun, 24, pp. 801-822, (2018); Ecker U.K.H., Lewandowsky S., Cook J., Schmid P., Fazio L.K., Brashier N., Kendeou P., Vraga E.K., Amazeen M.A., The psychological drivers of misinformation belief and its resistance to correction, Nat. Rev. Psychol, 1, pp. 13-29, (2022); Zimbres T.M., Bell R.A., Miller L.M.S., Zhang J., When media health stories conflict: Test of the contradictory health information processing (CHIP) model, J. Health Commun, 26, pp. 460-472, (2021); Xiao M., Wang R., Chan-Olmsted S., Factors affecting YouTube influencer marketing credibility: A heuristic-systematic model, J. Media Bus. Stud, 15, pp. 188-213, (2018); Dorner D., Schaub H., Errors in planning and decision-making and the nature of human information processing, Appl. Psychol, 43, pp. 433-453, (1994); Arbane M., Benlamri R., Brik Y., Alahmar A.D., Social media-based COVID-19 sentiment classification model using Bi-LSTM, Expert Syst. Appl, 212, (2023); Coccia M., Comparative critical decisions in management, Global Encyclopedia of Public Administration, Public Policy, and Governance, (2020); Brownson R.C., Burke T.A., Colditz G.A., Samet J.M., Reimagining public health in the aftermath of a pandemic, Am. J. Public Health, 110, pp. 1605-1610, (2020); Gerretsen P., Kim J., Caravaggio F., Quilty L., Sanches M., Wells S., Brown E.E., Agic B., Pollock B.G., Graff-Guerrero A., Individual determinants of COVID-19 vaccine hesitancy, PLoS ONE, 16, (2021); Benati I., Coccia M., Global analysis of timely COVID-19 vaccinations: Improving governance to reinforce response policies for pandemic crises, Int. J. Health Gov, 27, pp. 240-253, (2022)</t>
  </si>
  <si>
    <t xml:space="preserve">D. Coker; Advanced Education Programs, Adjunct Faculty, Fort Hays State University, Hays, 67601, United States; email: dccoker@fhsu.edu</t>
  </si>
  <si>
    <t xml:space="preserve">2076393X</t>
  </si>
  <si>
    <t xml:space="preserve">2-s2.0-85144729704</t>
  </si>
  <si>
    <t xml:space="preserve">Wilairatana P.; Mala W.; Milanez G.D.J.; Masangkay F.R.; Kotepui K.U.; Kotepui M.</t>
  </si>
  <si>
    <t xml:space="preserve">Wilairatana, Polrat (7006979896); Mala, Wanida (56135070700); Milanez, Giovanni De Jesus (57195677946); Masangkay, Frederick Ramirez (55919933500); Kotepui, Kwuntida Uthaisar (57205182598); Kotepui, Manas (55601980600)</t>
  </si>
  <si>
    <t xml:space="preserve">7006979896; 56135070700; 57195677946; 55919933500; 57205182598; 55601980600</t>
  </si>
  <si>
    <t xml:space="preserve">Increased interleukin-6 levels associated with malaria infection and disease severity: a systematic review and meta-analysis</t>
  </si>
  <si>
    <t xml:space="preserve">Interleukin-6 (IL-6) is generated by immune cells during infection with malaria parasites and they are associated with the immunopathogenesis of malaria. The present systematic review and meta-analysis aimed to compare the differences in IL-6 levels between several groups of patients with malaria and healthy control groups. The systematic review was registered at PROSPERO with a registration number: CRD42021290753. Systematic literature searches were conducted in PubMed, Web of Science, and Scopus until November 7, 2021 to obtain studies that documented IL-6 levels in patients with malaria. The quality of the included studies was assessed using critical appraisal tools from the Joanna Briggs Institute. Differences in the mean IL-6 levels among patients with: (1) severe and non-severe malaria, (2) uncomplicated malaria and controls, (3) uncomplicated and asymptomatic malaria, (4) asymptomatic malaria and healthy controls, and (5) those that died or survived were estimated using a random-effects model. Forty-three of 1,969 studies were included in the systematic review. Results of the meta-analysis showed that patients with severe malaria had higher mean IL-6 levels than those with non-severe malaria [P = 0.04, weight mean difference (WMD) = 96.63 pg/mL, 95% confidence interval (CI) = 0.88 − 19.38 pg/mL, I2 = 99.9%, 13 studies]. Patients with uncomplicated malaria had higher mean IL-6 levels than the controls (P &lt; 0.001, WMD = 42.86 pg/mL, 95% CI = 30.17 − 55.56 pg/mL, I2 = 100%, 17 studies). No differences in the mean levels of IL-6 were found between patients with uncomplicated malaria and those with asymptomatic malaria (P = 0.063, WMD = 42.07 pg/mL, 95% CI = − 2.23 pg/mL to − 86.37 pg/mL, I2 = 99.1%, 8 studies), or between patients with asymptomatic malaria and healthy controls (P = 0.45, WMD = 1.67 pg/mL, 95% CI = − 2.73 pg/mL to − 6.07 pg/mL, I2 = 98.1%, 2 studies). A higher mean level of IL-6 was observed in patients who died compared with the levels of those who survived (P = 0.007, WMD = 1,399.19 pg/mL, 95% CI = 384.16 − 2,414.2 pg/mL, I2 = 93.1%, 4 studies). Our meta-analysis of the pooled evidence can be used to guide future studies in which IL-6 levels are measured during malaria outbreaks to monitor malaria severity. Heterogeneity of the effect estimate among the included studies was the main limitation of this analysis. In conclusion, significantly increased levels of IL-6 were observed in patients with severe malaria compared with those in patients with non-severe malaria, which indicates that IL-6 is a candidate marker for severe malaria. Future studies should investigate the sensitivity and specificity of increased IL-6 levels to determine the effectiveness of assessments of IL-6 levels monitoring of malaria infection and severity. © 2022, The Author(s).</t>
  </si>
  <si>
    <t xml:space="preserve">10.1038/s41598-022-09848-9</t>
  </si>
  <si>
    <t xml:space="preserve">https://www.scopus.com/inward/record.uri?eid=2-s2.0-85127850556&amp;doi=10.1038%2fs41598-022-09848-9&amp;partnerID=40&amp;md5=0b94884bfd78f3b9f91e47da50bc7815</t>
  </si>
  <si>
    <t xml:space="preserve">Department of Clinical Tropical Medicine, Faculty of Tropical Medicine, Mahidol University, Bangkok, Thailand; Medical Technology, School of Allied Health Sciences, Walailak University, Tha Sala, Nakhon Si Thammarat, Thailand; Department of Medical Technology, Faculty of Pharmacy, University of Santo Tomas, Manila, Philippines</t>
  </si>
  <si>
    <t xml:space="preserve">Wilairatana P., Department of Clinical Tropical Medicine, Faculty of Tropical Medicine, Mahidol University, Bangkok, Thailand; Mala W., Medical Technology, School of Allied Health Sciences, Walailak University, Tha Sala, Nakhon Si Thammarat, Thailand; Milanez G.D.J., Department of Medical Technology, Faculty of Pharmacy, University of Santo Tomas, Manila, Philippines; Masangkay F.R., Department of Medical Technology, Faculty of Pharmacy, University of Santo Tomas, Manila, Philippines; Kotepui K.U., Medical Technology, School of Allied Health Sciences, Walailak University, Tha Sala, Nakhon Si Thammarat, Thailand; Kotepui M., Medical Technology, School of Allied Health Sciences, Walailak University, Tha Sala, Nakhon Si Thammarat, Thailand</t>
  </si>
  <si>
    <t xml:space="preserve">Biomarkers; Humans; Interleukin-6; Malaria; Severity of Illness Index; biological marker; interleukin 6; human; malaria; meta analysis; parasitology; severity of illness index</t>
  </si>
  <si>
    <t xml:space="preserve">Biomarkers, ; Interleukin-6, </t>
  </si>
  <si>
    <t xml:space="preserve">Vallejo A.F., Read R.C., Arevalo-Herrera M., Herrera S., Elliott T., Polak M.E., Malaria systems immunology: Plasmodium vivax induces tolerance during primary infection through dysregulation of neutrophils and dendritic cells, J. Infect., 77, 5, pp. 440-447, (2018); Dinarello C.A., Proinflammatory cytokines, Chest, 118, 2, pp. 503-508, (2000); Dunst J., Kamena F., Matuschewski K., Cytokines and chemokines in cerebral malaria pathogenesis, Front. Cell Infect. Microbiol., 7, (2017); Mandala W.L., Msefula C.L., Gondwe E.N., Drayson M.T., Molyneux M.E., MacLennan C.A., Cytokine profiles in Malawian children presenting with uncomplicated malaria, severe malarial anemia, and cerebral malaria, Clin. Vaccine Immunol., 24, 4, (2017); Prakash D., Fesel C., Jain R., Cazenave P.A., Mishra G.C., Pied S., Clusters of cytokines determine malaria severity in Plasmodium falciparum-infected patients from endemic areas of Central India, J. Infect. Dis., 194, 2, pp. 198-207, (2006); Oyegue-Liabagui S.L., Bouopda-Tuedom A.G., Kouna L.C., Maghendji-Nzondo S., Nzoughe H., Tchitoula-Makaya N., Et al., Pro- and anti-inflammatory cytokines in children with malaria in Franceville, Gabon, Am. J. Clin. Exp. Immunol., 6, 2, pp. 9-20, (2017); Lyke K.E., Burges R., Cissoko Y., Sangare L., Dao M., Diarra I., Et al., Serum levels of the proinflammatory cytokines interleukin-1 beta (IL-1β), IL-6, IL-8, IL-10, tumor necrosis factor alpha, and IL-12(p70) in Malian children with severe Plasmodium falciparum malaria and matched uncomplicated malaria or healthy controls, Infect. Immun., 72, 10, pp. 5630-5637, (2004); Ayimba E., Hegewald J., Segbena A.Y., Gantin R.G., Lechner C.J., Agosssou A., Et al., Proinflammatory and regulatory cytokines and chemokines in infants with uncomplicated and severe Plasmodium falciparum malaria, Clin. Exp. Immunol., 166, 2, pp. 218-226, (2011); Dobano C., Nhabomba A.J., Manaca M.N., Berthoud T., Aguilar R., Quinto L., Et al., A balanced proinflammatory and regulatory cytokine signature in young African children is associated with lower risk of clinical malaria, Clin. Infect. Dis., 69, 5, pp. 820-828, (2019); Tanaka T., Narazaki M., Kishimoto T., IL-6 in inflammation, immunity, and disease, Cold Spring Harb Perspect. Biol., 6, 10, (2014); Fain J.N., Release of inflammatory mediators by human adipose tissue is enhanced in obesity and primarily by the nonfat cells: A review, Med. Inflamm., 2010, (2010); Chi L., Li Y., Stehno-Bittel L., Gao J., Morrison D.C., Stechschulte D.J., Et al., Interleukin-6 production by endothelial cells via stimulation of protease-activated receptors is amplified by endotoxin and tumor necrosis factor-alpha, J. Interferon. Cytokine Res., 21, 4, pp. 231-240, (2001); Heinrich P.C., Castell J.V., Andus T., Interleukin-6 and the acute phase response, Biochem. J., 265, 3, pp. 621-636, (1990); Grau G.E., Piguet P.F., Vassalli P., Lambert P.H., Tumor-necrosis factor and other cytokines in cerebral malaria: Experimental and clinical data, Immunol. Rev., 112, pp. 49-70, (1989); Bustinduy A.L., Sutherland L.J., Chang-Cojulun A., Malhotra I., DuVall A.S., Fairley J.K., Et al., Age-stratified profiles of serum IL-6, IL-10, and TNF-alpha cytokines among Kenyan children with Schistosoma haematobium, Plasmodium falciparum, and other chronic parasitic co-infections, Am. J. Trop. Med. Hyg., 92, 5, pp. 945-951, (2015); Perera M.K., Herath N.P., Pathirana S.L., Phone-Kyaw M., Alles H.K., Mendis K.N., Et al., Association of high plasma TNF-alpha levels and TNF-alpha/IL-10 ratios with TNF2 allele in severe P falciparum malaria patients in Sri lanka, Pathog. Global Health., 107, 1, pp. 21-29, (2013); Barber B.E., William T., Grigg M.J., Parameswaran U., Piera K.A., Price R.N., Et al., Parasite biomass-related inflammation, endothelial activation, microvascular dysfunction and disease severity in vivax malaria, PLoS Pathog., 11, 1, pp. 1-13, (2015); Lopera-Mesa T.M., Mita-Mendoza N.K., van de Hoef D.L., Doumbia S., Konate D., Doumbouya M., Et al., Plasma uric acid levels correlate with inflammation and disease severity in malian children with Plasmodium falciparum malaria, PLoS ONE, 7, 10, (2012); Moher D., Liberati A., Tetzlaff J., Altman D.G., Group P., Preferred reporting items for systematic reviews and meta-analyses: The PRISMA statement, PLoS Med., 6, 7, (2009); DerSimonian R., Laird N., Meta-analysis in clinical trials, Control Clin. Trials., 7, 3, pp. 177-188, (1986); Duval S., Tweedie R., Trim and fill: A simple funnel-plot-based method of testing and adjusting for publication bias in meta-analysis, Biometrics, 56, 2, pp. 455-463, (2000); Abdullahi I.N., Musa S., Emeribe A.U., Muhammed M., Mustapha J.O., Shuwa H.A., Et al., Immunological and anti-oxidant profiles of malarial children in Abuja, Nigeria, BioMedicine., 11, 1, pp. 41-50, (2021); Acheampong D.O., Adu P., Ampomah P., Duedu K.O., Aninagyei E., Immunological, haematological, and clinical attributes of rural and urban malaria: A case–control study in Ghana, J. Parasitic. Dis., 45, 3, pp. 806-816, (2021); Aninagyei E., Adu P., Egyir-Yawson A., Acheampong D.O., Elevated IL-12, TNF-alpha, and TNF-alpha/IL-10 ratios in stored Plasmodium falciparum-infected whole blood: Implications for safe haemotransfusion, J. Immunol. Res., 2020, (2020); Baptista J.L., Vanham G., Wery M., Van Marck E., Cytokine levels during mild and cerebral falciparum malaria in children living in a mesoendemic area, Trop. Med. Int. Health., 2, 7, pp. 673-679, (1997); Barber B.E., Grigg M.J., William T., Piera K.A., Boyle M.J., Yeo T.W., Et al., Effects of aging on parasite biomass, inflammation, endothelial activation, microvascular dysfunction and disease severity in plasmodium knowlesi and plasmodium falciparum malaria, J. Infect. Dis., 215, 12, pp. 1908-1917, (2017); Day N.P., Hien T.T., Schollaardt T., Loc P.P., Chuong L.V., Chau T.T., Et al., The prognostic and pathophysiologic role of pro- and antiinflammatory cytokines in severe malaria, J. Infect. Dis., 180, 4, pp. 1288-1297, (1999); Goncalves R.M., Scopel K.K.G., Bastos M.S., Ferreira M.U., Cytokine balance in human malaria: Does Plasmodium vivax elicit more inflammatory responses than Plasmodium falciparum?, PLoS ONE., 7, 9, (2012); Halsey E.S., Baldeviano G.C., Edgel K.A., Vilcarromero S., Sihuincha M., Lescano A.G., Symptoms and immune markers in plasmodium/dengue virus co-infection compared with mono-infection with either in Peru, PLoS Negl. Trop. Dis., 10, 4, (2016); Harawa V., Njie M., Kessler A., Choko A., Kumwenda B., Kampondeni S., Et al., Brain swelling is independent of peripheral plasma cytokine levels in Malawian children with cerebral malaria, Malar J., 17, 1, (2018); Jakobsen P.H., McKay V., Morris-Jones S.D., McGuire W., Van Hensbroek M.B., Meisner S., Et al., Increased concentrations of interleukin-6 and interleukin-1 receptor antagonist and decreased concentrations of beta-2-glycoprotein I in Gambian children with cerebral malaria, Infect. Immun., 62, 10, pp. 4374-4379, (1994); John C.C., Opika-Opoka R., Byarugaba J., Idro R., Boivin M.J., Low levels of RANTES are associated with mortality in children with cerebral malaria, J. Infect. Dis., 194, 6, pp. 837-845, (2006); Lyke K.E., Dabo A., Sangare L., Arama C., Daou M., Diarra I., Et al., Effects of concomitant Schistosoma haematobium infection on the serum cytokine levels elicited by acute Plasmodium falciparum malaria infection in malian children, Infect. Immun., 74, 10, pp. 5718-5724, (2006); Mbengue B., Niang B., Niang M.S., Varela M.L., Fall B., Fall M.M., Et al., Inflammatory cytokine and humoral responses to Plasmodium falciparum glycosylphosphatidylinositols correlates with malaria immunity and pathogenesis, Immun. Inflamm. Dis., 4, 1, pp. 24-34, (2016); Moncunill G., Mayor A., Bardaji A., Puyol L., Nhabomba A., Barrios D., Et al., Cytokine profiling in immigrants with clinical malaria after extended periods of interrupted exposure to Plasmodium falciparum, PLoS ONE, 8, 8, (2013); Mwanga-Amumpaire J., Carroll R.W., Baudin E., Kemigisha E., Nampijja D., Mworozi K., Et al., Inhaled nitric oxide as an adjunctive treatment for cerebral malaria in children: A phase ii randomized open-label clinical trial, Open Forum Infect. Dis., 2, 3, (2015); Olupot-Olupot P., Urban B.C., Jemutai J., Nteziyaremye J., Fanjo H.M., Karanja H., Et al., Endotoxaemia is common in children with Plasmodium falciparum malaria, BMC Infect. Dis., 13, 1, (2013); Ong'echa J.M., Davenport G.C., Vulule J.M., Hittner J.B., Perkins D.J., Identification of inflammatory biomarkers for pediatric malarial: Anemia severity using novel statistical methods, Infect. Immun., 79, 11, pp. 4674-4680, (2011); Pinna R.A., dos Santos A.C., Perce-da-Silva D.S., da Silva L.A., da Silva R.N.R., Alves M.R., Et al., Correlation of APRIL with production of inflammatory cytokines during acute malaria in the Brazilian Amazon, Immun. Inflamm. Dis., 6, 2, pp. 207-220, (2018); Post A., Kabore B., Berendsen M., Diallo S., Traore O., Arts R.J.W., Et al., Altered ex-vivo cytokine responses in children with asymptomatic Plasmodium falciparum infection in Burkina Faso: An additional argument to treat asymptomatic malaria?, Front. Immun., 12, (2021); Punnath K., Dayanand K.K., Chandrashekhar V.N., Achur R.N., Kakkilaya S.B., Ghosh S.K., Et al., Association between inflammatory cytokine levels and anemia during Plasmodium falciparum and Plasmodium vivax infections in Mangaluru: A Southwestern Coastal Region of India, Trop. Parasitol., 9, 2, pp. 98-107, (2019); Ringwald P., Peyron F., Lepers J.P., Rabarison P., Rakotomalala C., Razanamparany M., Et al., Parasite virulence factors during falciparum malaria: Rosetting, cytoadherence, and modulation of cytoadherence by cytokines, Infect. Immun., 61, 12, pp. 5198-5204, (1993); Saissy J.M., Vitris M., Diatta B., Kempf J., Adam F., Sarthou J.L., Severe malaria in African adults living in a seasonal endemic area, Intensive Care Med., 20, 6, pp. 437-441, (1994); Thuma P.E., Weiss G., Herold M., Gordeuk V.R., Serum neopterin, interleukin-4, and interleukin-6 concentrations in cerebral malaria patients and the effect of iron chelation therapy, Am. J. Trop. Med. Hyg., 54, 2, pp. 164-168, (1996); Wenisch C., Wenisch H., Parschalk B., Vanijanonta S., Burgmann H., Exner M., Et al., Elevated levels of soluble CD14 in serum of patients with acute Plasmodium falciparum malaria, Clin. Exp. Immunol., 105, 1, pp. 74-78, (1996); Yeom J.S., Park S.H., Ryu S.H., Park H.K., Woo S.Y., Ha E.H., Et al., Serum cytokine profiles in patients with Plasmodium vivax malaria: A comparison between those who presented with and without hepatic dysfunction, Trans. R. Soc. Trop. Med. Hyg., 97, 6, pp. 687-691, (2003); Zeyrek F.Y., Kurcer M.A., Zeyrek D., Simsek Z., Parasite density and serum cytokine levels in Plasmodium vivax malaria in Turkey, Parasite Immunol., 28, 5, pp. 201-207, (2006); Ballal A., Saeed A., Rouina P., Jelkmann W., Effects of chloroquine treatment on circulating erythropoietin and inflammatory cytokines in acute Plasmodium falciparum malaria, Ann. Hematol., 88, 5, pp. 411-415, (2009); Dembele B.P., Chagan-Yasutan H., Niki T., Ashino Y., Tangpukdee N., Shinichi E., Et al., Plasma levels of Galectin-9 reflect disease severity in malaria infection, Malar J., 15, 1, (2016); Hugosson E., Montgomery S.M., Premji Z., Troye-Blomberg M., Bjorkman A., Relationship between antipyretic effects and cytokine levels in uncomplicated falciparum malaria during different treatment regimes, Acta Trop., 99, 1, pp. 75-82, (2006); Ifeanyichukwu M.O., Okamgba O.C., Amilo G.I., Nwokorie E.A., Peripheral parasitaemia and its association with plasma cytokines levels in malaria-infected pregnant women in Aba, Abia state, Nigeria, Afr. J. Infect. Dis., 11, 2, pp. 54-61, (2017); MacMullin G., MacKenzie R., Lau R., Khang J., Zhang H., Rajwans N., Et al., Host immune response in returning travellers infected with malaria, Malar J., 11, (2012); Matiabe E.M., Musyoki S.K., Nyanchongi B., The dynamics of intestinal helminthes and malaria co-infection: Impact on cytokine responses and malaria severity among school children in Kisii county, Kenya, Int. J. Sci. Technol. Res., 9, 3, pp. 3080-3088, (2020); Nmorsi O.P.G., Isaac C., Ukwandu N.C.D., Ohaneme B.A., Pro-and anti-inflammatory cytokines profiles among Nigerian children infected with Plasmodium falciparum malaria, Asian Pac. J. Trop. Med., 3, 1, pp. 41-44, (2010); Poluga J., Dopsaj V., Veljkovic M., Maksic N., Stojakovic S., Dunjic R., Et al., Increased tumor necrosis factor alpha and interleukin-6 serum levels and their correlation with laboratory parameters in patients with imported malaria, Arch. Biol. Sci., 64, 4, pp. 1577-1583, (2012); Sarthou J.L., Angel G., Aribot G., Rogier C., Dieye A., Toure Balde A., Et al., Prognostic value of anti-Plasmodium falciparum-specific immunoglobulin G3, cytokines, and their soluble receptors in West African patients with severe malaria, Infect. Immun., 65, 8, pp. 3271-3276, (1997); Scherer E.F., Cantarini D.G., Siqueira R., Ribeiro E.B., Braga E.M., Honorio-Franca A.C., Et al., Cytokine modulation of human blood viscosity from vivax malaria patients, Acta Trop., 158, pp. 139-147, (2016); Sinha S., Qidwai T., Kanchan K., Jha G.N., Anand P., Pati S.S., Et al., Distinct cytokine profiles define clinical immune response to falciparum malaria in regions of high or low disease transmission, Eur. Cytokine Netw., 21, 4, pp. 232-240, (2010); Chen I., Clarke S.E., Gosling R., Hamainza B., Killeen G., Magill A., Et al., Asymptomatic" Malaria: A chronic and debilitating infection that should be treated, PLoS Med., 13, 1, (2016); Young S.H., Antonini J.M., Roberts J.R., Erdely A.D., Zeidler-Erdely P.C., Performance evaluation of cytometric bead assays for the measurement of lung cytokines in two rodent models, J. Immunol. Methods., 331, 1-2, pp. 59-68, (2008); Heijmans-Antonissen C., Wesseldijk F., Munnikes R.J., Huygen F.J., van der Meijden P., Hop W.C., Et al., Multiplex bead array assay for detection of 25 soluble cytokines in blister fluid of patients with complex regional pain syndrome type 1, Mediators Inflamm., 2006, 1, (2006); Farrington L., Vance H., Rek J., Prahl M., Jagannathan P., Katureebe A., Et al., Both inflammatory and regulatory cytokine responses to malaria are blunted with increasing age in highly exposed children, Malar J., 16, 1, (2017); Kortz T.B., Nyirenda J., Tembo D., Elfving K., Baltzell K., Bandawe G., Et al., Distinct biomarker profiles distinguish malawian children with malarial and non-malarial sepsis, Am. J. Trop. Med. Hyg., 101, 6, pp. 1424-1433, (2019); Yoshida N., Ikemoto S., Narita K., Sugimura K., Wada S., Yasumoto R., Et al., Interleukin-6, tumour necrosis factor alpha and interleukin-1beta in patients with renal cell carcinoma, Br. J. Cancer., 86, 9, pp. 1396-1400, (2002); Wei J., Xu H., Davies J.L., Hemmings G.P., Increase of plasma IL-6 concentration with age in healthy subjects, Life Sci., 51, 25, pp. 1953-1956, (1992); Ademolue T.W., Aniweh Y., Kusi K.A., Awandare G.A., Patterns of inflammatory responses and parasite tolerance vary with malaria transmission intensity, Malar J., 16, 1, (2017); Mbani Mpega Ntigui C.N., Oyegue-Liabagui S.L., Kouna L.C., Imboumy K.R., Tsafack Tegomo N.P., Okouga A.P., Et al., Inflammatory cytokine responses in children with asymptomatic malaria infection living in rural, semi-urban and urban areas in south-eastern Gabon, Clin. Exp. Immunol., 206, 3, pp. 395-409, (2021); Frimpong A., Amponsah J., Adjokatseh A.S., Agyemang D., Bentum-Ennin L., Ofori E.A., Et al., Asymptomatic malaria infection is maintained by a balanced pro- and anti-inflammatory response, Front. Microbiol., 11, (2020)</t>
  </si>
  <si>
    <t xml:space="preserve">M. Kotepui; Medical Technology, School of Allied Health Sciences, Walailak University, Tha Sala, Nakhon Si Thammarat, Thailand; email: manas.ko@wu.ac.th</t>
  </si>
  <si>
    <t xml:space="preserve">2-s2.0-85127850556</t>
  </si>
  <si>
    <t xml:space="preserve">Costa A.C.; Gomes T.F.; Moreira R.P.; Cavalcante T.F.; Mamede G.L.</t>
  </si>
  <si>
    <t xml:space="preserve">Costa, Alexandre C. (57214625816); Gomes, Ticiane F. (57218710274); Moreira, Rafaella P. (18038391400); Cavalcante, Tahissa F. (18036809000); Mamede, George L. (23972729000)</t>
  </si>
  <si>
    <t xml:space="preserve">57214625816; 57218710274; 18038391400; 18036809000; 23972729000</t>
  </si>
  <si>
    <t xml:space="preserve">Influence of hydroclimatic variability on dengue incidence in a tropical dryland area</t>
  </si>
  <si>
    <t xml:space="preserve">Dengue is an endemic disease in more than 100 countries, but there are few studies about the effects of hydroclimatic variability on dengue incidence (DI) in tropical dryland areas. This study investigates the association between hydroclimatic variability and DI (2008-2018) in a large tropical dryland area. The area studied comprehends seven municipalities with populations ranging from 32,879 to 2,545,419 inhabitants. First, the precipitation and temperature impacts on interannual and seasonal DI were investigated. Then, the monthly association between DI and hydroclimatic variables was analyzed using generalized least squares (GLS) regression. The model's capability to reproduce DI given the current hydroclimatic conditions and DI seasonality over the entire time period studied were assessed. No association between the interannual variation of precipitation and DI was found. However, seasonal variation of DI was shaped by precipitation and temperature. February-July was the main dengue season period. A precipitation threshold, usually above 100 mm, triggers the rapid DI rising. Precipitation and minimum air temperature were the main explanatory variables. A two-month-lagged predictor was relevant for modeling, occurring in all regressions, followed by a non-lagged predictor. The climate predictors differed among the regression models, revealing the high spatial DI variability driven by hydroclimatic variability. GLS regressions were able to reproduce the beginning, development, and end of the dengue season, although we found underestimation of DI peaks and overestimation of low DI. These model limitations are not an issue for climate change impact assessment on DI at the municipality scale since historical DI seasonality was well simulated. However, they may not allow seasonal DI forecasting for some municipalities. These findings may help not only public health policies in the studied municipalities but also have the potential to be reproducible for other dryland regions with similar data availability. © 2022 Elsevier B.V.</t>
  </si>
  <si>
    <t xml:space="preserve">10.1016/j.actatropica.2022.106657</t>
  </si>
  <si>
    <t xml:space="preserve">https://www.scopus.com/inward/record.uri?eid=2-s2.0-85136517011&amp;doi=10.1016%2fj.actatropica.2022.106657&amp;partnerID=40&amp;md5=6f4aece898ec0154d4f9dac035889992</t>
  </si>
  <si>
    <t xml:space="preserve">Institute of Engineering and Sustainable Development, University of International Integration of the Afro-Brazilian Lusophony, s/n José Franco St., Redenção, 62.790-970, Ceará, Brazil; School of Public Health of Ceará, 3161 Antônio Justa Ave., Fortaleza, 60165-090, Ceará, Brazil; Health Sciences Institute, University of International Integration of the Afro-Brazilian Lusophony, s/n José Franco St., Redenção, 62.790-970, Ceará, Brazil</t>
  </si>
  <si>
    <t xml:space="preserve">Costa A.C., Institute of Engineering and Sustainable Development, University of International Integration of the Afro-Brazilian Lusophony, s/n José Franco St., Redenção, 62.790-970, Ceará, Brazil; Gomes T.F., School of Public Health of Ceará, 3161 Antônio Justa Ave., Fortaleza, 60165-090, Ceará, Brazil; Moreira R.P., Health Sciences Institute, University of International Integration of the Afro-Brazilian Lusophony, s/n José Franco St., Redenção, 62.790-970, Ceará, Brazil; Cavalcante T.F., Health Sciences Institute, University of International Integration of the Afro-Brazilian Lusophony, s/n José Franco St., Redenção, 62.790-970, Ceará, Brazil; Mamede G.L., Institute of Engineering and Sustainable Development, University of International Integration of the Afro-Brazilian Lusophony, s/n José Franco St., Redenção, 62.790-970, Ceará, Brazil</t>
  </si>
  <si>
    <t xml:space="preserve">Climate; Climate-sensitive diseases; Infectious diseases; Time series analysis</t>
  </si>
  <si>
    <t xml:space="preserve">Cities; Dengue; Humans; Incidence; Seasons; Temperature; rain; climate effect; climate variation; dengue fever; disease incidence; infectious disease; seasonal variation; time series analysis; air temperature; aridity index; Article; climate change; dengue; environmental exposure; environmental impact assessment; evapotranspiration; human; Human Development Index; humidity; hydroclimatic variability; incidence; machine learning; meteorological phenomena; meteorology; outcome assessment; population density; precipitation; prediction; sanitation; scoring system; seasonal variation; temperature; temperature sensitivity; time series analysis; vector borne disease; wind speed; city; dengue; incidence; season</t>
  </si>
  <si>
    <t xml:space="preserve">CAPES Foundation/Brazilian Ministry of Education, (216/2018); Conselho Nacional de Desenvolvimento Científico e Tecnológico, CNPq, (18/2021, 402514/2021-1); Fundação Cearense de Apoio ao Desenvolvimento Científico e Tecnológico, FUNCAP</t>
  </si>
  <si>
    <t xml:space="preserve">This work was funded by the Brazilian National Council for Scientific and Technological Development (Universal Grant no. 18/2021 – Band A – Emerging groups , process no. 402514/2021-1 ), by the Cearense Foundation for Support to Scientific and Technological Development (FUNCAP, Brazil, no. 18/2020 – Graduate Development Program "Strategic Partnerships in the States"), and by the CAPES Foundation/Brazilian Ministry of Education (Grant no. 216/2018 ). </t>
  </si>
  <si>
    <t xml:space="preserve">Andela N., Liu Y.Y., Van Dijk A.I.J.M., de Jeu R.A.M., McVicar T.R., Global changes in dryland vegetation dynamics (1988-2008) assessed by satellite remote sensing: comparing a new passive microwave vegetation density record with reflective greenness data, Biogeosciences, 10, pp. 6657-6676, (2013); Astuti E.P., Dhewantara P.W., Prasetyowati H., Ipa M., Herawati C., Hendrayana K., Paediatric dengue infection in Cirebon, Indonesia: a temporal and spatial analysis of notified dengue incidence to inform surveillance, Parasit. Vectors, 12, 1, pp. 1-12, (2019); (2021); (2014); Caldwell J.M., LaBeaud A.D., Lambin E.F., Stewart-Ibarra A.M., Ndenga B.A., Mutuku F.M., Et al., Climate predicts geographic and temporal variation in mosquito-borne disease dynamics on two continents, Nat. Commun., 12, 1, pp. 1-13, (2021); Costa A.C., Bronstert A., Kneis D., Probabilistic flood forecasting for a mountainous headwater catchment using a nonparametric stochastic dynamic approach, Hydrol. Sci. J., 57, 1, pp. 10-25, (2012); Costa A.C., Estacio A., de Souza Filho F.D.A., Lima Neto I.E., Monthly and seasonal streamflow forecasting of large dryland catchments in Brazil, J. Arid Land., 13, 3, pp. 205-223, (2021); Dickin S.K., Schuster-Wallace C.J., Elliott S.J., Developing a vulnerability mapping methodology: applying the water-associated disease index to dengue in Malaysia, PloS one, 8, 5, (2013); Edussuriya C., Deegalla S., Gawarammana I., An accurate mathematical model predicting number of dengue cases in tropics, PLoS Negl. Trop. Dis., 15, 11, (2021); Harris M., Caldwell J.M., Mordecai E.A., Climate drives spatial variation in Zika epidemics in Latin America, Proc. Royal Soc. B., 286, 1909, (2019); Hyndman R.J., Athanasopoulos G., Forecasting: Principles and Practice, (2021); Jayaraj V.J., Avoi R., Gopalakrishnan N., Raja D.B., Umasa Y., Developing a dengue prediction model based on climate in Tawau, Malaysia. Acta Trop., 197, (2019); Lega J., Brown H.E., Barrera R., Aedes aegypti (Diptera: Culicidae) abundance model improved with relative humidity and precipitation-driven egg hatching, J. Med. Entomol., 54, 5, pp. 1375-1384, (2017); Li C., Wang X., Wu X., Liu J., Ji D., Du J., Modeling and projection of dengue fever cases in Guangzhou based on variation of weather factors, Sci. Total Environ., 605-606, pp. 867-873, (2017); Lowe R., Lee S.A., O'Reilly K.M., Brady O.J., Bastos L., Carrasco-Escobar G., Et al., Combined effects of hydrometeorological hazards and urbanisation on dengue risk in Brazil: a spatiotemporal modelling study, Lancet Planet. Health, 5, 4, pp. e209-e219, (2021); Mone F.H., Hossain S., Hasan M.T., Tajkia G., Ahmed F., Sustainable actions needed to mitigate dengue outbreak in Bangladesh, Lancet Infect. Dis., 19, 11, pp. 1166-1167, (2019); Moreira R.P., Costa A.C., Gomes T.F., de Oliveira Ferreira G., Climate and climate-sensitive diseases in semi-arid regions: a systematic review, Int. J. Public Health., 65, 9, pp. 1749-1761, (2020); Ngugi H.N., Mutuku F.M., Ndenga B.A., Musunzaji P.S., Mbakaya J.O., Aswani P., Et al., Characterization and productivity profiles of Aedes aegypti (L.) breeding habitats across rural and urban landscapes in western and coastal Kenya, Parasit. Vectors, 10, 1, pp. 1-12, (2017); (1980); Nuraini N., Fauzi I.S., Fakhruddin M., Sopaheluwakan A., Soewono E., Climate-based dengue model in Semarang, Indonesia: Predictions and descriptive analysis, Infect. Dis. Model., 6, pp. 598-611, (2021); Ochida N., Mangeas M., Dupont-Rouzeyrol M., Dutheil C., Forfait C., Peltier A., Et al., Modeling present and future climate risk of dengue outbreak, a case study in New Caledonia, J. Environ. Health., 21, 1, pp. 1-10, (2022); Dengue, (2022); Perretti C.T., Munch S.B., Sugihara G., Model-free forecasting outperforms the correct mechanistic model for simulated and experimental data, Proc. Natl. Acad. Sci. U.S.A., 110, 13, pp. 5253-5257, (2013); Rahman M.S., Overgaard H.J., Pientong C., Mayxay M., Ekalaksananan T., Aromseree S., Et al., Knowledge, attitudes, and practices on climate change and dengue in Lao People's Democratic Republic and Thailand, Environ. Res., 193, (2021); Riad M.H., Cohnstaedt L.W., Scoglio C.M., Risk assessment of dengue transmission in Bangladesh using a spatiotemporal network model and climate data, Am. J. Trop. Med., 104, 4, (2021); Santos C.A.G., Guerra-Gomes I.C., Gois B.M., Peixoto R.F., Keesen T.S.L., da Silva R.M., Correlation of dengue incidence and rainfall occurrence using wavelet transform for João Pessoa city, Sci. Total Environ., 647, pp. 794-805, (2019); Seah A., Aik J., Ng L.C., Tam C.C., The effects of maximum ambient temperature and heatwaves on dengue infections in the tropical city-state of Singapore–A time series analysis, Sci. Total Environ., 775, (2021); Tay C.J., Fakhruddin M., Fauzi I.S., Teh S.Y., Syamsuddin M., Nuraini N., Soewono E., Dengue epidemiological characteristic in Kuala Lumpur and Selangor, Malaysia. Math. Comput. Simul., 194, pp. 489-504, (2022); Tsheten T., Clements A.C., Gray D.J., Wangchuk S., Wangdi K., Spatial and temporal patterns of dengue incidence in Bhutan: a Bayesian analysis, Emerg. Microbes Infect., 9, 1, pp. 1360-1371, (2020); Viennet E., Harley D., Climate services for health: cooperation for climate informed dengue surveillance, Lancet Planet. Health, 1, 4, pp. e126-e127, (2017); Wangdi K., Clements A.C., Du T., Nery S.V., Spatial and temporal patterns of dengue infections in Timor-Leste, 2005–2013, Parasit. Vectors, 11, 1, pp. 1-9, (2018); Werner P.C., Gerstengarbe F.W., The climate of Piauí and Ceará, Global change and regional impacts, pp. 81-85, (2003); Wood S.N., Generalized Additive Models: An introduction with R, (2017); Urban Health, (2021); Xavier L.L., Honorio N.A., Pessanha J.F.M., Peiter P.C., Analysis of climate factors and dengue incidence in the metropolitan region of Rio de Janeiro, Brazil. PloS one., 16, 5, (2021)</t>
  </si>
  <si>
    <t xml:space="preserve">A.C. Costa; Institute of Engineering and Sustainable Development, University of International Integration of the Afro-Brazilian Lusophony, Redenção, s/n José Franco St., 62.790-970, Brazil; email: cunhacos@unilab.edu.br</t>
  </si>
  <si>
    <t xml:space="preserve">2-s2.0-85136517011</t>
  </si>
  <si>
    <t xml:space="preserve">Apinjoh T.O.; Ntui V.N.; Chi H.F.; Moyeh M.N.; Toussi C.T.; Mayaba J.M.; Tangi L.N.; Kwi P.N.; Anchang-Kimbi J.K.; Dionne-Odom J.; Tita A.T.N.; Achidi E.A.; Amambua-Ngwa A.; Titanji V.P.K.</t>
  </si>
  <si>
    <t xml:space="preserve">Apinjoh, Tobias O. (16024034700); Ntui, Vincent N. (57224005859); Chi, Hanesh F. (56165906400); Moyeh, Marcel N. (56538533800); Toussi, Cabrel T. (57916319300); Mayaba, Joel M. (57915943100); Tangi, Livinus N. (57909525500); Kwi, Pilate N. (57909736400); Anchang-Kimbi, Judith K. (29667541100); Dionne-Odom, Jodie (57196314481); Tita, Alan T.N. (6603465409); Achidi, Eric A. (8870147900); Amambua-Ngwa, Alfred (26632949600); Titanji, Vincent P.K. (7003286911)</t>
  </si>
  <si>
    <t xml:space="preserve">16024034700; 57224005859; 56165906400; 56538533800; 57916319300; 57915943100; 57909525500; 57909736400; 29667541100; 57196314481; 6603465409; 8870147900; 26632949600; 7003286911</t>
  </si>
  <si>
    <t xml:space="preserve">Intermittent preventive treatment with Sulphadoxine-Pyrimethamine (IPTp-SP) is associated with protection against submicroscopic P. falciparum infection in pregnant women during the low transmission dry season in southwestern Cameroon: A Semi - longitudinal study</t>
  </si>
  <si>
    <t xml:space="preserve">The current guidelines for malaria prevention and control during pregnancy in Africa is predicated on the prevention of infection and/or disease through intermittent preventive treatment in pregnancy (IPTp), insecticide-treated nets (ITNs) and effective malaria case diagnosis and management. Concerns that increasing SP resistance in some areas of SSA may have compromised IPTp-SP efficacy prompted this contemporaneous study, designed to assess the prevalence and risk factors of sub-microscopic infection in parturient women during the low transmission season in Mutengene, a rapidly growing semi-urban area in Southwest Region, Cameroon. Pregnant women originally reporting for the establishment of antenatal clinic care during the dry season were followed-up to term and their pregnancy outcomes recorded. About 2 ml of venous blood was collected for malaria diagnosis using PfHRP2/ pLDH malaria rapid diagnostic kit and light microscopy. DNA was extracted from dried blood spots by the Chelex-100 method and the Plasmodium falciparum status detected by nested PCR amplification of the 18SrRNA gene using specific predesigned primers. Of the 300 women enrolled, the proportion of malaria parasite infected as determined by microscopy, RDT and PCR was 12.9%, 16.4% and 29.4% respectively, with 39.9% overall infected with P. falciparum by microscopy and/or RDT and/or PCR and a very low-density infection, averaging 271 parasites per microliter of blood. About 25.0% (68/272) of women who were negative by microscopy were positive by PCR (submicroscopic P. falciparum infection), with primigravidae and IPTp-SP non usage identified as independent risk factors for submicroscopic P. falciparum parasitaemia while fever history (aOR = 4.83, 95% CI = 1.28-18.22, p = 0.020) was associated with risk of malaria parasite infection overall. IPTp-SP use (p = 0.007) and dosage (p = 0.005) significantly influenced whether or not the participant will be malaria parasite negative or carry submicroscopic or microscopic infection. Although Infant birthweight and APGAR score were independent of the mother's P. falciparum infection and submicroscopic status, infant's birthweight varied with the gravidity status (p = 0.001) of the mother, with significantly lower birthweight neonates born to primigravidae compared to secundigravidae (p = 0.001) and multigravidae (p = 0.003). Even in holo-endemic dry season, there exists a large proportion of pregnant women with very low density parasitaemia. IPTp-SP seems to be relevant in controlling submicroscopic P. falciparum infections, which remains common in pregnant women, and are hard to diagnose, with potentially deleterious consequences for maternal and fetal health. Future studies should be carried out in hyperendemic malaria foci where the parasitemia levels are substantially higher in order to confirm the efficacy of IPTp-SP. © 2022 This is an open access article, free of all copyright, and may be freely reproduced, distributed, transmitted, modified, built upon, or otherwise used by anyone for any lawful purpose. The work is made available under the Creative Commons CC0 public domain dedication.</t>
  </si>
  <si>
    <t xml:space="preserve">e0275370</t>
  </si>
  <si>
    <t xml:space="preserve">10.1371/journal.pone.0275370</t>
  </si>
  <si>
    <t xml:space="preserve">https://www.scopus.com/inward/record.uri?eid=2-s2.0-85139339873&amp;doi=10.1371%2fjournal.pone.0275370&amp;partnerID=40&amp;md5=cbe60bd959149e7050623571ec26f6f7</t>
  </si>
  <si>
    <t xml:space="preserve">Department of Biochemistry and Molecular Biology, University of Buea, Buea, Cameroon; Department of Chemical and Biological Engineering, The University of Bamenda, Bambili, Cameroon; Department of Microbiology and Parasitology, University of Buea, Buea, Cameroon; Department of Zoology and Animal Physiology, University of Buea, Buea, Cameroon; Division of Infectious Diseases, Department of Medicine, University of Alabama at Birmingham, Birmingham, AL, United States; Division of Maternal-Fetal Medicine, Department of Obstetrics and Gynecology, Center of Women's Reproductive Health, University of Alabama at Birmingham, Birmingham, AL, United States; Medical Research Council Unit The Gambia, London School of Hygiene and Tropical Medicine, Fajara, Banjul, Gambia</t>
  </si>
  <si>
    <t xml:space="preserve">Apinjoh T.O., Department of Biochemistry and Molecular Biology, University of Buea, Buea, Cameroon, Department of Chemical and Biological Engineering, The University of Bamenda, Bambili, Cameroon; Ntui V.N., Department of Biochemistry and Molecular Biology, University of Buea, Buea, Cameroon; Chi H.F., Department of Microbiology and Parasitology, University of Buea, Buea, Cameroon; Moyeh M.N., Department of Biochemistry and Molecular Biology, University of Buea, Buea, Cameroon, Department of Chemical and Biological Engineering, The University of Bamenda, Bambili, Cameroon; Toussi C.T., Department of Biochemistry and Molecular Biology, University of Buea, Buea, Cameroon; Mayaba J.M., Department of Biochemistry and Molecular Biology, University of Buea, Buea, Cameroon; Tangi L.N., Department of Microbiology and Parasitology, University of Buea, Buea, Cameroon; Kwi P.N., Department of Biochemistry and Molecular Biology, University of Buea, Buea, Cameroon; Anchang-Kimbi J.K., Department of Zoology and Animal Physiology, University of Buea, Buea, Cameroon; Dionne-Odom J., Division of Infectious Diseases, Department of Medicine, University of Alabama at Birmingham, Birmingham, AL, United States; Tita A.T.N., Division of Maternal-Fetal Medicine, Department of Obstetrics and Gynecology, Center of Women's Reproductive Health, University of Alabama at Birmingham, Birmingham, AL, United States; Achidi E.A., Department of Biochemistry and Molecular Biology, University of Buea, Buea, Cameroon; Amambua-Ngwa A., Medical Research Council Unit The Gambia, London School of Hygiene and Tropical Medicine, Fajara, Banjul, Gambia; Titanji V.P.K., Department of Biochemistry and Molecular Biology, University of Buea, Buea, Cameroon</t>
  </si>
  <si>
    <t xml:space="preserve">Antimalarials; Birth Weight; Cameroon; Drug Combinations; Female; Humans; Infant, Newborn; Insecticides; Longitudinal Studies; Malaria; Malaria, Falciparum; Parasitemia; Plasmodium falciparum; Pregnancy; Pregnancy Outcome; Pregnant Women; Pyrimethamine; Seasons; Sulfadoxine; pyrimethamine plus sulfadoxine; RNA 18S; antimalarial agent; fanasil, pyrimethamine drug combination; insecticide; pyrimethamine; sulfadoxine; adolescent; adult; anemia; Apgar score; Article; birth weight; body temperature; body weight; cohort analysis; demographics; disease transmission; DNA extraction; dry season; ethnicity; female; fetal health; fever; follow up; gene amplification; gestational age; human; longitudinal study; low birth weight; major clinical study; malaria control; malaria falciparum; menstrual cycle; microscopy; multigravida; nested polymerase chain reaction; newborn; parity; Plasmodium falciparum; pregnancy; pregnant woman; prematurity; prenatal care; prevalence; prospective study; questionnaire; residence characteristics; risk factor; urban area; Cameroon; drug combination; malaria; malaria falciparum; parasitemia; pregnancy outcome; pregnant woman; season</t>
  </si>
  <si>
    <t xml:space="preserve">pyrimethamine plus sulfadoxine, 37338-39-9; pyrimethamine, 53640-38-3, 58-14-0; sulfadoxine, 2447-57-6; Antimalarials, ; Drug Combinations, ; fanasil, pyrimethamine drug combination, ; Insecticides, ; Pyrimethamine, ; Sulfadoxine, </t>
  </si>
  <si>
    <t xml:space="preserve">Image Lab, Biorad, United States; Molecular Imager; SD Bioline, Alere, South Korea; thermal cycler, Biorad, United States</t>
  </si>
  <si>
    <t xml:space="preserve">Alere, South Korea; Biorad, United States; Biorad, United States</t>
  </si>
  <si>
    <t xml:space="preserve">A strategic framework for malaria prevention and control during pregnancy in the African region (archived); Cottrell G, Moussiliou A, Luty AJF, Cot M, Fievet N, Massougbodji A, Et al., Submicroscopic Plasmodium falciparum Infections Are Associated With Maternal Anemia, Premature Births, and Low Birth Weight, Clin Infect Dis Off Publ Infect Dis Soc Am, 60, pp. 1481-1488, (2015); Huynh B-T, Cottrell G, Cot M, Briand V., Burden of Malaria in Early Pregnancy: A Neglected Problem?, Clin Infect Dis, 60, pp. 598-604, (2015); Menendez C, Ordi J, Ismail MR, Ventura PJ, Aponte JJ, Kahigwa E, Et al., The Impact of Placental Malaria on Gestational Age and Birth Weight, J Infect Dis, 181, pp. 1740-1745, (2000); Rogerson SJ, Desai M, Mayor A, Sicuri E, Taylor SM, van Eijk AM., Burden, pathology, and costs of malaria in pregnancy: new developments for an old problem, Lancet Infect Dis, 18, pp. e107-e118, (2018); Elbadry MA, Tagliamonte MS, Raccurt CP, Lemoine JF, Existe A, Boncy J, Et al., Submicroscopic malaria infections in pregnant women from six departments in Haiti, Trop Med Int Health, 22, pp. 1030-1036, (2017); Uneke CJ., Diagnosis of Plasmodium falciparum malaria in pregnancy in sub-Saharan Africa: the challenges and public health implications, Parasitol Res, 102, pp. 333-342, (2008); Leke RFG, Djokam RR, Mbu R, Leke RJ, Fogako J, Megnekou R, Et al., Detection of the Plasmodium falciparum Antigen Histidine-Rich Protein 2 in Blood of Pregnant Women: Implications for Diagnosing Placental Malaria, J Clin Microbiol, 37, pp. 2992-2996, (1999); Mayor A, Moro L, Aguilar R, Bardaji A, Cistero P, Serra-Casas E, Et al., How hidden can malaria be in pregnant women?. Diagnosis by microscopy, placental histology, polymerase chain reaction and detection of histidine-rich protein 2 in plasma, Clin Infect Dis Off Publ Infect Dis Soc Am, 54, pp. 1561-1568, (2012); Mosha JF, Sturrock HJ, Greenhouse B, Greenwood B, Sutherland CJ, Gadalla N, Et al., Epidemiology of subpatent Plasmodium falciparum infection: implications for detection of hotspots with imperfect diagnostics, Malar J, 12, (2013); Okell LC, Ghani AC, Lyons E, Drakeley CJ., Submicroscopic infection in Plasmodium falciparumendemic populations: a systematic review and meta-analysis, J Infect Dis, 200, pp. 1509-1517, (2009); Mikomangwa WP, Minzi O, Mutagonda R, Baraka V, Mlugu EM, Aklillu E, Et al., Effect of sulfadoxinepyrimethamine doses for prevention of malaria during pregnancy in hypoendemic area in Tanzania, Malar J, 19, (2020); Sridaran S, McClintock SK, Syphard LM, Herman KM, Barnwell JW, Udhayakumar V., Anti-folate drug resistance in Africa: meta-analysis of reported dihydrofolate reductase (dhfr) and dihydropteroate synthase (dhps) mutant genotype frequencies in African Plasmodium falciparum parasite populations, Malar J, 9, pp. 1-22, (2010); Harrington WE, Mutabingwa TK, Kabyemela E, Fried M, Duffy PE., Intermittent treatment to prevent pregnancy malaria does not confer benefit in an area of widespread drug resistance, Clin Infect Dis Off Publ Infect Dis Soc Am, 53, pp. 224-230, (2011); Apinjoh TO, Anchang-Kimbi JK, Mugri RN, Njua-Yafi C, Tata RB, Chi HF, Et al., Determinants of Infant Susceptibility to Malaria During the First Year of Life in South Western Cameroon, Open Forum Infect Dis, 2, (2015); Anchang-Kimbi JK, Kalaji LN, Mbacham HF, Wepnje GB, Apinjoh TO, Sumbele IUN, Et al., Coverage and effectiveness of intermittent preventive treatment in pregnancy with sulfadoxine-pyrimethamine (IPTp-SP) on adverse pregnancy outcomes in the Mount Cameroon area, South West Cameroon, Malar J, 19, pp. 1-12, (2020); Jaramillo-Ochoa R, Sippy R, Farrell DF, Cueva-Aponte C, Beltran-Ayala E, Gonzaga JL, Et al., Effects of Political Instability in Venezuela on Malaria Resurgence at Ecuador-Peru Border, 2018, Emerg Infect Dis, 25, pp. 834-836, (2019); Apinjoh TO, Tata RB, Anchang-Kimbi JK, Chi HF, Fon EM, Mugri RN, Et al., Plasmodium falciparum merozoite surface protein 1 block 2 gene polymorphism in field isolates along the slope of mount Cameroon: a cross-sectional study, BMC Infect Dis, 15, (2015); Bigoga JD, Manga L, Titanji VP, Coetzee M, Leke RG., Malaria vectors and transmission dynamics in coastal south-western Cameroon, Malar J, 6, pp. 1-12, (2007); Wanji S, Tanke T, Atanga SN, Ajonina C, Nicholas T, Fontenille D., Anopheles species of the mount Cameroon region: biting habits, feeding behaviour and entomological inoculation rates, Trop Med Int Health TM IH, 8, pp. 643-649, (2003); Cheesbrough M., District Laboratory Practice in Tropical Countries, (2006); Apinjoh TO, Anchang-Kimbi JK, Njua-Yafi C, Ngwai AN, Mugri RN, Clark TG, Et al., Association of candidate gene polymorphisms and TGF-beta/IL-10 levels with malaria in three regions of Cameroon: a case-control study, Malar J, 13, (2014); Achidi EA, Apinjoh TO, Mbunwe E, Besingi R, Yafi C, Awah NW, Et al., Febrile status, malarial parasitaemia and gastro-intestinal helminthiases in schoolchildren resident at different altitudes, in south-western Cameroon, Ann Trop Med Parasitol, 102, pp. 103-118, (2008); Malaria microscopy quality assurance manual, (2016); Walsh PS, Metzger DA, Higuchi R., Chelex 100 as a medium for simple extraction of DNA for PCRbased typing from forensic material, BioTechniques, 10, pp. 506-513, (1991); Snounou G, Viriyakosol S, Zhu XP, Jarra W, Pinheiro L, do Rosario VE, Et al., High sensitivity of detection of human malaria parasites by the use of nested polymerase chain reaction, Mol Biochem Parasitol, 61, pp. 315-320, (1993); Stanisic DI, Fowkes FJI, Koinari M, Javati S, Lin E, Kiniboro B, Et al., Acquisition of Antibodies against Plasmodium falciparum Merozoites and Malaria Immunity in Young Children and the Influence of Age, Force of Infection, and Magnitude of Response, Infect Immun, 83, pp. 646-660, (2015); Mosha JF, Sturrock HJW, Greenhouse B, Greenwood B, Sutherland CJ, Gadalla N, Et al., Epidemiology of subpatent Plasmodium falciparum infection: implications for detection of hotspots with imperfect diagnostics, Malar J, 12, (2013); Unger HW, Rosanas-Urgell A, Robinson LJ, Ome-Kaius M, Jally S, Umbers AJ, Et al., Microscopic and submicroscopic Plasmodium falciparum infection, maternal anaemia and adverse pregnancy outcomes in Papua New Guinea: a cohort study, Malar J, 18, pp. 1-9, (2019); Mayor A, Moro L, Aguilar R, Bardaji A, Cistero P, Serra-Casas E, Et al., How hidden can malaria be in pregnant women?. Diagnosis by microscopy, placental histology, polymerase chain reaction and detection of histidine-rich protein 2 in plasma, Clin Infect Dis Off Publ Infect Dis Soc Am, 54, pp. 1561-1568, (2012); Mockenhaupt FP, Rong B, Till H, Eggelte TA, Beck S, Gyasi-Sarpong C, Et al., Submicroscopic Plasmodium falciparum infections in pregnancy in Ghana, Trop Med Int Health TM IH, 5, pp. 167-173, (2000); Jarra W, Snounou G., Only Viable Parasites Are Detected by PCR following Clearance of Rodent Malarial Infections by Drug Treatment or Immune Responses, Infect Immun, 66, pp. 3783-3787, (1998); Bottius E, Guanzirolli A, Trape JF, Rogier C, Konate L, Druilhe P., Malaria: even more chronic in nature than previously thought; evidence for subpatent parasitaemia detectable by the polymerase chain reaction, Trans R Soc Trop Med Hyg, 90, pp. 15-19, (1996); Wagner G, Koram K, McGuinness D, Bennett S, Nkrumah F, Riley E., High incidence of asymptomatic malara infections in a birth cohort of children less than one year of age in Ghana, detected by multicopy gene polymerase chain reaction, Am J Trop Med Hyg, 59, pp. 115-123, (1998); Okell LC, Bousema T, Griffin JT, Ouedraogo AL, Ghani AC, Drakeley CJ., Factors determining the occurrence of submicroscopic malaria infections and their relevance for control, Nat Commun, 3, (2012); Goncalves BP, Drakeley C, Bousema T., Infectivity of Microscopic and Submicroscopic Malaria Parasite Infections in Areas of Low Malaria Endemicity, J Infect Dis, 213, pp. 1516-1517, (2016); Menendez C, Bardaji A, Sigauque B, Sanz S, Aponte JJ, Mabunda S, Et al., Malaria prevention with IPTp during pregnancy reduces neonatal mortality, PloS One, 5, (2010); Gamble C, Ekwaru PJ, Garner P, Kuile FO, Insecticide-Treated Nets for the Prevention of Malaria in Pregnancy: A Systematic Review of Randomised Controlled Trials, PLOS Med, 4, (2007); Dionne-Odom J, Westfall AO, Apinjoh TO, Anchang-Kimbi J, Achidi EA, Tita ATN., Predictors of the use of interventions to prevent malaria in pregnancy in Cameroon, Malar J, 16, (2017); Tanzania-Malaria Operational Plan FY, (2019); Exavery A, Mbaruku G, Mbuyita S, Makemba A, Kinyonge IP, Kweka H., Factors affecting uptake of optimal doses of sulphadoxine-pyrimethamine for intermittent preventive treatment of malaria in pregnancy in six districts of Tanzania, Malar J, 13, (2014); Diagne N, Rogier C, Cisse B, Trape JF., Incidence of clinical malaria in pregnant women exposed to intense perennial transmission, Trans R Soc Trop Med Hyg, 91, pp. 166-170, (1997); Steketee RW, Wirima JJ, Slutsker L, Breman JG, Heymann DL., Comparability of treatment groups and risk factors for parasitemia at the first antenatal clinic visit in a study of malaria treatment and prevention in pregnancy in rural Malawi, Am J Trop Med Hyg, 55, pp. 17-23, (1996); Reeder JC, Cowman AF, Davern KM, Beeson JG, Thompson JK, Rogerson SJ, Et al., The adhesion of Plasmodium falciparum-infected erythrocytes to chondroitin sulfate A is mediated by P. falciparum erythrocyte membrane protein 1, Proc Natl Acad Sci U S A, 96, pp. 5198-5202, (1999); Fried M, Duffy PE., Adherence of Plasmodium falciparum to chondroitin sulfate A in the human placenta, Science, 272, pp. 1502-1504, (1996); Fried M, Nosten F, Brockman A, Brabin BJ, Duffy PE., Maternal antibodies block malaria, Nature, 395, pp. 851-852, (1998); Kayentao K, Garner P, van Eijk AM, Naidoo I, Roper C, Mulokozi A, Et al., Intermittent Preventive Therapy for Malaria During Pregnancy Using 2 vs 3 or More Doses of Sulfadoxine-Pyrimethamine and Risk of Low Birth Weight in Africa, JAMA, 309, pp. 594-604, (2013); Hommerich L, von Oertzen C, Bedu-Addo G, Holmberg V, Acquah PA, Eggelte TA, Et al., Decline of placental malaria in southern Ghana after the implementation of intermittent preventive treatment in pregnancy, Malar J, 6, (2007); Menendez C, D'Alessandro U, ter Kuile FO., Reducing the burden of malaria in pregnancy by preventive strategies, Lancet Infect Dis, 7, pp. 126-135, (2007); Chico RM, Dellicour S, Roman E, Mangiaterra V, Coleman J, Menendez C, Et al., Global Call to Action: maximize the public health impact of intermittent preventive treatment of malaria in pregnancy in sub-Saharan Africa, Malar J, 14, (2015); Fiedler U, Augustin HG., Angiopoietins: a link between angiogenesis and inflammation, Trends Immunol, 27, pp. 552-558, (2006)</t>
  </si>
  <si>
    <t xml:space="preserve">T.O. Apinjoh; Department of Biochemistry and Molecular Biology, University of Buea, Buea, Cameroon; email: apinjoh.tobias@ubuea.cm</t>
  </si>
  <si>
    <t xml:space="preserve">2-s2.0-85139339873</t>
  </si>
  <si>
    <t xml:space="preserve">Chang Y.-C.; Chiu Y.-W.; Chuang T.-W.</t>
  </si>
  <si>
    <t xml:space="preserve">Chang, Yung-Chun (55273381900); Chiu, Yu-Wen (57491206000); Chuang, Ting-Wu (6603108974)</t>
  </si>
  <si>
    <t xml:space="preserve">55273381900; 57491206000; 6603108974</t>
  </si>
  <si>
    <t xml:space="preserve">Linguistic Pattern–Infused Dual-Channel Bidirectional Long Short-term Memory With Attention for Dengue Case Summary Generation From the Program for Monitoring Emerging Diseases–Mail Database: Algorithm Development Study</t>
  </si>
  <si>
    <t xml:space="preserve">Background: Globalization and environmental changes have intensified the emergence or re-emergence of infectious diseases worldwide, such as outbreaks of dengue fever in Southeast Asia. Collaboration on region-wide infectious disease surveillance systems is therefore critical but difficult to achieve because of the different transparency levels of health information systems in different countries. Although the Program for Monitoring Emerging Diseases (ProMED)–mail is the most comprehensive international expert–curated platform providing rich disease outbreak information on humans, animals, and plants, the unstructured text content of the reports makes analysis for further application difficult. Objective: To make monitoring the epidemic situation in Southeast Asia more efficient, this study aims to develop an automatic summary of the alert articles from ProMED-mail, a huge textual data source. In this paper, we proposed a text summarization method that uses natural language processing technology to automatically extract important sentences from alert articles in ProMED-mail emails to generate summaries. Using our method, we can quickly capture crucial information to help make important decisions regarding epidemic surveillance. Methods: Our data, which span a period from 1994 to 2019, come from the ProMED-mail website. We analyzed the collected data to establish a unique Taiwan dengue corpus that was validated with professionals’ annotations to achieve almost perfect agreement (Cohen κ=90%). To generate a ProMED-mail summary, we developed a dual-channel bidirectional long short-term memory with attention mechanism with infused latent syntactic features to identify key sentences from the alerting article. Results: Our method is superior to many well-known machine learning and neural network approaches in identifying important sentences, achieving a macroaverage F1 score of 93%. Moreover, it can successfully extract the relevant correct information on dengue fever from a ProMED-mail alerting article, which can help researchers or general users to quickly understand the essence of the alerting article at first glance. In addition to verifying the model, we also recruited 3 professional experts and 2 students from related fields to participate in a satisfaction survey on the generated summaries, and the results show that 84% (63/75) of the summaries received high satisfaction ratings. Conclusions: The proposed approach successfully fuses latent syntactic features into a deep neural network to analyze the syntactic, semantic, and contextual information in the text. It then exploits the derived information to identify crucial sentences in the ProMED-mail alerting article. The experiment results show that the proposed method is not only effective but also outperforms the compared methods. Our approach also demonstrates the potential for case summary generation from ProMED-mail alerting articles. In terms of practical application, when a new alerting article arrives, our method can quickly identify the relevant case information, which is the most critical part, to use as a reference or for further analysis. © Yung-Chun Chang, Yu-Wen Chiu, Ting-Wu Chuang.</t>
  </si>
  <si>
    <t xml:space="preserve">JMIR Public Health and Surveillance</t>
  </si>
  <si>
    <t xml:space="preserve">JMIR Publications Inc.</t>
  </si>
  <si>
    <t xml:space="preserve">e34583</t>
  </si>
  <si>
    <t xml:space="preserve">10.2196/34583</t>
  </si>
  <si>
    <t xml:space="preserve">https://www.scopus.com/inward/record.uri?eid=2-s2.0-85134399605&amp;doi=10.2196%2f34583&amp;partnerID=40&amp;md5=34f5db0e35105ebf3637f8c2bf9ea326</t>
  </si>
  <si>
    <t xml:space="preserve">Graduate Institute of Data Science, Taipei Medical University, Taipei, Taiwan; Clinical Big Data Research Center, Taipei Medical University Hospital, Taipei, Taiwan; Department of Molecular Parasitology and Tropical Diseases, School of Medicine, College of Medicine, Taipei Medical University, Taipei, Taiwan</t>
  </si>
  <si>
    <t xml:space="preserve">Chang Y.-C., Graduate Institute of Data Science, Taipei Medical University, Taipei, Taiwan, Clinical Big Data Research Center, Taipei Medical University Hospital, Taipei, Taiwan; Chiu Y.-W., Graduate Institute of Data Science, Taipei Medical University, Taipei, Taiwan, Department of Molecular Parasitology and Tropical Diseases, School of Medicine, College of Medicine, Taipei Medical University, Taipei, Taiwan; Chuang T.-W., Department of Molecular Parasitology and Tropical Diseases, School of Medicine, College of Medicine, Taipei Medical University, Taipei, Taiwan</t>
  </si>
  <si>
    <t xml:space="preserve">bidirectional long short-term memory; dengue; dual channel; natural language processing; ProMED-mail</t>
  </si>
  <si>
    <t xml:space="preserve">Algorithms; Animals; Communicable Diseases; Dengue; Humans; Linguistics; Memory, Short-Term; Postal Service; algorithm; animal; communicable disease; dengue; human; linguistics; postal mail; short term memory</t>
  </si>
  <si>
    <t xml:space="preserve">Ministry of Science and Technology, Taiwan, MOST, (108-2638-H-002-002-MY2, MOST 109-2410-H-038-012-MY2)</t>
  </si>
  <si>
    <t xml:space="preserve">This research was supported by the Ministry of Science and Technology of Taiwan (MOST 108-2638-H-002-002-MY2 and MOST 109-2410-H-038-012-MY2).</t>
  </si>
  <si>
    <t xml:space="preserve">Johansson MA, Cummings DA, Glass GE., Multiyear climate variability and dengue-El Niño southern oscillation, weather, and dengue incidence in Puerto Rico, Mexico, and Thailand: a longitudinal data analysis, PLoS Med, 6, 11, (2009); Kovats RS, Bouma MJ, Hajat S, Worrall E, Haines A., El Niño and health, Lancet, 362, 9394, pp. 1481-1489, (2003); Petersen LR, Jamieson DJ, Powers AM, Honein MA., Zika Virus, N Engl J Med, 374, 16, pp. 1552-1563, (2016); Patz JA, Olson SH., Malaria risk and temperature: influences from global climate change and local land use practices, Proc Natl Acad Sci U S A, 103, 15, pp. 5635-5636, (2006); Ebi KL, Nealon J., Dengue in a changing climate, Environ Res, 151, pp. 115-123, (2016); Chuang T, Soble A, Ntshalintshali N, Mkhonta N, Seyama E, Mthethwa S, Et al., Assessment of climate-driven variations in malaria incidence in Swaziland: toward malaria elimination, Malar J, 16, 1, (2017); Wesolowski A, Qureshi T, Boni MF, Sundsoy PR, Johansson MA, Rasheed SB, Et al., Impact of human mobility on the emergence of dengue epidemics in Pakistan, Proc Natl Acad Sci U S A, 112, 38, pp. 11887-11892, (2015); ProMED; Morse SS, Rosenberg BH, Woodall J., ProMED global monitoring of emerging diseases: design for a demonstration program, Health Policy, 38, 3, pp. 135-153, (1996); Chase V., ProMED: a global early warning system for disease, Environ Health Perspect, 104, 7, (1996); Carrion M, Madoff LC., ProMED-mail: 22 years of digital surveillance of emerging infectious diseases, Int Health, 9, 3, pp. 177-183, (2017); Ginsberg J, Mohebbi MH, Patel RS, Brammer L, Smolinski MS, Brilliant L., Detecting influenza epidemics using search engine query data, Nature, 457, 7232, pp. 1012-1014, (2009); Cai O, Sousa-Pinto B., United States influenza search patterns since the emergence of COVID-19: infodemiology study, JMIR Public Health Surveill, 8, 3, (2022); Husnayain A, Chuang T, Fuad A, Su EC., High variability in model performance of Google relative search volumes in spatially clustered COVID-19 areas of the USA, Int J Infect Dis, 109, pp. 269-278, (2021); Castillo-Salgado C., Trends and directions of global public health surveillance, Epidemiol Rev, 32, 1, pp. 93-109, (2010); Madoff LC., ProMED-mail: an early warning system for emerging diseases, Clin Infect Dis, 39, 2, pp. 227-232, (2004); Lorthe TS, Pollack MP, Lassmann B, Brownstein JS, Cohn E, Divi N, Et al., Evaluation of the EpiCore outbreak verification system, Bull World Health Organ, 96, 5, pp. 327-334, (2018); Milne-Price S, Miazgowicz KL, Munster VJ., The emergence of the Middle East respiratory syndrome coronavirus, Pathog Dis, 71, 2, pp. 121-136, (2014); Lessler J, Moore SM, Luquero FJ, McKay HS, Grais R, Henkens M, Et al., Mapping the burden of cholera in sub-Saharan Africa and implications for control: an analysis of data across geographical scales, Lancet, 391, pp. 1908-1915, (2018); Tarnas MC, Desai AN, Lassmann B, Abbara A., Increase in vector-borne disease reporting affecting humans and animals in Syria and neighboring countries after the onset of conflict: a ProMED analysis 2003-2018, Int J Infect Dis, 102, pp. 103-109, (2021); Chatziprodromidou IP, Arvanitidou M, Guitian J, Apostolou T, Vantarakis G, Vantarakis A., Global avian influenza outbreaks 2010-2016: a systematic review of their distribution, avian species and virus subtype, Syst Rev, 7, 1, (2018); Soriano JB., Clinical characteristics and prognostic factors for intensive care unit admission of patients with COVID-19: retrospective study using machine learning and natural language processing, J Med Internet Res, 22, 10, (2020); Jiao Y, Sharma A, Ben Abdallah A, Maddox TM, Kannampallil T., Probabilistic forecasting of surgical case duration using machine learning: model development and validation, J Am Med Inform Assoc, 27, 12, pp. 1885-1893, (2020); Manning C, Schutze H., Foundations of Statistical Natural Language Processing, (1999); Kim M, Chae K, Lee S, Jang H, Kim S., Automated classification of online sources for infectious disease occurrences using machine-learning-based natural language processing approaches, Int J Environ Res Public Health, 17, 24, (2020); Fernandes P, Allamanis M, Brockschmidt M., Structured neural summarization, Proceedings of the Structured neural summarization, (2019); Liu G, Guo J., Bidirectional LSTM with attention mechanism and convolutional layer for text classification, Neurocomputing, 337, pp. 325-338, (2019); Murray NE, Quam MB, Wilder-Smith A., Epidemiology of dengue: past, present and future prospects, Clin Epidemiol, 5, pp. 299-309, (2013); Guzman MG, Halstead SB, Artsob H, Buchy P, Farrar J, Gubler DJ, Et al., Dengue: a continuing global threat, Nat Rev Microbiol, 8, 12, pp. S7-16, (2010); Bhatt S, Gething PW, Brady OJ, Messina JP, Farlow AW, Moyes CL, Et al., The global distribution and burden of dengue, Nature, 496, 7446, pp. 504-507, (2013); Brady OJ, Gething PW, Bhatt S, Messina JP, Brownstein JS, Hoen AG, Et al., Refining the global spatial limits of dengue virus transmission by evidence-based consensus, PLoS Negl Trop Dis, 6, 8, (2012); Medical record. Wikipedia; Zhai C, Lafferty J., A study of smoothing methods for language models applied to ad hoc information retrieval, SIGIR Forum, 51, 2, pp. 268-276, (2017); Krallinger M, Rabal O, Lourenco A, Oyarzabal J, Valencia A., Information retrieval and text mining technologies for chemistry, Chem Rev, 117, 12, pp. 7673-7761, (2017); Marcos-Pablos S, Garcia-Penalvo FJ., Information retrieval methodology for aiding scientific database search, Soft Comput, 24, 8, pp. 5551-5560, (2018); Ricardo BY, Berthier RN., Modern Information Retrieval, (1999); Landis JR, Koch GG., The measurement of observer agreement for categorical data, Biometrics, 33, 1, pp. 159-174, (1977); McHugh ML., Interrater reliability: the kappa statistic, Biochem Med, 22, 3, pp. 276-282, (2012); Guba E, Lincoln Y., Effective Evaluation: Improving the Usefulness of Evaluation Results Through Responsive and Naturalistic Approaches, (2016); TMUDCC: Taipei Medical University Dengue Case Corpus; Natural Language Toolkit. NLTK; Schutze H, Manning C, Raghavan P., Introduction to Information Retrieval, (2008); Cheng Y, Chen Y, Yeh W, Chang Y., Valence and arousal-infused bi-directional LSTM for sentiment analysis of government social media management, Applied Sci, 11, 2, (2021); Chen C, Warikoo N, Chang YC, Chen JH, Hsu WL., Medical knowledge infused convolutional neural networks for cohort selection in clinical trials, J Am Med Inform Assoc, 26, 11, pp. 1227-1236, (2019); Wang H, Shi H, Lin K, Qin C, Zhao L, Huang Y, Et al., A high-precision arrhythmia classification method based on dual fully connected neural network, Biomedical Signal Process Control, 58, (2020); Hussain S, Mokhtar M, Howe JM., Sensor failure detection, identification, and accommodation using fully connected cascade neural network, IEEE Trans Ind Electron, 62, 3, pp. 1683-1692, (2015); Rumelhart DE, Hinton GE, Williams RJ., Learning representations by back-propagating errors, Nature, 323, 6088, pp. 533-536, (1986); Srivastava N, Hinton G, Krizhevsky A, Sutskever I, Salakhutdinov R., Dropout: a simple way to prevent neural networks from overfitting, J Mach Learn Res, 15, 1, pp. 1929-1958, (2014); Kingma D, Ba JL., Adam: a method for stochastic optimization, Proceedings of the ICLR 2015, (2015); Shore J, Johnson R., Axiomatic derivation of the principle of maximum entropy and the principle of minimum cross-entropy, IEEE Trans Inform Theory, 26, 1, pp. 26-37, (1980); Han J, Kamber M, Pei J., Data Mining: Concepts and Techniques, (2012); Chen T, Guestrin C., XGBoost: a scalable tree boosting system, 22nd ACM SIGKDD International Conference on Knowledge Discovery and Data Mining. 2016 Presented at: Proceedings of the 22nd ACM SIGKDD International Conference on Knowledge Discovery and Data Mining, (2016); Fan J, Wang X, Wu L, Zhou H, Zhang F, Yu X, Et al., Comparison of support vector machine and extreme gradient boosting for predicting daily global solar radiation using temperature and precipitation in humid subtropical climates: a case study in China, Energy Conversion Manag, 164, pp. 102-111, (2018); Rossi F, Conan-Guez B., Functional multi-layer perceptron: a non-linear tool for functional data analysis, Neural Netw, 18, 1, pp. 45-60, (2005); Liao S, Wang J, Yu R, Sato K, Cheng Z., CNN for situations understanding based on sentiment analysis of twitter data, Procedia Comput Sci, 111, pp. 376-381, (2017); Kim Y., Convolutional neural networks for sentence classification, Proceedings of the 2014 Conference on Empirical Methods in Natural Language Processing (EMNLP). 2014 Presented at: 2014 Conference on Empirical Methods in Natural Language Processing (EMNLP); Rish I., An empirical study of the naive Bayes classifier, Proceedings of the IJCAI 2001 workshop on empirical methods in artificial intelligence, (2001); Hand DJ, Yu K., Idiot's Bayes—not so stupid after all?, Int Stat Rev, 69, 3, pp. 385-398, (2001); Webb GI, Boughton JR, Wang Z., Not so Naive Bayes: aggregating one-dependence estimators, Mach Learn, 58, 1, pp. 5-24, (2005); Mitchell T., Machine Learning, (1997); Keras; Hull D., Using statistical testing in the evaluation of retrieval experiments, Proceedings of the 16th annual international ACM SIGIR conference on Research and development in information retrieval. 1993 Presented at: SIGIR93: 16th International ACM/SIGIR '93 Conference on Research and Development in Information Retrieval, (1993); Alphabetical list of part-of-speech tags used in the Penn Treebank Project, Penn Treebank; Nelson R., HealthMap: the future of infectious diseases surveillance?, Lancet Infectious Diseases, 8, 10, (2008); Valentin S, Mercier A, Lancelot R, Roche M, Arsevska E., Monitoring online media reports for early detection of unknown diseases: insight from a retrospective study of COVID-19 emergence, Transbound Emerg Dis, 68, 3, pp. 981-986, (2021); Rolland C, Lazarus C, Giese C, Monate B, Travert A, Salomon J., Early detection of public health emergencies of international concern through undiagnosed disease reports in ProMED-Mail, Emerg Infect Dis, 26, 2, pp. 336-339, (2020)</t>
  </si>
  <si>
    <t xml:space="preserve">T.-W. Chuang; Department of Molecular Parasitology and Tropical Diseases, School of Medicine, College of Medicine, Taipei Medical University, Taipei, No 250 Wu-Hsing Street, 110, Taiwan; email: chtingwu@tmu.edu.tw</t>
  </si>
  <si>
    <t xml:space="preserve">JMIR Publ. Heal. Surveil.</t>
  </si>
  <si>
    <t xml:space="preserve">2-s2.0-85134399605</t>
  </si>
  <si>
    <t xml:space="preserve">Rocha F.P.; Giesbrecht M.</t>
  </si>
  <si>
    <t xml:space="preserve">Rocha, Fernanda Paula (57966197100); Giesbrecht, Mateus (41261303800)</t>
  </si>
  <si>
    <t xml:space="preserve">57966197100; 41261303800</t>
  </si>
  <si>
    <t xml:space="preserve">Machine learning algorithms for dengue risk assessment: a case study for São Luís do Maranhão</t>
  </si>
  <si>
    <t xml:space="preserve">This study aims to assess dengue fever risk using Machine Learning techniques, such as logistic regressions, linear discriminant analyses, Naive Bayes, decision tree, and random forest classifiers. This kind of approach to epidemiological problems has been developed to detect risks for diseases occurrence and allows to create public policies based on mathematical models to prevent public health problems. In this study, the models were trained with data from the municipality of São Luís do Maranhão, state of Maranhão, Brazil. The majority of related works analyze states, countries, or continental levels, with greater availability of data. To apply the approach to such a small region, some oversampling techniques were used. The number of cases per neighborhood from 2014 to and 2020 and climatic, territorial, and environmental data was used as input variables to estimate the probability of dengue occurrence in the municipality. Due to the unbalanced database, we used the SMOTE, ADASYN, and DBSMOTE oversampling techniques. The DBSMOTE-trained Random Forest classifier achieved the best results with a 75.1% AUC, 75.43% sensitivity and a 60.53% specificity. © 2022, The Author(s) under exclusive licence to Sociedade Brasileira de Matemática Aplicada e Computacional.</t>
  </si>
  <si>
    <t xml:space="preserve">Computational and Applied Mathematics</t>
  </si>
  <si>
    <t xml:space="preserve">10.1007/s40314-022-02101-z</t>
  </si>
  <si>
    <t xml:space="preserve">https://www.scopus.com/inward/record.uri?eid=2-s2.0-85141934927&amp;doi=10.1007%2fs40314-022-02101-z&amp;partnerID=40&amp;md5=f245eee6d45965e04e6464ee77130a72</t>
  </si>
  <si>
    <t xml:space="preserve">Department of Electronics and Biomedical Engineering, Campinas State University, São Paulo, Campinas, Brazil</t>
  </si>
  <si>
    <t xml:space="preserve">Rocha F.P., Department of Electronics and Biomedical Engineering, Campinas State University, São Paulo, Campinas, Brazil; Giesbrecht M., Department of Electronics and Biomedical Engineering, Campinas State University, São Paulo, Campinas, Brazil</t>
  </si>
  <si>
    <t xml:space="preserve">Classification; Dengue; Logistic regression; Machine learning; Naive bayes; Random forest</t>
  </si>
  <si>
    <t xml:space="preserve">Decision trees; Discriminant analysis; Health risks; Logistic regression; Random forests; Risk assessment; Case-studies; Dengue; Logistics regressions; Machine learning algorithms; Machine-learning; Naive bayes; Oversampling technique; Random forest classifier; Random forests; Risks assessments; Machine learning</t>
  </si>
  <si>
    <t xml:space="preserve">Coordenação de Aperfeiçoamento de Pessoal de Nível Superior, CAPES, (88887.486268/2020-00)</t>
  </si>
  <si>
    <t xml:space="preserve">This work was supported by the Brazilian agency CAPES (Grant no. 88887.486268/2020-00). </t>
  </si>
  <si>
    <t xml:space="preserve">Instituto Nacional De Meteorologia Do Brasil - INMET (2021) Normas Climatológicas, (2021); Batista E., Araujo W., Lira R., Batista L., Predicting dengue cases through Machine Learning and Deep Learning: A systematic review, Res Soc Dev, e33101119347, (2021); Bogoch I., Brady O., Kraemer M., German M., Creatore M., Brent S., Watts A., Hay S., Kulkarni M., Brownstein J., Khan K., Potential for Zika virus introduction and transmission in resource-limited countries in Africa and the Asia-Pacific region: a modelling study, Lancet Infect Dis, 16, pp. 1237-1245, (2016); Brady O., Golding N., Pigott D., Kraemer M., Messina J., Reiner R., Scott T., Smith D., Gething P., Hay S., Global temperature constraints on Aedes aegypti and Ae. albopictus persistence and competence for dengue virus transmission, Parasites Vect, 7, pp. 1-17, (2014); Plano De contingência Nacional Para Epidemias De Dengue, (2021); Bunkhumpornpat C., Sinapiromsaran K., Lursinsap C., DBSMOTE: Density-Based Synthetic Minority Over-sampling TEchnique, Appl Intell, 36, pp. 664-684, (2011); Chawla N., Bowyer K., Hall L., Kegelmeyer W., SMOTE: Synthetic minority over-sampling technique, AI Access Foundation, (2002); Chumachenko D., Meniailov I., Bazilevych K., Chumachenko T., Yakovlev S., Investigation of statistical machine learning models for COVID-19 epidemic process simulation: random forest, k-nearest neighbors, gradient boosting, Computation, 10, (2022); Cutler D., Edwards T., Beard K., Cutler A., Hess K., Gibson J., Lawler J., Random forests for classification in ecology, Ecology, 88, pp. 2783-2792, (2007); Elith J., Leathwick J., Hastie T., A working guide to boosted regression trees, J Anim Ecol, 77, pp. 802-813, (2008); Finkenstadt B., Grenfell B., Time series modelling of childhood diseases: a dynamical systems approach, J R Stat Soc Ser C (Appl Stat), 49, pp. 187-205, (2000); Gareth J., Daniela W., Trevor H., Robert T., An introduction to statistical learning: with applications in R, (2013); Earth Engine Data Catalog, (2021); Gething P., Van Boeckel T., Smith D., Guerra C., Patil A., Snow R., Hay S., Modelling the global constraints of temperature on transmission of Plasmodium falciparum and P. vivax, Parasites Vect, 4, (2011); He H., Bai Y., Garcia E., Li S., ADASYN: Adaptive synthetic sampling approach for imbalanced learning. In: 2008 IEEE international joint conference on neural networks (IEEE world congress on computational intelligence), Pp 1322–1328, (2008); Hoyos W., Aguilar J., Toro M., Dengue models based on machine learning techniques: a systematic literature review, Artif Intell Med, 119, (2021); James G., Witten D., Hastie T., Tibshirani R., An Introduction to Statistical Learning: With Applications in R, pp. 59-126, (2013); Kotb M., Ming R., Comparing SMOTE family techniques in predicting insurance premium defaulting using machine learning models, Int J Adv Comput Sci Appl, (2021); Kraemer M., Perkins T., Cummings D., Zakar R., Hay S., Smith D., Reiner R., Big city, small world: density, contact rates, and transmission of dengue across Pakistan, J R Soc Interface, 12, (2015); Kraemer M., Golding N., Bisanzio D., Bhatt S., Pigott D., Faria N., Pybus O., Smith D., Tatem A., Hay S., Others predicting the geographic spread of the 2014–2016 west Africa Ebola virus disease outbreak, Am J Trop Med Hyg, 95, (2017); Kraemer M., Faria N., Reiner R., Golding N., Nikolay B., Stasse S., Johansson M., Salje H., Faye O., Wint G., Niedrig M., Shearer F., Hill S., Thompson R., Bisanzio D., Taveira N., Nax H., Pradelski B., Nsoesie E., Murphy N., Bogoch I., Khan K., Brownstein J., Tatem A., De Oliveira T., Smith D., Sall A., Pybus O., Hay S., Cauchemez S., Spread of yellow fever virus outbreak in Angola and the Democratic Republic of the Congo 2015–16: a modelling study, Lancet Infect Dis, 17, pp. 330-338, (2017); Lambrechts L., Scott T., Gubler D., Consequences of the expanding global distribution of Aedes albopictus for dengue virus transmission, PLoS Negl Trop Dis, 4, (2010); MacCormack-Gelles B., Lima Neto A., Sousa G., Do Nascimento O., Castro M., Evaluation of the usefulness of Aedes aegypti rapid larval surveys to anticipate seasonal dengue transmission between 2012–2015 in Fortaleza, Brazil, Acta Trop, 205, (2020); Messina J., Kraemer M., Brady O., Pigott D., Shearer F., Weiss D., Golding N., Ruktanonchai C., Gething P., Cohn E., Brownstein J., Khan K., Tatem A., Jaenisch T., Murray C., Marinho F., Scott T., Hay S., Mapping global environmental suitability for Zika virus, ELife, 5, (2016); Myles A., Feudale R., Liu Y., Woody N., Brown S., An introduction to decision tree modeling, J Chemom, 18, pp. 275-285, (2004); Dengue and Severe Dengue, (2022); Ozer I., Cetin O., Gorur K., Temurtas F., Improved machine learning performances with transfer learning to predicting need for hospitalization in arboviral infections against the small dataset, Neural Comput Appl, 33, pp. 14975-14989, (2021); Pigott D., Golding N., Mylne A., Huang Z., Henry A., Weiss D., Brady O., Kraemer M., Smith D., Moyes C., Bhatt S., Gething P., Horby P., Bogoch I., Brownstein J., Mekaru S., Tatem A., Khan K., Hay S., Mapping the zoonotic niche of Ebola virus disease in Africa, ELife, 3, (2014); Pigott D., Golding N., Mylne A., Huang Z., Weiss D., Brady O., Kraemer M., Hay S., Mapping the zoonotic niche of Marburg virus disease in Africa, Trans R Soc Trop Med Hyg, 109, pp. 366-378, (2015); Prati R., Batista G., Monard M., Curvas ROC para avaliação de classificadores, Rev IEEE Am Latina, 6, pp. 215-222, (2008); Ramachandran L., Rathnayaka R., Wickramaarachchi W., Finding the Best Feature Selection Method for Dengue Diagnosis Predictions, (2022); Rana S., Boruah A., Biswas S., Chakraborty M., Purkayastha B., Dengue fever prediction using machine learning analytics, 2022 International Conference on Machine Learning, Big Data, Cloud and Parallel Computing (COM-IT-CON), 1, pp. 126-130, (2022); Rocklov J., Quam M., Sudre B., German M., Kraemer M., Brady O., Bogoch I., Liu-Helmersson J., Wilder-Smith A., Semenza J., Ong M., Aaslav K., Khan K., Assessing seasonal risks for the introduction and mosquito-borne spread of zika virus in Europe, EBioMedicine, 9, pp. 250-256, (2016); Sarma D., Hossain S., Mittra T., Bhuiya M., Saha I., Chakma R., Dengue prediction using machine learning algorithms, 2020 IEEE 8Th R10 Humanitarian Technology Conference (R10-HTC), pp. 1-6, (2020); Silva F., Santos A., Correa R., Caldas A., Temporal relationship between rainfall, temperature and occurrence of dengue cases in São Luís, Maranhão, Brazil, Ciencia Saude Coletiva, 21, pp. 641-646, (2016); Simini F., Gonzalez M., Maritan A., Barabasi A., A universal model for mobility and migration patterns, Nature, 484, pp. 96-100, (2012); Uniao C.G.U.C.; Weiss G., Foundations of Imbalanced Learning. Imbalanc Learn, pp. 13-41, (2013); Wongkar M., Angdresey A., Sentiment analysis using naive bayes algorithm of the data crawler: Twitter, 2019 Fourth International Conference on Informatics and Computing (ICIC), pp. 1-5, (2019); Xanthopoulos P., Pardalos P., Trafalis T., Linear Discriminant Analysis, pp. 27-33, (2013); Xavier L., Honorio N., Pessanha J., Peiter P., Analysis of climate factors and dengue incidence in the metropolitan region of Rio de Janeiro, Brazil, PLoS One, 16, pp. 1-15, (2021)</t>
  </si>
  <si>
    <t xml:space="preserve">F.P. Rocha; Department of Electronics and Biomedical Engineering, Campinas State University, Campinas, São Paulo, Brazil; email: fernanda.rocha507@gmail.com</t>
  </si>
  <si>
    <t xml:space="preserve">Comput. Appl. Math.</t>
  </si>
  <si>
    <t xml:space="preserve">2-s2.0-85141934927</t>
  </si>
  <si>
    <t xml:space="preserve">Mishra S.; Kumar R.; Tiwari S.K.; Ranjan P.</t>
  </si>
  <si>
    <t xml:space="preserve">Mishra, Smriti (57912456500); Kumar, Ranjan (57198684699); Tiwari, Sanjay Kumar (57208342994); Ranjan, Priya (57062127700)</t>
  </si>
  <si>
    <t xml:space="preserve">57912456500; 57198684699; 57208342994; 57062127700</t>
  </si>
  <si>
    <t xml:space="preserve">Machine learning approaches in the diagnosis of infectious diseases: a review</t>
  </si>
  <si>
    <t xml:space="preserve">Infectious diseases are a group of medical conditions caused by infectious agents such as parasites, bacteria, viruses, or fungus. Patients who are undiagnosed may unwittingly spread the disease to others. Because of the transmission of these agents, epidemics, if not pandemics, are possible. Early detection can help to prevent the spread of an outbreak or put an end to it. Infectious disease prevention, early identification, and management can be aided by machine learning (ML) methods. The implementation of ML algorithms such as logistic regression, support vector machine, Naive Bayes, decision tree, random forest, K-nearest neighbor, artificial neural network, convolutional neural network, and ensemble techniques to automate the process of infectious disease diagnosis is investigated in this study. We examined a number of ML models for tuberculosis (TB), influenza, human immunodeficiency virus (HIV), dengue fever, COVID-19, cystitis, and nonspecific urethritis. Existing models have constraints in data handling concerns such data types, amount, quality, temporality, and availability. Based on the research, ensemble approaches, rather than a typical ML classifier, can be used to improve the overall performance of diagnosis. We highlight the need of having enough diverse data in the database to create a model or representation that closely mimics reality. © 2022, Institute of Advanced Engineering and Science. All rights reserved.</t>
  </si>
  <si>
    <t xml:space="preserve">10.11591/eei.v11i6.4225</t>
  </si>
  <si>
    <t xml:space="preserve">https://www.scopus.com/inward/record.uri?eid=2-s2.0-85139108670&amp;doi=10.11591%2feei.v11i6.4225&amp;partnerID=40&amp;md5=cae597994c7a74c6e6489af46c53bc1b</t>
  </si>
  <si>
    <t xml:space="preserve">Department of Computer Science, Gaya College, Gaya, India; Department of Computer Science, Aryabhatta College, University of Delhi, Delhi, India; Department of Mathematics, Magadh University, Bodhgaya, India; Department of Electrical and Electronics, Bhubaneswar Institute of Technology, Bhubaneswar, India</t>
  </si>
  <si>
    <t xml:space="preserve">Mishra S., Department of Computer Science, Gaya College, Gaya, India; Kumar R., Department of Computer Science, Aryabhatta College, University of Delhi, Delhi, India; Tiwari S.K., Department of Mathematics, Magadh University, Bodhgaya, India; Ranjan P., Department of Electrical and Electronics, Bhubaneswar Institute of Technology, Bhubaneswar, India</t>
  </si>
  <si>
    <t xml:space="preserve">Early diagnosis; Ensemble learning; Infectious diseases; Machine learning</t>
  </si>
  <si>
    <t xml:space="preserve">Balloux F., Dorp L. V., Q&amp;A: What are pathogens, and what have they done to and for us?, BMC Biology, 15, 1, pp. 1-6, (2017); Seventer J. M. V., Hochberg N. S., Principles of infectious diseases: transmission, diagnosis, prevention, and control, International encyclopedia of public health, (2017); Agrebi S., Larbi A., Use of artificial intelligence in infectious diseases, Artificial Intelligence in Precision Health, pp. 415-438, (2020); Liakos K. G., Busato P., Moshou D., Pearson S., Bochtis D., Machine learning in agriculture: A review, Sensors, 18, 8, (2018); Callahan A., Shah N. H., Machine learning in healthcare, Key Advances in Clinical Informatics: Transforming Health Care through Health Information Technology, pp. 279-291, (2017); Dada E. G., Bassi J. S., Chiroma H., Abdulhamid S. M., Adetunmbi A. O., Ajibuwa O. E., Machine learning for email spam filtering: review, approaches and open research problems, Heliyon, 5, 6, (2019); Cruz J. A., Wishart D. S., Applications of machine learning in cancer prediction and prognosis, Cancer informatics, 2, (2006); Battineni G., Sagaro G. G., Chinatalapudi N., Amenta F., Applications of machine learning predictive models in the chronic disease diagnosis, Journal of personalized medicine, 10, 2, (2020); Alballa N., -Turaiki I. A., Machine learning approaches in COVID-19 diagnosis, mortality, and severity risk prediction: A review, Informatics in Medicine Unlocked, 24, (2021); Kourou K., Exarchos T. P., Exarchos K. P., Karamouzis M. V., Fotiadis D. I., Machine learning applications in cancer prognosis and prediction, Computational and structural biotechnology journal, 13, pp. 8-17, (2015); Lu H., Uddin S., Hajati F., Moni M. A., Khushi M., A patient network-based machine learning model for disease prediction: The case of type 2 diabetes mellitus, Applied Intelligence, 52, 3, pp. 2411-2422, (2022); Taie S. A., Ghonaim W., A new model for early diagnosis of alzheimer’s disease based on bat-svm classifier, Bulletin of Electrical Engineering and Informatics, 10, 2, pp. 759-766, (2021); Hrizi O., Et al., Tuberculosis disease diagnosis based on an optimized machine learning model, Journal of Healthcare Engineering, 2022; Pholo M. D., Hamam Y., Khalaf A. B., Du C., Classifying lymphoma and tuberculosis case reports using machine learning algorithms, Bulletin of Electrical Engineering and Informatics, 10, 5, pp. 2857-2865, (2021); Abdulla S. H., Sagheer A. M., Veisi H., Breast cancer segmentation using K-means clustering and optimized region-growing technique, Bulletin of Electrical Engineering and Informatics, 11, 1, pp. 158-167, (2022); Saringat Z., Mustapha A., Saedudin R. D. R., Samsudin N. A., Comparative analysis of classification algorithms for chronic kidney disease diagnosis, Bulletin of Electrical Engineering and Informatics, 8, 4, pp. 1496-1501, (2019); Pandey S. K., Janghel R. R., Recent deep learning techniques, challenges and its applications for medical healthcare system: a review, Neural Processing Letters, 50, 2, pp. 1907-1935, (2019); Dahiwade D., Patle G., Meshram E., Designing disease prediction model using machine learning approach,  International Conference on Computing Methodologies and Communication, ICCMC 2019, pp. 1211-1215, (2019); Asan O., Bayrak A. E., Choudhury A., Artificial intelligence and human trust in healthcare: focus on clinicians, Journal of medical Internet research, 22, 6, (2020); Chandru A. S., Seetharam K., Framework for efficient transformation for complex medical data for improving analytical capability, International Journal of Electrical and Computer Engineering (IJECE), 10, 5, pp. 4853-4862, (2020); Ruano-Ravina J., Figueiras A., Montes-Martinez A., Barros-Dios A., Dose–response relationship between tobacco and lung cancer: new findings, European journal of cancer prevention, 12, 4, pp. 257-263, (2003); Altman N. S., An introduction to kernel and nearest-neighbor nonparametric regression, The American Statistician, 46, 3, pp. 175-185, (1992); Jamaluddin M. N. F., Et al., An Application of presumptive diagnosis for urinary tract infection via kNN algorithm approach, Charting the Sustainable Future of ASEAN in Science and Technology, pp. 377-388, (2020); Noble W. S., What is a support vector machine?, Nature Biotechnology, 24, 12, pp. 1565-1567, (2006); Jakkula V., Tutorial on support vector machine (SVM), School of EECS, Washington State University, 37, 2, pp. 1-13, (2011); Auria L., Moro R. A., Support vector machines (SVM) as a technique for solvency analysis, SSRN Electron. J, (2008); Akbar S. A., Ghazali K. H., Hasan H., Mohamed Z., Aji W. S., Yudhana A., Rapid bacterial colony classification using deep learning, Indonesian Journal of Electrical Engineering and Computer Science, 6, 1, pp. 352-361, (2022); Murthy S. K., Automatic construction of decision trees from data: A multi-disciplinary survey, Data mining and knowledge discovery, 2, 4, pp. 345-389, (1998); Myles A. J., Feudale R. N., Liu Y., Woody N. A., Brown S. D., An introduction to decision tree modeling, Journal of Chemometrics: A Journal of the Chemometrics Society, 18, 6, pp. 275-285, (2004); Dudkina T., Meniailov I., Bazilevych K., Krivtsov S., Tkachenko A., Classification and prediction of diabetes disease using decision tree method, CEUR Workshop Proceedings, 2824, pp. 163-172, (2021); Murty M. N., Devi V. S., Pattern Recognition, (2011); Arafiyah R., Hermin F., Kartika I. R., Alimuddin A., Saraswati I., Classification of dengue haemorrhagic fever (DHF) using SVM, naive bayes and random forest, IOP Conference Series: Materials Science and Engineering, 434, 1, (2018); Basheer I. A., Hajmeer M., Artificial neural networks: Fundamentals, computing, design, and application, Journal of microbiological methods, 43, 1, pp. 3-31, (2000); Liu T., Fang S., Zhao Y., Wang P., Zhang J., Implementation of training convolutional neural networks, (2015); Musha A., Al Mamun A., Tahabilder A., Hossen J., Jahan B., Ranjbari S., A deep learning approach for COVID-19 and pneumonia detection from chest X-ray images, International Journal of Electrical and Computer Engineering (IJECE), 12, 4, pp. 3655-3664, (2022); Chaithanya B. N., Jain T. J. S., Ruby A. U., Parveen A., An approach to categorize chest X-ray images using sparse categorical cross entropy, Indonesian Journal of Electrical Engineering and Computer Science, 24, 3, pp. 1700-1710, (2021); Masadeh M., Masadeh A., Alshorman O., Khasawneh F. H., Masadeh M. A., An efficient machine learning-based COVID-19 identification utilizing chest X-ray images, IAES International Journal of Artificial Intelligence (IJ-AI), 11, 1, pp. 356-366, (2022); Mahdy L. N., El Seddawy A. I. B., Ezzat K. A., Automatic COVID-19 lung images classification system based on convolution neural network, International Journal of Electrical and Computer Engineering (IJECE), 12, 5, pp. 5573-5579, (2022); Ahmed E. H., Alsemawi M. R. M., Mutar M. H., Hanoosh H. O., Abbas A. H., Convolutional neural network for the detection of coronavirus based on X-ray images, Indonesian Journal of Electrical Engineering and Computer Science, 26, 1, pp. 37-45, (2022); Hwa S. K. T., Bade A., Hijazi M. H. A., Jeffree M. S., Tuberculosis detection using deep learning and contrast-enhanced canny edge detected X-Ray images, IAES International Journal of Artificial Intelligence (IJ-AI), 9, 4, pp. 713-720, (2020); Sarkar D., Bali R., Sharma T., Practical Machine Learning with Python, (2018); Fuhad K. M. F., Tuba J. F., Sarker M. R. A., Momen S., Mohammed N., Rahman T., Deep learning based automatic malaria parasite detection from blood smear and its smartphone based application, Diagnostics, 10, 5, (2020); Osamor V. C., Okezie A. F., Enhancing the weighted voting ensemble algorithm for tuberculosis predictive diagnosis, Scientific Reports, 11, 1, pp. 1-11, (2021); Marquez E., Barron V., Artificial intelligence system to support the clinical decision for influenza, 2019 IEEE International Autumn Meeting on Power, Electronics and Computing, ROPEC, pp. 1-5, (2019); Zoabi Y., Deri-Rozov S., Shomron N., Machine learning-based prediction of COVID-19 diagnosis based on symptoms, npj digital medicine, 4, 1, pp. 1-5, (2021); Yousif A. Y., Younis S. M., Hussein S. A., Al-Saidi N. M. G., An intelligent computing for diagnosing covid-19 using available blood tests, International Journal of Innovative Computing, Information and Control, 18, 1, pp. 57-72, (2022); Muhammad L. J., Algehyne E. A., Usman S. S., Ahmad A., Chakraborty C., Mohammed I. A., Supervised machine learning models for prediction of COVID-19 infection using epidemiology dataset, S SN computer science, 2, 1, pp. 1-13, (2021); Mienye I. D., Sun Y., Wang Z., An improved ensemble learning approach for the prediction of heart disease risk, Informatics in Medicine Unlocked, 20, (2020); Ahsan M. M., Luna S. A., Siddique Z., Machine-learning-based disease diagnosis: a comprehensive review, Healthcare, 10, 3, (2022); Li W. T., Et al., Using machine learning of clinical data to diagnose COVID-19, BMC medical informatics and decision making, 20, 1, (2020); Shoer S., Et al., A prediction model to prioritize individuals for a SARS-CoV-2 test built from national symptom surveys, Med, 2, 2, pp. 196-208, (2021); Alakus T. B., Turkoglu I., Comparison of deep learning approaches to predict COVID-19 infection, Chaos, Solitons and Fractals, 140, (2020); Kumar N., Das N. N., Gupta D., Gupta K., Bindra J., Efficient automated disease diagnosis using machine learning models, Journal of Healthcare Engineering, 2021; Ozkan I. A., Koklu M., Sert I. U., Diagnosis of urinary tract infection based on artificial intelligence methods, Computer methods and programs in biomedicine, 166, pp. 51-59, (2018); Ali M. H., Khan D. M., Jamal K., Ahmad Z., Manzoor S., Khan Z., Prediction of Multidrug-resistant tuberculosis using machine learning algorithms in SWAT, Pakistan, Journal of healthcare engineering, 2021; Mutai C. K., McSharry P. E., Ngaruye I., Musabanganji E., Use of machine learning techniques to identify HIV predictors for screening in sub-Saharan Africa, BMC medical research methodology, 21, 1, pp. 1-11, (2021); Maheshwari S., Sharma A., Kumar R., Pratyush, Early detection of influenza using machine learning techniques, Recent Innovations in Computing, pp. 111-124, (2022); Ahmed A. H., Al-Hamadani M. N. A., Satam I. A., Prediction of COVID-19 disease severity using machine learning techniques, Bulletin of Electrical Engineering and Informatics, 11, 2, pp. 1069-1074, (2022); Hwa S. K. T., Hijazi M. H. A., Bade A., Yaakob R., Jeffree M. S., Ensemble deep learning for tuberculosis detection using chest X-Ray and canny edge detected images, IAES International Journal of Artificial Intelligence (IJ-AI), 8, 4, pp. 429-435, (2019); Nugroho R. A., Nugraha A. S., Al Rasyid A., Rahayu F. W., Improvement on KNN using genetic algorithm and combined feature extraction to identify COVID-19 sufferers based on CT scan image, TELKOMNIKA Telecommunication, Computing, Electronics and Control, 19, 5, pp. 1581-1587, (2021); Al-Smadi M., Hammad M., Baker Q. B., Tawalbeh S. K., Al-Zboon S. A., Transfer deep learning approach for detecting coronavirus disease in X-ray images, International Journal of Electrical and Computer Engineering (IJECE), 11, 6, pp. 4999-5008, (2021); Miotto R., Wang F., Wang S., Jiang X., Dudley J. T., Deep learning for healthcare: review, opportunities and challenges, Briefings in bioinformatics, 19, 6, pp. 1236-1246, (2017); Chen M., Hao Y., Hwang K., Wang L., Wang L., Disease prediction by machine learning over big data from healthcare communities, IEEE Access, 5, pp. 8869-8879, (2017)</t>
  </si>
  <si>
    <t xml:space="preserve">R. Kumar; Department of Computer Science, Aryabhatta College, University of Delhi, New Delhi, Benito Juarez Road, Delhi-110021, India; email: pranjan@gmail.com</t>
  </si>
  <si>
    <t xml:space="preserve">2-s2.0-85139108670</t>
  </si>
  <si>
    <t xml:space="preserve">Ashraf S.; Khalid A.; de Vos A.L.; Feng Y.; Rohrbach P.; Hasan T.</t>
  </si>
  <si>
    <t xml:space="preserve">Ashraf, Shoaib (56079885200); Khalid, Areeba (57220046595); de Vos, Arend L. (57413861700); Feng, Yanfang (56308579900); Rohrbach, Petra (7004126234); Hasan, Tayyaba (7101783278)</t>
  </si>
  <si>
    <t xml:space="preserve">56079885200; 57220046595; 57413861700; 56308579900; 7004126234; 7101783278</t>
  </si>
  <si>
    <t xml:space="preserve">Malaria Detection Accelerated: Combing a High-Throughput NanoZoomer Platform with a ParasiteMacro Algorithm</t>
  </si>
  <si>
    <t xml:space="preserve">Eradication of malaria, a mosquito-borne parasitic disease that hijacks human red blood cells, is a global priority. Microscopy remains the gold standard hallmark for diagnosis and estimation of parasitemia for malaria, to date. However, this approach is time-consuming and requires much expertise especially in malaria-endemic countries or in areas with low-density malaria infection. Thus, there is a need for accurate malaria diagnosis/parasitemia estimation with standardized, fast, and more reliable methods. To this end, we performed a proof-of-concept study using the automated imaging (NanoZoomer) platform to detect the malarial parasite in infected blood. The approach can be used as a steppingstone for malaria diagnosis and parasitemia estimation. Additionally, we created an algorithm (ParasiteMacro) compatible with free online imaging software (ImageJ) that can be used with low magnification objectives (e.g., 5×, 10×, and 20×) both in the NanoZoomer and routine microscope. The novel approach to estimate malarial parasitemia based on modern technologies compared to manual light microscopy demonstrated 100% sensitivity, 87% specificity, a 100% negative predictive value (NPV) and a 93% positive predictive value (PPV). The manual and automated malaria counts showed a good Pearson correlation for low- (R2 = 0.9377, r = 0.9683 and p &lt; 0.0001) as well as high- parasitemia (R2 = 0.8170, r = 0.9044 and p &lt; 0.0001) with low estimation errors. Our robust strategy that identifies and quantifies malaria can play a pivotal role in disease control strategies. © 2022 by the authors.</t>
  </si>
  <si>
    <t xml:space="preserve">Pathogens</t>
  </si>
  <si>
    <t xml:space="preserve">10.3390/pathogens11101182</t>
  </si>
  <si>
    <t xml:space="preserve">https://www.scopus.com/inward/record.uri?eid=2-s2.0-85140621984&amp;doi=10.3390%2fpathogens11101182&amp;partnerID=40&amp;md5=8a56d0a750282b70b33f9f64a9bf06c2</t>
  </si>
  <si>
    <t xml:space="preserve">Wellman Center for Photomedicine, Massachusetts General Hospital, Harvard Medical School, 40 Blossom Street, Boston, 02114, MA, United States; Department of Animal Science, McGill University, Sainte-Anne-de-Bellevue, H9X3V9, QC, Canada; Department of Computer Science, Mathematics Adelphi University, Garden City, 11530, NY, United States; Department of Biomedical Engineering, Tufts University, Medford, 02155, OR, United States; Swammerdam Institute of Life Sciences, University of Amsterdam, Science Park 904, Amsterdam, 1098 XH, Netherlands; Institute of Parasitology, McGill University, Sainte-Anne-de-Bellevue, H9X3V9, QC, Canada; Health Sciences and Technology, Massachusetts Institute of Technology, Cambridge, 02139, MA, United States</t>
  </si>
  <si>
    <t xml:space="preserve">Ashraf S., Wellman Center for Photomedicine, Massachusetts General Hospital, Harvard Medical School, 40 Blossom Street, Boston, 02114, MA, United States, Department of Animal Science, McGill University, Sainte-Anne-de-Bellevue, H9X3V9, QC, Canada; Khalid A., Wellman Center for Photomedicine, Massachusetts General Hospital, Harvard Medical School, 40 Blossom Street, Boston, 02114, MA, United States, Department of Computer Science, Mathematics Adelphi University, Garden City, 11530, NY, United States, Department of Biomedical Engineering, Tufts University, Medford, 02155, OR, United States; de Vos A.L., Wellman Center for Photomedicine, Massachusetts General Hospital, Harvard Medical School, 40 Blossom Street, Boston, 02114, MA, United States, Swammerdam Institute of Life Sciences, University of Amsterdam, Science Park 904, Amsterdam, 1098 XH, Netherlands; Feng Y., Wellman Center for Photomedicine, Massachusetts General Hospital, Harvard Medical School, 40 Blossom Street, Boston, 02114, MA, United States; Rohrbach P., Institute of Parasitology, McGill University, Sainte-Anne-de-Bellevue, H9X3V9, QC, Canada; Hasan T., Wellman Center for Photomedicine, Massachusetts General Hospital, Harvard Medical School, 40 Blossom Street, Boston, 02114, MA, United States, Health Sciences and Technology, Massachusetts Institute of Technology, Cambridge, 02139, MA, United States</t>
  </si>
  <si>
    <t xml:space="preserve">algorithm; Giemsa-staining; malaria; microscopy; NanoZoomer; parasite; ParasiteMacro; parasitemia; Plasmodium falciparum</t>
  </si>
  <si>
    <t xml:space="preserve">algorithm; Article; blood smear; controlled study; diagnostic test accuracy study; Giemsa stain; high throughput analysis; Leishmania; machine learning; malaria; microscopy; Mycobacterium tuberculosis; nonhuman; parasite; parasitemia; Plasmodium falciparum; predictive value; receiver operating characteristic; sensitivity and specificity</t>
  </si>
  <si>
    <t xml:space="preserve">Axiophot, Carl Zeiss, Germany; NanoZoomer, Hamamatsu, Japan</t>
  </si>
  <si>
    <t xml:space="preserve">Carl Zeiss, Germany; Hamamatsu, Japan</t>
  </si>
  <si>
    <t xml:space="preserve">U.S. Department of Defense, DOD; U.S. Air Force, USAF, (FA9550-17-1-0277); Nederlandse Organisatie voor Wetenschappelijk Onderzoek, NWO, (40-45200-98-009)</t>
  </si>
  <si>
    <t xml:space="preserve">This work was supported by the US Military Medicine Photonics Program from the US Department of Defense (DoD)/Air Force grant FA9550-17-1-0277 and the Rubicon grant from the Netherlands Organization for Scientific Research (Rubicon 40-45200-98-009).</t>
  </si>
  <si>
    <t xml:space="preserve">Favuzza P., de Lera Ruiz M., Thompson J.K., Triglia T., Ngo A., Steel R.W., Vavrek M., Christensen J., Healer J., Boyce C., Dual plasmepsin-targeting antimalarial agents disrupt multiple stages of the malaria parasite life cycle, Cell Host Microbe, 27, (2020); Global Malaria Programme, World Malaria Report, pp. 11-13, (2013); 20 years of global progress and challenges, World Malaria Report 2020, pp. 1-151, (2020); Schellenberg D., Menendez C., Kahigwa E., Font F., Galindo C., Acosta C., Schellenberg J.A., Aponte J.J., Kimario J., Urassa H., African children with malaria in an area of intense Plasmodium falciparum transmission: Features on admission to the hospital and risk factors for death, Am. J. Trop. Med. Hyg, 61, pp. 431-438, (1999); Poostchi M., Silamut K., Maude R.J., Jaeger S., Thoma G., Image analysis and machine learning for detecting malaria, Transl. Res, 194, pp. 36-55, (2018); Purwar Y., Shah S.L., Clarke G., Almugairi A., Muehlenbachs A., Automated and unsupervised detection of malarial parasites in microscopic images, Malar. J, 10, (2011); Ashraf S., Agyapong J., Rohrbach P., Hasan T., OPD (Online Plasmodium Diagnosis): An ALA-PpIX based functional assay to predict active malaria, Photodiagn. Photodyn. Ther, 36, (2021); Ashraf S., Khalid A., Kuriakose J., Palanisami A., Feng Y., Hasan T., REAP (Rapid Elimination of Active Plasmodium): A photodynamic strategy exploiting intrinsic kinetics of the parasite to combat severe malaria, J. Photochem. Photobiol. B Biol, 223, (2021); Griffith K.S., Lewis L.S., Mali S., Parise M.E., Treatment of malaria in the United States: A systematic review, JAMA, 297, pp. 2264-2277, (2007); Goncalves B.P., Huang C.Y., Morrison R., Holte S., Kabyemela E., Prevots D.R., Fried M., Duffy P.E., Parasite burden and severity of malaria in Tanzanian children, N. Eng. J. Med, 370, pp. 1799-1808, (2014); Perandin F., Manca N., Calderaro A., Piccolo G., Galati L., Ricci L., Medici M., Arcangeletti M., Snounou G., Dettori G., Development of a real-time PCR assay for detection of Plasmodium falciparum, Plasmodium vivax, and Plasmodium ovale for routine clinical diagnosis, J. Clin. Microbiol, 42, pp. 1214-1219, (2004); Tedla M., A focus on improving molecular diagnostic approaches to malaria control and elimination in low transmission settings, Parasite Epidemiol. Control, 6, (2019); Berzosa P., de Lucio A., Romay-Barja M., Herrador Z., Gonzalez V., Garcia L., Fernandez-Martinez A., Santana-Morales M., Ncogo P., Valladares B., Comparison of three diagnostic methods (microscopy, RDT, and PCR) for the detection of malaria parasites in representative samples from Equatorial Guinea, Malar. J, 17, (2018); Talapko J., Skrlec I., Alebic T., Jukic M., Vcev A., Malaria: The past and the present, Microorganisms, 7, (2019); Dowling M.A., Shute G.T., A comparative study of thick and thin blood films in the diagnosis of scanty malaria parasitaemia, Bull. World Health Organ, 34, pp. 249-267, (1966); Ruas R., Pinto A., Nuak J., Sarmento A., Abreu C., Non-falciparum malaria imported mainly from Africa: A review from a Portuguese hospital, Malar. J, 16, (2017); Moody A., Rapid diagnostic tests for malaria parasites, Clin. Microbiol. Rev, 15, pp. 66-78, (2002); Wangai L.N., Karau M.G., Njiruh P.N., Sabah O., Kimani F.T., Magoma G., Kiambo N., Sensitivity of microscopy compared to molecular diagnosis of P. falciparum: Implications on malaria treatment in epidemic areas in Kenya, Afr. J. Infect. Dis, 5, pp. 1-6, (2011); Cordray M.S., Richards-Kortum R.R., Emerging nucleic acid–based tests for point-of-care detection of malaria, Am. J. Trop. Med. Hyg, 87, pp. 223-230, (2012); Wahab A., Shaukat A., Ali Q., Hussain M., Khan T.A., Khan M.A.U., Rashid I., Saleem M.A., Evans M., Sargison N.D., A novel metabarcoded 18S ribosomal DNA sequencing tool for the detection of Plasmodium species in malaria positive patients, Infect. Genet. Evol, 82, (2020); Jelinek T., Proll S., Hess F., Kabagambe G., Von Sonnenburg F., Loscher T., Kilian A., Geographic differences in the sensitivity of a polymerase chain reaction for the detection of Plasmodium falciparum infection, Am. J. Trop. Med. Hyg, 55, pp. 647-651, (1996); Genis M.Y., Remez A.I., Untesco M.I., Zhakota D.A., Testing of actual scanner performance in a high-loaded UNIM laboratory environment, J. Pathol. Inform, 12, (2021); Eshel Y., Houri-Yafin A., Benkuzari H., Lezmy N., Soni M., Charles M., Swaminathan J., Solomon H., Sampathkumar P., Premji Z., Evaluation of the Parasight platform for malaria diagnosis, J. Clin. Microbiol, 55, pp. 768-775, (2017); Mitiku K., Mengistu G., Gelaw B., The reliability of blood film examination for malaria at the peripheral health unit, Ethiop. J. Health Dev, 17, pp. 197-204, (2003); Das D.K., Ghosh M., Pal M., Maiti A.K., Chakraborty C., Machine learning approach for automated screening of malaria parasite using light microscopic images, Micron, 45, pp. 97-106, (2013); Linder N., Turkki R., Walliander M., Martensson A., Diwan V., Rahtu E., Pietikainen M., Lundin M., Lundin J., A malaria diagnostic tool based on computer vision screening and visualization of Plasmodium falciparum candidate areas in digitized blood smears, PLoS ONE, 9, (2014); Yoon J., Jang W.S., Nam J., Mihn D.-C., Lim C.S., An Automated Microscopic Malaria Parasite Detection System Using Digital Image Analysis, Diagnostics, 11, (2021); Molestina R.E., Stedman T.T., Update on BEI Resources for Parasitology and Arthropod Vector Research, Trends Parasitol, 36, pp. 321-324, (2020); Trager W., Jensen J.B., Cultivation of erythrocytic and exoerythrocytic stages of plasmodia, Pathology, Vector Studies, and Culture, pp. 271-319, (1980); Trager W., Jensen J.B., Human malaria parasites in continuous culture, Science, 193, pp. 673-675, (1976); Alves-Junior E.R., Gomes L.T., Ribatski-Silva D., Mendes C.R.J., Leal-Santos F.A., Simoes L.R., Mello M.B.C., Fontes C.J.F., Assumed white blood cell count of 8,000 cells/μL overestimates malaria parasite density in the Brazilian Amazon, PLoS ONE, 9, (2014); Rojo M.G., Garcia G.B., Mateos C.P., Garcia J.G., Vicente M.C., Critical comparison of 31 commercially available digital slide systems in pathology, Int. J. Surg. Pathol, 14, pp. 285-305, (2006); Lahrmann B., Valous N.A., Eisenmann U., Wentzensen N., Grabe N., Semantic focusing allows fully automated single-layer slide scanning of cervical cytology slides, PLoS ONE, 8, (2013); Mallidi S., Watanabe K., Timerman D., Schoenfeld D., Hasan T., Prediction of tumor recurrence and therapy monitoring using ultrasound-guided photoacoustic imaging, Theranostics, 5, pp. 289-301, (2015); Collins T.J., ImageJ for microscopy, Biotechniques, 43, pp. S25-S30, (2007); Trevethan R., Sensitivity, specificity, and predictive values: Foundations, pliabilities, and pitfalls in research and practice, Front. Public Health, 5, (2017); Mathison B.A., Pritt B.S., Update on malaria diagnostics and test utilization, J. Clin. Microbiol, 55, pp. 2009-2017, (2017); Breslauer D.N., Maamari R.N., Switz N.A., Lam W.A., Fletcher D.A., Mobile phone based clinical microscopy for global health applications, PLoS ONE, 4, (2009); Rosado L., Da Costa J.M.C., Elias D., Cardoso J.S., Automated detection of malaria parasites on thick blood smears via mobile devices, Procedia Comput. Sci, 90, pp. 138-144, (2016); Pirnstill C.W., Cote G.L., Malaria diagnosis using a mobile phone polarized microscope, Sci. Rep, 5, (2015); Dong Y., Jiang Z., Shen H., Pan W.D., Williams L.A., Reddy V.V., Benjamin W.H., Bryan A.W., Evaluations of deep convolutional neural networks for automatic identification of malaria infected cells, Proceedings of the 2017 IEEE EMBS International Conference On Biomedical &amp; Health Informatics (BHI), pp. 101-104; Gopakumar G.P., Swetha M., Sai Siva G., Sai Subrahmanyam G.R.K., Convolutional neural network-based malaria diagnosis from focus stack of blood smear images acquired using custom-built slide scanner, J. Biophotonics, 11, (2018)</t>
  </si>
  <si>
    <t xml:space="preserve">T. Hasan; Wellman Center for Photomedicine, Massachusetts General Hospital, Harvard Medical School, Boston, 40 Blossom Street, 02114, United States; email: thasan@mgh.harvard.edu</t>
  </si>
  <si>
    <t xml:space="preserve">2-s2.0-85140621984</t>
  </si>
  <si>
    <t xml:space="preserve">Qadir A.M.; Abdalla P.A.; Ghareeb M.I.</t>
  </si>
  <si>
    <t xml:space="preserve">Qadir, Abdalbasit Mohammed (57210368759); Abdalla, Peshraw Ahmed (57210377941); Ghareeb, Mazen Ismael (58247624400)</t>
  </si>
  <si>
    <t xml:space="preserve">57210368759; 57210377941; 58247624400</t>
  </si>
  <si>
    <t xml:space="preserve">Malaria Parasite Identification from Red Blood Cell Images Using Transfer Learning Models</t>
  </si>
  <si>
    <t xml:space="preserve">Malaria is a dangerous viral disease caused by Plasmodium protozoan parasites that are spread by the bite of an infected female Anopheles mosquito. This pandemic disease's fast and precise identification is essential for effective treatment. The most reliable method for diagnosing malaria is a microscopic examination of a thick and thin blood smear, which looks for the parasite and counts the number of infected cells. The ability to wholly or partially automate the identification of the disease using the information in medical images highlights the critical role that computer-aided diagnosis plays in modern medicine, in which machine learning and deep learning play a critical role. In this study, we have presented an in-depth overview of the techniques and methods used to diagnose the malaria parasite through blood slides automatically. One of the techniques is using transfer learning models to detect the malaria parasite. We have compared the performance of transfer learning models on identifying infected malaria cells by feeding the models a large dataset of uninfected and parasite cell images. The results show that the DensNet models have the edge over the other models, with DenseNet-201 achieving the highest accuracy and F1 score of 0.9339 and 0.9321, respectively. Also, DenseNet-169 outperformed the other models with 0.9594 in precision, and finally, Densenet-121 had the highest recall with 0.9490. © University of Garmian. All Rights Reserved.</t>
  </si>
  <si>
    <t xml:space="preserve">Passer Journal of Basic and Applied Sciences</t>
  </si>
  <si>
    <t xml:space="preserve">University of Garmian</t>
  </si>
  <si>
    <t xml:space="preserve">10.24271/psr.2022.161045</t>
  </si>
  <si>
    <t xml:space="preserve">https://www.scopus.com/inward/record.uri?eid=2-s2.0-85159151151&amp;doi=10.24271%2fpsr.2022.161045&amp;partnerID=40&amp;md5=b23fbf594858c827b4bf847ba571a11d</t>
  </si>
  <si>
    <t xml:space="preserve">Department of Computer Science, College of Science and Technology, University of Human Development, Iraq; Department of Computer Science, College of Science, University of Halabja, Iraq</t>
  </si>
  <si>
    <t xml:space="preserve">Qadir A.M., Department of Computer Science, College of Science and Technology, University of Human Development, Iraq; Abdalla P.A., Department of Computer Science, College of Science, University of Halabja, Iraq; Ghareeb M.I., Department of Computer Science, College of Science and Technology, University of Human Development, Iraq</t>
  </si>
  <si>
    <t xml:space="preserve">Blood smear; Deep learning; Machine learning; Malaria; Tranfer learning</t>
  </si>
  <si>
    <t xml:space="preserve">Fact sheet about malaria; Makler M. T., Palmer C. J., Ager A. L. J. A. o. t. m., parasitology, A review of practical techniques for the diagnosis of malaria, 92, 4, pp. 419-434, (1998); Vink J., Et al., An automatic vision‐based malaria diagnosis system, 250, 3, pp. 166-178, (2013); Wongsrichanalai Chansuda, Et al., A review of malaria diagnostic tools: microscopy and rapid diagnostic test (RDT), Defining and Defeating the Intolerable Burden of Malaria III: Progress and Perspectives: Supplement to Volume 77 (6) of American Journal of Tropical Medicine and Hygiene, (2007); Parsel S. M., Et al., Malaria over-diagnosis in Cameroon: diagnostic accuracy of Fluorescence and Staining Technologies (FAST) Malaria Stain and LED microscopy versus Giemsa and bright field microscopy validated by polymerase chain reaction, 6, 1, pp. 1-9, (2017); Shute G., Sodeman T. J. B. o. t. W. H. O., Identification of malaria parasites by fluorescence microscopy and acridine orange staining, 48, 5, (1973); Suwalka I., Sanadhya A., Mathur A., Chouhan M. S., Identify malaria parasite using pattern recognition technique, 2012 International Conference on Computing, Communication and Applications, (2012); Soni J., Mishra N., Kamargaonkar E., Automatic differentiation between RBC and malarial parasites based ON morphology with first order features using image processing, 1, 5, (2011); Pirnstill C. W., Cote G. L. J. S. r., Malaria diagnosis using a mobile phone polarized microscope, 5, 1, pp. 1-13, (2015); Omucheni D. L., Kaduki K. A., Bulimo W. D., Angeyo H. K. J. M. j., Application of principal component analysis to multispectral-multimodal optical image analysis for malaria diagnostics, 13, 1, pp. 1-11, (2014); Yang D., Et al., A portable image-based cytometer for rapid malaria detection and quantification, 12, 6, (2017); Lee S. A., Leitao R., Zheng G., Yang S., Rodriguez A., Yang C. J. P. o., Color capable sub-pixel resolving optofluidic microscope and its application to blood cell imaging for malaria diagnosis, 6, 10, (2011); Zhang Z., Et al., Image classification of unlabeled malaria parasites in red blood cells, 2016 38th Annual International Conference of the IEEE Engineering in Medicine and Biology Society (EMBC), (2016); Bhowmick S., Das D. K., Maiti A. K., Chakraborty C. J. M., Structural and textural classification of erythrocytes in anaemic cases: a scanning electron microscopic study, 44, pp. 384-394, (2013); Ajala F., Fenwa O., Aku M. J. I. J. A. I. S., Comparative analysis of different types of malaria diseases using first order features, 8, pp. 20-26, (2015); Das D. K., Ghosh M., Pal M., Maiti A. K., Chakraborty C. J. M., Machine learning approach for automated screening of malaria parasite using light microscopic images, 45, pp. 97-106, (2013); Ma C., Harrison P., Wang L., Coppel R. L. J. M. j., Automated estimation of parasitaemia of Plasmodium yoelii-infected mice by digital image analysis of Giemsa-stained thin blood smears, 9, 1, pp. 1-9, (2010); Razzak M. I. J. I. J. I. P., Malarial parasite classification using recurrent neural network, 9, (2015); Ahirwar N., Pattnaik S., Acharya I. T., Management K., Advanced image analysis based system for automatic detection and classification of malarial parasite in blood images, 5, 1, pp. 59-64, (2012); Savkare S., Narote S. J. P. T., Automatic system for classification of erythrocytes infected with malaria and identification of parasite's life stage, 6, pp. 405-410, (2012); Diaz G., Gonzalez F., Romero E., Infected cell identification in thin blood images based on color pixel classification: comparison and analysis, Iberoamerican Congress on Pattern Recognition, (2007); Bruckner M., Becker K., Popp J., Frosch T. J. A. c. a., Fiber array based hyperspectral Raman imaging for chemical selective analysis of malaria-infected red blood cells, 894, pp. 76-84, (2015); Von Muhlen A. J. C. P. S. U., Obispo San Luis, Computer image analysis of malarial Plasmodium vivax in human red blood cells, (2004); Malihi L., Ansari-Asl K., Behbahani A., Malaria parasite detection in giemsa-stained blood cell images, 2013 8th Iranian conference on machine vision and image processing (MVIP), (2013); Ross N. E., Pritchard C. J., Rubin D. M., Duse A. G. J. M., Engineering B., Automated image processing method for the diagnosis and classification of malaria on thin blood smears, 44, 5, pp. 427-436, (2006); Vermillion J., Wilson E., Smith R. J. H., Traumatic diaphragmatic hernia presenting as a tension fecopneumothorax, 5, 3, pp. 158-160, (2001); Abbas N., Andersson J., Architectural reasoning for dynamic software product lines, Proceedings of the 17th International Software Product Line Conference Co-located Workshops, (2013); Sio S. W., Et al., MalariaCount: an image analysis-based program for the accurate determination of parasitemia, 68, 1, pp. 11-18, (2007); Abbas N., Et al., Machine aided malaria parasitemia detection in Giemsa-stained thin blood smears, 29, 3, pp. 803-818, (2018); Nguyen N.-T., Duong A.-D., Vu H.-Q., A new method for splitting clumped cells in red blood images, Second International Conference on Knowledge and Systems Engineering, (2010); Devi S. S., Roy A., Sharma M., Laskar R., KNN classification based erythrocyte separation in microscopic images of thin blood smear, 2016 2nd International Conference on Computational Intelligence and Networks (CINE), (2016); Kumarasamy S. K., Ong S., Tan K. S. J. M. V., Applications, Robust contour reconstruction of red blood cells and parasites in the automated identification of the stages of malarial infection, 22, 3, pp. 461-469, (2011); Abdul-Nasir A. S., Mashor M. Y., Mohamed Z. J. W. T. B. B., Colour image segmentation approach for detection of malaria parasites using various colour models and k-means clustering, 10, 1, pp. 41-55, (2013); Memeu D. M., A rapid malaria diagnostic method based on automatic detection and classification of plasmodium parasites in stained thin blood smear images, (2014); Subhamoy Mandal A. K., Chatterjee J, Manjunatha M, Ray Ajoy K, Segmentation of blood smear images using normalized cuts for detection of malarial parasites, the Annual IEEE India Conference (INDICON), (2010); Kaewkamnerd S., Uthaipibull C., Intarapanich A., Pannarut M., Chaotheing S., Tongsima S., An automatic device for detection and classification of malaria parasite species in thick blood film, BMC Bioinformatics, 13, 17, (2012); Gopakumar G. P., Swetha M., Sai Siva G., Sai Subrahmanyam G. R. K., Convolutional neural network-based malaria diagnosis from focus stack of blood smear images acquired using custom-built slide scanner, 11, 3, (2018); Liang Z., Et al., CNN-based image analysis for malaria diagnosis, IEEE international conference on bioinformatics and biomedicine (BIBM), (2016); Bibin D., Nair M. S., Punitha P. J. I. A., Malaria parasite detection from peripheral blood smear images using deep belief networks, 5, pp. 9099-9108, (2017); Dong Y., Et al., Evaluations of deep convolutional neural networks for automatic identification of malaria infected cells, 2017 IEEE EMBS international conference on biomedical &amp; health informatics (BHI), (2017); Dong Y., Liu Y., Lu D., Zheng F., Fang P., Zhang H. J. S. S. S., Unpredictable adsorption and visible light induced decolorization of nano rutile for the treatment of crystal violet, 66, pp. 1-6, (2017); Hung J., Carpenter A., Applying faster R-CNN for object detection on malaria images, Proceedings of the IEEE conference on computer vision and pattern recognition workshops, (2017); Awlla A. H., Muhammed B. T., Murad S. H., Ahmad S. N., Prediction of covid-19 mortality in Iraq-kurdistan by using machine learning, UHD Journal of Science and Technology, 5, 1, pp. 66-70, (2021); Weiss K., Khoshgoftaar T. M., Wang D. J. J. o. B. d., A survey of transfer learning, 3, 1, pp. 1-40, (2016); Xia K.-j., Yin H.-s., Wang J.-q. J. C. C., A novel improved deep convolutional neural network model for medical image fusion, 22, 1, pp. 1515-1527, (2019); Xia K.-j., Yin H.-s., Zhang Y.-d. J. J. o. m. s., Deep semantic segmentation of kidney and space-occupying lesion area based on SCNN and ResNet models combined with SIFT-flow algorithm, 43, 1, pp. 1-12, (2019); Huang G., Liu Z., Van Der Maaten L., Weinberger K. Q., Densely connected convolutional networks, Proceedings of the IEEE conference on computer vision and pattern recognition, (2017); Chollet F., Xception: Deep learning with depthwise separable convolutions, Proceedings of the IEEE conference on computer vision and pattern recognition, (2017); Szegedy C., Et al., Going deeper with convolutions, Proceedings of the IEEE conference on computer vision and pattern recognition, pp. 1-9, (2015); Szegedy C., Vanhoucke V., Ioffe S., Shlens J., Wojna Z., Rethinking the inception architecture for computer vision, Proceedings of the IEEE conference on computer vision and pattern recognition, (2016); Zhang X., Zou J., He K., Sun J. J. I. t. o. p. a., intelligence m., Accelerating very deep convolutional networks for classification and detection, 38, 10, pp. 1943-1955, (2015); Fact sheet about malaria; Han S. S., Et al., Deep neural networks show an equivalent and often superior performance to dermatologists in onychomycosis diagnosis: Automatic construction of onychomycosis datasets by region-based convolutional deep neural network, 13, 1, (2018); Lin C., Li L., Luo W., Wang K. C., Guo J. J. P. P. T. E., Transfer learning based traffic sign recognition using inception-v3 model, 47, 3, pp. 242-250, (2019); Elhamraoui Z., INCEPTIONRESNETV2 simple introduction; Ghosh T., Et al., Bangla handwritten character recognition using MobileNet V1 architecture, 9, 6, pp. 2547-2554, (2020); Pan Haihong, Et al., A new image recognition and classification method combining transfer learning algorithm and mobilenet model for welding defects, IEEE Access, pp. 119951-119960, (2020); Sandler M., Howard A., Zhu M., Zhmoginov A., Chen L.-C., Mobilenetv2: Inverted residuals and linear bottlenecks, Proceedings of the IEEE conference on computer vision and pattern recognition, (2018)</t>
  </si>
  <si>
    <t xml:space="preserve">A.M. Qadir; Department of Computer Science, College of Science and Technology, University of Human Development, Iraq; email: Abdalbasit.mohammed@uhd.edu.iq</t>
  </si>
  <si>
    <t xml:space="preserve">Passer. J. Basic. Appl. Sci.</t>
  </si>
  <si>
    <t xml:space="preserve">2-s2.0-85159151151</t>
  </si>
  <si>
    <t xml:space="preserve">Vanachayangkul P.; Sea D.; Wojnarski M.; Sok S.; Kodchakorn C.; Taaksorn W.; Hom S.; Ittiverakul M.; Kuntawunginn W.; Arsanok M.; Buathong N.; Kheang Heng T.; Nareth K.; Nou S.; Chandara S.; Ly S.; Oung P.; Vesely B.; Bennett J.; Reichard G.; Pybus B.; Lanteri C.; Saunders D.; Fukuda M.; Smith P.; Dysoley L.; Rekol H.; Waters N.C.; Spring M.</t>
  </si>
  <si>
    <t xml:space="preserve">Vanachayangkul, Pattaraporn (26023960900); Sea, Darapiseth (55250459800); Wojnarski, Mariusz (57191342834); Sok, Somethy (56119655800); Kodchakorn, Chanikarn (57193991098); Taaksorn, Winita (57537943000); Hom, Sohei (57214472013); Ittiverakul, Mali (6503914126); Kuntawunginn, Worachet (39061415000); Arsanok, Montri (56588022700); Buathong, Nillawan (8232553000); Kheang Heng, Thay (57218446382); Nareth, Kong (57537524300); Nou, Samon (55774777800); Chandara, Sok (57538762600); Ly, Sokna (57323565700); Oung, Pheaktra (57214449197); Vesely, Brian (6602297201); Bennett, Jason (36097720600); Reichard, Gregory (7004547885); Pybus, Brandon (6507513091); Lanteri, Charlotte (7004704455); Saunders, David (35228043400); Fukuda, Mark (15821826500); Smith, Philip (57210229971); Dysoley, Lek (57021696300); Rekol, Huy (26635208900); Waters, Norman C. (7102435784); Spring, Michele (36882063300)</t>
  </si>
  <si>
    <t xml:space="preserve">26023960900; 55250459800; 57191342834; 56119655800; 57193991098; 57537943000; 57214472013; 6503914126; 39061415000; 56588022700; 8232553000; 57218446382; 57537524300; 55774777800; 57538762600; 57323565700; 57214449197; 6602297201; 36097720600; 7004547885; 6507513091; 7004704455; 35228043400; 15821826500; 57210229971; 57021696300; 26635208900; 7102435784; 36882063300</t>
  </si>
  <si>
    <t xml:space="preserve">Measurements of 5,6-Orthoquinone, a Surrogate for the Presumed Active Primaquine Metabolite 5-Hydroxyprimaquine, in the Urine of Cambodian Adults</t>
  </si>
  <si>
    <t xml:space="preserve">The active metabolites of primaquine, in particular 5-hydroxyprimaquine, likely responsible for the clearance of dormant hypnozoites, are produced through the hepatic CYP450 2D6 (CYP2D6) enzymatic pathway. With the inherent instability of 5- hydroxyprimaquine, a stable surrogate, 5,6-orthoquinone, can now be detected and measured in the urine as part of primaquine pharmacokinetic studies. This study performed CYP450 2D6 genotyping and primaquine pharmacokinetic testing, to include urine 5,6-orthoquinone, in 27 healthy adult Cambodians, as a preliminary step to prepare for future clinical studies assessing primaquine efficacy for Plasmodium vivax infections. The CYP2D6*10 reduced activity allele was found in 57% of volunteers, and the CYP2D6 genotypes were dominated by*1/*10 (33%) and*10/*10 (30%). Predicted phenotypes were evenly split between Normal Metabolizer (NM) and Intermediate Metabolizer (IM) except for one volunteer with a gene duplication and unclear phenotype, classifying as either IM or NM. Median plasma primaquine (PQ) area under the curve (AUC) was lower in the NM group (460 h*ng/mL) compared to the IM group (561 h*ng/mL), although not statistically significant. Similar to what has been found in the US study, no 5,6-orthoquinone was detected in the plasma. The urine creatinine-corrected 5,6-orthoquinone AUC in the NM group was almost three times higher than in the IM group, with peak measurements (Tmax) at 4 h. Although there is variation among individuals, future studies examining the relationship between the levels of urine 5,6- orthoquinone and primaquine radical cure efficacy could result in a metabolism biomarker predictive of radical cure. © 2022 American Society for Microbiology. All rights reserved.</t>
  </si>
  <si>
    <t xml:space="preserve">Antimicrobial Agents and Chemotherapy</t>
  </si>
  <si>
    <t xml:space="preserve">e01821-21</t>
  </si>
  <si>
    <t xml:space="preserve">10.1128/aac.01821-21</t>
  </si>
  <si>
    <t xml:space="preserve">https://www.scopus.com/inward/record.uri?eid=2-s2.0-85126704969&amp;doi=10.1128%2faac.01821-21&amp;partnerID=40&amp;md5=d1ca563ff83eb45f3edbfa0eff463b7b</t>
  </si>
  <si>
    <t xml:space="preserve">US Army Armed Forces Research Institute of Medical Sciences, Bangkok, Thailand; US Army Armed Forces Research Institute of Medical Sciences, Phnom Penh, Cambodia; Walter Reed Army Institute of Research, Silver Spring, MD, United States; Uniformed Services University of the Health Sciences, Bethesda, MD, United States; National Malaria Program of Cambodia, Phnom Penh, Cambodia; The Henry M. Jackson Foundation for the Advancement of Military Medicine Inc., Bethesda, MD, United States</t>
  </si>
  <si>
    <t xml:space="preserve">Vanachayangkul P., US Army Armed Forces Research Institute of Medical Sciences, Bangkok, Thailand; Sea D., US Army Armed Forces Research Institute of Medical Sciences, Phnom Penh, Cambodia; Wojnarski M., US Army Armed Forces Research Institute of Medical Sciences, Bangkok, Thailand; Sok S., US Army Armed Forces Research Institute of Medical Sciences, Phnom Penh, Cambodia; Kodchakorn C., US Army Armed Forces Research Institute of Medical Sciences, Bangkok, Thailand; Taaksorn W., US Army Armed Forces Research Institute of Medical Sciences, Bangkok, Thailand; Hom S., US Army Armed Forces Research Institute of Medical Sciences, Phnom Penh, Cambodia; Ittiverakul M., US Army Armed Forces Research Institute of Medical Sciences, Bangkok, Thailand; Kuntawunginn W., US Army Armed Forces Research Institute of Medical Sciences, Bangkok, Thailand; Arsanok M., US Army Armed Forces Research Institute of Medical Sciences, Bangkok, Thailand; Buathong N., US Army Armed Forces Research Institute of Medical Sciences, Bangkok, Thailand; Kheang Heng T., US Army Armed Forces Research Institute of Medical Sciences, Phnom Penh, Cambodia; Nareth K., US Army Armed Forces Research Institute of Medical Sciences, Phnom Penh, Cambodia; Nou S., US Army Armed Forces Research Institute of Medical Sciences, Phnom Penh, Cambodia; Chandara S., US Army Armed Forces Research Institute of Medical Sciences, Phnom Penh, Cambodia; Ly S., US Army Armed Forces Research Institute of Medical Sciences, Phnom Penh, Cambodia; Oung P., US Army Armed Forces Research Institute of Medical Sciences, Phnom Penh, Cambodia; Vesely B., US Army Armed Forces Research Institute of Medical Sciences, Bangkok, Thailand; Bennett J., Walter Reed Army Institute of Research, Silver Spring, MD, United States; Reichard G., Walter Reed Army Institute of Research, Silver Spring, MD, United States; Pybus B., Walter Reed Army Institute of Research, Silver Spring, MD, United States; Lanteri C., Walter Reed Army Institute of Research, Silver Spring, MD, United States; Saunders D., Uniformed Services University of the Health Sciences, Bethesda, MD, United States; Fukuda M., US Army Armed Forces Research Institute of Medical Sciences, Bangkok, Thailand; Smith P., Walter Reed Army Institute of Research, Silver Spring, MD, United States; Dysoley L., National Malaria Program of Cambodia, Phnom Penh, Cambodia; Rekol H., National Malaria Program of Cambodia, Phnom Penh, Cambodia; Waters N.C., US Army Armed Forces Research Institute of Medical Sciences, Bangkok, Thailand; Spring M., US Army Armed Forces Research Institute of Medical Sciences, Bangkok, Thailand, The Henry M. Jackson Foundation for the Advancement of Military Medicine Inc., Bethesda, MD, United States</t>
  </si>
  <si>
    <t xml:space="preserve">5,6-orthoquinone; CYP2D6; Malaria; Metabolism; Primaquine; Vivax</t>
  </si>
  <si>
    <t xml:space="preserve">Antimalarials; Asians; Cytochrome P-450 CYP2D6; Humans; Malaria, Vivax; Plasmodium vivax; Primaquine; 5 hydroxyprimaquine; 5,6 orthoquinone; artesunate plus mefloquine; carboxyprimaquine; creatinine; cytochrome P450 2D6; dihydroartemisinin plus piperaquine; drug metabolite; hemoglobin E; methemoglobin; primaquine; unclassified drug; 5-hydroxyprimaquine; antimalarial agent; cytochrome P450 2D6; primaquine; adult; area under the curve; Article; Cambodia; clinical article; creatinine blood level; creatinine urine level; drug blood level; drug efficacy; drug half life; drug metabolism; female; gene duplication; gene frequency; human; malaria falciparum; male; maximum plasma concentration; normal human; Plasmodium vivax malaria; single drug dose; time to maximum plasma concentration; urine sampling; Asian; genetics; metabolism; Plasmodium vivax; Plasmodium vivax malaria</t>
  </si>
  <si>
    <t xml:space="preserve">creatinine, 19230-81-0, 60-27-5; dihydroartemisinin plus piperaquine, 1042021-16-8, 850407-45-3; hemoglobin E, 9034-61-1; primaquine, 90-34-6; 5-hydroxyprimaquine, ; Antimalarials, ; Cytochrome P-450 CYP2D6, ; Primaquine, </t>
  </si>
  <si>
    <t xml:space="preserve">Kheang ST, Sovannaroth S, Barat LM, Dysoley L, Kapella BK, Po L, Nguon S, Gimnig J, Slot R, Samphornarann T, Meng SK, Dissanayake G, AlMossawi HJ, Longacre C, Kak N., Malaria elimination using the 1-3-7 approach: lessons from Sampov Loun, Cambodia, BMC Public Health, 20, (2020); Baird JK., 8-aminoquinoline therapy for latent malaria, Clin Microbiol Rev, 32, (2019); Bennett JW, Pybus BS, Yadava A, Tosh D, Sousa JC, McCarthy WF, Deye G, Melendez V, Ockenhouse CF., Primaquine failure and cytochrome P-450 2D6 in Plasmodium vivax malaria, N Engl J Med, 369, pp. 1381-1382, (2013); Pybus BS, Sousa JC, Jin X, Ferguson JA, Christian RE, Barnhart R, Vuong C, Sciotti RJ, Reichard GA, Kozar MP, Walker LA, Ohrt C, Melendez V., CYP450 phenotyping and accurate mass identification of metabolites of the 8-aminoquinoline, anti-malarial drug primaquine, Malar J, 11, (2012); Potter BM, Xie LH, Vuong CT, Zhang J, Zhang P, Duan D, Luong T-LT, Bandara Herath HMT, Dhammika Nanayakkara NP, Tekwani BL, Walker LA, Nolan CK, Sciotti RJ, Zottig VE, Smith PL, Paris RM, Read LT, Li Q, Pybus BS, Sousa JC, Reichard GA, Marcsisin SR., Differential CYP 2D6 metabolism alters primaquine pharmacokinetics, Antimicrob Agents Chemother, 59, pp. 2380-2387, (2015); Marcsisin SR, Reichard G, Pybus BS., Primaquine pharmacology in the context of CYP 2D6 pharmacogenomics: current state of the art, Pharmacol Ther, 161, pp. 1-10, (2016); Milner EE, Berman J, Caridha D, Dickson SP, Hickman M, Lee PJ, Marcsisin SR, Read LT, Roncal N, Vesely BA, Xie LH, Zhang J, Zhang P, Li Q., Cytochrome P450 2D-mediated metabolism is not necessary for tafenoquine and primaquine to eradicate the erythrocytic stages of Plasmodium berghei, Malar J, 15, (2016); Camarda G, Jirawatcharadech P, Priestley RS, Saif A, March S, Wong MHL, Leung S, Miller AB, Baker DA, Alano P, Paine MJI, Bhatia SN, O'Neill PM, Ward SA, Biagini GA., Antimalarial activity of primaquine operates via a two-step biochemical relay, Nature Commun, 101, (2019); Fasinu PS, Nanayakkara NPD, Wang YH, Chaurasiya ND, Herath HMB, McChesney JD, Avula B, Khan I, Tekwani BL, Walker LA., Formation primaquine-5, 6-orthoquinone, the putative active and toxic metabolite of primaquine via direct oxidation in human erythrocytes, Malar J, 18, (2019); Nofziger C, Turner AJ, Sangkuhl K, Whirl-Carrillo M, Agundez JAG, Black JL, Dunnenberger HM, Ruano G, Kennedy MA, Phillips MS, Hachad H, Klein TE, Gaedigk A., PharmVar GeneFocus: CYP2D6, Clin Pharmacol Ther, 107, pp. 154-170, (2020); Taylor C, Crosby I, Yip V, Maguire P, Pirmohamed M, Turner RM., A review of the important role of CYP2D6 in pharmacogenomics, Genes, 11, (2020); Gaedigk A, Simon SD, Pearce RE, Bradford LD, Kennedy MJ, Leeder JS., The CYP2D6 activity score: translating genotype information into a qualitative measure of phenotype, Clin Pharmacol Ther, 83, pp. 234-242, (2008); Hicks JK, Bishop JR, Sangkuhl K, Muller DJ, Ji Y, Leckband SG, Leeder JS, Graham RL, Chiulli DL, LLerena A, Skaar TC, Scott SA, Stingl JC, Klein TE, Caudle KE, Gaedigk A., Clinical Pharmacogenetics Implementation Consortium (CPIC) guideline for CYP2D6 and CYP2C19 genotypes and dosing of selective serotonin reuptake inhibitors, Clin Pharmacol Ther, 98, pp. 127-134, (2015); Zhou Y, Ingelman-Sundberg M, Lauschke VM., Worldwide distribution of cytochrome P450 alleles: a meta-analysis of population-scale sequencing projects, Clin Pharmacol Ther, 102, pp. 688-700, (2017); Gaedigk A, Sangkuhl K, Whirl-Carrillo M, Klein T, Leeder JS., Prediction of CYP2D6 phenotype from genotype across world populations, Genet Med, 19, pp. 69-76, (2017); Koopmans AB, Braakman MH, Vinkers DJ, Hoek HW, van Harten PN., Meta-analysis of probability estimates of worldwide variation of CYP2D6 and CYP2C19, Transl Psychiatry, 11, (2021); World malaria report 2020, (2020); Staehli Hodel EM, Csajka C, Ariey F, Guidi M, Kabanywanyi AM, Duong S, Decosterd LA, Olliaro P, Beck H-P, Genton B., Effect of single nucleotide polymorphisms in cytochrome P450 isoenzyme and N-acetyltransferase 2 genes on the metabolism of artemisinin-based combination therapies in malaria patients fromCambodia and Tanzania, Antimicrob Agents Chemother, 57, pp. 950-958, (2013); Sistonen J, Sajantila A, Lao O, Corander J, Barbujani G, Fuselli S., CYP2D6 worldwide genetic variation shows high frequency of altered activity variants and no continental structure, Pharmacogenet Genomics, 17, pp. 93-101, (2007); Spring MD, Lon C, Sok S, Sea D, Wojnarski M, Chann S, Kuntawunginn W, Kheang Heng T, Nou S, Arsanok M, Sriwichai S, Vanachayangkul P, Lin JT, Manning JE, Jongsakul K, Pichyangkul S, Satharath P, Smith PL, Dysoley L, Saunders DL, Waters NC., Prevalence of CYP2D6 genotypes and predicted phenotypes in a cohort of Cambodians at high risk for infections with Plasmodium vivax, Am J Trop Med Hyg, 103, pp. 756-759, (2020); Kitada M., Genetic polymorphism of cytochrome P450 enzymes in Asian populations: focus on CYP2D6, Int J Clin Pharamacol Res, 23, pp. 31-35, (2003); Caudle KE, Sangkuhl K, Whirl-Carrillo M, Swen JJ, Haidar CE, Klein TE, Gammal RS, Relling MV, Scott SA, Hertz DL, Guchelaar HJ, Gaedigk A., Standardizing CYP2D6 genotype to phenotype translation: consensus recommendations from the Clinical Pharmacogenetics Implementation Consortium and Dutch Pharmacogenetics Working Group, Clin Transl Sci, 13, pp. 116-124, (2020); Spring MD, Sousa JC, Li Q, Darko CA, Morrison MN, Marcsisin SR, Mills KT, Potter BM, Paolino KM, Twomey PS, Moon JE, Tosh DM, Cicatelli SB, Froude JW, Pybus BS, Oliver TG, McCarthy WF, Waters NC, Smith PL, Reichard GA, Bennett JW., Determination of cytochrome P450 isoenzyme 2D6 (CYP2D6) genotypes and pharmacogenomic impact on primaquine metabolism in an active-duty US military population, J Infect Dis, 220, pp. 1761-1770, (2019); Avula B, Tekwani BL, Chaurasiya ND, Fasinu P, Nanayakkara NPD, Herath HMTB, Wang YH, Bae JY, Khan SI, Elsohly MA, McChesney JD, Zimmerman PA, Khan IA, Walker LA., Metabolism of primaquine in normal human volunteers: investigation of phase I and phase II metabolites from plasma and urine using ultra-high performance liquid chromatographyquadrupole time-of-flight mass spectrometry, Malar J, 17, (2018); Pookmanee W, Thongthip S, Tankanitlert J, Mungthin M, Sukasem C, Wittayalertpanya S., Simplified and rapid determination of primaquine and 5, 6-orthoquinone primaquine by UHPLC-MS/MS: its application to a pharmacokinetic study, Molecules, 26, (2021); Vasquez-Vivar J, Augusto O., Hydroxylated metabolites of the antimalarial drug primaquine, Jour Biol Chem, 267, pp. 6848-6854, (1992); Ganesan S, Tekwani BL, Sahu R, Tripathi LM, Walker LA., Cytochrome P(450)-dependent toxic effects of primaquine on human erythrocytes, Toxicol Appl Pharmacol, 241, pp. 14-22, (2009); Bowman ZS, Oatis JE, Whelan JL, Jollow DJ, McMillan DC., Primaquine-induced hemolytic anemia: susceptibility of normal versus glutathione-depleted rat erythrocytes to 5-hydroxyprimaquine, J Pharmacol Exp Ther, 309, pp. 79-85, (2004); Mihaly GW, Ward SA, Edwards G, Nicholl DD, Orme ML, Breckenridge AM., Pharmacokinetics of primaquine in man. I. Studies of the absolute bioavailability and effects of dose size, Br J Clin Pharmacol, 19, pp. 745-750, (1985); Mihaly GW, Ward SA, Edwards G, Orme ML, Breckenridge AM., Pharmacokinetics of primaquine in man: identification of the carboxylic acid derivative as a major plasma metabolite, Br J Clin Pharmacol, 17, pp. 441-446, (1984); Cuong BT, Binh VQ, Dai B, Duy DN, Lovell CM, Rieckmann KH, Edstein MD., Does gender, food or grapefruit juice alter the pharmacokinetics of primaquine in healthy subjects?, Br J Clin Pharmacol, 61, pp. 682-689, (2006); Elmes NJ, Bennett M, Abdalla H, Carthew TL, Edstein MD., Lack of sex effect on the pharmacokinetics of primaquine, Am J Trop Med Hyg, 74, pp. 951-952, (2006); Binh VQ, Chinh NT, Thanh NX, Cuong BT, Quang NN, Dai B, Travers T, Edstein MD., Sex affects the steady-state pharmacokinetics of primaquine but not doxycycline in healthy subjects, Am J Trop Med Hyg, 81, pp. 747-753, (2009); Vieira JL, Ferreira MES, Ferreira MVD, Gomes MM., Primaquine in plasma and methemoglobinemia in patients with malaria due to Plasmodium vivax in the Brazilian Amazon Basin, Am J Trop Med Hyg, 96, pp. 1171-1175, (2017); Chu CS, Watson JA, Phyo AP, Win HH, Yotyingaphiram W, Thinraow S, Soe NL, Aung AA, Wilaisrisak P, Kraft K, Imwong M, Hanpithakpong W, Blessborn D, Tarning J, Proux S, Ling C, Nosten FH, White NJ., Determinants of primaquine and carboxyprimaquine exposures in children and adults with Plasmodium vivax malaria, Antimicrob Agents Chemother, 65, (2021); Baird JK, Louisa M, Noviyanti R, Ekawati L, Elyazar I, Subekti D, Chand K, Gayatri A, Instiaty Soebianto S, Crenna-Darusallam C, Djoko D, Hasto BD, Meriyenes D, Wesche D, Nelwan EJ, Sutanto I, Sudoyo H, Setiabudy R., Association of impaired cytochrome P450 2D6 activity genotype and phenotype with therapeutic efficacy of primaquine treatment for latent Plasmodium vivax malaria, JAMA Netw Open, 1, (2018); Chamnanphon M, Gaedigk A, Vanwong N, Nuntamool N, Hongkaew Y, Puangpetch A, Sukasem C., CYP2D6 genotype analysis of a Thai population: platform comparison, Pharmacogenomics, 19, pp. 947-960, (2018); Kiyotani K, Shimizu M, Kumai T, Kamataki T, Kobayashi S, Yamazaki H., Limited effects of frequent CYP2D6*36-*10 tandem duplication allele on in vivo dextromethorphan metabolism in a Japanese population, Eur J Clin Pharmacol, 66, pp. 1065-1068, (2010); Chan W, Li MS, Sundaram SK, Tomlinson B, Cheung PY, Tzang CH., CYP2D6 allele frequencies, copy number variants, and tandems in the population of Hong Kong, J Clin Lab Anal, 33, (2019); Bhatia SC, Saraph YS, Revankar SN, Doshi KJ, Bharucha ED, Desai ND, Vaidya AB, Subrahmanyam D, Gupta KC, Satoskar RS., Pharmacokinetics of primaquine in patients with P. vivax malaria, Eur J Clin Pharmacol, 31, pp. 205-210, (1986); Ward SA, Mihaly GW, Edwards G, Looareesuwan S, Phillips RE, Chanthavanich P, Warrell DA, Orme ML, Breckenridge AM., Pharmacokinetics of primaquine in man, Br J Clin Pharmacol, 19, pp. 751-755, (1985); Ji Y, Skierka JM, Blommel JH, Moore BE, VanCuyk DL, Bruflat JK, Peterson LM, Veldhuizen TL, Fadra N, Peterson SE, Lagerstedt SA, Train LJ, Baudhuin LM, Klee EW, Ferber MJ, Bielinski SJ, Caraballo PJ, Weinshilboum RM, Black JL., Preemptive pharmacogenomic testing for precision medicine: a comprehensive analysis of five actionable pharmacogenomic genes using nextgeneration DNA sequencing and a customized CYP2D6 genotyping cascade, J Mol Diagn, 18, pp. 438-445, (2016); Gaedigk A, Dinh JC, Jeong H, Prasad B, Leeder JS., Ten years' experience with the CYP2D6 Activity Score: a perspective on future investigations to improve clinical predictions for precision therapeutics, JPM, 8, (2018); Chamnanphon M, Gaedigk A, Puangpetch A, Pasomsub E, Chantratita W, Longley RJ, Sattabongkot J, Chariyavilaskul P, Sukasem C., Pharmacogene variation in Thai Plasmodium vivax relapse patients treated with a combination of primaquine and chloroquine, Pharmgenomics Pers Med, 13, pp. 1-12, (2020); Lee SS, Cha EY, Jung HJ, Shon JH, Kim EY, Yeo CW, Shin JG., Genetic polymorphism of hepatocyte nuclear factor-4a influences human cytochrome P450 2D6 activity, Hepatology, 48, pp. 635-645, (2008); Brasil LW, Rodrigues-Soares F, Santoro AB, Almeida ACG, Kuhn A, Ramasawmy R, Lacerda MVG, Monteiro WM, Suarez-Kurtz G., CYP2D6 activity and the risk of recurrence of Plasmodium vivax malaria in the Brazilian Amazon: a prospective cohort study, Malar J, 17, (2018); Chen N, Dowd S, Gatton ML, Auliff A, Edstein MD, Cheng Q., Cytochrome P450 2D6 profiles and their relationship with outcomes of primaquine anti-relapse therapy in Australian Defence Force personnel deployed to Papua New Guinea and East Timor, Malar J, 18, (2019); Longley R, Sripoorote P, Chobson P, Saeseu T, Sukasem C, Phuanukoonnon S, Nguitragool W, Mueller I, Sattabongkot J., High efficacy of primaquine treatment for Plasmodium vivax in Western Thailand, Am J Trop Med Hyg, 95, pp. 1086-1089, (2016); Mello AGNC, Vieira MVDF, Sena LWP, Paixao TPD, Pinto ACG, Grisolia DPA, Silva MT, Vieira JLF., Levels of primaquine and carboxyprimaquine in patients with malaria vivax from the Brazilian Amazon basin, Rev Inst Med Trop Sao Paulo, 60, (2018); Lacerda MVG, Llanos-Cuentas A, Krudsood S, Lon C, Saunders DL, Mohammed R, Yilma D, Batista Pereira D, Espino FEJ, Mia RZ, Chuquiyauri R, Val F, Casapia M, Monteiro WM, Brito MAM, Costa MRF, Buathong N, Noedl H, Diro E, Getie S, Wubie KM, Abdissa A, Zeynudin A, Abebe C, Tada MS, Brand F, Beck HP, Angus B, Duparc S, Kleim JP, Kellam LM, Rousell VM, Jones SW, Hardaker E, Mohamed K, Clover DD, Fletcher K, Breton JJ, Ugwuegbulam CO, Green JA, Koh GCKW., Single-dose tafenoquine to prevent relapse of Plasmodium vivax malaria, N Engl J Med, 380, pp. 215-228, (2019); Milligan R, Daher A, Villanueva G, Bergman H, Graves PM., Primaquine alternative dosing schedules for preventing malaria relapse in people with Plasmodium vivax, Cochrane Database Syst Rev, 8, (2020); Spring MD, Lin J, Manning JE, Vanachayangkul P, Somethy S, Bun R, Se Y, Chann S, Ittiverakul M, Sai-Ngam P, Kuntawunginn W, Arsanok M, Buathong N, Chaorattanakawee S, Gosi P, Ta-Aksorn W, Chanarat N, Sundrakes S, Kong N, Heng TK, Nou S, Teja-Isavadharm P, Pichyangkul S, Phann ST, Balasubramanian S, Juliano JJ, Meshnick SR, Chour CM, Prom S, Lanteri CA, Lon C, Saunders D., Dihydroartemisinin-piperaquine failure in Cambodia associated with a "triple mutant" including kelch-13 C580Y, Lancet Infect Dis, 15, (2015)</t>
  </si>
  <si>
    <t xml:space="preserve">M. Spring; US Army Armed Forces Research Institute of Medical Sciences, Bangkok, Thailand; email: Michele.spring.ctr@afrims.org</t>
  </si>
  <si>
    <t xml:space="preserve">AMACC</t>
  </si>
  <si>
    <t xml:space="preserve">Antimicrob. Agents Chemother.</t>
  </si>
  <si>
    <t xml:space="preserve">2-s2.0-85126704969</t>
  </si>
  <si>
    <t xml:space="preserve">Wu Y.; Chen T.; Huang Y.; Li Y.; Wang X.</t>
  </si>
  <si>
    <t xml:space="preserve">Wu, Youyi (57204715128); Chen, Tingting (57833781300); Huang, Yiwei (57833781400); Li, Yongchou (57872948200); Wang, Xiaoyan (57213610530)</t>
  </si>
  <si>
    <t xml:space="preserve">57204715128; 57833781300; 57833781400; 57872948200; 57213610530</t>
  </si>
  <si>
    <t xml:space="preserve">MRI Using Artificial Intelligence Algorithm to Evaluate Concurrent Chemoradiotherapy for Local Recurrence and Distant Metastasis of Cervical Squamous Cell Carcinoma</t>
  </si>
  <si>
    <t xml:space="preserve">The aim of this study was to investigate the magnetic resonance imaging (MRI) features of patients with local recurrence and distant metastasis of cervical squamous cell carcinoma before and after concurrent chemoradiotherapy based on artificial intelligence algorithm. In this study, 100 patients with cervical squamous cell carcinoma with local recurrence and distant metastasis who underwent concurrent chemoradiotherapy were collected as the research subjects, and all underwent MRI multisequence imaging scans. At the same time, according to the evaluation criteria of solid tumor efficacy, patients with complete remission were classified into the effective group, and patients with partial remission, progressive disease, and stable disease were classified into the ineffective group. In addition, an image segmentation algorithm based on Balloon Snake model was proposed for MRI image processing, and simulation experiments were carried out. The results showed that the Dice coefficient of the proposed model segmentation of the reconstructed image was significantly higher than that of the level set model and the greedy algorithm, while the running time was the opposite (P&lt;0.05). The lesion volume (38.76±5.34 cm3) in the effective group after treatment was significantly smaller than that in the noneffective group (46.33±4.64 cm3), and the rate of lesion volume shrinkage (28.71%) was significantly larger than that in the noneffective group (12.49%) (P&lt;0.05). The relative apparent diffusion coefficient (rADC) value and rADC value change rate of the lesion after treatment in the effective group were significantly greater than those in the noneffective group (P&lt;0.05). In summary, the image segmentation and reconstruction algorithm based on Balloon Snake model can not only improve the quality of MRI images but also shorten the processing time and improve the diagnostic efficiency. The volume regression rate and rADC value change rate of cervical squamous cell carcinoma lesion can reflect the early efficacy of concurrent chemoradiotherapy for cervical squamous cell carcinoma and have predictive value.  © 2022 Youyi Wu et al.</t>
  </si>
  <si>
    <t xml:space="preserve">Computational and Mathematical Methods in Medicine</t>
  </si>
  <si>
    <t xml:space="preserve">Hindawi Limited</t>
  </si>
  <si>
    <t xml:space="preserve">10.1155/2022/4449696</t>
  </si>
  <si>
    <t xml:space="preserve">https://www.scopus.com/inward/record.uri?eid=2-s2.0-85135549686&amp;doi=10.1155%2f2022%2f4449696&amp;partnerID=40&amp;md5=e3509481a888534d5e1097b4be580d5c</t>
  </si>
  <si>
    <t xml:space="preserve">Department of Oncology Radiotherapy, The Third Affiliated Hospital of Wenzhou Medical University (Ruian People's Hospital), Ruian, Zhejiang, Wenzhou, 325200, China; Department of Radiology and Imaging, The Third Affiliated Hospital of Wenzhou Medical University (Ruian People's Hospital), Ruian, Zhejiang, Wenzhou, 325200, China</t>
  </si>
  <si>
    <t xml:space="preserve">Wu Y., Department of Oncology Radiotherapy, The Third Affiliated Hospital of Wenzhou Medical University (Ruian People's Hospital), Ruian, Zhejiang, Wenzhou, 325200, China; Chen T., Department of Oncology Radiotherapy, The Third Affiliated Hospital of Wenzhou Medical University (Ruian People's Hospital), Ruian, Zhejiang, Wenzhou, 325200, China; Huang Y., Department of Oncology Radiotherapy, The Third Affiliated Hospital of Wenzhou Medical University (Ruian People's Hospital), Ruian, Zhejiang, Wenzhou, 325200, China; Li Y., Department of Radiology and Imaging, The Third Affiliated Hospital of Wenzhou Medical University (Ruian People's Hospital), Ruian, Zhejiang, Wenzhou, 325200, China; Wang X., Department of Oncology Radiotherapy, The Third Affiliated Hospital of Wenzhou Medical University (Ruian People's Hospital), Ruian, Zhejiang, Wenzhou, 325200, China</t>
  </si>
  <si>
    <t xml:space="preserve">Artificial Intelligence; Carcinoma, Squamous Cell; Chemoradiotherapy; Female; Humans; Magnetic Resonance Imaging; Uterine Cervical Neoplasms; Cells; Cytology; Diagnosis; Image enhancement; Image reconstruction; Image segmentation; Pathology; Surface diffusion; anisodamine; cisplatin; Apparent diffusion coefficient; Artificial intelligence algorithms; Balloon snake; Classifieds; Coefficient values; Concurrent chemoradiotherapy; Distant metastasis; Image segmentation algorithm; Local recurrence; Squamous cell carcinoma; adult; algorithm; apparent diffusion coefficient; Article; artificial intelligence; blood transfusion; brachytherapy; cancer recurrence; cancer regression; case report; chemoradiotherapy; clinical article; comparative study; controlled study; diffusion weighted imaging; disease exacerbation; distant metastasis; dynamic contrast-enhanced magnetic resonance imaging; female; food allergy; gluteus maximus muscle; greedy algorithm; hepatitis; human; image processing; image reconstruction; image segmentation; intensity modulated radiation therapy; lesion volume; malaria; male; mathematical model; middle aged; nuclear magnetic resonance imaging; predictive value; reconstruction algorithm; response evaluation criteria in solid tumors; segmentation algorithm; T1 weighted imaging; tuberculosis; uterine cervix carcinoma; artificial intelligence; chemoradiotherapy; diagnostic imaging; nuclear magnetic resonance imaging; procedures; squamous cell carcinoma; uterine cervix tumor; Magnetic resonance imaging</t>
  </si>
  <si>
    <t xml:space="preserve">anisodamine, 55869-99-3; cisplatin, 15663-27-1, 26035-31-4, 96081-74-2</t>
  </si>
  <si>
    <t xml:space="preserve">Johnson C.A., James D., Marzan A., Armaos M., Cervical cancer: An overview of pathophysiology and management, Seminars in Oncology Nursing, 35, 2, pp. 166-174, (2019); Hu Z., Ma D., The precision prevention and therapy of HPV-related cervical cancer: New concepts and clinical implications, Cancer Medicine, 7, 10, pp. 5217-5236, (2018); Olusola P., Banerjee H.N., Philley J.V., Dasgupta S., Human papilloma virus-associated cervical cancer and health disparities, Cells, 8, 6, (2019); Kessler T.A., Cervical cancer: Prevention and early detection, Seminars in Oncology Nursing, 33, 2, pp. 172-183, (2017); Marquina G., Manzano A., Casado A., Targeted agents in cervical cancer: Beyond bevacizumab, Current Oncology Reports, 20, 5, (2018); Saleh M., Virarkar M., Javadi S., Elsherif S.B., De Castro F.S., Bhosale P., Cervical cancer: 2018 revised International Federation of Gynecology and Obstetrics staging system and the role of imaging, American Journal of Roentgenology, 214, 5, pp. 1182-1195, (2020); Gadducci A., Cosio S., Neoadjuvant chemotherapy in locally advanced cervical cancer: Review of the literature and perspectives of clinical research, Anticancer Research, 40, 9, pp. 4819-4828, (2020); Zhang S., Batur P., Human papillomavirus in 2019: An update on cervical cancer prevention and screening guidelines, Cleveland Clinic Journal of Medicine, 86, 3, pp. 173-178, (2019); Curty G., De Carvalho P.S., Soares M.A., The role of the cervicovaginal microbiome on the genesis and as a biomarker of premalignant cervical intraepithelial neoplasia and invasive cervical cancer, International Journal of Molecular Sciences, 21, 1, (2019); Lv Z.H., Qiao L., Analysis of healthcare big data, Future Generation Computer Systems, 109, pp. 103-110, (2020); Xie S.X., Yu Z.C., Lv Z.H., Multi-disease prediction based on deep learning: A survey, Computer Modeling in Engineering and Sciences, 127, 3, pp. 1-34, (2021); Wang B., Zhang Y., Wu C., Wang F., Multimodal MRI analysis of cervical cancer on the basis of artificial intelligence algorithm, Contrast Media &amp; Molecular Imaging, 2021, pp. 1-11, (2021); Hu M., Zhong Y., Xie S., Lv H., Lv Z., Fuzzy system based medical image processing for brain disease prediction, Frontiers in Neuroscience, 15, (2021); Manganaro L., Lakhman Y., Bharwani N., Gui B., Gigli S., Vinci V., Rizzo S., Kido A., Cunha T.M., Sala E., Rockall A., Forstner R., Nougaret S., Staging, recurrence and follow-up of uterine cervical cancer using MRI: Updated guidelines of the European Society of Urogenital Radiology after revised FIGO staging 2018, European Radiology, 31, 10, pp. 7802-7816, (2021); Potter R., Tanderup K., Schmid M.P., Jurgenliemk-Schulz I., Haie-Meder C., Fokdal L.U., Sturdza A.E., Hoskin P., Mahantshetty U., Segedin B., Bruheim K., Huang F., Rai B., Cooper R., Van Der Steen-Banasik E., Van Limbergen E., Pieters B.R., Tan L.T., Nout R.A., De Leeuw A.A.C., Ristl R., Petric P., Nesvacil N., Kirchheiner K., Kirisits C., Lindegaard J.C., MRI-guided adaptive brachytherapy in locally advanced cervical cancer (EMBRACE-I): A multicentre prospective cohort study, The Lancet Oncology, 22, 4, pp. 538-547, (2021); Russo L., Gui B., Micco M., Panico C., De Vincenzo R., Fanfani F., Scambia G., Manfredi R., The role of MRI in cervical cancer &gt;2 cm (FIGO stage IB2-IIA1) conservatively treated with neoadjuvant chemotherapy followed by conization: A pilot study, La Radiologia Medica, 126, 8, pp. 1055-1063, (2021); Narva S.I., Seppanen M.P., Raiko J.R.H., Forsback S.J., Orte K.J., Virtanen J.M., Hynninen J., Hietanen S., Imaging of tumor hypoxia with 18F-EF5 PET/MRI in cervical cancer, Clinical Nuclear Medicine, 46, 12, pp. 952-957, (2021); Golovko T.S., Bakai O.A., Ashykhmin A.V., Baranovskaya L.M., Comparison of ultrasound and MRI informativeness for detection and treatment monitoring of cervical cancer metastases in the vagina, Experimental Oncology, 43, 4, pp. 351-358, (2021); Murofushi K., Yoshioka Y., Sumi M., Ishikawa H., Oguchi M., Sakurai H., Outcomes analysis of pre-brachytherapy MRI in patients with locally advanced cervical cancer, International Journal of Gynecologic Cancer, 30, 4, pp. 473-479, (2020); Marnitz S., Tsunoda A.T., Martus P., Vieira M., Affonso Junior R.J., Nunes J., Budach V., Hertel H., Mustea A., Sehouli J., Scharf J.P., Ulrich U., Ebert A., Piwonski I., Kohler C., Surgical versus clinical staging prior to primary chemoradiation in patients with cervical cancer FIGO stages IIB-IVA: Oncologic results of a prospective randomized international multicenter (Uterus-11) intergroup study, International Journal of Gynecologic Cancer, 30, 12, pp. 1855-1861, (2020); Feng C.H., Mell L.K., Sharabi A.B., McHale M., Mayadev J.S., Immunotherapy with radiotherapy and chemoradiotherapy for cervical cancer, Seminars in Radiation Oncology, 30, 4, pp. 273-280, (2020); Benson R., Pathy S., Kumar L., Mathur S., Dadhwal V., Mohanti B.K., Locally advanced cervical cancer - Neoadjuvant chemotherapy followed by concurrent chemoradiation and targeted therapy as maintenance: A phase II study, Journal of Cancer Research and Therapeutics, 15, 6, pp. 1359-1364, (2019); Huang H., Feng Y.L., Wan T., Zhang Y.N., Cao X.P., Huang Y.W., Xiong Y., Huang X., Zheng M., Li Y.F., Li J.D., Effectiveness of sequential chemoradiation vs concurrent chemoradiation or radiation alone in adjuvant treatment after hysterectomy for cervical cancer: The STARS phase 3 randomized clinical trial, JAMA Oncology, 7, 3, pp. 361-369, (2021); Mayadev J., Nunes A.T., Li M., Marcovitz M., Lanasa M.C., Monk B.J., CALLA: Efficacy and safety of concurrent and adjuvant durvalumab with chemoradiotherapy versus chemoradiotherapy alone in women with locally advanced cervical cancer: A phase III, randomized, double-blind, multicenter study, International Journal of Gynecologic Cancer, 30, 7, pp. 1065-1070, (2020); Chopra S., Gupta S., Kannan S., Dora T., Engineer R., Mangaj A., Maheshwari A., Shylasree T.S., Ghosh J., Paul S.N., Phurailatpam R., Charnalia M., Alone M., Swamidas J., Mahantshetty U., Deodhar K., Kerkar R., Shrivastava S.K., Late toxicity after adjuvant conventional radiation versus image-guided intensity-modulated radiotherapy for cervical cancer (PARCER): A randomized controlled trial, Journal of Clinical Oncology, 39, 33, pp. 3682-3692, (2021)</t>
  </si>
  <si>
    <t xml:space="preserve">X. Wang; Department of Oncology Radiotherapy, The Third Affiliated Hospital of Wenzhou Medical University (Ruian People's Hospital), Wenzhou, Ruian, Zhejiang, 325200, China; email: 1621030493@stu.cpu.edu.cn</t>
  </si>
  <si>
    <t xml:space="preserve">1748670X</t>
  </si>
  <si>
    <t xml:space="preserve">Comp. Math. Methods Med.</t>
  </si>
  <si>
    <t xml:space="preserve">2-s2.0-85135549686</t>
  </si>
  <si>
    <t xml:space="preserve">Wai C.H.; Jin J.; Cyrklaff M.; Genoud C.; Funaya C.; Sattler J.; Maceski A.; Meier S.; Heiland S.; Lanzer M.; Frischknecht F.; Kuhle J.; Bendszus M.; Hoffmann A.</t>
  </si>
  <si>
    <t xml:space="preserve">Wai, Chi Ho (57385416100); Jin, Jessica (57205534449); Cyrklaff, Marek (57207906409); Genoud, Christel (6507674239); Funaya, Charlotta (24365940600); Sattler, Julia (35849373900); Maceski, Aleksandra (57199174415); Meier, Stephanie (57224898771); Heiland, Sabine (23088556800); Lanzer, Michael (7003535488); Frischknecht, Friedrich (35606443300); Kuhle, Jens (8937520800); Bendszus, Martin (7006493496); Hoffmann, Angelika (8569130200)</t>
  </si>
  <si>
    <t xml:space="preserve">57385416100; 57205534449; 57207906409; 6507674239; 24365940600; 35849373900; 57199174415; 57224898771; 23088556800; 7003535488; 35606443300; 8937520800; 7006493496; 8569130200</t>
  </si>
  <si>
    <t xml:space="preserve">Neurofilament light chain plasma levels are associated with area of brain damage in experimental cerebral malaria</t>
  </si>
  <si>
    <t xml:space="preserve">Neurofilament light chain (NfL), released during central nervous injury, has evolved as a powerful serum marker of disease severity in many neurological disorders, including infectious diseases. So far NfL has not been assessed in cerebral malaria in human or its rodent model experimental cerebral malaria (ECM), a disease that can lead to fatal brain edema or reversible brain edema. In this study we assessed if NfL serum levels can also grade disease severity in an ECM mouse model with reversible (n = 11) and irreversible edema (n = 10). Blood–brain-barrier disruption and brain volume were determined by magnetic resonance imaging. Neurofilament density volume as well as structural integrity were examined by electron microscopy in regions of most severe brain damage (olfactory bulb (OB), cortex and brainstem). NfL plasma levels in mice with irreversible edema (317.0 ± 45.01 pg/ml) or reversible edema (528.3 ± 125.4 pg/ml) were significantly increased compared to controls (103.4 ± 25.78 pg/ml) by three to five fold, but did not differ significantly in mice with reversible or irreversible edema. In both reversible and irreversible edema, the brain region most affected was the OB with highest level of blood–brain-barrier disruption and most pronounced decrease in neurofilament density volume, which correlated with NfL plasma levels (r = − 0.68, p = 0.045). In cortical and brainstem regions neurofilament density was only decreased in mice with irreversible edema and strongest in the brainstem. In reversible edema NfL plasma levels, MRI findings and neurofilament volume density normalized at 3 months’ follow-up. In conclusion, NfL plasma levels are elevated during ECM confirming brain damage. However, NfL plasma levels fail short on reliably indicating on the final outcomes in the acute disease stage that could be either fatal or reversible. Increased levels of plasma NfL during the acute disease stage are thus likely driven by the anatomical location of brain damage, the olfactory bulb, a region that serves as cerebral draining pathway into the nasal lymphatics. © 2022, The Author(s).</t>
  </si>
  <si>
    <t xml:space="preserve">10.1038/s41598-022-14291-x</t>
  </si>
  <si>
    <t xml:space="preserve">https://www.scopus.com/inward/record.uri?eid=2-s2.0-85132870299&amp;doi=10.1038%2fs41598-022-14291-x&amp;partnerID=40&amp;md5=ebf886874525b08caa5087992a78f0d1</t>
  </si>
  <si>
    <t xml:space="preserve">Department of Neuroradiology, Heidelberg University Hospital, Heidelberg, Germany; Centre for Infectious Diseases, Parasitology Unit, Heidelberg University Hospital, Heidelberg, Germany; Electron Microscopy Facility, Faculty of Biology and Medicine, University of Lausanne, Lausanne, Switzerland; Electron Microscopy Core Facility, Heidelberg University, Heidelberg, Germany; Neurologic Clinic and Policlinic, MS Center and Research Center for Clinical Neuroimmunology and Neuroscience Basel (RC2NB), University Hospital Basel, University of Basel, Basel, Switzerland; German Center for Infection Research (DZIF), Heidelberg, Germany; Department of Neuroradiology, University Institute of Diagnostic and Interventional Neuroradiology, University Hospital Bern, Inselspital, University of Bern, Freiburgstrasse, Bern, 3010, Switzerland</t>
  </si>
  <si>
    <t xml:space="preserve">Wai C.H., Department of Neuroradiology, Heidelberg University Hospital, Heidelberg, Germany, Centre for Infectious Diseases, Parasitology Unit, Heidelberg University Hospital, Heidelberg, Germany; Jin J., Department of Neuroradiology, Heidelberg University Hospital, Heidelberg, Germany, Centre for Infectious Diseases, Parasitology Unit, Heidelberg University Hospital, Heidelberg, Germany; Cyrklaff M., Centre for Infectious Diseases, Parasitology Unit, Heidelberg University Hospital, Heidelberg, Germany; Genoud C., Electron Microscopy Facility, Faculty of Biology and Medicine, University of Lausanne, Lausanne, Switzerland; Funaya C., Electron Microscopy Core Facility, Heidelberg University, Heidelberg, Germany; Sattler J., Centre for Infectious Diseases, Parasitology Unit, Heidelberg University Hospital, Heidelberg, Germany; Maceski A., Neurologic Clinic and Policlinic, MS Center and Research Center for Clinical Neuroimmunology and Neuroscience Basel (RC2NB), University Hospital Basel, University of Basel, Basel, Switzerland; Meier S., Neurologic Clinic and Policlinic, MS Center and Research Center for Clinical Neuroimmunology and Neuroscience Basel (RC2NB), University Hospital Basel, University of Basel, Basel, Switzerland; Heiland S., Department of Neuroradiology, Heidelberg University Hospital, Heidelberg, Germany; Lanzer M., Centre for Infectious Diseases, Parasitology Unit, Heidelberg University Hospital, Heidelberg, Germany; Frischknecht F., Centre for Infectious Diseases, Parasitology Unit, Heidelberg University Hospital, Heidelberg, Germany, German Center for Infection Research (DZIF), Heidelberg, Germany; Kuhle J., Neurologic Clinic and Policlinic, MS Center and Research Center for Clinical Neuroimmunology and Neuroscience Basel (RC2NB), University Hospital Basel, University of Basel, Basel, Switzerland; Bendszus M., Department of Neuroradiology, Heidelberg University Hospital, Heidelberg, Germany; Hoffmann A., Department of Neuroradiology, Heidelberg University Hospital, Heidelberg, Germany, Department of Neuroradiology, University Institute of Diagnostic and Interventional Neuroradiology, University Hospital Bern, Inselspital, University of Bern, Freiburgstrasse, Bern, 3010, Switzerland</t>
  </si>
  <si>
    <t xml:space="preserve">Acute Disease; Animals; Biomarkers; Brain; Brain Edema; Brain Injuries; Intermediate Filaments; Malaria, Cerebral; Mice; Neurofilament Proteins; biological marker; neurofilament protein; acute disease; animal; brain; brain edema; brain injury; cerebral malaria; diagnostic imaging; intermediate filament; mouse</t>
  </si>
  <si>
    <t xml:space="preserve">Biomarkers, ; Neurofilament Proteins, </t>
  </si>
  <si>
    <t xml:space="preserve">MMPU; Deutsches Zentrum für Infektionsforschung, DZIF; Deutsche Forschungsgemeinschaft, DFG; Universität Heidelberg</t>
  </si>
  <si>
    <t xml:space="preserve">The expert technical assistance of Miriam Reinig, Stephanie Gold, Sebastian Weber and Manuel Fischer is gratefully acknowledged. We thank Stefan Hillmer and the Electron Microscopy Core Facility of Heidelberg University for their valuable support. Angelika Hoffmann was supported by a sCDF fellowship of the MMPU partnership unit. Jessica Jin and Chi Ho Wai were supported by an MD fellowship from the German Centre for Infection Research (Deutsches Zentrum fuer Infektionsforschung, DZIF). For the publication fee we acknowledge financial support by Deutsche Forschungsgemeinschaft within the funding programme “Open Access Publikationskosten” as well as by Heidelberg University. </t>
  </si>
  <si>
    <t xml:space="preserve">Preische O., Et al., Serum neurofilament dynamics predicts neurodegeneration and clinical progression in presymptomatic Alzheimer's disease, Nat. Med., 25, pp. 277-283, (2019); Disanto G., Et al., Serum Neurofilament light: A biomarker of neuronal damage in multiple sclerosis, Ann. Neurol., 81, pp. 857-870, (2017); Onatsu J., Et al., Serum neurofilament light chain concentration correlates with infarct volume but not prognosis in acute ischemic stroke, J. Stroke Cerebrovasc. Dis., 28, pp. 2242-2249, (2019); Shahim P., Et al., Serum neurofilament light protein predicts clinical outcome in traumatic brain injury, Sci. Rep., 6, (2016); Yuan A., Rao M.V., Nixon R.A., Neurofilaments and neurofilament proteins in health and disease, Cold Spring Harb. Perspect. Biol., 9, (2017); Wuerker R.B., Kirkpatrick J.B., Neuronal microtubules, neurofilaments, and microfilaments, Int. Rev. Cytol., 33, pp. 45-75, (1972); Wuerker R.B., Palay S.L., Neurofilaments and microtubules in anterior horn cells of the rat, Tissue Cell, 1, pp. 387-402, (1969); Gisslen M., Et al., Plasma concentration of the neurofilament light protein (NFL) is a biomarker of CNS injury in HIV infection: A cross-sectional study, EBioMedicine, 3, pp. 135-140, (2016); Tyrberg T., Nilsson S., Blennow K., Zetterberg H., Grahn A., Serum and cerebrospinal fluid neurofilament light chain in patients with central nervous system infections caused by varicella-zoster virus, J. Neurovirol., 26, pp. 719-726, (2020); Sutter R., Et al., Serum neurofilament light chain levels in the intensive care unit: Comparison between severely ill patients with and without coronavirus disease 2019, Ann. Neurol., 89, pp. 610-616, (2021); Le N.D., Et al., Evaluation of neurofilament light chain in the cerebrospinal fluid and blood as a biomarker for neuronal damage in experimental pneumococcal meningitis, J. Neuroinflamm., 17, (2020); Schiess N., Et al., Pathophysiology and neurologic sequelae of cerebral malaria, Malar. J., 19, (2020); Seydel K.B., Et al., Brain swelling and death in children with cerebral malaria, N. Engl. J. Med., 372, pp. 1126-1137, (2015); Sahu P.K., Et al., Brain magnetic resonance imaging reveals different courses of disease in pediatric and adult cerebral malaria, Clin. Infect. Dis., (2020); Mohanty S., Et al., Magnetic resonance imaging of cerebral malaria patients reveals distinct pathogenetic processes in different parts of the brain, mSphere, (2017); Jin J., Et al., Transcellular blood-brain barrier disruption in malaria-induced reversible brain edema, Life Sci. Alliance, 5, (2022); Dorovini-Zis K., Et al., The neuropathology of fatal cerebral malaria in Malawian children, Am. J. Pathol., 178, pp. 2146-2158, (2011); Gerber J., Seitz R.C., Bunkowski S., Bruck W., Nau R., Evidence for frequent focal and diffuse acute axonal injury in human bacterial meningitis, Clin. Neuropathol., 28, pp. 33-39, (2009); Greiner J., Et al., Correlation of hemorrhage, axonal damage, and blood-tissue barrier disruption in brain and retina of Malawian children with fatal cerebral malaria, Front. Cell Infect. Microbiol., 5, (2015); Nishanth G., Schluter D., Blood-brain barrier in cerebral malaria: Pathogenesis and therapeutic intervention, Trends Parasitol., 35, pp. 516-528, (2019); Zhao H., Et al., Olfactory plays a key role in spatiotemporal pathogenesis of cerebral malaria, Cell Host Microbe, 15, pp. 551-563, (2014); Hoffmann A., Et al., Experimental cerebral malaria spreads along the rostral migratory stream, PLoS Pathog, 12, (2016); Strangward P., Et al., A quantitative brain map of experimental cerebral malaria pathology, PLoS Pathog., 13, (2017); Shaw T.N., Et al., Perivascular arrest of CD8+ T cells is a signature of experimental cerebral malaria, PLoS Pathog., 11, (2015); Uher T., Et al., Neurofilament levels are associated with blood-brain barrier integrity, lymphocyte extravasation, and risk factors following the first demyelinating event in multiple sclerosis, Mult. Scler., 27, pp. 220-231, (2021); Pekny M., Et al., Neurofilament Light Chain (NfL) in Blood-A biomarker predicting unfavourable outcome in the acute phase and improvement in the late phase after stroke, Cells, (2021); Bakker E.N., Et al., Lymphatic clearance of the brain: Perivascular, paravascular and significance for neurodegenerative diseases, Cell Mol. Neurobiol., 36, pp. 181-194, (2016); Weller R.O., Djuanda E., Yow H.Y., Carare R.O., Lymphatic drainage of the brain and the pathophysiology of neurological disease, Acta Neuropathol., 117, pp. 1-14, (2009); Kida S., Pantazis A., Weller R.O., CSF drains directly from the subarachnoid space into nasal lymphatics in the rat. Anatomy, histology and immunological significance, Neuropathol. Appl. Neurobiol., 19, pp. 480-488, (1993); Norwood J.N., Et al., Anatomical basis and physiological role of cerebrospinal fluid transport through the murine cribriform plate, Elife, (2019); Iliff J.J., Et al., A paravascular pathway facilitates CSF flow through the brain parenchyma and the clearance of interstitial solutes, including amyloid beta, Sci. Transl. Med., 4, (2012); Wu N., Rao X., Gao Y., Wang J., Xu F., Amyloid-beta deposition and olfactory dysfunction in an Alzheimer's disease model, J. Alzheimers Dis., 37, pp. 699-712, (2013); Li S., Et al., Olfactory deficit is associated with mitral cell dysfunction in the olfactory bulb of P301S tau transgenic mice, Brain Res. Bull., 148, pp. 34-45, (2019); Tzeng W.Y., Figarella K., Garaschuk O., Olfactory impairment in men and mice related to aging and amyloid-induced pathology, Pflugers Arch., 473, pp. 805-821, (2021); de Leon M.J., Et al., Cerebrospinal fluid clearance in alzheimer disease measured with dynamic PET, J. Nucl. Med., 58, pp. 1471-1476, (2017); Da Mesquita S., Et al., Functional aspects of meningeal lymphatics in ageing and Alzheimer's disease, Nature, 560, pp. 185-191, (2018); Tiedt S., Et al., Serum neurofilament light: A biomarker of neuroaxonal injury after ischemic stroke, Neurology, 91, pp. e1338-e1347, (2018); Ingvar M., Morgan P.F., Auer R.N., The nature and timing of excitotoxic neuronal necrosis in the cerebral cortex, hippocampus and thalamus due to flurothyl-induced status epilepticus, Acta Neuropathol., 75, pp. 362-369, (1988); Mages B., Et al., Impaired neurofilament integrity and neuronal morphology in different models of focal cerebral ischemia and human stroke tissue, Front. Cell Neurosci., 12, (2018); Mages B., Et al., The cytoskeletal elements MAP2 and NF-L Show substantial alterations in different stroke models while elevated serum levels highlight especially MAP2 as a sensitive biomarker in stroke patients, Mol. Neurobiol., 58, pp. 4051-4069, (2021); Penet M.F., Et al., Imaging experimental cerebral malaria in vivo: Significant role of ischemic brain edema, J. Neurosci., 25, pp. 7352-7358, (2005); Swanson P.A., Et al., CD8+ T cells induce fatal brainstem pathology during cerebral malaria via luminal antigen-specific engagement of brain vasculature, PLoS Pathog., 12, (2016); Bangirana P., Et al., Severe malarial anemia is associated with long-term neurocognitive impairment, Clin. Infect. Dis., 59, pp. 336-344, (2014); Jin J., Et al., Reversible brain edema in experimental cerebral malaria is associated with transcellular blood-brain barrier disruption and delayed occurrence of microhemorrhages, bioRxiv, (2021); Senanayake N., Roman G.C., Neurological complications of malaria, Southeast Asian J. Trop. Med. Public Health, 23, pp. 672-680, (1992); Agrawal S., Et al., Does anemia affects cognitive functions in neurologically intact adult patients: Two year cross sectional study at rural tertiary care hospital, J. Fam. Med. Prim. Care, 8, pp. 3005-3008, (2019); Conroy A.L., Et al., Acute kidney injury is associated with impaired cognition and chronic kidney disease in a prospective cohort of children with severe malaria, BMC Med., 17, (2019); Lopez-Franco O., Et al., Cognitive impairment after resolution of hepatic encephalopathy: A systematic review and meta-analysis, Front. Neurosci., 15, (2021); Heiss K., Et al., Protection from experimental cerebral malaria with a single intravenous or subcutaneous whole-parasite immunization, Sci. Rep., 8, (2018); Lewis M.D., Pfeil J., Mueller A.K., Continuous oral chloroquine as a novel route for Plasmodium prophylaxis and cure in experimental murine models, BMC Res. Notes, 4, (2011); Carroll R.W., Et al., A rapid murine coma and behavior scale for quantitative assessment of murine cerebral malaria, PLoS ONE, 5, (2010); Mastronarde D.N., Automated electron microscope tomography using robust prediction of specimen movements, J. Struct. Biol., 152, pp. 36-51, (2005); Ng L., Et al., An anatomic gene expression atlas of the adult mouse brain, Nat. Neurosci., 12, pp. 356-362, (2009); Schindelin J., Et al., Fiji: An open-source platform for biological-image analysis, Nat. Methods, 9, pp. 676-682, (2012); Gaiottino J., Et al., Increased neurofilament light chain blood levels in neurodegenerative neurological diseases, PLoS ONE, 8, (2013); Bacioglu M., Et al., Neurofilament light chain in blood and CSF as marker of disease progression in mouse models and in neurodegenerative diseases, Neuron, 91, pp. 56-66, (2016); Valentin M.A., Ma S., Zhao A., Legay F., Avrameas A., Validation of immunoassay for protein biomarkers: Bioanalytical study plan implementation to support pre-clinical and clinical studies, J. Pharm. Biomed. Anal., 55, pp. 869-877, (2011)</t>
  </si>
  <si>
    <t xml:space="preserve">A. Hoffmann; Department of Neuroradiology, University Institute of Diagnostic and Interventional Neuroradiology, University Hospital Bern, Inselspital, University of Bern, Bern, Freiburgstrasse, 3010, Switzerland; email: angelika.hoffmann@insel.ch</t>
  </si>
  <si>
    <t xml:space="preserve">2-s2.0-85132870299</t>
  </si>
  <si>
    <t xml:space="preserve">Falconi-Agapito F.; Kerkhof K.; Merino X.; Bakokimi D.; Torres F.; Van Esbroeck M.; Talledo M.; Ariën K.K.</t>
  </si>
  <si>
    <t xml:space="preserve">Falconi-Agapito, Francesca (56156826200); Kerkhof, Karen (56815019300); Merino, Xiomara (57215831650); Bakokimi, Diana (57223163768); Torres, Fiorella (57216746412); Van Esbroeck, Marjan (12753496000); Talledo, Michael (35338193500); Ariën, Kevin K. (8984315900)</t>
  </si>
  <si>
    <t xml:space="preserve">56156826200; 56815019300; 57215831650; 57223163768; 57216746412; 12753496000; 35338193500; 8984315900</t>
  </si>
  <si>
    <t xml:space="preserve">Peptide Biomarkers for the Diagnosis of Dengue Infection</t>
  </si>
  <si>
    <t xml:space="preserve">In a world with an increasing population at risk of exposure to arthropod-borne flaviviruses, access to timely and accurate diagnostic tests would impact profoundly on the management of cases. Twenty peptides previously identified using a flavivirus proteome-wide microarray were evaluated to determine their discriminatory potential to detect dengue virus (DENV) infection. This included nine peptides recognized by IgM antibodies (PM peptides) and 11 peptides recognized by IgG antibodies (PG peptides). A bead-based multiplex peptide immunoassay (MPIA) using the Luminex technology was set-up to determine Ab binding levels to each of these peptides in a panel of 323 carefully selected human serum samples. Sera are derived from individuals either infected with different viruses, namely, the four DENV serotypes, Zika virus (ZIKV), yellow fever virus (YFV), chikungunya virus (CHIKV), West Nile virus (WNV) and Human immunodeficiency virus (HIV), or receiving vaccination against YFV, tick-borne encephalitis (TBEV), and Japanese encephalitis virus (JEV). Additionally, a set of healthy controls were included. We targeted a minimum specificity of 80% for all the analysis. The PG-9 peptide had the best sensitivity (73%) when testing DENV sera from acute patients (A-DENV; &lt;8 days since symptom onset). With sera from convalescent DENV patients (C-DENV; &gt;10 days since symptom onset) the FPG-1 peptide was the best seromarker with a sensitivity of 86%. When combining all A-DENV and C-DENV samples, peptides PM-22 and FPG-1 had the best-diagnostic performance with a sensitivity of 60 and 61.1%, and areas under the curve (AUC) of 0.7865 and 0.8131, respectively. A Random forest (RF) algorithm was used to select the best combination of peptides to classify DENV infection at a targeted specificity &gt;80%. The best RF model for PM peptides that included A-DENV and C-DENV samples, reached a sensitivity of 72.3%, while for PG peptides, the best RF models for A-DENV only, C-DENV only and A-DENV + C-DENV reached a sensitivity of 88.9%, 89.1%, and 88.3%, respectively. In conclusion, the combination of multiple peptides constitutes a founding set of seromarkers for the discrimination of DENV infected individuals from other flavivirus infections. Copyright © 2022 Falconi-Agapito, Kerkhof, Merino, Bakokimi, Torres, Van Esbroeck, Talledo and Ariën.</t>
  </si>
  <si>
    <t xml:space="preserve">10.3389/fimmu.2022.793882</t>
  </si>
  <si>
    <t xml:space="preserve">https://www.scopus.com/inward/record.uri?eid=2-s2.0-85124508072&amp;doi=10.3389%2ffimmu.2022.793882&amp;partnerID=40&amp;md5=9a5518cea2e39fb94a50ecfe9c891d17</t>
  </si>
  <si>
    <t xml:space="preserve">Department of Biomedical Sciences, Unit of Virology, Institute of Tropical Medicine, Antwerp, Belgium; Virology Unit, Instituto de Medicina Tropical Alexander von Humboldt, Universidad Peruana Cayetano Heredia, Lima, Peru; Hospital Santa Gema, Yurimaguas, Peru; Department of Clinical Sciences, National Reference Center for Arboviruses, Institute of Tropical Medicine, Antwerp, Belgium; Department of Biomedical Sciences, University of Antwerp, Antwerp, Belgium</t>
  </si>
  <si>
    <t xml:space="preserve">Falconi-Agapito F., Department of Biomedical Sciences, Unit of Virology, Institute of Tropical Medicine, Antwerp, Belgium, Virology Unit, Instituto de Medicina Tropical Alexander von Humboldt, Universidad Peruana Cayetano Heredia, Lima, Peru; Kerkhof K., Department of Biomedical Sciences, Unit of Virology, Institute of Tropical Medicine, Antwerp, Belgium; Merino X., Virology Unit, Instituto de Medicina Tropical Alexander von Humboldt, Universidad Peruana Cayetano Heredia, Lima, Peru; Bakokimi D., Department of Biomedical Sciences, Unit of Virology, Institute of Tropical Medicine, Antwerp, Belgium; Torres F., Hospital Santa Gema, Yurimaguas, Peru; Van Esbroeck M., Department of Clinical Sciences, National Reference Center for Arboviruses, Institute of Tropical Medicine, Antwerp, Belgium; Talledo M., Virology Unit, Instituto de Medicina Tropical Alexander von Humboldt, Universidad Peruana Cayetano Heredia, Lima, Peru; Ariën K.K., Department of Biomedical Sciences, Unit of Virology, Institute of Tropical Medicine, Antwerp, Belgium, Department of Biomedical Sciences, University of Antwerp, Antwerp, Belgium</t>
  </si>
  <si>
    <t xml:space="preserve">arbovirus; dengue peptide; immunoassay; luminex; random forest; ROC analysis; seromarkers</t>
  </si>
  <si>
    <t xml:space="preserve">Adolescent; Adult; Aged; Antibodies, Viral; Biomarkers; Child; Child, Preschool; Dengue; Dengue Virus; Enzyme-Linked Immunosorbent Assay; Female; Humans; Immunoglobulin G; Immunoglobulin M; Male; Middle Aged; Peptides; Peru; Prognosis; Proteome; Proteomics; Reagent Kits, Diagnostic; Reproducibility of Results; ROC Curve; Viral Proteins; Young Adult; biological marker; immunoglobulin G; immunoglobulin G antibody; immunoglobulin M; immunoglobulin M antibody; microsphere; peptide; rheumatoid factor; immunoglobulin G; immunoglobulin M; proteome; viral protein; virus antibody; adult; antibody detection; antibody response; arthralgia; Article; chikungunya; controlled study; dengue; diagnostic test accuracy study; enzyme linked immunosorbent assay; female; fever; Flavivirus; follow up; headache; human; Human immunodeficiency virus; immunoassay; longitudinal study; machine learning; major clinical study; male; middle aged; myalgia; prediction; preschool child; real time polymerase chain reaction; receiver operating characteristic; sensitivity and specificity; tick borne encephalitis; vaccination; yellow fever; young adult; adolescent; aged; blood; child; dengue; Dengue virus; diagnostic kit; microbiology; Peru; physiology; procedures; prognosis; proteomics; reproducibility</t>
  </si>
  <si>
    <t xml:space="preserve">immunoglobulin G, 97794-27-9; immunoglobulin M, 9007-85-6; rheumatoid factor, 9009-79-4; Antibodies, Viral, ; Biomarkers, ; Immunoglobulin G, ; Immunoglobulin M, ; Peptides, ; Proteome, ; Reagent Kits, Diagnostic, ; Viral Proteins, </t>
  </si>
  <si>
    <t xml:space="preserve">Belgian Ministry of Social Affairs; ITM University-Gwalior, ITM; Belgian Directorate-general Development Cooperation and Humanitarian Aid; Horizon 2020 Framework Programme, H2020, (734584); Agentschap Innoveren en Ondernemen, VLAIO, (HBC.2018.0327); Fonds Wetenschappelijk Onderzoek, FWO, (G054820N)</t>
  </si>
  <si>
    <t xml:space="preserve">Funding text 1: This work was supported by the Belgian Directorate-general Development Cooperation and Humanitarian Aid (DGD) for the Framework Agreement 4 project (2017\u20132021), the European Union\u2019s Horizon 2020 research and innovation program, under the ZikaPLAN grant agreement 734584.4, the Research Foundation Flanders (FWO grant number G054820N) (to KKA) and the Flanders Innovation &amp; Entrepreneurship (VLAIO) program for the Innovation mandate [HBC.2018.0327] to KK. FF-A holds a PhD scholarship funded by the DGD. The National Reference Center for Arboviruses of the ITM is partially supported by the Belgian Ministry of Social Affairs through a fund within the Health Insurance System.; Funding text 2: We thank the staff from the Hospital de Santa Gema in Yurimaguas and from National Reference Center for Arboviruses at the ITM for their high-quality work and dedication in patient recruitment. We\u00A0also thank the study participants for donating their time and samples.</t>
  </si>
  <si>
    <t xml:space="preserve">Cogan J.E., Dengue and Severe Dengue, (2021); Bhatt S., Gething P.W., Brady O.J., Messina J.P., Farlow A.W., Moyes C.L., Et al., The Global Distribution and Burden of Dengue, Nature, 496, (2013); Reported Cases of Dengue Fever in The Americas, (2020); Kerkhof K., Falconi-Agapito F., Van Esbroeck M., Talledo M., Arien K.K., Reliable Serological Diagnostic Tests for Arboviruses: Feasible or Utopia, Trends Microbiol, 28, (2020); Premkumar L., Collins M., Graham S., Liou G.J.A., Lopez C.A., Jadi R., Et al., Development of Envelope Protein Antigens to Serologically Differentiate Zika Virus Infection From Dengue Virus Infection, J Clin Microbiol, 56, pp. 1-13, (2018); Priyamvada L., Hudson W., Ahmed R., Wrammert J., Humoral Cross-Reactivity Between Zika and Dengue Viruses: Implications for Protection and Pathology, Emerg Microbes Infect, 6, (2017); van Meer M.P.A., Mogling R., Klaasse J., Chandler F.D., Pas S.D., van der Eijk A.A., Et al., Re-Evaluation of Routine Dengue Virus Serology in Travelers in the Era of Zika Virus Emergence, J Clin Virol, 92, pp. 25-31, (2017); Girard M., Nelson C.B., Picot V., Gubler D.J., Arboviruses: A Global Public Health Threat, Vaccine, 38, (2020); Malafa S., Medits I., Aberle J.H., Aberle S.W., Haslwanter D., Tsouchnikas G., Et al., Impact of Flavivirus Vaccine-Induced Immunity on Primary Zika Virus Antibody Response in Humans, PloS Negl Trop Dis, 14, pp. 1-27, (2020); Araujo S.C., Pereira L.R., Alves R.P.S., Andreata-Santos R., Kanno A.I., Ferreira L.C.S., Et al., Anti-Flavivirus Vaccines: Review of the Present Situation and Perspectives of Subunit Vaccines Produced in Escherichia Coli, Vaccines, 8, (2020); Arien K.K., Wilder-Smith A., Dengue Vaccine: Reliably Determining Previous Exposure, Lancet Glob Heal, 6, (2018); Echegaray F., Laing P., Hernandez S., Marquez S., Harris A., Laing I., Et al., Adapting Rapid Diagnostic Tests to Detect Historical Dengue Virus Infections, Front Immunol, 12, (2021); Muller D.A., Depelsenaire A.C.I., Young P.R., Clinical and Laboratory Diagnosis of Dengue Virus Infection, J Infect Dis, 215, (2017); Hunsperger E.A., Yoksan S., Buchy P., Nguyen V.C., Sekaran S.D., Enria D.A., Et al., Evaluation of Commercially Available Diagnostic Tests for the Detection of Dengue Virus NS1 Antigen and Anti-Dengue Virus IgM Antibody, PloS Negl Trop Dis, 8, (2014); Welch R.J., Chang G.-J.J., Litwin C.M., Comparison of a Commercial Dengue IgM Capture ELISA With Dengue Antigen Focus Reduction Microneutralization Test and the Centers for Disease Control Dengue IgM Capture-ELISA, J Virol Methods, 195, (2014); Nagar P.K., Savargaonkar D., Anvikar A.R., Detection of Dengue Virus-Specific IgM and IgG Antibodies Through Peptide Sequences of Envelope and NS1 Proteins for Serological Identification, J Immunol Res, 2020, (2020); Luo R., Fongwen N., Kelly-Cirino C., Harris E., Wilder-Smith A., Peeling R.W., Rapid Diagnostic Tests for Determining Dengue Serostatus: A Systematic Review and Key Informant Interviews, Clin Microbiol Infect, 25, (2019); Balmaseda A., Stettler K., Medialdea-Carrera R., Collado D., Jin X., Zambrana J.V., Et al., Antibody-Based Assay Discriminates Zika Virus Infection From Other Flaviviruses, Proc Natl Acad Sci USA, 114, (2017); Wilder-Smith A., Ooi E.E., Horstick O., Wills B., Dengue, Lancet, 393, (2019); Parameswaran P., Liu Y., Roskin K.M., Jackson K.K.L., Dixit V.P., Lee J.-Y., Et al., Convergent Antibody Signatures in Human Dengue, Cell Host Microbe, 13, pp. 691-700, (2013); Simmons G., Stone M., Busch M.P., Arbovirus Diagnostics: From Bad to Worse Due to Expanding Dengue Virus Vaccination and Zika Virus Epidemics, Clin Infect Dis, 66, (2018); Falconi-Agapito F., Kerkhof K., Merino X., Michiels J., Van Esbroeck M., Bartholomeeusen K., Et al., Dynamics of the Magnitude, Breadth and Depth of the Antibody Response at Epitope Level Following Dengue Infection, Front Immunol, 12, (2021); Leparc-Goffart I., Baragatti M., Temmam S., Tuiskunen A., Moureau G., Charrel R., Et al., Development and Validation of Real-Time One-Step Reverse Transcription-PCR for the Detection and Typing of Dengue Viruses, J Clin Virol, 45, (2009); Johnson B.W., Russell B.J., Lanciotti R.S., Serotype-Specific Detection of Dengue Viruses in a Fourplex Real-Time Reverse Transcriptase PCR Assay, J Clin Microbiol, 43, (2005); Santiago G.A., Vergne E., Quiles Y., Cosme J., Vazquez J., Medina J.F., Et al., Analytical and Clinical Performance of the CDC Real Time RT-PCR Assay for Detection and Typing of Dengue Virus, PloS Negl Trop Dis, 7, (2013); Verschueren J., Cnops L., van Esbroeck M., Twelve Years of Dengue Surveillance in Belgian Travellers and Significant Increases in the Number of Cases in 2010 and 2013, Clin Microbiol Infect, 21, (2015); Van den Bossche D., Michiels J., Cnops L., Foque N., Meersman K., Huits R., Et al., Challenges in Diagnosing Zika—Experiences From a Reference Laboratory in a Non-Endemic Setting, Eur J Clin Microbiol Infect Dis, 38, (2019); Mercier-Delarue S., Durier C., Colin de Verdiere N., Poveda J.-D., Meiffredy V., Fernandez Garcia M.D., Et al., Screening Test for Neutralizing Antibodies Against Yellow Fever Virus, Based on a Flavivirus Pseudotype, PloS One, 12, (2017); Van Den Boossche D., Cnops L., Meersman K., Domingo C., Van Gompel A., Van Esbroeck M., Chikungunya Virus and West Nile Virus Infections Imported Into Belgium, 2007–2012, Epidemiol Infect, 143, (2015); Ambrosino E., Dumoulin C., Orlandi-Pradines E., Remoue F., Toure-Balde A., Tall A., Et al., A Multiplex Assay for the Simultaneous Detection of Antibodies Against 15 Plasmodium Falciparum and Anopheles Gambiae Saliva Antigens, Malar J, 9, (2010); Kerkhof K., Canier L., Kim S., Heng S., Sochantha T., Sovannaroth S., Et al., Implementation and Application of a Multiplex Assay to Detect Malaria-Specific Antibodies: A Promising Tool for Assessing Malaria Transmission in Southeast Asian Pre-Elimination Areas, Malar J, 14, (2015); Breiman L., Cutler A., Breiman and Cutler’s Random Forests for Classification and Regression, Cran Repos, 29, (2018); Rosado J., Pelleau S., Cockram C., Merkling S.H., Nekkab N., Demeret C., Et al., Multiplex Assays for the Identification of Serological Signatures of SARS-CoV-2 Infection: An Antibody-Based Diagnostic and Machine Learning Study, Lancet Microbe, 2, (2021); Versiani A.F., Rocha R.P., Mendes T.A.O., Pereira G.C., Coelho dos Reis J.G.A., Bartholomeu D.C., Et al., Identification of B-Cell Epitopes With Potential to Serologicaly Discrimnate Dengue From Zika Infections, Viruses, 11, (2019); Manning J., Zaidi I., Lon C., Rosas L.A., Park J.-K., Ponce A., Et al., Pre-Pandemic SARS-CoV-2 Serological Reactivity in Rural Malaria-Experienced Cambodians, MedRxiv Prepr Serv Heal Sci, 2021, (2021); Lapidus S., Liu F., Casanovas-Massana A., Dai Y., Huck J.D., Lucas C., Et al., Plasmodium Infection Induces Cross-Reactive Antibodies to Carbohydrate Epitopes on the SARS-CoV-2 Spike Protein, MedRxiv Prepr Serv Heal Sci, (2021); Hertz T., Beatty P.R., MacMillen Z., Killingbeck S.S., Wang C., Harris E., Antibody Epitopes Identified in Critical Regions of Dengue Virus Nonstructural 1 Protein in Mouse Vaccination and Natural Human Infections, J Immunol, 198, (2017); Rastogi M., Sharma N., Singh S.K., Flavivirus NS1: A Multifaceted Enigmatic Viral Protein, Virol J, 13, (2016); Fumagalli M.J., Figueiredo L.T.M., Aquino V.H., Linear and Continuous Flavivirus Epitopes From Naturally Infected Humans, Front Cell Infect Microbiol, 11, (2021); Mishra N., Caciula A., Price A., Thakkar R., Ng J., Chauhan L., Et al., Diagnosis of Zika Virus Infection by Peptide Array and ELISA, MBio, 9, pp. 1-16, (2018)</t>
  </si>
  <si>
    <t xml:space="preserve">K.K. Ariën; Department of Biomedical Sciences, Unit of Virology, Institute of Tropical Medicine, Antwerp, Belgium; email: karien@itg.be</t>
  </si>
  <si>
    <t xml:space="preserve">2-s2.0-85124508072</t>
  </si>
  <si>
    <t xml:space="preserve">Rogier E.; Bakari C.; Mandara C.I.; Chiduo M.G.; Plucinski M.; Nace D.; Battle N.; Chacky F.; Rumisha S.F.; Molteni F.; Mandike R.; Mkude S.; Njau R.; Mohamed A.; Udhayakumar V.; Ishengoma D.S.</t>
  </si>
  <si>
    <t xml:space="preserve">Rogier, Eric (24723323200); Bakari, Catherine (57219725563); Mandara, Celine I. (22938539500); Chiduo, Mercy G. (42861276300); Plucinski, Mateusz (54880004600); Nace, Douglas (6603472223); Battle, Nastassia (57990306600); Chacky, Franky (57190389485); Rumisha, Susan F. (15023247400); Molteni, Fabrizio (26635760500); Mandike, Renata (26534587700); Mkude, Sigsbert (26635731600); Njau, Ritha (6508140603); Mohamed, Ally (57195319918); Udhayakumar, Venkatachalam (35474520600); Ishengoma, Deus S. (33067824100)</t>
  </si>
  <si>
    <t xml:space="preserve">24723323200; 57219725563; 22938539500; 42861276300; 54880004600; 6603472223; 57990306600; 57190389485; 15023247400; 26635760500; 26534587700; 26635731600; 6508140603; 57195319918; 35474520600; 33067824100</t>
  </si>
  <si>
    <t xml:space="preserve">Performance of antigen detection for HRP2-based malaria rapid diagnostic tests in community surveys: Tanzania, July–November 2017</t>
  </si>
  <si>
    <t xml:space="preserve">Background: Malaria rapid diagnostic tests (RDTs) based on the detection of the Plasmodium falciparum histidine-rich protein 2 (HRP2) antigen are widely used for detection of active infection with this parasite and are the only practical malaria diagnostic test in some endemic settings. External validation of RDT results from field surveys can confirm appropriate RDT performance. Methods: A community-based cross-sectional survey was conducted between July and November 2017 enrolling participants of all ages in households from 15 villages in four border regions of Tanzania: Geita, Kigoma, Mtwara and Ruvuma. All participants had an RDT performed in the field and provided a blood sample for later laboratory multiplex antigen detection of HRP2. In assessing the continuous HRP2 levels in participant blood versus RDT result, dose–response logistic regression provided quantitative estimates for HRP2 limit of detection (LOD). Results: From the 15 study villages, 6941 persons were enrolled that had a RDT at time of enrollment and provided a DBS for later laboratory antigen detection. RDT positive prevalence for the HRP2 band by village ranged from 20.0 to 43.6%, but the magnitude of this prevalence did not have an effect on the estimated LOD of RDTs utilized in different villages. Overall, HRP2 single-target tests had a lower LOD at the 95% probability of positive RDT (4.3 ng/mL; 95% CI 3.4–5.4) when compared to pLDH/HRP2 dual target tests (5.4 ng/mL; 4.5–6.3), though this difference was not significant. With the exception of one village, all other 14 villages (93.3%) showed RDT LOD estimates at 90% probability of positive RDT between 0.5 and 12.0 ng/mL. Conclusions: Both HRP2-only and pLDH/HRP2 combo RDTs utilized in a 2017 Tanzania cross-sectional survey of border regions generally performed well, and reliably detected HRP2 antigen in the low ng/mL range. Though single target tests had lower levels of HRP2 detection, both tests were within similar ranges among the 15 villages. Comparison of quantitative HRP2 detection limits among study sites can help interpret RDT testing results when generating population prevalence estimates for malaria infection. © 2022, This is a U.S. Government work and not under copyright protection in the US; foreign copyright protection may apply.</t>
  </si>
  <si>
    <t xml:space="preserve">10.1186/s12936-022-04383-4</t>
  </si>
  <si>
    <t xml:space="preserve">https://www.scopus.com/inward/record.uri?eid=2-s2.0-85143182926&amp;doi=10.1186%2fs12936-022-04383-4&amp;partnerID=40&amp;md5=b4cea284c390072ded3d2764d5b27603</t>
  </si>
  <si>
    <t xml:space="preserve">Malaria Branch, Division of Parasitic Diseases and Malaria, Centers for Disease Control and Prevention, Atlanta, 30029, GA, United States; National Institute for Medical Research (NIMR), Dar es Salaam, Tanzania; National Institute for Medical Research, Tanga Research Centre, Tanga, Tanzania; CDC Foundation, Atlanta, GA, United States; National Malaria Control Programme, Dodoma, Tanzania; Malaria Atlas Project, Geospatial Health and Development, Telethon Kids Institute, Perth, WA, Australia; Swiss TPH, Dar es Salaam, Tanzania; World Health Organization Country Office, Dar es Salaam, Tanzania; Harvard T.H Chan School of Public Health, Boston, MA, United States; Faculty of Pharmaceutical Sciences, Monash University, Melbourne, Australia</t>
  </si>
  <si>
    <t xml:space="preserve">Rogier E., Malaria Branch, Division of Parasitic Diseases and Malaria, Centers for Disease Control and Prevention, Atlanta, 30029, GA, United States; Bakari C., National Institute for Medical Research (NIMR), Dar es Salaam, Tanzania; Mandara C.I., National Institute for Medical Research (NIMR), Dar es Salaam, Tanzania; Chiduo M.G., National Institute for Medical Research, Tanga Research Centre, Tanga, Tanzania; Plucinski M., Malaria Branch, Division of Parasitic Diseases and Malaria, Centers for Disease Control and Prevention, Atlanta, 30029, GA, United States; Nace D., Malaria Branch, Division of Parasitic Diseases and Malaria, Centers for Disease Control and Prevention, Atlanta, 30029, GA, United States; Battle N., Malaria Branch, Division of Parasitic Diseases and Malaria, Centers for Disease Control and Prevention, Atlanta, 30029, GA, United States, CDC Foundation, Atlanta, GA, United States; Chacky F., National Malaria Control Programme, Dodoma, Tanzania; Rumisha S.F., National Institute for Medical Research (NIMR), Dar es Salaam, Tanzania, Malaria Atlas Project, Geospatial Health and Development, Telethon Kids Institute, Perth, WA, Australia; Molteni F., Swiss TPH, Dar es Salaam, Tanzania; Mandike R., National Malaria Control Programme, Dodoma, Tanzania; Mkude S., National Malaria Control Programme, Dodoma, Tanzania; Njau R., World Health Organization Country Office, Dar es Salaam, Tanzania; Mohamed A., National Malaria Control Programme, Dodoma, Tanzania; Udhayakumar V., Malaria Branch, Division of Parasitic Diseases and Malaria, Centers for Disease Control and Prevention, Atlanta, 30029, GA, United States; Ishengoma D.S., National Institute for Medical Research (NIMR), Dar es Salaam, Tanzania, Harvard T.H Chan School of Public Health, Boston, MA, United States, Faculty of Pharmaceutical Sciences, Monash University, Melbourne, Australia</t>
  </si>
  <si>
    <t xml:space="preserve">Histidine-rich protein 2; Limit of detection Plasmodium falciparum; Malaria; Rapid diagnostic tests; Tanzania</t>
  </si>
  <si>
    <t xml:space="preserve">Cross-Sectional Studies; Diagnostic Tests, Routine; Histidine; Humans; Malaria; Tanzania; antigen; histidine; histidine rich protein 2; unclassified drug; histidine; antigen detection; Article; blood sampling; community care; controlled study; correlation analysis; cross-sectional study; diagnostic test accuracy study; diagnostic value; dose response; external validity; field study; health survey; household; human; laboratory test; limit of detection; logistic regression analysis; malaria; nonhuman; Plasmodium falciparum; prevalence; probability; quantitative analysis; Tanzania; validation process; diagnostic test; epidemiology; malaria; Tanzania</t>
  </si>
  <si>
    <t xml:space="preserve">histidine, 645-35-2, 7006-35-1, 71-00-1; Histidine, </t>
  </si>
  <si>
    <t xml:space="preserve">Genomics for Malaria Elimination; NEPAD Agency; African Academy of Sciences, AAS; Centers for Disease Control and Prevention, CDC; American Arachnological Society, AAS; Malaria Branch and Catherine Bakari; Tanzanian Ministry of Health; Government of the United Kingdom; New Partnership for Africa's Development, NEPAD; DELGEME, (107740/Z/15/Z); Wellcome Trust, WT, (107740)</t>
  </si>
  <si>
    <t xml:space="preserve">Funding text 1: CB and DSI were supported by Developing Excellence in Leadership and Genomics for Malaria Elimination (DELGEME) project through the DELTAS Africa Initiative (DELGEME grant 107740/Z/15/Z). The DELTAS Africa Initiative was an independent funding scheme of the African Academy of Sciences (AAS)\u2019s Alliance for Accelerating Excellence in Science in Africa (AESA) and supported by the New Partnership for Africa\u2019s Development Planning and Coordinating Agency (NEPAD Agency) with funding from the Wellcome Trust (DELGEME grant 107740/Z/15/Z) and the UK government. The field component of this study was supported by The Global Fund through National Malaria Control Programme of the Tanzanian Ministry of Health. The CDC laboratory work was supported by Malaria Branch and Catherine Bakari\u2019s MSc studies was funded by the DELGEME project with funding from DELTAS Africa Initiative, of the African Academy of Sciences (AAS). ; Funding text 2: The authors would like to thank the survey teams and study participants for their involvement in the survey in which the tested samples were collected. Special thanks to Misago Seth, Daniel Challe, Filbert Francis, Gineson Nkya, Bruno Mmbando for taking part in the planning and/or implementation of the field survey in the eight districts. The findings and conclusions in this report are those of the author(s) and do not necessarily represent the official position of the Centers for Disease Control and Prevention. The views expressed in this publication are those of the author(s) and not necessarily those of AAS, NEPAD Agency, Wellcome Trust, or the UK government.</t>
  </si>
  <si>
    <t xml:space="preserve">World Malaria Report, (2020); Ishengoma D.S., Francis F., Mmbando B.P., Lusingu J.P., Magistrado P., Alifrangis M., Et al., Accuracy of malaria rapid diagnostic tests in community studies and their impact on treatment of malaria in an area with declining malaria burden in north-eastern Tanzania, Malar J, 10, (2011); (2020); Tanzania Fact Sheet, (2020); Chacky F., Runge M., Rumisha S.F., Machafuko P., Chaki P., Massaga J.J., Et al., Nationwide school malaria parasitaemia survey in public primary schools, the United Republic of Tanzania, Malar J, 17, (2018); Guidelines for the treatment of malaria, (2010); Boyce M.R., O'Meara W.P., Use of malaria RDTs in various health contexts across sub-Saharan Africa: a systematic review, BMC Public Health, 17, (2017); Cunningham J., Jones S., Gatton M.L., Barnwell J.W., Cheng Q., Chiodini P.L., Et al., A review of the WHO malaria rapid diagnostic test product testing programme (2008–2018): performance, procurement and policy, Malar J, 18, (2019); Plucinski M., Aidoo M., Rogier E., Laboratory detection of malaria antigens: a strong tool for malaria research, diagnosis, and epidemiology, Clin Microbiol Rev, 34, (2021); Poti K.E., Sullivan D.J., Dondorp A.M., Woodrow C.J., HRP2: transforming malaria diagnosis, but with caveats, Trends Parasitol, 36, 2, pp. 112-126, (2020); Plucinski M.M., Rogier E., Dimbu P.R., Fortes F., Halsey E.S., Aidoo M., Et al., Performance of antigen concentration thresholds for attributing fever to malaria among outpatients in Angola, J Clin Microbiol, 57, pp. e01901-e1918, (2019); Imwong M., Woodrow C.J., Hendriksen I.C., Veenemans J., Verhoef H., Faiz M.A., Et al., Plasma concentration of parasite DNA as a measure of disease severity in falciparum malaria, J Infect Dis, 211, pp. 1128-1133, (2015); Plucinski M.M., Herman C., Jones S., Dimbu R., Fortes F., Ljolje D., Et al., Screening for Pfhrp2/3-deleted Plasmodium falciparum, non-falciparum, and low-density malaria infections by a multiplex antigen assay, J Infect Dis, 219, 3, pp. 437-447, (2019); Markwalter C.F., Gibson L.E., Mudenda L., Kimmel D.W., Mbambara S., Thuma P.E., Et al., Characterization of Plasmodium lactate dehydrogenase and histidine-rich protein 2 clearance patterns via rapid on-bead detection from a single dried blood spot, Am J Trop Med Hyg, 98, pp. 1389-1396, (2018); Jang I.K., Tyler A., Lyman C., Kahn M., Kalnoky M., Rek J.C., Et al., Simultaneous quantification of Plasmodium antigens and host factor C-reactive protein in asymptomatic individuals with confirmed malaria by use of a novel multiplex immunoassay, J Clin Microbiol, 57, pp. e00948-e1018, (2019); Plucinski M., Dimbu R., Candrinho B., Colborn J., Badiane A., Ndiaye D., Et al., Malaria surveys using rapid diagnostic tests and validation of results using post hoc quantification of Plasmodium falciparum histidine-rich protein 2, Malar J, 16, (2017); Bakari C., Jones S., Subramaniam G., Mandara C.I., Chiduo M.G., Rumisha S., Et al., Community-based surveys for Plasmodium falciparum pfhrp2 and pfhrp3 gene deletions in selected regions of mainland Tanzania, Malar J, 19, (2020); Rogier E., Plucinski M., Lucchi N., Mace K., Chang M., Lemoine J.F., Et al., Bead-based immunoassay allows sub-picogram detection of histidine-rich protein 2 from Plasmodium falciparum and estimates reliability of malaria rapid diagnostic tests, PLoS ONE, 12, (2017); The DHS Program; Badiane A., Thwing J., Williamson J., Rogier E., Diallo M.A., Ndiaye D., Sensitivity and specificity for malaria classification of febrile persons by rapid diagnostic test, microscopy, parasite DNA, histidine-rich protein 2, and IgG: Dakar, Senegal 2015, Int J Infect Dis, 121, pp. 92-97, (2022); Belachew M., Wolde M., Nega D., Gidey B., Negash L., Assefa A., Et al., Evaluating performance of multiplex real time PCR for the diagnosis of malaria at elimination targeted low transmission settings of Ethiopia, Malar J, 21, (2022); Benie E.M.A., Silue K.D., Ding X.C., Yeo I., Assamoi J.B., Tuo K., Et al., Accuracy of a rapid diagnosis test, microscopy and loop-mediated isothermal amplification in the detection of asymptomatic Plasmodium infections in Korhogo Northern Cote d'Ivoire, Malar J, 21, (2022); Nundu S.S., Arima H., Simpson S.V., Chitama B.A., Munyeku Y.B., Muyembe J.J., Et al., Low prevalence of Plasmodium falciparum parasites lacking pfhrp2/3 genes among asymptomatic and symptomatic school-age children in Kinshasa Democratic Republic of Congo, Malar J, 21, (2022); Rogier E., Hamre K.E.S., Joseph V., Plucinski M.M., Presume J., Romilus I., Et al., Conventional and high-sensitivity malaria rapid diagnostic test performance in 2 transmission settings: Haiti 2017, J Infect Dis, 221, pp. 786-795, (2020); Plucinski M.M., Candrinho B., Dimene M., Colborn J., Lu A., Nace D., Et al., Assessing performance of HRP2 antigen detection for malaria diagnosis in Mozambique, J Clin Microbiol, 57, pp. e00875-e919, (2019); Leonard C.M., Assefa A., McCaffery J.N., Herman C., Plucinski M., Sime H., Et al., Investigation of Plasmodium falciparum pfhrp2 and pfhrp3 gene deletions and performance of a rapid diagnostic test for identifying asymptomatic malaria infection in northern Ethiopia, 2015, Malar J, 21, (2022); Jimenez A., Rees-Channer R.R., Perera R., Gamboa D., Chiodini P.L., Gonzalez I.J., Et al., Analytical sensitivity of current best-in-class malaria rapid diagnostic tests, Malar J, 16, (2017); Hofmann N.E., Antunes Moniz C., Holzschuh A., Keitel K., Boillat-Blanco N., Kagoro F., Et al., Diagnostic performance of conventional and ultrasensitive rapid diagnostic tests for malaria in febrile outpatients in Tanzania, J Infect Dis, 219, pp. 1490-1498, (2019); Malaria rapid diagnostic test performance Results of WHO product testing of malaria RDTs: Round 8, (2018); Quakyi I.A., Adjei G.O., Sullivan D.J., Laar A., Stephens J.K., Owusu R., Et al., Diagnostic capacity, and predictive values of rapid diagnostic tests for accurate diagnosis of Plasmodium falciparum in febrile children in Asante-Akim, Ghana Malar J, 17, (2018); Runge M., Thawer S.G., Molteni F., Chacky F., Mkude S., Mandike R., Et al., Sub-national tailoring of malaria interventions in Mainland Tanzania: simulation of the impact of strata-specific intervention combinations using modelling, Malar J, 21, (2022); Thawer S.G., Chacky F., Runge M., Reaves E., Mandike R., Lazaro S., Et al., Sub-national stratification of malaria risk in mainland Tanzania: a simplified assembly of survey and routine data, Malar J, 19, (2020); Plucinski M.M., Dimbu P.R., Fortes F., Abdulla S., Ahmed S., Gutman J., Et al., Posttreatment HRP2 clearance in patients with uncomplicated Plasmodium falciparum malaria, J Infect Dis, 217, pp. 685-692, (2018)</t>
  </si>
  <si>
    <t xml:space="preserve">E. Rogier; Malaria Branch, Division of Parasitic Diseases and Malaria, Centers for Disease Control and Prevention, Atlanta, 30029, United States; email: erogier@cdc.gov</t>
  </si>
  <si>
    <t xml:space="preserve">2-s2.0-85143182926</t>
  </si>
  <si>
    <t xml:space="preserve">Aynalem M.; Getu F.; Adane T.</t>
  </si>
  <si>
    <t xml:space="preserve">Aynalem, Melak (57209286810); Getu, Fasil (57200521741); Adane, Tiruneh (57205654355)</t>
  </si>
  <si>
    <t xml:space="preserve">57209286810; 57200521741; 57205654355</t>
  </si>
  <si>
    <t xml:space="preserve">Peripheral Cytopenia and Its Associated Factors in Type 2 Diabetes Mellitus Patients, Northwest Ethiopia</t>
  </si>
  <si>
    <t xml:space="preserve">Background: Hematological abnormalities are linked with diabetes mellitus (DM) and play a major role in diabetes-related micro-and macro-vascular complications. Therefore, this study aimed to investigate the magnitude of peripheral cytopenia and associated factors in type 2 diabetes (T2DM) patients. Methods: A cross-sectional study was conducted from March to May 2021 at the University of Gondar Comprehensive Specialized Hospital. A total of 357 T2DM participants were selected using a simple random sampling technique. A total of 3 mL of venous blood samples were collected using the vacutainer method for the complete blood count (CBC). A univariate and multivariate regression analysis were used to investigate the association between dependent and independent variables. P-value ˂0.05 was considered statistically significant. Results: The magnitude of cytopenia, bicytopenia, and pancytopenia were 21% (95% CI: 17.1, 25.53), 1.1% (95% CI: 0.44, 2.85), and 0.56% (95% CI: 0.01, 1.12), respectively. Furthermore, the magnitudes of anemia, leucopenia, and thrombocytopenia were 8.7% (95% CI: 6.18, 12.06), 10.9% (95% CI: 8.09, 14.59), and 5.3% (95% CI: 3.43, 8.16), respectively. Being male (AOR: 3.23; 95% CI: 1.43, 7.56), lack of exercise (AOR: 2.70; 95% CI: 1.137, 6.43), and never married (AOR: 3.90; 95% CI: 1.248, 12.18) were all associated with anemia. Conclusion: This study showed that T2DM causes disturbances in the hematological parameters and leads to a mild level of cytopenia. It is, therefore, suggested that hematological abnormalities, especially cytopenia, should be monitored and controlled on a regular basis in T2DM patients for better prognosis and quality of life. © 2022 Aynalem et al.</t>
  </si>
  <si>
    <t xml:space="preserve">10.2147/JBM.S369583</t>
  </si>
  <si>
    <t xml:space="preserve">https://www.scopus.com/inward/record.uri?eid=2-s2.0-85133699912&amp;doi=10.2147%2fJBM.S369583&amp;partnerID=40&amp;md5=349324ca8741d5f0e4ff46249eff047c</t>
  </si>
  <si>
    <t xml:space="preserve">Department of Hematology and Immunohematology, School of Biomedical and Laboratory Sciences, College of Medicine and Health Science, University of Gondar, Gondar, Ethiopia; Department of Medical Laboratory Sciences, College of Medicine and Health Sciences, Jigjiga University, Jigjiga, Ethiopia</t>
  </si>
  <si>
    <t xml:space="preserve">Aynalem M., Department of Hematology and Immunohematology, School of Biomedical and Laboratory Sciences, College of Medicine and Health Science, University of Gondar, Gondar, Ethiopia; Getu F., Department of Medical Laboratory Sciences, College of Medicine and Health Sciences, Jigjiga University, Jigjiga, Ethiopia; Adane T., Department of Hematology and Immunohematology, School of Biomedical and Laboratory Sciences, College of Medicine and Health Science, University of Gondar, Gondar, Ethiopia</t>
  </si>
  <si>
    <t xml:space="preserve">Ethiopia; Gondar; peripheral cytopenia; type 2 diabetes mellitus</t>
  </si>
  <si>
    <t xml:space="preserve">antidiabetic agent; oral contraceptive agent; adult; agricultural worker; alcohol consumption; anemia; Article; behavior; blood cell count; blood pressure; blood sampling; body mass; chronic disease; college; controlled study; cross-sectional study; cytopenia; data processing; data quality; divorced person; driver; education; erythrocyte; Ethiopia; exercise; female; hematologic disease; high school; hospital; housewife; human; hypertension; independent variable; leukocyte; leukocytosis; leukopenia; lymphocyte; lymphocytopenia; major clinical study; malaria; male; marriage; married person; multivariate logistic regression analysis; Muslim; neutropenia; neutrophil; neutrophilia; non insulin dependent diabetes mellitus; occupation; pancytopenia; primary education; prognosis; quality of life; religion; rural area; single (marital status); smoking; sociodemographics; thrombocyte; thrombocytopenia; thrombocytosis; traditional medicine; univariate analysis; urban area; widowed person</t>
  </si>
  <si>
    <t xml:space="preserve">Milosevic D, Panin VL., Relationship between hematological parameters and glycemic control in type 2 diabetes mellitus patients, J Med Biochem, 38, 2, (2019); Panda AK, Ambade RA., Prevalence of anemia and its correlation with HBA1c of patients in type-II diabetes mellitus: a pilot study, National J Physiol Pharm Pharmacol, 8, 10, pp. 1409-1413, (2018); Antwi-Baffour S, Kyeremeh R, Boateng SO, Annison L, Seidu MA., Haematological parameters and lipid profile abnormalities among patients with Type-2 diabetes mellitus in Ghana, Lipids Health Dis, 17, 1, pp. 1-9, (2018); Jain A, Naniwadekar M., An etiological reappraisal of pancytopenia-largest series reported to date from a single tertiary care teaching hospital, BMC Blood Disord, 13, 1, pp. 1-9, (2013); Atlaw D, Tariku Z., Magnitude and factors associated with anemia among diabetic patients in Ethiopia: a systematic review and meta-analysis, SAGE Open Med, 9, (2021); Thomas MC, MacIsaac RJ, Tsalamandris C, Power D, Jerums G., Unrecognized anemia in patients with diabetes: a cross-sectional survey, Diabetes Care, 26, 4, pp. 1164-1169, (2003); Greenburg AG., Pathophysiology of anemia, Am J Med, 101, 2, pp. 7S-11S, (1996); Al-Salman M., Anemia in patients with diabetes mellitus: prevalence and progression, General Med, 1, pp. 1-4, (2015); Barbieri J, Fontela PC, Winkelmann ER, Et al., Anemia in patients with type 2 diabetes mellitus, Anemia, 2015, (2015); Alamri B, Bahabri A, Aldereihim A, Et al., Hyperglycemia effect on red blood cells indices, Eur Rev Med Pharmacol Sci, 23, 5, pp. 2139-2150, (2019); Digman C, Klein AK, Pittas AG., Leukopenia and thrombocytopenia caused by thiazolidinediones, Ann Intern Med, 143, 6, pp. 465-466, (2005); Shimizu H., Thrombocytopenia in insulin-dependent diabetes mellitus, KITAKANTO Med J, 48, 4, pp. 283-285, (1998); Vinik AI, Erbas T, Park TS, Nolan R, Pittenger GL., Platelet dysfunction in type 2 diabetes, Diabetes Care, 24, 8, pp. 1476-1485, (2001); Park J-M, Lee HS, Park J-Y, Jung D-H, Lee J-W., White blood cell count as a predictor of incident type 2 diabetes mellitus among non-obese adults: a longitudinal 10-year analysis of the Korean genome and epidemiology study, J Inflamm Res, 14, (2021); Moradi S, Kerman SRJ, Rohani F, Salari F., Association between diabetes complications and leukocyte counts in Iranian patients, J Inflamm Res, 5, (2012); Biadgo B, Melku M, Abebe SM, Abebe M., Hematological indices and their correlation with fasting blood glucose level and anthropometric measurements in type 2 diabetes mellitus patients in Gondar, Northwest Ethiopia, Diabetes Metab Syndrome Obesity, 9, (2016); Naseem S, Varma N, Das R, Ahluwalia J, Sachdeva MUS, Marwaha RK., Pediatric patients with bicytopenia/pancytopenia: review of etiologies and clinico-hematological profile at a tertiary center, Indian J Pathol Microbiol, 54, 1, (2011); Yang X, Yu Y, Xu J, Et al., Clinical course and outcomes of critically ill patients with SARS-CoV-2 pneumonia in Wuhan, China: a single-centered, retrospective, observational study, Lancet Respir Med, 8, 5, pp. 475-481, (2020); Hales CM, Fryar CD, Carroll MD, Freedman DS, Ogden CL., Trends in Obesity and Severe Obesity Prevalence in US Youth and Adults by Sex and Age, 2007-2008 to 201-2016, JAMA, 319, 16, pp. 1723-1725, (2018); Collins SE, Kirouac M., Alcohol Consumption, Encyclopedia of Behavioral Medicine, pp. 61-65, (2013); Association AD., Diagnosis and classification of diabetes mellitus, Diabetes Care, 27, pp. s5-s10, (2004); Craig KJ, Williams JD, Riley SG, Et al., Anemia and diabetes in the absence of nephropathy, Diabetes Care, 28, 5, pp. 1118-1123, (2005); Thomas MC, MacIsaac RJ, Tsalamandris C, Et al., The burden of anaemia in type 2 diabetes and the role of nephropathy: a cross-sectional audit, Nephrol Dialysis Transplantation, 19, 7, pp. 1792-1797, (2004); Al-Khoury S, Afzali B, Shah N, Covic A, Thomas S, Goldsmith D., Anaemia in diabetic patients with chronic kidney disease—prevalence and predictors, Diabetologia, 49, 6, pp. 1183-1189, (2006); Kebede SA, Tusa BS, Weldesenbet AB., Prevalence of anaemia and its associated factors among type 2 diabetes mellitus patients in University of Gondar comprehensive specialized hospital, Anemia, 2021, (2021); Taderegew MM, Gebremariam T, Tareke AA, Woldeamanuel GG., Anemia and its associated factors among type 2 diabetes mellitus patients attending Debre Berhan Referral Hospital, North-East Ethiopia: a cross-sectional study, J Blood Med, 11, (2020); Engidaw MT, Feyisa MS., Prevalence of anemia and its associated factors among adult diabetes mellitus patients at Debre Tabor General Hospital, Northcentral Ethiopia, Diabetes Metab Syndrome Obesity, 13, (2020); Adane T, Getawa S., Anaemia and its associated factors among diabetes mellitus patients in Ethiopia: a systematic review and meta-analysis, Endocrinol Diabetes Metab, 4, 3, (2021); Mbanya JCN, Motala AA, Sobngwi E, Assah FK, Enoru ST., Diabetes in sub-saharan Africa, lancet, 375, 9733, pp. 2254-2266, (2010); Tong PC, Kong AP, So W-Y, Et al., Hematocrit, independent of chronic kidney disease, predicts adverse cardiovascular outcomes in Chinese patients with type 2 diabetes, Diabetes Care, 29, 11, pp. 2439-2444, (2006); Zoppini G, Targher G, Chonchol M, Et al., Anaemia, independent of chronic kidney disease, predicts all-cause and cardiovascular mortality in type 2 diabetic patients, Atherosclerosis, 210, 2, pp. 575-580, (2010); Bharathi K., Study of hematological profile and its significance in type 2 diabetes mellitus patients, J Diagn Pathol Oncol, 1, pp. 14-17, (2016); Adane T, Getaneh Z, Asrie F., Red blood cell parameters and their correlation with renal function tests among diabetes mellitus patients: a comparative cross-sectional study, Diabetes Metab Syndrome Obesity, 13, (2020); Grossmann M, Panagiotopolous S, Sharpe K, Et al., Low testosterone and anaemia in men with type 2 diabetes, Clin Endocrinol (Oxf), 70, 4, pp. 547-553, (2009); Church TS, LaMonte MJ, Barlow CE, Blair SN., Cardiorespiratory fitness and body mass index as predictors of cardiovascular disease mortality among men with diabetes, Arch Intern Med, 165, 18, pp. 2114-2120, (2005); Nesti L, Pugliese NR, Sciuto P, Natali A., Type 2 diabetes and reduced exercise tolerance: a review of the literature through an integrated physiology approach, Cardiovasc Diabetol, 19, 1, pp. 1-17, (2020); Arkew M, Yemane T, Mengistu Y, Gemechu K, Tesfaye G., Hematological parameters of type 2 diabetic adult patients at Debre Berhan Referral Hospital, Northeast Ethiopia: a comparative cross-sectional study, PLoS One, 16, 6, (2021); Tong PC, Lee K-F, So W-Y, Et al., White blood cell count is associated with macro-and microvascular complications in Chinese patients with type 2 diabetes, Diabetes Care, 27, 1, pp. 216-222, (2004); Kakouros N, Rade JJ, Kourliouros A, Resar JR., Platelet function in patients with diabetes mellitus: from a theoretical to a practical perspective, Int J Endocrinol, 2011, (2011); Ferreiro JL, Gomez-Hospital JA, Angiolillo DJ., Platelet abnormalities in diabetes mellitus, Diabetes Vascular Dis Res, 7, 4, pp. 251-259, (2010); Santilli F, Simeone P, Liani R., The Role of Platelets in Diabetes Mellitus, Platelets, pp. 469-503, (2019); Adane T, Asrie F, Getaneh Z, Getawa S., White blood cells and platelet profiles of diabetic patients at University of Gondar specialized referral hospital: a comparative cross-sectional study, J Clin Lab Anal, 35, 6, (2021); Yngen M, Ostenson C, Li N, Hjemdahl P, Wallen N., Acute hyperglycemia increases soluble P-selectin in male patients with mild diabetes mellitus, Blood Coagulation Fibrinolysis, 12, 2, pp. 109-116, (2001); Undas A, Wiek I, Stepien E, Zmudka K, Tracz W., Hyperglycemia is associated with enhanced thrombin formation, platelet activation, and fibrin clot resistance to lysis in patients with acute coronary syndrome, Diabetes Care, 31, 8, pp. 1590-1595, (2008)</t>
  </si>
  <si>
    <t xml:space="preserve">M. Aynalem; Department of Hematology and Immunohematology, School of Biomedical and Laboratory Sciences, College of Medicine and Health Science, University of Gondar, Gondar, Ethiopia; email: melak.aynalem1234@gmail.com</t>
  </si>
  <si>
    <t xml:space="preserve">2-s2.0-85133699912</t>
  </si>
  <si>
    <t xml:space="preserve">Narahari T.; Dahmer J.; Sklavounos A.; Kim T.; Satkauskas M.; Clotea I.; Ho M.; Lamanna J.; Dixon C.; Rackus D.G.; Silva S.J.R.d.; Pena L.; Pardee K.; Wheeler A.R.</t>
  </si>
  <si>
    <t xml:space="preserve">Narahari, Tanya (54389786800); Dahmer, Joshua (57215095593); Sklavounos, Alexandros (57215081978); Kim, Taehyeong (55543030100); Satkauskas, Monika (57204181476); Clotea, Ioana (57222206297); Ho, Man (57193491905); Lamanna, Julian (56800203100); Dixon, Christopher (56844759100); Rackus, Darius G. (55857830700); Silva, Severino Jefferson Ribeiro da (57212653053); Pena, Lindomar (24176141300); Pardee, Keith (6507368728); Wheeler, Aaron R. (7102758896)</t>
  </si>
  <si>
    <t xml:space="preserve">54389786800; 57215095593; 57215081978; 55543030100; 57204181476; 57222206297; 57193491905; 56800203100; 56844759100; 55857830700; 57212653053; 24176141300; 6507368728; 7102758896</t>
  </si>
  <si>
    <t xml:space="preserve">Portable sample processing for molecular assays: application to Zika virus diagnostics</t>
  </si>
  <si>
    <t xml:space="preserve">This paper introduces a digital microfluidic (DMF) platform for portable, automated, and integrated Zika viral RNA extraction and amplification. The platform features reconfigurable DMF cartridges offering a closed, humidified environment for sample processing at elevated temperatures, as well as programmable control instrumentation with a novel thermal cycling unit regulated using a proportional integral derivative (PID) feedback loop. The system operates on 12 V DC power, which can be supplied by rechargeable battery packs for remote testing. The DMF system was optimized for an RNA processing pipeline consisting of the following steps: 1) magnetic-bead based RNA extraction from lysed plasma samples, 2) RNA clean-up, and 3) integrated, isothermal amplification of Zika RNA. The DMF pipeline was coupled to a paper-based, colorimetric cell-free protein expression assay for amplified Zika RNA mediated by toehold switch-based sensors. Blinded laboratory evaluation of Zika RNA spiked in human plasma yielded a sensitivity and specificity of 100% and 75% respectively. The platform was then transported to Recife, Brazil for evaluation with infectious Zika viruses, which were detected at the 100 PFU mL−1 level from a 5 μL sample (equivalent to an RT-qPCR cycle threshold value of 32.0), demonstrating its potential as a sample processing platform for miniaturized diagnostic testing. © 2022 The Royal Society of Chemistry.</t>
  </si>
  <si>
    <t xml:space="preserve">Lab on a Chip</t>
  </si>
  <si>
    <t xml:space="preserve">Royal Society of Chemistry</t>
  </si>
  <si>
    <t xml:space="preserve">10.1039/d1lc01068a</t>
  </si>
  <si>
    <t xml:space="preserve">https://www.scopus.com/inward/record.uri?eid=2-s2.0-85128357136&amp;doi=10.1039%2fd1lc01068a&amp;partnerID=40&amp;md5=15e68d25b6850995829eaaeb969ca692</t>
  </si>
  <si>
    <t xml:space="preserve">Department of Chemistry, University of Toronto, 80 St. George Street, Toronto, M5S 3H6, ON, Canada; Donnelly Centre for Cellular and Biomolecular Research, University of Toronto, 160 College Street, Toronto, M5S 3E1, ON, Canada; Leslie Dan Faculty of Pharmacy, University of Toronto, 144 College Street, Toronto, M5S 3M2, ON, Canada; Department of Virology, Aggeu Magalhães Institute (IAM), Oswaldo Cruz Institute (FIOCRUZ Pernambuco), Av. Professor Moraes Rego, s/n - Cidade Universitária, PE, Recife, CEP 50.740-465, Brazil; Department of Mechanical and Industrial Engineering, University of Toronto, Toronto, M5S 3G8, ON, Canada; Institute for Biomedical Engineering, University of Toronto, 164 College Street, Toronto, M5S 3G9, ON, Canada</t>
  </si>
  <si>
    <t xml:space="preserve">Narahari T., Department of Chemistry, University of Toronto, 80 St. George Street, Toronto, M5S 3H6, ON, Canada, Donnelly Centre for Cellular and Biomolecular Research, University of Toronto, 160 College Street, Toronto, M5S 3E1, ON, Canada; Dahmer J., Department of Chemistry, University of Toronto, 80 St. George Street, Toronto, M5S 3H6, ON, Canada; Sklavounos A., Department of Chemistry, University of Toronto, 80 St. George Street, Toronto, M5S 3H6, ON, Canada, Donnelly Centre for Cellular and Biomolecular Research, University of Toronto, 160 College Street, Toronto, M5S 3E1, ON, Canada; Kim T., Department of Chemistry, University of Toronto, 80 St. George Street, Toronto, M5S 3H6, ON, Canada, Donnelly Centre for Cellular and Biomolecular Research, University of Toronto, 160 College Street, Toronto, M5S 3E1, ON, Canada; Satkauskas M., Department of Chemistry, University of Toronto, 80 St. George Street, Toronto, M5S 3H6, ON, Canada; Clotea I., Department of Chemistry, University of Toronto, 80 St. George Street, Toronto, M5S 3H6, ON, Canada; Ho M., Department of Chemistry, University of Toronto, 80 St. George Street, Toronto, M5S 3H6, ON, Canada, Donnelly Centre for Cellular and Biomolecular Research, University of Toronto, 160 College Street, Toronto, M5S 3E1, ON, Canada; Lamanna J., Department of Chemistry, University of Toronto, 80 St. George Street, Toronto, M5S 3H6, ON, Canada, Donnelly Centre for Cellular and Biomolecular Research, University of Toronto, 160 College Street, Toronto, M5S 3E1, ON, Canada; Dixon C., Department of Chemistry, University of Toronto, 80 St. George Street, Toronto, M5S 3H6, ON, Canada; Rackus D.G., Department of Chemistry, University of Toronto, 80 St. George Street, Toronto, M5S 3H6, ON, Canada, Leslie Dan Faculty of Pharmacy, University of Toronto, 144 College Street, Toronto, M5S 3M2, ON, Canada; Silva S.J.R.d., Department of Virology, Aggeu Magalhães Institute (IAM), Oswaldo Cruz Institute (FIOCRUZ Pernambuco), Av. Professor Moraes Rego, s/n - Cidade Universitária, PE, Recife, CEP 50.740-465, Brazil; Pena L., Department of Virology, Aggeu Magalhães Institute (IAM), Oswaldo Cruz Institute (FIOCRUZ Pernambuco), Av. Professor Moraes Rego, s/n - Cidade Universitária, PE, Recife, CEP 50.740-465, Brazil; Pardee K., Leslie Dan Faculty of Pharmacy, University of Toronto, 144 College Street, Toronto, M5S 3M2, ON, Canada, Department of Mechanical and Industrial Engineering, University of Toronto, Toronto, M5S 3G8, ON, Canada; Wheeler A.R., Department of Chemistry, University of Toronto, 80 St. George Street, Toronto, M5S 3H6, ON, Canada, Donnelly Centre for Cellular and Biomolecular Research, University of Toronto, 160 College Street, Toronto, M5S 3E1, ON, Canada, Institute for Biomedical Engineering, University of Toronto, 164 College Street, Toronto, M5S 3G9, ON, Canada</t>
  </si>
  <si>
    <t xml:space="preserve">Humans; Molecular Diagnostic Techniques; Nucleic Acid Amplification Techniques; Real-Time Polymerase Chain Reaction; RNA; RNA, Viral; Sensitivity and Specificity; Specimen Handling; Zika Virus; Zika Virus Infection; Digital microfluidics; Extraction; Pipelines; Polymerase chain reaction; Proportional control systems; RNA; Two term control systems; chromium; nucleotide; ribonuclease inhibitor; RNA; virus RNA; RNA; virus RNA; Control instrumentation; Elevated temperature; Microfluidic platforms; Molecular assays; Programmable controls; Reconfigurable; RNA extraction; Sample processing; Thermal-cycling; Viral RNA; Article; clinical evaluation; controlled study; cycle threshold value; cycling; diagnostic test accuracy study; DNA template; feedback system; gene amplification; isothermal amplification; Lentivirus; microfluidics; molecular biology; molecular diagnosis; nonhuman; nucleic acid sequence based amplification; protein expression assay; real time polymerase chain reaction; RNA extraction; RNA processing; sensitivity and specificity; temperature; workflow; Zika fever; Zika virus; genetics; human; molecular diagnosis; nucleic acid amplification techniques; specimen handling; Viruses</t>
  </si>
  <si>
    <t xml:space="preserve">chromium, 16065-83-1, 7440-47-3, 14092-98-9; RNA, 63231-63-0; RNA, ; RNA, Viral, </t>
  </si>
  <si>
    <t xml:space="preserve">Genesig Easy</t>
  </si>
  <si>
    <t xml:space="preserve">Seray Cicek; Canadian Institutes of Health Research, IRSC; Natural Sciences and Engineering Research Council of Canada, NSERC; International Development Research Centre, IDRC, (149783); International Development Research Centre, IDRC; Canada Research Chairs; University of Toronto, U of T</t>
  </si>
  <si>
    <t xml:space="preserve">We acknowledge the support from the CIHR/IDRC Team Grant: Canada-Latin America-Caribbean Zika Virus Program (FRN: 149783) and the University of Toronto's Major Research Project Management Fund (KP). We also thank NSERC for funding this project, and Dr. Margot Karlikow, Livia Guo, and Seray Cicek (all at U of T) for detailed advice and fruitful conversations. A. R. W. thanks the Canada Research Chair (CRC) program.</t>
  </si>
  <si>
    <t xml:space="preserve">Chang C., Ortiz K., Ansari A., Gershwin M.E., The Zika outbreak of the 21st century, J. Autoimmun., 68, pp. 1-13, (2016); Bedford J., Et al., COVID-19: towards controlling of a pandemic, Lancet, 395, pp. 1015-1018, (2020); Brehm-Stecher B., Young C., Jaycus L.A., Tortorello M.L., Sample preparation: the forgotten beginning, J. Food Prot., 72, pp. 1774-1789, (2009); Zhang D., Et al., A paper-based platform for detection of viral RNA, Analyst, 142, pp. 815-823, (2017); Magro L., Et al., Paper-based RNA detection and multiplexed analysis for Ebola virus diagnostics, Sci. Rep., 7, (2017); Hongwarittorrn I., Chaichanawongsaroj N., Laiwattanapaisal W., Semi-quantitative visual detection of loop mediated isothermal amplification (LAMP)-generated DNA by distance-based measurement on a paper device, Talanta, 175, pp. 135-142, (2017); Kersting S., Rausch V., Bier F.F., von Nickisch-Rosenegk M., Rapid detection of Plasmodium falciparum with isothermal recombinase polymerase amplification and lateral flow analysis, Malar. J., 13, (2014); Byers K.M., Bird A.R., Cho H.D., Linnes J.C., Fully Dried Two-Dimensional Paper Network for Enzymatically Enhanced Detection of Nucleic Acid Amplicons, ACS Omega, 5, pp. 4673-4681, (2020); Reboud J., Et al., Paper-based microfluidics for DNA diagnostics of malaria in low resource underserved rural communities, Proc. Natl. Acad. Sci. U. S. A., 116, pp. 4834-4842, (2019); Goluch E.D., Microbial Identification Using Electrochemical Detection of Metabolites, Trends Biotechnol., 35, pp. 1125-1128, (2017); Bhandari P., Narahari T., Dendukuri D., Fab-Chips: A versatile, fabric-based platform for low-cost, rapid and multiplexed diagnostics, Lab Chip, 11, pp. 2493-2499, (2011); Sismaet H.J., Pinto A.J., Goluch E.D., Electrochemical sensors for identifying pyocyanin production in clinical Pseudomonas aeruginosa isolates, Biosens. Bioelectron., 97, pp. 65-69, (2017); ThermoFisher Scientific; Felbel J., Et al., Reverse transcription-polymerase chain reaction (RT-PCR) in flow-through micro-reactors: Thermal and fluidic concepts, Chem. Eng. J., 135, pp. S298-S302, (2008); Schneegass I., Brautigam R., Kohler J.M., Miniaturized flow-through PCR with different template types in a silicon chip thermocycler, Lab Chip, 1, pp. 42-49, (2001); Thompson A.M., Et al., Self-Digitization Microfluidic Chip for Absolute Quantification of mRNA in Single Cells, Anal. Chem., 86, pp. 12308-12314, (2014); Liu J., Enzelberger M., Quake S., A nanoliter rotary device for polymerase chain reaction, Electrophoresis, 23, pp. 1531-1536, (2002); Park B.H., Et al., An integrated rotary microfluidic system with DNA extraction, loop-mediated isothermal amplification, and lateral flow strip based detection for point-of-care pathogen diagnostics, Biosens. Bioelectron., 91, pp. 334-340, (2017); Furuberg L., Et al., RNA amplification chip with parallel microchannels and droplet positioning using capillary valves, Microsyst. Technol., 14, pp. 673-681, (2008); Wang J., Et al., SD-chip enabled quantitative detection of HIV RNA using digital nucleic acid sequence-based amplification (dNASBA), Lab Chip, 18, pp. 3501-3506, (2018); Lagally E.T., Medintz I., Mathies R.A., Single-Molecule DNA Amplification and Analysis in an Integrated Microfluidic Device, Anal. Chem., 73, pp. 565-570, (2001); Lagally E.T., Simpson P.C., Mathies R.A., Monolithic integrated microfluidic DNA amplification and capillary electrophoresis analysis system, Sens. Actuators, B, 63, pp. 138-146, (2000); Du K., Et al., Multiplexed efficient on-chip sample preparation and sensitive amplification-free detection of Ebola virus, Biosens. Bioelectron., 91, pp. 489-496, (2017); Erh-Chia Y., Et al., Self-powered integrated microfluidic point-of-care low-cost enabling (SIMPLE) chip, Sci. Adv., 3, (2021); Dimov I.K., Et al., Integrated microfluidic tmRNA purification and real-time NASBA device for molecular diagnostics, Lab Chip, 8, pp. 2071-2078, (2008); Choi K., Ng A.H.C., Fobel R., Wheeler A.R., Digital Microfluidics, Annu. Rev. Anal. Chem., 5, pp. 413-440, (2012); Choi K., Et al., Automated Digital Microfluidic Platform for Magnetic-Particle-Based Immunoassays with Optimization by Design of Experiments, Anal. Chem., 85, pp. 9638-9646, (2013); Ng A.H.C., Et al., A digital microfluidic system for serological immunoassays in remote settings, Sci. Transl. Med., 10, (2018); Sklavounos A.A., Proceedings of the 22nd International Conference on Miniaturized Systems for Chemistry and Life Sciences (μTAS), (2018); Knipes A., (2022); Coelho B., Et al., Digital Microfluidics for Nucleic Acid Amplification, Sensors, 17, (2017); Hua Z., Et al., Multiplexed Real-Time Polymerase Chain Reaction on a Digital Microfluidic Platform, Anal. Chem., 82, pp. 2310-2316, (2010); Giuffrida M.C., Et al., Isothermal circular-strand-displacement polymerization of DNA and microRNA in digital microfluidic devices, Anal. Bioanal. Chem., 407, pp. 1533-1543, (2015); Decrop D., Microchip Diagnostics, (2017); Coelho B.J., Et al., A Digital Microfluidics Platform for Loop-Mediated Isothermal Amplification Detection, Sensors, 17, (2017); Jebrail M.J., Et al., A solvent replenishment solution for managing evaporation of biochemical reactions in air-matrix digital microfluidics devices, Lab Chip, 15, pp. 151-158, (2015); Pardee K., Et al., Paper-Based Synthetic Gene Networks, Cell, 159, pp. 940-954, (2014); Pardee K., Et al., Rapid, Low-Cost Detection of Zika Virus Using Programmable Biomolecular Components, Cell, 165, pp. 1255-1266, (2016); Karlikow M., Et al., Field validation of the performance of paper-based tests for the detection of the Zika and chikungunya viruses in serum samples, Nat. Biomed. Eng., 6, pp. 246-256, (2022); Deiman B., van Aarle P., Sillekens P., Characteristics and applications of nucleic acid sequence-based amplification (NASBA), Mol. Biotechnol., 20, pp. 163-179, (2002); Swyer I., Fobel R., Wheeler A.R., Velocity Saturation in Digital Microfluidics, Langmuir, 35, pp. 5342-5352, (2019); (2021); da Silva S.J.R., Et al., Development and Validation of Reverse Transcription Loop-Mediated Isothermal Amplification (RT-LAMP) for Rapid Detection of ZIKV in Mosquito Samples from Brazil, Sci. Rep., 9, (2019); Rackus D.G., Et al., Pre-concentration by liquid intake by paper (P-CLIP): a new technique for large volumes and digital microfluidics, Lab Chip, 17, pp. 2272-2280, (2017); Zhai J., Et al., A digital microfluidic system with 3D microstructures for single-cell culture, Microsyst. Nanoeng., 6, (2020); Swyer I., Et al., Digital microfluidics and nuclear magnetic resonance spectroscopy for in situ diffusion measurements and reaction monitoring, Lab Chip, 19, pp. 641-653, (2019); Giuffrida M.C., Spoto G., Integration of isothermal amplification methods in microfluidic devices: Recent advances, Biosens. Bioelectron., 90, pp. 174-186, (2017); Sklavounos A.A., Nemr C.R., Kelley S.O., Wheeler A.R., Bacterial Classification and Antibiotic Susceptibility Testing on an Integrated Microfluidic Platform, Lab Chip, 21, pp. 4208-4222, (2021); Leone G., van Schijndel H., van Gemen B., Kramer F.R., Schoen C.D., Molecular beacon probes combined with amplification by NASBA enable homogeneous, real-time detection of RNA, Nucleic Acids Res., 26, pp. 2150-2155, (1998); Abd El Wahed A., Et al., A Portable Reverse Transcription Recombinase Polymerase Amplification Assay for Rapid Detection of Foot-and-Mouth Disease Virus, PLoS One, 8, (2013); Lobato I.M., O'Sullivan C.K., Recombinase polymerase amplification: Basics, applications and recent advances, TrAC, Trends Anal. Chem., 98, pp. 19-35, (2018); Ali M.M., Et al., Rolling circle amplification: a versatile tool for chemical biology{,} materials science and medicine, Chem. Soc. Rev., 43, pp. 3324-3341, (2014); Vo Q., Tran T., Droplet ejection by electrowetting actuation, Appl. Phys. Lett., 118, (2021); (2020); Sklavounos A., Et al., Digital Microfluidic Hemagglutination Assays for Blood Typing, Donor Compatibility Testing, and Hematocrit Analysis, Clin. Chem., 67, pp. 1699-1708, (2021); Anderson S., Hadwen B., Brown C., Thin-film-transistor digital microfluidics for high value in vitro diagnostics at the point of need, Lab Chip, 21, (2021); von der Ecken S., Sklavounos A.A., Wheeler A.R., Vertical Addressing of 1-Plane Electrodes for Digital Microfluidics, Adv. Mater. Technol., (2021); Smith J.H., Persing D.H., Wortman A., Chang R., Swenson D., US Pat., (2014); Meridian Bioscience, (2022); Trullols E., Ruisanchez I., Rius F.X., Validation of qualitative analytical methods, TrAC, Trends Anal. Chem., 23, pp. 137-145, (2004); Rios A., Et al., Quality assurance of qualitative analysis in the framework of the European project ‘MEQUALAN’, Accredit. Qual. Assur., 8, pp. 68-77, (2003); Florkowski C.M., Sensitivity, specificity, receiver-operating characteristic (ROC) curves and likelihood ratios: communicating the performance of diagnostic tests, Clin. Biochem. Rev., 29, Suppl 1, pp. S83-S87, (2008); Heiniger E.K., Et al., Comparison of point-of-care-compatible lysis methods for bacteria and viruses, J. Microbiol. Methods, 128, pp. 80-87, (2016); Bingham A.M., Et al., Comparison of Test Results for Zika Virus RNA in Urine, Serum, and Saliva Specimens from Persons with Travel-Associated Zika Virus Disease — Florida, 2016, Morb. Mortal. Wkly. Rep., 65, pp. 475-478, (2016)</t>
  </si>
  <si>
    <t xml:space="preserve">A.R. Wheeler; Department of Chemistry, University of Toronto, Toronto, 80 St. George Street, M5S 3H6, Canada; email: aaron.wheeler@utoronto.ca</t>
  </si>
  <si>
    <t xml:space="preserve">LCAHA</t>
  </si>
  <si>
    <t xml:space="preserve">Lab Chip</t>
  </si>
  <si>
    <t xml:space="preserve">2-s2.0-85128357136</t>
  </si>
  <si>
    <t xml:space="preserve">Mondal J.; Das A.; Khatun R.</t>
  </si>
  <si>
    <t xml:space="preserve">Mondal, Jayanta (57217236459); Das, Arijit (56970210700); Khatun, Rumki (57222100121)</t>
  </si>
  <si>
    <t xml:space="preserve">57217236459; 56970210700; 57222100121</t>
  </si>
  <si>
    <t xml:space="preserve">Predicting climate change and its impact on future occurrences of vector-borne diseases in West Bengal, India</t>
  </si>
  <si>
    <t xml:space="preserve">Climate change is a concerning matter nowadays. It has a long-term effect on human health by spreading vector-borne diseases throughout the world, and West Bengal is not an exception. Vector-borne diseases are life-threatening risk for human; approximately 27,437 people have been infected (2016) every year by this giant killer in West Bengal of India. Temperature and rainfall, two important parameters, have directly influenced the vector-borne diseases. An association between vector-borne diseases and climatic conditions has been established by using geographically weighted regression (GWR) technique. GWR resulted overall r square value more than 0.523 in every case of diseases signifies that the climatic parameters (temperature and rainfall) and vector-borne diseases (Dengue, Malaria, Japanese Encephlities) are strongly correlated. The climatic parameters and positive cases of diseases were mapped out by using inverse distance weight (IDW) interpolation technique in this study. Artificial neural network (ANN) was performed to predict and forecast the climatic condition. The predicted findings have been validated by root mean square error (RMSE) (temperature: 0.301; rainfall: 0.380, i.e., acceptable). This study revealed an insight between climate variables and vector-borne cases in different districts of West Bengal to better understand the effects of climate variability on these diseases. A novel approach of this study is to forecast the spreading of vector-borne diseases for incoming day in West Bengal. After a critical analysis, temperature and rainfall were found to be potent factors for the development of vectors (Aedes Aegypti and Aedes albopictus), and based on this, the risk of vector-borne diseases has been predicted for upcoming years. Forecasted climatic parameters showed that almost all the districts of West Bengal would be reached in a climatic condition where there would be a chance of spreading of vector-borne diseases. © 2021, The Author(s), under exclusive licence to Springer Nature B.V.</t>
  </si>
  <si>
    <t xml:space="preserve">Environment, Development and Sustainability</t>
  </si>
  <si>
    <t xml:space="preserve">10.1007/s10668-021-01920-0</t>
  </si>
  <si>
    <t xml:space="preserve">https://www.scopus.com/inward/record.uri?eid=2-s2.0-85119125816&amp;doi=10.1007%2fs10668-021-01920-0&amp;partnerID=40&amp;md5=8754813229465bb7405a256453aa3ef5</t>
  </si>
  <si>
    <t xml:space="preserve">Department of Geography, University of Gour Banga, Malda, 732103, India</t>
  </si>
  <si>
    <t xml:space="preserve">Mondal J., Department of Geography, University of Gour Banga, Malda, 732103, India; Das A., Department of Geography, University of Gour Banga, Malda, 732103, India; Khatun R., Department of Geography, University of Gour Banga, Malda, 732103, India</t>
  </si>
  <si>
    <t xml:space="preserve">Aedes Aegypti; Aedes Albopictus; Artificial neural network; Climatic parameters; Geographically weighted regression (GWR); Vector-borne diseases</t>
  </si>
  <si>
    <t xml:space="preserve">India; West Bengal; artificial neural network; climate change; disease spread; disease vector; health risk; mosquito; public health; regression analysis; risk factor; spatiotemporal analysis</t>
  </si>
  <si>
    <t xml:space="preserve">Abeku T.A., Hay S.I., Ochola S., Langi P., Beard B., de Vlas S.J., Cox J., Malaria epidemic early warning and detection in African highlands, Trends in Parasitology, 20, 9, pp. 400-405, (2004); Abraham A., Steinberg D., Philip N.S., Rainfall forecasting using soft computing models and multivariate adaptive regression splines, . IEEE SMC Transactions, Special Issue on Fusion of Soft Computing and Hard Computing in Industrial Applications, 1, pp. 1-6, (2001); Arcari P., Tapper N., Pfueller S., Regional variability in relationships between climate and dengue/DHF in Indonesia, Singapore Journal of Tropical Geography, 28, 3, pp. 251-272, (2007); Arunachalam N., Murty U., Kabilan L., Balasubramanian A., Thenmozhi V., Narahari D., Satyanarayana K., Studies on dengue in rural areas of Kurnool District, Andhra Pradesh, India, Journal of the American Mosquito Control Association, 20, 1, pp. 87-90, (2004); Azuz-Adeath I., Yanez-Arancibia A., Climate change: Ecological and socio economic dimensions in the coastal zone, Ecological Engineering, 130, (2018); Barker C.M., Reisen W.K., Epidemiology of vector-borne diseases in medical and veterinary entomology, pp. 33-49, (2019); Bernstein L., Bosch P., Canziani O., Chen Z., Christ R., Davidson O., Kundzewicz Z.W., Climate Change, (2008); Bhattacharya S., Sharma C., Dhiman R.C., Mitra A.P., Climate change and malaria in India, Current Science, 90, 3, pp. 369-375, (2006); Booth M., Climate change and the neglected tropical diseases, Advances in Parasitology, 100, pp. 39-126, (2018); Choe Y.J., Taurel A.F., Nealon J., Seo H.S., Kim H.S., Systematic review of seroepidemiological studies on Japanese encephalitis in the Republic of Korea, International Journal of Infectious Diseases, 67, pp. 14-19, (2018); Christodoulou C.I., Michaelides S.C., Gabella M., Pattichis C.S., Prediction of rainfall rate based on weather radar measurements, In 2004 IEEE International Joint Conference on Neural Networks (IEEE Cat. No. 04CH37541) (, 2, pp. 1393-1396, (2004); Contreras D.A., Bondeau A., Guiot J., Kirman A., Hiriart E., Bernard L., Fader M., From paleoclimate variables to prehistoric agriculture: Using a process-based agro-ecosystem model to simulate the impacts of Holocene climate change on potential agricultural productivity in Provence, France, Quaternary International, 501, pp. 303-316, (2019); De Lisle S.P., Goedert D., Reedy A.M., Svensson E.I., Climatic factors and species range position predict sexually antagonistic selection across taxa, Philosophical Transactions of the Royal Society b: Biological Sciences, 373, 1757, (2018); Dhiman R.C., Pahwa S., Dhillon G.P.S., Dash A.P., Climate change and threat of vector-borne diseases in India: Are we prepared?, Parasitology Research, 106, 4, pp. 763-773, (2010); Diakou A., Di Cesare A., Morelli S., Colombo M., Halos L., Simonato G., Traversa D., Endoparasites and vector-borne pathogens in dogs from Greek islands: Pathogen distribution and zoonotic implications, PLoS Neglected Tropical Diseases, 13, 5, (2019); Diesfeld H.J., Hecklau H.K., The Diseases of the Country Kenya, pp. 44-78, (1978); Eder M., Cortes F., de Siqueirafilha N.T., de Franca G.V.A., Degroote S., Braga C., Martelli C.M.T., Scoping review on vector-borne diseases in urban areas: Transmission dynamics, vectorial capacity and co-infection, Infectious Diseases of Poverty, 7, 1, (2018); Eikenberry S.E., Gumel A.B., Mathematical modeling of climate change and malaria transmission dynamics: A historical review, Journal of Mathematical Biology, 77, 4, pp. 857-933, (2018); El-Shafie A., Noureldin A., Taha M., Hussain A., Mukhlisin M., Dynamic versus static neural network model for rainfall forecasting at Klang River Basin, Malaysia, Hydrology and Earth System Sciences, 16, 4, pp. 1151-1169, (2012); Field C.B., Climate change 2014–Impacts, adaptation and vulnerability: Regional aspects, (2014); Foden W.B., Young B.E., Akcakaya H.R., Garcia R.A., Hoffmann A.A., Stein B.A., Hole D.G., Climate change vulnerability assessment of species, Climate Change, 10, 1, (2019); Fotheringham A.S., Brunsdon C., Charlton M., Geographically weighted regression: The analysis of spatially varying relationships, (2003); Garcia J.L.S., Sanz J.M.D., Climate change, ethics and sustainability: An innovative approach, Journal of Innovation &amp; Knowledge, 3, 2, pp. 70-75, (2018); Gholami-Borujen F., A review of the effects of climate change with an emphasis on burden of waterborne diseases, Iranian Journal of Health Sciences, 6, 4, pp. 47-56, (2018); Ghosh S., Guchhait S.K., Hu X.F., Characterization and evolution of primary and secondary laterites in northwestern Bengal Basin, West Bengal India, Journal of Palaeogeography, 4, 2, pp. 203-230, (2015); Githeko A.K., Lindsay S.W., Confalonieri U.E., Patz J.A., Climate change and vector-borne diseases: A regional analysis, Bulletin of the World Health Organization, 78, pp. 1136-1147, (2000); Hashem A.M., Sohrab S.S., El-Kafrawy S.A., Abd-Alla A.M., El-Ela S.A., Abujamel T.S., Azhar E.I., Diversity of dengue virus-3 genotype III in Jeddah, Saudi Arabia, Acta Tropica, 183, pp. 114-118, (2018); Hunter P.R., Climate change and waterborne and vector-borne disease, Journal of Applied Microbiology, 94, pp. 37-46, (2003); Fourth Assessment Report: Climate Change, (2007); Karimi V., Karami E., Keshavarz M., Climate change and agriculture: Impacts and adaptive responses in Iran, Journal of Integrative Agriculture, 17, 1, pp. 1-15, (2018); Kim K.S., Current challenges in the development of vaccines and drugs against emerging vector-borne diseases, Current medicinal chemistry, 26, (2019); Kinfe E., Studies on Species Composition And Behaviour of Anopheles Mosquitoes (Diptera: Culicidae) and Insecticide Resistance Management Option For The Control of Malaria Vectors in Selected Sites in Butajira, (2018); Kovats R.S., Hajat S., Heat stress and public health: A critical review, Annual Review of Public Health, 29, pp. 41-55, (2008); Kumar P., Masago Y., Mishra B.K., Fukushi K., Evaluating future stress due to combined effect of climate change and rapid urbanization for Pasig-Marikina River, Manila, Groundwater for Sustainable Development, 6, pp. 227-234, (2018); Leffers J., Butterfield P., Nurses play essential roles in reducing health problems due to climate change, Nursing Outlook, 66, 2, pp. 210-213, (2018); Lu K., Wang L., A novel nonlinear combination model based on support vector machine for rainfall prediction, . in 2011 Fourth International Joint Conference on Computational Sciences and Optimization (, pp. 1343-1346, (2011); Luk K.C., Ball J.E., Sharma A., An application of artificial neural networks for rainfall forecasting, Mathematical and Computer Modelling, 33, 6-7, pp. 683-693, (2001); Mabel M.C., Fernandez E., Analysis of wind power generation and prediction using ANN: A case study, Renewable Energy, 33, 5, pp. 986-992, (2008); Mukul S.A., Alamgir M., Sohel M.S.I., Pert P.L., Herbohn J., Turton S.M., Laurance W.F., Combined effects of climate change and sea-level rise project dramatic habitat loss of the globally endangered Bengal tiger in the Bangladesh Sundarbans, Science of the Total Environment, 663, pp. 830-840, (2019); Musso D., Rodriguez-Morales A.J., Levi J.E., Cao-Lormeau V.M., Gubler D.J., Unexpected outbreaks of arbovirus infections: Lessons learned from the Pacific and tropical America, The Lancet Infectious Diseases, 18, 11, pp. e355-e361, (2018); Mutheneni S.R., Morse A.P., Caminade C., Upadhyayula S.M., Dengue burden in India: Recent trends and importance of climatic parameters, Emerging Microbes &amp; Infections, 6, 1, pp. 1-10, (2017); Patz J.A., Martens W.J., Focks D.A., Jetten T.H., Dengue fever epidemic potential as projected by general circulation models of global climate change, Environmental Health Perspectives, 106, 3, pp. 147-153, (1998); Paz S., Effects of climate change on vector-borne diseases: An updated focus on West Nile virus in humans, Emerging Topics in Life Sciences, 3, 2, pp. 143-152, (2019); Pfeiffer M.B., Lyme: The first epidemic of climate change, (2018); Rogers D.J., Randolph S.E., Climate change and vector-borne diseases, Advances in Parasitology, 62, pp. 345-381, (2006); San Jose R., Perez J.L., Perez L., Barras R.M.G., Effects of climate change on the health of citizens modelling urban weather and air pollution, Energy, 165, pp. 53-62, (2018); Tanser F.C., Sharp B., Le Sueur D., Potential effect of climate change on malaria transmission in Africa, The Lancet, 362, 9398, pp. 1792-1798, (2003); Tewari S.C., Thenmozhi V., Arunachalam N., Philip Samuel P., Tyagi B.K., Desiccated vector mosquitoes used for the surveillance of Japanese encephalitis virus activity in endemic southern India, Tropical Medicine &amp; International Health, 13, 2, pp. 286-290, (2008); Tseng W.C., Chen C.C., Chang C.C., Chu Y.H., Estimating the economic impacts of climate change on infectious diseases: A case study on dengue fever in Taiwan, Climatic Change, 92, 1-2, pp. 123-140, (2009); Umenai T., Krzysko R., Bektimirov T.A., Assaad F.A., Japanese encephalitis: Current worldwide status, Bulletin of the World Health Organization, 63, 4, (1985); van Impe J., Smet C., Tiwari B., Greiner R., Ojha S., Stulic V., Rezekjambrak A., State of the art of nonthermal and thermal processing for inactivation of micro-organisms, Journal of Applied Microbiology, 125, 1, pp. 16-35, (2018); Van Lieshout M., Kovats R.S., Livermore M.T.J., Martens P., Climate change and malaria: Analysis of the SRES climate and socio-economic scenarios, Global Environmental Change, 14, 1, pp. 87-99, (2004); Villar L., Dayan G.H., Arredondo-Garcia J.L., Rivera D.M., Cunha R., Deseda C., Rey L.C., Efficacy of a tetravalent dengue vaccine in children in Latin America, New England Journal of Medicine, 372, 2, pp. 113-123, (2015); Wagner S., Guidi V., Torgerson P.R., Mathis A., Schaffner F., Diversity and seasonal abundances of mosquitoes at potential arboviral transmission sites in two different climate zones in Switzerland, Medical and Veterinary Entomology, 32, 2, pp. 175-185, (2018); Wang Y., Chen L., Song Z., Huang Z., Ge E., Lin L., Luo M., Human-perceived temperature changes over South China: Long-term trends and urbanization effects, Atmospheric Research, 215, pp. 116-127, (2019); Wardrop N.A., Barnett A.G., Atkinson J.A., Clements A.C., Plasmodium vivax malaria incidence over time and its association with temperature and rainfall in four counties of Yunnan Province China, Malaria Journal, 12, 1, (2013); Watts N., Amann M., Ayeb-Karlsson S., Belesova K., Bouley T., Boykoff M., Cox P.M., The Lancet Countdown on health and climate change: From 25 years of inaction to a global transformation for public health, The Lancet, 391, pp. 581-630, (2018); World Health Organization, Global Tuberculosis Report, (2013); Yaseen Z.M., Jaafar O., Deo R.C., Kisi O., Adamowski J., Quilty J., El-Shafie A., Stream-flow forecasting using extreme learning machines: A case study in a semi-arid region in Iraq, Journal of Hydrology, 542, pp. 603-614, (2016); Souza A.F., Longhi S.J., Disturbance history mediates climate change effects on subtropical forest biomass and dynamics, Ecology and evolution, 9, 12, pp. 7184-7199, (2019); Kurup S.P., Obeng-Adjei N., Anthony S.M., Traore B., Doumbo O.K., Butler N.S., Harty J.T., Regulatory T cells impede acute and long-term immunity to blood-stage malaria through CTLA-4, Nature medicine, 23, 10, pp. 1220-1225, (2017); Livada I., Synnefa A., Haddad S., Paolini R., Garshasbi S., Ulpiani G., Santamouris M., Time series analysis of ambient air-temperature during the period 1970–2016 over Sydney, 648, pp. 1627-1638, (2019); Rogers D.J., Randolph S., Lindsay S., Thomas C., Vector-borne diseases and climate change. Health effects of climate change (Expert Group on Climate Change and Health in the United Kingdom)., pp. 85-117, (2001)</t>
  </si>
  <si>
    <t xml:space="preserve">A. Das; Department of Geography, University of Gour Banga, Malda, 732103, India; email: arijit3333@gmail.com</t>
  </si>
  <si>
    <t xml:space="preserve">1387585X</t>
  </si>
  <si>
    <t xml:space="preserve">EDSNB</t>
  </si>
  <si>
    <t xml:space="preserve">Environ. Dev. Sustainability</t>
  </si>
  <si>
    <t xml:space="preserve">2-s2.0-85119125816</t>
  </si>
  <si>
    <t xml:space="preserve">Tedijanto C.; Aragie S.; Tadesse Z.; Haile M.; Zeru T.; Nash S.D.; Wittberg D.M.; Gwyn S.; Martin D.L.; Sturrock H.J.W.; Lietman T.M.; Keenan J.D.; Arnold B.F.</t>
  </si>
  <si>
    <t xml:space="preserve">Tedijanto, Christine (57204009911); Aragie, Solomon (57193211281); Tadesse, Zerihun (25032181800); Haile, Mahteme (57221653504); Zeru, Taye (57221345023); Nash, Scott D. (35119234500); Wittberg, Dionna M. (57219048148); Gwyn, Sarah (57150831300); Martin, Diana L. (7406285982); Sturrock, Hugh J. W. (35146667400); Lietman, Thomas M. (7004100865); Keenan, Jeremy D. (24556431900); Arnold, Benjamin F. (16174532400)</t>
  </si>
  <si>
    <t xml:space="preserve">57204009911; 57193211281; 25032181800; 57221653504; 57221345023; 35119234500; 57219048148; 57150831300; 7406285982; 35146667400; 7004100865; 24556431900; 16174532400</t>
  </si>
  <si>
    <t xml:space="preserve">Predicting future community-level ocular Chlamydia trachomatis infection prevalence using serological, clinical, molecular, and geospatial data</t>
  </si>
  <si>
    <t xml:space="preserve">Trachoma is an infectious disease characterized by repeated exposures to Chlamydia tra-chomatis (Ct) that may ultimately lead to blindness. Efficient identification of communities with high infection burden could help target more intensive control efforts. We hypothesized that IgG seroprevalence in combination with geospatial layers, machine learning, and model-based geostatistics would be able to accurately predict future community-level ocular Ct infections detected by PCR. We used measurements from 40 communities in the hyper-endemic Amhara region of Ethiopia to assess this hypothesis. Median Ct infection prevalence among children 0–5 years old increased from 6% at enrollment, in the context of recent mass drug administration (MDA), to 29% by month 36, following three years without MDA. At baseline, correlation between seroprevalence and Ct infection was stronger among children 0–5 years old (ρ = 0.77) than children 6–9 years old (ρ = 0.48), and stronger than the correlation between active trachoma and Ct infection (0-5y ρ = 0.56; 6-9y ρ = 0.40). Seroprevalence was the strongest concurrent predictor of infection prevalence at month 36 among children 0–5 years old (cross-validated R2 = 0.75, 95% CI: 0.58–0.85), though predictive performance declined substantially with increasing temporal lag between predictor and outcome measurements. Geospatial variables, a spatial Gaussian process, and stacked ensemble machine learning did not meaningfully improve predictions. Serological markers among children 0–5 years old may be an objective tool for identifying communities with high levels of ocular Ct infections, but accurate, future prediction in the context of changing transmission remains an open challenge. © 2022 This is an open access article.</t>
  </si>
  <si>
    <t xml:space="preserve">e0010273</t>
  </si>
  <si>
    <t xml:space="preserve">10.1371/journal.pntd.0010273</t>
  </si>
  <si>
    <t xml:space="preserve">https://www.scopus.com/inward/record.uri?eid=2-s2.0-85127717810&amp;doi=10.1371%2fjournal.pntd.0010273&amp;partnerID=40&amp;md5=78c70c9eefe18084977c86f03042ed95</t>
  </si>
  <si>
    <t xml:space="preserve">Francis I. Proctor Foundation, University of California, San Francisco, CA, United States; The Carter Center Ethiopia, Addis Ababa, Ethiopia; Amhara Public Health Institute, Bahir Dar, Ethiopia; The Carter Center, Georgia, Atlanta, United States; Division of Parasitic Diseases and Malaria, Centers for Disease Control and Prevention, Georgia, Atlanta, United States; Locational, Poole, United Kingdom; Department of Ophthalmology, University of California, San Francisco, CA, United States; Department of Epidemiology and Biostatistics, University of California, San Francisco, CA, United States; Institute for Global Health Sciences, University of California, San Francisco, CA, United States</t>
  </si>
  <si>
    <t xml:space="preserve">Tedijanto C., Francis I. Proctor Foundation, University of California, San Francisco, CA, United States; Aragie S., The Carter Center Ethiopia, Addis Ababa, Ethiopia; Tadesse Z., The Carter Center Ethiopia, Addis Ababa, Ethiopia; Haile M., Amhara Public Health Institute, Bahir Dar, Ethiopia; Zeru T., Amhara Public Health Institute, Bahir Dar, Ethiopia; Nash S.D., The Carter Center, Georgia, Atlanta, United States; Wittberg D.M., Francis I. Proctor Foundation, University of California, San Francisco, CA, United States; Gwyn S., Division of Parasitic Diseases and Malaria, Centers for Disease Control and Prevention, Georgia, Atlanta, United States; Martin D.L., Division of Parasitic Diseases and Malaria, Centers for Disease Control and Prevention, Georgia, Atlanta, United States; Sturrock H.J.W., Locational, Poole, United Kingdom; Lietman T.M., Francis I. Proctor Foundation, University of California, San Francisco, CA, United States, Department of Ophthalmology, University of California, San Francisco, CA, United States, Department of Epidemiology and Biostatistics, University of California, San Francisco, CA, United States, Institute for Global Health Sciences, University of California, San Francisco, CA, United States; Keenan J.D., Francis I. Proctor Foundation, University of California, San Francisco, CA, United States, Department of Ophthalmology, University of California, San Francisco, CA, United States; Arnold B.F., Francis I. Proctor Foundation, University of California, San Francisco, CA, United States, Department of Ophthalmology, University of California, San Francisco, CA, United States</t>
  </si>
  <si>
    <t xml:space="preserve">Anti-Bacterial Agents; Azithromycin; Child; Child, Preschool; Chlamydia trachomatis; Ethiopia; Humans; Infant; Infant, Newborn; Prevalence; Seroepidemiologic Studies; Trachoma; antigen; azithromycin; biological marker; CT694 antigen; immunoglobulin G; Pgp3 antigen; serological marker; unclassified drug; water; antiinfective agent; Article; child; Chlamydia trachomatis; chlamydiasis; clinical study; conjunctival swab; controlled study; cross validation; cytometric bead array; Ethiopia; fluorescence intensity; geographic information system; geohydrologic survey; geospatial data; geostatistical analysis; human; hydrology; hygiene; inflammation; machine learning; mass drug administration; molecular genetics; multiplex bead assay; normal distribution; prediction; prediction error; prediction model; prevalence; real time polymerase chain reaction; receiver operating characteristic; sample size; sanitation; sensitivity and specificity; serology; seroprevalence; trachoma; trachomatous follicular inflammation; trachomatous intense inflammation; Chlamydia trachomatis; epidemiology; infant; newborn; preschool child; seroepidemiology; trachoma</t>
  </si>
  <si>
    <t xml:space="preserve">azithromycin, 83905-01-5, 117772-70-0, 121470-24-4; immunoglobulin G, 97794-27-9; water, 7732-18-5; Anti-Bacterial Agents, ; Azithromycin, </t>
  </si>
  <si>
    <t xml:space="preserve">automated Abbott m2000, Abbott</t>
  </si>
  <si>
    <t xml:space="preserve">Abbott</t>
  </si>
  <si>
    <t xml:space="preserve">National Eye Institute, NEI, (U10 EY023939); National Institute of Allergy and Infectious Diseases, NIAID, (R03AI147128); Research to Prevent Blindness, RPB</t>
  </si>
  <si>
    <t xml:space="preserve">This work was supported by the National Institute of Allergy and Infectious Diseases (R03 AI147128 to BFA) and the National Eye Institute (U10 EY023939 to JDK). This work was also made possible in part by an Unrestricted Grant from Research to Prevent Blindness. The funders had no role in study design, data collection and analysis, decision to publish, or preparation of the manuscript.</t>
  </si>
  <si>
    <t xml:space="preserve">Taylor HR, Burton MJ, Haddad D, West S, Wright H., Trachoma, The Lancet, 384, 9960, pp. 2142-2152, (2014); WHO Alliance for the Global Elimination of Trachoma by 2020: progress report, 2019, pp. 349-360; Sata E, Nute AW, Astale T, Gessese D, Ayele Z, Zerihun M, Et al., Twelve-Year Longitudinal Trends in Trachoma Prevalence among Children Aged 1–9 Years in Amhara, Ethiopia, 2007–2019, Am J Trop Med Hyg, 104, 4, pp. 1278-1289, (2021); Validation of elimination of trachoma as a public health problem [Internet], (2016); Bailey R, Osmond C, Mabey DCW, Whittle HC, Ward ME., Analysis of the Household Distribution of Trachoma in a Gambian Village Using a Monte Carlo Simulation Procedure, Int J Epidemiol, 18, 4, pp. 944-951, (1989); Broman AT, Shum K, Munoz B, Duncan DD, West SK., Spatial Clustering of Ocular Chlamydial Infection over Time following Treatment, among Households in a Village in Tanzania, Invest Ophthalmol Vis Sci, 47, 1, pp. 99-104, (2006); Hagi M, Schemann J-F, Mauny F, Momo G, Sacko D, Traore L, Et al., Active Trachoma among Children in Mali: Clustering and Environmental Risk Factors, PLoS Negl Trop Dis, 4, 1, (2010); Yohannan J, He B, Wang J, Greene G, Schein Y, Mkocha H, Et al., Geospatial Distribution and Clustering of Chlamydia trachomatis in Communities Undergoing Mass Azithromycin Treatment, Invest Ophthalmol Vis Sci, 55, 7, pp. 4144-4150, (2014); Last A, Burr S, Alexander N, Harding-Esch E, Roberts CH, Nabicassa M, Et al., Spatial clustering of high load ocular Chlamydia trachomatis infection in trachoma: a cross-sectional population-based study, Pathog Dis, 75, 5, (2017); Altherr FM, Nute AW, Zerihun M, Sata E, Stewart AEP, Gessese D, Et al., Associations between Water, Sanitation and Hygiene (WASH) and trachoma clustering at aggregate spatial scales, Amhara, Ethiopia, Parasit Vectors, 12, 1, (2019); Dowell SF, Blazes D, Desmond-Hellmann S., Four steps to precision public health, Nature, 540, 7632, pp. 189-191, (2016); O'Brien KS, Emerson P, Hooper P, Reingold AL, Dennis EG, Keenan JD, Et al., Antimicrobial resistance following mass azithromycin distribution for trachoma: a systematic review, Lancet Infect Dis, 19, 1, pp. e14-e25, (2019); Gebresillasie S, Tadesse Z, Shiferaw A, Yu SN, Stoller NE, Zhou Z, Et al., Inter-Rater Agreement between Trachoma Graders: Comparison of Grades Given in Field Conditions versus Grades from Photographic Review, Ophthalmic Epidemiol, 22, 3, pp. 162-169, (2015); Goodhew EB, Priest JW, Moss DM, Zhong G, Munoz B, Mkocha H, Et al., CT694 and pgp3 as Serological Tools for Monitoring Trachoma Programs, PLoS Negl Trop Dis, 6, 11, (2012); Goodhew EB, Morgan SMG, Switzer AJ, Munoz B, Dize L, Gaydos C, Et al., Longitudinal analysis of antibody responses to trachoma antigens before and after mass drug administration, BMC Infect Dis, 14, 1, (2014); Arnold BF, Scobie HM, Priest JW, Lammie PJ., Integrated Serologic Surveillance of Population Immunity and Disease Transmission, Emerg Infect Dis, 24, 7, pp. 1188-1194, (2018); Liu F, Porco TC, Amza A, Kadri B, Nassirou B, West SK, Et al., Short-term Forecasting of the Prevalence of Trachoma: Expert Opinion, Statistical Regression, versus Transmission Models, PLoS Negl Trop Dis, 9, 8, (2015); Pinsent A, Liu F, Deiner M, Emerson P, Bhaktiari A, Porco TC, Et al., Probabilistic forecasts of trachoma transmission at the district level: A statistical model comparison, Epidemics, 18, pp. 48-55, (2017); Wittberg DM, Aragie S, Tadesse W, Melo JS, Aiemjoy K, Chanyalew M, Et al., WASH Upgrades for Health in Amhara (WUHA): study protocol for a cluster-randomised trial in Ethiopia, BMJ Open, 11, 2, (2021); Aragie S, Wittberg DM, Tadesse W, Dagnew A, Hailu D, Chernet A, Et al., Water, sanitation, and hygiene for control of trachoma in Ethiopia (WUHA): a two-arm, parallel-group, cluster-randomised trial, Lancet Glob Health, 10, 1, pp. e87-e95, (2022); Thylefors B, Dawson CR, Jones BR, West SK, Taylor HR., A simple system for the assessment of trachoma and its complications, Bull World Health Organ, 65, 4, pp. 477-483, (1987); Moller JK, Pedersen LN, Persson K., Comparison of the Abbott RealTime CT New Formulation Assay with Two Other Commercial Assays for Detection of Wild-Type and New Variant Strains of Chlamydia trachomatis, J Clin Microbiol, 48, 2, pp. 440-443, (2010); Cheng A, Qian Q, Kirby JE., Evaluation of the Abbott RealTime CT/NG Assay in Comparison to the Roche Cobas Amplicor CT/NG Assay, J Clin Microbiol, 49, 4, pp. 1294-1300, (2011); Ray KJ, Zhou Z, Cevallos V, Chin S, Enanoria W, Lui F, Et al., Estimating Community Prevalence of Ocular Chlamydia trachomatis Infection using Pooled Polymerase Chain Reaction Testing, Ophthalmic Epidemiol, 21, 2, pp. 86-91, (2014); Woodhall SC, Gorwitz RJ, Migchelsen SJ, Gottlieb SL, Horner PJ, Geisler WM, Et al., Advancing the public health applications of Chlamydia trachomatis serology, Lancet Infect Dis, 18, 12, pp. e399-e407, (2018); Migchelsen SJ, Martin DL, Southisombath K, Turyaguma P, Heggen A, Rubangakene PP, Et al., Defin-ing Seropositivity Thresholds for Use in Trachoma Elimination Studies, PLoS Negl Trop Dis, 11, 1, (2017); Davison A, Hinkley D., 3.8 Hierarchical Data, Bootstrap Methods and their Application, pp. 100-101, (1997); Hayes RJ, Moulton LH., 10. Analysis Based on Cluster-Level Summaries, Cluster Randomised Tri-als, (2017); Ethiopia—Subnational Administrative Divisions [Internet], (2020); Diggle PJ, Ribiero J, Model-Based Geostatistics, (2007); Funk C, Peterson P, Landsfeld M, Pedreros D, Verdin J, Shukla S, Et al., The climate hazards infrared precipitation with stations—a new environmental record for monitoring extremes, Sci Data, 2, 1, (2015); Abatzoglou JT, Dobrowski SZ, Parks SA, Hegewisch KC., TerraClimate, a high-resolution global data-set of monthly climate and climatic water balance from 1958–2015, Sci Data, 5, 1, (2018); Didan K., MOD13Q1 MODIS/Terra Vegetation Indices 16-Day L3 Global 250m SIN Grid V006 [Data set], (2015); Jarvis A, Reuter H, Nelson A, Guevara E., Hole-filled SRTM for the globe Version 4, available from the CGIAR-CSI SRTM 90m [Internet], (2008); Pekel J-F, Cottam A, Gorelick N, Belward AS., High-resolution mapping of global surface water and its long-term changes, Nature, 540, 7633, pp. 418-422, (2016); Tiecke TG, Liu X, Zhang A, Gros A, Li N, Yetman G, Et al., Mapping the world population one building at a time, (2017); (2017); Elvidge CD, Baugh K, Zhizhin M, Hsu FC, Ghosh T., VIIRS night-time lights, Int J Remote Sens, 38, 21, pp. 5860-5879, (2017); Weiss DJ, Nelson A, Vargas-Ruiz CA, Gligoric K, Bavadekar S, Gabrilovich E, Et al., Global maps of travel time to healthcare facilities, Nat Med, (2020); Gorelick N, Hancher M, Dixon M, Ilyushchenko S, Thau D, Moore R., Google Earth Engine: Planetary-scale geospatial analysis for everyone, Remote Sens Environ, (2017); Rasmussen CE, Williams CKI., Gaussian processes for machine learning, (2006); Breiman L., Stacked regressions, Mach Learn, 24, 1, pp. 49-64, (1996); Wolpert DH., Stacked generalization, Neural Netw, 5, 2, pp. 241-259, (1992); van der Laan MJ, Polley EC, Hubbard AE., Super Learner, (2007); Hastie T, Tibshirani R., Generalized Additive Models, Stat Sci, 1, 3, pp. 297-310, (1986); Breiman L., Random Forests; Friedman JH., Greedy Function Approximation: A Gradient Boosting Machine, Ann Stat, 29, 5, pp. 1189-1232, (2001); Friedman JH., Multivariate Adaptive Regression Splines, Ann Stat, 19, 1, pp. 1-67, (1991); Roberts DR, Bahn V, Ciuti S, Boyce MS, Elith J, Guillera-Arroita G, Et al., Cross-validation strategies for data with temporal, spatial, hierarchical, or phylogenetic structure, Ecography, 40, 8, pp. 913-929, (2017); Ploton P, Mortier F, Rejou-Mechain M, Barbier N, Picard N, Rossi V, Et al., Spatial validation reveals poor predictive performance of large-scale ecological mapping models, Nat Commun, 11, 1, (2020); Kvalseth TO., Cautionary Note about R&lt;sup&gt;2&lt;/sup&gt;, Am Stat, 39, 4, pp. 279-285, (1985); Hubbard AE, Kherad-Pajouh S, van der Laan MJ., Statistical Inference for Data Adaptive Target Parameters, Int J Biostat, 12, 1, pp. 3-19, (2016); Benkeser D, Mertens A, Colford JM, Hubbard A, Arnold BF, Stein AD, Et al., A machine learning-based approach for estimating and testing associations with multivariate outcomes, Int J Biostat, (2020); Hulley S, Cummings S, Browner W, Grady D, Newman T., Appendix 6C, Designing clinical research: an epidemiologic approach, (2013); Keenan JD, Lakew T, Alemayehu W, Melese M, House JI, Acharya NR, Et al., Slow resolution of clini-cally active trachoma following successful mass antibiotic treatments, Arch Ophthalmol Chic Ill 1960, 129, 4, pp. 512-513, (2011); Martin DL, Saboya-Diaz MI, Abashawl A, Alemayeh W, Gwyn S, Hooper PJ, Et al., The use of serology for trachoma surveillance: Current status and priorities for future investigation, PLoS Negl Trop Dis, 14, 9, (2020); Basanez M-G, McCarthy JS, French MD, Yang G-J, Walker M, Gambhir M, Et al., A Research Agenda for Helminth Diseases of Humans: Modelling for Control and Elimination, PLoS Negl Trop Dis, 6, 4, (2012); Pinsent A, Gambhir M., Improving our forecasts for trachoma elimination: What else do we need to know?, PLoS Negl Trop Dis, 11, 2, (2017); Shen Y, Sung M-H, King CH, Binder S, Kittur N, Whalen CC, Et al., Modeling Approaches to Predicting Persistent Hotspots in SCORE Studies for Gaining Control of Schistosomiasis Mansoni in Kenya and Tanzania, J Infect Dis, 221, 5, pp. 796-803, (2020); Nightingale ES, Chapman LAC, Srikantiah S, Subramanian S, Jambulingam P, Bracher J, Et al., A spa-tio-temporal approach to short-term prediction of visceral leishmaniasis diagnoses in India, PLoS Negl Trop Dis, 14, 7, (2020); Nash SD, Astale T, Nute AW, Bethea D, Chernet A, Sata E, Et al., Population-Based Prevalence of Chlamydia trachomatis Infection and Antibodies in four Districts with Varying Levels of Trachoma Endemicity in Amhara, Ethiopia, Am J Trop Med Hyg, (2020); Cama A, Muller A, Taoaba R, Butcher RMR, Itibita I, Migchelsen SJ, Et al., Prevalence of signs of tra-choma, ocular Chlamydia trachomatis infection and antibodies to Pgp3 in residents of Kiritimati Island, Kiribati, PLoS Negl Trop Dis, 11, 9, (2017); Butcher R, Handley B, Garae M, Taoaba R, Pickering H, Bong A, Et al., Ocular Chlamydia trachomatis infection, anti-Pgp3 antibodies and conjunctival scarring in Vanuatu and Tarawa, Kiribati before antibiotic treatment for trachoma, J Infect, 80, 4, pp. 454-461, (2020); Kim JS, Oldenburg CE, Cooley G, Amza A, Kadri B, Nassirou B, Et al., Community-level chlamydial serology for assessing trachoma elimination in trachoma-endemic Niger, PLoS Negl Trop Dis, 13, 1, (2019); West SK, Munoz B, Mkocha H, Gaydos CA, Quinn TC., The effect of Mass Drug Administration for trachoma on antibodies to Chlamydia trachomatis pgp3 in children, Sci Rep, 10, 1, (2020); Martin DL, Bid R, Sandi F, Goodhew EB, Massae PA, Lasway A, Et al., Serology for Trachoma Surveillance after Cessation of Mass Drug Administration, PLoS Negl Trop Dis, 9, 2, (2015); West SK, Munoz B, Weaver J, Mrango Z, Dize L, Gaydos C, Et al., Can We Use Antibodies to Chla-mydia trachomatis as a Surveillance Tool for National Trachoma Control Programs? Results from a District Survey, PLoS Negl Trop Dis, 10, 1, (2016); Migchelsen SJ, Sepulveda N, Martin DL, Cooley G, Gwyn S, Pickering H, Et al., Serology reflects a decline in the prevalence of trachoma in two regions of The Gambia, Sci Rep, 7, 1, (2017); West SK, Zambrano AI, Sharma S, Mishra SK, Munoz BE, Dize L, Et al., Surveillance Surveys for Ree-mergent Trachoma in Formerly Endemic Districts in Nepal From 2 to 10 Years After Mass Drug Administration Cessation, JAMA Ophthalmol, 135, 11, (2017); Keenan JD, Lakew T, Alemayehu W, Melese M, Porco TC, Yi E, Et al., Clinical Activity and Polymerase Chain Reaction Evidence of Chlamydial Infection after Repeated Mass Antibiotic Treatments for Tra-choma, Am J Trop Med Hyg, 82, 3, pp. 482-487, (2010); Amza A, Kadri B, Nassirou B, Cotter SY, Stoller NE, West SK, Et al., Community-level Association between Clinical Trachoma and Ocular Chlamydia Infection after MASS Azithromycin Distribution in a Mesoendemic Region of Niger, Ophthalmic Epidemiol, 26, 4, pp. 231-237, (2019); Ramadhani AM, Derrick T, Macleod D, Holland MJ, Burton MJ., The Relationship between Active Trachoma and Ocular Chlamydia trachomatis Infection before and after Mass Antibiotic Treatment, PLoS Negl Trop Dis, 10, 10, (2016); Nash SD, Stewart AEP, Zerihun M, Sata E, Gessese D, Melak B, Et al., Ocular Chlamydia trachomatis Infection Under the Surgery, Antibiotics, Facial Cleanliness, and Environmental Improvement Strategy in Amhara, Ethiopia, 2011–2015, Clin Infect Dis, 67, 12, pp. 1840-1846, (2018); Odonkor M, Naufal F, Munoz B, Mkocha H, Kasubi M, Wolle M, Et al., Serology, infection, and clinical trachoma as tools in prevalence surveys for re-emergence of trachoma in a formerly hyperendemic district, PLoS Negl Trop Dis, 15, 4, (2021); Clements ACA, Kur LW, Gatpan G, Ngondi JM, Emerson PM, Lado M, Et al., Targeting Trachoma Control through Risk Mapping: The Example of Southern Sudan, PLoS Negl Trop Dis, 4, 8, (2010); Polack SR, Solomon AW, Alexander NDE, Massae PA, Safari S, Shao JF, Et al., The household distribution of trachoma in a Tanzanian village: an application of GIS to the study of trachoma, Trans R Soc Trop Med Hyg, 99, 3, pp. 218-225, (2005); Diggle P, Lophaven S., Bayesian Geostatistical Design, Scand J Stat, 33, 1, pp. 53-64, (2006); Schemann J-F, Sacko D, Malvy D, Momo G, Traore L, Bore O, Et al., Risk factors for trachoma in Mali, Int J Epidemiol, 31, pp. 194-201, (2002); Bero B, Macleod C, Alemayehu W, Gadisa S, Abajobir A, Adamu Y, Et al., Prevalence of and Risk Factors for Trachoma in Oromia Regional State of Ethiopia: Results of 79 Population-Based Prevalence Surveys Conducted with the Global Trachoma Mapping Project, Ophthalmic Epidemiol, 23, 6, pp. 392-405, (2016); Hsieh Y-H, Bobo LD, Quinn TC, West SK., Risk Factors for Trachoma: 6-Year Follow-up of Children Aged 1 and 2 Years, Am J Epidemiol, 152, 3, pp. 204-211, (2000); Phiri I, Manangazira P, Macleod CK, Mduluza T, Dhobbie T, Chaora SG, Et al., The Burden of and Risk Factors for Trachoma in Selected Districts of Zimbabwe: Results of 16 Population-Based Prevalence Surveys, Ophthalmic Epidemiol, 25, sup1, pp. 181-191, (2018); Alemayehu W, Melese M, Fredlander E, Worku A, Courtright P., Active trachoma in children in central Ethiopia: association with altitude, Trans R Soc Trop Med Hyg, 99, 11, pp. 840-843, (2005); Baggaley RF, Solomon AW, Kuper H, Polack S, Massae PA, Kelly J, Et al., Distance to water source and altitude in relation to active trachoma in Rombo district, Tanzania, Trop Med Int Health TM IH, 11, 2, pp. 220-227, (2006); Ngondi J, Gebre T, Shargie EB, Graves PM, Ejigsemahu Y, Teferi T, Et al., Risk factors for active trachoma in children and trichiasis in adults: a household survey in Amhara Regional State, Ethiopia, Trans R Soc Trop Med Hyg, 102, 5, pp. 432-438, (2008); Harding-Esch EM, Edwards T, Mkocha H, Munoz B, Holland MJ, Burr SE, Et al., Trachoma Prevalence and Associated Risk Factors in The Gambia and Tanzania: Baseline Results of a Cluster Randomised Controlled Trial, PLoS Negl Trop Dis, 4, 11, (2010); Mesfin MM, de la Camera J, Tareke IG, Amanual G, Araya T, Kedir AM., A Community-Based Trachoma Survey: Prevalence and Risk Factors in the Tigray Region of Northern Ethiopia, Ophthalmic Epidemiol, 13, 3, pp. 173-181, (2006); Mpyet C, Lass BD, Yahaya HB, Solomon AW., Prevalence of and Risk Factors for Trachoma in Kano State, Nigeria, PLOS ONE, 7, 7, (2012); Mpyet C, Goyol M, Ogoshi C., Personal and environmental risk factors for active trachoma in children in Yobe state, north-eastern Nigeria, Trop Med Int Health, 15, 2, pp. 168-172, (2010); Schemann J-F, Guinot C, Ilboudo L, Momo G, Ko B, Sanfo O, Et al., Trachoma, flies and environmental factors in Burkina Faso, Trans R Soc Trop Med Hyg, 97, 1, pp. 63-68, (2003); Vinke C, Lonergan S., Social and environmental risk factors for trachoma: a mixed methods approach in the Kembata Zone of southern Ethiopia, Can J Dev Stud Can Détudes Dév, 32, 3, pp. 254-268, (2011); Edwards T, Harding-Esch EM, Hailu G, Andreason A, Mabey DC, Todd J, Et al., Risk factors for active trachoma and Chlamydia trachomatis infection in rural Ethiopia after mass treatment with azithromy-cin, Trop Med Int Health, 13, 4, pp. 556-565, (2008); Abdou A, Nassirou B, Kadri B, Moussa F, Munoz BE, Opong E, Et al., Prevalence and risk factors for trachoma and ocular Chlamydia trachomatis infection in Niger, Br J Ophthalmol, 91, 1, pp. 13-17, (2007); Last AR, Burr SE, Weiss HA, Harding-Esch EM, Cassama E, Nabicassa M, Et al., Risk Factors for Active Trachoma and Ocular Chlamydia trachomatis Infection in Treatment-Naïve Trachoma-Hyper-endemic Communities of the Bijagós Archipelago, Guinea Bissau, PLoS Negl Trop Dis, 8, 6, (2014); Chen X, Nordhaus WD., VIIRS Nighttime Lights in the Estimation of Cross-Sectional and Time-Series GDP, Remote Sens, 11, 9, (2019); Design parameters for population-based trachoma prevalence surveys [Internet], (2018); Solomon AW, Bella ALF, Negussu N, Willis R, Taylor HR., How much trachomatous trichiasis is there? A guide to calculating district-level estimates, Community Eye Health, 31, 104, pp. S5-S8, (2019); Amoah B, Fronterre C, Johnson O, Dejene M, Seife F, Negussu N, Et al., Model-based geostatistics enables more precise estimates of neglected tropical-disease prevalence in elimination settings: mapping trachoma prevalence in Ethiopia, Int J Epidemiol, (2021); R: A language and environment for statistical computing, (2020); Hiemstra PH, Pebesma EJ, Twenhofel CJW, Heuvelink GBM., Real-time automatic interpolation of ambient gamma dose rates from the Dutch Radioactivity Monitoring Network, Comput Geosci, (2008); Aybar C, Wu Q, Bautista L, Yali R, Barja A., rgee: An R package for interacting with Google Earth Engine, J Open Source Softw, (2020); Friedman J, Hastie T, Tibshirani R., Regularization Paths for Generalized Linear Models via Coordinate Descent, J Stat Softw, 33, 1, pp. 1-22, (2010); Rousset F, Ferdy J-B., Testing environmental and genetic effects in the presence of spatial autocorre-lation, Ecography, 37, 8, pp. 781-790, (2014); Coyle JR, Hejazi NS, Malenica I, Sofrygin O., sl3: Modern Pipelines for Machine Learning and Super Learning, (2021); Valavi R, Elith J, Lahoz-Monfort JJ, Guillera-Arroita G., blockCV: An r package for generating spatially or environmentally separated folds for k-fold cross-validation of species distribution models, Methods Ecol Evol, 10, 2, pp. 225-232, (2019)</t>
  </si>
  <si>
    <t xml:space="preserve">C. Tedijanto; Francis I. Proctor Foundation, University of California, San Francisco, United States; email: christine.tedijanto@ucsf.edu</t>
  </si>
  <si>
    <t xml:space="preserve">2-s2.0-85127717810</t>
  </si>
  <si>
    <t xml:space="preserve">Mfueni Bikundi E.; Coppieters Y.</t>
  </si>
  <si>
    <t xml:space="preserve">Mfueni Bikundi, Elvire (57195313804); Coppieters, Yves (6603683728)</t>
  </si>
  <si>
    <t xml:space="preserve">57195313804; 6603683728</t>
  </si>
  <si>
    <t xml:space="preserve">Prediction ability of vector species, environmental characteristics and socio-economic factors for malaria risk in Sub-Saharan African Countries</t>
  </si>
  <si>
    <t xml:space="preserve">Malaria remains a major public health problem, causing 435,000 deaths in 2017. The objective of this study was to estimate the prediction ability of vector species associated with the prediction power of environmental and socio-economic factors for malaria risk. Logistic regression was used for malaria risk estimation. A Radial Basis Function model was applied for estimating the predictive ability of Anopheles species, environmental and socio-economic factors. The lowest fever prevalence was found where Anopheles melas was dominant. Anopheles coluzzi and Anopheles gambiae were the dominant species where prevalence of malaria was high. Altitude, country and vector species were the best predictive factors. Anopheles arabiensis, An. coluzzi and An. gambiae were most common in urban areas. This study will improve the prediction of malaria risk in targeted areas. We have observed how important it is to adapt health policies according to the dominant malaria vector in a region. © 2020 Informa UK Limited, trading as Taylor &amp; Francis Group.</t>
  </si>
  <si>
    <t xml:space="preserve">International Journal of Environmental Health Research</t>
  </si>
  <si>
    <t xml:space="preserve">10.1080/09603123.2020.1745763</t>
  </si>
  <si>
    <t xml:space="preserve">https://www.scopus.com/inward/record.uri?eid=2-s2.0-85083587053&amp;doi=10.1080%2f09603123.2020.1745763&amp;partnerID=40&amp;md5=69a667733260e56f033da5653d6c0402</t>
  </si>
  <si>
    <t xml:space="preserve">Epidemiology, Biostatistics and Clinical Research Center, School of Public Health, Université Libre de Bruxelles (ULB), Campus Erasme, Brussels, Belgium</t>
  </si>
  <si>
    <t xml:space="preserve">Mfueni Bikundi E., Epidemiology, Biostatistics and Clinical Research Center, School of Public Health, Université Libre de Bruxelles (ULB), Campus Erasme, Brussels, Belgium; Coppieters Y., Epidemiology, Biostatistics and Clinical Research Center, School of Public Health, Université Libre de Bruxelles (ULB), Campus Erasme, Brussels, Belgium</t>
  </si>
  <si>
    <t xml:space="preserve">Anopheles; environmental characteristics; Malaria; radial basis function; Sub-Saharan Africa</t>
  </si>
  <si>
    <t xml:space="preserve">Africa South of the Sahara; Animals; Anopheles; Malaria; Mosquito Vectors; Sub-Saharan Africa; disease prevalence; health policy; malaria; public health; risk assessment; urban area; Africa south of the Sahara; altitude; Anopheles; Anopheles arabiensis; Anopheles coluzzii; Anopheles funestus; Anopheles gambiae; Anopheles melas; Anopheles moucheti; Anopheles nili; Article; child; disease carrier; endemic disease; environmental factor; female; fever; human; infection risk; major clinical study; malaria; malaria falciparum; male; nonhuman; predictive model; preschool child; prevalence; radial basis function neural network; risk assessment; socioeconomics; urban area; animal; malaria; mosquito vector</t>
  </si>
  <si>
    <t xml:space="preserve">Addeh A., Khormali A., Golilarz N.A., Control chart pattern recognition using RBF neural network with new training algorithm and practical features, ISA Trans, (2018); Birhanu Z., Yihdego Y.Y., Yewhalaw D., Caretakers’ understanding of malaria, use of insecticide treated net and care seeking-behavior for febrile illness of their children in ethiopia, BMC Infect Dis, 17, 1, (2017); Bomblies A., Agent-based modeling of malaria vectors: the importance of spatial simulation, Parasit Vectors, 7, (2014); Gridded population of the world, version 3 (GPWv3): population count grid, (2005); Collins E., Vaselli N.M., Sylla M., Beavogui A.H., Orsborne J., Lawrence G., Wiegand R.E., Irish S.R., Walker T., Messenger L.A., Et al., The relationship between insecticide resistances, mosquito age and malaria prevalence in Anopheles gambiae S.I s.l. from Guinea, Sci Rep, 9, (2019); Dalrymple U., Cameron E., Bhatt S., Weiss D., Gupta S., Gething P.W., Quantifying the contribution of plasmodium falciparum malaria to febrile illness amongst African children, eLife, 6, (2017); Dear N.F., Kadangwe C., Mzilahowa T., Bauleni A., Mathanga D.P., Duster C., Walker E.D., Wilson M.L., Household-level and surrounding peri-domestic environmental characteristics associated with malaria vectors Anopheles arabiensis and Anopheles funestus along an urban-rural continuum in Blantyre, Malawi, Malar J, 17, 1, (2018); (2017); Endo N., Eltahir E.A., Environmental determinants of malaria transmission in African villages, Malar J, 15, 1, (2016); Eve M., Richard A., Richard T., Michael O., John S., L Daniel O., Robinah K., Anta T., Cheikh G., Luiza C., 21st century research in urban WASH and health in sub-Saharan Africa: methods and outcomes in transition, Int J Environ Health Res, (2018); Grover-Kopec E., Kawano M., Klaver R.W., Blumenthal B., Ceccato P., Connor S.J., An online operational rainfall-monitoring resource for epidemic malaria early warning systems in Africa, Malar J, 4, (2005); Harbach R., Review of the internal classification of the genus Anopheles (Diptera: culicidae): the foundation for comparative systematics and phylogenetic research, Bull Entomol Res, 84, 3, pp. 331-342, (1994); Hou M., Han X., Constructive approximation to multivariate function by decay RBF neural network, IEEE Trans Neural Netw, 21, 9, pp. 1517-1523, (2010); Incorporating geographic information into demographic and health surveys: A field guide to GPS data collection, (2013); Lindsay S., Kirby M., Baris E., Bos R., Environmental management for malaria control in the East of Asia and Pacific (EAP) region, (2004); Makanga B., Yangari P., Rahola N., Rougeron V., Elguero E., Boundenga L., Moukodoum N.D., Okouga A.P., Arnathau C., Durand P., Et al., Ape malaria transmission and potential for ape-to-human transfers in Africa, Proc Natl Acad Sci U S A, 113, 19, pp. 5329-5334, (2016); (2018); Meibalan E., Marti M., Biology of malaria transmission, Cold Spring Harb Perspect Med, 7, 3, (2017); Mfueni Bikundi E., Coppieters Y., Importance of risk factors associated with malaria for Sub-Saharan African children, Int J Environ Health Res, 27, 5, pp. 394-408, (2017); Mfueni Bikundi E., Individual, household, community and country factors associated with Malaria in African Children, Int J Social Sci Humanities Res, 4, 3, pp. 501-515, (2016); Milner D.A., Malaria pathogenesis, Cold Spring Harb Perspect Med, 8, 1, (2018); Molina Gomez K., Caicedo M.A., Gaitan A., Herrera-Varela M., Arce M.I., Vallejo A.F., Padilla J., Chaparro P., Pacheco M.A., Escalante A.A., Et al., Characterizing the malaria rural-to-urban transmission interface: the importance of reactive case detection, PLoS Negl Trop Dis, 11, 7, (2017); Moyes C.L., Shearer F.M., Huang Z., Wiebe A., Gibson H.S., Nijman V., Mohd-Azlan J., Brodie J.F., Malaivijitnond S., Linkie M., Et al., Predicting the geographical distributions of the macaque hosts and mosquito vectors of Plasmodium knowlesi malaria in forested and non-forested areas, Parasites Vectors, 9, (2016); African countries MAP. [Internet, (2017); Ndiath M.O., Mazenot C., Sokhna C., Trape J.F., How the malaria vector Anopheles gambiae adapts to the use of insecticide-treated nets by African populations, PLoS One, 9, 6, (2014); O'Loughlin S.M., Magesa S., Mbogo C., Mosha F., Midega J., Lomas S., Burt A., Genomic analyses of three malaria vectors reveals extensive shared polymorphism but contrasting population histories, Mol Biol Evol, 31, 4, pp. 889-902, (2014); Paaijmans K.P., Blanford S., Chan B.H., Thomas M.B., Warmer temperatures reduce the vectorial capacity of malaria mosquitoes, Biol Lett, 8, 3, pp. 465-468, (2012); Pages F., Orlandi-Pradines E., Corbel V., Vectors of malaria: biology, diversity, prevention, and individual protection, Med Mal Infect, 37, 3, pp. 153-161, (2007); Pates H., Curtis C., Mosquito behavior and vector control, Annu Rev Entomol, 50, pp. 53-70, (2005); Rossati A., Bargiacchi O., Kroumova V., Zaramella M., Caputo A., Garavelli P.L., Climate, environment and transmission of malaria, Infez Med, 24, 2, pp. 93-104, (2016); Sanei-Dehkordi A., Soleimani-Ahmadi M., Jaberhashemi S.A., Zare M., Species composition, seasonal abundance and distribution of potential anopheline vectors in a malaria endemic area of Iran: field assessment for malaria elimination, Malar J, 18, 1, (2019); Sinka M.E., Bangs M.J., Manguin S., Rubio-Palis Y., Chareonviriyaphap T., Coetzee M., Mbogo C.M., Hemingway J., Patil A.P., Temperle W.H., Et al., A global map of dominant malaria vectors, Parasites Vectors, 5, (2012); Sinka M.E., Golding N., Massey N.C., Wiebe A., Huang Z., Hay S.I., Moyes C.L., Modelling the relative abundance of the primary African vectors of malaria before and after the implementation of indoor, insecticide-based vector control, Malar J, 15, (2016); Sledge I.J., Principe J.C., An exact reformulation of feature-vector-based radial-basis-function networks for graph-based observations, IEEE Trans Neural Netw Learn Syst, (2019); Soleimani-Ahmadi M., Vatandoost H., Shaeghi M., Raeisi A., Abedi F., Eshraghian M.R., Madani A., Safari R., Oshaghi M.A., Abtahi M., Et al., Field evaluation of permethrin long-lasting insecticide treated nets (Olyset(®)) for malaria control in an endemic area, southeast of Iran, Acta Trop, 123, 3, pp. 146-153, (2012); Tchuinkam T., Simard F., Lele-Defo E., Tene-Fossog B., Tateng-Ngouateu A., Antonio-Nkondjio C., Mpoame M., Toto J.C., Njine T., Fontenille D., Et al., Bionomics of Anopheline species and malaria transmission dynamics along an altitudinal transect in Western Cameroon, BMC Infect Dis, 10, (2010); Toe K.H., Muller P., Badolo A., Traore A., Sagnon N., Dabire R.K., Ranson H., Do bednets including piperonyl butoxide offer additional protection against populations of Anopheles gambiae s.l. that are highly resistant to pyrethroids? An experimental hut evaluation in Burkina Faso, Med Vet Entomol, (2018); Wang C., Gourley S.A., Liu R., Delayed action insecticides and their role in mosquito and malaria control, J Math Biol, 68, 1-2, pp. 417-451, (2014); Microscopy quality assurance manual–version 2, (2016); World malaria report, (2018); Wiebe A., Longbottom J., Gleave K., Shearer F.M., Sinka M.E., Massey N.C., Cameron E., Bhatt S., Gething P.W., Hemingway J., Et al., Geographical distributions of African malaria vector sibling species and evidence for insecticide resistance, Malar J, 16, 1, (2017); Wilson A.L., Pinder M., Bradley J., Donnelly M.J., Hamid-Adiamoh M., Jarju L.B.S., Jawara M., Jeffries D., Kandeh B., Rippon E.J., Et al., Emergence of knock-down resistance in the Anopheles gambiae complex in the Upper River Region, The Gambia, and its relationship with malaria infection in children, Malar J, 17, 1, (2018)</t>
  </si>
  <si>
    <t xml:space="preserve">E. Mfueni Bikundi; Epidemiology, Biostatistics and Clinical Research Center, School of Public Health, Université Libre de Bruxelles (ULB), Brussels, Campus, Erasme, CP-593,Route de Lennik, 808-B-1070, Belgium; email: elviram5@yahoo.fr</t>
  </si>
  <si>
    <t xml:space="preserve">IJERE</t>
  </si>
  <si>
    <t xml:space="preserve">Int. J. Environ. Health Res.</t>
  </si>
  <si>
    <t xml:space="preserve">2-s2.0-85083587053</t>
  </si>
  <si>
    <t xml:space="preserve">Wegener A.; Holm A.E.; Gomes L.C.; Lima K.O.; Matos L.O.; Vieira I.V.M.; Kaagaard M.D.; de Souza R.M.; Hviid L.; Lacerda M.V.G.; Vestergaard L.S.; Marinho C.R.F.; Platz E.; Biering-Sørensen T.; Silvestre O.M.; Brainin P.</t>
  </si>
  <si>
    <t xml:space="preserve">Wegener, Alma (57226383671); Holm, Anna E. (57215128247); Gomes, Laura C. (57223320487); Lima, Karine O. (57226095489); Matos, Luan O. (57226069378); Vieira, Isabelle V.M. (57226075444); Kaagaard, Molly Dam (57344708100); de Souza, Rodrigo Medeiros (55383034300); Hviid, Lars (7005571610); Lacerda, Marcus Vinıcius Guimarães (8836255900); Vestergaard, Lasse S. (6602671510); Marinho, Claudio Romero Farias (8687216900); Platz, Elke (24778711200); Biering-Sørensen, Tor (25637106800); Silvestre, Odilson M. (35757861800); Brainin, Philip (57199206691)</t>
  </si>
  <si>
    <t xml:space="preserve">57226383671; 57215128247; 57223320487; 57226095489; 57226069378; 57226075444; 57344708100; 55383034300; 7005571610; 8836255900; 6602671510; 8687216900; 24778711200; 25637106800; 35757861800; 57199206691</t>
  </si>
  <si>
    <t xml:space="preserve">Prevalence and Dynamic Changes in Lung Ultrasound Findings among Adults with Uncomplicated Malaria and Controls in the Amazon Basin, Brazil</t>
  </si>
  <si>
    <t xml:space="preserve">Malaria patients are at risk of cardiopulmonary complications but diagnosis and management can be difficult in resource-limited settings. B-lines on lung ultrasound (LUS) mark changes in lung density; however, little is known about their role in malaria. We aimed to examine the prevalence of B-lines in adults with malaria at baseline and follow-up compared with controls in the Amazon Basin. We also examined the relationship between B-lines and left ventricular ejection fraction. We performed eight-zone LUS, echocardiography, and blood smears in 94 adults (mean age 40 years, 54% men) with uncomplicated malaria and 449 controls without heart failure, renal insufficiency or lung disease (mean age 41 years, 38% men). Examinations of adults with malaria were repeated after antimalarial treatment, corresponding to a median of 30 days (interquartile range [IQR] 27–39). Adults with malaria suffered from Plasmodium vivax (N 5 70, median 2,823 [IQR 598–7,698] parasites/mL) or P. falciparum (N 5 24, median 1,148 [IQR 480–3,128] parasites/ mL). At baseline, adults with malaria more frequently had $ 3 B-lines (summed across eight zones) compared with controls (30% versus 2%, P value, 0.001), indicating higher lung density. When examinations were repeated, only 6% of adults with malaria had $ 3 B-lines at follow-up, which was significant lower compared with baseline (median reduction 3 B-lines; P value, 0.001). B-lines were not significantly associated with left ventricular ejection fraction in adults with malaria. In conclusion, B-lines detected by LUS were more frequent in adults with uncomplicated malaria compared with controls and decreased after completed antimalarial treatment. Copyright © 2022 by The American Society of Tropical Medicine and Hygiene.</t>
  </si>
  <si>
    <t xml:space="preserve">treatmet montoring</t>
  </si>
  <si>
    <t xml:space="preserve">10.4269/ajtmh.21-1107</t>
  </si>
  <si>
    <t xml:space="preserve">https://www.scopus.com/inward/record.uri?eid=2-s2.0-85148215845&amp;doi=10.4269%2fajtmh.21-1107&amp;partnerID=40&amp;md5=230b3301bae09ee8fee27dba8ba2de41</t>
  </si>
  <si>
    <t xml:space="preserve">Multidisciplinary Center, Federal University of Acre, Câmpus Floresta, Cruzeiro do Sul, Acre, Brazil; Department of Cardiology, Gentofte Hospital, Hellerup, Denmark; Department of Parasitology, Institute of Biomedical Sciences, University of São Paulo, São Paulo, Brazil; Department of Immunology and Microbiology, Copenhagen University, Copenhagen, Denmark; Department of Infectious Diseases, Rigshospitalet, Copenhagen University, Copenhagen, Denmark; Fundação de Medicina Tropical Dr Heitor Vieira Dourado, Manaus, Brazil; Universidade do Estado do Amazonas, Manaus, Brazil; Instituto Leônidas and Maria Deane, Fiocruz Amazonas, Manaus, Brazil; National Malaria Reference Laboratory, Department of Bacteria, Parasites and Fungi, Statens Serum Institut, Copenhagen, Denmark; Cardiovascular Division, Brigham and Women’s Hospital, Boston, MA, United States; Faculty of Biomedical Sciences, Copenhagen University, Copenhagen, Denmark; Health and Sport Science Center, Federal University of Acre, Acre, Rio Branco, Brazil</t>
  </si>
  <si>
    <t xml:space="preserve">Wegener A., Multidisciplinary Center, Federal University of Acre, Câmpus Floresta, Cruzeiro do Sul, Acre, Brazil, Department of Cardiology, Gentofte Hospital, Hellerup, Denmark; Holm A.E., Multidisciplinary Center, Federal University of Acre, Câmpus Floresta, Cruzeiro do Sul, Acre, Brazil, Department of Cardiology, Gentofte Hospital, Hellerup, Denmark; Gomes L.C., Department of Parasitology, Institute of Biomedical Sciences, University of São Paulo, São Paulo, Brazil; Lima K.O., Multidisciplinary Center, Federal University of Acre, Câmpus Floresta, Cruzeiro do Sul, Acre, Brazil; Matos L.O., Multidisciplinary Center, Federal University of Acre, Câmpus Floresta, Cruzeiro do Sul, Acre, Brazil; Vieira I.V.M., Multidisciplinary Center, Federal University of Acre, Câmpus Floresta, Cruzeiro do Sul, Acre, Brazil; Kaagaard M.D., Multidisciplinary Center, Federal University of Acre, Câmpus Floresta, Cruzeiro do Sul, Acre, Brazil, Department of Cardiology, Gentofte Hospital, Hellerup, Denmark; de Souza R.M., Multidisciplinary Center, Federal University of Acre, Câmpus Floresta, Cruzeiro do Sul, Acre, Brazil; Hviid L., Department of Immunology and Microbiology, Copenhagen University, Copenhagen, Denmark, Department of Infectious Diseases, Rigshospitalet, Copenhagen University, Copenhagen, Denmark; Lacerda M.V.G., Fundação de Medicina Tropical Dr Heitor Vieira Dourado, Manaus, Brazil, Universidade do Estado do Amazonas, Manaus, Brazil, Instituto Leônidas and Maria Deane, Fiocruz Amazonas, Manaus, Brazil; Vestergaard L.S., National Malaria Reference Laboratory, Department of Bacteria, Parasites and Fungi, Statens Serum Institut, Copenhagen, Denmark; Marinho C.R.F., Department of Parasitology, Institute of Biomedical Sciences, University of São Paulo, São Paulo, Brazil; Platz E., Cardiovascular Division, Brigham and Women’s Hospital, Boston, MA, United States; Biering-Sørensen T., Department of Cardiology, Gentofte Hospital, Hellerup, Denmark, Faculty of Biomedical Sciences, Copenhagen University, Copenhagen, Denmark; Silvestre O.M., Health and Sport Science Center, Federal University of Acre, Acre, Rio Branco, Brazil; Brainin P., Multidisciplinary Center, Federal University of Acre, Câmpus Floresta, Cruzeiro do Sul, Acre, Brazil, Department of Cardiology, Gentofte Hospital, Hellerup, Denmark</t>
  </si>
  <si>
    <t xml:space="preserve">edetic acid; adult; antimalarial activity; Article; asthma; clinical trial; controlled study; coronavirus disease 2019; data analysis; dyspnea; echocardiography; estimated glomerular filtration rate; female; health care; heart disease; heart left ventricle ejection fraction; human; hypercholesterolemia; information processing; major clinical study; malaria; male; microscopy; nonhuman; parasitemia; physical examination; physician; Plasmodium falciparum; Plasmodium vivax; social status; ultrasound</t>
  </si>
  <si>
    <t xml:space="preserve">edetic acid, 150-43-6, 60-00-4</t>
  </si>
  <si>
    <t xml:space="preserve">Vivid IQ, General Electric, Norway</t>
  </si>
  <si>
    <t xml:space="preserve">General Electric, Norway</t>
  </si>
  <si>
    <t xml:space="preserve">A. P. Møllers Lægefond, (18-L-0026); Astra Zeneca/Danish Society of Cardiology; Brorsons Fond, (12038-1-hh); Dansk Medicinsk Selskab København, (120620-kms); Herlev-Gentofte Hospital; Julie von Mullens € Fond, Knud Højgaards Fond; Julie von Mu€llens Fond, Knud Højgaards Fond, (18-05-2487); Lund-beck Foundation, (R373-2021-1201); William Demant, (20-1257); National Institutes of Health, NIH; National Heart, Lung, and Blood Institute, NHLBI, (R01HL148439); National Heart, Lung, and Blood Institute, NHLBI; Hjerteforeningen, (20-R139-A9644-22165); Hjerteforeningen; Fundação de Amparo à Pesquisa do Estado de São Paulo, FAPESP, (2020/ 06747-4); Fundação de Amparo à Pesquisa do Estado de São Paulo, FAPESP; Lundbeckfonden; Conselho Nacional de Desenvolvimento Científico e Tecnológico, CNPq, (302917/2019-5); Conselho Nacional de Desenvolvimento Científico e Tecnológico, CNPq; Torben og Alice Frimodts Fond, (TA250419); Torben og Alice Frimodts Fond; Reinholdt W. Jorck og Hustrus Fond, (18-JU-0485, NLA-080919); Reinholdt W. Jorck og Hustrus Fond; Novo Nordisk Fonden, NNF, (NNF20OC0062782); Novo Nordisk Fonden, NNF; Knud Højgaards Fond, KHF, (20-01-1076, 20-JU-0145); Knud Højgaards Fond, KHF; Danmarks Frie Forskningsfond, DFF, (0129-0003B); Danmarks Frie Forskningsfond, DFF</t>
  </si>
  <si>
    <t xml:space="preserve">Funding text 1: Funding specifically rewarded for the Malaria Heart Study: PB and AEH: Jette and Hans Henrik Jensen, The Independent Research Fund Denmark (0129-0003B), Dansk Medicinsk Selskab København (120620-kms), Julie von Mullens € Fond, Knud Højgaards Fond (18-05-2487), A. P. Møllers Lægefond (18-L-0026), Reinholdt W. Jorck og Hustrus Fond (18-JU-0485), Eva og Henry Frænkels Mindefond (NLA-080919), Astra Zeneca/Danish Society of Cardiology, Internal Funds at Herlev-Gentofte Hospital, Torben og Alice Frimodts Fond (TA250419), Brorsons Fond (12038-1-hh), Lundbeck Foundation (R373-2021-1201). AW: Danish Heart Association (20-R139-A9644-22165), William Demant (20-1257), Knud Højgaards Fond (20-01-1076), Reinholdt W. Jorck og Hustrus Fond (20-JU-0145). MK: Novo Nordisk Fonden (NNF20OC0062782). LCG: CNPq (142306/2020-7). Other sources of funding: CRFM: FAPESP (2020/ 06747-4) and CNPq (302917/2019-5). No sponsors had any role in the design, conduction, or analysis of the study.; Funding text 2: Disclosure: Dr. Platz’s employer has received support from Novartis for consulting work and she has consulted for scPharmaceuticals outside of the submitted work. She has received research support from the NIH (R01HL148439).; Funding text 3: Financial support: Funding specifically rewarded for the Malaria Heart Study: PB and AEH: Jette and Hans Henrik Jensen, The Independent Research Fund Denmark (0129-0003B), Dansk Medicinsk Selskab København (120620-kms), Julie von Mu€llens Fond, Knud Højgaards Fond (18-05-2487), A. P. Møllers Lægefond (18-L-0026), Reinholdt W. Jorck og Hustrus Fond (18-JU-0485), Eva og Henry Frænkels Mindefond (NLA-080919), Astra Zeneca/Danish Society of Cardiology, Internal Funds at Herlev-Gentofte Hospital, Torben og Alice Frimodts Fond (TA250419), Brorsons Fond (12038-1-hh), Lund-beck Foundation (R373-2021-1201). AW: Danish Heart Association (20-R139-A9644-22165), William Demant (20-1257), Knud Højgaards Fond (20-01-1076), Reinholdt W. Jorck og Hustrus Fond (20-JU-0145). MK: Novo Nordisk Fonden (NNF20OC0062782). LCG: CNPq (142306/2020-7). Other sources of funding: CRFM: FAPESP (2020/ 06747-4) and CNPq (302917/2019-5). No sponsors had any role in the design, conduction, or analysis of the study.</t>
  </si>
  <si>
    <t xml:space="preserve">Who Guidelines for Malaria 2019, (2021); Tilley L, Dixon MWA, Kirk K, The Plasmodium falciparum-infected red blood cell, Int J Biochem Cell Biol, 43, pp. 839-842, (2011); Oliveira-Ferreira J, Lacerda MVG, Brasil P, Ladislau JLB, Tauil PL, Daniel-Ribeiro CT, Malaria in Brazil: an overview, Malar J, 9, pp. 1-15, (2010); Taylor WRJ, Hanson J, Turner GDH, White NJ, Dondorp AM, Respiratory manifestations of malaria, Chest, 142, pp. 492-505, (2012); Lacerda MVG, Et al., Postmortem characterization of patients with clinical diagnosis of Plasmodium vivax malaria: to what extent does this parasite kill?, Clin Infect Dis, 55, pp. 67-74, (2012); Val F, Machado K, Barbosa L, Salinas JL, Siqueira AM, Alecrim MGC, Del Portillo H, Bassat Q, Monteiro WM, Lacerda MVG, Respiratory complications of Plasmodium vivax malaria: systematic review and meta-analysis, Am J Trop Med Hyg, 97, pp. 733-743, (2017); Pugliese CM, Et al., Point-of-care ultrasound to assess volume status and pulmonary oedema in malaria patients, Infection, 50, pp. 65-82, (2022); Leopold SJ, Et al., Point-of-care lung ultrasound for the detection of pulmonary manifestations of malaria and sepsis: an observational study, PLOS ONE, 13, pp. 1-14, (2018); Wegener A, Et al., Cardiopulmonary alterations by ultrasound in a patient with uncomplicated mixed malaria infection: a case report from the Amazon Basin, Malar J, 20, pp. 1-4, (2021); Picano E, Pellikka PA, Ultrasound of extravascular lung water: a new standard for pulmonary congestion, Eur Heart J, 37, pp. 2097-2104, (2016); Deeb M, Barbic S, Featherstone R, Dankoff J, Barbic D, Point-of-care ultrasonography for the diagnosis of acute cardiogenic pulmonary edema in patients presenting with acute dyspnea: a systematic review and meta-analysis, Acad Emerg Med, 21, pp. 844-852, (2014); Price S, Et al., Expert consensus document: echocardiography and lung ultrasonography for the assessment and management of acute heart failure, Nat Rev Cardiol, 14, pp. 427-440, (2017); Instituto Brasileiro de Geografia e Estatıstica. Cruzeiro do Sul. Portal do Gov. Bras. Cid, (2017); Severe malaria, Trop Med Int Health, 19, pp. 7-131, (2014); Guia de tratamento da malaria no Brasil (English: Guide to treatment of malaria in Brazil), (2019); Simionatto M, De Paula JP, Chaves MAF, Bortoloso M, Cicchetti D, Leonart MSS, Do Nascimento AJ, Manual and automated reticulocyte counts, Hematology, 15, pp. 406-409, (2010); Platz E, Et al., Expert consensus document: reporting checklist for quantification of pulmonary congestion by lung ultrasound in heart failure, Eur J Heart Fail, 21, pp. 844-851, (2019); Dwyer KH, Et al., Pulmonary congestion by lung ultrasound in ambulatory patients with heart failure with reduced or preserved ejection fraction and hypertension, J Card Fail, 24, pp. 219-226, (2018); Platz E, Et al., Lung ultrasound in acute heart failure: prevalence of pulmonary congestion and short- and long-term outcomes, JACC Heart Fail, 7, pp. 849-858, (2019); Lang RM, Et al., Recommendations for cardiac chamber quantification by echocardiography in adults: an update from the American Society of Echocardiography and the European Association of Cardiovascular Imaging, Eur Heart J Cardiovasc Imaging, 16, pp. 233-271, (2015); Brainin P, Et al., Body mass index and B-lines on lung ultrasonography in chronic and acute heart failure, ESC Heart Fail, 7, pp. 1201-1209, (2020); Van den Steen PE, Deroost K, Deckers J, Van Herck E, Struyf S, Opdenakker G, Pathogenesis of malaria-associated acute respiratory distress syndrome, Trends Parasitol, 29, pp. 346-358, (2013); Anstey NM, Handojo T, Pain MCF, Kenangalem E, Tjitra E, Price RN, Maguire GP, Lung injury in vivax malaria: pathophysiological evidence for pulmonary vascular sequestration and posttreatment alveolar-capillary inflammation, J Infect Dis, 195, pp. 589-596, (2007); Carvalho BO, Et al., On the cytoadhesion of Plasmodium vivax-infected erythrocytes, J Infect Dis, 202, pp. 638-647, (2010); Hemmer CJ, Holst FGE, Kern P, Chiwakata CB, Dietrich M, Reisinger EC, Stronger host response per parasitized erythrocyte in Plasmodium vivax or ovale than in Plasmodium falciparum malaria, Trop Med Int Health, 11, pp. 817-823, (2006); Anstey NM, Jacups SP, Cain T, Pearson T, Ziesing PJ, Fisher DA, Currie BJ, Marks PJ, Pulmonary manifestations of uncomplicated falciparum and vivax malaria: Cough, small airways obstruction, impaired gas transfer, and increased pulmonary phagocytic activity, J Infect Dis, 185, pp. 1326-1334, (2002); Hanson J, Et al., The reliability of the physical examination to guide fluid therapy in adults with severe falciparum malaria: an observational study, Malar J, 12, (2013); Pivetta E, Et al., Lung ultrasonography for the diagnosis of SARS-CoV-2 pneumonia in the emergency department, Ann Emerg Med, 77, pp. 385-394, (2021); Staub LJ, Mazzali Biscaro RR, Kaszubowski E, Maurici R, Lung ultrasound for the emergency diagnosis of pneumonia, acute heart failure, and exacerbations of chronic obstructive pulmonary disease/asthma in adults: a systematic review and meta-analysis, J Emerg Med, 56, pp. 53-69, (2019); Vitturi N, Dugo M, Soattin M, Simoni F, Maresca L, Zagatti R, Maresca MC, Lung ultrasound during hemodialysis: the role in the assessment of volume status, Int Urol Nephrol, 46, pp. 169-174, (2014); Platz E, Merz AA, Jhund PS, Vazir A, Campbell R, McMurray JJ, Dynamic changes and prognostic value of pulmonary congestion by lung ultrasound in acute and chronic heart failure: a systematic review, Eur J Heart Fail, 19, pp. 1154-1163, (2017); Volpicelli G, Et al., International evidence-based recommendations for point-of-care lung ultrasound, Intensive Care Med, 38, pp. 577-591, (2012); Platz E, Et al., Detection and prognostic value of pulmonary congestion by lung ultrasound in ambulatory heart failure patients, Eur Heart J, 37, pp. 1244-1251, (2016); Miglioranza MH, Et al., Lung ultrasound for the evaluation of pulmonary congestion in outpatients: a comparison with clinical assessment, natriuretic peptides, and echocardiography, JACC Cardiovasc Imaging, 6, pp. 1141-1151, (2013); Dev N, Gadpayle AK, Sankar J, Choudhary M, An unusual case of heart failure due to Plasmodium vivax infection with a favorable outcome, Rev Soc Bras Med Trop, 47, pp. 663-665, (2014); Sonambekar AA, Gupta N, Agarwal MP, Rajpal S, Aggarwal A, Plasmodium vivax-associated myopericarditis, (2014); Holm AE, Gomes LC, Marinho CRF, Silvestre OM, Vestergaard LS, Biering-Sorensen T, Brainin P., Prevalence of cardiovascular complications in malaria: a systematic review and meta-analysis, Am J Trop Med Hyg; Gustafsson M, Alehagen U, Johansson P, Imaging congestion with a pocket ultrasound device: prognostic implications in patients with chronic heart failure, J Card Fail, 21, pp. 548-554, (2015); Grobusch M, Kremsner P, Uncomplicated malaria, Malaria: Drugs, Disease and Post-genomic Biology. Current Topics in Microbiology and Immunology, 295, pp. 83-104, (2005); Stang A, Lung ultrasound findings in COVID-19 pneumonia, Dtsch Arztebl Int, 117, (2020)</t>
  </si>
  <si>
    <t xml:space="preserve">A. Wegener; Department of Cardiology, Gentofte Hospital, University of Copenhagen, Copenhagen, Denmark; email: almaswegener@gmail.com</t>
  </si>
  <si>
    <t xml:space="preserve">All Open Access; Bronze Open Access; Green Open Access</t>
  </si>
  <si>
    <t xml:space="preserve">2-s2.0-85148215845</t>
  </si>
  <si>
    <t xml:space="preserve">Siria D.J.; Sanou R.; Mitton J.; Mwanga E.P.; Niang A.; Sare I.; Johnson P.C.D.; Foster G.M.; Belem A.M.G.; Wynne K.; Murray-Smith R.; Ferguson H.M.; González-Jiménez M.; Babayan S.A.; Diabaté A.; Okumu F.O.; Baldini F.</t>
  </si>
  <si>
    <t xml:space="preserve">Siria, Doreen J. (57189696287); Sanou, Roger (56556800800); Mitton, Joshua (57221350103); Mwanga, Emmanuel P. (57207927466); Niang, Abdoulaye (55874813500); Sare, Issiaka (57203838687); Johnson, Paul C. D. (55329880800); Foster, Geraldine M. (56725035000); Belem, Adrien M. G. (6603322562); Wynne, Klaas (7005616796); Murray-Smith, Roderick (6602499837); Ferguson, Heather M. (7103282401); González-Jiménez, Mario (54386863100); Babayan, Simon A. (7003733616); Diabaté, Abdoulaye (6602721021); Okumu, Fredros O. (23469954500); Baldini, Francesco (35620058000)</t>
  </si>
  <si>
    <t xml:space="preserve">57189696287; 56556800800; 57221350103; 57207927466; 55874813500; 57203838687; 55329880800; 56725035000; 6603322562; 7005616796; 6602499837; 7103282401; 54386863100; 7003733616; 6602721021; 23469954500; 35620058000</t>
  </si>
  <si>
    <t xml:space="preserve">Rapid age-grading and species identification of natural mosquitoes for malaria surveillance</t>
  </si>
  <si>
    <t xml:space="preserve">The malaria parasite, which is transmitted by several Anopheles mosquito species, requires more time to reach its human-transmissible stage than the average lifespan of mosquito vectors. Monitoring the species-specific age structure of mosquito populations is critical to evaluating the impact of vector control interventions on malaria risk. We present a rapid, cost-effective surveillance method based on deep learning of mid-infrared spectra of mosquito cuticle that simultaneously identifies the species and age class of three main malaria vectors in natural populations. Using spectra from over 40, 000 ecologically and genetically diverse An. gambiae, An. arabiensis, and An. coluzzii females, we develop a deep transfer learning model that learns and predicts the age of new wild populations in Tanzania and Burkina Faso with minimal sampling effort. Additionally, the model is able to detect the impact of simulated control interventions on mosquito populations, measured as a shift in their age structures. In the future, we anticipate our method can be applied to other arthropod vector-borne diseases. © 2022, The Author(s).</t>
  </si>
  <si>
    <t xml:space="preserve">10.1038/s41467-022-28980-8</t>
  </si>
  <si>
    <t xml:space="preserve">https://www.scopus.com/inward/record.uri?eid=2-s2.0-85126783850&amp;doi=10.1038%2fs41467-022-28980-8&amp;partnerID=40&amp;md5=d918cc4593b335c15c4f596f97868deb</t>
  </si>
  <si>
    <t xml:space="preserve">Environmental Health &amp; Ecological Sciences Department, Ifakara Health Institute, Off Mlabani Passage, PO Box 53, Ifakara, Tanzania; Institut de Recherche en Sciences de la Santé (IRSS)/Centre Muraz, Bobo-Dioulasso, Burkina Faso; Institute of Biodiversity Animal Health and Comparative Medicine, University of Glasgow, Glasgow, G12 8QQ, United Kingdom; School of Chemistry, University of Glasgow, Glasgow, G12 8QQ, United Kingdom; School of Computing Science, University of Glasgow, Glasgow, G12 8QQ, United Kingdom; Department of Vector Biology, Liverpool School of Tropical Medicine, Liverpool, L3 5QA, United Kingdom; Université Nazi Boni de Bobo-Dioulasso, Bobo-Dioulasso, PO 1091, Burkina Faso</t>
  </si>
  <si>
    <t xml:space="preserve">Siria D.J., Environmental Health &amp; Ecological Sciences Department, Ifakara Health Institute, Off Mlabani Passage, PO Box 53, Ifakara, Tanzania; Sanou R., Institut de Recherche en Sciences de la Santé (IRSS)/Centre Muraz, Bobo-Dioulasso, Burkina Faso; Mitton J., Institute of Biodiversity Animal Health and Comparative Medicine, University of Glasgow, Glasgow, G12 8QQ, United Kingdom, School of Chemistry, University of Glasgow, Glasgow, G12 8QQ, United Kingdom, School of Computing Science, University of Glasgow, Glasgow, G12 8QQ, United Kingdom; Mwanga E.P., Environmental Health &amp; Ecological Sciences Department, Ifakara Health Institute, Off Mlabani Passage, PO Box 53, Ifakara, Tanzania, Institute of Biodiversity Animal Health and Comparative Medicine, University of Glasgow, Glasgow, G12 8QQ, United Kingdom; Niang A., Institut de Recherche en Sciences de la Santé (IRSS)/Centre Muraz, Bobo-Dioulasso, Burkina Faso; Sare I., Institut de Recherche en Sciences de la Santé (IRSS)/Centre Muraz, Bobo-Dioulasso, Burkina Faso; Johnson P.C.D., Institute of Biodiversity Animal Health and Comparative Medicine, University of Glasgow, Glasgow, G12 8QQ, United Kingdom; Foster G.M., Department of Vector Biology, Liverpool School of Tropical Medicine, Liverpool, L3 5QA, United Kingdom; Belem A.M.G., Université Nazi Boni de Bobo-Dioulasso, Bobo-Dioulasso, PO 1091, Burkina Faso; Wynne K., School of Chemistry, University of Glasgow, Glasgow, G12 8QQ, United Kingdom; Murray-Smith R., School of Computing Science, University of Glasgow, Glasgow, G12 8QQ, United Kingdom; Ferguson H.M., Environmental Health &amp; Ecological Sciences Department, Ifakara Health Institute, Off Mlabani Passage, PO Box 53, Ifakara, Tanzania, Institute of Biodiversity Animal Health and Comparative Medicine, University of Glasgow, Glasgow, G12 8QQ, United Kingdom; González-Jiménez M., School of Chemistry, University of Glasgow, Glasgow, G12 8QQ, United Kingdom; Babayan S.A., Institute of Biodiversity Animal Health and Comparative Medicine, University of Glasgow, Glasgow, G12 8QQ, United Kingdom; Diabaté A., Institut de Recherche en Sciences de la Santé (IRSS)/Centre Muraz, Bobo-Dioulasso, Burkina Faso; Okumu F.O., Environmental Health &amp; Ecological Sciences Department, Ifakara Health Institute, Off Mlabani Passage, PO Box 53, Ifakara, Tanzania, Institute of Biodiversity Animal Health and Comparative Medicine, University of Glasgow, Glasgow, G12 8QQ, United Kingdom; Baldini F., Institute of Biodiversity Animal Health and Comparative Medicine, University of Glasgow, Glasgow, G12 8QQ, United Kingdom</t>
  </si>
  <si>
    <t xml:space="preserve">Animals; Anopheles; Burkina Faso; Female; Humans; Longevity; Malaria; Mosquito Control; Mosquito Vectors; Burkina Faso; Tanzania; aliphatic hydrocarbon; age class; disease vector; female; identification key; malaria; mosquito; wild population; adult; Anopheles arabiensis; Anopheles coluzzii; Anopheles gambiae; arthropod; Article; artificial neural network; attenuated total reflectance Fourier transform infrared spectroscopy; controlled study; convolutional neural network; cost effectiveness analysis; disease surveillance; disease transmission; egg production; female; genetic variability; high throughput sequencing; human; infrared radiation; machine learning; malaria control; mortality; mosquito; mosquito vector; nonhuman; photoperiodicity; Plasmodium; polymerase chain reaction; sensitivity analysis; species identification; transfer of learning; vector borne disease; vector control; virus transmission; animal; Anopheles; Burkina Faso; longevity; malaria; mosquito control; parasitology; procedures</t>
  </si>
  <si>
    <t xml:space="preserve">Fibios Science Communication; European Research Council, ERC; UK Research and Innovation, UKRI; Bill and Melinda Gates Foundation, BMGF, (OPP1217647); AXA RF fellowship, (14-AXA-PDOC-130); Royal Society, (ICA/R1/191238); Medical Research Council, MRC, (MR/P025501/1); Leverhulme Trust, (RPG-2018-350); University of Glasgow, (EP/R018634/1, EP/T00097X/1); Engineering and Physical Sciences Research Council, EPSRC, (EP/N508792/1, EP/K034995/1, EP/N007417/1); Wellcome Trust, WT, (WT102350/Z/13); European Molecular Biology Organization, EMBO, (43-2014); Horizon 2020 Framework Programme, H2020, (832703)</t>
  </si>
  <si>
    <t xml:space="preserve">Funding text 1: This work was funded by the Medical Research Council GCRF Infections Foundation Awards MR/P025501/1 to A.D., F.B., F.O.O., H.M.F. and K.W. A.D., F.B., F.O. and S.A.B. were supported by the Royal Society International Collaboration Award ICA/R1/191238 and Bill and Melinda Gates Foundation award OPP1217647. F.O. was also supported by a Wellcome Trust Intermediate Fellowship in Public Health and Tropical Medicine (Grant Number: WT102350/Z/13), F.B. by an AXA RF fellowship (14-AXA-PDOC-130) and an EMBO LT fellowship (43-2014). K.W. and M.G.J. thank the Engineering and Physical Sciences Research Council (EPSRC) for support through grants EP/K034995/1, EP/N508792/1, and EP/N007417/1, the Leverhulme Trust through Research Project Grant RPG-2018-350, and the European Research Council (ERC) under the European Union?s Horizon 2020 research and innovation program (grant agreement No. 832703). J.M. is supported by a University of Glasgow Lord Kelvin Adam Smith Studentship. R.M.-S. is grateful for EPSRC support through grants EP/R018634/1 and EP/T00097X/1. We would like to thank Dorothy Armstrong and Elizabeth Peat for their assistance with mosquito rearing and maintenance. We would also like to thank Hilary Ranson for providing the Kisumu colony. We thank Fibios Science Communication (Graph Your Science) for help with Fig.?1.; Funding text 2: This work was funded by the Medical Research Council GCRF Infections Foundation Awards MR/P025501/1 to A.D., F.B., F.O.O., H.M.F. and K.W. A.D., F.B., F.O. and S.A.B. were supported by the Royal Society International Collaboration Award ICA/R1/191238 and Bill and Melinda Gates Foundation award OPP1217647. F.O. was also supported by a Wellcome Trust Intermediate Fellowship in Public Health and Tropical Medicine (Grant Number: WT102350/Z/13), F.B. by an AXA RF fellowship (14-AXA-PDOC-130) and an EMBO LT fellowship (43-2014). K.W. and M.G.J. thank the Engineering and Physical Sciences Research Council (EPSRC) for support through grants EP/K034995/1, EP/N508792/1, and EP/N007417/1, the Leverhulme Trust through Research Project Grant RPG-2018-350, and the European Research Council (ERC) under the European Union\u2019s Horizon 2020 research and innovation program (grant agreement No. 832703). J.M. is supported by a University of Glasgow Lord Kelvin Adam Smith Studentship. R.M.-S. is grateful for EPSRC support through grants EP/R018634/1 and EP/T00097X/1. We would like to thank Dorothy Armstrong and Elizabeth Peat for their assistance with mosquito rearing and maintenance. We would also like to thank Hilary Ranson for providing the Kisumu colony. We thank Fibios Science Communication (Graph Your Science) for help with Fig. . </t>
  </si>
  <si>
    <t xml:space="preserve">Beier J., Malaria parasite development in mosquitoes, Annu. Rev. Entomol., 43, pp. 519-543, (1998); MacDonald G., Epidemiological basis of malaria control, Bull World Health Organ, 15, pp. 613-626, (1956); MacDonald G., Ii. the objectives of residual insecticide campaigns, Transac. Royal Soc. Trop. Med. Hygiene, 46, pp. 227-235, (1952); Bhatt S., Et al., The effect of malaria control on Plasmodium falciparum in Africa between 2000 and 2015, Nature, 526, pp. 207-211, (2015); Churcher T., Lissenden N., Griffin J., Worrall E., Ranson H., The impact of pyrethroid resistance on the efficacy and effectiveness of bednets for malaria control in africa, Elife, 5, (2016); Beklemishev W., Detinova T., Polovodova V., Determination of physiological age in anophelines and of age distribution in anopheline populations in the USSR, Bull World Health Organ, 21, pp. 223-232, (1959); Hugo L.E., Quick-miles S., Kay B.H., Ryan P.A., Evaluations of mosquito age grading techniques based on morphological changes, J. Med. Entomol., 45, pp. 353-369, (2008); Johnson B., Hugo L., Churcher T., Ong O., Devine G., Mosquito age grading and vector-control programmes, Trends Parasitol, 36, pp. 39-51, (2019); Schlein Y., Age grouping of anopheline malaria vectors (Diptera: Culicidae) by the cuticular growth lines, J. Med. Entomol., 16, pp. 502-506, (1979); Caputo B., Et al., Identification and composition of cuticular hydrocarbons of the major Afrotropical malaria vector Anopheles gambiae s.s. (Diptera: Culicidae): analysis of sexual dimorphism and age-related changes, J. Mass. Spectrom., 40, pp. 1595-1604, (2005); Cook P., Et al., Predicting the age of mosquitoes using transcriptional profiles, Nat. Protoc., 2, pp. 2796-2806, (2007); Bass C., Williamson M., Wilding C., Donnelly M., Field L., Identification of the main malaria vectors in the Anopheles gambiae species complex using a taqman real-time pcr assay, Malar. J., 6, (2007); Mayagaya V., Et al., Non-destructive determination of age and species of Anopheles gambiae s.l. using near-infrared spectroscopy, Am. J. Trop. Med. Hyg., 81, pp. 622-630, (2009); Sikulu M., Et al., Mass spectrometry identification of age-associated proteins from the malaria mosquitoes Anopheles gambiae s.s. and Anopheles stephensi, Data Brief, 4, pp. 461-467, (2015); Ferguson H., Et al., Ecology: a prerequisite for malaria elimination and eradication, PLoS Med., 7, (2010); Cohuet A., Harris C., Robert V., Fontenille D., Evolutionary forces on anopheles: what makes a malaria vector, Trends Parasitol., 26, pp. 130-136, (2010); Lambert B., Et al., Monitoring the age of mosquito populations using near-infrared spectroscopy, Sci. Rep., 8, (2018); Peiris K.H., Drolet B.S., Cohnstaedt L.W., Dowell F.E., Infrared absorption characteristics of culicoides sonorensis in relation to insect age, Am. J. Agricult. Sci. Technol, 2, pp. 49-61, (2014); Krajacich B., Et al., Analysis of near infrared spectra for age-grading of wild populations of Anopheles gambiae, Parasit. Vectors, 10, (2017); Waynant R.W., Ilev I.K., Gannot I., Mid-infrared laser applications in medicine and biology, Philosoph. Transact. Royal Soc. Lond. Series A: Mathematical, Phys. Eng. Sci., 359, pp. 635-644, (2001); Sorak D., Et al., New developments and applications of handheld Raman, mid-infrared, and near-infrared spectrometers, Appl. Spectrosc. Rev., 47, pp. 83-115, (2012); Gonzalez Jimenez M., Et al., Prediction of mosquito species and population age structure using mid-infrared spectroscopy and supervised machine learning, Wellcome Open Res., 4, (2019); Khoshmanesh A., Et al., Screening of Wolbachia endosymbiont infection in Aedes aegypti mosquitoes using attenuated total reflection mid-infrared spectroscopy, Anal. Chem., 89, pp. 5285-5293, (2017); Sroute L., Byrd B., Huffman S., Classification of mosquitoes with infrared spectroscopy and partial least squares-discriminant analysis, Appl. Spectrosc., 74, pp. 900-912, (2020); McInnes L., Healy J., Melville J., Umap: Uniform manifold approximation and projection for dimension reduction, (2018); Molineaux L., Gramiccia G., The Garki Project: Research on the Epidemiology and Control of Malaria in the Sudan Savanna of West Africa, (1980); Polovodova V.P., The determination of the physiological age of female Anopheles by the number of gonotrophic cycles completed, Medskaya. Parazit., 18, pp. 352-355, (1949); Detinova T., Age-grouping methods in Diptera of medical importance with special reference to some vectors of malaria, Monogr. Ser. World Health Organ., 47, pp. 13-191, (1962); Kaindoa E., Et al., Interventions that effectively target Anopheles funestus mosquitoes could significantly improve control of persistent malaria transmission in south-eastern Tanzania, PLoS ONE, 12, (2017); Siria D., Et al., Evaluation of a simple polytetrafluoroethylene (PTFE)-based membrane for blood-feeding of malaria and dengue fever vectors in the laboratory, Parasit. Vectors, 11, (2018); Carter R., Ranford-Cartwright L., Alano P., The culture and preparation of gametocytes of Plasmodium falciparum for immunochemical, molecular, and mosquito infectivity studies, Methods Mol. Biol., 21, pp. 67-88, (1993); Santolamazza F., Et al., Insertion polymorphisms of sine200 retrotransposons within speciation islands of Anopheles gambiae molecular forms, Malar. J., 7, (2008); Tangena J., Thammavong P., Hiscox A., Lindsay S., Brey P., The human-baited double net trap: an alternative to human landing catches for collecting outdoor biting mosquitoes in Lao pdr, PLoS ONE, 10, (2015); Poda S., Et al., Targeted application of an organophosphate-based paint applied on windows and doors against anopheles coluzzii resistant to pyrethroids under real life conditions in vallée du Kou, Burkina Faso (west Africa), Malar. J., 17, (2018); Gonzalez Jimenez M., Loco Mosquito, (2019); Pedregosa F., Et al., Scikit-learn: machine learning in python, J. Machine Learning Res., 12, pp. 2825-2830, (2011); van Rossum G., Python Tutorial (Centrum Voor Wiskunde En Informatica Amsterdam, (1995); Chollet F., (2015); Pasumarthi R.K., Et al., Tf-ranking: Scalable TensorFlow library for learning-to-rank, Proceedings of the 25Th ACM SIGKDD International Conference on Knowledge Discovery and Data Mining, pp. 2970-2978, (2019); R: A language and environment for statistical computing, R Foundation for Statistical Computing, (2019); Babayan S.A., DL-MIRS Public Release, (2022)</t>
  </si>
  <si>
    <t xml:space="preserve">S.A. Babayan; Institute of Biodiversity Animal Health and Comparative Medicine, University of Glasgow, Glasgow, G12 8QQ, United Kingdom; email: Simon.Babayan@glasgow.ac.uk; F. Baldini; Institute of Biodiversity Animal Health and Comparative Medicine, University of Glasgow, Glasgow, G12 8QQ, United Kingdom; email: Francesco.Baldini@glasgow.ac.uk; M. González-Jiménez; School of Chemistry, University of Glasgow, Glasgow, G12 8QQ, United Kingdom; email: Mario.GonzalezJimenez@glasgow.ac.uk</t>
  </si>
  <si>
    <t xml:space="preserve">2-s2.0-85126783850</t>
  </si>
  <si>
    <t xml:space="preserve">Acherar A.; Tantaoui I.; Thellier M.; Lampros A.; Piarroux R.; Tannier X.</t>
  </si>
  <si>
    <t xml:space="preserve">Acherar, Aniss (57434494600); Tantaoui, Ilhame (57208274043); Thellier, Marc (7005253567); Lampros, Alexandre (57205513455); Piarroux, Renaud (7003681059); Tannier, Xavier (8979357900)</t>
  </si>
  <si>
    <t xml:space="preserve">57434494600; 57208274043; 7005253567; 57205513455; 7003681059; 8979357900</t>
  </si>
  <si>
    <t xml:space="preserve">Real-life evaluation of deep learning models trained on two datasets for Plasmodium falciparum detection with thin blood smear images at 500x magnification</t>
  </si>
  <si>
    <t xml:space="preserve">Malaria is a fatal disease transmitted by bites from mosquito-type vectors. Biologists examined blood smears under a microscope at high magnification (1000 × ) to identify the presence of parasites in red blood cells (RBCs). Such an examination is laborious and time-consuming. Moreover, microscopists sometimes have difficulty identifying parasitized RBCs due to a lack of skill or practice. Deep learning, especially convolutional neural networks (CNNs) applied for malaria diagnosis, are able to identify complex features of a large number of medical images. The proposed work focuses on the construction of a dataset of blood components images representative of the diagnostic reality captured from 202 patients at 500x magnification. We evaluated through a cross-validation study different deep learning networks for the classification of Plasmodium falciparum-infected RBCs and uninfected blood components. These models include a custom-built CNN, VGG-19, ResNet-50 and EfficientNet-B7. In addition, we conducted the same experiments on a public dataset and compared the performance of the resultant models through a patient-level inference including 200 extra patients. The models trained on our dataset show better performance in terms of generalization and achieved better accuracy, sensitivity and specificity scores of 99.7%, 77.9% and 99.8%, respectively. © 2022</t>
  </si>
  <si>
    <t xml:space="preserve">Informatics in Medicine Unlocked</t>
  </si>
  <si>
    <t xml:space="preserve">10.1016/j.imu.2022.101132</t>
  </si>
  <si>
    <t xml:space="preserve">https://www.scopus.com/inward/record.uri?eid=2-s2.0-85142308583&amp;doi=10.1016%2fj.imu.2022.101132&amp;partnerID=40&amp;md5=9ff3b6aa8186b976754c786bb58a8c63</t>
  </si>
  <si>
    <t xml:space="preserve">Sorbonne Université, Inserm, Institut Pierre-Louis d'Epidémiologie et de Santé Publique, IPLESP, Paris, France; AP-HP, Groupe Hospitalier Pitié-Salpêtrière, Service de Parasitologie-Mycologie, Paris, France; Sorbonne Université, Inserm, Université Sorbonne Paris Nord, Laboratoire d'Informatique Médicale et d'Ingénierie des Connaissances pour la e-Santé, LIMICS, Paris, France</t>
  </si>
  <si>
    <t xml:space="preserve">Acherar A., Sorbonne Université, Inserm, Institut Pierre-Louis d'Epidémiologie et de Santé Publique, IPLESP, Paris, France; Tantaoui I., AP-HP, Groupe Hospitalier Pitié-Salpêtrière, Service de Parasitologie-Mycologie, Paris, France; Thellier M., AP-HP, Groupe Hospitalier Pitié-Salpêtrière, Service de Parasitologie-Mycologie, Paris, France; Lampros A., AP-HP, Groupe Hospitalier Pitié-Salpêtrière, Service de Parasitologie-Mycologie, Paris, France; Piarroux R., Sorbonne Université, Inserm, Institut Pierre-Louis d'Epidémiologie et de Santé Publique, IPLESP, Paris, France, AP-HP, Groupe Hospitalier Pitié-Salpêtrière, Service de Parasitologie-Mycologie, Paris, France; Tannier X., Sorbonne Université, Inserm, Université Sorbonne Paris Nord, Laboratoire d'Informatique Médicale et d'Ingénierie des Connaissances pour la e-Santé, LIMICS, Paris, France</t>
  </si>
  <si>
    <t xml:space="preserve">Convolutional neural network; Deep transfer learning; Malaria diagnosis; Microscopic image; Thin blood smear</t>
  </si>
  <si>
    <t xml:space="preserve">Article; blood component; blood smear; controlled study; convolutional neural network; deep learning; diagnostic accuracy; erythrocyte; human; human tissue; major clinical study; malaria; Plasmodium falciparum; sensitivity and specificity</t>
  </si>
  <si>
    <t xml:space="preserve">Sorbonne Center for Artificial Intelligence; Sorbonne Université</t>
  </si>
  <si>
    <t xml:space="preserve">This work was supported by the Sorbonne Center for Artificial Intelligence (SCAI) of Sorbonne University, France . </t>
  </si>
  <si>
    <t xml:space="preserve">World Health Organization, World malaria report 2020: 20 years of global progress and challenges, (2020); O'Meara W.P., Et al., Reader technique as a source of variability in determining malaria parasite density by microscopy, Malar J, 5, 1, (2006); Ba M., Bs P., Update on malaria diagnostics and test utilization, J Clin Microbiol, 55, 7, (2017); Rypien C., Chow B., Chan W.W., Church D.L., Pillai D.R., Detection of plasmodium infection by the illumigene malaria assay compared to reference microscopy and real-time PCR, J Clin Microbiol, 55, 10, (2017); Abdul Nasir A.S., Mashor M.Y., Mohamed Z., Segmentation based approach for detection of malaria parasites using moving k-means clustering, 2012 IEEE-EMBS conference on biomedical engineering and sciences, pp. 653-658, (2012); N L., Et al., A malaria diagnostic tool based on computer vision screening and visualization of Plasmodium falciparum candidate areas in digitized blood smears, PLoS One, 9, 8, (2014); Liang Z., Et al., CNN-based image analysis for malaria diagnosis, 2016 IEEE international conference on bioinformatics and biomedicine (BIBM), pp. 493-496, (2016); Rajaraman S., Antani S.K., Poostchi M., Silamut K.; Maqsood A., Farid M.S., Khan M.H., Grzegorzek M., Deep malaria parasite detection in thin blood smear microscopic images, Appl Sci, 11, 5, (2021); Krizhevsky A., Sutskever I., Hinton G.E., ImageNet classification with deep convolutional neural networks, Advances in neural information processing systems, 25, (2012); Simonyan K., Zisserman A., Very deep convolutional networks for large-scale image recognition, (2015); Chollet F., Xception: deep learning with depthwise separable convolutions, (2017); He K., Zhang X., Ren S., Sun J., Deep residual learning for image recognition, (2015); Huang G., Liu Z., Van Der Maaten L., Weinberger K.Q., Densely connected convolutional networks, 2017 IEEE conference on computer vision and pattern recognition (CVPR), pp. 2261-2269, (2017); Szegedy C., Et al., Going deeper with convolutions, (2014); Iandola F.N., Han S., Moskewicz M.W., Ashraf K., Dally W.J., Keutzer K., SqueezeNet: AlexNet-level accuracy with 50x fewer parameters and &lt;0.5MB model size, (2016); Ersoy I., Bunyak F., Higgins J.M., Palaniappan K., Coupled edge profile active contours for red blood cell flow analysis, 2012 9th IEEE international symposium on biomedical imaging (ISBI), pp. 748-751, (2012); Liu W., Et al., SSD: single shot MultiBox detector, 9905, pp. 21-37, (2016); Convolutional neural networks to automate the screening of malaria in low-resource countries - PubMed, (2022); Ren S., He K., Girshick R., Sun J., ‘Faster R-CNN: towards real-time object detection with region proposal networks’, (2015); Krizhevsky A., Sutskever I., Hinton G.E., ImageNet classification with deep convolutional neural networks, Advances in neural information processing systems, 25, (2012); Hung J., Et al., Applying faster R-CNN for object detection on malaria images, (2019); Gao S.-H., Cheng M.-M., Zhao K., Zhang X.-Y., Yang M.-H., Torr P., Res2Net: a new multi-scale backbone architecture, IEEE Trans Pattern Anal Mach Intell, 43, 2, pp. 652-662, (2021); Alassaf A., Yacin Sikkandar M., Intelligent deep transfer learning based malaria parasite detection and classification model using biomedical image, Comput Mater Continua (CMC), 72, 3, pp. 5273-5285, (2022); Rajaraman S., Jaeger S., K Antani S., Performance evaluation of deep neural ensembles toward malaria parasite detection in thin-blood smear images - PubMed; Islam R., Explainable transformer-based deep learning model for the detection of malaria parasites from blood cell images, (2022); Sengar N., Burget R., Dutta M.K., A vision transformer based approach for analysis of plasmodium vivax life cycle for malaria prediction using thin blood smear microscopic images, Comput Methods Progr Biomed, 224, (2022); Xie Q., Luong M.-T., Hovy E., Le Q.V., Self-training with noisy student improves ImageNet classification, (2020); Pre-trained convolutional neural networks as feature extractors toward improved malaria parasite detection in thin blood smear images - PubMed, (2022); Beucher S., Mathmatique C., The watershed transformation applied to image segmentation, Scanning Microsc, 6, (2000); Simonyan K., Zisserman A., Very deep convolutional networks for large-scale image recognition, (2015); He K., Zhang X., Ren S., Sun J., Deep residual learning for image recognition, (2015); Tan M., Le Q.V., EfficientNet: rethinking model scaling for convolutional neural networks, (2020); Rahman A., Et al., Improving malaria parasite detection from red blood cell using deep convolutional neural networks, (2019); Anthony L.F.W., Kanding B., Selvan R., Carbontracker: tracking and predicting the carbon footprint of training deep learning models, (2020); Beckmann M., Ebecken N.F.F., de Lima B.S.L.P., A KNN undersampling approach for data balancing, J Intell Learn Syst Appl, 7, 4, (2015); World Health Organization, World malaria report 2020: 20 years of global progress and challenges, (2020); Yoon J., Et al., Diagnostic performance of CellaVision DM96 for Plasmodium vivax and Plasmodium falciparum screening in peripheral blood smears, Acta Trop, 193, pp. 7-11, (2019)</t>
  </si>
  <si>
    <t xml:space="preserve">A. Acherar; Sorbonne Université, Inserm, Institut Pierre-Louis d'Epidémiologie et de Santé Publique, IPLESP, Paris, France; email: aniss.acherar@gmail.com</t>
  </si>
  <si>
    <t xml:space="preserve">Inform. Med. Unlocked</t>
  </si>
  <si>
    <t xml:space="preserve">2-s2.0-85142308583</t>
  </si>
  <si>
    <t xml:space="preserve">Daniel J.; Irin Sherly S.; Ponnuramu V.; Pratap Singh D.; Netra S.N.; Alonazi W.B.; Almutairi K.M.A.; Priyan K.S.A.; Abera Y.</t>
  </si>
  <si>
    <t xml:space="preserve">Daniel, Jackson (36701153600); Irin Sherly, S. (57758931300); Ponnuramu, Veeralakshmi (57722801100); Pratap Singh, Devesh (55639324300); Netra, S.N. (57758746400); Alonazi, Wadi B. (57189445335); Almutairi, Khalid M.A. (56190589300); Priyan, K.S.A. (57758644200); Abera, Yared (57758837600)</t>
  </si>
  <si>
    <t xml:space="preserve">36701153600; 57758931300; 57722801100; 55639324300; 57758746400; 57189445335; 56190589300; 57758644200; 57758837600</t>
  </si>
  <si>
    <t xml:space="preserve">Recurrent Neural Networks for Feature Extraction from Dengue Fever</t>
  </si>
  <si>
    <t xml:space="preserve">Dengue fever modelling in endemic locations is critical to reducing outbreaks and improving vector-borne illness control. Early projections of dengue are a crucial tool for disease control because of the unavailability of treatments and universal vaccination. Neural networks have made significant contributions to public health in a variety of ways. In this paper, we develop a deep learning modelling using random forest (RF) that helps extract the features of the dengue fever from the text datasets. The proposed modelling involves the data collection, preprocessing of the input texts, and feature extraction. The extracted features are studied to test how well the feature extraction using RF is effective on dengue datasets. The simulation result shows that the proposed method achieves higher degree of accuracy that offers an improvement of more than 12% than the existing methods in extracting the features from the input datasets than the other feature extraction methods. Further, the study reduces the errors associated with feature extraction that is 10% lesser than the other existing methods, and this shows the efficacy of the model.  © 2022 Jackson Daniel et al.</t>
  </si>
  <si>
    <t xml:space="preserve">Evidence-based Complementary and Alternative Medicine</t>
  </si>
  <si>
    <t xml:space="preserve">10.1155/2022/5669580</t>
  </si>
  <si>
    <t xml:space="preserve">https://www.scopus.com/inward/record.uri?eid=2-s2.0-85132529831&amp;doi=10.1155%2f2022%2f5669580&amp;partnerID=40&amp;md5=3543685f78cb7a11df6b95b233a9812c</t>
  </si>
  <si>
    <t xml:space="preserve">Department of Electronics and Instrumentation Engineering, National Engineering College, Kovilpatti, Tamil Nadu Nallatinputhur, 628503, India; Department of Information Technology, Panimalar Institute of Technology, Tamil Nadu, Chennai, 600123, India; Department of Computer Science and Engineering, Saveetha School of Engineering, Saveetha Institute of Medical and Technical Sciences, Tamil Nadu, Chennai, 600124, India; Department of Computer Science and Engineering, Graphic Era Deemed to Be University, Uttarakhand, Dehradun, 248002, India; Department of Information Science and Engineering, East Point College of Engineering and Technology, Karnataka, Bengaluru, 560049, India; Health Administration Department, College of Business Administration, King Saud University, P. O. Box: 71115, Riyadh, 11587, Saudi Arabia; Department of Community Health Sciences, College of Applied Medical Sciences, King Saud University, P. O. Box: 10219, Riyadh, 11433, Saudi Arabia; Department of Biotechnology, School of Health Sciences, Faculty of Biology, Medicine and Health, University of Manchester, Manchester, United Kingdom; Department of Technology and Informatics, Ambo University, Woliso Campus, Ambo, Ethiopia</t>
  </si>
  <si>
    <t xml:space="preserve">Daniel J., Department of Electronics and Instrumentation Engineering, National Engineering College, Kovilpatti, Tamil Nadu Nallatinputhur, 628503, India; Irin Sherly S., Department of Information Technology, Panimalar Institute of Technology, Tamil Nadu, Chennai, 600123, India; Ponnuramu V., Department of Computer Science and Engineering, Saveetha School of Engineering, Saveetha Institute of Medical and Technical Sciences, Tamil Nadu, Chennai, 600124, India; Pratap Singh D., Department of Computer Science and Engineering, Graphic Era Deemed to Be University, Uttarakhand, Dehradun, 248002, India; Netra S.N., Department of Information Science and Engineering, East Point College of Engineering and Technology, Karnataka, Bengaluru, 560049, India; Alonazi W.B., Health Administration Department, College of Business Administration, King Saud University, P. O. Box: 71115, Riyadh, 11587, Saudi Arabia; Almutairi K.M.A., Department of Community Health Sciences, College of Applied Medical Sciences, King Saud University, P. O. Box: 10219, Riyadh, 11433, Saudi Arabia; Priyan K.S.A., Department of Biotechnology, School of Health Sciences, Faculty of Biology, Medicine and Health, University of Manchester, Manchester, United Kingdom; Abera Y., Department of Technology and Informatics, Ambo University, Woliso Campus, Ambo, Ethiopia</t>
  </si>
  <si>
    <t xml:space="preserve">Article; computer prediction; computer simulation; data accuracy; data processing; deep learning; dengue; feature extraction; human; information processing; prognosis; random forest; recurrent neural network; support vector machine</t>
  </si>
  <si>
    <t xml:space="preserve">Ong J., Liu X., Rajarethinam J., Kok S.Y., Liang S., Tang C.S., Cook A.R., Ng L.C., Mapping dengue risk in Singapore using Random Forest, PLoS Neglected Tropical Diseases, 12, 6, (2018); Mohana J., Yakkala B., Vimalnath S., Benson Mansingh P.M., Yuvaraj N., Srihari K., Sasikala G., Mahalakshmi V., Yasir Abdullah R., Sundramurthy V.P., Application of internet of things on the healthcare field using convolutional neural network processing, Journal of Healthcare Engineering, 2022, pp. 1-7, (2022); Arivazhagan N., Somasundaram K., Vijendra Babu D., Gomathy Nayagam M., Bommi R.M., Mohammad G.B., Prabhu Sundramurthy V., Cloud-internet of health things (IOHT) task scheduling using hybrid moth flame optimization with deep neural network algorithm for e healthcare systems, Scientific Programming, 2022, (2022); Gangula R., Thirupathi L., Parupati R., Sreeveda K., Gattoju S., Ensemble machine learning based prediction of dengue disease with performance and accuracy elevation patterns, Materials Today Proceedings, 2021, (2021); Hannah S., Deepa A.J., Chooralil V.S., Brillysangeetha S., Yuvaraj N., Arshath Raja R., Suresh C., Vignesh R., Srihari K., Alene A., Blockchain-based deep learning to process IoT data acquisition in cognitive data, BioMed Research International, 2022, (2022); Garcia-Carretero R., Roncal-Gomez J., Rodriguez-Manzano P., Vazquez-Gomez O., Identification and predictive value of risk factors for mortality due to Listeria monocytogenes infection: Use of machine learning with a nationwide administrative data set, Bacteria, 1, 1, pp. 12-32, (2022); Nishat M.M., Dip R.R., Faisal F., Nasrullah S.M., Ahsan R., Shikder M.F., Hoque M.A., A comprehensive analysis on detecting chronic kidney disease by employing machine learning algorithms, EAI Endorsed Transactions on Pervasive Health and Technology, 18, E6, (2021); Gumaei A., Ismail W.N., Rafiul Hassan M., Hassan M.M., Mohamed E., Alelaiwi A., Fortino G., A decision-level fusion method for COVID-19 patient health prediction, Big Data Research, 27, (2022); Shafqat S., Fayyaz M., Khattak H.A., Bilal M., Khan S., Ishtiaq O., Abbasi A., Shafqat F., Alnumay W.S., Leveraging deep learning for designing healthcare analytics heuristic for diagnostics, Neural Processing Letters, 2021, pp. 1-27, (2021); Zeng D., Cao Z., Neill D.B., Artificial intelligence-enabled public health surveillance - From local detection to global epidemic monitoring and control, Artificial Intelligence in Medicine, pp. 437-453, (2021); Tarasova O., Poroikov V., Machine learning in discovery of new antivirals and optimization of viral infections therapy, Current Medicinal Chemistry, 28, 38, pp. 7840-7861, (2021); Tanner L., Schreiber M., Low J.G.H., Ong A., Tolfvenstam T., Lai Y.L., Ng L.C., Leo Y.S., Thi Puong L., Vasudevan S.G., Simmons C.P., Hibberd M.L., Decision tree algorithms predict the diagnosis and outcome of dengue fever in the early phase of illness, PLoS Neglected Tropical Diseases, 2, 3, (2008); Sajana T., Navya M., Gayathri Y.V.S.S.V., Reshma N., Classification of dengue using machine learning techniques, International Journal of Engineering &amp; Technology, 7, pp. 212-218, (2018); Fathima S.A., Hundewale N., Comparitive Analysis of Machine Learning Techniques for Classification of Arbovirus, pp. 376-379; Gambhir S., Malik S.K., Kumar Y., The diagnosis of dengue disease: An evaluation of three machine learning approaches, International Journal of Healthcare Information Systems and Informatics, 13, 3, pp. 1-19, (2018); Sanjudevi D., Savitha D., Dengue fever prediction using classification techniques, International Research Journal of Engineering and Technology (IRJET), 6, 2, pp. 558-563, (2019); Ho T.S., Weng T.C., Wang J.D., Han H.C., Cheng H.C., Yang C.C., Yu C.H., Liu Y.J., Hu C.H., Huang C.Y., Chen M.H., King C.C., Oyang Y.J., Comparing machine learning with case-control models to identify confirmed dengue cases, PLoS Neglected Tropical Diseases, 14, 11, (2020); Potts J.A., Gibbons R.V., Rothman A.L., Srikiatkhachorn A., Thomas S.J., Supradish P.O., Lemon S.C., Libraty D.H., Green S., Prediction of dengue disease severity among pediatric Thai patients using early clinical laboratory indicators, PLoS Neglected Tropical Diseases, 4, 8, (2010); Phakhounthong K., Chaovalit P., Jittamala P., Blacksell S.D., Carter M.J., Turner P., Chheng K., Sona S., Kumar V., Day N.P.J., White L.J., Predicting the severity of dengue fever in children on admission based on clinical features and laboratory indicators: Application of classification tree analysis, BMC Pediatrics, 18, 1, (2018); Faisal T., Ibrahim F., Taib M.N., A noninvasive intelligent approach for predicting the risk in dengue patients, Expert Systems with Applications, 37, 3, pp. 2175-2181, (2010); Thitiprayoonwongse D., Suriyaphol P., Soonthornphisaj N., Data mining of dengue infection using decision tree, Entropy, 2, (2012); Arafiyah R., Hermin F., Kartika I.R., Alimuddin A., Saraswati I., Classification of Dengue Haemorrhagic Fever (DHF) using SVM, naive bayes and random forest, IOP Conference Series: Materials Science and Engineering, 434, 1, (2018); Sapountzoglou N., Lago J., Raison B., Fault diagnosis in low voltage smart distribution grids using gradient boosting trees, Electric Power Systems Research, 182, (2020)</t>
  </si>
  <si>
    <t xml:space="preserve">Y. Abera; Department of Technology and Informatics, Ambo University, Woliso Campus, Ambo, Ethiopia; email: yared.abera@ambou.edu.et</t>
  </si>
  <si>
    <t xml:space="preserve">1741427X</t>
  </si>
  <si>
    <t xml:space="preserve">Evid.-Based Complement. Altern. Med.</t>
  </si>
  <si>
    <t xml:space="preserve">2-s2.0-85132529831</t>
  </si>
  <si>
    <t xml:space="preserve">Wang Y.; Guo J.; Ma D.; Zhou J.; Yang Y.; Chen Y.; Wang H.; Sack I.; Li R.; Yan F.</t>
  </si>
  <si>
    <t xml:space="preserve">Wang, Yihuan (57457574100); Guo, Jing (55709402700); Ma, Di (57216967348); Zhou, Jiahao (57713113800); Yang, Yuchen (57219930563); Chen, Yongjun (56488805800); Wang, Huafeng (35765870400); Sack, Ingolf (6701567096); Li, Ruokun (57209912897); Yan, Fuhua (55668864500)</t>
  </si>
  <si>
    <t xml:space="preserve">57457574100; 55709402700; 57216967348; 57713113800; 57219930563; 56488805800; 35765870400; 6701567096; 57209912897; 55668864500</t>
  </si>
  <si>
    <t xml:space="preserve">Reduced tumor stiffness quantified by tomoelastography as a predicative marker for glypican-3-positive hepatocellular carcinoma</t>
  </si>
  <si>
    <t xml:space="preserve">Background: Glypican-3 (GPC3) expression is investigated as a promising target for tumor-specific immunotherapy of hepatocellular carcinoma (HCC). This study aims to determine whether GPC3 alters the viscoelastic properties of HCC and whether tomoelastography, a multifrequency magnetic resonance elastography (MRE) technique, is sensitive to it. Methods: Ninety-five participants (mean age, 58 ± 1 years; 78 men and 17 women) with 100 pathologically confirmed HCC lesions were enrolled in this prospective study from July 2020 to August 2021. All patients underwent preoperative multiparametric MRI and tomoelastography. Tomoelastography provided shear wave speed (c, m/s) representing tissue stiffness and loss angle (φ, rad) relating to viscosity. Clinical, laboratory, and imaging parameters were compared between GPC3-positive and -negative groups. Univariable and multivariable logistic regression were performed to determine factors associated with GPC3-positive HCC. The diagnostic performance of combined biomarkers was established using logistic regression analysis. Area-under-the-curve (AUC) analysis was done to assess diagnostic performance in detecting GPC3-positive HCC. Findings: GPC3-positive HCCs (n=72) had reduced stiffness compared with GPC3-negative HCCs (n=23) while viscosity was not different (c: 2.34 ± 0.62 versus 2.72 ± 0.62 m/s, P=0.010, φ: 1.11 ± 0.21 vs 1.18 ± 0.27 rad, P=0.21). Logistic regression showed c and elevated serum alpha-fetoprotein (AFP) level above 20 ng/mL were independent factors for GPC3-positive HCC. Stiffness with a cutoff of c = 2.8 m/s in conjunction with an elevated AFP yielded a sensitivity of 80.3%, specificity of 70.8%, and AUC of 0.80. Interpretation: Reduced stiffness quantified by tomoelastography may be a mechanical signature of GPC3-positive HCC. Combining reduced tumor stiffness and elevated AFP level may provide potentially valuable biomarker for GPC3-targeted immunotherapy. Copyright © 2022 Wang, Guo, Ma, Zhou, Yang, Chen, Wang, Sack, Li and Yan.</t>
  </si>
  <si>
    <t xml:space="preserve">Frontiers in Oncology</t>
  </si>
  <si>
    <t xml:space="preserve">10.3389/fonc.2022.962272</t>
  </si>
  <si>
    <t xml:space="preserve">https://www.scopus.com/inward/record.uri?eid=2-s2.0-85144045414&amp;doi=10.3389%2ffonc.2022.962272&amp;partnerID=40&amp;md5=641563195157c5b59f7f139eb47b4e89</t>
  </si>
  <si>
    <t xml:space="preserve">Department of Radiology, Ruijin Hospital, Shanghai Jiao Tong University School of Medicine, Shanghai, China; Department of Radiology, Charité–Universitätsmedizin Berlin, Berlin, Germany; Department of General Surgery, Ruijin Hospital, Shanghai Jiao Tong University School of Medicine, Shanghai, China; Department of Pathology, Ruijin Hospital, Shanghai Jiao Tong University School of Medicine, Shanghai, China</t>
  </si>
  <si>
    <t xml:space="preserve">Wang Y., Department of Radiology, Ruijin Hospital, Shanghai Jiao Tong University School of Medicine, Shanghai, China; Guo J., Department of Radiology, Charité–Universitätsmedizin Berlin, Berlin, Germany; Ma D., Department of General Surgery, Ruijin Hospital, Shanghai Jiao Tong University School of Medicine, Shanghai, China; Zhou J., Department of Radiology, Ruijin Hospital, Shanghai Jiao Tong University School of Medicine, Shanghai, China; Yang Y., Department of General Surgery, Ruijin Hospital, Shanghai Jiao Tong University School of Medicine, Shanghai, China; Chen Y., Department of General Surgery, Ruijin Hospital, Shanghai Jiao Tong University School of Medicine, Shanghai, China; Wang H., Department of Pathology, Ruijin Hospital, Shanghai Jiao Tong University School of Medicine, Shanghai, China; Sack I., Department of Radiology, Charité–Universitätsmedizin Berlin, Berlin, Germany; Li R., Department of Radiology, Ruijin Hospital, Shanghai Jiao Tong University School of Medicine, Shanghai, China; Yan F., Department of Radiology, Ruijin Hospital, Shanghai Jiao Tong University School of Medicine, Shanghai, China</t>
  </si>
  <si>
    <t xml:space="preserve">biomechanics; extracellular matrix (ECM); hepatocellular carcinoma (HCC); magnetic resonance elastography (MRE); molecular target</t>
  </si>
  <si>
    <t xml:space="preserve">albumin; alpha fetoprotein; bilirubin; CA 125 antigen; CA 19-9 antigen; carcinoembryonic antigen; glypican 3; Ki 67 antigen; adult; albumin blood level; alpha fetoprotein blood level; area under the curve; Article; bilirubin blood level; body mass; cohort analysis; controlled study; diagnostic test accuracy study; diffusion weighted imaging; dynamic contrast-enhanced magnetic resonance imaging; echo planar imaging; elastography; female; histopathology; human; human tissue; image analysis; immunochemistry; international normalized ratio; liver cell carcinoma; liver fibrosis; liver imaging reporting and data system; major clinical study; male; middle aged; multiparametric magnetic resonance imaging; nonalcoholic fatty liver; nuclear magnetic resonance imaging; prospective study; schistosomiasis; sensitivity and specificity; T1 weighted imaging; T2 weighted imaging; tomoelastography; tumor volume</t>
  </si>
  <si>
    <t xml:space="preserve">bilirubin, 18422-02-1, 635-65-4</t>
  </si>
  <si>
    <t xml:space="preserve">Shanghai Science and Technology Development Foundation, (21TS1400600); Deutsche Forschungsgemeinschaft, DFG, (BIOQIC GRK 2260, SFB1340 Matrix-In-Vision)</t>
  </si>
  <si>
    <t xml:space="preserve">RL, YW, JZ, FY are supported by Shanghai Science and Technology Fundation (21TS1400600). IS, JG are supported by the Deutsche Forschungsgemeinschaft (BIOQIC GRK 2260 and SFB1340 Matrix-In-Vision). </t>
  </si>
  <si>
    <t xml:space="preserve">Forner A., Reig M., Bruix J., Hepatocellular carcinoma, Lancet, 391, (2018); Fu Y., Liu S., Zeng S., Shen H., From bench to bed: the tumor immune microenvironment and current immunotherapeutic strategies for hepatocellular carcinoma, J Exp Clin Cancer Res, 38, (2019); Greten T.F., Korangy F., Manns M.P., Malek N.P., Molecular therapy for the treatment of hepatocellular carcinoma, Br J Cancer, 100, pp. 19-23, (2009); Pinter M., Jain R.K., Duda D.G., The current landscape of immune checkpoint blockade in hepatocellular carcinoma: A review, JAMA Oncol, 7, (2021); Dendy M.S., Ludwig J.M., Stein S.M., Kim H.S., Locoregional therapy, immunotherapy and the combination in hepatocellular carcinoma: Future directions, Liver Cancer, 8, (2019); Sangro B., Sarobe P., Hervas-Stubbs S., Melero I., Advances in immunotherapy for hepatocellular carcinoma, Nat Rev Gastroenterol Hepatol, 18, (2021); Zhu A.X., Finn R.S., Edeline J., Cattan S., Ogasawara S., Palmer D., Et al., Pembrolizumab in patients with advanced hepatocellular carcinoma previously treated with sorafenib (KEYNOTE-224): a non-randomised, open-label phase 2 trial, Lancet Oncol, 19, (2018); Cheng A.L., Hsu C., Chan S.L., Choo S.P., Kudo M., Challenges of combination therapy with immune checkpoint inhibitors for hepatocellular carcinoma, J Hepatol, 72, (2020); Kudo M., Scientific rationale for combination immunotherapy of hepatocellular carcinoma with anti-PD-1/PD-L1 and anti-CTLA-4 antibodies, Liver Cancer, 8, (2019); Zhou F., Shang W., Yu X., Tian J., Glypican-3: A promising biomarker for hepatocellular carcinoma diagnosis and treatment, Med Res Rev, 38, (2018); Wu Y., Liu H., Ding H., GPC-3 in hepatocellular carcinoma: current perspectives, J Hepatocell Carcinoma, 3, (2016); Zhang B., Finn R.S., Personalized clinical trials in hepatocellular carcinoma based on biomarker selection, Liver Cancer, 5, (2016); Ning S., Bin C., Na H., Peng S., Yi D., Xiang-hua Y., Et al., Glypican-3, a novel prognostic marker of hepatocellular cancer, is related with postoperative metastasis and recurrence in hepatocellular cancer patients, Mol Biol Rep, 39, (2012); Fu S.J., Qi C.Y., Xiao W.K., Li S.Q., Peng B.G., Liang L.J., Et al., Glypican-3 is a potential prognostic biomarker for hepatocellular carcinoma after curative resection, Surgery, 154, (2013); Xiao W.K., Qi C.Y., Chen D., Li S.Q., Fu S.J., Peng B.G., Et al., Prognostic significance of glypican-3 in hepatocellular carcinoma: a meta-analysis, BMC Cancer, 14, (2014); Ho M., Kim H., Glypican-3: a new target for cancer immunotherapy, Eur J Cancer, 47, (2011); Li N., Gao W., Zhang Y.F., Ho M., Glypicans as cancer therapeutic targets, Trends Cancer, 4, (2018); Shimizu Y., Suzuki T., Yoshikawa T., Endo I., Nakatsura T., Next-generation cancer immunotherapy targeting glypican-3, Front Oncol, 9, (2019); Tzschatzsch H., Guo J., Dittmann F., Hirsch S., Barnhill E., Johrens K., Et al., Tomoelastography by multifrequency wave number recovery from time-harmonic propagating shear waves, Med Image Anal, 30, pp. 1-10, (2016); Zhu L., Guo J., Jin Z., Xue H., Dai M., Zhang W., Et al., Distinguishing pancreatic cancer and autoimmune pancreatitis with in vivo tomoelastography, Eur Radiol, 31, (2021); Marticorena Garcia S.R., Zhu L., Gultekin E., Schmuck R., Burkhardt C., Bahra M., Et al., Tomoelastography for measurement of tumor volume related to tissue stiffness in pancreatic ductal adenocarcinomas, Invest Radiol, 55, (2020); Streitberger K.J., Lilaj L., Schrank F., Braun J., Hoffmann K.T., Reiss-Zimmermann M., Et al., How tissue fluidity influences brain tumor progression, Proc Natl Acad Sci U.S.A, 117, (2020); Hectors S.J., Lewis S., Tomoelastography of the prostate: Use of tissue stiffness for improved cancer detection, Radiology, 299, (2021); Li M., Guo J., Hu P., Jiang H., Chen J., Hu J., Et al., Tomoelastography based on multifrequency MR elastography for prostate cancer detection: Comparison with multiparametric MRI, Radiology, 299, (2021); Hu J., Guo J., Pei Y., Hu P., Li M., Sack I., Et al., Rectal tumor stiffness quantified by In vivo tomoelastography and collagen content estimated by histopathology predict tumor aggressiveness, Front Oncol, 11, (2021); Qayyum A., Hwang K.P., Stafford J., Verma A., Maru D.M., Sandesh S., Et al., Immunotherapy response evaluation with magnetic resonance elastography (MRE) in advanced HCC, J Immunother Cancer, 7, (2019); Shahryari M., Tzschatzsch H., Guo J., Marticorena Garcia S.R., Boning G., Fehrenbach U., Et al., Tomoelastography distinguishes noninvasively between benign and malignant liver lesions, Cancer Res, 79, (2019); Shahryari M., Meyer T., Warmuth C., Herthum H., Bertalan G., Tzschatzsch H., Et al., Reduction of breathing artifacts in multifrequency magnetic resonance elastography of the abdomen, Magn Reson Med, 85, (2021); Chernyak V., Fowler K.J., Kamaya A., Kielar A.Z., Elsayes K.M., Bashir M.R., Et al., Liver imaging reporting and data system (LI-RADS) version 2018: Imaging of hepatocellular carcinoma in At-risk patients, Radiology, 289, (2018); Feng J., Zhu R., Chang C., Yu L., Cao F., Zhu G., Et al., CK19 and glypican 3 expression profiling in the prognostic indication for patients with HCC after surgical resection, PloS One, 11, (2016); Guck J., Schinkinger S., Lincoln B., Wottawah F., Ebert S., Romeyke M., Et al., Optical deformability as an inherent cell marker for testing malignant transformation and metastatic competence, Biophys J, 88, (2005); Wirtz D., Konstantopoulos K., Searson P.C., The physics of cancer: the role of physical interactions and mechanical forces in metastasis, Nat Rev Cancer, 11, (2011); Rianna C., Radmacher M., Kumar S., Direct evidence that tumor cells soften when navigating confined spaces, Mol Biol Cell, 31, (2020); Chen Y.Q., Lan H.Y., Wu Y.C., Yang W.H., Chiou A., Yang M.H., Et al., Epithelial-mesenchymal transition softens head and neck cancer cells to facilitate migration in 3D environments, J Cell Mol Med, 22, (2018); Schrader J., Gordon-Walker T.T., Aucott R.L., van Deemter M., Quaas A., Walsh S., Et al., Matrix stiffness modulates proliferation, chemotherapeutic response, and dormancy in hepatocellular carcinoma cells, Hepatology, 53, (2011); Spill F., Reynolds D.S., Kamm R.D., Zaman M.H., Impact of the physical microenvironment on tumor progression and metastasis, Curr Opin Biotechnol, 40, (2016); Oswald L., Grosser S., Smith D.M., Kas J.A., Jamming transitions in cancer, J Phys D Appl Phys, 50, (2017); Asbach P., Ro S.R., Aldoj N., Snellings J., Reiter R., Lenk J., Et al., In vivo quantification of water diffusion, stiffness, and tissue fluidity in benign prostatic hyperplasia and prostate cancer, Invest Radiol, 55, (2020); Morford L.A., Davis C., Jin L., Dobierzewska A., Peterson M.L., Spear B.T., Et al., The oncofetal gene glypican 3 is regulated in the postnatal liver by zinc fingers and homeoboxes 2 and in the regenerating liver by alpha-fetoprotein regulator 2, Hepatology, 46, (2007); Saito S., Ojima H., Ichikawa H., Hirohashi S., Kondo T., Molecular background of alpha-fetoprotein in liver cancer cells as revealed by global RNA expression analysis, Cancer Sci, 99, (2008); Gu D., Xie Y., Wei J., Li W., Ye Z., Zhu Z., Et al., MRI-Based radiomics signature: A potential biomarker for identifying glypican 3-positive hepatocellular carcinoma, J Magn Reson Imaging, 52, (2020)</t>
  </si>
  <si>
    <t xml:space="preserve">R. Li; Department of Radiology, Ruijin Hospital, Shanghai Jiao Tong University School of Medicine, Shanghai, China; email: lrk12113@rjh.com.cn; F. Yan; Department of Radiology, Ruijin Hospital, Shanghai Jiao Tong University School of Medicine, Shanghai, China; email: yfh11655@rjh.com.cn</t>
  </si>
  <si>
    <t xml:space="preserve">2234943X</t>
  </si>
  <si>
    <t xml:space="preserve">Front. Oncol.</t>
  </si>
  <si>
    <t xml:space="preserve">2-s2.0-85144045414</t>
  </si>
  <si>
    <t xml:space="preserve">Aldaej A.; Ahanger T.A.; Uddin M.Y.; Ullah I.</t>
  </si>
  <si>
    <t xml:space="preserve">Aldaej, Abdulaziz (56437636200); Ahanger, Tariq Ahamed (57201882800); Uddin, Mohammed Yousuf (56701846200); Ullah, Imdad (55643035700)</t>
  </si>
  <si>
    <t xml:space="preserve">56437636200; 57201882800; 56701846200; 55643035700</t>
  </si>
  <si>
    <t xml:space="preserve">Secure Dengue Epidemic Prediction System: Healthcare Perspective</t>
  </si>
  <si>
    <t xml:space="preserve">Viral diseases transmitted by mosquitoes are emerging public health problems across the globe. Dengue is considered to be the most significant mosquito-oriented disease. Conspicuously, the present study provides an effective architecture for Dengue Virus Infection surveillance. The proposed system involves a 4-level architecture for the prediction and prevention of dengue infection outspread. The architectural levels including Dengue Information Acquisition level, Dengue Information Classification level, Dengue-Mining and Extraction level, and Dengue-Prediction and Decision Modeling level enable an individual to periodically monitor his/her probabilistic dengue fever measure. The prediction process is carried out so that proactive measures are taken beforehand. For predictive purposes, probabilistic analysis in terms of Level of Dengue Fever (LoDF) was carried out using the Adaptive Neuro-Fuzzy Inference System. Based on the Self-Organized Mapping procedure, the presence of LoDF is visualized. Several simulations on datasets of 16 individuals cumulating to 32,255 instances were conducted to test the effectiveness of the presented model. In comparison to other decision-modeling methods, significantly improved results in form of classification efficacy, a temporal delay, prediction effectiveness, reliability, and stability were reported for the presented model. © 2022 Tech Science Press. All rights reserved.</t>
  </si>
  <si>
    <t xml:space="preserve">Computers, Materials and Continua</t>
  </si>
  <si>
    <t xml:space="preserve">Tech Science Press</t>
  </si>
  <si>
    <t xml:space="preserve">10.32604/cmc.2022.027487</t>
  </si>
  <si>
    <t xml:space="preserve">https://www.scopus.com/inward/record.uri?eid=2-s2.0-85130153624&amp;doi=10.32604%2fcmc.2022.027487&amp;partnerID=40&amp;md5=f421d233626ce54789baf910688c34e1</t>
  </si>
  <si>
    <t xml:space="preserve">College of Computer Engineering and Science, Prince Sattam bin Abdulaziz University, Al-Kharj, 11942, Saudi Arabia</t>
  </si>
  <si>
    <t xml:space="preserve">Aldaej A., College of Computer Engineering and Science, Prince Sattam bin Abdulaziz University, Al-Kharj, 11942, Saudi Arabia; Ahanger T.A., College of Computer Engineering and Science, Prince Sattam bin Abdulaziz University, Al-Kharj, 11942, Saudi Arabia; Uddin M.Y., College of Computer Engineering and Science, Prince Sattam bin Abdulaziz University, Al-Kharj, 11942, Saudi Arabia; Ullah I., College of Computer Engineering and Science, Prince Sattam bin Abdulaziz University, Al-Kharj, 11942, Saudi Arabia</t>
  </si>
  <si>
    <t xml:space="preserve">adaptive neuro-fuzzy inference system; Internet of things; real-time healthcare; smart air</t>
  </si>
  <si>
    <t xml:space="preserve">Architecture; Classification (of information); Forecasting; Fuzzy inference; Fuzzy neural networks; Fuzzy systems; Health care; Viruses; Adaptive neuro-fuzzy inference; Adaptive neuro-fuzzy inference system; Decision modeling; Dengue fevers; Dengue virus; Neuro-fuzzy inference systems; Prediction systems; Real-time healthcares; Smart air; Viral disease; Internet of things</t>
  </si>
  <si>
    <t xml:space="preserve">Ministry of Education in Saudi Arabia, (IF-PSAU-2021/01/17795)</t>
  </si>
  <si>
    <t xml:space="preserve">Acknowledgement: The authors extend their appreciation to the Deputyship for Research and Innovation, Ministry of Education in Saudi Arabia for supporting this research work through the project number (IF-PSAU-2021/01/17795).</t>
  </si>
  <si>
    <t xml:space="preserve">Gubbi J., Buyya R., Marusic S., Palaniswami M., Internet of things (IoT): A vision, architectural elements, and future directions, Future Generation Computer. Systems, 29, 7, pp. 1645-1660, (2013); Man M., Aezwani Wan Abu Bakar W., Chee Hwa L., Nural Jawahir W., Mohd Yusoff Wan, Afenddi Mat Nor M., Et al., Dengue innovation: A sustainability approach for preventing and controlling of dengue diseases outbreaks via IoT technology, IOP Conference. Series Material Science and Engineering, 769, 1, pp. 1-10, (2020); Yang G., Xie L., Mantysalo M., Zhou X., Pang Z., Et al., A Health-IoT platform based on the integration of intelligent packaging, unobtrusive bio-sensor, and intelligent medicine box, IEEE Transactions of Industrial. Informatics, 10, 4, pp. 2180-2191, (2014); Koop C. E., Mosher R., Kun L., Geiling J., Grigg E., Et al., Future delivery of health care: Cybercare, IEEE Engineering in Medicine and Biology Magazine, 27, 6, pp. 29-38, (2008); Xu B., Da Xu L., Cai H., Xie C., Hu J., Et al., Ubiquitous data accessing method in IoT-based information system for emergency medical services, IEEE Transactions of Industrial Informatics, 10, 2, pp. 1578-1586, (2014); Dong Y., Yao Y. D., IoT platform for covid-19 prevention and control: A survey, IEEE Access, 9, pp. 49929-49941, (2021); Mustaffa Z., Sulaiman M. H., Mohsin M. F. M., Yusof Y., Ernawan F., Et al., An application of barnacle mating optimizer in infectious disease prediction: A dengue outbreak cases, Iraqi Journal of Science, 61, 8, pp. 2132-2141, (2020); Rahmani A. M., Thanigaivelan N. K., Gia T. N., Granados J., Negash B., Et al., Smart e-health gateway: Bringing intelligence to internet-of-things based ubiquitous healthcare systems, 2015 12th Annu. IEEE Consumer Communication and Networking Conf. CCNC, pp. 826-834, (2015); Zhu H., Podesva P., Liu X., Zhang H., Teply T., Et al., IoT PCR for pandemic disease detection and its spread monitoring, Sensors Actuators B Chem, 303, (2020); Gibbons R. V., Vaughn D. W., Dengue: An escalating problem, British Medical Journal, 324, 7353, pp. 1563-1566, (2002); Whitehorn J., Farrar J., Dengue, British Medical Bulletin, 95, 1, pp. 161-173, (2010); Zhang X., Sun X., Sun X., Sun W., Jha S. K., Robust reversible audiowatermarking scheme for telemedicine and privacy protection, Computers, Materials and Continua, 71, 2, pp. 3035-3050, (2022); Zhang X., Zhang W., Sun W., Sun X., Jha S. K., A robust 3-D medical watermarking based on wavelet transform for data protection, Computer Systems Science and Engineering, 41, 3, pp. 1043-1056, (2022); Lai S., Huang Z., Zhou H., Anders K. L., Perkins T. A., Et al., The changing epidemiology of dengue in China, 1990–2014: A descriptive analysis of 25 years of nationwide surveillance data, BMC Medicine, 13, 1, pp. 1-12, (2015); Simmons C. P., Farrar J. J., Van Vinh Chau N., Wills B., Current concepts: Dengue, New. England Journal of Medicine, 366, 15, pp. 1423-1432, (2012); Guo P., Liu T., Zhang Q., Wang L., Xiao J., Et al., Developing a dengue forecast model using machine learning: A case study in China, PLoS Neglected Tropical Diseases, 11, 10, (2017); Capeding M. R., Tran N. H., Hadinegoro S. R. S., Ismail H. I. H. M., Chotpitayasunondh T., Et al., Clinical efficacy and safety of a novel tetravalent dengue vaccine in healthy children in Asia: A phase 3, randomised, observer-masked, placebo-controlled trial, Lancet, 384, 9951, pp. 1358-1365, (2014); Achee N. L., Gould F., Perkins T. A., Reiner R. C., Morrison A. C., Et al., A critical assessment of vector control for dengue prevention, PLoS Neglected Tropical Diseases, 9, 5, (2015); Halstead S. B., Dengue vaccine development: A 75% solution?, Lancet, (London, England), 380, 9853, pp. 1535-1536, (2012); Aburas H. M., Cetiner B. G., Sari M., Dengue confirmed-cases prediction: A neural network model, Expert Systems and Applications, 37, 6, pp. 4256-4260, (2010); Sareen S., Sood S. K., Gupta S. K., Secure internet of things-based cloud framework to control zika virus outbreak, International Journal of Technological Assessment in Health Care, 33, 1, pp. 11-18, (2017); Sood S. K., Mahajan I., A Fog-based healthcare framework for chikungunya, IEEE Internet of Things Journal, 5, 2, pp. 794-801, (2018); Sood S. K., Mahajan I., Fog-cloud based cyber-physical system for distinguishing, detecting and preventing mosquito borne diseases, Future Generation Computing System, 88, pp. 764-775, (2018); Pravin A., Jacob T. P., Nagarajan G., An intelligent and secure healthcare framework for the prediction and prevention of dengue virus outbreak using fog computing, Health Technology. (Berl), 10, 1, pp. 303-311, (2020); Azimi I., Takalo-Mattila J., Anzanpour A., Rahmani A. M., Soininen J. P., Et al., Empowering healthcare IoT systems with hierarchical edge-based deep learning figure 1: A three-tier IoT-based health monitoring system, Proc. IEEE/ACM Int. Conf. on Connected Health: Applications, Systems and Engineering Technologies, 18, pp. 63-68, (2018); Rahmani A. M., Gia T. N., Negash B., Anzanpour A., Azimi I., Et al., Exploiting smart e-health gateways at the edge of healthcare internet-of-things: A fog computing approach, Future Generation Computing System, 78, pp. 641-658, (2018); Manocha A., Singh R., A novel edge analytics assisted motor movement recognition framework using multi-stage convo-GRU model, Mobile Networks and Applications, 2019, pp. 1-20, (2019); Nayyar A., Puri V., Nguyen N. G., Biosenhealth 1.0: A novel internet of medical things (IoMT)-based patient health monitoring system, Lecture Notes Networks and Systems, 55, pp. 155-164, (2019); Tuli S., Basumatary N., Gill S. S., Kahani M., Arya R. C., Et al., HealthFog: An ensemble deep learning based smart healthcare system for automatic diagnosis of heart diseases in integrated IoT and fog computing environments, Future Generation Computer Systems, 104, pp. 187-200, (2020); Negash B., Gia T. N., Anzanpour A., Azimi I., Jiang M., Et al., Leveraging fog computing for healthcare IoT, Fog Computing Internet of Things Intelligence at Edge, pp. 145-169, (2018); Alhazmi O. H., Aloufi K. S., Fog-based internet of things: A security scheme, 2nd Int. Conf. Computer Applications and Information Security ICCAIS, pp. 1-6, (2019); Dastjerdi A. V., Buyya R., Fog computing: Helping the internet of things realize its potential, Computer, 49, 8, pp. 112-116, (2016); Tang B., Chen Z., Hefferman G., Pei S., Wei T., Et al., Incorporating intelligence in fog computing for big data analysis in smart cities, IEEE Transactions on Industrial Informatics, 13, 5, pp. 2140-2150, (2017); Atlam H. F., Walters R. J., Wills G. B., Fog computing and the internet of things: A review, Big Data and Cognitive Computing, 2, (2018); Bhatia M., Sood S. K., Temporal informative analysis in smart-ICU monitoring: M-health care perspective, Journal of Medical Systems, 40, 8, pp. 1-15, (2016); Nauck D., Klawonn F., Kruse R., Foundations of Neuro-Fuzzy Systems, (1997); Jang J. S. R., ANFIS: Adaptive-network-based fuzzy inference system, IEEE Transactions on System Man Cybernetics, 23, 3, pp. 665-685, (1993); Nedjah N., de Macedo Mourelle L., Fuzzy Systems Engineering Theory and Practice, 181, (2005); Gupta H., Vahid Dastjerdi A., Ghosh S. K., Buyya R., Ifogsim: A toolkit for modeling and simulation of resource management techniques in the internet of things, edge and fog computing environments, Software Practice and Experience, 47, 9, pp. 1275-1296, (2017); Alex S., Dhanaraj K. J., Deepthi P. P., Private and energy-efficient decision tree-based disease detection for resource-constrained medical users in mobile healthcare network, IEEE Access, 10, pp. 17098-17112, (2022); Anandhalekshmi A. V., Rao V. S., Kanagachidambaresan G. R., Hybrid approach of baum-welch algorithm and SVM for sensor fault diagnosis in healthcare monitoring system, Journal of Intelligent and Fuzzy Systems, 42, 4, pp. 2979-2988, (2022); Izonin I., Tkachenko R., An approach towards the response surface linearization via ANN-based cascade scheme for regression modeling in healthcare, Procedia Computer Science, 198, pp. 724-729, (2022); Sangeetha S., Sudha Sadasivam G., Srikanth A., Differentially private model release for healthcare applications, International Journal of Computers and Applications, 44, 4, pp. 1-6, (2022); Buchanna G., Premchand P., Govardhan A., Classification of epileptic and non-epileptic electroencephalogram (EEG) signals using fractal analysis and support vector regression, Emerging Science Journal, 6, 1, pp. 138-150, (2022); Avdeef A., Kansy M., Avdeef alex A., Predicting solubility of newly-approved drugs (2016–2020) with a simple ABSOLV and GSE(Flexible-acceptor) consensus model outperforming random forest regression, Journal of Solution Chemistry, 54, 4, pp. 1-36, (2022); Garg A., Venkataramani V. V., Karthikeyan A., Priyakumar U. D., Modern AI/ML methods for healthcare: Opportunities and challenges, Int. Conf. on Distributed Computing and Internet Technology, pp. 3-25, (2022); Saroja S., Haseena S., Blessa B. P. M., Data-driven decision making in IoT healthcare systems COVID-19: A case study, Smart Healthcare Systems Design: Security and Privacy Aspects, pp. 57-70, (2022); Rahimi Rise Z., Ershadi M. M., Socioeconomic analysis of infectious diseases based on different scenarios using uncertain SEIAR system dynamics with effective subsystems and ANFIS, The Journal of Economic and Administrative Sciences, (2022)</t>
  </si>
  <si>
    <t xml:space="preserve">A. Aldaej; College of Computer Engineering and Science, Prince Sattam bin Abdulaziz University, Al-Kharj, 11942, Saudi Arabia; email: a.aldaej@psau.edu.sa</t>
  </si>
  <si>
    <t xml:space="preserve">Comput. Mater. Continua</t>
  </si>
  <si>
    <t xml:space="preserve">2-s2.0-85130153624</t>
  </si>
  <si>
    <t xml:space="preserve">Nyakundi P.N.; Kiio J.; Munyaka A.W.</t>
  </si>
  <si>
    <t xml:space="preserve">Nyakundi, Patrick Nyamemba (57455381800); Kiio, Juliana (54974223400); Munyaka, Ann Wambui (26632183000)</t>
  </si>
  <si>
    <t xml:space="preserve">57455381800; 54974223400; 26632183000</t>
  </si>
  <si>
    <t xml:space="preserve">Serum ferritin levels are associated with frequent consumption of iron- and ascorbate-rich foods among women of childbearing age in Nandi County, Kenya</t>
  </si>
  <si>
    <t xml:space="preserve">Information on consumption patterns of iron- and ascorbate-rich foods and their influence on iron status among women of childbearing age (WCA) is scarce in Kenya despite iron deficiency being rampant. The present study investigated consumption patterns of iron- and ascorbate-rich foods on iron status among WCA in Kapsabet Ward, Kenya. The study adopted a cross-sectional analytical design. A sample of 160 respondents was systematically selected proportionately in the eight villages. Consumption patterns of iron- and ascorbate-rich foods were assessed using a modified 7-d Food Frequency Questionnaire. Venous blood (2 ml) was drawn from participants. Serum ferritin and C-reactive proteins were measured by enzyme immunoassay. Consumption patterns of iron- and ascorbate-rich foods were analysed using descriptive statistics. Multivariable regression was conducted to investigate the association between iron- and ascorbate-rich foods consumption and iron status. Confounding variables such as consumption of foods high phytate levels, milk and milk products, recent major blood losses and parasitic infections were controlled for during analysis. The prevalence of iron deficiency among the WCA was 45·0 %. Iron-rich foods were rarely (&lt;2 times/week) consumed by the respondents with the majority reporting infrequent consumption: meat (61·3 %), sardines (61·9 %), oranges (54·4 %) and fortified breakfast cereals (94·4 %), except for kale and beans. Iron- (iron-fortified porridge, meat, sardines, beans, amaranth and spider plants) and ascorbate- (oranges and mangoes) rich foods positively predicted (AOR = 4·851, P = 0·021) the normal iron status of WCA. WCA should consume above 2 intakes per week of each iron- and ascorbate-rich food for better iron status outcomes.  Copyright © The Author(s), 2022. Published by Cambridge University Press on behalf of The Nutrition Society.</t>
  </si>
  <si>
    <t xml:space="preserve">Journal of Nutritional Science</t>
  </si>
  <si>
    <t xml:space="preserve">Cambridge University Press</t>
  </si>
  <si>
    <t xml:space="preserve">e6</t>
  </si>
  <si>
    <t xml:space="preserve">10.1017/jns.2022.5</t>
  </si>
  <si>
    <t xml:space="preserve">https://www.scopus.com/inward/record.uri?eid=2-s2.0-85124714000&amp;doi=10.1017%2fjns.2022.5&amp;partnerID=40&amp;md5=8826010359335031c3612c91502c2ba7</t>
  </si>
  <si>
    <t xml:space="preserve">Department of Food, Nutrition and Dietetics, Kenyatta University, Nairobi, Kenya</t>
  </si>
  <si>
    <t xml:space="preserve">Nyakundi P.N., Department of Food, Nutrition and Dietetics, Kenyatta University, Nairobi, Kenya; Kiio J., Department of Food, Nutrition and Dietetics, Kenyatta University, Nairobi, Kenya; Munyaka A.W., Department of Food, Nutrition and Dietetics, Kenyatta University, Nairobi, Kenya</t>
  </si>
  <si>
    <t xml:space="preserve">Ascorbate-rich foods; Iron-rich foods; Serum ferritin; Women of childbearing age</t>
  </si>
  <si>
    <t xml:space="preserve">Animals; Ascorbic Acid; Cross-Sectional Studies; Female; Ferritins; Iron; Kenya; ascorbic acid; C reactive protein; ferritin; iron; phytate; ferritin; adolescent; adult; anemia; Article; bioavailability; bleeding; blood sampling; cross-sectional study; enzyme linked immunosorbent assay; female; ferritin blood level; food intake; human; immunoassay; iron deficiency; malaria; middle aged; prevalence; animal; epidemiology; Kenya</t>
  </si>
  <si>
    <t xml:space="preserve">ascorbic acid, 134-03-2, 15421-15-5, 50-81-7; C reactive protein, 9007-41-4; ferritin, 9007-73-2; iron, 14093-02-8, 53858-86-9, 7439-89-6; phytate, 14306-25-3, 7205-52-9, 34367-89-0; Ascorbic Acid, ; Ferritins, ; Iron, </t>
  </si>
  <si>
    <t xml:space="preserve">Lorena A., The economic impact of anaemia in Peru, Ann Nutr Metab, 63, (2013); pp. 1-43; Lee K.A., Zaffke M.E., Baratte-Beebe K., Restless legs syndrome and sleep disturbance during pregnancy: The role of folate and iron, J Womens Health Gend Based Med, 10, pp. 335-341, (2002); Milman N., Postpartum anemia II: Prevention and treatment, Ann Hematol, 91, pp. 143-154, (2012); Murray-Kolb L.E., Iron and brain functions, Curr Opin Clin Nutr Metab Care, 16, pp. 703-707, (2013); Abu-Ouf N.M., Jan M.M., The impact of maternal iron deficiency and iron deficiency anemia on child's health, Saudi Med J, 36, (2015); Solovyova A.V., Gace V., Ermolenko K.S., Et al., Anemia in women of reproductive age, Current Topics in Anemia [Internet], (2018); Higgins J.M., Red blood cell population dynamics, Clin Lab Med, 35, pp. 43-57, (2015); Black R.E., Victora C.G., Walker S.P., Et al., Maternal and child undernutrition and overweight in low-income and middle-income countries, Lancet (London, England), 382, pp. 427-451, (2013); Grieger J., Clifton V., A review of the impact of dietary intakes in human pregnancy on infant birthweight, Nutrients, 7, pp. 153-178, (2014); Darnton-Hill I., Global burden and significance of multiple micronutrient deficiencies in pregnancy, Nestlé Nutr Inst Work, 70, pp. 49-60, (2012); Kiboi W., Kimiywe J., Chege P., Dietary diversity, nutrient intake and nutritional status among pregnant, Int J Health Sci Res, 6, pp. 378-385, (2016); Othoo D.A., Waudo J., Kuria E.N., Dietary assessment of vitamin A and iron among pregnant women at Ndhiwa sub-district hospital-Kenya, African J Food Agric Nutr Dev, 14, pp. 2114-2128, (2014); Smith V., Multiple-micronutrient supplementation for women during pregnancy, Pract Midwife [Internet], 17, pp. 36-38, (2014); Waweru J., Mugenda O., Kuria E., Anaemia in the context of pregnancy and HIV/AIDS: A case of Pumwani Maternity Hospital in Nairobi, Kenya, African J Food Agric Nutr Dev, 9, pp. 748-763, (2011); Mwaniki N., Chege P.M., Munyaka A., Dietary diversity, iron intake and anemia among pregnant women in Embu county, Kenya, Nutr Technol, 5, pp. 6-11, (2019); Nunn R.L., Kehoe S.H., Chopra H., Et al., Dietary micronutrient intakes among women of reproductive age in Mumbai slums, Eur J Clin Nutr, 73, pp. 1536-1545, (2019); Hossain B., Sarwar T., Reja S., Et al., Nutritional status of pregnant women in selected rural and urban area of Bangladesh, J Nutr Food Sci, 3, pp. 1-3, (2013); Milman N., Dietary iron intake in women of reproductive age in Europe: A review of 49 studies from 29 countries in the period 1993-2015, J Nutr Metab, 2019, pp. 1-13, (2019); Ma Q., Kim E., Lindsay E.A., Et al., Dose-dependent manner in human intestinal Caco-2 cells, J Food Sci, 76, pp. 1-19, (2012); Gulec S., Anderson G.J., Collins J.F., Mechanistic and regulatory aspects of intestinal iron absorption, Am J Physiol Liver Physiol, 307, pp. G397-G409, (2014); Peneau S., Dauchet L., Vergnaud A.C., Et al., Relationship between iron status and dietary fruit and vegetables based on their vitamin C and fiber content, Am J Clin Nutr, 87, pp. 1298-1305, (2008); Kaufman C., Foods to Fight Iron Deficiency [Internet], (2018); Chepchirchir M., Best Fruits to Grow in Kenya [Internet], (2020); Gudrun B.K., Kehlenbeck K., McMullin S., Fruit consumption and production: Habits, preferences and attitudes of rural households in western Kenya, Poster [Internet], (2015); Waweru J.M., Iron Status and HIV/AIDS: A Case of Pregnant Women at Pumwani Maternity Hospital in Nairobi, Kenya, (2011); Kehoe S.H., Dhurde V., Bhaise S., Et al., Barriers and facilitators to fruit and vegetable consumption among rural Indian women of reproductive age, Food Nutr Bull, 40, pp. 87-98, (2019); Weldekidan F., Kote M., Girma M., Et al., Determinants of anemia among pregnant women attending antenatal clinic in public health facilities at Durame town: Unmatched case control study, Anemia, 2018, pp. 1-8, (2018); Mugenda O.M., Mugenda A.G., Research Methods: Sample Size Determination, (2003); Namaste S.M., Rohner F., Huang J., Et al., Adjusting ferritin concentrations for inflammation: Biomarkers Reflecting Inflammation and Nutritional Determinants of Anemia (BRINDA) project, Am J Clin Nutr, 106, pp. 359S-371S, (2017); De La Cruz-Gongora V., Villalpando S., Shamah-Levy T., Prevalence of anemia and consumption of iron-rich food groups in Mexican children and adolescents: Ensanut MC 2016, Salud Publica Mex, 60, pp. 291-300, (2018); Beck K.L., Conlon C.A., Kruger R., Et al., Dietary determinants of and possible solutions to iron deficiency for young women living in industrialized countries: A review, Nutrients, 6, pp. 3747-3776, (2014); Cade J.E., Moreton J.A., O'hara B., Et al., Diet and genetic factors associated with iron status in middle-aged women, Am J Clin Nutr, 82, pp. 813-820, (2005); Pynaert I., De Bacquer D., Matthys C., Et al., Determinants of ferritin and soluble transferrin receptors as iron status parameters in young adult women, Public Health Nutr, 12, pp. 1775-1782, (2009); Leonard A.J., Chalmers K.A., Collins C.E., Et al., The effect of nutrition knowledge and dietary iron intake on iron status in young women, Appetite, 81, pp. 225-231, (2014); Blanco-Rojo R., Toxqui L., Lopez-Parra A.M., Et al., Influence of diet, menstruation and genetic factors on iron status: A crosssectional study in Spanish women of childbearing age, Int J Mol Sci, 15, pp. 4077-4087, (2014); Rigas A.S., Sorensen C.J., Pedersen O.B., Et al., Predictors of iron levels in 14,737 Danish blood donors: Results from the Danish blood donor study, Transfusion, 54, pp. 789-796, (2014); Ruston D., Hoare J., Henderson L., Et al., The national diet &amp; nutrition survey: Adults aged 19 to 64 years, Natl Diet Nutr Surv, 4, pp. 15-16, (2004); Cercamondi C.I., Egli I.M., Zeder C., Et al., Sodium iron EDTA and ascorbic acid, but not polyphenol oxidase treatment, counteract the strong inhibitory effect of polyphenols from brown sorghum on the absorption of fortification iron in young women, Br J Nutr, 111, pp. 481-489, (2014); Dasa F., Abera T., Factors affecting iron absorption and mitigation mechanisms: A review, Int J Agric Sci Food Technol, 4, pp. 24-30, (2018); Black A.K., Backstrand J.R., Allen L.H., Et al., Diet and iron status of nonpregnant women in rural central Mexico, Am J Clin Nutr, 76, pp. 156-164, (2002); Ghatpande N.S., Apte P.P., Naik S.S., Et al., Fruit and vegetable consumption and their association with the indicators of iron and inflammation status among adolescent girls, J Am Coll Nutr, 38, pp. 218-226, (2019); Ghose B., Yaya S., Fruit and vegetable consumption and anemia among adult non-pregnant women: Ghana demographic and health survey, PeerJ, 2018, pp. 1-16, (2018); Asakura K., Sasaki S., Murakami K., Et al., Iron intake does not significantly correlate with iron deficiency among young Japanese women: A cross-sectional study, Public Health Nutr, 12, pp. 1373-1383, (2009); Blanco-Rojo R., Baeza-Richer C., Lapez-Parra A.M., Et al., Four variants in transferrin and HFE genes as potential markers of iron deficiency anaemia risk: An association study in menstruating women, Nutr Metab, 8, pp. 1-8, (2011)</t>
  </si>
  <si>
    <t xml:space="preserve">P.N. Nyakundi; Department of Food, Nutrition and Dietetics, Kenyatta University, Nairobi, Kenya; email: nyakundi.nyamemba@students.ku.ac.ke</t>
  </si>
  <si>
    <t xml:space="preserve">J. Nutr. Sci.</t>
  </si>
  <si>
    <t xml:space="preserve">2-s2.0-85124714000</t>
  </si>
  <si>
    <t xml:space="preserve">da Silva C.C.; de Lima C.L.; da Silva A.C.G.; Moreno G.M.M.; Musah A.; Aldosery A.; Dutra L.; Ambrizzi T.; Borges I.V.G.; Tunali M.; Basibuyuk S.; Yenigün O.; Massoni T.L.; Jones K.; Campos L.; Kostkova P.; da Silva Filho A.G.; dos Santos W.P.</t>
  </si>
  <si>
    <t xml:space="preserve">da Silva, Cecilia Cordeiro (56740007700); de Lima, Clarisse Lins (57220180472); da Silva, Ana Clara Gomes (57220187896); Moreno, Giselle Machado Magalhães (57224180971); Musah, Anwar (57210998260); Aldosery, Aisha (57250106700); Dutra, Livia (56031940600); Ambrizzi, Tercio (6602469258); Borges, Iuri V. G. (57249105400); Tunali, Merve (57217782116); Basibuyuk, Selma (57249542300); Yenigün, Orhan (6701812910); Massoni, Tiago Lima (8327557600); Jones, Kate (7404728090); Campos, Luiza (14043273200); Kostkova, Patty (6506790018); da Silva Filho, Abel Guilhermino (23490645400); dos Santos, Wellington Pinheiro (57193746428)</t>
  </si>
  <si>
    <t xml:space="preserve">56740007700; 57220180472; 57220187896; 57224180971; 57210998260; 57250106700; 56031940600; 6602469258; 57249105400; 57217782116; 57249542300; 6701812910; 8327557600; 7404728090; 14043273200; 6506790018; 23490645400; 57193746428</t>
  </si>
  <si>
    <t xml:space="preserve">Spatiotemporal forecasting for dengue, chikungunya fever and Zika using machine learning and artificial expert committees based on meta-heuristics</t>
  </si>
  <si>
    <t xml:space="preserve">Purpose: Dengue is considered one of the biggest public health problems in recent decades. Climate and demographic changes, the disorderly growth of cities and international trade have brought new arboviruses such as chikungunya and Zika. Control of arboviruses depends on control of the vector: the Aedes aegypti mosquito. Objective: In this work, we propose a methodology for building disease predictors capable of predicting infected cases and locations based on machine learning. We also propose an artificial experts committee based on meta-heuristic methods to detect the most relevant risk factors. Method As a case study, we applied the methodology to forecast dengue, chikungunya and Zika, with data from the City of Recife, Brazil, from 2013 to 2016. We used arboviruses cases data and climatic and environmental information: wind speeds, temperatures and precipitation. Results The best prediction results were obtained with 10-tree Random Forest regression, with Pearson’s correlation above 0.99 and RMSE (%) below 6%. Additionally, the artificial experts committee was able to present the most relevant factors for predicting cases in each two-month period. Conclusion: The spatiotemporal prediction results showed the evolution of arboviruses, pointing out as major focuses on both regions richer in urban green areas and low-income neighborhood with irregular water supply. Determining the most relevant factors for prediction, as well as the spatial distribution of cases, can be useful for the planning and execution of public policies aimed at improving the health infrastructure and planning and controlling the vector. © 2022, Sociedade Brasileira de Engenharia Biomedica.</t>
  </si>
  <si>
    <t xml:space="preserve">Research on Biomedical Engineering</t>
  </si>
  <si>
    <t xml:space="preserve">10.1007/s42600-022-00202-6</t>
  </si>
  <si>
    <t xml:space="preserve">https://www.scopus.com/inward/record.uri?eid=2-s2.0-85124766526&amp;doi=10.1007%2fs42600-022-00202-6&amp;partnerID=40&amp;md5=d1feca4e40237e9b97e2da5f1e5c409f</t>
  </si>
  <si>
    <t xml:space="preserve">Center for Informatics, CIn-UFPE, Federal University of Pernambuco, Recife, Brazil; Polytechnique School of the University of Pernambuco, Poli-UPE, Recife, Brazil; Department of Biomedical Engineering, Federal University of Pernambuco, Recife, Brazil; Department of Atmospheric Sciences, IAG-USP, University of São Paulo, São Paulo, Brazil; Centre for Digital Public Health and Emergencies, Institute for Risk and Disaster Reduction, University College London, London, United Kingdom; Institute of Environmental Sciences, Boaziçi University, Istanbul, Turkey; Department Systems &amp; Computing, Federal University of Campina Grande, Campina Grande, Brazil; Centre for Biodiversity and Environment Research, Department of Genetics, Evolution and Environment, University College London, London, United Kingdom; Department of Civil Environmental &amp; Geomatic Engineering, University College London, London, United Kingdom</t>
  </si>
  <si>
    <t xml:space="preserve">da Silva C.C., Center for Informatics, CIn-UFPE, Federal University of Pernambuco, Recife, Brazil; de Lima C.L., Polytechnique School of the University of Pernambuco, Poli-UPE, Recife, Brazil; da Silva A.C.G., Department of Biomedical Engineering, Federal University of Pernambuco, Recife, Brazil; Moreno G.M.M., Department of Atmospheric Sciences, IAG-USP, University of São Paulo, São Paulo, Brazil; Musah A., Centre for Digital Public Health and Emergencies, Institute for Risk and Disaster Reduction, University College London, London, United Kingdom; Aldosery A., Centre for Digital Public Health and Emergencies, Institute for Risk and Disaster Reduction, University College London, London, United Kingdom; Dutra L., Department of Atmospheric Sciences, IAG-USP, University of São Paulo, São Paulo, Brazil; Ambrizzi T., Department of Atmospheric Sciences, IAG-USP, University of São Paulo, São Paulo, Brazil; Borges I.V.G., Department of Atmospheric Sciences, IAG-USP, University of São Paulo, São Paulo, Brazil; Tunali M., Institute of Environmental Sciences, Boaziçi University, Istanbul, Turkey; Basibuyuk S., Institute of Environmental Sciences, Boaziçi University, Istanbul, Turkey; Yenigün O., Institute of Environmental Sciences, Boaziçi University, Istanbul, Turkey; Massoni T.L., Department Systems &amp; Computing, Federal University of Campina Grande, Campina Grande, Brazil; Jones K., Centre for Biodiversity and Environment Research, Department of Genetics, Evolution and Environment, University College London, London, United Kingdom; Campos L., Department of Civil Environmental &amp; Geomatic Engineering, University College London, London, United Kingdom; Kostkova P., Centre for Digital Public Health and Emergencies, Institute for Risk and Disaster Reduction, University College London, London, United Kingdom; da Silva Filho A.G., Center for Informatics, CIn-UFPE, Federal University of Pernambuco, Recife, Brazil; dos Santos W.P., Department of Biomedical Engineering, Federal University of Pernambuco, Recife, Brazil</t>
  </si>
  <si>
    <t xml:space="preserve">Arboviruses; Artificial expert committees based on meta-heuristics; Chikungunya fever; Dengue fever; Machine learning forecasting; Spatiotemporal forecasting; Zika</t>
  </si>
  <si>
    <t xml:space="preserve">Decision trees; Heuristic methods; International trade; Machine learning; Tropics; Viruses; Water supply; Aedes aegypti; Artificial expert committee based on meta-heuristic; Chikungunya; Chikungunya fever; Demographic changes; Dengue fevers; Machine learning forecasting; Metaheuristic; Spatio-temporal forecasting; Zika; Forecasting</t>
  </si>
  <si>
    <t xml:space="preserve">UK Research and Innovation, UKRI, (NE/T013664/1); University College London, UCL; Fundação de Amparo à Pesquisa do Estado de São Paulo, FAPESP; Conselho Nacional de Desenvolvimento Científico e Tecnológico, CNPq; Fundação de Amparo à Ciência e Tecnologia do Estado de Pernambuco, FACEPE; Universidade Federal de Pernambuco, UFPE</t>
  </si>
  <si>
    <t xml:space="preserve">Funding text 1: The authors are grateful to the Brazilian research agencies FACEPE, FAPESP and CNPq, and to UKRI, research grant number NE/T013664/1, for the partial financial support of this research. ; Funding text 2: This study was funded by the Federal University of Pernambuco, the Brazilian research agencies FACEPE, FAPESP and CNPq and the University College London held UKRI research grant number NE/T013664/1. </t>
  </si>
  <si>
    <t xml:space="preserve">Salmonella infections modelling in Mississippi using neural network and geographical information system (GIS), BMJ Open 6(3) ISSN 2044-6055 Https://Doi.Org/10.1136/Bmjopen-2015-009255, (2016); Albrieu-Llinas G., Espinosa M.O., Quaglia A., Abril M., Scavuzzo C.M., Urban environmental clustering to assess the spatial dynamics of Aedes aegypti breeding sites, Geospatial Health, 13, 1, (2018); Baquero O.S., Santana L.M.R., Chiaravalloti-Neto F., Dengue forecasting in São Paulo city with generalized additive models, artificial neural networks and seasonal autoregressive integrated moving average models, PLoS One, 13, 4, pp. 1-12, (2018); Barata J.C.A., Hussein M.S., The Moore-Penrose Pseudoinverse: A Tutorial Review of the Theory, Braz J Phys, 42, 1, pp. 146-165, (2012); Bartlett P.L., The sample complexity of pattern classification with neural networks: the size of the weights is more important than the size of the network, IEEE Trans Inf Theory, 44, 2, pp. 525-536, (1998); Beketov M.A., Yurchenko Y.A., Belevich O.E., Liess M., What environmental factors are important determinants of structure, species richness, and abundance of mosquito assemblages?, J Med Entomol, 47, 2, pp. 129-139, (2014); Beltran J.D., Boscor A., Dos Santos W.P., Massoni T., Kostkova P., ZIKA: A New System to Empower Health Workers and Local Communities to Improve Surveillance Protocols by E-learning and to Forecast Zika Virus in Real Time in Brazil, Proceedings of the 2018 International Conference on Digital Health, pp. 90-94, (2018); Bhunia G.S., Shit P.K., Geospatial Analysis of Public Health, (2019); Braga C., Luna C.F., Martelli C., Souza Wv C.M.T., Alexander N., Mdfpmd S., Jcmarques E.T., Seroprevalence and risk factors for dengue infection in socio-economically distinct areas of Recife, Brazil, Acta Trop, 113, 3, pp. 234-240, (2010); Braga I.A., Valle D., Aedes aegypti: histórico do controle no Brasil, Epidemiol Serviços Saúde, 16, 2, pp. 113-118, (2007); Braga I.A., Lima J.B.P., Soares S.S., Valle D., Aedes aegypti resistance to temephos during 2001 in several municipalities in the states of Rio de Janeiro, Sergipe, and Alagoas, Brazil, Mem Inst Oswaldo Cruz, 99, 2, pp. 199-203, (2004); Brasil P., Pereira-Jr J.P., Raja-Gabaglia C., Damasceno L., Wakimoto M., Ribeiro-Nogueira R., Sequeirapc M.-S.A., Carvalholma D.C.D.C., Zika virus infection in pregnant women in Rio de Janeiro: Preliminary report, N Engl J Med, (2016); Buczak A.L., Baugher B., Moniz L.J., Bagley T., Babin S.M., Guven E., Ensemble method for dengue prediction, PloS One, 13, 1, (2018); Cardoso C.W., Paploski I.A., Kikuti M., Rodrigues M.S., Silva M.M., Campos G.S., Sardi S.I., Kitron U., Reis M.G., Ribeiro G.S., Outbreak of exanthematous illness associated with Zika, chikungunya, and dengue viruses, Salvador, Brazil, Emerg Infect Dis, 21, 12, (2015); Ch S., Sohani S., Kumar D., Malik A., Chahar B., Nema A., Panigrahi B.K., Dhiman R., A support vector machine-firefly algorithm based forecasting model to determine malaria transmission, Neurocomputing, 129, pp. 279-288, (2014); Chakraborty T., Chattopadhyay S., Ghosh I., Forecasting dengue epidemics using a hybrid methodology, Physica A Stat Mech Applic, 527, (2019); Choi H.K., Stock price correlation coefficient prediction with ARIMA-LSTM hybrid model, (2018); Coelho G., Silva P.C., Frutuoso R.L., Levantamento rápido de índices para Aedes aegypti LIRAa para vigilância entomológica do Aedes aegypti no Brasil: Metodologia para avaliação dos índices de Breateau e predial e tipos de recipientes, Ministério Da Saúde, (2012); Cortes F., Martelli C.M.T., de Alencar Ximenes R.A., Montarroyos U.R., Junior J.B.S., Cruz O.G., Alexander N., de Souza W.V., Time series analysis of dengue surveillance data in two Brazilian cities, Acta Trop, 182, pp. 190-197, (2018); de Santana M.A., Pereira J.M.S., da Silva F.L., de Lima N.M., de Sousa F.N., de Arruda G.M.S., Delima R., da Silva W.W.A., Dos Santos W.P., Breast cancer diagnosis based on mammary thermography and extreme learning machines, Res Biomed Eng, 34, 1, pp. 45-53, (2018); Denil M., Shakibi B., Dinh L., de Freitas N., Et al., Predicting parameters in deep learning, Advances in Neural Information Processing Systems, pp. 2148-2156, (2013); Dom N.C., Hassan A.A., Abd Latif Z., Ismail R., Generating temporal model using climate variables for the prediction of dengue cases in Subang Jaya, Malaysia, Asian Pac J Trop Dis, 3, 5, pp. 352-361, (2013); Drucker H., Burges C.J., Kaufman L., Smola A., Vapnik V., Et al., Support vector regression machines, Adv Neural Inf Process Syst, 9, pp. 155-161, (1997); Espinola C.W., Gomes J.C., Pereira J.M.S., dos Santos W.P., Detection of major depressive disorder using vocal acoustic analysis and machine learningan exploratory study, Res Biomed Eng, 37, 1, pp. 53-64, (2021); Espinola C.W., Gomes J.C., Pereira J.M.S., dos Santos W.P., Vocal acoustic analysis and machine learning for the identification of schizophrenia, Res Biomed Eng, 37, 1, pp. 33-46, (2021); Fajardo-Herrera R.J., Valdelamar-Villegas J.-C., Arrieta-Perez D., Prediction of the potential establishment of the mosquito Aedes aegypti in non-residential urban spaces in Colombia using eco-urban and landscape variables, Gestión Ambiente, 20, 1, (2017); Falbo G., Cabral Filho J.E., Facing a severe epidemic outbreak: A fight against arboviruses, Rev Bras Saúde Materno Infantil, 16, pp. S3-S4, (2016); Ghani A., McGinnity T.M., Maguire L.P., Harkin J., Neuro-inspired speech recognition with recurrent spiking neurons, International Conference on Artificial Neural Networks, pp. 513-522, (2008); Gharbi M., Quenel P., Gustave J., Cassadou S., La Ruche G., Girdary L., Marrama L., Time series analysis of dengue incidence in Guadeloupe, French West Indies: forecasting models using climate variables as predictors, BMC Infect Dis, 11, 1, pp. 1-13, (2011); Hall M., Frank E., Holmes G., Pfahringer B., Reutemann P., Witten I.H., The WEKA data mining software: an update, ACM SIGKDD Explor Newsl, 11, 1, pp. 10-18, (2009); Hamlet A., Jean K., Perea W., Yactayo S., Biey J., Van Kerkhove M., Ferguson N., Garske T., The seasonal influence of climate and environment on yellow fever transmission across Africa, PLoS Negl Trop Dis, 12, 3, (2018); Haykin S., Redes Neurais: Princípios e Prática, (2001); Ho T.K., Random decision forests, Proceedings of 3Rd International Conference on Document Analysis and Recognition, 1, pp. 278-282, (1995); Holmes G., Donkin A., Witten I.H., Weka: A machine learning workbench. In Intelligent Information Systems, 1994, Proceedings of the 1994 Second Australian and New Zealand Conference, pp. 357-361, (1994); Huang G.-B., Babri H.A., Upper bounds on the number of hidden neurons in feedforward networks with arbitrary bounded nonlinear activation functions, IEEE Trans Neural Netw, 9, 1, pp. 224-229, (1998); Huang G.-B., Zhu Q.-Y., Siew C.-K., Extreme learning machine: A new learning scheme of feedforward neural networks, Neural Networks, 2004, 2, pp. 985-990, (2004); Huang G.-B., Zhu Q.-Y., Siew C.-K., Extreme learning machine: theory and applications, Neurocomputing, 70, 1-3, pp. 489-501, (2006); Huang G.-B., Zhou H., Ding X., Zhang R., Extreme learning machine for regression and multiclass classification, IEEE Trans Syst Man Cybern Part B (Cybernetics), 42, 2, pp. 513-529, (2012); Hugentobler M., Quantum GIS, In Encyclopedia of GIS, pp. 935-939, (2008); Jaeger H., The echo state approach to analysing and training recurrent neural networkswith an erratum note, Bonn, Germany: German National Research Center for Information Technology GMD Technical Report, 148, 34, (2001); Jansen C.C., Beebe N.W., The dengue vector Aedes aegypti: what comes next, Microbes Infect, 12, 4, pp. 272-279, (2010); Joyce R.J., Janowiak J.E., Arkin P.A., Xie P., CMORPH: A method that produces global precipitation estimates from passive microwave and infrared data at high spatial and temporal resolution, J Hydrometeorol, 5, 3, pp. 487-503, (2004); Khashei M., Bijari M., A novel hybridization of artificial neural networks and ARIMA models for time series forecasting, Appl Soft Comput, 11, 2, pp. 2664-2675, (2011); Kraemer M.U., Sinka M.E., Duda K.A., Mylne A.Q., Shearer F.M., Barker C.M., Moore C.G., Carvalho R.G., Coelho G.E., van Bortel W., Et al., The global distribution of the arbovirus vectors, Aedes Aegypti and Ae. Albopictus. Elife, 4, (2015); Laureano-Rosario A.E., Duncan A.P., Mendez-Lazaro P.A., Garcia-Rejon J.E., Gomez-Carro S., Farfan-Ale J., Savic D.A., Muller-Karger F.E., Application of Artificial Neural Networks for Dengue Fever Outbreak Predictions in the Northwest Coast of Yucatan, Mexico and San Juan, Puerto Rico, Trop Med Infect Dis, 3, 1, (2018); LeCun Y., Bengio Y., Hinton G., Deep learning, Nature, 521, 7553, (2015); Lukosevicius M., A practical guide to applying echo state networks, Neural Networks: Tricks of the Trade, pp. 659-686, (2012); Maass W., Natschlager T., Markram H., Real-time computing without stable states: A new framework for neural computation based on perturbations, Neural Comput, 14, 11, pp. 2531-2560, (2002); Magalhaes T., Braga C., Cordeiro M.T., Oliveira A.L.S., Castanha P.M.S., Maciel A.P.R., Amancio N.M.L., Gouveia P.N., da Silva-Jr V.J.P., Peixoto T.F.L., Britto H., Lima P.V., Lima A.R.S., Rosenberger K.D., Jaenisch T., Marques E.T.A., Zika virus displacement by a chikungunya outbreak in Recife, Brazil, Plos Negl Trop Dis, 11, 11, (2017); Martines B., Notes from the field: Evidence of Zika virus infection in brain and placental tissues from two congenitally infected newborns and two fetal lossesBrazil, 2015. MMWR Morb Mortal Wkly Rep, 65, (2016); Mayer S.V., Tesh R.B., Vasilakis N., The emergence of arthropod-borne viral diseases: A global prospective on dengue, chikungunya and zika fevers, Acta Trop, 166, pp. 155-163, (2017); Oliphant T.E., Python for scientific computing, Comput Sci Eng, 9, 3, (2007); Pai P.-F., Lin C.-S., A hybrid ARIMA and support vector machines model in stock price forecasting, Omega, 33, 6, pp. 497-505, (2005); Paul K.K., Dhar-Chowdhury P., Haque C.E., Al-Amin H.M., Goswami D.R., Kafi M.A.H., Drebot M.A., Lindsay L.R., Ahsan G.U., Brooks W.A., Risk factors for the presence of dengue vector mosquitoes, and determinants of their prevalence and larval site selection in Dhaka, Bangladesh, PloS One, 13, 6, (2018); Quantum G., Development Team. Quantum GIS Geographic Information System. Open Source Geospatial Foundation Project, (2013); Roth A., Mercier A., Lepers C., Hoy D., Duituturaga S., Benyon E., Guillaumot L., Souares Y., Concurrent outbreaks of dengue, chikungunya and Zika virus infections– an unprecedented epidemic wave of mosquito-borne viruses in the Pacific 2012–2014, Eurosurveillance, 19, 41, (2014); Scavuzzo J.M., Trucco F.C., Tauro C.B., German A., Espinosa M., Abril M., Modeling the temporal pattern of Dengue, Chicungunya and Zika vector using satellite data and neural networks, Information Processing and Control (RPIC), 2017 XVII Workshop On, pp. 1-6, (2017); Scavuzzo J.M., Trucco F., Espinosa M., Tauro C.B., Abril M., Scavuzzo C.M., Frery A.C., Modeling Dengue vector population using remotely sensed data and machine learning, Acta Trop, 185, pp. 167-175, (2018); Siriyasatien P., Chadsuthi S., Jampachaisri K., Kesorn K., Dengue epidemics prediction: A survey of the state-of-the-art based on data science processes, IEEE Access, 6, pp. 53757-53795, (2018); Siriyasatien P., Chadsuthi S., Jampachaisri K., Kesorn K., Dengue Epidemics Prediction: A Survey of the State-of-the-Art Based on Data Science Processes, IEEE Access, 6, pp. 53757-53795, (2018); Smola A.J., Scholkopf B., A tutorial on support vector regression, Stat Comput, 14, 3, pp. 199-222, (2004); Scidavis S.R., Free Application for Scientific Data Analysis and Visualization, (2016); Stolerman L.M., Maia P.D., Kutz J.N., Forecasting dengue fever in brazil: An assessment of climate conditions, PLoS One, 14, 8, (2019); Sun Y., Wang X., Tang X., Deep learning face representation from predicting 10,000 classes, Proceedings of the IEEE Conference on Computer Vision and Pattern Recognition, pp. 1891-1898, (2014); Suykens J.A., Vandewalle J., Least squares support vector machine classifiers, Neural Process Lett, 9, 3, pp. 293-300, (1999); Thakur P., Kaur S., An intelligent system for predicting and preventing Chikungunya virus, 2017 International Conference on Energy, Communication, Data Analytics and Soft Computing (ICECDS), Pages 3483–3492. IEEE, (2017); Tosepu R., Tantrakarnapa K., Worakhunpiset S., Nakhapakorn K., Climatic Factors Influencing Dengue Hemorrhagic Fever in Kolaka District, Indonesia, Environ Nat Resour J, 16, 2, pp. 1-10, (2018); Doença pelo vírus Zika: Um novo problema emergente nas Américas?, Revista Pan-Amazônica De Saúde, 6, 2, pp. 9-10, (2015); Verstraeten D., Reservoir Computing: Computation with Dynamical Systems, (2009); Villamil-Gomez W.E., Gonzalez-Camargo O., Rodriguez-Ayubi J., Zapata-Serpa D., Rodriguez-Morales A.J., Dengue, chikungunya and Zika co-infection in a patient from Colombia, J Infect Public Health, 9, 5, pp. 684-686, (2016); Witten I.H., Frank E., Data Mining: Pratical Machine Learning Tools and Technique, (2005); Witten I.H., Frank E., Hall M.A., Pal C.J., Data Mining: Practical Machine Learning Tools and Techniques, (2016); Yusof Y., Mustaffa Z., Dengue outbreak prediction: A least squares support vector machines approach, Int J Comput Theory Eng, 3, 4, (2011); Zanluca C., Vcadmosimann A., Givdcndd S., Luz K., First report of autochthonous transmission of Zika virus in Brazil, Memórias Do Instituto Oswaldo Cruz, 110, 4, pp. 569-572, (2015); Zhang G., Patuwo B.E., Hu M.Y., Forecasting with artificial neural networks: The state of the art, Int J Forecast, 14, 1, pp. 35-62, (1998); Zhang G.P., Time series forecasting using a hybrid ARIMA and neural network model, Neurocomputing, 50, pp. 159-175, (2003); Zhao N., Charland K., Carabali M., Nsoesie E.O., Maheu-Giroux M., Rees E., Yuan M., Balaguera C.G., Ramirez G.J., Zinszer K., Machine learning and dengue forecasting: Comparing random forests and artificial neural networks for predicting dengue burden at national and sub-national scales in Colombia, PLoS Negl Trop Dis, 14, 9, (2020)</t>
  </si>
  <si>
    <t xml:space="preserve">W.P. dos Santos; Department of Biomedical Engineering, Federal University of Pernambuco, Recife, Brazil; email: wellington.santos@ufpe.br</t>
  </si>
  <si>
    <t xml:space="preserve">Res. Biomed. Eng.</t>
  </si>
  <si>
    <t xml:space="preserve">2-s2.0-85124766526</t>
  </si>
  <si>
    <t xml:space="preserve">Goulet A.; Cambillau C.; Roussel A.; Imbert I.</t>
  </si>
  <si>
    <t xml:space="preserve">Goulet, Adeline (14521132500); Cambillau, Christian (7006765066); Roussel, Alain (7102748214); Imbert, Isabelle (6602079183)</t>
  </si>
  <si>
    <t xml:space="preserve">14521132500; 7006765066; 7102748214; 6602079183</t>
  </si>
  <si>
    <t xml:space="preserve">Structure Prediction and Analysis of Hepatitis E Virus Non-Structural Proteins from the Replication and Transcription Machinery by AlphaFold2</t>
  </si>
  <si>
    <t xml:space="preserve">Hepatitis E virus (HEV) is a major cause of acute viral hepatitis in humans globally. Considered for a long while a public health issue only in developing countries, the HEV infection is now a global public health concern. Most human infections are caused by the HEV genotypes 1, 2, 3 and 4 (HEV-1 to HEV-4). Although HEV-3 and HEV-4 can evolve to chronicity in immunocompromised patients, HEV-1 and HEV-2 lead to self-limited infections. HEV has a positive-sense single-stranded RNA genome of ~7.2 kb that is translated into a large pORF1 replicative polyprotein, essential for the viral RNA genome replication and transcription. Unfortunately, the composition and structure of these replicases are still unknown. The recent release of the powerful machine-learning protein structure prediction software AlphaFold2 (AF2) allows us to accurately predict the structure of proteins and their complexes. Here, we used AF2 with the replicase encoded by the polyprotein pORF1 of the human-infecting HEV-3. The boundaries and structures reveal five domains or nonstructural proteins (nsPs): the methyltransferase, Zn-binding domain, macro, helicase, and RNA-dependent RNA polymerase, reliably predicted. Their substrate-binding sites are similar to those observed experimentally for other related viral proteins. Precisely knowing enzyme boundaries and structures is highly valuable to recombinantly produce stable and active proteins and perform structural, functional and inhibition studies. © 2022 by the authors.</t>
  </si>
  <si>
    <t xml:space="preserve">Viruses</t>
  </si>
  <si>
    <t xml:space="preserve">10.3390/v14071537</t>
  </si>
  <si>
    <t xml:space="preserve">https://www.scopus.com/inward/record.uri?eid=2-s2.0-85137193451&amp;doi=10.3390%2fv14071537&amp;partnerID=40&amp;md5=75b1fc7f17853a2a9b24ef0698179480</t>
  </si>
  <si>
    <t xml:space="preserve">Aix-Marseille Université, Centre National de la Recherche Scientifique, UMR 7255, LISM, 31 Chemin Joseph Aiguier, Marseille, 13009, France; School of Microbiology, University College Cork, Cork, T12 YT20, Ireland; AlphaGraphix, 24 Carrer d’Amont, Formiguères, 66210, France</t>
  </si>
  <si>
    <t xml:space="preserve">Goulet A., Aix-Marseille Université, Centre National de la Recherche Scientifique, UMR 7255, LISM, 31 Chemin Joseph Aiguier, Marseille, 13009, France; Cambillau C., School of Microbiology, University College Cork, Cork, T12 YT20, Ireland, AlphaGraphix, 24 Carrer d’Amont, Formiguères, 66210, France; Roussel A., Aix-Marseille Université, Centre National de la Recherche Scientifique, UMR 7255, LISM, 31 Chemin Joseph Aiguier, Marseille, 13009, France; Imbert I., Aix-Marseille Université, Centre National de la Recherche Scientifique, UMR 7255, LISM, 31 Chemin Joseph Aiguier, Marseille, 13009, France</t>
  </si>
  <si>
    <t xml:space="preserve">AlphaFold2; helicase; Hepatitis E virus; macro domain; nonstructural proteins; RNA-dependent RNA polymerase; viral replication/transcription enzymes</t>
  </si>
  <si>
    <t xml:space="preserve">factor AF2; helicase; methyltransferase; nonstructural protein 1; nonstructural protein 2; nonstructural protein 3; nonstructural protein 4; nonstructural protein 5; polyprotein; RecA protein; RNA directed RNA polymerase; viral nonstructural protein; zinc binding protein; amino terminal sequence; Article; carboxy terminal sequence; Chikungunya virus; Classical swine fever virus; controlled study; Coronavirinae; Hepatitis E virus; hepatitis e virus 1; hepatitis e virus 2; hepatitis e virus 3; hepatitis e virus 4; human; oligomerization; open reading frame; virus forms; virus replication; virus transcription</t>
  </si>
  <si>
    <t xml:space="preserve">coronavirus RNA dependent RNA polymerase, ; helicase, 42613-29-6; methyltransferase, 9033-25-4; RecA protein, 73177-10-3; RNA directed RNA polymerase, 9026-28-2</t>
  </si>
  <si>
    <t xml:space="preserve">National Institutes of Health, NIH, (R01-GM129325); National Institute of Allergy and Infectious Diseases, NIAID; Aix-Marseille Université, AMU</t>
  </si>
  <si>
    <t xml:space="preserve">Funding text 1: UCSF ChimeraX, which was used for molecular graphics and analyses, was developed by the Resource for Biocomputing, Visualization, and Informatics at the University of California, San Francisco, with support from the National Institutes of Health R01-GM129325 and the Office of Cyber Infrastructure and Computational Biology, National Institute of Allergy and Infectious Diseases. ; Funding text 2: This work was supported by the Excellence Initiative of Aix-Marseille University—A*MIDEX, a French “Investissements d’Avenir” program and by Aix Marseille University.</t>
  </si>
  <si>
    <t xml:space="preserve">Hoofnagle J.H., Nelson K.E., Purcell R.H., Hepatitis E, N. Engl. J. Med, 367, pp. 1237-1244, (2012); Khuroo M.S., Teli M.R., Skidmore S., Sofi M.A., Khuroo M.I., Incidence and Severity of Viral Hepatitis in Pregnancy, Am. J. Med, 70, pp. 252-255, (1981); Dalton H.R., Saunders M., Woolson K.L., Hepatitis E Virus in Developed Countries: One of the Most Successful Zoonotic Viral Diseases in Human History?, J. Virus Erad, 1, pp. 23-29, (2015); Purdy M.A., Harrison T.J., Jameel S., Meng X.-J., Okamoto H., Van der Poel W.H.M., Smith D.B., Ictv Report Consortium, null ICTV Virus Taxonomy Profile: Hepeviridae, J. Gen. Virol, 98, pp. 2645-2646, (2017); Khuroo M.S., Khuroo M.S., Khuroo N.S., Hepatitis E: Discovery, Global Impact, Control and Cure, World J. Gastroenterol, 22, pp. 7030-7045, (2016); Reyes G.R., Purdy M.A., Kim J.P., Luk K.C., Young L.M., Fry K.E., Bradley D.W., Isolation of a CDNA from the Virus Responsible for Enterically Transmitted Non-A, Non-B Hepatitis, Science, 247, pp. 1335-1339, (1990); Yin X., Ambardekar C., Lu Y., Feng Z., Distinct Entry Mechanisms for Nonenveloped and Quasi-Enveloped Hepatitis E Viruses, J. Virol, 90, pp. 4232-4242, (2016); Koonin E.V., Gorbalenya A.E., Purdy M.A., Rozanov M.N., Reyes G.R., Bradley D.W., Computer-Assisted Assignment of Functional Domains in the Nonstructural Polyprotein of Hepatitis E Virus: Delineation of an Additional Group of Positive-Strand RNA Plant and Animal Viruses, Proc. Natl. Acad. Sci. USA, 89, pp. 8259-8263, (1992); Nimgaonkar I., Ding Q., Schwartz R.E., Ploss A., Hepatitis E Virus: Advances and Challenges, Nat. Rev. Gastroenterol. Hepatol, 15, pp. 96-110, (2017); Ansari I.H., Nanda S.K., Durgapal H., Agrawal S., Mohanty S.K., Gupta D., Jameel S., Panda S.K., Cloning, Sequencing, and Expression of the Hepatitis E Virus (HEV) Nonstructural Open Reading Frame 1 (ORF1), J. Med. Virol, 60, pp. 275-283, (2000); Ju X., Xiang G., Gong M., Yang R., Qin J., Li Y., Nan Y., Yang Y., Zhang Q.C., Ding Q., Identification of Functional Cis-Acting RNA Elements in the Hepatitis E Virus Genome Required for Viral Replication, PLoS Pathog, 16, (2020); Kanade G.D., Pingale K.D., Karpe Y.A., Activities of Thrombin and Factor Xa Are Essential for Replication of Hepatitis E Virus and Are Possibly Implicated in the ORF1 Polyprotein Processing, J. Virol, 92, (2018); Karpe Y.A., Lole K.S., Deubiquitination Activity Associated with Hepatitis E Virus Putative Papain-like Cysteine Protease, J. Gen. Virol, 92, pp. 2088-2092, (2011); Kumar M., Hooda P., Khanna M., Patel U., Sehgal D., Development of BacMam Induced Hepatitis E Virus Replication Model in Hepatoma Cells to Study the Polyprotein Processing, Front. Microbiol, 11, (2020); Paliwal D., Panda S.K., Kapur N., Varma S.P.K., Durgapal H., Hepatitis E Virus (HEV) Protease: A Chymotrypsin-like Enzyme That Processes Both Non-Structural (PORF1) and Capsid (PORF2) Protein, J. Gen. Virol, 95, pp. 1689-1700, (2014); Panda S.K., Ansari I.H., Durgapal H., Agrawal S., Jameel S., The in Vitro-Synthesized RNA from a CDNA Clone of Hepatitis E Virus Is Infectious, J. Virol, 74, pp. 2430-2437, (2000); Parvez M.K., Molecular Characterization of Hepatitis E Virus ORF1 Gene Supports a Papain-like Cysteine Protease (PCP)-Domain Activity, Virus Res, 178, pp. 553-556, (2013); Perttila J., Spuul P., Ahola T., Early Secretory Pathway Localization and Lack of Processing for Hepatitis E Virus Replication Protein PORF1, J. Gen. Virol, 94, pp. 807-816, (2013); Ropp S.L., Tam A.W., Beames B., Purdy M., Frey T.K., Expression of the Hepatitis E Virus ORF1, Arch. Virol, 145, pp. 1321-1337, (2000); Sehgal D., Thomas S., Chakraborty M., Jameel S., Expression and Processing of the Hepatitis E Virus ORF1 Nonstructural Polyprotein, Virol. J, 3, (2006); Suppiah S., Zhou Y., Frey T.K., Lack of Processing of the Expressed ORF1 Gene Product of Hepatitis E Virus, Virol. J, 8, (2011); Szkolnicka D., Pollan A., Da Silva N., Oechslin N., Gouttenoire J., Moradpour D., Recombinant Hepatitis E Viruses Harboring Tags in the ORF1 Protein, J. Virol, 93, (2019); Jameel S., Zafrullah M., Ozdener M.H., Panda S.K., Expression in Animal Cells and Characterization of the Hepatitis E Virus Structural Proteins, J. Virol, 70, pp. 207-216, (1996); Ding Q., Heller B., Capuccino J.M.V., Song B., Nimgaonkar I., Hrebikova G., Contreras J.E., Ploss A., Hepatitis E Virus ORF3 Is a Functional Ion Channel Required for Release of Infectious Particles, Proc. Natl. Acad. Sci. USA, 114, pp. 1147-1152, (2017); Koonin E.V., Dolja V.V., Krupovic M., Origins and Evolution of Viruses of Eukaryotes: The Ultimate Modularity, Virology, 479–480, pp. 2-25, (2015); Pietila M.K., Hellstrom K., Ahola T., Alphavirus Polymerase and RNA Replication, Virus Res, 234, pp. 44-57, (2017); Jumper J., Evans R., Pritzel A., Green T., Figurnov M., Ronneberger O., Tunyasuvunakool K., Bates R., Zidek A., Potapenko A., Et al., Highly Accurate Protein Structure Prediction with AlphaFold, Nature, 596, pp. 583-589, (2021); Tunyasuvunakool K., Adler J., Wu Z., Green T., Zielinski M., Zidek A., Bridgland A., Cowie A., Meyer C., Laydon A., Et al., Highly Accurate Protein Structure Prediction for the Human Proteome, Nature, 596, pp. 590-596, (2021); Jumper J., Evans R., Pritzel A., Green T., Figurnov M., Ronneberger O., Tunyasuvunakool K., Bates R., Zidek A., Potapenko A., Et al., Applying and Improving AlphaFold at CASP14, Proteins Struct. Funct. Bioinforma, 89, pp. 1711-1721, (2021); Evans R., O'Neill M., Pritzel A., Antropova N., Senior A., Green T., Zidek A., Bates R., Blackwell S., Yim J., Et al., Protein Complex Prediction with AlphaFold-Multimer, bioRxiv, (2021); Goulet A., Cambillau C., Structure and Topology Prediction of Phage Adhesion Devices Using AlphaFold2: The Case of Two Oenococcus Oeni Phages, Microorganisms, 9, (2021); Goulet A., Cambillau C., Present Impact of AlphaFold2 Revolution on Structural Biology, and an Illustration With the Structure Prediction of the Bacteriophage J-1 Host Adhesion Device, Front. Mol. Biosci, 9, (2022); Proudfoot A., Hyrina A., Holdorf M., Frank A.O., Bussiere D., First Crystal Structure of a Nonstructural Hepatitis E Viral Protein Identifies a Putative Novel Zinc-Binding Protein, J. Virol, 93, (2019); Emsley P., Lohkamp B., Scott W.G., Cowtan K., Features and Development of Coot, Acta Crystallogr. D Biol. Crystallogr, 66, pp. 486-501, (2010); Holm L., DALI and the Persistence of Protein Shape, Protein Sci. Publ. Protein Soc, 29, pp. 128-140, (2020); Pettersen E.F., Goddard T.D., Huang C.C., Meng E.C., Couch G.S., Croll T.I., Morris J.H., Ferrin T.E., UCSF ChimeraX: Structure Visualization for Researchers, Educators, and Developers, Protein Sci. Publ. Protein Soc, 30, pp. 70-82, (2021); Jones R., Bragagnolo G., Arranz R., Reguera J., Capping Pores of Alphavirus NsP1 Gate Membranous Viral Replication Factories, Nature, 589, pp. 615-619, (2021); Hammond R.G., Schormann N., McPherson R.L., Leung A.K.L., Deivanayagam C.C.S., Johnson M.A., ADP-Ribose and Analogues Bound to the DeMARylating Macrodomain from the Bat Coronavirus HKU4, Proc. Natl. Acad. Sci. USA, 118, (2021); Law Y.-S., Utt A., Tan Y.B., Zheng J., Wang S., Chen M.W., Griffin P.R., Merits A., Luo D., Structural Insights into RNA Recognition by the Chikungunya Virus NsP2 Helicase, Proc. Natl. Acad. Sci. USA, 116, pp. 9558-9567, (2019); Li W., Wu B., Soca W.A., An L., Crystal Structure of Classical Swine Fever Virus NS5B Reveals a Novel N-Terminal Domain, J. Virol, 92, (2018); Holm L., Laakso L.M., Dali Server Update, Nucleic Acids Res, 44, pp. W351-W355, (2016); Schneidman-Duhovny D., Inbar Y., Nussinov R., Wolfson H.J., PatchDock and SymmDock: Servers for Rigid and Symmetric Docking, Nucleic Acids Res, 33, pp. W363-W367, (2005); Li C., Debing Y., Jankevicius G., Neyts J., Ahel I., Coutard B., Canard B., Viral Macro Domains Reverse Protein ADP-Ribosylation, J. Virol, 90, pp. 8478-8486, (2016); Poch O., Sauvaget I., Delarue M., Tordo N., Identification of Four Conserved Motifs among the RNA-Dependent Polymerase Encoding Elements, EMBO J, 8, pp. 3867-3874, (1989); Wang M., Li R., Shu B., Jing X., Ye H.-Q., Gong P., Stringent Control of the RNA-Dependent RNA Polymerase Translocation Revealed by Multiple Intermediate Structures, Nat. Commun, 11, (2020); Piccininni S., Varaklioti A., Nardelli M., Dave B., Raney K.D., McCarthy J.E.G., Modulation of the Hepatitis C Virus RNA-Dependent RNA Polymerase Activity by the Non-Structural (NS) 3 Helicase and the NS4B Membrane Protein, J. Biol. Chem, 277, pp. 45670-45679, (2002); Jia Z., Yan L., Ren Z., Wu L., Wang J., Guo J., Zheng L., Ming Z., Zhang L., Lou Z., Et al., Delicate Structural Coordination of the Severe Acute Respiratory Syndrome Coronavirus Nsp13 upon ATP Hydrolysis, Nucleic Acids Res, 47, pp. 6538-6550, (2019); Grange Z.L., Goldstein T., Johnson C.K., Anthony S., Gilardi K., Daszak P., Olival K.J., O'Rourke T., Murray S., Olson S.H., Et al., Ranking the Risk of Animal-to-Human Spillover for Newly Discovered Viruses, Proc. Natl. Acad. Sci. USA, 118, (2021); Martin D., Charpilienne A., Parent A., Boussac A., D'Autreaux B., Poupon J., Poncet D., The Rotavirus Nonstructural Protein NSP5 Coordinates a [2Fe-2S] Iron-Sulfur Cluster That Modulates Interaction to RNA, FASEB J. Off. Publ. Fed. Am. Soc. Exp. Biol, 27, pp. 1074-1083, (2013); Maio N., Lafont B.A.P., Sil D., Li Y., Bollinger J.M., Krebs C., Pierson T.C., Linehan W.M., Rouault T.A., Fe-S Cofactors in the SARS-CoV-2 RNA-Dependent RNA Polymerase Are Potential Antiviral Targets, Science, 373, pp. 236-241, (2021); Krietsch J., Rouleau M., Pic E., Ethier C., Dawson T.M., Dawson V.L., Masson J.-Y., Poirier G.G., Gagne J.-P., Reprogramming Cellular Events by Poly(ADP-Ribose)-Binding Proteins, Mol. Aspects Med, 34, pp. 1066-1087, (2013); Chen J., Malone B., Llewellyn E., Grasso M., Shelton P.M.M., Olinares P.D.B., Maruthi K., Eng E.T., Vatandaslar H., Chait B.T., Et al., Structural Basis for Helicase-Polymerase Coupling in the SARS-CoV-2 Replication-Transcription Complex, Cell, 182, (2020); De Clercq E., Li G., Approved Antiviral Drugs over the Past 50 Years, Clin. Microbiol. Rev, 29, pp. 695-747, (2016)</t>
  </si>
  <si>
    <t xml:space="preserve">I. Imbert; Aix-Marseille Université, Centre National de la Recherche Scientifique, UMR 7255, LISM, Marseille, 31 Chemin Joseph Aiguier, 13009, France; email: isabelle.imbert@univ-amu.fr</t>
  </si>
  <si>
    <t xml:space="preserve">2-s2.0-85137193451</t>
  </si>
  <si>
    <t xml:space="preserve">Mutasa K.; Tome J.; Rukobo S.; Govha M.; Mushayanembwa P.; Matimba F.S.; Chiorera C.K.; Majo F.D.; Tavengwa N.V.; Mutasa B.; Chasekwa B.; Humphrey J.H.; Ntozini R.; Prendergast A.J.; Bourke C.D.</t>
  </si>
  <si>
    <t xml:space="preserve">Mutasa, Kuda (6507562750); Tome, Joice (57008836200); Rukobo, Sandra (36479374300); Govha, Margaret (55892780000); Mushayanembwa, Patience (57772226900); Matimba, Farai S. (57009046700); Chiorera, Courage K. (57009008400); Majo, Florence D. (23489566800); Tavengwa, Naume V. (8340468700); Mutasa, Batsirai (57205465695); Chasekwa, Bernard (36238855700); Humphrey, Jean H. (7202977808); Ntozini, Robert (14323645400); Prendergast, Andrew J. (15760719100); Bourke, Claire D. (36547426500)</t>
  </si>
  <si>
    <t xml:space="preserve">6507562750; 57008836200; 36479374300; 55892780000; 57772226900; 57009046700; 57009008400; 23489566800; 8340468700; 57205465695; 36238855700; 7202977808; 14323645400; 15760719100; 36547426500</t>
  </si>
  <si>
    <t xml:space="preserve">Stunting Status and Exposure to Infection and Inflammation in Early Life Shape Antibacterial Immune Cell Function Among Zimbabwean Children</t>
  </si>
  <si>
    <t xml:space="preserve">Background: Children who are stunted (length-for-age Z-score&lt;-2) are at greater risk of infectious morbidity and mortality. Previous studies suggest that stunted children have elevated inflammatory biomarkers, but no studies have characterised their capacity to respond to new infections (i.e., their immune function). We hypothesised that antibacterial immune function would differ between stunted and non-stunted children and relate to their health and environment during early life. Methods: We enrolled a cross-sectional cohort of 113 HIV-negative children nested within a longitudinal cluster-randomised controlled trial of household-level infant and young child feeding (IYCF) and water, sanitation and hygiene (WASH) interventions in rural Zimbabwe (SHINE; Clinical trials registration: NCT01824940). Venous blood was collected at 18 months of age and cultured for 24 h without antigen or with bacterial antigens: heat-killed Salmonella typhimurium (HKST) or Escherichia coli lipopolysaccharide (LPS). TNFα, IL-6, IL-8, IL-12p70, hepcidin, soluble (s)CD163, myeloperoxidase (MPO) and IFNβ were quantified in culture supernatants by ELISA to determine antigen-specific immune function. The effect of stunting status and early-life exposures (anthropometry, inflammation at 18 months, maternal health during pregnancy, household WASH) on immune function was tested in logit and censored log-normal (tobit) regression models. Results: Children who were stunted (n = 44) had higher proportions (86.4% vs. 65.2%; 88.6% vs. 73.4%) and concentrations of LPS-specific IL-6 (geometric mean difference (95% CI): 3.46 pg/mL (1.09, 10.80), p = 0.035) and IL-8 (3.52 pg/mL (1.20, 10.38), p = 0.022) than non-stunted children (n = 69). Bacterial antigen-specific pro-inflammatory cytokine concentrations were associated with biomarkers of child enteropathy at 18 months and biomarkers of systemic inflammation and enteropathy in their mothers during pregnancy. Children exposed to the WASH intervention (n = 33) produced higher LPS- (GMD (95% CI): 10.48 pg/mL (1.84, 60.31), p = 0.008) and HKST-specific MPO (5.10 pg/mL (1.77, 14.88), p = 0.003) than children in the no WASH group (n = 80). There was no difference in antigen-specific immune function between the IYCF (n = 55) and no IYCF groups (n = 58). Conclusions: Antibacterial immune function among 18-month-old children in a low-income setting was shaped by their stunting status and prior exposure to maternal inflammation and household WASH. Heterogeneity in immune function due to adverse exposures in early life could plausibly contribute to infection susceptibility. Copyright © 2022 Mutasa, Tome, Rukobo, Govha, Mushayanembwa, Matimba, Chiorera, Majo, Tavengwa, Mutasa, Chasekwa, Humphrey, Ntozini, Prendergast and Bourke.</t>
  </si>
  <si>
    <t xml:space="preserve">10.3389/fimmu.2022.899296</t>
  </si>
  <si>
    <t xml:space="preserve">https://www.scopus.com/inward/record.uri?eid=2-s2.0-85133145625&amp;doi=10.3389%2ffimmu.2022.899296&amp;partnerID=40&amp;md5=23ad61bd5b743000a3490cba803acc74</t>
  </si>
  <si>
    <t xml:space="preserve">Zvitambo Institute for Maternal and Child Health Research, Harare, Zimbabwe; Department of International Health, Johns Hopkins Bloomberg School of Public Health, Baltimore, MD, United States; Centre for Genomics and Child Health, Queen Mary University of London, London, United Kingdom</t>
  </si>
  <si>
    <t xml:space="preserve">Mutasa K., Zvitambo Institute for Maternal and Child Health Research, Harare, Zimbabwe; Tome J., Zvitambo Institute for Maternal and Child Health Research, Harare, Zimbabwe; Rukobo S., Zvitambo Institute for Maternal and Child Health Research, Harare, Zimbabwe; Govha M., Zvitambo Institute for Maternal and Child Health Research, Harare, Zimbabwe; Mushayanembwa P., Zvitambo Institute for Maternal and Child Health Research, Harare, Zimbabwe; Matimba F.S., Zvitambo Institute for Maternal and Child Health Research, Harare, Zimbabwe; Chiorera C.K., Zvitambo Institute for Maternal and Child Health Research, Harare, Zimbabwe; Majo F.D., Zvitambo Institute for Maternal and Child Health Research, Harare, Zimbabwe; Tavengwa N.V., Zvitambo Institute for Maternal and Child Health Research, Harare, Zimbabwe; Mutasa B., Zvitambo Institute for Maternal and Child Health Research, Harare, Zimbabwe; Chasekwa B., Zvitambo Institute for Maternal and Child Health Research, Harare, Zimbabwe; Humphrey J.H., Zvitambo Institute for Maternal and Child Health Research, Harare, Zimbabwe, Department of International Health, Johns Hopkins Bloomberg School of Public Health, Baltimore, MD, United States; Ntozini R., Zvitambo Institute for Maternal and Child Health Research, Harare, Zimbabwe; Prendergast A.J., Zvitambo Institute for Maternal and Child Health Research, Harare, Zimbabwe, Centre for Genomics and Child Health, Queen Mary University of London, London, United Kingdom; Bourke C.D., Zvitambo Institute for Maternal and Child Health Research, Harare, Zimbabwe, Centre for Genomics and Child Health, Queen Mary University of London, London, United Kingdom</t>
  </si>
  <si>
    <t xml:space="preserve">Immune Cells; Immune Function; Inflammation; Malnutrition; Maternal and Child Health; Pregnancy; Stunting; Zimbabwe</t>
  </si>
  <si>
    <t xml:space="preserve">Anti-Bacterial Agents; Biomarkers; Child; Cross-Sectional Studies; Female; Growth Disorders; Humans; Infant; Inflammation; Interleukin-6; Interleukin-8; Lipopolysaccharides; Pregnancy; Zimbabwe; alpha 1 antitrypsin; antiinfective agent; antiretrovirus agent; bacterial antigen; beta interferon; biological marker; C reactive protein; CD14 antigen; CD163 antigen; cotrimoxazole; cytokine; haptoglobin; hemoglobin; hepcidin; interleukin 12p70; interleukin 6; interleukin 8; lipopolysaccharide; myeloperoxidase; neopterin; plasma intestinal fatty acid binding protein; protein; reactive oxygen metabolite; toll like receptor 4; tumor necrosis factor; unclassified drug; water; antiinfective agent; biological marker; interleukin 6; interleukin 8; lipopolysaccharide; anthropometry; Article; bacterium culture; blood culture; blood sampling; cell function; child; cohort analysis; coughing; cross-sectional study; diarrhea; difficulty feeding; diseases; enteropathy; enzyme linked immunosorbent assay; Escherichia coli; feces analysis; feeding; female; fever; head circumference; human; human experiment; Human immunodeficiency virus; hygiene; immune function test; immunocompetent cell; infection; inflammation; longitudinal study; macrophage; monocyte; normal human; nutrient intake; plasma; respiratory tract infection; Salmonella enterica serovar Typhimurium; sanitation; schistosomiasis haematobia; stunting; controlled study; growth disorder; infant; inflammation; pregnancy; randomized controlled trial; Zimbabwe</t>
  </si>
  <si>
    <t xml:space="preserve">alpha 1 antitrypsin, 9041-92-3; C reactive protein, 9007-41-4; cotrimoxazole, 8064-90-2; haptoglobin, 9087-69-8; hemoglobin, 9008-02-0; hepcidin, 342809-17-0, 1356390-47-0, 2222618-29-1; interleukin 8, 114308-91-7; myeloperoxidase, ; neopterin, 670-65-5; protein, 67254-75-5; toll like receptor 4, 203811-83-0; water, 7732-18-5; Anti-Bacterial Agents, ; Biomarkers, ; Interleukin-6, ; Interleukin-8, ; Lipopolysaccharides, </t>
  </si>
  <si>
    <t xml:space="preserve">Institutional Review Board of the Johns Hopkins Bloomberg School of Public Health; Medical Research Council of Zimbabwe; UKAID; United Kingdom Department for International Development; Bill and Melinda Gates Foundation, BMGF, (OPP1021542, OPP1143707); Bill and Melinda Gates Foundation, BMGF; UNICEF, (PCA-2017-0002); UNICEF; Direktion für Entwicklung und Zusammenarbeit, DEZA; Wellcome Trust, WT, (093768/Z/10/Z, 108065/Z/15/Z); Wellcome Trust, WT; Department for International Development, UK Government, DFID; Royal Society, (206225/Z/17/Z); Royal Society</t>
  </si>
  <si>
    <t xml:space="preserve">Funding text 1: This is a sub-study of the Sanitation Hygiene and Infant Nutrition Efficacy trial (SHINE (); ClinicalTrials.gov, number NCT01824940), a cluster-randomised 2 × 2 factorial trial of the impact of household water, sanitation and hygiene (WASH) and/or infant and young child feeding (IYCF) interventions on linear growth and haemoglobin among children in rural Zimbabwe (, ). Ethical approval for SHINE was provided by the Medical Research Council of Zimbabwe and the Institutional Review Board of the Johns Hopkins Bloomberg School of Public Health. All participants provided written informed consent for themselves and their children to participate. ; Funding text 2: The SHINE trial was funded by the Bill and Melinda Gates Foundation (OPP1021542 and OPP1143707), the United Kingdom Department for International Development (DFID/UKAID), Wellcome Trust (093768/Z/10/Z and 108065/Z/15/Z), Swiss Agency for Development and Cooperation, and UNICEF (PCA-2017-0002). CB is funded by a Sir Henry Dale Postdoctoral Research Fellowship from the Wellcome Trust and The Royal Society (206225/Z/17/Z). Open Access Publication was funded via Wellcome. </t>
  </si>
  <si>
    <t xml:space="preserve">Bourke C.D., Berkley J.A., Prendergast A.J., Immune Dysfunction as a Cause and Consequence of Malnutrition, Trends Immunol, 37, (2016); Brodin P., Jojic V., Gao T., Bhattacharya S., Angel C.J., Furman D., Et al., Variation in the Human Immune System is Largely Driven by non-Heritable Influences, Cell, 160, pp. 37-47, (2015); Yan Z., Maecker H.T., Brodin P., Nygaard U.C., Lyu S.C., Davis M.M., Et al., Aging and CMV Discordance are Associated With Increased Immune Diversity Between Monozygotic Twins, Immun Ageing, 18, (2021); Brodin P., Davis M.M., Human Immune System Variation, Nat Rev Immunol, 17, (2017); Temba G.S., Kullaya V., Pecht T., Mmbaga B.T., Aschenbrenner A.C., Ulas T., Et al., Urban Living in Healthy Tanzanians is Associated With an Inflammatory Status Driven by Dietary and Metabolic Changes, Nat Immunol, 22, pp. 287-300, (2021); Bourke C.D., Jones K.D.J., Prendergast A.J., Current Understanding of Innate Immune Cell Dysfunction in Childhood Undernutrition, Front Immunol, 10, (2019); Rytter M.J., Kolte L., Briend A., Friis H., Christensen V.B., The Immune System in Children With Malnutrition–a Systematic Review, PloS One, 9, (2014); Unicef W., Group W.B., Levels and Trends in Child Malnutrition; Joint Child Malnutrition Estimates; Key Findings of the 2020 Edition, (2020); Amadi B., Zyambo K., Chandwe K., Besa E., Mulenga C., Mwakamui S., Et al., Adaptation of the Small Intestine to Microbial Enteropathogens in Zambian Children With Stunting, 6, (2021); Olofin I., McDonald C.M., Ezzati M., Flaxman S., Black R.E., Fawzi W.W., Et al., For the Nutrition Impact Model, Associations of Suboptimal Growth With All-Cause and Cause-Specific Mortality in Children Under Five Years: A Pooled Analysis of Ten Prospective Studies, PloS One, 8, (2013); Leroy J.L., Frongillo E.A., Perspective: What Does Stunting Really Mean, A Crit Rev Evidence Adv Nutr, 10, pp. 196-204, (2019); Syed S., Manji K.P., McDonald C.M., Kisenge R., Aboud S., Sudfeld C., Et al., Biomarkers of Systemic Inflammation and Growth in Early Infancy are Associated With Stunting in Young Tanzanian Children, Nutrients, 10, 9, (2018); Prendergast A.J., Rukobo S., Chasekwa B., Mutasa K., Ntozini R., Mbuya M.N.N., Et al., Stunting is Characterized by Chronic Inflammation in Zimbabwean Infants, PloS One, 9, (2014); Campbell D.I., Elia M., Lunn P.G., Growth Faltering in Rural Gambian Infants Is Associated With Impaired Small Intestinal Barrier Function, Leading to Endotoxemia and Systemic Inflammation, J Nutr, 133, (2003); Syed S., Iqbal N.T., Sadiq K., Ma J.Z., Akhund T., Xin W., Et al., Serum Anti-Flagellin and Anti-Lipopolysaccharide Immunoglobulins as Predictors of Linear Growth Faltering in Pakistani Infants at Risk for Environmental Enteric Dysfunction, PloS One, 13, (2018); Kosek M.N., Investigators M.-E.N., Causal Pathways From Enteropathogens to Environmental Enteropathy: Findings From the MAL-ED Birth Cohort Study, EBioMedicine, 18, (2017); Chasekwa B., Ntozini R., Church J.A., Majo F.D., Tavengwa N., Mutasa B., Et al., Prevalence, Risk Factors and Short-Term Consequences of Adverse Birth Outcomes in Zimbabwean Pregnant Women: A Secondary Analysis of a Cluster-Randomized Trial, Int J Epidemiol, (2021); Murenjekwa W., Makasi R., Ntozini R., Chasekwa B., Mutasa K., Moulton L.H., Et al., Determinants of Urogenital Schistosomiasis Among Pregnant Women and its Association With Pregnancy Outcomes, Neonatal Deaths, and Child Growth, J Infect Dis, 223, (2021); Prendergast A.J., Chasekwa B., Evans C., Mutasa K., Mbuya M.N.N., Stoltzfus R.J., Et al., Independent and Combined Effects of Improved Water, Sanitation, and Hygiene, and Improved Complementary Feeding, on Stunting and Anaemia Among HIV-Exposed Children in Rural Zimbabwe: A Cluster-Randomised Controlled Trial, Lancet Child Adolesc Health, 3, pp. 77-90, (2019); Humphrey J.H., Jones A.D., Manges A., Mangwadu G., Maluccio J.A., Mbuya M.N.N., Et al., The Sanitation Hygiene Infant Nutrition Efficacy (SHINE) Trial: Rationale, Design, and Methods, Clin Infect Dis, 61, (2015); Humphrey J.H., Mbuya M.N.N., Ntozini R., Moulton L.H., Stoltzfus R.J., Tavengwa N.V., Et al., Independent and Combined Effects of Improved Water, Sanitation, and Hygiene, and Improved Complementary Feeding, on Child Stunting and Anaemia in Rural Zimbabwe: A Cluster-Randomised Trial, Lancet Global Health, 7, (2019); Gregson S., Moorhouse L., Dadirai T., Sheppard H., Mayini J., Beckmann N., Et al., Comprehensive Investigation of Sources of Misclassification Errors in Routine HIV Testing in Zimbabwe, J Int AIDS Soc, 24, (2021); Gough E.K., Moulton L.H., Mutasa K., Ntozini R., Stoltzfus R.J., Majo F.D., Et al., For the Sanitation Hygiene Infant Nutrition Efficacy Trial, Effects of Improved Water, Sanitation, and Hygiene and Improved Complementary Feeding on Environmental Enteric Dysfunction in Children in Rural Zimbabwe: A Cluster-Randomized Controlled Trial, PloS Neglected Trop Dis, 14, (2020); Robinson N., McComb S., Mulligan R., Dudani R., Krishnan L., Sad S., Type I Interferon Induces Necroptosis in Macrophages During Infection With Salmonella Enterica Serovar Typhimurium, Nat Immunol, 13, (2012); Fabriek B.O., van Bruggen R., Deng D.M., Ligtenberg A.J., Nazmi K., Schornagel K., Et al., The Macrophage Scavenger Receptor CD163 Functions as an Innate Immune Sensor for Bacteria, Blood, 113, (2009); Michels K., Nemeth E., Ganz T., Mehrad B., Hepcidin and Host Defense Against Infectious Diseases, PloS Pathog, 11, (2015); Klebanoff S.J., Myeloperoxidase: Friend and Foe, J leukocyte Biol, 77, pp. 598-625, (2005); Klein S.L., Flanagan K.L., Sex Differences in Immune Responses, Nat Rev Immunol, 16, (2016); Uchiyama R., Kupkova K., Shetty S.J., Linford A.S., Pray-Grant M.G., Wagar L.E., Et al., Histone H3 Lysine 4 Methylation Signature Associated With Human Undernutrition, Proc Natl Acad Sci, 115, (2018); Mertens A., Benjamin-Chung J., Colford J.M., Hubbard A.E., van der Laan M.J., Coyle J., Et al., Consortium, Child Wasting and Concurrent Stunting in Low- and Middle-Income Countries, medRxiv, (2021); Rodriguez L., Graniel J., Ortiz R., Effect of Leptin on Activation and Cytokine Synthesis in Peripheral Blood Lymphocytes of Malnourished Infected Children, Clin Exp Immunol, 148, (2007); Palacio A., Lopez M., Perez-Bravo F., Monkeberg F., Schlesinger L., Leptin Levels are Associated With Immune Response in Malnourished Infants, J Clin Endocrinol Metab, 87, (2002); Hughes S.M., Amadi B., Mwiya M., Nkamba H., Tomkins A., Goldblatt D., Dendritic Cell Anergy Results From Endotoxemia in Severe Malnutrition, J Immunol, 183, (2009); Uebelhoer L.S., Gwela A., Thiel B., Nalukwago S., Mukisa J., Lwanga C., Et al., Toll-Like Receptor-Induced Immune Responses During Early Childhood and Their Associations With Clinical Outcomes Following Acute Illness Among Infants in Sub-Saharan Africa, Front Immunol, 12, (2022); Forster-Waldl E., Sadeghi K., Tamandl D., Gerhold B., Hallwirth U., Rohrmeister K., Et al., Monocyte Toll-Like Receptor 4 Expression and LPS-Induced Cytokine Production Increase During Gestational Aging, Pediatr Res, 58, (2005); Relationship Between Growth and Illness, Enteropathogens and Dietary Intakes in the First 2 Years of Life: Findings From the MAL-ED Birth Cohort Study, BMJ Global Health, 2, (2017); Shalova I.N., Lim J.Y., Chittezhath M., Zinkernagel A.S., Beasley F., Hernandez-Jimenez E., Et al., Human Monocytes Undergo Functional Re-Programming During Sepsis Mediated by Hypoxia-Inducible Factor-1alpha, Immunity, 42, (2015); Church J.A., Rukobo S., Govha M., Gough E.K., Chasekwa B., Lee B., Et al., Associations Between Biomarkers of Environmental Enteric Dysfunction and Oral Rotavirus Vaccine Immunogenicity in Rural Zimbabwean Infants, eClinicalMedicine, 41, (2021); Patel A.A., Zhang Y., Fullerton J.N., Boelen L., Rongvaux A., Maini A.A., Et al., The Fate and Lifespan of Human Monocyte Subsets in Steady State and Systemic Inflammation, J Exp Med, 214, (2017); Gough E.K., Edens T.J., Geum H.M., Baharmand I., Gill S.K., Robertson R.C., Et al., Maternal Fecal Microbiome Predicts Gestational Age, Birth Weight and Neonatal Growth in Rural Zimbabwe, EBioMedicine, 68, (2021); Ward T.L., Spencer W.J., Davis L.D.R., Harrold J., Mack D.R., Altosaar I., Ingested Soluble CD14 From Milk is Transferred Intact Into the Blood of Newborn Rats, Pediatr Res, 75, (2014); Conceptual Framework on Maternal and Child Nutrition, (2021); Cumming O., Arnold B.F., Ban R., Clasen T., Esteves Mills J., Freeman M.C., Et al., The Implications of Three Major New Trials for the Effect of Water, Sanitation and Hygiene on Childhood Diarrhea and Stunting: A Consensus Statement, BMC Med, 17, (2019); Church J.A., Rukobo S., Govha M., Lee B., Carmolli M.P., Chasekwa B., Et al., The Impact of Improved Water, Sanitation, and Hygiene on Oral Rotavirus Vaccine Immunogenicity in Zimbabwean Infants: Substudy of a Cluster-Randomized Trial, Clin Infect Dis, 69, (2019); Attia S., Versloot C.J., Voskuijl W., van Vliet S.J., Di Giovanni V., Zhang L., Et al., Mortality in Children With Complicated Severe Acute Malnutrition is Related to Intestinal and Systemic Inflammation: An Observational Cohort Study, Am J Clin Nutr, 104, (2016); Njunge J.M., Gwela A., Kibinge N.K., Ngari M., Nyamako L., Nyatichi E., Et al., Biomarkers of Post-Discharge Mortality Among Children With Complicated Severe Acute Malnutrition, Sci Rep, 9, (2019); Njunge J., Gonzales G.B., Ngari M., Thitiri J., Bandsma R., Berkley J., Systemic Inflammation is Negatively Associated With Early Post Discharge Growth Following Acute Illness Among Severely Malnourished Children - a Pilot Study, Wellcome Open Res, 5, (2021)</t>
  </si>
  <si>
    <t xml:space="preserve">C.D. Bourke; Zvitambo Institute for Maternal and Child Health Research, Harare, Zimbabwe; email: c.bourke@qmul.ac.uk</t>
  </si>
  <si>
    <t xml:space="preserve">2-s2.0-85133145625</t>
  </si>
  <si>
    <t xml:space="preserve">Marquart L.; Webb L.; O’Rourke P.; Gatton M.L.; Hsiang M.S.; Kalnoky M.; Jang I.K.; Ntuku H.; Mumbengegwi D.R.; Domingo G.J.; McCarthy J.S.; Britton S.</t>
  </si>
  <si>
    <t xml:space="preserve">Marquart, Louise (57202807585); Webb, Lachlan (57200542355); O’Rourke, Peter (57211279349); Gatton, Michelle L. (6701868710); Hsiang, Michelle S. (34881667000); Kalnoky, Michael (55826471700); Jang, Ihn Kyung (56421453500); Ntuku, Henry (56377451700); Mumbengegwi, Davis R. (8371392700); Domingo, Gonzalo J. (6602132568); McCarthy, James S. (55649177700); Britton, Sumudu (54413904100)</t>
  </si>
  <si>
    <t xml:space="preserve">57202807585; 57200542355; 57211279349; 6701868710; 34881667000; 55826471700; 56421453500; 56377451700; 8371392700; 6602132568; 55649177700; 54413904100</t>
  </si>
  <si>
    <t xml:space="preserve">The in-vivo dynamics of Plasmodium falciparum HRP2: implications for the use of rapid diagnostic tests in malaria elimination</t>
  </si>
  <si>
    <t xml:space="preserve">Background: Rapid diagnostic tests (RDTs) that rely on the detection of Plasmodium falciparum histidine-rich protein 2 (PfHRP2) have become key tools for diagnosing P. falciparum infection. The utility of RDTs can be limited by PfHRP2 persistence, however it can be a potential benefit in low transmission settings where detection of persistent PfHRP2 using newer ultra-sensitive PfHRP2 based RDTs can serve as a surveillance tool to identify recent exposure. Better understanding of the dynamics of PfHRP2 over the course of a malaria infection can inform optimal use of RDTs. Methods: A previously published mathematical model was refined to mimic the production and decay of PfHRP2 during a malaria infection. Data from 15 individuals from volunteer infection studies were used to update the original model and estimate key model parameters. The refined model was applied to a cohort of patients from Namibia who received treatment for clinical malaria infection for whom longitudinal PfHRP2 concentrations were measured. Results: The refinement of the PfHRP2 dynamic model indicated that in malaria naïve hosts, P. falciparum parasites of the 3D7 strain produce 33.6 × 10−15 g (95% CI 25.0–42.1 × 10−15 g) of PfHRP2 in vivo per parasite replication cycle, with an elimination half-life of 1.67 days (95% CI 1.11–3.40 days). The refined model included these updated parameters and incorporated individualized body fluid volume calculations, which improved predictive accuracy when compared to the original model. The performance of the model in predicting clearance of PfHRP2 post treatment in clinical samples from six adults with P. falciparum infection in Namibia improved when using a longer elimination half-life of 4.5 days, with 14% to 67% of observations for each individual within the predicted range. Conclusions: The updated mathematical model can predict the growth and clearance of PfHRP2 during the production and decay of a mono-infection with P. falciparum, increasing the understanding of PfHRP2 antigen dynamics. This model can guide the optimal use of PfHRP2-based RDTs for reliable diagnosis of P. falciparum infection and re-infection in endemic settings, but also for malaria surveillance and elimination programmes in low transmission areas. © 2022, The Author(s).</t>
  </si>
  <si>
    <t xml:space="preserve">10.1186/s12936-022-04245-z</t>
  </si>
  <si>
    <t xml:space="preserve">https://www.scopus.com/inward/record.uri?eid=2-s2.0-85135400948&amp;doi=10.1186%2fs12936-022-04245-z&amp;partnerID=40&amp;md5=433ed2056982e679275676f0492775e6</t>
  </si>
  <si>
    <t xml:space="preserve">QIMR Berghofer Medical Research Institute, Brisbane, QLD, Australia; University of Queensland, Brisbane, QLD, Australia; Queensland University of Technology, Brisbane, QLD, Australia; Department of Pediatrics, University of Texas, Southwestern, Dallas, TX, United States; Malaria Elimination Initiative, Institute for Global Health Services, University of California, San Francisco, CA, United States; Department of Pediatrics, University of California, San Francisco, CA, United States; Diagnostics Program, PATH, Seattle, WA, United States; Multidisciplinary Research Centre, University of Namibia, Windhoek, Namibia</t>
  </si>
  <si>
    <t xml:space="preserve">Marquart L., QIMR Berghofer Medical Research Institute, Brisbane, QLD, Australia, University of Queensland, Brisbane, QLD, Australia; Webb L., QIMR Berghofer Medical Research Institute, Brisbane, QLD, Australia; O’Rourke P., QIMR Berghofer Medical Research Institute, Brisbane, QLD, Australia; Gatton M.L., Queensland University of Technology, Brisbane, QLD, Australia; Hsiang M.S., Department of Pediatrics, University of Texas, Southwestern, Dallas, TX, United States, Malaria Elimination Initiative, Institute for Global Health Services, University of California, San Francisco, CA, United States, Department of Pediatrics, University of California, San Francisco, CA, United States; Kalnoky M., Diagnostics Program, PATH, Seattle, WA, United States; Jang I.K., Diagnostics Program, PATH, Seattle, WA, United States; Ntuku H., Malaria Elimination Initiative, Institute for Global Health Services, University of California, San Francisco, CA, United States; Mumbengegwi D.R., Multidisciplinary Research Centre, University of Namibia, Windhoek, Namibia; Domingo G.J., Diagnostics Program, PATH, Seattle, WA, United States; McCarthy J.S., QIMR Berghofer Medical Research Institute, Brisbane, QLD, Australia, University of Queensland, Brisbane, QLD, Australia; Britton S., QIMR Berghofer Medical Research Institute, Brisbane, QLD, Australia, University of Queensland, Brisbane, QLD, Australia</t>
  </si>
  <si>
    <t xml:space="preserve">Antigen dynamics; Elimination and surveillance; Histidine rich protein; Plasmodium falciparum; Rapid diagnostic tests</t>
  </si>
  <si>
    <t xml:space="preserve">Adult; Antigens, Protozoan; Diagnostic Tests, Routine; Humans; Malaria, Falciparum; Models, Theoretical; Namibia; Plasmodium falciparum; Protozoan Proteins; parasite antigen; protozoal protein; accuracy; algorithm; Article; big data; China; comparative effectiveness; computer simulation; convolutional neural network; forecasting; fractional order neural network; global temporal block network; graph neural network; graph sample and aggregate; human; inductive spatial temporal network; linear support vector regression; mathematical analysis; nerve cell network; network analysis; road safety; self attention block; spatiotemporal analysis; statistical analysis; support vector machine; time series analysis; traffic flow forecasting; adult; diagnostic test; malaria falciparum; Namibia; Plasmodium falciparum; theoretical model</t>
  </si>
  <si>
    <t xml:space="preserve">Antigens, Protozoan, ; Protozoan Proteins, </t>
  </si>
  <si>
    <t xml:space="preserve">University of Namibia, UNAM; Wellcome Trust, WT, (095909); Guidance Programs of Science and Technology Funds of the Xiangyang city, (2020ZD32); National Health and Medical Research Council, NHMRC, (1135955, 1132975); Major Research Development Program of Hubei Province, (2020BBB092)</t>
  </si>
  <si>
    <t xml:space="preserve">Funding text 1: We thank all the volunteers who participated in the studies and the staff at PATH for Quansys ELISA for biomarkers. For the IBSM studies we thank the staff at QIMR Berghofer Medical Research Institute who managed and prepared the Plasmodium falciparum 3D7 inoculum; clinical study team at Q-Pharm who conducted the trial; staff at the Queensland Paediatric Infectious Diseases laboratory for qPCR analysis; and J\u00F6rg M\u00F6hrle from MMV for permitting use of the data. For the Namibia longitudinal cohort study, the authors would like to thank the study participants, all field staff and field supervisors for the support with field implementation, all study staff, the local and national Namibia Ministry of Health and Social Services, and the University of Namibia for their support.; Funding text 2: Funding was provided by the Guidance Programs of Science and Technology Funds of the Xiangyang city (2020ZD32), the Major Research Development Program of Hubei Province (No.2020BBB092). </t>
  </si>
  <si>
    <t xml:space="preserve">Jimenez A., Rees-Channer R.R., Perera R., Gamboa D., Chiodini P.L., Gonzalez I.J., Et al., Analytical sensitivity of current best-in-class malaria rapid diagnostic tests, Malar J, 16, (2017); Roberts L., Enserink M., Malaria. Did they really say … eradication?, Science, 318, pp. 1544-1545, (2007); Slater H.C., Ross A., Ouedraogo A.L., White L.J., Nguon C., Walker P.G., Et al., Assessing the impact of next-generation rapid diagnostic tests on Plasmodium falciparum malaria elimination strategies, Nature, 528, pp. S94-S101, (2015); Cook J., Xu W., Msellem M., Vonk M., Bergstrom B., Gosling R., Et al., Mass screening and treatment on the basis of results of a Plasmodium falciparum-specific rapid diagnostic test did not reduce malaria incidence in Zanzibar, J Infect Dis, 211, pp. 1476-1483, (2015); Hsiang M.S., Ntshalintshali N., Kang Dufour M.S., Dlamini N., Nhlabathi N., Vilakati S., Et al., Active case finding for malaria: a 3-year national evaluation of optimal approaches to detect infections and hotspots through reactive case detection in the low-transmission setting of Eswatini, Clin Infect Dis, 70, pp. 1316-1325, (2020); Guidelines for the treatment of malaria, (2010); Tjitra E., Suprianto S., McBroom J., Currie B.J., Anstey N.M., Persistent ICT malaria P.f/P.v panmalarial and HRP2 antigen reactivity after treatment of Plasmodium falciparum malaria is associated with gametocytemia and results in false-positive diagnoses of Plasmodium vivax in convalescence, J Clin Microbiol, 39, pp. 1025-1031, (2001); Dalrymple U., Arambepola R., Gething P.W., Cameron E., How long do rapid diagnostic tests remain positive after anti-malarial treatment?, Malar J, 17, (2018); Mtove G., Nadjm B., Amos B., Hendriksen I.C., Muro F., Reyburn H., Use of an HRP2-based rapid diagnostic test to guide treatment of children admitted to hospital in a malaria-endemic area of north-east Tanzania, Trop Med Int Health, 16, pp. 545-550, (2011); Kyabayinze D.J., Tibenderana J.K., Odong G.W., Rwakimari J.B., Counihan H., Operational accuracy and comparative persistent antigenicity of HRP2 rapid diagnostic tests for Plasmodium falciparum malaria in a hyperendemic region of Uganda, Malar J, 7, (2008); Kattenberg J.H., Tahita C.M., Versteeg I.A., Tinto H., Traore-Coulibaly M., Schallig H.D., Mens P.F., Antigen persistence of rapid diagnostic tests in pregnant women in Nanoro, Burkina Faso, and the implications for the diagnosis of malaria in pregnancy, Trop Med Int Health, 17, pp. 550-557, (2012); Nkonya D.N., Tarimo D.S., Kishimba R.S., Accuracy of clinical diagnosis and malaria rapid diagnostic test and its influence on the management of children with fever under reduced malaria burden in Misungwi district, Mwanza Tanzania, Pan Afr Med J, 25, (2016); Joshi R., Colford J.M., Reingold A.L., Kalantri S., Nonmalarial acute undifferentiated fever in a rural hospital in central India: diagnostic uncertainty and overtreatment with antimalarial agents, Am J Trop Med Hyg, 78, pp. 393-399, (2008); Dalrymple U., Cameron E., Arambepola R., Battle K.E., Chestnutt E.G., Keddie S.H., Et al., The contribution of non-malarial febrile illness co-infections to Plasmodium falciparum case counts in health facilities in sub-Saharan Africa, Malar J, 18, (2019); Das S., Jang I.K., Barney B., Peck R., Rek J.C., Arinaitwe E., Et al., Performance of a high-sensitivity rapid diagnostic test for Plasmodium falciparum malaria in asymptomatic individuals from Uganda and Myanmar and naive human challenge infections, Am J Trop Med Hyg, 97, pp. 1540-1550, (2017); Akinyi S., Hayden T., Gamboa D., Torres K., Bendezu J., Abdallah J.F., Et al., Multiple genetic origins of histidine-rich protein 2 gene deletion in Plasmodium falciparum parasites from Peru, Sci Rep, 3, (2013); Koita O.A., Doumbo O.K., Ouattara A., Tall L.K., Konare A., Diakite M., Et al., False-negative rapid diagnostic tests for malaria and deletion of the histidine-rich repeat region of the hrp2 gene, Am J Trop Med Hyg, 86, pp. 194-198, (2012); Howard R.J., Uni S., Aikawa M., Aley S.B., Leech J.H., Lew A.M., Et al., Secretion of a malarial histidine-rich protein (Pf HRP II) from Plasmodium falciparum-infected erythrocytes, J Cell Biol, 103, pp. 1269-1277, (1986); Desakorn V., Dondorp A.M., Silamut K., Pongtavornpinyo W., Sahassananda D., Chotivanich K., Et al., Stage-dependent production and release of histidine-rich protein 2 by Plasmodium falciparum, Trans R Soc Trop Med Hyg, 99, pp. 517-524, (2005); Poti K.E., Balaban A.E., Pal P., Kobayashi T., Goldberg D.E., Sinnis P., Et al., In vivo compartmental kinetics of Plasmodium falciparum histidine-rich protein II in the blood of humans and in BALB/c mice infected with a transgenic Plasmodium berghei parasite expressing histidine-rich protein II, Malar J, 18, (2019); Barber B.E., William T., Grigg M.J., Parameswaran U., Piera K.A., Price R.N., Et al., Parasite biomass-related inflammation, endothelial activation, microvascular dysfunction and disease severity in vivax malaria, PLoS Pathog, 11, (2015); Hendriksen I.C., Mwanga-Amumpaire J., von Seidlein L., Mtove G., White L.J., Olaosebikan R., Et al., Diagnosing severe falciparum malaria in parasitaemic African children: a prospective evaluation of plasma PfHRP2 measurement, PLoS Med, 9, (2012); Dondorp A.M., Desakorn V., Pongtavornpinyo W., Sahassananda D., Silamut K., Chotivanich K., Et al., Estimation of the total parasite biomass in acute falciparum malaria from plasma PfHRP2, PLoS Med, 2, (2005); Plucinski M.M., Dimbu P.R., Fortes F., Abdulla S., Ahmed S., Gutman J., Et al., Posttreatment HRP2 clearance in patients with uncomplicated Plasmodium falciparum malaria, J Infect Dis, 217, pp. 685-692, (2018); Marquart L., Butterworth A., McCarthy J.S., Gatton M.L., Modelling the dynamics of Plasmodium falciparum histidine-rich protein 2 in human malaria to better understand malaria rapid diagnostic test performance, Malar J, 11, (2012); Jang I.K., Tyler A., Lyman C., Kahn M., Kalnoky M., Rek J.C., Et al., Simultaneous quantification of Plasmodium antigens and host factor C-reactive protein in asymptomatic individuals with confirmed malaria by use of a novel multiplex immunoassay, J Clin Microbiol, 57, (2019); McCarthy J.S., Ruckle T., Elliott S.L., Ballard E., Collins K.A., Marquart L., Et al., A single-dose combination study with the experimental antimalarials artefenomel and DSM265 to determine safety and antimalarial activity against blood-stage Plasmodium falciparum in healthy volunteers, Antimicrob Agents Chemother, 64, (2019); Collins K.A., Wang C.Y., Adams M., Mitchell H., Rampton M., Elliott S., Et al., A controlled human malaria infection model enabling evaluation of transmission-blocking interventions, J Clin Invest, 128, pp. 1551-1562, (2018); Collins K.A., Ruckle T., Elliott S., Marquart L., Ballard E., Chalon S., Et al., DSM265 at 400 milligrams clears asexual stage parasites but not mature gametocytes from the blood of healthy subjects experimentally infected with Plasmodium falciparum, Antimicrob Agents Chemother, 63, (2019); Isozumi R., Fukui M., Kaneko A., Chan C.W., Kawamoto F., Kimura M., Improved detection of malaria cases in island settings of Vanuatu and Kenya by PCR that targets the Plasmodium mitochondrial cytochrome c oxidase III (cox3) gene, Parasitol Int, 64, pp. 304-308, (2015); Araar A., Levine S., Duclos J.-Y., Body mass index, poverty and inequality in Namibia. Paper prepared for Central Bureau of Statistics; Ho M.F., Baker J., Lee N., Luchavez J., Ariey F., Nhem S., Et al., Circulating antibodies against Plasmodium falciparum histidine-rich proteins 2 interfere with antigen detection by rapid diagnostic tests, Malar J, 13, (2014); Wang C.Y.T., Ballard E.L., Pava Z., Marquart L., Gaydon J., Murphy S.C., Et al., Analytical validation of a real-time hydrolysis probe PCR assay for quantifying Plasmodium falciparum parasites in experimentally infected human adults, Malar J, 20, (2021); Hofmann N., Mwingira F., Shekalaghe S., Robinson L.J., Mueller I., Felger I., Ultra-sensitive detection of Plasmodium falciparum by amplification of multi-copy subtelomeric targets, PLoS Med, 12, (2015); Wockner L.F., Hoffmann I., Webb L., Mordmuller B., Murphy S.C., Kublin J.G., Et al., Growth rate of Plasmodium falciparum: analysis of parasite growth data from malaria volunteer infection studies, J Infect Dis, 221, pp. 963-972, (2020); Boer P., Estimated lean body mass as an index for normalization of body fluid volumes in humans, Am J Physiol, 247, pp. F632-F636, (1984); Guyton A.C., Hall J.E., Textbook of medical physiology, (2006); Stepniewska K., Ashley E., Lee S.J., Anstey N., Barnes K.I., Binh T.Q., Et al., In vivo parasitological measures of artemisinin susceptibility, J Infect Dis, 201, pp. 570-579, (2010); Dahal P., d'Alessandro U., Dorsey G., Guerin P.J., Nsanzabana C., Et al., Clinical determinants of early parasitological response to ACTs in African patients with uncomplicated falciparum malaria: a literature review and meta-analysis of individual patient data, BMC Med, 13, (2015); Singh N., Shukla M.M., Short report: Field evaluation of posttreatment sensitivity for monitoring parasite clearance of Plasmodium falciparum malaria by use of the determine malaria pf test in central India, Am J Trop Med Hyg, 66, pp. 314-316, (2002); Aydin-Schmidt B., Mubi M., Morris U., Petzold M., Ngasala B.E., Premji Z., Et al., Usefulness of Plasmodium falciparum-specific rapid diagnostic tests for assessment of parasite clearance and detection of recurrent infections after artemisinin-based combination therapy, Malar J, 12, (2013); Hayward R.E., Sullivan D.J., Day K.P., Plasmodium falciparum: histidine-rich protein II is expressed during gametocyte development, Exp Parasitol, 96, pp. 139-146, (2000); Reichert E.N., Hume J.C.C., Sagara I., Healy S.A., Assadou M.H., Guindo M.A., Et al., Ultra-sensitive RDT performance and antigen dynamics in a high-transmission Plasmodium falciparum setting in Mali, Malar J, 19, (2020); Gatton M.L., Chaudhry A., Glenn J., Wilson S., Ah Y., Kong A., Et al., Impact of Plasmodium falciparum gene deletions on malaria rapid diagnostic test performance, Malar J, 19, (2020); Thomson R., Parr J.B., Cheng Q., Chenet S., Perkins M., Cunningham J., Prevalence of Plasmodium falciparum lacking histidine-rich proteins 2 and 3: a systematic review, Bull World Health Organ, 98, pp. 558-568, (2020)</t>
  </si>
  <si>
    <t xml:space="preserve">L. Marquart; University of Queensland, Brisbane, Australia; email: l.marquart@uq.edu.au</t>
  </si>
  <si>
    <t xml:space="preserve">2-s2.0-85135400948</t>
  </si>
  <si>
    <t xml:space="preserve">Ai Y.; Huang X.; Chen W.; Wu L.; Jiang S.; Chen Y.; Chen S.</t>
  </si>
  <si>
    <t xml:space="preserve">Ai, Yingjie (57226449767); Huang, Xiaoquan (57190343978); Chen, Wei (59284793800); Wu, Ling (57209832630); Jiang, Siyu (57212874044); Chen, Ying (57196266656); Chen, Shiyao (57215837496)</t>
  </si>
  <si>
    <t xml:space="preserve">57226449767; 57190343978; 59284793800; 57209832630; 57212874044; 57196266656; 57215837496</t>
  </si>
  <si>
    <t xml:space="preserve">UPLC-MS/MS-Based Serum Metabolomics Signature as Biomarkers of Esophagogastric Variceal Bleeding in Patients With Cirrhosis</t>
  </si>
  <si>
    <t xml:space="preserve">Background: Esophagogastric variceal bleeding (EVB) is a common and ominous complication of cirrhosis and represents the degree of portal hypertension progression and cirrhosis decompensation, desiderating the investigation into sensitive and specific markers for early detection and prediction. The purpose of this study is to characterize unique metabolites in serum of cirrhotic EVB patients and identify potential noninvasive biomarkers for detecting and assessing risk of variceal bleeding and cirrhosis progression through metabolomics-based approaches and explore possible pathophysiological mechanisms. Methods: We used ultra-performance liquid chromatography coupled to tandem mass spectrometry (UPLC-MS/MS) to profile serum metabolomes. In one discovery cohort (n = 26, 13 cases of EVB), univariate and multivariate statistical analyses were performed to demonstrate separation between the two groups and identify differentially expressed metabolites. Potential biomarkers were screened by Boruta and logistic regression analyses, further evaluated by receiver operating characteristic analysis, and tested in two validation cohorts (n = 34, 17 cases and n = 10, 5 cases). Results: Bioinformatics analyses demonstrated that EVB patients possessed distinct metabolic phenotypes compared with nEVB controls, characterized by seven elevated and six downregulated metabolites, indicating that EVB-related metabolic disturbance might be associated with vitamin metabolism and fatty acid metabolism. Eight potential biomarkers were selected among which citrulline and alpha-aminobutyric acid with moderate AUC values, tested in the validation cohorts, were identified as specific biomarkers of EVB. Conclusion: Our metabolomic study provides an overview of serum metabolic profiles in EVB patients, highlighting the potential utility of UPLC-MS/MS-based serum fingerprint as a feasible avenue for early detection of EVB. Copyright © 2022 Ai, Huang, Chen, Wu, Jiang, Chen and Chen.</t>
  </si>
  <si>
    <t xml:space="preserve">Frontiers in Cell and Developmental Biology</t>
  </si>
  <si>
    <t xml:space="preserve">10.3389/fcell.2022.839781</t>
  </si>
  <si>
    <t xml:space="preserve">https://www.scopus.com/inward/record.uri?eid=2-s2.0-85127212771&amp;doi=10.3389%2ffcell.2022.839781&amp;partnerID=40&amp;md5=796f8d1b5e32ad2ae28708a84974f2ce</t>
  </si>
  <si>
    <t xml:space="preserve">Department of Gastroenterology and Hepatology, Minhang Hospital, Fudan University, Shanghai, China; Department of Gastroenterology and Hepatology, Zhongshan Hospital, Fudan University, Shanghai, China</t>
  </si>
  <si>
    <t xml:space="preserve">Ai Y., Department of Gastroenterology and Hepatology, Minhang Hospital, Fudan University, Shanghai, China, Department of Gastroenterology and Hepatology, Zhongshan Hospital, Fudan University, Shanghai, China; Huang X., Department of Gastroenterology and Hepatology, Zhongshan Hospital, Fudan University, Shanghai, China; Chen W., Department of Gastroenterology and Hepatology, Minhang Hospital, Fudan University, Shanghai, China; Wu L., Department of Gastroenterology and Hepatology, Zhongshan Hospital, Fudan University, Shanghai, China; Jiang S., Department of Gastroenterology and Hepatology, Zhongshan Hospital, Fudan University, Shanghai, China; Chen Y., Department of Gastroenterology and Hepatology, Minhang Hospital, Fudan University, Shanghai, China; Chen S., Department of Gastroenterology and Hepatology, Minhang Hospital, Fudan University, Shanghai, China, Department of Gastroenterology and Hepatology, Zhongshan Hospital, Fudan University, Shanghai, China</t>
  </si>
  <si>
    <t xml:space="preserve">biomarker; cirrhosis; esophagogastric variceal bleeding; fatty acid; metabolomics; UPLC-MS/MS</t>
  </si>
  <si>
    <t xml:space="preserve">2 aminobutyric acid; amino acid; biological marker; carbohydrate; carboxylic acid; citrulline; fatty acid; glucose; mandelic acid; adult; aged; alcohol liver cirrhosis; Article; ascites; blood sampling; body mass; clinical article; cohort analysis; controlled study; coronary artery disease; diabetes mellitus; diagnostic value; differential gene expression; endoscopy; esophagus varices bleeding; fatty acid metabolism; female; glucose blood level; hematemesis; hepatic encephalopathy; hepatitis B; human; hypertension; liquid chromatography-mass spectrometry; liver cirrhosis; machine learning; male; melena; metabolic disorder; metabolic phenotype; metabolome; metabolomics; middle aged; pathogenesis; portal hypertension; schistosomiasis; splenectomy; stomach varices bleeding; ultra performance liquid chromatography; vitamin K metabolism; vitamin metabolism</t>
  </si>
  <si>
    <t xml:space="preserve">2 aminobutyric acid, 80-60-4; amino acid, 65072-01-7; citrulline, 372-75-8; glucose, 50-99-7, 84778-64-3; mandelic acid, 90-64-2</t>
  </si>
  <si>
    <t xml:space="preserve">ACQUITY UPLC-Xevo TQ-S, Waters, United States</t>
  </si>
  <si>
    <t xml:space="preserve">Waters, United States</t>
  </si>
  <si>
    <t xml:space="preserve">Advanced Appropriate Technology Promotion Project of Shanghai Health Commission, (2019SY028); Innovation Fund of Science and Technology Commission of Shanghai Municipality, (19411970200)</t>
  </si>
  <si>
    <t xml:space="preserve">This study was supported by the Innovation Fund of Science and Technology Commission of Shanghai Municipality (No.19411970200) and the Advanced Appropriate Technology Promotion Project of Shanghai Health Commission (No. 2019SY028). The funders played no role in the study design, data collection and analysis, decision to publish, or preparation of the manuscript. </t>
  </si>
  <si>
    <t xml:space="preserve">Barnett R., Liver Cirrhosis, The Lancet, 392, (2018); Beyoglu D., Idle J.R., The Metabolomic Window into Hepatobiliary Disease, J. Hepatol, 59, 4, pp. 842-858, (2013); Bosch J., Garcia-Pagan J.C., Prevention of Variceal Rebleeding, The Lancet, 361, 9361, pp. 952-954, (2003); Chen T., Xie G., Wang X., Fan J., Qiu Y., Zheng X., Et al., Serum and Urine Metabolite Profiling Reveals Potential Biomarkers of Human Hepatocellular Carcinoma, Mol. Cel Proteomics, 10, 7, (2011); D'Amico G., Pasta L., Morabito A., D'Amico M., Caltagirone M., Malizia G., Et al., Competing Risks and Prognostic Stages of Cirrhosis: a 25-year Inception Cohort Study of 494 Patients, Aliment. Pharmacol. Ther, 39, 10, pp. 1180-1193, (2014); Dietrich C.G., Gotze O., Geier A., Molecular Changes in Hepatic Metabolism and Transport in Cirrhosis and Their Functional Importance, Wjg, 22, 1, pp. 72-88, (2016); Du K., Hyun J., Premont R.T., Choi S.S., Michelotti G.A., Swiderska-Syn M., Et al., Hedgehog-YAP Signaling Pathway Regulates Glutaminolysis to Control Activation of Hepatic Stellate Cells, Gastroenterology, 154, 5, pp. 1465-1479, (2018); Effros R.M., Alpha Aminobutyric Acid, an Alternative Measure of Hepatic Injury in Sepsis?, Translational Res, 158, 6, pp. 326-327, (2011); Erawijantari P.P., Mizutani S., Shiroma H., Shiba S., Nakajima T., Sakamoto T., Et al., Influence of Gastrectomy for Gastric Cancer Treatment on Faecal Microbiome and Metabolome Profiles, Gut, 69, 8, pp. 1404-1415, (2020); Garcia-Tsao G., Bosch J., Management of Varices and Variceal Hemorrhage in Cirrhosis, N. Engl. J. Med, 362, 9, pp. 823-832, (2010); Garcia-Tsao G., Sanyal A.J., Grace N.D., Carey W., Prevention and Management of Gastroesophageal Varices and Variceal Hemorrhage in Cirrhosis, Hepatology, 46, 3, pp. 922-938, (2007); Geubel A., De Galocsy C., Alves N., Rahier J., Dive C., Liver Damage Caused by Therapeutic Vitamin A Administration: Estimate of Dose-Related Toxicity in 41 Cases, Gastroenterology, 100, 6, pp. 1701-1709, (1991); Groszmann R.J., Garcia-Tsao G., Bosch J., Grace N.D., Burroughs A.K., Planas R., Et al., Beta-blockers to Prevent Gastroesophageal Varices in Patients with Cirrhosis, N. Engl. J. Med, 353, 21, pp. 2254-2261, (2005); Huang R., Cathey S., Pollard L., Wood T., UPLC-MS/MS Analysis of Urinary Free Oligosaccharides for Lysosomal Storage Diseases: Diagnosis and Potential Treatment Monitoring, Clin. Chem, 64, 12, pp. 1772-1779, (2018); Ibrahim M., Mostafa I., Deviere J., New Developments in Managing Variceal Bleeding, Gastroenterology, 154, 7, pp. 1964-1969, (2018); Iwakiri Y., Pathophysiology of portal Hypertension, Clin. Liver Dis, 18, 2, pp. 281-291, (2014); Jimenez B., Montoliu C., MacIntyre D.A., Serra M.A., Wassel A., Jover M., Et al., Serum Metabolic Signature of Minimal Hepatic Encephalopathy by 1H-Nuclear Magnetic Resonance, J. Proteome Res, 9, 10, pp. 5180-5187, (2010); Johnson C.H., Ivanisevic J., Siuzdak G., Metabolomics: beyond Biomarkers and towards Mechanisms, Nat. Rev. Mol. Cel Biol, 17, 7, pp. 451-459, (2016); Kovacs T.O.G., Jensen D.M., Varices, Clin. Liver Dis, 23, 4, pp. 625-642, (2019); Kudo M., Yamagishi Y., Suguro S., Nishihara M., Yoshitomi H., Hayashi M., Et al., L‐citrulline Inhibits Body Weight Gain and Hepatic Fat Accumulation by Improving Lipid Metabolism in a Rat Nonalcoholic Fatty Liver Disease Model, Food Sci. Nutr, 9, 9, pp. 4893-4904, (2021); Ladep N.G., Dona A.C., Lewis M.R., Crossey M.M.E., Lemoine M., Okeke E., Et al., Discovery and Validation of Urinary Metabotypes for the Diagnosis of Hepatocellular Carcinoma in West Africans, Hepatology, 60, 4, pp. 1291-1301, (2014); Ly T.-K., Ho T.-D., Behra P., Nhu-Trang T.-T., Determination of 400 Pesticide Residues in green tea Leaves by UPLC-MS/MS and GC-MS/MS Combined with QuEChERS Extraction and Mixed-Mode SPE Clean-Up Method, Food Chem, 326, (2020); Manna S.K., Patterson A.D., Yang Q., Krausz K.W., Idle J.R., Fornace A.J., Et al., UPLC-MS-based Urine Metabolomics Reveals Indole-3-Lactic Acid and Phenyllactic Acid as Conserved Biomarkers for Alcohol-Induced Liver Disease in the Ppara-Null Mouse Model, J. Proteome Res, 10, 9, pp. 4120-4133, (2011); Martins I.J., Hone E., Foster J.K., Sunram-Lea S.I., Gnjec A., Fuller S.J., Et al., Apolipoprotein E, Cholesterol Metabolism, Diabetes, and the Convergence of Risk Factors for Alzheimer's Disease and Cardiovascular Disease, Mol. Psychiatry, 11, 8, pp. 721-736, (2006); McPhail M.J.W., Shawcross D.L., Lewis M.R., Coltart I., Want E.J., Antoniades C.G., Et al., Multivariate Metabotyping of Plasma Predicts Survival in Patients with Decompensated Cirrhosis, J. Hepatol, 64, 5, pp. 1058-1067, (2016); Merli M., Nicolini G., Angeloni S., Rinaldi V., De Santis A., Merkel C., Et al., Incidence and Natural History of Small Esophageal Varices in Cirrhotic Patients, J. Hepatol, 38, 3, pp. 266-272, (2003); Prediction of the First Variceal Hemorrhage in Patients with Cirrhosis of the Liver and Esophageal Varices. A Prospective Multicenter Study, N. Engl. J. Med, 319, 15, pp. 983-989, (1988); Rudnick D.A., Dietzen D.J., Turmelle Y.P., Shepherd R., Zhang S., Belle S.H., Et al., Serum α-NH2-butyric Acid May Predict Spontaneous Survival in Pediatric Acute Liver Failure, Pediatr. Transpl, 13, 2, pp. 223-230, (2009); Sellmann C., Jin C.J., Engstler A.J., De Bandt J.-P., Bergheim I., Oral Citrulline Supplementation Protects Female Mice from the Development of Non-alcoholic Fatty Liver Disease (NAFLD), Eur. J. Nutr, 56, 8, pp. 2519-2527, (2017); Seo Y.S., Prevention and Management of Gastroesophageal Varices, Clin. Mol. Hepatol, 24, 1, pp. 20-42, (2018); Sharara A.I., Rockey D.C., Gastroesophageal Variceal Hemorrhage, N. Engl. J. Med, 345, 9, pp. 669-681, (2001); Shen C., Xuan B., Yan T., Ma Y., Xu P., Tian X., Et al., m6A-dependent Glycolysis Enhances Colorectal Cancer progressionA-dependent Glycolysis Enhances Colorectal Cancer Progression, Mol. Cancer, 19, 1, (2020); Simbrunner B., Semmler G., Stadlmann A., Scheiner B., Schwabl P., Paternostro R., Et al., Vitamin A Levels Reflect Disease Severity and portal Hypertension in Patients with Cirrhosis, Hepatol. Int, 14, 6, pp. 1093-1103, (2020); Simonetto D.A., Liu M., Kamath P.S., Portal Hypertension and Related Complications: Diagnosis and Management, Mayo Clinic Proc, 94, 4, pp. 714-726, (2019); Sun C., Li T., Song X., Huang L., Zang Q., Xu J., Et al., Spatially Resolved Metabolomics to Discover Tumor-Associated Metabolic Alterations, Proc. Natl. Acad. Sci. USA, 116, 1, pp. 52-57, (2019); Williams H.R.T., Cox I.J., Walker D.G., North B.V., Patel V.M., Marshall S.E., Et al., Characterization of Inflammatory Bowel Disease with Urinary Metabolic Profiling, Am. J. Gastroenterol, 104, 6, pp. 1435-1444, (2009); Wilson P.W.F., D'Agostino R.B., Parise H., Sullivan L., Meigs J.B., Metabolic Syndrome as a Precursor of Cardiovascular Disease and Type 2 Diabetes Mellitus, Circulation, 112, 20, pp. 3066-3072, (2005); Xie G., Wang L., Chen T., Zhou K., Zhang Z., Li J., Et al., A Metabolite Array Technology for Precision Medicine, Anal. Chem, 93, 14, pp. 5709-5717, (2021); Yachida S., Mizutani S., Shiroma H., Shiba S., Nakajima T., Sakamoto T., Et al., Metagenomic and Metabolomic Analyses Reveal Distinct Stage-specific Phenotypes of the Gut Microbiota in Colorectal Cancer, Nat. Med, 25, 6, pp. 968-976, (2019)</t>
  </si>
  <si>
    <t xml:space="preserve">Y. Chen; Department of Gastroenterology and Hepatology, Minhang Hospital, Fudan University, Shanghai, China; email: chenying_1120@fudan.edu.cn; S. Chen; Department of Gastroenterology and Hepatology, Minhang Hospital, Fudan University, Shanghai, China; email: Chen.shiyao@zs-hospital.sh.cn</t>
  </si>
  <si>
    <t xml:space="preserve">2296634X</t>
  </si>
  <si>
    <t xml:space="preserve">Front. Cell Dev. Biol.</t>
  </si>
  <si>
    <t xml:space="preserve">2-s2.0-85127212771</t>
  </si>
  <si>
    <t xml:space="preserve">Deribew K.; Yewhalaw D.; Erko B.; Mekonnen Z.</t>
  </si>
  <si>
    <t xml:space="preserve">Deribew, Ketema (55633829700); Yewhalaw, Delenasaw (16687185000); Erko, Berhanu (6604068031); Mekonnen, Zeleke (24491286700)</t>
  </si>
  <si>
    <t xml:space="preserve">55633829700; 16687185000; 6604068031; 24491286700</t>
  </si>
  <si>
    <t xml:space="preserve">Urogenital schistosomiasis prevalence and diagnostic performance of urine filtration and urinalysis reagent strip in schoolchildren, Ethiopia</t>
  </si>
  <si>
    <t xml:space="preserve">Background Urogenital schistosomiasis has been known to be endemic in several lowland areas of Ethiopia. It is caused by Schistosoma haematobium and causes considerable public health problems to schoolchildren. Ethiopia, after mapping the distribution of the disease (2013 to 2015), launched school-based mass deworming program to treat schoolchildren for schistosomiasis and soil-transmitted helminthiasis (STH) across the country since 2015. However, there is no recent information about the prevalence of the disease among schoolchildren in the current study areas. Diagnostic performance of urine filtration method and urinalysis reagent strip is also lacking. Therefore, this study aimed to determine the prevalence of urogenital schistosomiasis in schoolchildren, and to evaluate diagnostic performance of urine filtration and urinalysis reagent strip in Amibara, Kurmuk and Abobo districts, Ethiopia. Methods Across-sectional study was conducted involving 1,171 schoolchildren in Abobo, Amibara and Kurmuk districts from October, 2020 to January, 2021. The study participants were selected using random sampling technique. From each study participant, 10 ml urine samples were collected and examined using urine filtration method and urinalysis reagent strip. Data obtained from the survey were entered into Microsoft Excel 2010 and analysed with SPSS version 20.0. Data was summarized using descriptive statistics. Chi-square, bivariate and multivariable logistic regression and Pearson correlation test were used to measure associations between urogenital schistosomiasis, age, sex and haematuria. Odds ratio was used to measure strengths of association between variables. Agreement between urine filtration method and urinalysis reagent strip was determined using Kappa statistics. P-value &lt; 0.05 at 95% CI was considered as statistically significant. Results Among the 1,171 urine samples from schoolchildren examined by urine filtration method, 143 (12.2%) were S.haematobium egg positive. Out of 143 positive children 126(88.1%) were lightly infected and 17 (11.9%) were heavily infected. Among the total of 1,171 urine samples tested by dipstick, 264(22.5%) were positive for haematuria. Prevalence of urogenital schistosomiasis by both urine filtration and urinalysis reagent strip method was higher in Abobo than Hassoba (Amibara) and Kurmuk (P&lt; 0.001). The number of egg counts (intensity of infections) were significantly correlated with intensity of haematuria (r = 0.6, P &lt; 0.001). Egg-positive children had significantly higher risk of having haematuria compared to S. haematobium egg negative children (OR; 6.96; 95%CI: 4.98, 8.940). Compared to urine filtration method, the sensitivity, specificity, positive predictive value (PPV) and negative predictive values (NPV) of urinalysis reagent strip were 99.3%, 88.1%, 53.8% and 99.8%, respectively. Furthermore, its positive likelihood ratio (PLR) and negative likelihood ratio (NLR) were 8.34 and 0.008, respectively. The accuracy index and diagnostic odds ratio (DOR) of reagent strip were 0.89 and 1054, respectively. The agreement level between urine filtration methods and urinalysis reagent strip for detecting urogenital schistosomiasis was substantial (Kappa = 0.64). Conclusion This study showed that urogenital schistosomiasis was prevalent in schoolchildren in Abobo, Hassoba and Kurmuk districts. Urogenital schistosomiasis prevalence in Hassoba-bure and Kurmuk falls under low category whereas moderate in Abobo and is almost four times compared to Kurmuk and Hassoba-bure. Chemotherapy is needed in schoolchildren in such endemic areas and other measures like access to safe water, improved sanitation, hygiene, and health education should be implemented to control and prevent schistosomiasis effectively. The sensitivity, specificity, positive and negative predictive values of urinalysis reagent strip were higher and could serve as alternative for mass screening of urogenital schistosomiasis, for surveillance and evaluation of schistosomiasis intervention programs. Copyright: © 2022 Deribew et al. This is an open access article distributed under the terms of the Creative Commons Attribution License, which permits unrestricted use, distribution, and reproduction in any medium, provided the original author and source are credited.</t>
  </si>
  <si>
    <t xml:space="preserve">e0271569</t>
  </si>
  <si>
    <t xml:space="preserve">10.1371/journal.pone.0271569</t>
  </si>
  <si>
    <t xml:space="preserve">https://www.scopus.com/inward/record.uri?eid=2-s2.0-85135282244&amp;doi=10.1371%2fjournal.pone.0271569&amp;partnerID=40&amp;md5=7b6ea1c76ef6b27dd2318bc35b714414</t>
  </si>
  <si>
    <t xml:space="preserve">School of Medical Laboratory Sciences, Jimma University, Jimma, Ethiopia; Tropical and Infectious Diseases Research Center, Jimma University, Jimma, Ethiopia; Aklilu Lemma Institute of Pathobiology, Addis Ababa University, Addis Ababa, Ethiopia</t>
  </si>
  <si>
    <t xml:space="preserve">Deribew K., School of Medical Laboratory Sciences, Jimma University, Jimma, Ethiopia; Yewhalaw D., School of Medical Laboratory Sciences, Jimma University, Jimma, Ethiopia, Tropical and Infectious Diseases Research Center, Jimma University, Jimma, Ethiopia; Erko B., Aklilu Lemma Institute of Pathobiology, Addis Ababa University, Addis Ababa, Ethiopia; Mekonnen Z., School of Medical Laboratory Sciences, Jimma University, Jimma, Ethiopia</t>
  </si>
  <si>
    <t xml:space="preserve">Animals; Child; Ethiopia; Hematuria; Humans; Prevalence; Reagent Strips; Schistosoma haematobium; Schistosomiasis haematobia; Urinalysis; adolescent; Article; child; cross-sectional study; diagnostic accuracy; diagnostic test accuracy study; Ethiopian; female; filtration; geographic distribution; hematuria; human; major clinical study; male; parasite egg count; predictive value; preschool child; prevalence; schistosomiasis; school child; sensitivity and specificity; urinalysis; urine filtration; urogenital schistosomiasis; urogenital tract infection; urologic examination; animal; Ethiopia; hematuria; Schistosoma haematobium; schistosomiasis haematobia; test strip; urinalysis</t>
  </si>
  <si>
    <t xml:space="preserve">Reagent Strips, </t>
  </si>
  <si>
    <t xml:space="preserve">Jimma University, JU</t>
  </si>
  <si>
    <t xml:space="preserve">Financial support for this research was provided by Jimma University for the support of PhD training program. The funder had no role in the study design, data collection and analysis, preparation of manuscript. The author acknowledges the cooperation and support of school children and their parents and guardians in Abobo, Kurmuk and Amibara districts. The author also appreciates Health personnel, laboratory technicians, school principal and teachers that participate in this study.</t>
  </si>
  <si>
    <t xml:space="preserve">King CH., Parasites and poverty: the case of schistosomiasis, Acta Trop, 113, 2, pp. 95-104, (2010); Abebe F, Erko B, Gemechu T, Gundreson SG., Control of population and schistosomiasis transmission in Ethiopia using the soap berry endod (Phytolacca dodecandra), with special emphasis on application methods, Trans R Soc Trop Med Hyg, 99, 10, pp. 787-794, (2005); Schistosomiasis; Progress report 2001–2011 and Strategic plan, 2012–2020, (2013); Chitsulo L, Engles D, Montresor A, Savioli L., The global status of schistosomiasis and its control, Acta-Trop, 77, 1, pp. 41-51, (2000); Schistosomiasis fact sheet 115, (2014); Gryseels B, Polman K, Clerinx J, Kestens L., Human schistosomiasis, Lancet, 368, 9541, pp. 1106-1118, (2006); Barakat RMR., Epidemiology of schistosomiasis in Egypt: travel through time, J Adv Res, 4, 5, pp. 425-432, (2013); Schistosomiasis Gryseels B., Infect Dis Clin North Am, 26, 2, pp. 383-397, (2012); Colley DG, Bustinduy AL, Secor WE, King CH., Human schistosomiasis, Lancet, 383, 9936, pp. 2253-2264, (2014); Van der Werf MJ, de Vlas SJ, Brooker S, Looman CW, Nagelkerke NJ, Habbema JD., Quantification of clinical morbidity associated with schistosome infection in sub- Saharan Africa, Acta Trop, 86, 2–3, pp. 125-139, (2003); Stephenson L., The impact of schistosomiasis on human nutrition, Parasitology, 107, pp. 107-123, (1993); Prevention and control of schistosomiasis and soil-transmitted helminthiasis: report of a WHO expert committee, (2002); Ending the neglect to attain the sustainable development goals: A road map for neglected tropical diseases 2021–2030, (2020); Kassa L, Omer A, Tafesse W, Taye T, Kebebew F, Beker A., Schistosomiasis: Diploma program for the Ethiopian health center team, (2005); Birrie H, Tedla S, Tilahun G, Kloss H, Eshete H., Schistosomiasis and its distribution in Ethiopia and Eritrea, Schistosomiasis in Ethiopia and Eritrea, pp. 29-86, (1998); Geleta S, Alemu A, Getie S, Mekonnen Z, Erko B., Prevalence of urinary schistosomiasis and associated risk factors among Abobo Primary School children in Gambella Regional State, South western Ethiopia: a cross sectional study, Parasites &amp;Vectors, 8, (2015); Deribew K, Tekeste Z, Petros B, Huat LB., Urinary schistosomiasis and malaria associated anemia in Ethiopia, Asian Pac J Trop Biomed, 3, 4, pp. 307-310, (2013); Jemaneh L, Shewakena F, Tedla S, Erko B, Birrie H., Evaluation of reagent strips for detection of Schistosoma haematobium infection in the lower Awash Valley, Ethiopia Ethiop Med J, 31, 2, pp. 137-150, (1993); Jemaneh L, Tedla S, Birrie H., The use of reagent strips for detection of urinary schistosomiasis infection in the middle Awash Valley, Ethiopia, East Afr Med J, 71, 10, pp. 679-683, (1994); Negussu N, Mengistu B, Kebede B, Deribe K, Ejigu E, Tadesse G, Et al., Ethiopia Schistosomiasis and Soil-Transmitted Helminthes Control Program: Progress and Prospects, Ethiop Med J, 55, pp. 75-80, (2017); National master plan for neglected tropical disease (2013–2015), (2012); Leta GT, Mekete K, Wuletaw Y, Gebretsadik A, Sime H, Mekasha S, Et al., National mapping of soil transmitted helminth and schistosome infections in Ethiopia, Parasites &amp; Vectors, 13, (2020); Ochodo EA, Gopalakrishna G, Spek B, Reitsma JB, van Lieshout L, Polman K, Et al., Circulating antigen tests and urine reagent strips for diagnosis of active schistosomiasis in endemic areas, Cochrane Database Syst Rev, 3, 3, (2015); Lengeler C, Utzinger J, Tanner M., Questionnaires for rapid screening of schistosomiasis in sub-Saharan Africa, Bull World Health Organ, 80, pp. 235-242, (2002); Taylor P, Chandiwana SK, Matanhire D., Evaluation of the reagent strip test for haematuria in the control of Schistosoma haematobium infection in schoolchildren, Acta Trop, 47, 2, pp. 91-100, (1990); Robinson E, Picon D, Sturrock HJ, Sabasio A, Lado M, Kolaczinski J, Et al., The performance of haematuria reagent strips for the rapid mapping of urinary schistosomiasis: field experience from Southern Sudan, Trop Med Int Health, 14, 12, pp. 1484-1487, (2009); King CH, Bertsch D., Meta-analysis of urine Heme dipstick diagnosis of Schistosoma haematobium infection, including low-prevalence and previously-treated populations, PLoS Negl Trop Dis, 7, 9, (2013); Kosinski KC, Bosompem KM, Stadecker MJ, Wagner AD, Plummer J, Durant JL, Et al., Diagnostic accuracy of urine filtration and dipstick tests for Schistosoma haematobium infection in a lightly infected population of Ghanaian schoolchildren, Acta Trop, 118, 2, pp. 123-127, (2011); Brown MA, Holt JL, Mangos GJ, Muray N, Curtis J, Homer C., Microscopic haematuria in pregnancy: relevance to pregnancy outcome, Am J Kidney Dis, 45, 4, pp. 667-673, (2005); Hatz C, Savioli L, Mayombana C, Dhunputh J, Kisumku UM, Tanner M., Measurement of schistosomiasis-related morbidity at community level in areas of different endemicity, Bull World Health Organ, 68, pp. 777-787, (1990); McDonald MM, Swagerty D, Wetzel L., Assessment of microscopic haematuria in adults, Am Fam Phys, 73, 10, pp. 1748-1754, (2006); Gray DJ, Ross AG, Li YS, McManus DP., Diagnosis and management of schistosomiasis, BMJ, 342, (2011); Pourhoseingholi MA, Vahedi M, Rahimzadeh M., Sample size calculation in medical studies, Gastroenterol Hepatol Bed Bench, 6, 1, pp. 14-17, (2013); Degarege A, Mekonnen Z, Levecke B, Legesse M, Negash Y, Vercruysse J, Et al., Prevalence of Schistosoma haematobium Infection among School-Age Children in Afar Area, Northeastern Ethiopia, PLoS ONE, 10, 8, (2015); Landis JR, Koch GG., The measurement of observer agreement for categorical data, Biometrics, 33, 1, pp. 159-174, (1977); Birrie H, Erko B, Medhin G, Balcha F., Decline of urinary schistosomiasis in Kurmuk town, western Ethio-Sudanese border, Ethiopia, Ethiop Med J, 34, 1, pp. 47-49, (1996); Sady H, Al-Mekhlafi HM, Mahdy MA, Lim YA, Mahmud R, Surin J., Prevalence and associated factors of Schistosomiasis among children in Yemen: implications for an effective control program, PLoS Negl Trop Dis, 7, 8, (2013); Elsiddig HA, Khider E, Nour SM, Abdelrafie AM, Mogadam MB., Prevalence of urinary schistosomiasis among schoolchildren in White Nile State, Sudan, Afr Educ Res J, 7, 1, pp. 29-32, (2019); Senghor B, Diallo A, Sylla NS, Doucoure S, Ndiath OH, Gaayeb, Et al., Prevalence and intensity of urinary schistosomiasis among schoolchildren in the district of Niakhar, region of Fatick, Senegal, Parasit Vectors, 7, (2014); Deribe K, Eldaw A, Hadziabduli S, Kailie E, Omer MD, Mohammed AE, Et al., High prevalence of urinary schistosomiasis in two communities in South Darfur: implication for interventions, Parasit Vectors, 7, 4, (2011); Van Dam GJ, Wichers JH, Ferreira TM, Ghati D, van Amerongen A, Deelder AM., Diagnosis of schistosomiasis by reagent strip test for detection of circulating cathodic antigen, J Clin Microbiol, 42, 12, pp. 5458-5461, (2004); Hamilton JV, Klinkert M, Doenhoff MJ., Diagnosis of schistosomiasis: antibody detection, with notes on parasitological and antigen detection methods, Parasitol, 117, 7, pp. 41-57, (1998); Poggensee G, Krantz I, Kiwelu I, Feldmeier H., Screening of Tanzanian women of childbearing age for urinary schistosomiasis: validity of urine reagent strip readings and self- reported symptoms, Bull World Health Organ, 78, 4, pp. 542-548, (2000); Ekpo UF, Laja-Deile A, Oluwole AS, Sam-Wobo SO, Mafiana CF., Urinary schistosomiasis among preschool children in a rural community near Abeokuta, Nigeria, Parasites &amp; Vectors, 3, (2010); Anosike JC, Nwoke BEB, Njoku AJ, The validity of haematuria in the community diagnosis of urinary schistosomiasis infection, J Helminthol, 75, 3, pp. 223-225, (2001); Abou-Zeid AH, Abkar TA, Mohamed R.O., Schistosomiasis infection among primary school students in a war zone, Southern Kordofan State, Sudan: a cross-sectional study, BMC Public Health, 13, (2013); El-Gendy SD, Osman AM, Al-Sherbiny MM, Epidemiology and immunodiagnosis of Schistosoma haematobium in low endemic area in Egypt, J Egypt Soc Parasitol, 29, 1, pp. 229-246, (1999); Kapito-Tembo AP, Mwapasa V, Meshnick SR, Samanyika Y, Banda D, Bowie C, Radke1 S, Prevalence distribution and risk factors for Schistosoma haematobium infection among schoolchildren in Blantyre, Malawi, PLOS Negl Trop dis, 3, 1, pp. 1-8, (2009); Babatunde TA, Asaolu SO, Sowemimo OA., Urinary schistosomiasis among pre-school and school aged children in two peri urban in Southwest Nigeria, J.para.vec.biol, 5, 7, pp. 96-101, (2013); Bocanegra C, Gallego S, Mendioroz J, Moreno M, Sulleiro E, Salvador F, Et al., Epidemiology of schistosomiasis and usefulness of indirect diagnostic test in school age children in Cubal, Central Angola, Plos Negl Trop Dis, 9, 10, (2015); Brooker S, Kabatereine NB, Gyapong JO, Stothard JR, Utzinger J., Rapid mapping of schistosomiasis and other Neglected tropical diseases in the context of integrated control program in Africa, Parasitology, 136, 13, pp. 1707-1718, (2009); Krauth SJ, Greter H, Stete K, Coulibaly JT, Traore SI, Ngandolo B, Et al., All that is blood is not schistosomiasis: experience with reagent strip testing for urogenital schistosomiasis with special consideration to very low prevalence setting, Parasite &amp; vector, 8, (2015); Lwambo NJ, Savioli L, Kisumuk UM, Alawi KS, Bundy DA., Control of schistosomiasis haematobium morbidity on Pemba Islannd: Validity and efficiency of indirect screening test, Bull World Health Org, 75, 3, pp. 247-252, (1997); Okeke OC, Ubachukwu PO., Performance of three rapid screening methods in the detection of Schistosoma haematobium infection in school children in southeastern Nigeria, Pathog Glob Health, 108, 2, pp. 111-117, (2014); Van Etten L, Kremsner PG, Krijger FW, Deelder AM., Day-to-day variation of egg output and schistosome circulating antigens in urine of Schistosoma haematobium-infected school children from Gabon and follow-up after chemotherapy, Am J Trop Med Hyg, 57, 3, pp. 337-341, (1997); Preventive chemotherapy in human helminthiasis. Coordinated use of antihelminthic drugs in control interventions: a manual for health professionals and program managers, (2006)</t>
  </si>
  <si>
    <t xml:space="preserve">K. Deribew; School of Medical Laboratory Sciences, Jimma University, Jimma, Ethiopia; email: ketemader@gmail.com</t>
  </si>
  <si>
    <t xml:space="preserve">2-s2.0-85135282244</t>
  </si>
  <si>
    <t xml:space="preserve">Lodha A.; Pillai A.; Reddy P.; Munshi N.</t>
  </si>
  <si>
    <t xml:space="preserve">Lodha, Abhijit (57219390190); Pillai, Ashwin (57223132691); Reddy, Pavan (57440929900); Munshi, Nita (7005171569)</t>
  </si>
  <si>
    <t xml:space="preserve">57219390190; 57223132691; 57440929900; 7005171569</t>
  </si>
  <si>
    <t xml:space="preserve">Using first-contact serum ferritin to predict severe thrombocytopenia in dengue patients: determination and validation in independent cohorts</t>
  </si>
  <si>
    <t xml:space="preserve">Background: Severe thrombocytopenia and associated haemorrhage are dreaded complications of dengue fever. The identification of a biomarker that can predict, or rule out, its subsequent development can help identify at-risk individuals. Methods: 200 dengue patients were included–the first 100 in the deterministic cohort and the latter, the validation cohort. Serum ferritin levels were measured at first presentation. Platelets were monitored serially. Data from the first cohort was used to determine the optimal ferritin level to predict significant thrombocytopenia (&lt;20,000/µL). This threshold was validated in the second cohort. Results: In the deterministic cohort, a ferritin threshold of 593 ng/mL predicted severe thrombocytopenia with a sensitivity of 93.33%, negative predictive value of 98.18% and negative likelihood ratio (LR-) of 0.10. In the validation cohort, the sensitivity and negative predictive value of this threshold were both 100%. The power of the study (determined post-hoc) for each cohort was 98.4% and 86.4% respectively. Conclusion: First-contact ferritin consistently identified at-risk individuals. Individuals with ferritin levels below 593 ng/mL were unlikely to develop severe thrombocytopenia independent of clinical presentation. © 2022 Society for Scandinavian Journal of Infectious Diseases.</t>
  </si>
  <si>
    <t xml:space="preserve">Infectious Diseases</t>
  </si>
  <si>
    <t xml:space="preserve">10.1080/23744235.2022.2032823</t>
  </si>
  <si>
    <t xml:space="preserve">https://www.scopus.com/inward/record.uri?eid=2-s2.0-85124073562&amp;doi=10.1080%2f23744235.2022.2032823&amp;partnerID=40&amp;md5=b1fe6e72eeadaa178131fb6c8a52f874</t>
  </si>
  <si>
    <t xml:space="preserve">Department of Medicine, Ruby Hall Clinic, Pune, India; Department of Pathology, Ruby Hall Clinic, Pune, India</t>
  </si>
  <si>
    <t xml:space="preserve">Lodha A., Department of Medicine, Ruby Hall Clinic, Pune, India; Pillai A., Department of Medicine, Ruby Hall Clinic, Pune, India; Reddy P., Department of Medicine, Ruby Hall Clinic, Pune, India; Munshi N., Department of Pathology, Ruby Hall Clinic, Pune, India</t>
  </si>
  <si>
    <t xml:space="preserve">Dengue; ferritin; thrombocytopenia; triage</t>
  </si>
  <si>
    <t xml:space="preserve">Biomarkers; Cohort Studies; Dengue; Ferritins; Humans; Thrombocytopenia; ferritin; biological marker; ferritin; adult; Article; clinical feature; cohort analysis; controlled study; dengue; disease severity; enzyme linked immunosorbent assay; female; ferritin blood level; high risk patient; human; human cell; India; major clinical study; male; negative likelihood ratio; patient identification; platelet count; post hoc analysis; prediction; predictive value; prospective study; sensitivity analysis; statistical analysis; tertiary care center; thrombocytopenia; validation study; complication; thrombocytopenia</t>
  </si>
  <si>
    <t xml:space="preserve">ferritin, 9007-73-2; Biomarkers, ; Ferritins, </t>
  </si>
  <si>
    <t xml:space="preserve">LH 750, Beckman Coulter</t>
  </si>
  <si>
    <t xml:space="preserve">Beckman Coulter</t>
  </si>
  <si>
    <t xml:space="preserve">Gupta E., Ballani N., Current perspectives on the spread of dengue in India, Infect Drug Resist, 7, pp. 337-342, (2014); Shepard D.S., Halasa Y.A., Tyagi B.K., Et al., Economic and disease burden of dengue illness in India, Am J Trop Med Hyg, 91, 6, pp. 1235-1242, (2014); Roy Chaudhuri S., Bhattacharya S., Chakraborty M., Et al., Serum ferritin: a backstage weapon in diagnosis of dengue fever, Interdiscip Perspect Infect Dis, 2017, pp. 1-6, (2017); Soundravally R., Agieshkumar B., Daisy M., Et al., Ferritin levels predict severe dengue, Infection, 43, 1, pp. 13-19, (2015); Changal K.H., Raina A.H., Raina A., Et al., Differentiating secondary from primary dengue using IgG to IgM ratio in early dengue: an observational hospital based clinico-serological study from North India, BMC Infect Dis, 16, 1, (2016); Lee T.H., Wong J.G., Leo Y.S., Et al., Potential harm of prophylactic platelet transfusion in adult dengue patients, PLoS Negl Trop Dis, 10, 3, (2016); Sharma A., Ali M., Prophylactic platelet transfusion in dengue: Blanket of false comfort?, Natl Med J India, 31, 1, pp. 24-25, (2018); Mercaldo N.D., Lau K.F., Zhou X.H., Confidence intervals for predictive values with an emphasis to case-control studies, Stat Med, 26, 10, pp. 2170-2183, (2007); Costa V.V., Fagundes C.T., Souza D.G., Et al., Inflammatory and innate immune responses in dengue infection: protection versus disease induction, Am J Pathol, 182, 6, pp. 1950-1961, (2013); Wessling-Resnick M., Iron homeostasis and the inflammatory response, Annu Rev Nutr, 30, pp. 105-122, (2010); Martina B.E., Koraka P., Osterhaus A.D., Dengue virus pathogenesis: an integrated view, Clin Microbiol Rev, 22, 4, pp. 564-581, (2009); van de Weg C.A., Huits R.M., Pannuti C.S., Et al., Hyperferritinaemia in dengue virus infected patients is associated with immune activation and coagulation disturbances, PLoS Negl Trop Dis, 8, 10, (2014); Huits R.M., Groenestege E.H., Bouwstra H.C., Et al., (2011); Channapatna Suresh S., Hanumanthaiha R., Ramakrishna C., Et al., Serum ferritin as a prognostic indicator in adult dengue patients, Am J Trop Med Hyg, 104, 3, pp. 1072-1078, (2020)</t>
  </si>
  <si>
    <t xml:space="preserve">A. Pillai; Department of Medicine, Ruby Hall Clinic, Pune, Maharashtra, 411001, India; email: ashwinpillai4@gmail.com</t>
  </si>
  <si>
    <t xml:space="preserve">Infect. Dis.</t>
  </si>
  <si>
    <t xml:space="preserve">2-s2.0-85124073562</t>
  </si>
  <si>
    <t xml:space="preserve">Alexander J.; Wilke A.B.B.; Mantero A.; Vasquez C.; Petrie W.; Kumar N.; Beier J.C.</t>
  </si>
  <si>
    <t xml:space="preserve">Alexander, Jagger (57666470000); Wilke, André Barretto Bruno (35742408900); Mantero, Alejandro (57195060340); Vasquez, Chalmers (57190969972); Petrie, William (57205149841); Kumar, Naresh (57666793300); Beier, John C. (7102003162)</t>
  </si>
  <si>
    <t xml:space="preserve">57666470000; 35742408900; 57195060340; 57190969972; 57205149841; 57666793300; 7102003162</t>
  </si>
  <si>
    <t xml:space="preserve">Using machine learning to understand microgeographic determinants of the Zika vector, Aedes aegypti</t>
  </si>
  <si>
    <t xml:space="preserve">There are limited data on why the 2016 Zika outbreak in Miami-Dade County, Florida was confined to certain neighborhoods. In this research, Aedes aegypti, the primary vector of Zika virus, are studied to examine neighborhood-level differences in their population dynamics and underlying processes. Weekly mosquito data were acquired from the Miami-Dade County Mosquito Control Division from 2016 to 2020 from 172 traps deployed around Miami-Dade County. Using random forest, a machine learning method, predictive models of spatiotemporal dynamics of Ae. aegypti in response to meteorological conditions and neighborhood-specific socio-demographic and physical characteristics, such as land-use and land-cover type and income level, were created. The study area was divided into two groups: areas affected by local transmission of Zika during the 2016 outbreak and unaffected areas. Ae. aegypti populations in areas affected by Zika were more strongly influenced by 14- and 21-day lagged weather conditions. In the unaffected areas, mosquito populations were more strongly influenced by land-use and day-of-collection weather conditions. There are neighborhood-scale differences in Ae. aegypti population dynamics. These differences in turn influence vector-borne disease diffusion in a region. These results have implications for vector control experts to lead neighborhood-specific vector control strategies and for epidemiologists to guide vector-borne disease risk preparations, especially for containing the spread of vector-borne disease in response to ongoing climate change. This is an open access article, free of all copyright, and may be freely reproduced, distributed, transmitted, modified, built upon, or otherwise used by anyone for any lawful purpose. The work is made available under the Creative Commons CC0 public domain dedication.</t>
  </si>
  <si>
    <t xml:space="preserve">e0265472</t>
  </si>
  <si>
    <t xml:space="preserve">10.1371/journal.pone.0265472</t>
  </si>
  <si>
    <t xml:space="preserve">https://www.scopus.com/inward/record.uri?eid=2-s2.0-85145426091&amp;doi=10.1371%2fjournal.pone.0265472&amp;partnerID=40&amp;md5=45c562480d6b21b4dd721ba63a1cbe93</t>
  </si>
  <si>
    <t xml:space="preserve">University of Miami Department of Public Health, Miami, FL, United States; Laboratory for Computational Epidemiology and Public Health, Department of Epidemiology and Biostatistics, Indiana University School of Public Health, Bloomington, IN, United States; Miami-Dade County Mosquito Control Division, Miami, FL, United States</t>
  </si>
  <si>
    <t xml:space="preserve">Alexander J., University of Miami Department of Public Health, Miami, FL, United States; Wilke A.B.B., Laboratory for Computational Epidemiology and Public Health, Department of Epidemiology and Biostatistics, Indiana University School of Public Health, Bloomington, IN, United States; Mantero A., University of Miami Department of Public Health, Miami, FL, United States; Vasquez C., Miami-Dade County Mosquito Control Division, Miami, FL, United States; Petrie W., Miami-Dade County Mosquito Control Division, Miami, FL, United States; Kumar N., University of Miami Department of Public Health, Miami, FL, United States; Beier J.C., University of Miami Department of Public Health, Miami, FL, United States</t>
  </si>
  <si>
    <t xml:space="preserve">Aedes; Animals; Florida; Humans; Mosquito Vectors; Zika Virus; Zika Virus Infection; Aedes aegypti; Article; Florida; geographic distribution; income; land use; machine learning; meteorology; microbial population dynamics; mosquito vector; neighborhood; nonhuman; random forest; sociodemographics; spatiotemporal analysis; vector borne disease; vector control; virus transmission; weather; Zika virus; Aedes; animal; epidemiology; human; Zika fever</t>
  </si>
  <si>
    <t xml:space="preserve">Centers for Disease Control and Prevention, CDC, (1U01CK000510–05)</t>
  </si>
  <si>
    <t xml:space="preserve">This research was supported by CDC (https://www.cdc.gov/) grant 1U01CK000510–05: Southeastern Regional Center of Excellence in Vector-Borne Diseases: The Gateway Program. CDC had no role in the design of the study and collection, analysis, and interpretation of data and in writing the manuscript. Thanks are given to the Miami-Dade County Mosquito Control who provided raw data for this study. The MDCMC performed the trap placement, trap collection, mosquito sexing, and mosquito species identification that was necessary for this study.</t>
  </si>
  <si>
    <t xml:space="preserve">Bhargavi BS, Moa A., Global outbreaks of zika infection by epidemic observatory (EpiWATCH), 2016–2019, Global Biosecurity, 2, 1, (2020); Paixao ES, Barreto F, Teixeira MdG, Costa MdCN, Rodrigues LC., History, Epidemiology, and Clinical Manifestations of Zika: A Systematic Review, American Journal of Public Health, 106, 4, pp. 606-612, (2016); Roth NM, Reynolds MR, Lewis EL, Woodworth KR, Godfred-Cato S, Delaney A, Et al., Zika-Associated Birth Defects Reported in Pregnancies with Laboratory Evidence of Confirmed or Possible Zika Virus Infection—U.S. Zika Pregnancy and Infant Registry, December 1, 2015-March 31, 2018, MMWR Morb Mortal Wkly Rep, 71, 3, pp. 73-79, (2022); Siedner MJ, Ryan ET, Bogoch II., Gone or forgotten? The rise and fall of Zika virus, Lancet Public Health, 3, 3, pp. e109-e10, (2018); Likos A, Griffin I, Bingham AM, Stanek D, Fischer M, White S, Et al., Local Mosquito-Borne Transmission of Zika Virus—Miami-Dade and Broward Counties, Florida, June-August 2016, Morbidity and Mortality Weekly Report, 65, 38, (2016); McAllister JC, Porcelli M, Medina JM, Delorey MJ, Connelly CR, Godsey MS, Et al., Mosquito Control Activities during Local Transmission of Zika Virus, Miami-Dade County, Florida, USA, 2016, Emerg Infect Dis, 26, 5, pp. 881-890, (2020); Petersen LR, Jamieson DJ, Powers AM, Honein MA., Zika Virus, N Engl J Med, 374, 16, pp. 1552-1563, (2016); Wilke ABB, Vasquez C, Medina J, Carvajal A, Petrie W, Beier JC., Community Composition and Year-round Abundance of Vector Species of Mosquitoes make Miami-Dade County, Florida a Receptive Gateway for Arbovirus entry to the United States, Scientific Reports, 9, 1, (2019); Ogden NH, Lindsay LR, Ludwig A, Morse AP, Zheng H, Zhu H., Weather-based forecasting of mosquito-borne disease outbreaks in Canada, Can Commun Dis Rep, 45, 5, pp. 127-132, (2019); Smith MW, Willis T, Alfieri L, James WHM, Trigg MA, Yamazaki D, Et al., Incorporating hydrology into climate suitability models changes projections of malaria transmission in Africa, Nature Communications, 11, 1, (2020); Wilke ABB, Medeiros-Sousa AR, Ceretti-Junior W, Marrelli MT., Mosquito populations dynamics associated with climate variations, Acta Tropica, 166, pp. 343-350, (2017); Karki S, Brown WM, Uelmen J, Ruiz MOH, Smith RL., The drivers of West Nile virus human illness in the Chicago, Illinois, USA area: Fine scale dynamic effects of weather, mosquito infection, social, and biological conditions, PLOS ONE, 15, 5, (2020); Ezanno P, Aubry-Kientz M, Arnoux S, Cailly P, L'Ambert G, Toty C, Et al., A generic weather-driven model to predict mosquito population dynamics applied to species of Anopheles, Culex and Aedes genera of southern France, 120, 1, pp. 39-50, (2015); Caldwell JM, Labeaud AD, Lambin EF, Stewart-Ibarra AM, Ndenga BA, Mutuku FM, Et al., Climate explains geographic and temporal variation in mosquito-borne disease dynamics on two continents, (2020); Ayanlade A, Nwayor IJ, Sergi C, Ayanlade OS, Di Carlo P, Jeje OD, Et al., Early warning climate indices for malaria and meningitis in tropical ecological zones, Scientific Reports, 10, 1, (2020); Wilke ABB, Wilk-da-Silva R, Marrelli MT., Microgeographic population structuring of Aedes aegypti (Diptera: Culicidae), PLOS ONE, 12, 9, (2017); Multini LC, de Souza ALdS, Marrelli MT, Wilke ABB., Population structuring of the invasive mosquito Aedes albopictus (Diptera: Culicidae) on a microgeographic scale, PLOS ONE, 14, 8, (2019); Hemme RR, Thomas CL, Chadee DD, Severson DW., Influence of Urban Landscapes on Population Dynamics in a Short-Distance Migrant Mosquito: Evidence for the Dengue Vector Aedes aegypti, PLOS Neglected Tropical Diseases, 4, 3, (2010); Robert MA, Christofferson RC, Silva NJB, Vasquez C, Mores CN, Wearing HJ., Modeling Mosquito-Borne Disease Spread in U.S. Urbanized Areas: The Case of Dengue in Miami, PLOS ONE, 11, 8, (2016); Rose NH, Sylla M, Badolo A, Lutomiah J, Ayala D, Aribodor OB, Et al., Climate and Urbanization Drive Mosquito Preference for Humans, Current Biology, (2020); Wilke ABB, Caban-Martinez AJ, Ajelli M, Vasquez C, Petrie W, Beier JC., Mosquito Adaptation to the Extreme Habitats of Urban Construction Sites, Trends in Parasitology, 35, 8, pp. 607-614, (2019); Wilke ABB, Vasquez C, Petrie W, Beier JC., Tire shops in Miami-Dade County, Florida are important producers of vector mosquitoes, PLOS ONE, 14, 5, (2019); Wilke ABB, Vasquez C, Carvajal A, Moreno M, Diaz Y, Belledent T, Et al., Cemeteries in Miami-Dade County, Florida are important areas to be targeted in mosquito management and control efforts, PLOS ONE, 15, 3, (2020); Wilke ABB, Carvajal A, Vasquez C, Petrie WD, Beier JC., Urban farms in Miami-Dade county, Florida have favorable environments for vector mosquitoes, PLOS ONE, 15, 4, (2020); Wilke ABB, Vasquez C, Mauriello PJ, Beier JC., Ornamental bromeliads of Miami-Dade County, Florida are important breeding sites for Aedes aegypti (Diptera: Culicidae), Parasites &amp; Vectors, 11, 1, (2018); Wilke ABB, Chase C, Vasquez C, Carvajal A, Medina J, Petrie WD, Et al., Urbanization creates diverse aquatic habitats for immature mosquitoes in urban areas, Scientific Reports, 9, 1, (2019); Moise IK, Riegel C, Muturi EJ., Environmental and social-demographic predictors of the southern house mosquito Culex quinquefasciatus in New Orleans, Louisiana, Parasites &amp; Vectors, 11, 1, (2018); Segal M, Xiao Y., Multivariate random forests, WIREs Data Mining and Knowledge Discovery, 1, 1, pp. 80-87, (2011); Ong J, Liu X, Rajarethinam J, Kok SY, Liang S, Tang CS, Et al., Mapping dengue risk in Singapore using Random Forest, PLOS Neglected Tropical Diseases, 12, 6, (2018); Mussumeci E, Codeco Coelho F., Large-scale multivariate forecasting models for Dengue—LSTM versus random forest regression, Spatial and Spatio-temporal Epidemiology, 35, (2020); Fruh L, Kampen H, Kerkow A, Schaub GA, Walther D, Wieland R., Modelling the potential distribution of an invasive mosquito species: comparative evaluation of four machine learning methods and their combinations, Ecological Modelling, 388, pp. 136-144, (2018); Uusitalo R, Siljander M, Culverwell CL, Mutai NC, Forbes KM, Vapalahti O, Et al., Predictive mapping of mosquito distribution based on environmental and anthropogenic factors in Taita Hills, Kenya, International Journal of Applied Earth Observation and Geoinformation, 76, pp. 84-92, (2019); Li SL, Acosta AL, Hill SC, Brady OJ, de Almeida MAB, Cardoso JdC, Et al., Mapping environmental suitability of Haemagogus and Sabethes spp. mosquitoes to understand sylvatic transmission risk of yellow fever virus in Brazil, PLOS Neglected Tropical Diseases, 16, 1, (2022); Georganos S, Grippa T, Niang Gadiaga A, Linard C, Lennert M, Vanhuysse S, Et al., Geographical random forests: a spatial extension of the random forest algorithm to address spatial heterogeneity in remote sensing and population modelling, Geocarto International, 36, 2, pp. 121-136, (2021); Rocklov J, Dubrow R., Climate change: an enduring challenge for vector-borne disease prevention and control, Nature Immunology, 21, 5, pp. 479-483, (2020); Wilke ABB, Carvajal A, Medina J, Anderson M, Nieves VJ, Ramirez M, Et al., Assessment of the effectiveness of BG-Sentinel traps baited with CO2 and BG-Lure for the surveillance of vector mosquitoes in Miami-Dade County, Florida, PLOS ONE, 14, 2, (2019); Gorsich EE, Beechler BR, van Bodegom PM, Govender D, Guarido MM, Venter M, Et al., A comparative assessment of adult mosquito trapping methods to estimate spatial patterns of abundance and community composition in southern Africa, Parasites &amp; Vectors, 12, 1, (2019); Li Y, Su X, Zhou G, Zhang H, Puthiyakunnon S, Shuai S, Et al., Comparative evaluation of the efficiency of the BG-Sentinel trap, CDC light trap and Mosquito-oviposition trap for the surveillance of vector mosquitoes, Parasites &amp; Vectors, 9, 1, (2016); Luhken R, Pfitzner WP, Borstler J, Garms R, Huber K, Schork N, Et al., Field evaluation of four widely used mosquito traps in Central Europe, Parasites &amp; Vectors, 7, 1, (2014); Wilke ABB, Vasquez C, Carvajal A, Moreno M, Petrie WD, Beier JC., Evaluation of the effectiveness of BG-Sentinel and CDC light traps in assessing the abundance, richness, and community composition of mosquitoes in rural and natural areas, Parasites &amp; Vectors, 15, 1, (2022); Placement and effects of Biogents mosquito traps; Miami-Dade County Open Data Hub 2021; ArcGIS [GIS Software]; Per Capita Income: Miami Matters; Venables WN, Ripley BD., Modern Applied Statistics with S (MASS), 7; R: A Language and Environment for Statistical Computing, (2021); RStudio: Integrated Development for R, (2020); Microsoft Excel for Mac; Ishwaran H, Kogalur UB., Fast Unified Random Forests for Survival, Regression, and Classification (RF-SRC); Cianci D, Hartemink N, Ibanez-Justicia A., Modelling the potential spatial distribution of mosquito species using three different techniques, International Journal of Health Geographics, 14, 1, (2015); Raymundo CE, de Andrade Medronho R., Association between socio-environmental factors, coverage by family health teams, and rainfall in the spatial distribution of Zika virus infection in the city of Rio de Janeiro, Brazil, in 2015 and 2016, BMC Public Health, 21, 1, (2021); Zambrana JV, Carrillo FB, Burger-Calderon R, Collado D, Sanchez N, Ojeda S, Et al., Seroprevalence, risk factor, and spatial analyses of Zika virus infection after the 2016 epidemic in Managua, Nicaragua, Proceedings of the National Academy of Sciences, 115, 37, pp. 9294-9299, (2018); Wilke ABB, Vasquez C, Carvajal A, Medina J, Chase C, Cardenas G, Et al., Proliferation of Aedes aegypti in urban environments mediated by the availability of key aquatic habitats, Scientific Reports, 10, 1, (2020); Araujo RV, Albertini MR, Costa-da-Silva AL, Suesdek L, Franceschi NCS, Bastos NM, Et al., São Paulo urban heat islands have a higher incidence of dengue than other urban areas, The Brazilian Journal of Infectious Diseases, 19, 2, pp. 146-155, (2015); de Jesus Crespo R, Rogers RE., Habitat Segregation Patterns of Container Breeding Mosquitos: The Role of Urban Heat Islands, Vegetation Cover, and Income Disparity in Cemeteries of New Orleans, International Journal of Environmental Research and Public Health, 19, 1, (2022); Rodrigues MdM, Marques GRAM, Serpa LLN, Arduino MdB, Voltolini JC, Barbosa GL, Et al., Density of Aedes aegypti and Aedes albopictus and its association with number of residents and meteorological variables in the home environment of dengue endemic area, São Paulo, Brazil, Parasites &amp; Vectors, 8, 1, (2015); Wilk-da-Silva R, de Souza Leal Diniz MMC, Marrelli MT, Wilke ABB., Wing morphometric variability in Aedes aegypti (Diptera: Culicidae) from different urban built environments, Parasites &amp; Vectors, 11, 1, (2018); Chouin-Carneiro T, David MR, de Bruycker Nogueira F, dos Santos FB, Lourenco-de-Oliveira R., Zika virus transmission by Brazilian Aedes aegypti and Aedes albopictus is virus dose and temperature-dependent, PLOS Neglected Tropical Diseases, 14, 9, (2020); Louise C, Vidal PO, Suesdek L., Microevolution of Aedes aegypti, PLOS ONE, 10, 9, (2015)</t>
  </si>
  <si>
    <t xml:space="preserve">J. Alexander; University of Miami Department of Public Health, Miami, United States; email: jagger.alexander@vanderbilt.edu</t>
  </si>
  <si>
    <t xml:space="preserve">2-s2.0-85145426091</t>
  </si>
  <si>
    <t xml:space="preserve">Bukhari S.N.H.; Jain A.; Haq E.</t>
  </si>
  <si>
    <t xml:space="preserve">Bukhari, Syed Nisar Hussain (57301039700); Jain, Amit (57222641706); Haq, Ehtishamul (6701597423)</t>
  </si>
  <si>
    <t xml:space="preserve">57301039700; 57222641706; 6701597423</t>
  </si>
  <si>
    <t xml:space="preserve">A Novel Ensemble Machine Learning Model for Prediction of Zika Virus T-Cell Epitopes</t>
  </si>
  <si>
    <t xml:space="preserve">Zika virus belongs to the genus Flavivirus and causes Zika fever in humans. World Health Organization (WHO) declared its outbreak as Public Health Emergency of International Concern in 2016. Currently, there is no approved vaccine for clinical use to combat the Zika Virus infection and its epidemic. The in-silico approach to T-cell epitope prediction of Zika virus is useful to save biologist's time and efforts for vaccine development. The authors have proposed a novel ensemble machine learning model to predict Zika virus T–cell epitopes using physicochemical properties of amino acids. The model has been designed by fusing the top two performing classifiers from among the six machine learning classifiers (base classifiers). The peptide sequences consisting of experimentally determined T-cell epitopes and non-epitopes of Zika virus were collected from Immune Epitope Database and Analysis Resource (IEDB). The authors have verified the model through Technique for Order of Preference by Similarity to Ideal Solution (TOPSIS). The proposed model achieved an accuracy of 92.11% on the test dataset. We validated the model using a separate validation set and the model achieved an accuracy of 93.47%, Gini of 0.968, AUC of 0.996, the sensitivity of 0.964, and specificity of 0.961. To check the robustness of the model, a technique called repeated k-fold cross-validation was used, and an average accuracy of 91.7% was recorded. The predicted epitopes would undoubtedly play a critical role in designing vaccines to save lives across the globe from this deadly virus. © 2022, The Author(s), under exclusive license to Springer Nature Singapore Pte Ltd.</t>
  </si>
  <si>
    <t xml:space="preserve">10.1007/978-981-16-6285-0_23</t>
  </si>
  <si>
    <t xml:space="preserve">https://www.scopus.com/inward/record.uri?eid=2-s2.0-85119694109&amp;doi=10.1007%2f978-981-16-6285-0_23&amp;partnerID=40&amp;md5=9dd2c661996aaee2e9e08c195e9ca213</t>
  </si>
  <si>
    <t xml:space="preserve">University Institute of Computing, Chandigarh University, N95, Chandigarh-Ludhiana Highway, Mohali, Punjab, 140413, India; Department of Biotechnology, University of Kashmir, Srinagar, Jammu and Kashmir, 190006, India</t>
  </si>
  <si>
    <t xml:space="preserve">Bukhari S.N.H., University Institute of Computing, Chandigarh University, N95, Chandigarh-Ludhiana Highway, Mohali, Punjab, 140413, India; Jain A., University Institute of Computing, Chandigarh University, N95, Chandigarh-Ludhiana Highway, Mohali, Punjab, 140413, India; Haq E., Department of Biotechnology, University of Kashmir, Srinagar, Jammu and Kashmir, 190006, India</t>
  </si>
  <si>
    <t xml:space="preserve">Ensemble; Epitope; Immunoinformatics; Machine learning; Stacking; T-cell; TOPSIS; Zika virus</t>
  </si>
  <si>
    <t xml:space="preserve">Cytology; Epitopes; Forecasting; Machine learning; Physicochemical properties; Statistical tests; T-cells; Vaccines; Ensemble; Flavivirus; Ideal solutions; Immunoinformatic; Machine learning models; Stackings; T-cell epitopes; Technique for order of preference by similarity to ideal solution; World Health Organization; Zika virus; Viruses</t>
  </si>
  <si>
    <t xml:space="preserve">Report of World Health Organization, Indian J Pediat, (1948); Mirza M.U., Et al., Towards peptide vaccines against Zika virus: Immunoinformatics combined with molecular dynamics simulations to predict antigenic epitopes of Zika viral proteins, Sci Rep, 2016, December, pp. 1-18, (2016); Pandey R.K., Designing B-and T-cell multi-epitope based subunit vaccine using immunoinformatics approach to control Zika virus infection, J Cell Biochem, pp. 1-12, (2018); Lindenbach B.D., Rice C.M., Molecular biology of flaviviruses, Adv Virus Res, 59, (2003); Zhang X., Jia R., Shen H., Wang M., Yin Z., Cheng A., Structure and functions of the envelope glycoprotein in flavivirus infections, Viruses, 9, 338, pp. 1-14, (2017); Retallack H., Lullo E.D., Arias C., Knopp K.A., Laurie M.T., Sandoval-Espinosa C., Leon W.R.M., Krencik R., Ullian E.M., Spatazza J., Pollen A.A., Mandel-Brehm C., Nowakowski T.J., Kriegstein A.R., Derisi J.L., Zika virus cell tropism in the developing human brain and inhibition by azithromycin, PNAS, 113, 5, pp. 14408-14413, (2016); Meertens L., Labeau A., Dejamac O., Gressens P., Schwartz O., Axl mediates ZIKA virus entry in human glial cells and modulates innate immune responses, Cell Rep, 18, pp. 324-333; Davis B.S., Chang G.-J., Cropp B., Roehrig J.T., Martin D.A., Mitchell C.J., Bowen R., Bunning M.L., West Nile virus recombinant DNA vaccine protects mouse and horse from virus challenge and expresses in vitro a noninfectious recombinant antigen that can be used in enzyme-linked immunosorbent assays, J Virol, 75, pp. 4040-4047, (2001); Monath T.P., Guirakhoo F., Nichols R., Yoksan S., Schrader R., Murphy C., Blum P., Woodward S., McCarthy D., Mathis K., Chimeric live, attenuated vaccine against Japanese encephalitis (ChimeriVax-JE): Phase 2 clinical trials for safety and immunogenicity, effect of vaccine dose and schedule, and memory response to challenge with inactivated Japanese encephalitis antigen, J Infect Dis, 188, pp. 1213-1230, (2003); Putnak R., Barvir D.A., Burrous J.M., Dubois D.R., D'Andrea V.M., Hoke C.H., Sadoff J.C., Eckels K.H., Development of a purified, inactivated, dengue-2 virus vaccine prototype in Vero cells: Immunogenicity and protection in mice and rhesus monkeys, J Infect Dis, 174, pp. 1176-1184, (1996); Plourde A.R., Bloch E., A literature review of Zika virus, Emerg Infect Dis, 22, pp. 1185-1192, (2016); Slenczka W., Zika Virus Disease. Microbiol Spectr, 4, pp. EI10-0019, (2016); Prasasty V.D., Grazzolie K., Rosmalena R., Yazid F., Peptide-based subunit vaccine design of T-and B-cells multi-epitopes against Zika virus using immunoinformatics approaches, Microorganisms, (2019); Alam A., Ali S., From ZikV genome to vaccine: In silico approach for the epitope based peptide vaccine against Zika virus envelope glycoprotein, Immunology, (2016); Babar M.M., Waheed Y., Prediction of promiscuous T-cell epitopes in the Zika virus polyprotein: An in silico approach, Asian Pac J Trop Med, 9, 9, pp. 844-850, (2016); Zhao Y., Pinilla C., Valmori D., Martin R., Simon R., Application of support vector machines for T-cell epitopes prediction, Bioinformatics, 19, 15, pp. 1978-1984, (2003); Brusic V., Bajic V.B., Petrovsky N., Computational methods for prediction of T-cell epitopes a framework for modelling, testing, and applications, Methods, 34, 4, pp. 436-443, (2004); Bhasin M., Raghava G., Prediction of CTL epitopes using QM, SVM and ANN techniques, Vaccine, 22, 23-24, pp. 3195-3204, (2004); Nielsen M., Lund O., NN-align. An artificial neural network based alignment algorithm for MHC class II peptide binding prediction, BMC Bioinform, 10, 1, (2009); Jensen K.K., Andreatta M., Marcatili P., Buus S., Greenbaum J.A., Yan Z., Sette A., Peters B., Nielsen M., Improved methods for predicting peptide binding affinity to MHC class II molecules, Immunology, 154, 3, pp. 394-406, (2018); Buus S., Lauemoller S., Worning P., Kesmir C., Frimurer T., Corbet S., Fomsgaard A., Hilden J., Holm A., Brunak S., Sensitive quantitative predictions of peptide-MHC binding by a query by committee artificial neural network approach, Tissue Antigens, 62, 5, pp. 378-384, (2003); Andreatta M., Nielsen M., Gapped sequence alignment using artificial neural networks: Application to the MHC class I system, Bioinformatics, 32, 4, pp. 511-517, (2015); Vita R., Mahajan S., Overton J.A., Dhanda S.K., Martini S., Cantrell J.R., Wheeler D.K., Sette A., Peters B., The immune epitope database (IEDB): 2018 update, Nucleic Acids Res, (2018); The R Foundation R Programming; Ikai A., Thermostability and aliphatic index of globular proteins, J Biochem, 88, 6, (1980); Boman H.G., Antibacterial peptides: Basic facts and emerging concepts, J Intern Med, 254, 3, pp. 197-215, (2003); Guruprasad K., Reddy B.V., Pandit M.W., Correlation between stability of a protein and its dipeptide composition: A novel approach for predicting in vivo stability of a protein from its primary sequence, Protein Eng, 4, 2, pp. 155-161, (1990); Eisenberg D., Weiss R.M., Terwilliger T.C., The hydrophobic moment detects periodicity in protein hydrophobicity, Proc National Academy of Sciences, 1984, Pp, 81, 1, pp. 140-144, (1984); Gasteiger E., Hoogland C., Gattiker A., Wilkins M.R., Appel R.D., Bairoch A., The Proteomics Protocols Handbook, (2005); Ripley B., Venables W., Package ‘NNET’, version 7.3-12. [Online]. Available: Ftp://tdf, C3sl.Ufpr.Br/Cran/%0Aweb/Packages/Kernlab/Kernlab.Pdf, (2016); Culp M., Johnson K., The R package ada for stochastic boosting. [Online], Available, (2016); Bruin J., Multinomial Logistic Regression | R Data Analysis, (2006); Hwang C.-L., Yoon K., Multiple Attribute Decision Making: Methods and Applications, (1981); Viedma M.D.P.M., Et al., Peptide arrays incubated with three collections of human sera from patients infected with mosquito-borne viruses, F1000research, 8, pp. 1-30, (2020); Bhasin M., Raghava G.P.S., Prediction of CTL epitopes using QM, SVM and ANN techniques, Vaccine, 22, 23-24, pp. 3195-3204, (2004); Zika: The continuing threat, Bull World Health Organ, 97, 1, pp. 6-7, (2019); Oyarzun P., Kobe B., Recombinant and epitope-based vaccines on the road to the market and implications for vaccine design and production, Hum Vaccin Immunother, 12, (2015); Steward M.W., The development of a mimotope-based synthetic peptide vaccine against respiratory syncytial virus, Biologicals, 29, 3-4, pp. 215-219, (2001); Olsen P.A.A.W., Hansen P.R., Holm A., Efficient protection against mycobacterium tuberculosis by vaccination with a single subdominant epitope from the ESAT-6 antigen, Eur J Immunol, 30, 6, pp. 1724-1732, (2000); Alzubi O.A., Et al., An optimal pruning algorithm of classifier ensembles: Dynamic programming approach, Neural Comput Appl, 32, 2, pp. 267-272, (2019); Alzubi J.A., Kumar A., Alzubi O.A., Manikandan R., Efficient approaches for prediction of brain tumor using machine learning techniques, Indian J Public Heal Res Dev, 10, 2, pp. 267-272, (2019)</t>
  </si>
  <si>
    <t xml:space="preserve">S.N.H. Bukhari; University Institute of Computing, Chandigarh University, Mohali, Punjab, N95, Chandigarh-Ludhiana Highway, 140413, India; email: nisar.bukhari@gmail.com</t>
  </si>
  <si>
    <t xml:space="preserve">2-s2.0-85119694109</t>
  </si>
  <si>
    <t xml:space="preserve">Nabet C.; Acherar A.; Huguenin A.; Tannier X.; Piarroux R.</t>
  </si>
  <si>
    <t xml:space="preserve">Nabet, Cécile (56444264200); Acherar, Aniss (57434494600); Huguenin, Antoine (37034166700); Tannier, Xavier (8979357900); Piarroux, Renaud (7003681059)</t>
  </si>
  <si>
    <t xml:space="preserve">56444264200; 57434494600; 37034166700; 8979357900; 7003681059</t>
  </si>
  <si>
    <t xml:space="preserve">Artificial Intelligence and Malaria</t>
  </si>
  <si>
    <t xml:space="preserve">Malaria disease is due to the infection with Plasmodium parasites transmitted by a mosquito vector belonging to the genus Anopheles. To combat malaria, effective diagnosis and treatment using artemisinin-based combinations are needed, as well as strategies that are aimed at reducing or stopping transmission by mosquito vectors. Even if the conventional microscopic diagnosis is the gold standard for malaria diagnosis, it is time consuming, and the diagnostic performance depends on techniques and human expertise. In addition, tools for characterizing Anopheles vectors are limited and difficult to establish in the field. The advent of computational biology, information technology infrastructures, and mobile computing power offers the opportunity to use artificial intelligence (AI) approaches to address challenges and technical needs specific to malaria-endemic countries. This chapter illustrates the trends, advances, and future challenges linked to the deployment of AI in malaria. Two innovative AI approaches are described. The first is the image-based automatic classification of malaria parasites and vectors, and the second is the proteomics analysis of vectors. The developed applications are aimed at facilitating malaria diagnosis by performing malaria parasite detection, species identification, and estimation of parasitaemia. In the future, they can lead to efficient and accurate diagnostic tools, revolutionizing the urgent diagnosis of malaria. Other applications focus on the characterization of mosquito vectors by performing species identification, behavior, and biology descriptions. If fieldvalidated, these promising approaches will facilitate the epidemiological monitoring of malaria vectors and saving resources by preventing or reducing malaria transmission. © Springer Nature Switzerland AG 2022.</t>
  </si>
  <si>
    <t xml:space="preserve">Springer International Publishing</t>
  </si>
  <si>
    <t xml:space="preserve">10.1007/978-3-030-64573-1_273</t>
  </si>
  <si>
    <t xml:space="preserve">https://www.scopus.com/inward/record.uri?eid=2-s2.0-85159020846&amp;doi=10.1007%2f978-3-030-64573-1_273&amp;partnerID=40&amp;md5=603d20a30f4897ea1c02296281cf0c1b</t>
  </si>
  <si>
    <t xml:space="preserve">Sorbonne Université, Inserm, Institut Pierre-Louis d’Epidémiologie et de Santé Publique, IPLESP, AP-HP, Groupe Hospitalier Pitié-Salpêtrière, Service de Parasitologie-Mycologie, Paris, France; EA 7510, ESCAPE, Laboratoire de Parasitologie-Mycologie, Université de Reims Champagne-Ardenne, Reims, France; Sorbonne Université, Inserm, Université Sorbonne Paris Nord, Laboratoire d’Informatique Médicale et d’Ingénierie des Connaissances pour la e-Santé, LIMICS, Paris, France</t>
  </si>
  <si>
    <t xml:space="preserve">Nabet C., Sorbonne Université, Inserm, Institut Pierre-Louis d’Epidémiologie et de Santé Publique, IPLESP, AP-HP, Groupe Hospitalier Pitié-Salpêtrière, Service de Parasitologie-Mycologie, Paris, France; Acherar A., Sorbonne Université, Inserm, Institut Pierre-Louis d’Epidémiologie et de Santé Publique, IPLESP, AP-HP, Groupe Hospitalier Pitié-Salpêtrière, Service de Parasitologie-Mycologie, Paris, France; Huguenin A., EA 7510, ESCAPE, Laboratoire de Parasitologie-Mycologie, Université de Reims Champagne-Ardenne, Reims, France; Tannier X., Sorbonne Université, Inserm, Université Sorbonne Paris Nord, Laboratoire d’Informatique Médicale et d’Ingénierie des Connaissances pour la e-Santé, LIMICS, Paris, France; Piarroux R., Sorbonne Université, Inserm, Institut Pierre-Louis d’Epidémiologie et de Santé Publique, IPLESP, AP-HP, Groupe Hospitalier Pitié-Salpêtrière, Service de Parasitologie-Mycologie, Paris, France</t>
  </si>
  <si>
    <t xml:space="preserve">Anopheles; Artificial intelligence; Artificial neural networks; Machine learning; Malaria; Malaria diagnosis; MALDI-TOF MS; Plasmodium; Vector control</t>
  </si>
  <si>
    <t xml:space="preserve">Manguin S., Carnevale P., Mouchet J., Coosemans M., Julvez J., Richard-Lenoble D., Et al., Biodiversity of malaria in the world, pp. 464-478, (2008); White N.J., Pukrittayakamee S., Hien T.T., Faiz M.A., Mokuolu O.A., Dondorp A.M., Malaria, Lancet, 383, 9918, pp. 723-735, (2014); 20 years of global progress and challenges, (2020); Global Vector Control Response 2017-2030, (2017); Michalakis Y., Renaud F., Malaria: Evolution in vector control, Nature, 462, 7271, pp. 298-300, (2009); Maze M.J., Bassat Q., Feasey N.A., Mandomando I., Musicha P., Crump J.A., The epidemiology of febrile illness in sub-Saharan Africa: Implications for diagnosis and management, Clin Microbiol Infect, 24, 8, pp. 808-814, (2018); Wongsrichanalai C., Barcus M.J., Muth S., Sutamihardja A., Wernsdorfer W.H., A review of malaria diagnostic tools: Microscopy and rapid diagnostic test (RDT), AmJ Trop Med Hyg, 77, pp. 119-127, (2007); Mathison B.A., Pritt B.S., Update on malaria diagnostics and test utilization, J Clin Microbiol, 55, 7, pp. 2009-2017, (2017); Mayengue P.I., Kouhounina Batsimba D., Dossou-Yovo L.R., Niama R.F., Macosso L., Pembet Singana B., Et al., Evaluation of routine microscopy performance for malaria diagnosis at three different health centers in Brazzaville, Republic of Congo, Malar Res Treat, 2018, (2018); Gwer S., Newton C.R.J.C., Berkley J.A., Over-diagnosis and co-morbidity of severe malaria in African children: A guide for clinicians, Am J Trop Med Hyg, 77, pp. 6-13, (2007); A-Elgayoum S.M.E., El-Feki A.E.K.A., Mahgoub B.A., El-Rayah E.A., Giha H.A., Malaria overdiagnosis and burden of malaria misdiagnosis in the suburbs of central Sudan: Special emphasis on artemisinin-based combination therapy era, Diagn Microbiol Infect Dis, 64, 1, pp. 20-26, (2009); Manguin S., Garros C., Dusfour I., Harbach R.E., Coosemans M., Bionomics, taxonomy, and distribution of the major malaria vector taxa of Anopheles subgenus Cellia in Southeast Asia: An updated review, Infect Genet Evol, 8, 4, pp. 489-503, (2008); Wolk D.M., Clark A.E., Matrix-assisted laser desorption time of flight mass spectrometry, Clin Lab Med, 38, 3, pp. 471-486, (2018); Normand A.-C., Becker P., Gabriel F., Cassagne C., Accoceberry I., Gari-Toussaint M., Et al., Validation of a new web application for identification of fungi by use of matrix-assisted laser desorption ionization-time of flight mass spectrometry, J Clin Microbiol, 55, 9, pp. 2661-2670, (2017); Murugaiyan J., Roesler U., MALDI-TOF MS profilingadvances in species identification of pests, parasites, and vectors, Front Cell Infect Microbiol, 7, (2017); Yssouf A., Almeras L., Raoult D., Parola P., Emerging tools for identification of arthropod vectors, Future Microbiol, 11, 4, pp. 549-566, (2016); Nabet C., Kone A.K., Dia A.K., Sylla M., Gautier M., Yattara M., Et al., New assessment of Anopheles vector species identification using MALDI-TOF MS, Malar J, 20, 1, pp. 1-17, (2021); Lachaud L., Fernandez-Arevalo A., Norman A.C., Lami P., Nabet C., Donnadieu J.L., Et al., Identification of Leishmania by matrix-assisted laser desorption ionization-time of flight (MALDI-TOF) mass spectrometry using a free web-based application and a dedicated mass-spectral library, J Clin Microbiol, 55, 10, pp. 2924-2933, (2017); Johnson B.J., Hugo L.E., Churcher T.S., Ong O.T.W., Devine G.J., Mosquito age grading and vector-control programmes, Trends Parasitol, 36, 1, pp. 39-51, (2020); Pollak J.J., Houri-Yafin A., Salpeter S.J., Computer vision malaria diagnostic systems - progress and prospects, Front Public Health, 5, August, pp. 1-5, (2017); Rehman A., Abbas N., Saba T., Mehmood Z., Mahmood T., Ahmed K.T., Microscopic malaria parasitemia diagnosis and grading on benchmark datasets, Microsc Res Tech, 81, 9, pp. 1042-1058, (2018); Schwalbe N., Wahl B., Artificial intelligence and the future of global health, Lancet, 395, 10236, pp. 1579-1586, (2020); Savkare S.S., Narote S.P., Automated system for malaria parasite identification, 2015 International conference on communication, information and computing technology (ICCICT), (2015); Abdul Nasir A.S., Mashor M.Y., Mohamed Z., Segmentation based approach for detection of malaria parasites using moving k-means clustering, 2012 IEEE-EMBS conference on biomedical engineering and sciences, pp. 653-658, (2012); Khan N.A., Pervaz H., Latif A., Musharaff A., Unsupervised identification of malaria parasites using computer vision, 2014 11th international joint conference on computer science and software engineering (JCSSE), pp. 263-267, (2014); Hearst M.A., Scholkopf B., Dumais S., Osuna E., Platt J., Trends and controversies - Support vector machines, 13 (4), IEEE Intelligent systems and their applications, pp. 18-28, (1998); Das D.K., Maiti A.K., Chakraborty C., Automated system for characterization and classification of malariainfected stages using light microscopic images of thin blood smears, J Microsc, 257, 3, pp. 238-252, (2015); De Fauw J., Ledsam J.R., Romera-Paredes B., Nikolov S., Tomasev N., Blackwell S., Et al., Clinically applicable deep learning for diagnosis and referral in retinal disease, Nat Med, 24, 9, pp. 1342-1350, (2018); Zhang Z., Chen P., McGough M., Xing F., Wang C., Bui M., Et al., Pathologist-level interpretable wholeslide cancer diagnosis with deep learning, Nat Mach Intell, 1, 5, pp. 236-245, (2019); Liang Z., Powell A., Ersoy I., Poostchi M., Silamut K., Palaniappan K., Et al., CNN-based image analysis for malaria diagnosis, 2016 IEEE international conference on bioinformatics and biomedicine (BIBM), pp. 493-496, (2016); Krizhevsky A., Sutskever I., Hinton G.E., Imagenet classification with deep convolutional neural networks, Commun ACM, 60, 6, pp. 84-90, (2017); Simonyan K., Zisserman A., Very deep convolutional networks for large-scale image recognition, The 3rd International Conference on Learning Representations (ICLR 2015); Szegedy C., Liu W., Jia Y., Sermanet P., Reed S., Anguelov D., Et al., Going deeper with convolutions, 2015 IEEE conference on computer vision and pattern recognition (CVPR), pp. 1-9, (2015); Mehanian C., Jaiswal M., Delahunt C., Thompson C., Horning M., Hu L., Et al., Computer-automated malaria diagnosis and quantitation using convolutional neural networks, 2017 IEEE international conference on computer vision workshops (ICCVW), pp. 116-125, (2017); Rajaraman S., Antani S.K., Poostchi M., Silamut K., Hossain M.A., Maude R.J., Et al., Pre-trained convolutional neural networks as feature extractors toward improved malaria parasite detection in thin blood smear images, PeerJ, 6, (2018); He K., Zhang X., Ren S., Sun J., Deep residual learning for image recognition, 2016 IEEE conference on computer vision and pattern recognition (CVPR), pp. 770-778, (2016); Huang G., Liu Z., van der Maaten L., Weinberger K.Q., Densely connected convolutional networks, 2017 IEEE conference on computer vision and pattern recognition (CVPR), pp. 2261-2269, (2017); Chollet F., Xception: Deep learning with depthwise separable convolutions, 2017 IEEE conference on computer vision and pattern recognition (CVPR), pp. 1800-1807, (2017); Rahman A., Zunair H., Rahman M.S., Yuki J.Q., Biswas S., Alam M.A., Et al., Improving malaria parasite detection from red blood cell using deep convolutional neural networks, (2019); Bailo O., Ham D., Shin Y.M., Red blood cell image generation for data augmentation using Conditional Generative Adversarial Networks, 2019 IEEE/CVF conference on computer vision and pattern recognition workshops (CVPRW), pp. 1039-1048, (2019); Wang T.C., Liu M.Y., Zhu J.Y., Tao A., Kautz J., Catanzaro B., High-resolution image synthesis and semantic manipulation with conditional GANs, 2018 IEEE/ CVF conference on computer vision and pattern recognition, pp. 8798-8807, (2018); Long J., Shelhamer E., Trevor D., Fully convolutional networks for semantic segmentation, 2017 IEEE transactions on pattern analysis and machine intelligence, pp. 640-651, (2017); Bashar M.K., Automated classification of malaria parasite stages using convolutional neural networkclassification of life-cycle stages of malaria parasites, 2019 Proceedings of the 3rd international conference on vision, image and signal processing, pp. 1-5, (2019); Hung J., Carpenter A., Applying faster R-CNN for object detection on malaria images, 2017 IEEE conference on computer vision and pattern recognition workshops (CVPRW), pp. 56-61, (2017); Ren S., He K., Girshick R., Sun J., Faster R-CNN: Towards real-time object detection with region proposal networks, 2015 IEEE transactions on pattern analysis and machine intelligence, pp. 1-9, (2015); Zhao O.S., Kolluri N., Anand A., Chu N., Bhavaraju R., Ojha A., Et al., Convolutional neural networks to automate the screening of malaria in low-resource countries, PeerJ, 8, (2020); Liu W., Anguelov D., Erhan D., Szegedy C., Reed S., Fu C.-Y., Et al., SSD: Single shot multibox detector, European conference on computer vision (ECCV), pp. 21-37, (2016); Dong C., Loy C.C., Tang X., Accelerating the superresolution convolutional neural network, 2016 Proceedings of European conference on computer vision (ECCV), pp. 391-407, (2016); Yu H., Yang F., Rajaraman S., Ersoy I., Moallem G., Poostchi M., Et al., Malaria Screener: A smartphone application for automated malaria screening, BMC Infect Dis, 20, 825, pp. 1-8, (2020); Yang F., Yu H., Silamut K., Maude R.J., Jaeger S., Antani S., Smartphone-supported malaria diagnosis based on deep learning, Machine learning in medical imaging, 11861, (2019); Gopakumar G.P., Swetha M., Sai Siva G., Sai Subrahmanyam G.R.K., Convolutional neural networkbased malaria diagnosis from focus stack of blood smear images acquired using custom-built slide scanner, J Biophotonics, 11, 3, pp. 1-17, (2018); Lorenz C., Ferraudo A.S., Suesdek L., Artificial Neural Network applied as a methodology of mosquito species identification, Acta Trop, 152, pp. 165-169, (2015); Motta D., Bandeira Santos A.A., Souza Machado B.A., Vicente Ribeiro-Filho O.G., Arriaga Camargo L.O., Valdenegro-Toro M.A., Et al., Optimization of convolutional neural network hyperparameters for automatic classification of adult mosquitoes, PLoS One, 15, 7, pp. 1-30, (2020); Park J., Kim D.I., Choi B., Kang W., Kwon H.W., Classification and morphological analysis of vector mosquitoes using deep convolutional neural networks, Sci Rep, 10, 1, pp. 1-12, (2020); Goodwin A., Glancey M., Ford T., Scavo L., Brey J., Heier C., Et al., Development of a low-cost imaging system for remote mosquito surveillance, Biomed Opt Express, 11, 5, pp. 2560-2569, (2020); Hol F.J.H., Lambrechts L., Prakash M., BiteOscope: An open platform to study mosquito blood-feeding behavior, elife, 9, (2020); Kim K., Hyun J., Kim H., Lim H., Myung H., A deep learning-based automatic mosquito sensing and control system for urban mosquito habitats, Sensors (Basel), 19, 12, (2019); Muller P., Pfluger V., Wittwer M., Ziegler D., Chandre F., Simard F., Et al., Identification of cryptic Anopheles mosquito species by molecular protein profiling, PLoS One, 8, 2, (2013); Nabet C., Chaline A., Franetich J.F., Brossas J.Y., Shahmirian N., Silvie O., Et al., Prediction of malaria transmission drivers in Anopheles mosquitoes using artificial intelligence coupled to MALDI-TOF mass spectrometry, Sci Rep, 10, 1, (2020)</t>
  </si>
  <si>
    <t xml:space="preserve">978-303064573-1; 978-303064572-4</t>
  </si>
  <si>
    <t xml:space="preserve">2-s2.0-85159020846</t>
  </si>
  <si>
    <t xml:space="preserve">Srivastava A.; Anand A.; Kumar P.; Chakraborty S.</t>
  </si>
  <si>
    <t xml:space="preserve">Srivastava, Ashutosh (58190028100); Anand, Aman (59435943500); Kumar, Praveen (57208300249); Chakraborty, Sudeshna (58280900300)</t>
  </si>
  <si>
    <t xml:space="preserve">58190028100; 59435943500; 57208300249; 58280900300</t>
  </si>
  <si>
    <t xml:space="preserve">Comprehensive review on applications of machine learning in healthcare</t>
  </si>
  <si>
    <t xml:space="preserve">Machine learning is the use of artificial intelligence which gives the system the expertise to master and upgrade themselves automatically from experience in the absence of being clearly programmed. Machine learning mainly prioritizes the development and designing of software that can blow-up data and utilize it to train for themselves. The continual feature of machine learning is important because as applications are exposed to newly fed data, they are capable to independently adapt to the environment. They train from previously applied computations to produce reliability, repeatable decisions and results. Machine Learning in healthcare is a field, which uses advanced analytics on different types of data-structured &amp; unstructured, to obtain insights and generate predictions aiding in improving the quality of healthcare drastically. One could imagine how practical it would be to predict a patient's risk for a disease or an organ malfunction in advance based on a record of their previous diagnostics, test results, ancestry, etc. The practicality of machine learning in healthcare lies in its ability to procure enormous datasets beyond the stretch of human's capability, and then genuinely convert those data with analytics into insightful results which then aids the healthcare sector to efficiently plan and provide supervision, eventually leading to greater outcomes-reduced costs of treatment, drug discoveries, and an satisfactory patient. In this proposed chapter we discuss the various applications of machine learning in the healthcare sector discussing various outstanding researches are followed in different types of analytics and integrated into clinical practices across the world by various healthcare organizations. The various applications of machine learning in the field of healthcare includes: Improving healthcare services of community clinics using machine learning techniques, smart neonatal healthcare system, malaria detection using convolutional neural networks based image analysis, diabetes detection using support vector machines, machine learning for developing personalized medicine for predicting myocardial infarction, techniques to compare performance of risk prediction models for forecasting postoperative sepsis and acute kidney injury, precision psychiatry for predicting mental illness, heart disease diagnostics using support vector machines, prediction of 30-day mortality among stroke victims in rural hospitals, advanced machine learning techniques for noninvasive monitoring of brain hemorrhage, etc. The above mentioned research focuses mostly on rural health care. This chapter also includes these topics also because of how the advancement in machine learning is effectively helping with the diagnosis in the rural sectors without the availability of expensive and modern machinery. Rather the machine learning models trained and tested in the labs with high compute power let us convert the worldwide data into clinical insights, that are helping physicians in rural areas without relying on numerous lab tests and benefiting from the clinical trial data to plan and provide care to those sectors where satisfactory outcomes in a low cost was not available before. © 2022 Nova Science Publishers, Inc.</t>
  </si>
  <si>
    <t xml:space="preserve">Machine Learning Algorithms for Engineering Applications: Future Trends and Research Directions</t>
  </si>
  <si>
    <t xml:space="preserve">Nova Science Publishers, Inc.</t>
  </si>
  <si>
    <t xml:space="preserve">https://www.scopus.com/inward/record.uri?eid=2-s2.0-85152977464&amp;partnerID=40&amp;md5=78b92428e1d9de6a13a10b1ac03dd603</t>
  </si>
  <si>
    <t xml:space="preserve">Amazon Development Center, India; AlsoEnergy India, India; VIT Bhopal University, Sehore, India; Department of Computer Science and Engineering, Lloyd Institute of Engineering and Technology, Greater Noida, India</t>
  </si>
  <si>
    <t xml:space="preserve">Srivastava A., Amazon Development Center, India; Anand A., AlsoEnergy India, India; Kumar P., VIT Bhopal University, Sehore, India; Chakraborty S., Department of Computer Science and Engineering, Lloyd Institute of Engineering and Technology, Greater Noida, India</t>
  </si>
  <si>
    <t xml:space="preserve">Meyer P., Noblet V., Mazzara C., Lallement A., Survey on deep learning for radiotherapy, Computers in Biology &amp; Med,, (2018); Bibault J.E., Giraud P., Burgun A., Big data and machine learning in radiation oncology: State of the art and future prospects, Cancer Letters,, (2016); Lustberg T., van Soest J., Jochems A., Deist T., van Wijk Y., Walsh S., Et al., Big data in radiation therapy: Challenges and opportunities, British Journal Radiology, (2017); Shah P., Kendall F., Khozin S., Goosen R., Et al., Artificial Intelligence and Machine Learning in clinical development: A translational perspective, Npj Digital Medicine, (2019); Topol E., Et al., High-performance medicine: The convergence of human and artificial intelligence, Nature Medicine, (2019); Esteva A., Et al., Dermatologist-level classification of skin cancer with deep neural networks, Nature, (2017); Azavedo E., Zackrisson S., Mejare I., Heibert Arnlind M., Is single reading with computer-aided detection (CAD) as good as double reading in mammography screening?, A systematic review. BMC Med Imaging.,, (2012); Lee J.G., Jun S., Cho Y.W., Et al., Deep learning in medical imaging: General overview, Korean Journal of Radiology, (2017); Russell S., Bohannon J., Artificial intelligence. Fears of an AI pioneer, Science.,, (2015); Alipanahi B., Delong A., Weirauch M.T., Frey B.J., Predicting the sequence specificities of DNA-and RNA-binding proteins by deep learning, Nature Biotechnology,, (2015); Krittanawong C., The rise of artificial intelligence and the uncertain future for physicians, European Journal of International Medicine.,, (2018); Vamathevan J., Clark D., Czodrowski P., Dunham I., Et al., Applications of machine learning in drug discovery and development, Nature Reviews Drug Discovery, (2019); Chen H., Engkvist O., Wang Y., Olivecrona M., Blaschke T., The rise of deep learning in drug discovery, Drug Discovery Today.,, (2018); Hinton G., Deep learning-a technology with the potential to transform health care, JAMA.,, (2018); Wong C.H., Siah K.W., Lo A.W., Estimation of clinical trial success rates and related parameters, Biostatistics.,, (2018); Jeon J., Et al., A systematic approach to identify novel cancer drug targets using machine learning, inhibitor design and high-throughput screening, Genome Medicine, (2014); Lee J.G., Jun S., Cho Y.W., Et al., Deep learning in medical imaging: General overview, Korean Journal of Radiology, (2017); Gillies R.J., Kinahan P.E., Hricak H., Radiomics: Images are more than pictures, they are data, Radiology.,, (2016); Riniker S., Wang Y., Jenkins J., Landrum G., Using information from historical high-throughput screens to predict active compounds, Journal of Chemical Information and Modeling.,, (2014); Feng M., Valdes G., Dixit N., Solberg T.D., Machine learning in radiation oncology: Opportunities, requirements, and needs, Frontiers in Oncology,, (2018); Karunasena R., Dalal S., Thakkar D., Et al., Measuring Data Collection Quality for Community Healthcare; Koh H.C., Et al., Data Mining Applications in Healthcare, Journal of Healthcare Information Management, (2011); Kohli M., Et al., Implementing Machine Learning in Radiology Practice and Research, American Journal of Roentgenology, (2017); Halabi S.S., Et al., The RSNA Pediatric Bone Age Machine Learning Challenge, Radiology, (2018); Su A., Et al., Natural Language-based Machine Learning Models for the Annotations of the Clinical Radiology Reports, Radiology, (2018); Nguyen D.H.M., Et al., Supervised Machine Learning and Active Learning in Classification of Radiology Reports, Journal of American Medical Informatics Association, (2014); Lavecchia A., Machine Learning Approaches in Drug Discovery: Methods and Applications, Drug Discovery Today,, (2015); Burbridge R., Et al., Drug Design by Machine Learning: Support Vector Machine for Pharmaceutical Data Analysis, Computers and Chemistry, (2001); Tan J., Et al., From Machine Learning to Deep Learning: Progress in Machine Intelligence for Rational Drug Discovery, Drug Discovery Today, (2017); Ding H., Et al., Similarity-based machine Learning Methods for Predicting DrugTarget Interactions: A Brief Review, Briefings in Bioinformatics, (2014); Zhang L., Et al., Applications in Machine Learning in Drug Toxicity Predictions, Current Topics in Medical Chemistry, (2018); Mirzaei G., Et al., Imaging and Machine Learning Techniques for Diagnosis of Alzheimer's Disease, Reviews in Neurosciences, (2016); Shukla P.K., Verma A., Mehta D.H., Et al., Automated Ocular Artifacts Identification and Removal from EEG Data Using Hybrid machine Learning Methods, IEEE SPIN, (2020); Shukla P.K., Kumar R., Et al., Human Activity Recognition Using Accelerometer and Gyroscope Data from Smartphones, IEEE ICONC3, (2020); Chaurasia R.K., Shukla P.K., Et al., An Experimental Analysis of Motor Imagery EEG Signals Using Feature Extraction and Classification Methodologies, IEEE GUCON, (2018); Shukla P.K., Chaurasia R.K., Et al., A Review on Classification Methods Used in EEG-Based Home Control Systems, IEEE ICRAIE, (2018)</t>
  </si>
  <si>
    <t xml:space="preserve">P. Kumar; VIT Bhopal University, Sehore, India; email: Praveenlnct98@gmail.com</t>
  </si>
  <si>
    <t xml:space="preserve">979-888697086-9; 978-168507449-4</t>
  </si>
  <si>
    <t xml:space="preserve">Machine Learning Algorithms for Engineering Applic.: Future Trends and Res. Dir.</t>
  </si>
  <si>
    <t xml:space="preserve">2-s2.0-85152977464</t>
  </si>
  <si>
    <t xml:space="preserve">Sundaramahalingam M.A.; Kabra R.; Singh S.</t>
  </si>
  <si>
    <t xml:space="preserve">Sundaramahalingam, M.A. (57220597903); Kabra, Ritika (57188670819); Singh, Shailza (9737402100)</t>
  </si>
  <si>
    <t xml:space="preserve">57220597903; 57188670819; 9737402100</t>
  </si>
  <si>
    <t xml:space="preserve">Construction of Feedforward Multilayer Perceptron Model for Diagnosing Leishmaniasis Using Transcriptome Datasets and Cognitive Computing</t>
  </si>
  <si>
    <t xml:space="preserve">Leishmaniasis is an endemic parasitic disease, predominantly found in the poor locality of Africa, Asia, and Latin America. It is associated with malnutrition, the weak immune system of people, and their housing locality. It is diagnosed by microscopic identification, molecular and biochemical characterization, or serum analysis for parasitic compounds. In this study, we present a new approach for diagnosing leishmaniasis using transcriptome data and cognitive computing. The transcriptome data of leishmaniasis were collected from the Gene Expression Omnibus database, and it was processed. The algorithm for training and developing a model based on the data was prepared and coded using python. The algorithm and their corresponding datasets were integrated using the TensorFlow data frame. A feedforward artificial neural network trained model with multilayer perceptron was developed as a diagnosing model for leishmaniasis, using transcriptome data. It was created using a recurrent neural network. The cognitive model of the trained network was interpreted using the maps and mathematical formula of the influencing parameters. The credit of the system was measured using the accuracy, loss, and error of the system. This integrated leishmaniasis transcriptome data and neural network system acted as an excellent diagnosis model with higher accuracy and lower error. The experimental results of feedforward multilayer perceptron model after normalization, mean square error (219.84), loss function (1.94), and accuracy (85.71%) of the model show the excellent fit of the model with the process, and it could be a better solution for diagnosing leishmaniasis in future, using transcriptome data. (Figure Presented). © The Editor(s) (if applicable) and The Author(s), under exclusive license to Springer Nature Singapore Pte Ltd. 2022.</t>
  </si>
  <si>
    <t xml:space="preserve">Machine Learning and Systems Biology in Genomics and Health</t>
  </si>
  <si>
    <t xml:space="preserve">10.1007/978-981-16-5993-5_1</t>
  </si>
  <si>
    <t xml:space="preserve">https://www.scopus.com/inward/record.uri?eid=2-s2.0-85158963572&amp;doi=10.1007%2f978-981-16-5993-5_1&amp;partnerID=40&amp;md5=593d7d09cebd232e1c4a959de82acb2c</t>
  </si>
  <si>
    <t xml:space="preserve">Department of Biotechnology, Kamaraj College of Engineering and Technology, Tamil Nadu, Madurai, India; Department of Chemical Engineering, National Institute of Technology, Tamil Nadu, Tiruchirappalli, India; CSB Lab, National Centre for Cell Science, Pune, India</t>
  </si>
  <si>
    <t xml:space="preserve">Sundaramahalingam M.A., Department of Biotechnology, Kamaraj College of Engineering and Technology, Tamil Nadu, Madurai, India, Department of Chemical Engineering, National Institute of Technology, Tamil Nadu, Tiruchirappalli, India; Kabra R., CSB Lab, National Centre for Cell Science, Pune, India; Singh S., CSB Lab, National Centre for Cell Science, Pune, India</t>
  </si>
  <si>
    <t xml:space="preserve">Artificial neural network; Cognitive computing; Diagnosis; Leishmaniasis</t>
  </si>
  <si>
    <t xml:space="preserve">Alaa S., Al Agha H.F., Bassam H., Hammo A.M., Al-Zoubi A., Identifying β-thalassemia Carriers Using a Data Mining Approach: The Case of The Gaza Strip, (2018); Balaji E., Brindha D., Elumalai V.K., Vikrama R., Automatic and non-invasive Parkinson’s disease diagnosis and severity rating using LSTM network, Appl Soft Comput, 108, (2021); de Smedt J., de Weerdt J., Serral E., Vanthienen J., Discovering hidden dependencies in constraint-based declarative process models for improving understandability, Inf Syst, 74, pp. 40-52, (2018); Durodola J.F., Ramachandra S., Gerguri S., Fellows N.A., Artificial neural network for random fatigue loading analysis including the effect of mean stress, Int J Fatigue, 111, pp. 321-332, (2018); Ekaansh Khosla D.R., Sharma R.P., Nyakotey S., RNNs-RT: Flood based prediction of human and animal deaths in Bihar using recurrent neural networks and regression techniques, Proc Comp Sci, 132, pp. 486-497, (2018); Gholamhossein Eslamizadeh R.B., Heart murmur detection based onWavelet transformation and a synergy between artificial neural network and modified neighbor annealing methods, Artif Intell Med, 78, pp. 1-29, (2017); Gu J., Wang Z., Kuen J., Ma L., Shahroudy A., Shuai B., Liu T., Wang X., Wang G., Cai J., Chen T., Recent advances in convolutional neural networks, Pattern Recogn, 77, pp. 354-377, (2018); Guliyev N.J., Ismailov V.E., On the approximation by single hidden layer feedforward neural networks with fixed weights, Neural Netw, 98, pp. 296-304, (2018); Huang L., Wang J., Global crude oil price prediction and synchronization based accuracy evaluation using random wavelet neural network, Energy, 151, pp. 875-888, (2018); Isabekov A., Erzin E., On the importance of hidden bias and hidden entropy in representational efficiency of the Gaussian-bipolar restricted Boltzmann machines, Neural Netw, 105, pp. 405-418, (2018); Kang S., Personalized prediction of drug efficacy for diabetes treatment via patient-level sequential modeling with neural networks, Artif Intell Med, 85, pp. 1-6, (2018); Katic K., Li R., Verhaart J., Zeiler W., Neural network based predictive control of personalized heating systems, Energ Buildings, 174, pp. 199-213, (2018); Kim J., Kim H., Huh S., Lee J., Choi K., Deep neural networks with weighted spikes, Neurocomputing, 311, pp. 373-386, (2018); Kusy M., Kowalski P.A., Weighted probabilistic neural network, Inform Sci, 430-431, pp. 65-76, (2018); Lv Z., Zhao J., Zhai Y., Wang W., Non-iterative T-S fuzzy modeling with random hidden-layer structure for BFG pipeline pressure prediction, Control Eng Pract, 76, pp. 96-103, (2018); Mandlik V., Shinde S., Structure based investigation on the binding interaction of transport proteins in leishmaniasis: Insights from molecular simulation, Mol Biosyst, 11, (2015); Mandlik V., Shinde S., Chaudhary A., Singh S., Biological network modeling identifies IPCS in Leishmania as a therapeutic target, Integr Biol, 4, 9, pp. 1130-1142, (2012); Mittal S., Umesh S., A survey on hardware accelerators and optimization techniques for RNNs, J Syst Archit, 112, (2021); Mohammadi M., Tan Y.-H., Hofman W., Mousavi S.H., A novel one-layer recurrent neural network for the l 1-regularized least square problem, Neurocomputing, (2018); Mol M., Kosey D., Singh S., Nano-synthetic devices in leishmaniasis: A bioinformatics approach, Front Immunol, 6, 323, pp. 1-6, (2015); Mol M., Patole M.S., Singh S., Immune signal transduction in leishmaniasis from natural to artificial system: Role of feedback loop insertion, Biochim Biophys Acta, 1840, pp. 71-79, (2013); Nasir J.A., Khan O.S., Varlamis I., Fake news detection: A hybrid CNN-RNN based deep learning approach, Int J Inform Manage Data Insights, 1, 1, (2021); Payal Dande P.S., Acquaintance to artificial neural networks and use of artificial intelligence as a diagnostic tool for tuberculosis: A review, Tuberculosis, 108, pp. 1-9, (2018); Pizzi N., Choo L.P., Mansfield J., Jackson M., Halliday W.C., Mantsch H.H., Somorjai R.L., Neural network classification of infrared spectra of control and Alzheimer’s diseased tissue, Artif Intell Med, 7, pp. 67-79, (1995); Diagnosis of Leishmaniasis, CDC’s Division of Parasitic Diseases and Malaria, (2016); Qian S., Liu H., Liu C., Wu S., San Wong H., Adaptive activation functions in convolutional neural networks, Neurocomputing, 272, pp. 204-212, (2018); Qian S., Liu H., Liu C., Wu S., Wong H.S., Adaptive activation functions in convolutional neural networks, Neurocomputing, 272, pp. 204-212, (2018); Quan Doa T.C.S., Chaudri J., Classification of asthma severity and medication using tensor flow and multilevel databases, Proc Comput Sci, 113, pp. 344-351, (2017); Rady H.A.K., Shannon entropy and mean square errors for speeding the convergence of multilayer neural networks: A comparative approach, Egyptian Inform J, 12, 3, pp. 197-209, (2011); Ryczko K., Mills K., Luchak I., Homenick C., Tamblyn I., Convolutional neural networks for {Nasir, 2021 #35} atomistic systems, Comput Mater Sci, 149, pp. 134-142, (2018); Takase T., Oyama S., Kurihara M., Effective neural network training with adaptive learning rate based on training loss, Neural Netw, 101, pp. 68-78, (2018); Torgyn Shaikhina N.A.K., Handling limited datasets with neural networks in medical applications: A small-data approach, Artif Intell Med, 75, pp. 51-63, (2017); Vineetha Mandlik S.P., Bopanna R., Basu S., Singh S., Biological activity of Coumarin derivatives as anti-leishmanial agents, Plos One, 11, 10, pp. 1-15, (2016); Wen S., Xie X., Yan Z., Huang T., Zeng Z., General memristor with applications in multilayer neural networks, Neural Netw, 103, pp. 142-149, (2018); Global Health Observatory (GHO) data, 2016, In: Leishmaniasis: Situation and Trends, (2017); Zhang L., Chen D., Chen P., Li W., Li X., Dual-CNN based multi-modal sleep scoring with temporal correlation driven fine-tuning, Neurocomputing, 420, pp. 317-328, (2021)</t>
  </si>
  <si>
    <t xml:space="preserve">S. Singh; CSB Lab, National Centre for Cell Science, Pune, India; email: singhs@nccs.res.in</t>
  </si>
  <si>
    <t xml:space="preserve">978-981165993-5; 978-981165992-8</t>
  </si>
  <si>
    <t xml:space="preserve">2-s2.0-85158963572</t>
  </si>
  <si>
    <t xml:space="preserve">Pimple K.M.; Likhitkar P.P.; Pande S.</t>
  </si>
  <si>
    <t xml:space="preserve">Pimple, Kanchan M. (57350941800); Likhitkar, Praveen P. (57350587300); Pande, Sagar (57213160540)</t>
  </si>
  <si>
    <t xml:space="preserve">57350941800; 57350587300; 57213160540</t>
  </si>
  <si>
    <t xml:space="preserve">Convolutional Neural Networks for Malaria Image Classification</t>
  </si>
  <si>
    <t xml:space="preserve">Image processing applications are becoming more popular day by day across various domains in real-time aspects. This directly or indirectly having a great influence on artificial intelligence-based applications. These applications are widely using in agriculture and bio-medical images to built automated frameworks in the recognition of various diseases. Not only that, image recognition, image to text transformation, and object recognition are also popular applications. To bring these applications into reality, convolutional neural networks (CNN) acts as a backbone. Even if a lot of popular CNN architectures also are in usage, still researchers are looking for more effective frameworks. These CNN architectures play a vital role in advanced concepts like transfer learning. The CNN working aspects are mentioned more clearly in this article. The concept of customized CNN is explained through the application of malaria cell images. This customized CNN model attained a model accuracy of 95.91% and validation accuracy of 94.52%. © 2022, The Author(s), under exclusive license to Springer Nature Singapore Pte Ltd.</t>
  </si>
  <si>
    <t xml:space="preserve">10.1007/978-981-16-6285-0_37</t>
  </si>
  <si>
    <t xml:space="preserve">https://www.scopus.com/inward/record.uri?eid=2-s2.0-85119702254&amp;doi=10.1007%2f978-981-16-6285-0_37&amp;partnerID=40&amp;md5=684beac8ccb80f1602b1492ba05a0a0f</t>
  </si>
  <si>
    <t xml:space="preserve">Department of Electronics &amp; Telecommunication Engineering, Dr.Rajendra Gode Institute of Technology &amp; Research, Amravati, India; School of Computer Science Engineering, Lovely Professional University, Phagwara, Punjab, India</t>
  </si>
  <si>
    <t xml:space="preserve">Pimple K.M., Department of Electronics &amp; Telecommunication Engineering, Dr.Rajendra Gode Institute of Technology &amp; Research, Amravati, India; Likhitkar P.P., Department of Electronics &amp; Telecommunication Engineering, Dr.Rajendra Gode Institute of Technology &amp; Research, Amravati, India; Pande S., School of Computer Science Engineering, Lovely Professional University, Phagwara, Punjab, India</t>
  </si>
  <si>
    <t xml:space="preserve">Convolutional layer; Convolutional neural network; Fully-connected (FC) layer; Fully-connected neural (FCN) network; Image processing; Pooling layer</t>
  </si>
  <si>
    <t xml:space="preserve">Character recognition; Convolutional neural networks; Diseases; Image classification; Medical imaging; Multilayer neural networks; Network architecture; Object recognition; Convolutional layer; Convolutional neural network; Fully connected neural network; Fully-connected  layer; Image processing applications; Images classification; Images processing; Neural network architecture; Pooling layer; Real time aspects; Convolution</t>
  </si>
  <si>
    <t xml:space="preserve">Litjens G., Kooi T., Bejnordi B.E., Setio A.A.A., Ciompi F., Ghafoorian M., Et al., A survey on deep learning in medical image analysis, Med Image Anal, 42, pp. 60-88, (2017); Breininger K., Wurfl T., Tutorial: How to Build a Deep Learning Framework, (2018); Razzak M.I., Naz S., Zaib A., Deep learning for medical image processing: Overview, challenges and the future, Classification in Bioapps, pp. 323-350, (2018); Maier A., Syben C., Lasser T., Riess C., A gentle introduction to deep learning in medical image processing, Z Med Phys, 29, 2, pp. 86-101, (2019); Kamilaris A., Prenafeta-Boldu F.X., Deep learning in agriculture: A survey, Comput Electron Agric, 147, pp. 70-90, (2018); Agrawal P., Chaudhary D., Madaan V., Zabrovskiy A., Prodan R., Kimovski D., Timmerer C., Automated bank cheque verification using image processing and deep learning methods, Multim Tools Appl, 80, 4, pp. 5319-5350, (2021); Cresson R., A framework for remote sensing image processing using deep learning techniques, IEEE Geosci Remote Sens Lett, 16, 1, pp. 25-29, (2018); Wang Z., Chen J., Hoi S.C.H., Deep learning for image super-resolution: A survey, IEEE Trans Pattern Anal Mach Intell, (2020); Hegde R.B., Prasad K., Hebbar H., Singh B.M.K., Comparison of traditional image processing and deep learning approaches for classification of white blood cells in peripheral blood smear images, Biocybern Biomed Eng, 39, 2, pp. 382-392, (2019); Minaee S., Boykov Y.Y., Porikli F., Plaza A.J., Kehtarnavaz N., Terzopoulos D., Image segmentation using deep learning: A survey, IEEE Trans Pattern Anal Mach Intell, (2021); Bhattacharya S., Maddikunta P.K.R., Pham Q.-V., Gadekallu T.R., Chowdhary Cl Alazab M., Jalil Piran M., Deep learning and medical image processing for coronavirus (COVID-19) pandemic: A survey, Sustain Cities Soc, 65, (2021); Affonso C., Rossi A.L.D., Vieira F.H.A., de Leon Ferreira A.C.P., Deep learning for biological image classification, Expert Syst Appl, 85, pp. 114-122, (2017)</t>
  </si>
  <si>
    <t xml:space="preserve">S. Pande; School of Computer Science Engineering, Lovely Professional University, Phagwara, Punjab, India; email: sagarpande30@gmail.com</t>
  </si>
  <si>
    <t xml:space="preserve">2-s2.0-85119702254</t>
  </si>
  <si>
    <t xml:space="preserve">Wang Y.; Shen B.</t>
  </si>
  <si>
    <t xml:space="preserve">Wang, Ying (57215437057); Shen, Bairong (7401580760)</t>
  </si>
  <si>
    <t xml:space="preserve">57215437057; 7401580760</t>
  </si>
  <si>
    <t xml:space="preserve">Detection and Prevention of Virus Infection</t>
  </si>
  <si>
    <t xml:space="preserve">The pathogenic mechanism of viral infection is a complex process involving viral mutation, viral integration, and various aspects of the interaction between the viral genome and the host. Moreover, the virus mutation will lead to the failure of related vaccines, leading to the increasing of vaccine development costs and difficulties in virus prevention. With the accumulation of various types of data, using bioinformatics methods to mine the potential viral characteristics of the pathogenic process can help virus detection and diagnosis, to take intervention measures to prevent disease development or develop effective antiviral therapies. In this chapter, we first outlined traditional approaches and emerging technologies of virus detection and prevention, and then summarized the latest developments in the bioinformatics methods application in different fields of virus researches. The emergence of artificial intelligence provides advanced analysis techniques for revealing key factors of virus infection and has been widely used in the virology community. In particular, we highlight machine learning and deep learning algorithms to identify factors/categories from complex multidimensional data and uncover novel patterns of virus or disease risk prediction. © 2022, The Author(s), under exclusive license to Springer Nature Singapore Pte Ltd.</t>
  </si>
  <si>
    <t xml:space="preserve">Advances in Experimental Medicine and Biology</t>
  </si>
  <si>
    <t xml:space="preserve">10.1007/978-981-16-8969-7_2</t>
  </si>
  <si>
    <t xml:space="preserve">https://www.scopus.com/inward/record.uri?eid=2-s2.0-85130861893&amp;doi=10.1007%2f978-981-16-8969-7_2&amp;partnerID=40&amp;md5=cd2b4e0b1839b91f5befec074a48bd85</t>
  </si>
  <si>
    <t xml:space="preserve">Department of Laboratory Medicine, Shanghai Eastern Hepatobiliary Surgery Hospital, Shanghai, China; Institutes for Systems Genetics, Frontiers Science Center for Disease-Related Molecular Network, West China Hospital, Sichuan University, Sichuan, Chengdu, China</t>
  </si>
  <si>
    <t xml:space="preserve">Wang Y., Department of Laboratory Medicine, Shanghai Eastern Hepatobiliary Surgery Hospital, Shanghai, China; Shen B., Institutes for Systems Genetics, Frontiers Science Center for Disease-Related Molecular Network, West China Hospital, Sichuan University, Sichuan, Chengdu, China</t>
  </si>
  <si>
    <t xml:space="preserve">Diagnosis; Informatics; Machine learning; Prevention; Virus infection</t>
  </si>
  <si>
    <t xml:space="preserve">Artificial Intelligence; Computational Biology; DNA Viruses; Humans; Machine Learning; Virus Diseases; Viruses; antivirus agent; virus vaccine; DNA virus; algorithm; Arbovirus; cell culture; clinical decision support system; Coronavirinae; data analysis; data mining; deep learning; demography; disease marker; drug development; electronic medical record; Filovirus; gene regulatory network; hepatitis virus; Herpesviridae; human; Human immunodeficiency virus; Human T-lymphotropic virus 1; image analysis; immunofluorescence assay; infection prevention; Influenza virus; information science; machine learning; multiomics; nonhuman; prediction; Rabies virus; risk; sequence analysis; serology; virus culture; virus genome; virus identification; virus infection; artificial intelligence; biology; genetics; procedures; virus; virus infection</t>
  </si>
  <si>
    <t xml:space="preserve">Woolhouse M., Et al., Human viruses: Discovery and emergence, Philos Trans R Soc Lond Ser B Biol Sci, 367, 1604, pp. 2864-2871, (2012); Roubidoux E.K., Schultz-Cherry S., Animal models utilized for the development of influenza virus vaccines, Vaccines (Basel), 9, 7, (2021); Bukasov R., Dossym D., Filchakova O., Detection of RNA viruses from influenza and HIV to Ebola and SARS-CoV-2: A review, Anal Methods, 13, 1, pp. 34-55, (2021); Dziabowska K., Czaczyk E., Nidzworski D., Detection methods of human and animal influenza virus-current trends, Biosensors (Basel), 8, 4, (2018); Wozniak-Kosek A., Kempinska-Miroslawska B., Hoser G., Detection of the influenza virus yesterday and now, Acta Biochim Pol, 61, 3, pp. 465-470, (2014); Koski R.R., Klepser M.E., A systematic review of rapid diagnostic tests for influenza: Considerations for the community pharmacist, J am Pharm Assoc (2003), 57, 1, pp. 13-19, (2017); Kim D.K., Poudel B., Tools to detect influenza virus, Yonsei Med J, 54, 3, pp. 560-566, (2013); Cox N.J., Subbarao K., Influenza, Lancet, 354, 9186, pp. 1277-1282, (1999); Pedersen J.C., Neuraminidase-inhibition assay for the identification of influenza A virus neuraminidase subtype or neuraminidase antibody specificity, Methods Mol Biol, 436, pp. 67-75, (2008); Zhang H., Miller B.L., Immunosensor-based label-free and multiplex detection of influenza viruses: State of the art, Biosens Bioelectron, 141, (2019); Poon L.L., Et al., Detection of human influenza A viruses by loop-mediated isothermal amplification, J Clin Microbiol, 43, 1, pp. 427-430, (2005); McMullen A.R., Et al., Pathology consultation on influenza diagnostics, Am J Clin Pathol, 145, 4, pp. 440-448, (2016); Lau L.T., Fung Y.W., Yu A.C., Detection of animal viruses using nucleic acid sequence-based amplification (NASBA), Dev Biol (Basel), 126, pp. 7-15, (2006); Malanoski A.P., Lin B., Evolving gene targets and technology in influenza detection, Mol Diagn Ther, 17, 5, pp. 273-286, (2013); Whitehead T.A., Et al., Optimization of affinity, specificity and function of designed influenza inhibitors using deep sequencing, Nat Biotechnol, 30, 6, pp. 543-548, (2012); Quesada-Gonzalez D., Merkoci A., Nanomaterial-based devices for point-of-care diagnostic applications, Chem Soc Rev, 47, 13, pp. 4697-4709, (2018); Sun Y., Et al., A promising magnetic SERS immunosensor for sensitive detection of avian influenza virus, Biosens Bioelectron, 89, pp. 906-912, (2017); Kim S.M., Et al., Recent development of aptasensor for influenza virus detection, Biochip J, 14, pp. 327-339, (2020); Beck C.R., Et al., Neuraminidase inhibitors for influenza: A review and public health perspective in the aftermath of the 2009 pandemic, Influenza Other Respir Viruses, 7, pp. 14-24, (2013); Ferraris O., Lina B., Mutations of neuraminidase implicated in neuraminidase inhibitors resistance, J Clin Virol, 41, 1, pp. 13-19, (2008); Musharrafieh R., Et al., The L46P mutant confers a novel allosteric mechanism of resistance toward the influenza A virus M2 S31N proton channel blockers, Mol Pharmacol, 96, 2, pp. 148-157, (2019); Li Y.D., Et al., Coronavirus vaccine development: From SARS and MERS to COVID-19, J Biomed Sci, 27, 1, (2020); Islam N., Et al., Thoracic imaging tests for the diagnosis of COVID-19, Cochrane Database Syst Rev, 3, (2021); Pokhrel P., Hu C., Mao H., Detecting the coronavirus (COVID-19), ACS Sens, 5, 8, pp. 2283-2296, (2020); Zhao J., Et al., COVID-19: Coronavirus vaccine development updates, Front Immunol, 11, (2020); Stockman L.J., Bellamy R., Garner P., SARS: Systematic review of treatment effects, Plos Med, 3, 9, (2006); Wang C., Et al., Combining a fusion inhibitory peptide targeting the MERS-CoV S2 protein HR1 domain and a neutralizing antibody specific for the S1 protein receptor-binding domain (RBD) showed potent synergism against pseudotyped MERS-CoV with or without mutations in RBD, Viruses, 11, 1, (2019); Zhao G., Et al., A safe and convenient pseudovirus-based inhibition assay to detect neutralizing antibodies and screen for viral entry inhibitors against the novel human coronavirus MERS-CoV, Virol J, 10, (2013); Li H., Et al., Overview of therapeutic drug research for COVID-19 in China, Acta Pharmacol Sin, 41, 9, pp. 1133-1140, (2020); Nandi S., Et al., Biosensor platforms for rapid HIV detection, Adv Clin Chem, 98, pp. 1-34, (2020); Mozhgani S.H., Et al., Nanotechnology based strategies for HIV-1 and HTLV-1 retro-viruses gene detection, Heliyon, 6, 5, (2020); Wu X., HIV broadly neutralizing antibodies: VRC01 and beyond, Adv Exp Med Biol, 1075, pp. 53-72, (2018); Baden L.R., Et al., Assessment of the safety and immunogenicity of 2 novel vaccine platforms for HIV-1 prevention: A randomized trial, Ann Intern Med, 164, 5, pp. 313-322, (2016); Chahine E.B., Durham S.H., Ibalizumab: The first monoclonal antibody for the treatment of HIV-1 infection, Ann Pharmacother, 55, 2, pp. 230-239, (2021); Giraudy I., Et al., In vitro inhibitory effect of maraviroc on the association of the simian immunodeficiency virus envelope glycoprotein with CCR5, Virus Genes, 57, 1, pp. 106-110, (2021); Poveda E., Et al., Evolution of the gp41 env region in HIV-infected patients receiving T-20, a fusion inhibitor, AIDS, 16, 14, pp. 1959-1961, (2002); Futsch N., Mahieux R., Dutartre H., HTLV-1, the other pathogenic yet neglected human retrovirus: From transmission to therapeutic treatment, Viruses, 10, 1, (2017); Arroyo Muhr L.S., Et al., Deep sequencing detects human papillomavirus (HPV) in cervical cancers negative for HPV by PCR, Br J Cancer, 123, 12, pp. 1790-1795, (2020); Venuti A., Paolini F., HPV detection methods in head and neck cancer, Head Neck Pathol, 6, pp. S63-S74, (2012); Capone R.B., Et al., Detection and quantitation of human papillomavirus (HPV) DNA in the sera of patients with HPV-associated head and neck squamous cell carcinoma, Clin Cancer Res, 6, 11, pp. 4171-4175, (2000); Athanasiou A., Et al., HPV vaccination and cancer prevention, Best Pract Res Clin Obstet Gynaecol, 65, pp. 109-124, (2020); Shin C.H., Et al., Detection and typing of HSV-1, HSV-2, CMV and EBV by quadruplex PCR, Yonsei Med J, 44, 6, pp. 1001-1007, (2003); Yip C.C.Y., Et al., Evaluation of RealStar(R) alpha herpesvirus PCR kit for detection of HSV-1, HSV-2, and VZV in clinical specimens, Biomed Res Int, 2019, 57, (2019); Kimberlin D.W., Whitley R.J., Chapter 64: Antiviral therapy of HSV-1 and-2. In: Human herpesviruses: Biology, therapy, And Immunoprophylaxis, (2007); Grossi P., Baldanti F., Treatment of ganciclovir-resistant human cytomegalovirus infection, J Nephrol, 10, 3, pp. 146-151, (1997); Lurain K., Yarchoan R., Uldrick T.S., Treatment of Kaposi sarcoma herpesvirus-associated multicentric Castleman disease, Hematol Oncol Clin North Am, 32, 1, pp. 75-88, (2018); Ma S.D., Et al., PD-1/CTLA-4 blockade inhibits Epstein-Barr virus-induced lymphoma growth in a cord blood humanized-mouse model, Plos Pathog, 12, 5, (2016); Fang W., Et al., PD-L1 is remarkably over-expressed in EBV-associated pulmonary lymphoepithelioma-like carcinoma and related to poor disease-free survival, Oncotarget, 6, 32, pp. 33019-33032, (2015); Abutaleb A., Kottilil S., Hepatitis A, Epidemiology, Natural History, Unusual Clinical Manifestations, and Prevention. Gastroenterol Clin N Am, 49, 2, pp. 191-199, (2020); Song J.E., Kim D.Y., Diagnosis of hepatitis B, Ann Transl Med, 4, 18, (2016); Ansaldi F., Et al., Hepatitis C virus in the new era: Perspectives in epidemiology, prevention, diagnostics and predictors of response to therapy, World J Gastroenterol, 20, 29, pp. 9633-9652, (2014); Prakash S., Jain A., Jain B., Development of novel triplex single-step real-time PCR assay for detection of Hepatitis Virus B and C simultaneously, Virology, 492, pp. 101-107, (2016); Melgaco J.G., Et al., Hepatitis E: Update on prevention and control, Biomed Res Int, 57692, (2018); Chang M.H., Chen D.S., Prevention of hepatitis B, Cold Spring Harb Perspect Med, 5, 3, (2015); Vigano M., Et al., Treatment of hepatitis B: Is there still a role for interferon?, Liver Int, 38, pp. 79-83, (2018); Koumbi L., Current and future antiviral drug therapies of hepatitis B chronic infection, World J Hepatol, 7, 8, pp. 1030-1040, (2015); Caviglia G.P., Rizzetto M., Treatment of hepatitis D: An unmet medical need, Clin Microbiol Infect, 26, 7, pp. 824-827, (2020); Drosten C., Et al., Rapid detection and quantification of RNA of Ebola and Marburg viruses, Lassa virus, Crimean-Congo hemorrhagic fever virus, Rift Valley fever virus, dengue virus, and yellow fever virus by real-time reverse transcription-PCR, J Clin Microbiol, 40, 7, pp. 2323-2330, (2002); Boga J.A., Et al., Simultaneous detection of Dengue virus, Chikungunya virus, Zika virus, Yellow fever virus and West Nile virus, J Virol Methods, 268, pp. 53-55, (2019); Batovska J., Et al., Metagenomic arbovirus detection using MinION nanopore sequencing, J Virol Methods, 249, pp. 79-84, (2017); Basso C.R., Et al., An easy way to detect dengue virus using nanoparticle-antibody conjugates, Virology, 513, pp. 85-90, (2018); Luo L., Et al., Fast and sensitive detection of Japanese encephalitis virus based on a magnetic molecular imprinted polymer-resonance light scattering sensor, Talanta, 202, pp. 21-26, (2019); Li X., Et al., Immunogenicity and safety of currently available Japanese encephalitis vaccines: A systematic review, Hum Vaccin Immunother, 10, 12, pp. 3579-3593, (2014); Emperador D.M., Et al., Diagnostics for filovirus detection: Impact of recent outbreaks on the diagnostic landscape, BMJ Glob Health, 4, (2019); Keshtkar-Jahromi M., Et al., Treatment-focused Ebola trials, supportive care and future of filovirus care, Expert Rev Anti-Infect Ther, 16, 1, pp. 67-76, (2018); Wang Y., Et al., Ebola vaccines in clinical trial: The promising candidates, Hum Vaccin Immunother, 13, 1, pp. 153-168, (2017); Realegeno S., Et al., An ELISA-based method for detection of rabies virus nucleoprotein-specific antibodies in human antemortem samples, Plos One, 13, 11, (2018); Woldehiwet Z., Clinical laboratory advances in the detection of rabies virus, Clin Chim Acta, 351, 1-2, pp. 49-63, (2005); Du Pont V et al (2020) Identification and characterization of a small-molecule rabies virus entry inhibitor, J Virol, 94, 13; Liu Z.P., Et al., Systematic identification of transcriptional and post-transcriptional regulations in human respiratory epithelial cells during influenza A virus infection, BMC Bioinformatics, 15, (2014); Savidis G., Et al., Identification of Zika virus and Dengue virus dependency factors using functional genomics, Cell Rep, 16, 1, pp. 232-246, (2016); Zhang X., Wang L., Yan Y., Identification of potential key genes and pathways in hepatitis B virus-associated hepatocellular carcinoma by bioinformatics analyses, Oncol Lett, 19, 5, pp. 3477-3486, (2020); Zeng X.C., Et al., Screening and identification of potential biomarkers in hepatitis B virus-related hepatocellular carcinoma by bioinformatics analysis, Front Genet, 11, (2020); Tang Y., Zhang Y., Hu X., Identification of potential hub genes related to diagnosis and prognosis of hepatitis B virus-related hepatocellular carcinoma via integrated bioinformatics analysis, Biomed Res Int, 2020, (2020); Chen Z., Et al., Identification of potential key genes for hepatitis B virus-associated hepatocellular carcinoma by bioinformatics analysis, J Comput Biol, 26, 5, pp. 485-494, (2019); Khan A.A., Khan Z., Comparative host-pathogen protein-protein interaction analysis of recent coronavirus outbreaks and important host targets identification, Brief Bioinform, 22, 2, pp. 1206-1214, (2021); Rasheed S., Hashim R., Yan J.S., Possible biomarkers for the early detection of HIV-associated heart diseases: A proteomics and bioinformatics prediction, Comput Struct Biotechnol J, 13, pp. 145-152, (2015); Wang H., Et al., Screening and identification of key genes in EBV-associated gastric carcinoma based on bioinformatics analysis, Pathol Res Pract, 222, (2021); Mokhtari A.M., Et al., Association of routine hepatitis B vaccination and other effective factors with hepatitis B virus infection: 25 years since the introduction of National Hepatitis B Vaccination in Iran, Iran J Med Sci, 46, 2, pp. 93-102, (2021); Mueller-Breckenridge A.J., Et al., Machine-learning based patient classification using hepatitis B virus full-length genome quasispecies from Asian and European cohorts, Sci Rep, 9, 1, (2019); Yin Y., Et al., A noninvasive prediction model for hepatitis B virus disease in patients with HIV: Based on the population of Jiangsu, China, Biomed Res Int, 2021, (2021); Wang N., Et al., Serum peptide pattern that differentially diagnoses hepatitis B virus-related hepatocellular carcinoma from liver cirrhosis, J Gastroenterol Hepatol, 29, 7, pp. 1544-1550, (2014); Wang Y., Et al., Predicting hepatitis B virus infection based on health examination data of community population, Int J Environ Res Public Health, 16, 23, (2019); Yao H., Et al., Severity detection for the coronavirus disease 2019 (COVID-19) patients using a machine learning model based on the blood and urine tests, Front Cell Dev Biol, 8, (2020); Albahri A.S., Et al., Role of biological data mining and machine learning techniques in detecting and diagnosing the novel coronavirus (COVID-19): A systematic review, J Med Syst, 44, 7, (2020); Khan S., Et al., Analysis of hepatitis B virus infection in blood sera using Raman spectroscopy and machine learning, Photodiagn Photodyn Ther, 23, pp. 89-93, (2018); Luckett P., Et al., Deep learning analysis of cerebral blood flow to identify cognitive impairment and frailty in persons living with HIV, J Acquir Immune Defic Syndr, 82, 5, pp. 496-502, (2019); Klein S., Et al., Deep learning predicts HPV association in oropharyngeal squamous cell carcinomas and identifies patients with a favorable prognosis using regular H&amp;E stains, Clin Cancer Res, 27, 4, pp. 1131-1138, (2021); Wray T.B., Et al., Using smartphone survey data and machine learning to identify situational and contextual risk factors for HIV risk behavior among men who have sex with men who are not on PrEP, Prev Sci, 20, 6, pp. 904-913, (2019); Zheng C., Wang W., Young S.D., Identifying HIV-related digital social influencers using an iterative deep learning approach, AIDS, 35, pp. S85-S89, (2021); Xiang Y., Et al., Network context matters: Graph convolutional network model over social networks improves the detection of unknown HIV infections among young men who have sex with men, J am Med Inform Assoc, 26, 11, pp. 1263-1271, (2019); Yang C.R., Et al., FluConvert and IniFlu: A suite of integrated software to identify novel signatures of emerging influenza viruses with increasing risk, BMC Bioinformatics, 21, 1, (2020); Yu C., Et al., Analysis on nucleoprotein gene sequence of 25 rabies virus isolates in Guizhou Province, China]. Bing Du Xue Bao, 27, 6, pp. 549-556, (2011); Cai L., Et al., Molecular characteristics and phylogenetic analysis of N gene of human derived rabies virus, Biomed Environ Sci, 24, 4, pp. 431-437, (2011); Miotto O., Et al., Identification of human-to-human transmissibility factors in PB2 proteins of influenza A by large-scale mutual information analysis, BMC Bioinformatics, 9, (2008); Holman A.G., Gabuzda D., A machine learning approach for identifying amino acid signatures in the HIV env gene predictive of dementia, Plos One, 7, 11, (2012); Nwankwo N., A digital signal processing-based bioinformatics approach to identifying the origins of HIV-1 non B subtypes infecting US Army personnel serving abroad, Curr HIV Res, 11, 4, pp. 271-280, (2013); Chrysostomou C., Seker H., Signal-processing-based bioinformatics approach for the identification of influenza A virus subtypes in neuraminidase genes, Annu Int Conf IEEE Eng Med Biol Soc, 2013, pp. 3066-3069, (2013); Fischer S., Et al., Defining objective clusters for rabies virus sequences using affinity propagation clustering, Plos Negl Trop Dis, 12, 1, (2018); Cleemput S., Et al., Genome Detective Coronavirus Typing Tool for rapid identification and characterization of novel coronavirus genomes, Bioinformatics, 36, 11, pp. 3552-3555, (2020); Han L., Et al., Graph-guided multi-task sparse learning model: A method for identifying antigenic variants of influenza A(H3N2) virus, Bioinformatics, 35, 1, pp. 77-87, (2019); Lun A.T., Wong J.W., Downard K.M., FluShuffle and FluResort: New algorithms to identify reassorted strains of the influenza virus by mass spectrometry, BMC Bioinformatics, 13, (2012); Wang M., Et al., Viral quasispecies quantitative analysis: A novel approach for appraising the immune tolerant phase of chronic hepatitis B virus infection, Emerg Microbes Infect, 10, 1, pp. 842-851, (2021); Chen S., Et al., Using quasispecies patterns of hepatitis B virus to predict hepatocellular carcinoma with deep sequencing and machine learning, J Infect Dis, 223, 11, pp. 1887-1896, (2021); Lei H., Et al., Identification and characterization of EBV genomes in spontaneously immortalized human peripheral blood B lymphocytes by NGS technology, BMC Genomics, 14, (2013); Meshram R.J., Gacche R.N., Effective epitope identification employing phylogenetic, mutational variability, sequence entropy, and correlated mutation analysis targeting NS5B protein of hepatitis C virus: From bioinformatics to therapeutics, J Mol Recognit, 28, 8, pp. 492-505, (2015); Southgate J.A., Et al., Influenza classification from short reads with VAPOR facilitates robust mapping pipelines and zoonotic strain detection for routine surveillance applications, Bioinformatics, 36, 6, pp. 1681-1688, (2020); Jain G., Et al., A deep learning approach to detect Covid-19 coronavirus with X-ray images, Biocybern Biomed Eng, 40, 4, pp. 1391-1405, (2020); El Asnaoui K., Chawki Y., Using X-ray images and deep learning for automated detection of coronavirus disease, J Biomol Struct Dyn, 39, 10, pp. 3615-3626, (2021); Brunese L., Et al., Explainable deep learning for pulmonary disease and coronavirus COVID-19 detection from X-rays, Comput Methods Prog Biomed, 196, (2020); Brunese L., Et al., Machine learning for coronavirus covid-19 detection from chest x-rays, Procedia Comput Sci, 176, pp. 2212-2221, (2020); Albahli S., Albattah W., Detection of coronavirus disease from X-ray images using deep learning and transfer learning algorithms, J Xray Sci Technol, 28, 5, pp. 841-850, (2020); Zhang X., Et al., A deep learning integrated radiomics model for identification of coronavirus disease 2019 using computed tomography, Sci Rep, 11, 1, (2021); Waleed Salehi A., Baglat P., Gupta G., Review on machine and deep learning models for the detection and prediction of Coronavirus, Mater Today Proc, 33, pp. 3896-3901, (2020); Younis M.C., Evaluation of deep learning approaches for identification of different corona-virus species and time series prediction, Comput Med Imaging Graph, 90, (2021); Aversano L., Et al., Deep neural networks ensemble to detect COVID-19 from CT scans, Pattern Recogn, 120, (2021); Balaha H.M., El-Gendy E.M., Saafan M.M., CovH2SD: A COVID-19 detection approach based on Harris Hawks Optimization and stacked deep learning, Expert Syst Appl, 186, (2021); Banerjee A., Et al., COFE-Net: An ensemble strategy for computer-aided detection for COVID-19, Measurement (Lond), 187, (2022); Verma S.S., Prasad A., Kumar A., CovXmlc: High performance COVID-19 detection on X-ray images using Multi-Model classification, Biomed Signal Process Control, 71, (2022); Elharrouss O., Subramanian N., Al-Maadeed S., An encoder-decoder-based method for segmentation of COVID-19 lung infection in CT images, SN Comput Sci, 3, 1, (2022); Kumar A., Et al., SARS-Net: COVID-19 detection from chest x-rays by combining graph convolutional network and convolutional neural network, Pattern Recogn, 122, (2022); Aviles-Rivero A.I., Et al., GraphXCOVID: Explainable deep graph diffusion pseudo-labelling for identifying COVID-19 on chest X-rays, Pattern Recogn, 122, (2022); Liu X., Et al., Weakly supervised segmentation of COVID19 infection with scribble annotation on CT images, Pattern Recogn, 122, (2022); Barshooi A.H., Amirkhani A., A novel data augmentation based on Gabor filter and convolutional deep learning for improving the classification of COVID-19 chest X-ray images, Biomed Signal Process Control, 72, (2022); Ghosh S.K., Ghosh A., ENResNet: A novel residual neural network for chest X-ray enhancement based COVID-19 detection, Biomed Signal Process Control, 72, (2022); Nikolaou V., Et al., COVID-19 diagnosis from chest x-rays: Developing a simple, fast, and accurate neural network, Health Inf Sci Syst, 9, 1, (2021); Abdel-Basset M., Et al., Two-stage deep learning framework for discrimination between COVID-19 and community-acquired pneumonia from chest CT scans, Pattern Recogn Lett, 152, pp. 311-319, (2021); Li Z., Et al., A deep-learning-based framework for severity assessment of COVID-19 with CT images, Expert Syst Appl, 185, (2021); Verma A.K., Et al., Wavelet and deep learning-based detection of SARS-nCoV from thoracic X-ray images for rapid and efficient testing, Expert Syst Appl, 185, (2021); Moris D.I., Et al., Data augmentation approaches using cycle-consistent adversarial networks for improving COVID-19 screening in portable chest X-ray images, Expert Syst Appl, 185, (2021); Guarrasi V., Et al., Pareto optimization of deep networks for COVID-19 diagnosis from chest X-rays, Pattern Recogn, 121, (2022); Togacar M., Et al., Detection of COVID-19 findings by the local interpretable model-agnostic explanations method of types-based activations extracted from CNNs, Biomed Signal Process Control, 71, (2022); Bhattacharyya A., Et al., A deep learning based approach for automatic detection of COVID-19 cases using chest X-ray images, Biomed Signal Process Control, 71, (2022); Chakraborty S., Paul S., Hasan K.M.A., A transfer learning-based approach with deep CNN for COVID-19-and pneumonia-affected chest X-ray image classification, SN Comput Sci, 3, 1, (2022); Malhotra A., Et al., Multi-task driven explainable diagnosis of COVID-19 using chest X-ray images, Pattern Recogn, 122, (2022); Ye Y., Et al., Influenza detection from emergency department reports using natural language processing and Bayesian network classifiers, J am Med Inform Assoc, 21, 5, pp. 815-823, (2014); Lopez Pineda A., Et al., Comparison of machine learning classifiers for influenza detection from emergency department free-text reports, J Biomed Inform, 58, pp. 60-69, (2015); Marcus J.L., Et al., Use of electronic health record data and machine learning to identify candidates for HIV pre-exposure prophylaxis: A modelling study, Lancet HIV, 6, 10, pp. e688-e695, (2019); Zhang L., Et al., Virtual screening approach to identifying influenza virus neuraminidase inhibitors using molecular docking combined with machine-learning-based scoring function, Oncotarget, 8, 47, pp. 83142-83154, (2017); Chang S., Wang L.H., Chen B.S., Investigating core signaling pathways of hepatitis B virus pathogenesis for biomarkers identification and drug discovery via systems biology and deep learning method, Biomedicine, 8, 9, (2020); Tomar N.R., Et al., Molecular docking studies with rabies virus glycoprotein to design viral therapeutics, Indian J Pharm Sci, 72, 4, pp. 486-490, (2010); Andrianov AM et al (2021) Application of deep learning and molecular modeling to identify small drug-like compounds as potential HIV-1 entry inhibitors, J Biomol Struct Dyn, 2021, pp. 1-19</t>
  </si>
  <si>
    <t xml:space="preserve">B. Shen; Institutes for Systems Genetics, Frontiers Science Center for Disease-Related Molecular Network, West China Hospital, Sichuan University, Chengdu, Sichuan, China; email: bairong.shen@scu.edu.cn</t>
  </si>
  <si>
    <t xml:space="preserve">AEMBA</t>
  </si>
  <si>
    <t xml:space="preserve">Adv. Exp. Med. Biol.</t>
  </si>
  <si>
    <t xml:space="preserve">2-s2.0-85130861893</t>
  </si>
  <si>
    <t xml:space="preserve">Rathi M.; Gupta C.; Shukla R.; Raubins R.</t>
  </si>
  <si>
    <t xml:space="preserve">Rathi, Megha (57204980627); Gupta, Chandna (57933662500); Shukla, Rachit (57469591500); Raubins, Raja (57933531300)</t>
  </si>
  <si>
    <t xml:space="preserve">57204980627; 57933662500; 57469591500; 57933531300</t>
  </si>
  <si>
    <t xml:space="preserve">Discernment of Malaria-Infected Cells in the Blood Streak Images Using Advanced Learning Techniques</t>
  </si>
  <si>
    <t xml:space="preserve">Protozoa infection, which is recognized as one of the foremost fatal diseases in the world, is a dipteran-borne illness caused by the anopheles mosquito. The parasites in mosquitoes that are known to be the cause of this deadly disease belong to the Plasmodium genus. Reliable and accurate detection of the disease at an early stage thus becomes an important task at hand. This should be done so that proper medical treatments and healthcare can be provided to the patients for a full recovery. The manual methods using a microscope, involved in the detection of the parasite often lead to inaccurate and unreliable results as they depend on the skills of the pathologist as well as the conditions of the clinic and the facilities available. Hence, automation of the process is essential so that the errors in the manual methods can be rectified and meticulous results can be yielded. Our method involves cleaning up the blood smear images obtained from the laboratories, extracting the parasite features, and then training the preprocessed dataset using Convolutional Neural Networks (CNNs). The CNN is a deep learning calculation that soaks up associations in data images, allots significance (learnable masses and inclinations) to different perspectives/protests within the image, and has the choice to separate one from the opposite. Numerous filters were used to preprocess and eliminate noise from the images obtained using the dataset. We aim to reduce the time and labor involved while simultaneously improving the accuracy so that medical staff in the less-developed areas, which are more prone to malarial infections, can use this to make a faster diagnosis. © 2023 selection and editorial matter, [Megha Rathi and Adwitiya Sinha]; individual chapters, the contributors.</t>
  </si>
  <si>
    <t xml:space="preserve">Advanced Computational Techniques for Sustainable Computing</t>
  </si>
  <si>
    <t xml:space="preserve">10.1201/9781003046431-10</t>
  </si>
  <si>
    <t xml:space="preserve">https://www.scopus.com/inward/record.uri?eid=2-s2.0-85140187463&amp;doi=10.1201%2f9781003046431-10&amp;partnerID=40&amp;md5=bd2f6871ee5baf422afdfe940cc81b11</t>
  </si>
  <si>
    <t xml:space="preserve">Department of Computer Science, Jaypee Institute of Information Technology (JIIT), Sector 62, Uttar Pradesh, Noida, India; Department of Computer Science and Engineering and Information Technology, Jaypee Institute of Information Technology, Noida, India</t>
  </si>
  <si>
    <t xml:space="preserve">Rathi M., Department of Computer Science, Jaypee Institute of Information Technology (JIIT), Sector 62, Uttar Pradesh, Noida, India; Gupta C., Department of Computer Science and Engineering and Information Technology, Jaypee Institute of Information Technology, Noida, India; Shukla R., Department of Computer Science and Engineering and Information Technology, Jaypee Institute of Information Technology, Noida, India; Raubins R., Department of Computer Science and Engineering and Information Technology, Jaypee Institute of Information Technology, Noida, India</t>
  </si>
  <si>
    <t xml:space="preserve">Bashir A., Mustafa Z.A., Abdelhameid I., Ibrahem R., Detection of malaria parasites using digital image processing, 2017 International Conference on Communication, Control, Computing and Electronics Engineering (ICCCCEE), pp. 1-5, (2017); Bibin D., Nair M.S., Punitha P., Malaria parasite detection from peripheral blood smear images using deep belief networks, IEEE Access, 5, pp. 9099-9108, (2017); Chahal E.S., Haritosh A., Gupta A., Gupta K., Sinha A., Deep learning model for brain tumor segmentation and analysis, IEEE 3rd International Conference on Recent Developments in Control, Automation and Power Engineering (RDCAPE), pp. 378-383, (2019); Dave I.R., Image analysis for malaria parasite detection from microscopic images of thick blood smear, 2017 International Conference on Wireless Communications, Signal Processing and Networking (WiSPNET), pp. 1303-1307, (2017); Deep P., Shukla S., Pandey E., Sinha A., Detection of Abnormalities in Blood Sample using WBC Differential Count, Springer 9th International Conference on Soft Computing for Problem Solving (SocProS), 1, pp. 227-240, (2019); Di Ruberto C., Dempster A., Khan S., Jarra B., Analysis of infected blood cell images using morphological operators, Image and Vision Computing, 20, 2, pp. 133-146, (2002); Kumar G., Bhatia P.K., A detailed review of feature extraction in image processing systems, 2014 Fourth international conference on advanced computing and communication technologies, pp. 5-12, (2014); Kumar N., Nachamai M., Noise removal and fltering techniques used in medical images, Indian Journal of Computer Science and Engineering, 3, 1, pp. 146-153, (2012); Makler M.T., Palmer C.J., Ager A.L., A review of practical techniques for the diagnosis of malaria, Annals of Tropical Medicine and Parasitology, 92, 4, pp. 419-434, (1998); Nugroho H.A., P. vivax (malaria) infected human blood smears; Nugroho H.A., Akbar S.A., Murhandarwati E.E.H., Feature extraction and classifcation for detecting malaria parasites in thin blood smear, 2015 2nd International Conference on Information Technology, Computer, and Electrical Engineering (ICITACEE), pp. 197-201, (2015); Olugboja A., Wang Z., Malaria parasite detection using different machine learning classifers, 2017 International Conference on Machine Learning and Cybernetics (ICMLC), 1, pp. 246-250, (2017); Parashar R., Goel M., Sharma N., Jain A., Sinha A., Biswas P., Discovering mutated motifs in DNA Sequences: A comparative analysis, Proceedings of International Conference on Artifcial Intelligence and Applications (ICAIA 2020), 1164, pp. 257-269, (2020); Pattanaik P.A., Swarnkar T., Sheet D., Object detection technique for malaria parasite in thin blood smear images, 2017 IEEE International Conference on Bioinformatics and Biomedicine (BIBM), pp. 2120-2123, (2017); Penas K.E.D., Rivera P.T., Naval P.C., Malaria parasite detection and species identifcation on thin blood smear using a convolutional neural network, 2017 IEEE/ACM International Conference on Connected Health: Applications, Systems and Engineering Technologies (CHASE), pp. 1-6, (2017); Saraswat S., Awasthi U., Faujdar N., Malarial parasites detection in RBC using image processing, 2017 6th International Conference on Reliability, Infocom Technologies and Optimization (ICRITO), pp. 599-603, (2017); Tangpukdee N., Duangdee C., Wilairatana P., Krudsood S., Malaria diagnosis: A brief review, The Korean Journal of Parasitology, 47, 2, (2009); (2018)</t>
  </si>
  <si>
    <t xml:space="preserve">978-100045431-4; 978-036749522-0</t>
  </si>
  <si>
    <t xml:space="preserve">2-s2.0-85140187463</t>
  </si>
  <si>
    <t xml:space="preserve">Pal M.; Tiwari R.; Dhama K.; Parija S.; Jena O.P.; Mohapatra R.K.</t>
  </si>
  <si>
    <t xml:space="preserve">Pal, Madhumita (57214410174); Tiwari, Ruchi (55314856100); Dhama, Kuldeep (6507396956); Parija, Smita (55234499400); Jena, Om Prakash (57209343654); Mohapatra, Ranjan K. (7005993449)</t>
  </si>
  <si>
    <t xml:space="preserve">57214410174; 55314856100; 6507396956; 55234499400; 57209343654; 7005993449</t>
  </si>
  <si>
    <t xml:space="preserve">Machine Learning Algorithms and COVID-19: A Step for Predicting Future Pandemics with a Systematic Overview</t>
  </si>
  <si>
    <t xml:space="preserve">The novel COVID-19 disease is now an emerging global health threat as a result of the rapid transmission. There have been 101,053,721 confirmed cases and 2,182,867 deaths worldwide, when the manuscript is drafted, mainly for human-to-human transmission. Also, the reported deaths due to this deadly. The deaths due to the ongoing Coronavirus (CoV) have crossed the number of deaths in other epidemics such as influenza, Zika, and Ebola. Hence, the accurate prediction of COVID-19 cases is attracting continuing interest due to global importance. The uncertainty regarding the COVID-19 growth rate makes it difficult for the healthcare system to adapt according to the increasing requirements. Some studies have also been reported for the modeling of the recent pandemic worldwide in several countries using artificial intelligence (AI) and machine learning (ML) algorithms. The early stage detection and diagnosis of this disease are challenging tasks. The accurate prediction of the disease will help in providing high-quality healthcare services and may reduce the disease severity and mortality. In this overview, we discuss different ML techniques for the automotive detection, prediction, and diagnosis of the COVID-19 outbreak which may help to increase patient survival rate. Therefore, we hope the study may provide useful information for monitoring such pandemics like the COVID-19 outbreak in future. © 2022 selection and editorial matter, Om Prakash Jena, Bharat Bhushan, Utku Kose; individual chapters, the contributors.</t>
  </si>
  <si>
    <t xml:space="preserve">Machine Learning and Deep Learning in Medical Data Analytics and Healthcare Applications</t>
  </si>
  <si>
    <t xml:space="preserve">10.1201/9781003226147-11</t>
  </si>
  <si>
    <t xml:space="preserve">https://www.scopus.com/inward/record.uri?eid=2-s2.0-85125948123&amp;doi=10.1201%2f9781003226147-11&amp;partnerID=40&amp;md5=998d56f81c14bd783b75223c4dd8fc57</t>
  </si>
  <si>
    <t xml:space="preserve">Electronics Science and Engineering C. V. Raman Global University, Bhubaneswar, India; Department of Veterinary Microbiology and Immunology, College of Veterinary Sciences, Mathura, India; Division of Pathology, ICAR-Indian Veterinary Research Institute, Bareilly, India; Department of Computer Science, Ravenshaw University, Keonjhar, India; Department of Chemistry, Government College of Engineering, Keonjhar, India</t>
  </si>
  <si>
    <t xml:space="preserve">Pal M., Electronics Science and Engineering C. V. Raman Global University, Bhubaneswar, India; Tiwari R., Department of Veterinary Microbiology and Immunology, College of Veterinary Sciences, Mathura, India; Dhama K., Division of Pathology, ICAR-Indian Veterinary Research Institute, Bareilly, India; Parija S., Electronics Science and Engineering C. V. Raman Global University, Bhubaneswar, India; Jena O.P., Department of Computer Science, Ravenshaw University, Keonjhar, India; Mohapatra R.K., Department of Chemistry, Government College of Engineering, Keonjhar, India</t>
  </si>
  <si>
    <t xml:space="preserve">Ahmad F.K., Yusoff N., Classifying breast cancer types based on fine needle aspiration biopsy data using random forest classifier, in Proceedings of the 13th International Conference on Intelligent Systems Design and Applications, 121-25, (2013); Ardabili S.F., Mosavi A., Ghamisi P., Et al., COVID-19 outbreak prediction with machine learning, Algorithms, 13, (2020); Arolas H.P., Acosta E., Lopez-Casasnovas G., Et al., Years of life lost to COVID-19 in 81 countries, Scientific Reports, 11, (2021); Arumugam V.A., Thangavelu S., Fathah Z., Et al., COVID-19 and the world with co-morbidities of heart disease, hypertension and diabetes, Journal of Pure and Applied Microbiology, 14, 3, pp. 1623-1638, (2020); Bezdek J.C., Ehrlich R., Full W., FCM: The fuzzy c-means clustering algorithm, Computers &amp; Geosciences, 10, 2-3, pp. 191-203, (1984); Breiman L., Random forests. Machine Learning, 45(1), pp. 5-32, (2001); Chan J.F., Yuan S., Kok K.H., (2020); Dhama K., Khan S., Tiwari R., Et al., Coronavirus disease 2019-COVID-19, Clinical Microbiology Reviews, 33, 4, pp. e00028-20, (2020); Dhama K., Patel S.K., Pathak M., Et al., An update on SARS-CoV-2/COVID-19 with particular reference to its clinical pathology, pathogenesis, immunopathology and mitigation strategies, Travel Medicine and Infectious Disease, (2020); Evgeniou T., Pontil M., Support Vector Machines: Theory and Applications, in Advanced Course on Artificial Intelligence, pp. 249-257, (2005); Fakoor R., Ladhak F., Nazi A., Et al., Using deep learning to enhance cancer diagnosis and classification, Proceedings of the International Conference on Machine Learning., New York, NY, 28, pp. 1-7, (2013); Fatima N., Liu L., Hong S., Et al., Prediction of breast cancer, comparative review of machine learning techniques, and their analysis. Journals &amp; Magazines, IEEE Access, (2020); Ghisolfi S., Almas I., Sandefur J.C., Et al., Predicted COVID-19 fatality rates based on age, sex, comorbidities and health system capacity, BMJ Global Health, (2020); Hamed G., Marey M.A.E.-R., Amin S.E.-S., Et al., Deep Learning in Breast Cancer Detection and Classification, in Proceeding of Joint Euro-Us Workshop Appl. Invariance Computing. Vis. Cham, pp. 322-333, (2020); Haque K.F., Abdelgawad A., A deep learning approach to detect COVID-19 patients from chest x-ray images, AI, 1, pp. 418-435, (2020); Hasan N., A methodological approach for predicting COVID-19 epidemic using EEMD-ANN hybrid model, Internet of Things, (2020); Hassanien A.E., Khamparia A., Gupta D., Cognitive Internet of Medical Things for Smart Healthcare, (2021); Ibrahim A.A., Hashad A.I., Shawky N.E.M., A comparison of open source data mining tools for breast cancer classification, Handbook of Research on Machine Learning Innovations and Trends, pp. 636-651, (2017); Imandoust S.B., Bolandraftar M., Application of k-nearest neighbor (KNN) approach for predicting economic events: Theoretical background, International Journal of Engineering Research and Applications, 3, pp. 605-610, (2013); Iwendi C., Bashir A.K., Peshkar A., Et al., COVID-19 patient health prediction using boosted Random Forest algorithm, Frontiers in Public Health, 8, (2020); Jain N., Jhunthra S., Garg H., Et al., Prediction modelling of COVID using machine learning methods from B-cell dataset, Results in Physics, (2021); Jimenez-Solem E., Petersen T.S., Hansen C., Et al., Developing and validating COVID-19 adverse outcome risk prediction models from a bi-national European cohort of 5594 patients, Scientific Reports, 11, (2021); Jindal M., Gupta J., Bhushan B., Machine learning methods for IoT and their Future Applications, 2019 International Conference on Computing, Communication, and Intelligent Systems (ICCCIS), in IEEE Xplore, pp. 430-434, (2019); Khakharia A., Shah V., Jain S., Et al., Outbreak prediction of COVID-19 for dense and populated countries using machine learning, Annals of Data Science, (2020); Khamparia A., Singh P.K., Rani P., Et al., An internet of health things-driven deep learning framework for detection and classification of skin cancer using transfer learning, Transactions on Emerging Telecommunications Technologies, e3963, (2020); Kucharski A.J., Russell T.W., Diamond C., (2020); Kumar S., Bhusan B., Singh D., Et al., Classification of Diabetes using Deep Learning, International Conference on Communication and Signal Processing, in IEEE Xplore, pp. 651-655, (2020); Lecun Y., Bengio Y., Hinton G., Deep Learning, Nature, 521, 7553, pp. 436-444, (2015); Lenzen M., Li M., Malik A., Et al., Global socio-economic losses and environmental gains from the Coronavirus pandemic. PLoS One, 15(7), e0235654, (2020); Li W.T., Ma J., Shende N., Et al., Using machine learning of clinical data to diagnose COVID-19: A systematic review and meta-analysis, BMC Medical Informatics and Decision Making, 20, (2020); Li Y., Wu H., A clustering method based on K-means algorithm, Physics Procedia, 25, pp. 1104-1109, (2012); Mohapatra R.K., Das P.K., Kandi V., Challenges in controlling COVID-19 in migrants in Odisha, India, Diabetes &amp; Metabolic Syndrome: Clinical Research &amp; Reviews, 14, pp. 1593-1594, (2020); Mohapatra R.K., Pintilie L., Kandi V., Et al., The recent challenges of highly contagious COVID-19; causing respiratory infections: Symptoms, diagnosis, transmission, possible vaccines, animal models and immunotherapy, Chemical Biology &amp; Drug Design, 96, pp. 1187-1208, (2020); Mohapatra R.K., Saikishore V.P., Azam M., Et al., Synthesis and physicochemical studies of a series of mixed ligand transition metal complexes and their molecular docking investigations against Coronavirus main protease, Open Chemistry, 18, pp. 1495-1506, (2020); Mohapatra R.K., Das P.K., Pintilie L., Et al., Infection capability of SARS-CoV-2 on different surfaces. Egyptian Journal of Basic and Applied Science. 8(1):75-80. Mohapatra, R.K., S. Mishra, M. Azam, Et Al. 2021B. COVID-19, WHO Guidelines, Pedagogy, and Respite. Open Medicine, 16, pp. 491-493, (2021); Mohapatra R.K., Perekhoda L., Azam M., Et al., Computational investigations of three main drugs and their comparison with synthesized compounds as potent inhibitors of SARS-CoV-2 main protease (Mpro): DFT, QSAR, molecular docking, and in silico toxicity analysis, Journal of King Saud University - Science, (2021); Mohapatra R.K., Rahman M., Is it possible to control the outbreak of COVID-19 in Dharavi, Asia’s largest slum situated in Mumbai?, Anti-Infective Agents, 19, 4, pp. 1-2, (2021); Morawska L., Cao J., Airborne transmission of SARS-CoV-2: The world should face the reality, Environment International, (2020); Muhammad L.J., Algehyne E.A., Usman S.S., Et al., Supervised Machine Learning Models for Prediction of COVID-19 Infection Using Epidemiology Dataset.Sn Computer Science, 2, (2021); Munir K., Elahi H., Ayub A., Et al., Cancer diagnosis using deep learning: A bibliographic review, Cancers, 11, 9, (2019); Nicola M., Alsafi Z., Sohrabi C., Et al., The socio-economic implications of the Coronavirus pandemic (COVID-19): A review, International Journal of Surgery, 78, pp. 185-193, (2020); Panigrahi N., Ayus I., Jena O.P., An expert system-based clinical decision support system for hepatitis-b prediction &amp; diagnosis, Chapter, (2021); Paramesha K., Gururaj H.L., Jena O.P., Applications of machine learning in biomedical text processing and food industry, Chapter, (2021); Patel S., Sihmar S., Jatain A., A study of hierarchical clustering algorithms, in Proceeding of Second International, Conference on Computing for Sustainable Global Development (India.Com), pp. 537-541, (2015); Patra S.S., Jena O.P., Kumar G., Et al., Random Forest algorithm in imbalance genomics classification, Chapter, (2021); Pattnayak P., Jena O.P., Innovation on machine learning in healthcare services-an introduction, Chapter, (2021); Rana A.K., Salau A.O., Gupta S., Et al., Machine Learning Methods for Iot and Their Future Applications, In, (2019); Reddy R., Imler T.D., Artificial neural networks are highly predictive for hepatocellular carcinoma in patients with cirrhosis, Gastroenterology, 152, (2017); Roberts M., Driggs D., Thorpe M., (2021); Sah R., Khatiwada A.P., Shrestha S., Et al., The COVID-19 vaccination campaign in Nepal, emerging UK variant and futuristic vaccination strategies to combat the ongoing pandemic, Travel Medicine and Infectious Disease, (2021); Selvathi D., Poornila A.A., Deep learning techniques for breast cancer detection using medical image analysis, Biologically Rationalized Computing Techniques for Image Processing Applications. Cham, pp. 159-186, (2018); Sharma H., Kumar S., A survey on decision tree algorithms of classification in data mining, International Journal of Science and Research, 5, 4, pp. 2094-2097, (2016); Shibly K.H., Dey S.K., Islam T.-U., Et al., COVID faster R-CNN: A novel framework to diagnose novel Coronavirus disease (COVID-19) in X-ray images, Informatics in Medicine Unlocked, (2020); Shorten C., Khoshgoftaar T.M., Furht B., Deep learning applications for COVID-19, Journal of Big Data, 8, (2021); Silva P., Luz E., Silva G., Et al., COVID-19 detection in CT images with deep learning: A voting-based scheme and cross-datasets analysis, Informatics in Medicine Unlocked, (2020); Singhal P., Pareek S., Artificial Neural Network for Prediction of Breast Cancer, in Proc. 2Nd Int. Conf. I-SMAC (Iot Social, pp. 464-468, (2018); Tiwari M., Bharuka R., Shah P., (2020); Togacar M., Ergen B., Deep learning approach for classification of breast cancer, in Proc, Int. Conf. Artif. Intell. Data Process. (IDAP), pp. 1-5, (2018); Tutsoy O., Qolak U., Polat A., Et al., A novel parametric model for the prediction and analysis of the COVID-19 casualties, IEEE Access, (2020); Uddin S., Khan A., Hossain E., Et al., Comparing different supervised machine learning algorithms for disease prediction, BMC Medical Informatics and Decision Making, 19, (2019); Uzun Y., Tezel G., Rule learning with machine learning algorithms and artificial neural networks, Journal of Selcuk University Natural and Applied Science, 1, 2, pp. 1-11, (2012); Wang D., Hu B., Hu C., Et al., Clinical characteristics of 138 hospitalized patients with 2019 novel Coronavirus-infected pneumonia in Wuhan, China, JAMA, (2020); Wang J., Yu H., Hua Q., Et al., A descriptive study of random forest algorithm for predicting COVID-19 patients outcome, Peer J, e9945, (2020); Wu W., Nagarajan S., Chen Z., Bayesian machine learning: EEGMEG signal processing measurements, IEEE Signal Process. Mag, 33, 1, pp. 14-36, (2015); Xu X., Jiang X., Ma C., Et al., A deep learning system to screen novel Coronavirus disease 2019 pneumonia, Engineering, 6, pp. 1122-1129, (2020); Zhang J., Hong X., Guan S.-U., Et al., Maximum Gaussian mixture model for classification, in 8th International Conference on Information Technology in Medicine and Education, (ITME), 587-91, (2016); Zhang R., Li Y., Zhang A.L., Et al., Identifying airborne transmission as the dominant route for the spread of COVID-19, Proceedings of the National Academy of Sciences USA, 117, 26, pp. 14857-14863, (2020); Zhang X., Saleh H., Younis E.M.G., Et al., Predicting Coronavirus pandemic in realtime using machine learning and big data streaming system. Complexity. 2020, Article ID, (2020)</t>
  </si>
  <si>
    <t xml:space="preserve">978-100053393-4; 978-103212687-6</t>
  </si>
  <si>
    <t xml:space="preserve">Machine Learning and Deep Learning in Med. Data Analytics and Healthc. Applications</t>
  </si>
  <si>
    <t xml:space="preserve">2-s2.0-85125948123</t>
  </si>
  <si>
    <t xml:space="preserve">Agarwal D.; Sashanka K.; Madan S.; Kumar A.; Nagrath P.; Jain R.</t>
  </si>
  <si>
    <t xml:space="preserve">Agarwal, Drishti (57350589900); Sashanka, K. (57350477100); Madan, Sajal (57350945000); Kumar, Akshay (57740614900); Nagrath, Preeti (46161409600); Jain, Rachna (57214387459)</t>
  </si>
  <si>
    <t xml:space="preserve">57350589900; 57350477100; 57350945000; 57740614900; 46161409600; 57214387459</t>
  </si>
  <si>
    <t xml:space="preserve">Malaria Cell Image Classification Using Convolutional Neural Networks (CNNs)</t>
  </si>
  <si>
    <t xml:space="preserve">This study provides an insight into malaria as a disease. Malaria is a disease caused due to plasmodium parasite. It requires a type of mosquito as its host. Hence, the bite of the mosquito leads to malaria. The impact it carries on the health of people around the world is extremely large and cannot be curtailed or controlled without quick and efficient diagnostics and treatment. Subsequent topics dwell on the constraints of detection of the malaria parasite. These constraints may include problems with the feasibility of certain types of tests, or not having access to a diagnostics center or problems with transportation of necessary infrastructure. We also must understand that traditional prognosis methods are very tedious and hence always have a chance for human error or oversight leading to devastating consequences. The ease or simplification of diagnosis of malaria upon the use of machine learning and deep learning is undeniable; hence, in our project, we aim to create a model, using CNN, which using feature extraction, can predict whether a sample image of a Red Blood Cell provided to the model is parasitized or unhealthy. This model has a primary goal of detecting malaria in Red Blood Cells from blood smears with the least number of losses. This allows for the most minimal number of malaria-infected cell to be mistakenly passed off as healthy cells. There will be a further comparison between the custom CNN model, VGG19 model with no fine-tuning, VGG19 model fine-tuned, and a ResNet50 model. All of these are models which have been pre-trained on a vast number of images previously with a set of weights termed as Imagenet. © 2022, The Author(s), under exclusive license to Springer Nature Singapore Pte Ltd.</t>
  </si>
  <si>
    <t xml:space="preserve">10.1007/978-981-16-6285-0_3</t>
  </si>
  <si>
    <t xml:space="preserve">https://www.scopus.com/inward/record.uri?eid=2-s2.0-85119693690&amp;doi=10.1007%2f978-981-16-6285-0_3&amp;partnerID=40&amp;md5=f4ef1c27701998587ee95c2a29fe7f1a</t>
  </si>
  <si>
    <t xml:space="preserve">Department of Computer Science and Information Technology, Bharati Vidyapeeth College of Engineering, New Delhi, 110023, India</t>
  </si>
  <si>
    <t xml:space="preserve">Agarwal D., Department of Computer Science and Information Technology, Bharati Vidyapeeth College of Engineering, New Delhi, 110023, India; Sashanka K., Department of Computer Science and Information Technology, Bharati Vidyapeeth College of Engineering, New Delhi, 110023, India; Madan S., Department of Computer Science and Information Technology, Bharati Vidyapeeth College of Engineering, New Delhi, 110023, India; Kumar A., Department of Computer Science and Information Technology, Bharati Vidyapeeth College of Engineering, New Delhi, 110023, India; Nagrath P., Department of Computer Science and Information Technology, Bharati Vidyapeeth College of Engineering, New Delhi, 110023, India; Jain R., Department of Computer Science and Information Technology, Bharati Vidyapeeth College of Engineering, New Delhi, 110023, India</t>
  </si>
  <si>
    <t xml:space="preserve">Convolution neural network; Imagenet; Keras; Plasmodium; Red Blood Cell (RBC); ReLU; ResNet50; Sigmoid; Softmax; VGG19</t>
  </si>
  <si>
    <t xml:space="preserve">Blood; Cells; Convolution; Convolutional neural networks; Cytology; Deep learning; Diagnosis; Image classification; Convolution neural network; Imagenet; Keras; Plasmodium; Red blood cell; ReLU; Resnet50; Sigmoids; Softmax; VGG19; Diseases</t>
  </si>
  <si>
    <t xml:space="preserve">Dong Y., Jiang Z., Shen H., David Pan W., Williams L.A., Reddy V.V.B., Benjamin W.H., Bryan A.W., Evaluations of deep convolutional neural networks for automatic identification of malaria infected cells, 2017 IEEE EMBS International Conference on Biomedical Health Informatics (BHI). IEEE, pp. 101-104, (2017); Geneva: World Health Organization; 2019, License: CC BY-NC-SA 3.0 IGO, (2019); Results. Seattle, (2017); Liang Z., Powell A., Ersoy I., Poostchi M., Silamut K., Palaniappan K., Guo P., Et al., CNN-based image analysis for malaria diagnosis, 2016 IEEE International Conference on Bioinformatics and Biomedicine (BIBM). IEEE, pp. 493-496, (2016); Bibin D., Nair M.S., Punitha P., Malaria parasite detection from peripheral blood smear images using deep belief networks, IEEE Access, 5, pp. 9099-9108, (2017); Poostchi M., Silamut K., Thoma G., Image Analysis and Machine Learning for Detecting Malaria; Nayak S., Kumar S., Jangid M., Malaria detection using multiple deep learning approaches, 2019 2Nd International Conference on Intelligent Communication and Computational Techniques (ICCT), Jaipur, India, pp. 292-297, (2019); Sathpathi S., Et al., Comparing Leishman and Giemsa staining for the assessment of peripheral blood smear preparations in a malariaendemic region in India, Malaria J, 13, 1, pp. 512-516, (2014); Tek F.B., Dempster A.G., Kale (2006) Parasite detection and identification for automated thin blood film malaria diagnosis, Comput Vis Image Understand, 114, 1, pp. 21-32; Liang Z., CNN-based image analysis for malaria diagnosis, 2016 IEEE International Conference on in Bioinformatics and Biomedicine (BIBM), pp. 493-496, (2016); Boray T.F., Dempster A.G., Kale I., Computer vision for microscopy diagnosis of malaria, Malaria J, 8, 1, (2009); Automated imassssr the diagnosis and classification of malaria on thin blood smears, Med Biol Eng Comput, 44, 5, pp. 427-436, (2006); Hung J., Carpenter A., Applying faster R-CNN for object detection on malaria images, Proceedings of the IEEE Conference on Computer Vision and Pattern Recognition Workshops, pp. 56-61, (2017); Rajaraman S., Antani S.K., Poostchi M., Silamut K., Hossain M.A., Maude R.J., Jaeger S., Thoma G.R., Pre-trained convolutional neural networks as feature extractors toward improved malaria parasite detection in thin blood smear images, Peer J, 6, (2018); Deng J., Dong W., Socher R., Li L.-J., Li K., Li F.-F., Imagenet: A large-scale hierarchical image database, 2009 IEEE Conference on Computer Vision and Pattern Recognition. IEEE, pp. 248-255, (2009); Tai L., Liu M., Deep-Learning in Mobile robotics—from Perception to Control Systems: A Survey on Why and Why Not, (2016); Zheng Y., Yang C., Merkulov A., Breast Cancer Screening Using Convolutional Neural Network and Follow-Up Digital Mammography, (2018); Wilson M.L., Malaria rapid diagnostic tests, Clin Infect Dis, 54, 11, pp. 1637-1641, (2012)</t>
  </si>
  <si>
    <t xml:space="preserve">D. Agarwal; Department of Computer Science and Information Technology, Bharati Vidyapeeth College of Engineering, New Delhi, 110023, India; email: drishtis.agarwal@gmail.com</t>
  </si>
  <si>
    <t xml:space="preserve">2-s2.0-85119693690</t>
  </si>
  <si>
    <t xml:space="preserve">Babikir A.K.O.; Thron C.</t>
  </si>
  <si>
    <t xml:space="preserve">Babikir, Aml Kamal Osman (57567575600); Thron, Christopher (7003625301)</t>
  </si>
  <si>
    <t xml:space="preserve">57567575600; 7003625301</t>
  </si>
  <si>
    <t xml:space="preserve">In spite of great improvements in healthcare around the globe, malaria remains a huge burden, with millions of infections occurring yearly. The first step in fighting malaria is to have an accurate, fast, and trusted diagnosing method, which is a problem facing lab technicians worldwide. In Sudan, the burden of malaria is especially heavy because the healthcare system is weakly structured, the number of qualified personnel to conduct an accurate diagnosis is low, and the number of samples that can be tested per day is limited. Machine learning and deep learning algorithms have the potential for addressing these problems by partially automating the process. This chapter describes the design, implementation, and testing of a machine learning model that detects one of the most widespread malaria parasites (Plasmodium falciparum) using samples of thin blood smears on standard microscope slides that were taken by local laboratories in Khartoum, Sudan. A watershed segmentation technique is used to acquire the erythrocytes from microscopic blood sample images, followed by a deep learning classifier. The classifier is based on a convolutional neural network (CNN) obtained using transfer learning: first, a base CNN is trained using a large publicly available dataset of stained infected and uninfected cells; then, several layers are appended to the CNN, which is retrained using locally obtained cell images, with image augmentation. Results showed that although good performance is obtained on the public dataset with the base CNN, the retrained CNN performs poorly on local images. Two reasons for this are the small number of local images available for training, as well as the poor quality of local images. We conclude that these factors pose significant obstacles for the use of machine learning in biomedical applications in developing countries. © 2022, The Author(s), under exclusive license to Springer Nature Switzerland AG.</t>
  </si>
  <si>
    <t xml:space="preserve">10.1007/978-3-030-92245-0_7</t>
  </si>
  <si>
    <t xml:space="preserve">https://www.scopus.com/inward/record.uri?eid=2-s2.0-85127852770&amp;doi=10.1007%2f978-3-030-92245-0_7&amp;partnerID=40&amp;md5=a8b785ab99415d917f0b9c3b8cf0b4f5</t>
  </si>
  <si>
    <t xml:space="preserve">Department of Computer Science, University of Khartoum, Khartoum, Sudan; Department of Science and Mathematics, Texas A&amp; M University-Central Texas, Killeen, TX, United States</t>
  </si>
  <si>
    <t xml:space="preserve">Babikir A.K.O., Department of Computer Science, University of Khartoum, Khartoum, Sudan; Thron C., Department of Science and Mathematics, Texas A&amp; M University-Central Texas, Killeen, TX, United States</t>
  </si>
  <si>
    <t xml:space="preserve">Blood; Cell images; Clinical diagnosis; Convolutional neural network; Dataset; Detection; Healthcare; Infections; Labs; Machine learning; Malaria; Microscopy; PCR; Plasmodium; Procedure; Regression; Techniques; Threshold; Transfer learning; Tropical</t>
  </si>
  <si>
    <t xml:space="preserve">Abdalla S.I., Malik E.M., Ali K.M., The burden of malaria in Sudan: Incidence, mortality and disability–adjusted life–years, Malaria Journal, 6, 1, pp. 1-9, (2007); Balogh E.P., Miller B.T., Ball J.R., Improving Diagnosis in Health Care, (2015); Beucher S., Meyer F., The morphological approach to segmentation: The watershed transformation, Mathematical Morphology in Image Processing, pp. 433-481, (2018); Cheesbrough M., District Laboratory Practice in Tropical Countries, (2005); Das D.K., Ghosh M., Pal M., Maiti A.K., Chakraborty C., Machine learning approach for automated screening of malaria parasite using light microscopic images, Micron, 45, pp. 97-106, (2013); Dorothy R., Joany R.M., Joseph Rathish R., Santhana Prabha S., Rajendran S., Joseph S., Image enhancement by histogram equalization, International Journal of Nano Corrosion Science and Engineering, 2, 4, pp. 21-30, (2015); Fagbamigbe A.F., On the discriminatory and predictive accuracy of the RDT against the microscopy in the diagnosis of malaria among under-five children in Nigeria, Malaria Journal, 18, 1, pp. 1-12, (2019); Jaeger S., Malaria Datasets, (2021); Kingma D.P., Ba J., Adam: A method for stochastic optimization, Preprint, Arxiv, 1412, (2014); Kumar R., Gupta A., Mishra A., Design of ensemble learning model to diagnose malaria disease using convolutional neural network, International Conference on Innovative Computing and Communications, pp. 1165-1176, (2021); Kumari U., Memon M.M., Narejo S., Afzal M., Malaria disease detection using machine learning, 2Nd International Conference on Computational Sciences and Technologies, (2020); Linder N., Turkki R., Walliander M., Martensson A., Diwan V., Rahtu E., Pietikainen M., Lundin M., Lundin J., A malaria diagnostic tool based on computer vision screening and visualization of Plasmodium falciparum candidate areas in digitized blood smears, Plos One, 9, 8, (2014); Makanjuola R.O., Taylor-Robinson A.W., Improving accuracy of malaria diagnosis in underserved rural and remote endemic areas of sub-Saharan Africa: A call to develop multiplexing rapid diagnostic tests. Scientifica, 2020, Article ID, 3901, (2020); Malik E., Atta H.Y., Weis M., Lang A., Puta C., Lettenmaier C., Bell A., Sudan Roll Back Malaria Consultative Mission: Essential Actions to Support the Attainment of the Abuja Targets, (2004); Mbanefo A., Kumar N., Evaluation of malaria diagnostic methods as a key for successful control and elimination programs, Tropical Medicine and Infectious Disease, 5, 2, (2020); Otsu N., A threshold selection method from gray-level histograms, IEEE Transactions on Systems, Man, and Cybernetics, 9, 1, pp. 62-66, (1979); Park H.S., Rinehart M.T., Walzer K.A., Chi J.-T.A., Wax A., Automated detection of p. falciparum using machine learning algorithms with quantitative phase images of unstained cells, Plos One, 11, 9, (2016); Rajaraman S., Antani S.K., Poostchi M., Silamut K., Hossain M.A., Maude R.J., Jaeger S., Thoma G.R., Pre-trained convolutional neural networks as feature extractors toward improved malaria parasite detection in thin blood smear images, Peerj, 6, (2018); Rumelhart D.E., Hinton G.E., Williams R.J., Learning representations by back-propagating errors, Nature, 323, 6088, pp. 533-536, (1986); Tehrani A.S.S., Lee H.W., Mathews S.C., Shore A., Makary M.A., Pronovost P.J., Newman-Toker D.E., 25-Year summary of us malpractice claims for diagnostic errors 1986–2010: An analysis from the national practitioner data bank, BMJ Quality &amp; Safety, 22, 8, pp. 672-680, (2013)</t>
  </si>
  <si>
    <t xml:space="preserve">A.K.O. Babikir; Department of Computer Science, University of Khartoum, Khartoum, Sudan; email: amlbabikir@gmail.com</t>
  </si>
  <si>
    <t xml:space="preserve">2-s2.0-85127852770</t>
  </si>
  <si>
    <t xml:space="preserve">Moretti L.N.; Coelho L.S.</t>
  </si>
  <si>
    <t xml:space="preserve">Moretti, Leonardo N. (57880923400); Coelho, Leandro S. (6505856329)</t>
  </si>
  <si>
    <t xml:space="preserve">57880923400; 6505856329</t>
  </si>
  <si>
    <t xml:space="preserve">Neural Architecture Search Using Harmony Search Applied to Malaria Detection</t>
  </si>
  <si>
    <t xml:space="preserve">Over 200 million malaria cases worldwide lead to half a million deaths annually. Although significant progress has been made, eradication remains elusive. One of the main challenges to overcome is diagnosis. Currently, there are many techniques available, among them light microscopy being the golden standard. However, this method is slow and expensive, since it requires a professional microscopist, manually counting red blood cells (RBCs). Some automation attempts have been made, but thus far, no commercial solution has been developed, and there is no consensus on the right approach to the matter. One remarkable prospect is the use convolutional neural networks (CNNs) to classify and count RBCs. This method has proven to be highly accurate, but computationally intensive. This work seeks to find more cost-effective topologies, while still maintaining reasonable accuracy. To do so, it will use Harmony Search, a music-inspired metaheuristic. The main contributions of this work is the search of more efficient topologies and the suggestion of a new metric for kind of topology implementation, one that utilizes both accuracy and computation cost indicators. © 2022, The Author(s), under exclusive license to Springer Nature Singapore Pte Ltd.</t>
  </si>
  <si>
    <t xml:space="preserve">10.1007/978-981-19-2948-9_27</t>
  </si>
  <si>
    <t xml:space="preserve">https://www.scopus.com/inward/record.uri?eid=2-s2.0-85137595507&amp;doi=10.1007%2f978-981-19-2948-9_27&amp;partnerID=40&amp;md5=43d719aff593598966ea157fe6e8af00</t>
  </si>
  <si>
    <t xml:space="preserve">Electrical Engineering Graduate Program (PPGEE), Federal University of Paraná (UFPR), PR, Curitiba, Brazil; Industrial and Systems Engineering Graduate Program (PPGEPS), Pontifical Catholic University of Paraná (PUPCR), PR, Curitiba, Brazil</t>
  </si>
  <si>
    <t xml:space="preserve">Moretti L.N., Electrical Engineering Graduate Program (PPGEE), Federal University of Paraná (UFPR), PR, Curitiba, Brazil; Coelho L.S., Industrial and Systems Engineering Graduate Program (PPGEPS), Pontifical Catholic University of Paraná (PUPCR), PR, Curitiba, Brazil</t>
  </si>
  <si>
    <t xml:space="preserve">Convolutional neural network; Harmony search; Malaria detection</t>
  </si>
  <si>
    <t xml:space="preserve">Blood; Convolution; Convolutional neural networks; Cost effectiveness; Diagnosis; Diseases; Computation costs; Convolutional neural network; Cost effective; Harmony search; Highly accurate; Malaria detection; Metaheuristic; Neural architectures; Reasonable accuracy; Red blood cell; Topology</t>
  </si>
  <si>
    <t xml:space="preserve">Bronzan R.N., McMorrow M.L., Kachur S.P., Diagnosis of malaria, Mol Diagn Ther, 12, 5, pp. 299-306, (2008); Araujo T., Et al., Classification of breast cancer histology images using convolutional neural networks, Plos ONE, 12, 6, (2017); Alakwaa W., Nassef M., Badr A., Lung cancer detection and classification with 3D convolutional neural network (3D-CNN), Lung Cancer, 8, 8, (2017); Manescu P., Et al., Expert-level automated malaria diagnosis on routine blood films with deep neural networks, Am J Hematol, 95, 8, pp. 883-891, (2020); Masud M., Et al., Leveraging deep learning techniques for malaria parasite detection using mobile application, Wirel Commun Mob Comput, (2020); Fuhad K.M., Et al., Deep learning based automatic malaria parasite detection from blood smear and its smartphone based application, Diagnostics, 10, 5, (2020); Dokeroglu T., Et al., A survey on new generation metaheuristic algorithms, Comput Ind Eng, 137, (2019); Talbi E.-G., Machine learning into metaheuristics: A survey and taxonomy, ACM Comput Surv (CSUR), 54, 6, pp. 1-32, (2021); Lee W.-Y., Park S.-M., Sim K.-B., Optimal hyperparameter tuning of convolutional neural networks based on the parameter-setting-free harmony search algorithm, Optik, 172, pp. 359-367, (2018); Ayumi V., Et al., Optimization of convolutional neural network using microcanonical annealing algorithm, 2016 International Conference on Advanced Computer Science and Information Systems (ICACSIS), (2016); de Souza R.C.T., Et al., Binary coyote optimization algorithm for feature selection, Pattern Recogn, 107, (2020); Xue B., Et al., A survey on evolutionary computation approaches to feature selection, IEEE Trans Evol Comput, 20, 4, pp. 606-626, (2015); Lee W.-Y., Park S.-M., Sim K.-B., Optimal hyperparameter tuning of convolutional neural networks based on the parameter-setting-free harmony search algorithm, Optik, 172, pp. 359-367, (2018); Kim S.-H., Zong W.G., Han G.-T., Hyperparameter optimization method based on harmony search algorithm to improve performance of 1D CNN human respiration pattern recognition system, Sensors, 20, 13, (2020); Wei C., Et al., Self-supervised representation learning for evolutionary neural architecture search, IEEE Comput Intell Mag, 16, 3, pp. 33-49, (2021); Yang X.-S., Harmony search as a metaheuristic algorithm, Music-Inspired Harmony Search Algorithm, pp. 1-14, (2009); Nasir M., Et al., Harmony search algorithm and fuzzy logic theory: An extensive review from theory to applications, Mathematics, 9, 21, (2021); Goutte C., Gaussier E., A probabilistic interpretation of precision, recall and F-score, with implication for evaluation, European Conference on Information Retrieval, (2005); Handelman G.S., Et al., Peering into the black box of artificial intelligence: evaluation metrics of machine learning methods, Am J Roentgenol, 212, 1, pp. 38-43, (2019); Rajaraman S., Et al., Pre-trained convolutional neural networks as feature extractors toward improved malaria parasite detection in thin blood smear images, Peerj, 6, (2018)</t>
  </si>
  <si>
    <t xml:space="preserve">L.N. Moretti; Electrical Engineering Graduate Program (PPGEE), Federal University of Paraná (UFPR), Curitiba, PR, Brazil; email: lnakatani@yahoo.com.br</t>
  </si>
  <si>
    <t xml:space="preserve">2-s2.0-85137595507</t>
  </si>
  <si>
    <t xml:space="preserve">Pradhan A.; Patil R.; Alugade V.; Patil V.</t>
  </si>
  <si>
    <t xml:space="preserve">Pradhan, Akanksha (57476569100); Patil, Rutuja (58253808900); Alugade, Vrushali (57477077200); Patil, Varsha (57215611777)</t>
  </si>
  <si>
    <t xml:space="preserve">57476569100; 58253808900; 57477077200; 57215611777</t>
  </si>
  <si>
    <t xml:space="preserve">System for Full Immunization Coverage</t>
  </si>
  <si>
    <t xml:space="preserve">Universal Immunization Program in India reveals a coverage below 50% in most heavily populated states of the country (Bihar, Uttar Pradesh, West Bengal), and most of the health indicators are low in states where immunization coverage is low. The current mechanism for keeping track of immunization details is manual and tedious. To overcome this issue and maintain integrity, a system is proposed to monitor the schedule from pregnancy of the mother till 5 years of age of child. The schedule may include the due dates for check-up during pregnancy as well as the dates of vaccination till 5 years of age of child. The system will provide notification to the beneficiaries through SMS/Emails. DEO/Health workers can directly capture the beneficiary data into the system using the web portal. A unique barcode will be generated and assigned to each beneficiary to track the immunization schedule. A separate login access is provided to the beneficiary to check their profile details and get information about the scheduled check-ups and immunization campaigns. Dashboards displaying visualization of immunization coverage of various regions can help the government to plan their campaigns. System is extended to collect blood test samples from different labs, and CNN models can be used for detection of Malaria in particular areas, thus, reducing delays in taking action in infected regions. The proposed system connects different healthcare sectors and helps in digitization of the paperwork and ease in maintaining records, thus, providing better healthcare services. © 2022, The Author(s), under exclusive license to Springer Nature Singapore Pte Ltd.</t>
  </si>
  <si>
    <t xml:space="preserve">10.1007/978-981-16-5685-9_26</t>
  </si>
  <si>
    <t xml:space="preserve">https://www.scopus.com/inward/record.uri?eid=2-s2.0-85125702552&amp;doi=10.1007%2f978-981-16-5685-9_26&amp;partnerID=40&amp;md5=99e6d265a256d6dae4acab0c68e9d27f</t>
  </si>
  <si>
    <t xml:space="preserve">Department of Computer Engineering, SIES Graduate School of Technology, Navi Mumbai, India</t>
  </si>
  <si>
    <t xml:space="preserve">Pradhan A., Department of Computer Engineering, SIES Graduate School of Technology, Navi Mumbai, India; Patil R., Department of Computer Engineering, SIES Graduate School of Technology, Navi Mumbai, India; Alugade V., Department of Computer Engineering, SIES Graduate School of Technology, Navi Mumbai, India; Patil V., Department of Computer Engineering, SIES Graduate School of Technology, Navi Mumbai, India</t>
  </si>
  <si>
    <t xml:space="preserve">Barcode scanning; Convolutional neural network (CNN); Database; Image classification; Immunization</t>
  </si>
  <si>
    <t xml:space="preserve">Bar codes; Classification (of information); Convolution; Convolutional neural networks; Immunization; Obstetrics; Portals; Bar-code scanning; Convolutional neural network; Current mechanisms; Due dates; Health indicators; Images classification; Immunization programs; West Bengal; Workers'; Image classification</t>
  </si>
  <si>
    <t xml:space="preserve">Patra N., Universal immunization programme in India: The determinants of childhood immunization, Available at SSRN: Https://Ssrn.Com/Abstract=881224 Or, (2006); Srivastava A.K., Shankar G., Study of immunization coverage and its determinants among under five children residing in urban field practice areas of Karnataka, India. Indian J Forensic Community Med., (2017); Ventola C.L., Immunization in the United States: Recommendations, barriers and measures to improve compliance: part 1: Childhood vaccinations, P T, 41, 7, pp. 426-436, (2016); Wilson S.E., Quach S., Naus M., McDonald S.E., Kwong J., Tu K., Desai S., Tran D., Methods used for immunization coverage assessment in Canada, a Canadian Immunization Research Network (CIRN) study, Hum Vaccin Immunother, 13, 8, pp. 1928-1936, (2017); Datta A., Baidya S., Datta S., Mog C., Das S., A study to find out the full immunization coverage of 12 to 23-month old children and areas of under-performance using LQAS technique in a rural area of Tripura, J Clin Diagn Res JCDR, 11, pp. LC01-LC04, (2017); Panda B.K., A study to find out the temporal trend and inequality in India, Available at URL: Https://Www.Intechopen.Com, (2019); Song S., Miled Z.B., Digital immunization surveillance: monitoring flu vaccination rates using online social networks, 2017 IEEE 14Th International Conference on Mobile Ad Hoc and Sensor Systems (MASS), Orlando, FL, pp. 560-564, (2017); Siringi N., Sharma S., Child immunization using data analysis, 2017 International Conference on Inventive Computing and Informatics (ICICI), Coimbatore, pp. 937-943, (2017); Tropea M., Fedele G., Classifiers comparison for convolutional neural networks (CNNs) in image classification, 2019 IEEE/ACM 23Rd International Symposium on Distributed Simulation and Real Time Applications (DS-RT), pp. 1-4, (2019); Kakde A., Arora N., Sharma D., A comparative study of different types of CNN and highway CNN techniques, Glob J Eng Sci Res Manag, 6, pp. 18-31, (2019); Sharma N., Jain V., Mishra A., An analysis of convolutional neural networks for image classification, Procedia Comput Sci, pp. 377-384, (2018)</t>
  </si>
  <si>
    <t xml:space="preserve">V. Alugade; Department of Computer Engineering, SIES Graduate School of Technology, Navi Mumbai, India; email: vrush02cc@gmail.com</t>
  </si>
  <si>
    <t xml:space="preserve">2-s2.0-85125702552</t>
  </si>
  <si>
    <t xml:space="preserve">A Deep Learning Based Framework for Malaria Diagnosis on High Variation Data Set</t>
  </si>
  <si>
    <t xml:space="preserve">Malaria is a globally widespread disease caused by parasitic protozoa transmitted by infected female Anopheles mosquitoes. It is caused in humans only by the parasite Plasmodium, further classified into four different species. Identifying malaria parasites is possible by analyzing digital microscopic blood smears, which is tedious, time-consuming, and error-prone. Therefore, automation of the process has assumed great importance as it helps the laborious manual process of review and diagnosis. This work proposes a real-time malaria parasite detector and classification system after studying the YOLOv5 detector and comparing different off-the-shelf convolutional neural network architectures for four-class classification on Plasmodium Falciparum life stages. The results show that the use of the networks YOLOv5 and DarkNet-53 reaches great accuracy in detecting and classifying the life stages of Plasmodium Falciparum, achieving an accuracy of 95.2% and 96.02%, respectively, and outperforming the state-of-art. The obtained results enable broad improvements geared explicitly towards recognizing types and life stages of less common species of malaria parasites, even in mobile environments. © 2022, The Author(s), under exclusive license to Springer Nature Switzerland AG.</t>
  </si>
  <si>
    <t xml:space="preserve">13232 LNCS</t>
  </si>
  <si>
    <t xml:space="preserve">10.1007/978-3-031-06430-2_30</t>
  </si>
  <si>
    <t xml:space="preserve">https://www.scopus.com/inward/record.uri?eid=2-s2.0-85130953590&amp;doi=10.1007%2f978-3-031-06430-2_30&amp;partnerID=40&amp;md5=13ca8b1989ce4c3a8b01a71fc33666a6</t>
  </si>
  <si>
    <t xml:space="preserve">Computer vision; Deep learning; Image processing; Malaria parasites classification; Malaria parasites detection</t>
  </si>
  <si>
    <t xml:space="preserve">Computer aided diagnosis; Convolutional neural networks; Deep learning; Diseases; Image classification; Network architecture; Data set; Deep learning; Images processing; Life stages; Malaria diagnosis; Malaria parasite; Malaria parasite classification; Malaria parasite detection; Plasmodium falciparum; Computer vision</t>
  </si>
  <si>
    <t xml:space="preserve">Abdurahman F., Fante K.A., Aliy M., Malaria parasite detection in thick blood smear microscopic images using modified YOLOV3 and YOLOV4 models, BMC Bioinform, 22, 1, (2021); Jocher G., Et al., Ultralytics/Yolov5: V5.0-Yolov5-P6 1280 Models, (2021); Bias S., Reni S., Kale I., Mobile hardware based implementation of a novel, efficient, fuzzy logic inspired edge detection technique for analysis of malaria infected microscopic thin blood images, Proc. Comput. Sci., 141, pp. 374-381, (2018); Deng J., Dong W., Socher R., Li L.J., Li K., Fei-Fei L., ImageNet: A large-scale hierarchical image database, In: CVPR, pp. 248-255, (2009); Di Ruberto C., Loddo A., Puglisi G., Blob detection and deep learning for leukemic blood image analysis, Appli. Sci., 10, 3, (2020); Di Ruberto C., Loddo A., Putzu L., Detection of red and white blood cells from microscopic blood images using a region proposal approach, Comput. Biol. Med., 116, (2020); He K., Zhang X., Ren S., Sun J., Deep residual learning for image recognition, IEEE Conference on Computer Vision and Pattern Recognition, CVPR, pp. 770-778, (2016); Huang G., Liu Z., Weinberger K.Q., Densely connected convolutional networks, Corr Abs/1608, (2016); Krizhevsky A., Sutskever I., Hinton G.E., ImageNet classification with deep convolutional neural networks. In: Proceeding of the 25th International Conference on Neural Information Processing Systems, NIPS 2012, vol. 1, pp, 1097–1105, (2012); Lin T.Y., Et al., Microsoft coco: Common objects in context, Computer Vision-Eccv 2014, pp. 740-755, (2014); Loddo A., Di Ruberto C., Kocher M., Recent advances of malaria parasites detection systems based on mathematical morphology, Sensors, 18, 2, (2018); Maity M., Jaiswal A., Gantait K., Chatterjee J., Mukherjee A., Quantification of malaria parasitaemia using trainable semantic segmentation and capsnet, Pattern Recognit. Lett., 138, pp. 88-94, (2020); Mikolajczyk A., Grochowski M., Data augmentation for improving deep learning in image classification problem, International Interdisciplinary Phd Workshop, Iiphdw, pp. 117-122, (2018); Moody A., Rapid diagnostic tests for malaria parasites, Clin. Microbiol. Rev., 15, 1, pp. 66-78, (2002); Nanni L., Ghidoni S., Brahnam S., Handcrafted vs. non-handcrafted features for computer vision classification, Pattern Recogn, 71, pp. 158-172, (2017); Poostchi M., Silamut K., Maude R.J., Jaeger S., Thoma G., Image analysis and machine learning for detecting malaria, Transl. Res., 194, pp. 36-55, (2018); Rahman A., Zunair H., Reme T.R., Rahman M.S., Mahdy M., A comparative analysis of deep learning architectures on high variation malaria parasite classification dataset, Tissue Cell, 69, (2021); Rajaraman S., Jaeger S., Antani S.K., Perf. eval. of deep neural ensembles toward malaria parasite detection in thin-blood smear images, Peerj, 7, (2019); Redmon J., Divvala S., Girshick R., Farhadi A., You only look once: unified, real-time object detection, IEEE Conference on Computer Vision and Pattern Recognition, CVPR, pp. 779-788, (2016); Redmon J., Farhadi A., Yolov3: An incremental improvement, Corr Abs/1804, (2018); Ren S., He K., Girshick R., Sun J., Faster R-CNN: Towards real-time object detection with region proposal networks, Adv. Neural. Inf. Process. Syst., 28, pp. 91-99, (2015); Sandler M., Howard A.G., Zhu M., Zhmoginov A., Chen L., Mobilenetv 2: Inverted residuals and linear bottlenecks. In: 2018 IEEE Conference on Computer Vision and Pattern Recognition, CVPR 2018, Salt Lake City, UT, USA, 18–22 June, pp. 4510–4520. IEEE Computer, Society, (2018); Shin H., Et al., Deep convolutional neural networks for computer-aided detection: CNN architectures, dataset characteristics and transfer learning, IEEE Trans. Med. Imaging, 35, 5, pp. 1285-1298, (2016); Simonyan K., Zisserman A., Very deep convolutional networks for large-scale image recognition, 3Rd International Conference on Learning Representations, ICLR 2015, San Diego, CA, USA, pp. 7-9, (2015); Szegedy C., Et al., Going deeper with convolutions, IEEE Conference on Computer Vision and Pattern Recognition, CVPR, pp. 1-9, (2015); Szegedy C., Vanhoucke V., Ioffe S., Shlens J., Wojna Z., Rethinking the inception architecture for computer vision, IEEE Conference on Computer Vision and Pattern Recognition, CVPR, pp. 2818-2826, (2016); Vogado L.H., Veras R.M., Araujo F.H., Silva R.R., Aires K.R., Leukemia diagnosis in blood slides using transfer learning in CNNS and SVM for classification, Eng. Appl. Artif. Intell., 72, pp. 415-422, (2018); Xie W., Noble J.A., Zisserman A., Microscopy cell counting and detection with fully convolutional regression networks, Comput. Methods Biomech. Biomed. Eng. Imaging Vis., 6, 3, pp. 283-292, (2018); Zhang X., Zhou X., Lin M., Sun J., ShuffleNet: An extremely efficient convolutional neural network for mobile devices. In: 2018 IEEE Conference on Computer Vision and Pattern Recognition, CVPR 2018, Salt Lake City, UT, USA, 18–22 June, pp. 6848–6856. IEEE Computer, Society, (2018); Zhu X., Lyu S., Wang X., Zhao Q., Tph-yolov5: Improved yolov5 based on transformer prediction head for object detection on drone-captured scenarios, Proceedings of the IEEE/CVF International Conference on Computer Vision, ICCV Workshops, pp. 2778-2788, (2021)</t>
  </si>
  <si>
    <t xml:space="preserve">Sclaroff S.; Distante C.; Leo M.; Farinella G.M.; Tombari F.</t>
  </si>
  <si>
    <t xml:space="preserve">21st International Conference on Image Analysis and Processing, ICIAP 2022</t>
  </si>
  <si>
    <t xml:space="preserve">23 May 2022 through 27 May 2022</t>
  </si>
  <si>
    <t xml:space="preserve">Lecce</t>
  </si>
  <si>
    <t xml:space="preserve">978-303106429-6</t>
  </si>
  <si>
    <t xml:space="preserve">2-s2.0-85130953590</t>
  </si>
  <si>
    <t xml:space="preserve">Choubey S.; Barde S.; Badholia A.</t>
  </si>
  <si>
    <t xml:space="preserve">Choubey, Srishti (57921095800); Barde, Snehlata (57304555300); Badholia, Abhishek (57216751216)</t>
  </si>
  <si>
    <t xml:space="preserve">57921095800; 57304555300; 57216751216</t>
  </si>
  <si>
    <t xml:space="preserve">Analysis of Deep Learning Techniques to Investigate and Support Diagnosis of Virus Borne Diseases</t>
  </si>
  <si>
    <t xml:space="preserve">The poorest individuals, who often reside in remote, rural areas, urban slums, or conflict zones, are disproportionately affected by neglected tropical illnesses (NTDs). Arboviruses are one of the most major subgroups of mosquito-borne NTDs. In Latin America and South America, three kinds of arboviruses impact a major section of the population. The names of these viruses are Dengue, Chikungunya, and Zika. The clinical identification of distinct arboviral infections is a difficult task. Due to the continuous circulation of several arboviruses, all of which have symptoms that are very similar, test results are often erroneous. This study explores the most current advancements in Machine Learning (ML) and Deep Learning (DL) models for the automated classification of arboviral diseases. According to the results, the major focus of the current research is on categorizing dengue using tree-based machine learning approaches. Utilizing a high-quality clinical decision support system for the treatment of arboviral infections may enhance the overall quality of the clinical process, hence increasing the diagnostic and therapeutic accuracy. It should facilitate clinicians' decision-making and, subsequently, increase resource use and the quality of life for patients.  © 2022 IEEE.</t>
  </si>
  <si>
    <t xml:space="preserve">3rd International Conference on Electronics and Sustainable Communication Systems, ICESC 2022 - Proceedings</t>
  </si>
  <si>
    <t xml:space="preserve">10.1109/ICESC54411.2022.9885376</t>
  </si>
  <si>
    <t xml:space="preserve">https://www.scopus.com/inward/record.uri?eid=2-s2.0-85139564211&amp;doi=10.1109%2fICESC54411.2022.9885376&amp;partnerID=40&amp;md5=f8c81a732aa2cc6aa92a0facbc3289ac</t>
  </si>
  <si>
    <t xml:space="preserve">Mats University, School of Engineering and Information Technology, Department of Cse, Raipur, India; Mats University, School of Information Technology, Department of It, Raipur, India</t>
  </si>
  <si>
    <t xml:space="preserve">Choubey S., Mats University, School of Engineering and Information Technology, Department of Cse, Raipur, India; Barde S., Mats University, School of Information Technology, Department of It, Raipur, India; Badholia A., Mats University, School of Engineering and Information Technology, Department of Cse, Raipur, India</t>
  </si>
  <si>
    <t xml:space="preserve">Arboviral; Deep Learning; Machine Learning; Neglected Tropical Diseases</t>
  </si>
  <si>
    <t xml:space="preserve">Decision making; Decision support systems; Deep learning; Diagnosis; Learning systems; Tropics; 'current; Arboviral; Conflict zones; Deep learning; Latin America; Learning techniques; Machine-learning; Neglected tropical disease; Remote rural areas; South America; Viruses</t>
  </si>
  <si>
    <t xml:space="preserve">Artsob H., Lindsay R., Drebot M., Arboviruses, International Encyclopedia of Public Health ( Second Edition). secondedition ed, pp. 154-160, (2017); Lopes N., Nozawa C., Linhares R.E.C., Características gerai e epidemiologiados arbovírus emergentes no Brasil, Revista Pan-Amazônica de Saúde, 5, 3, pp. 55-644, (2014); Girard M., Nelson C.B., Picot V., Gubler D.J., Arboviruses: A global public health threat, Vaccine, 38, 24, pp. 3989-3994, (2020); Lowe R., Lee S., Lana R.M., Codeco C.T., Castro M.C., Pascual M., Emerging arboviruses in the urbanized Amazon rainforest, Bmj, (2020); Liu L.E., Dehning M., Phipps A., Swienton R.E., Harris C.A., Klein K.R., Clinical update on dengue, chikungunya, and Zika: what we know at the time of article submission, Disaster medicine and public health preparedness, 11, 3, pp. 290-299, (2017); Hoad V.C., Speers D.J., Keller A.J., Dowse G.K., Seed C.R., Lindsay M., Et al., First reported case of transfusion-transmitted Ross River virus infection, Med J Aust, 202, 5, pp. 267-269, (2015); Zeng Z., Zhan J., Chen L., Chen H., Cheng S., Global regional and nationaldengue burden from 1990 to 2017: A systematic analysis based on the globalburden of disease study 2017, EClinicalMedicine, 32, (2021); Potts J.A., Gibbons R.V., Rothman A.L., Srikiatkhachorn A., Thomas S.J., Po S., Et al., Prediction of dengue disease severity among pediatricThai patients using early clinical laboratory indicators, PLoS Negl Trop Dis, 4, 8, (2010); William P., Badholia A., Analysis of Personality Traits from Text Based Answers using HEXACO Model, 2021 International Conference on Innovative Computing, Intelligent Communication and Smart Electrical Systems (ICSES), pp. 1-10, (2021); William P., Abhishek Badholia Dr., Assessment of Personality from Interview Answers using Machine Learning Approach, International Journal of Advanced Science and Technology., 29, 8, pp. 6301-6312, (2021); William P., Abhishek Badholia Dr., Evaluating Efficacy of Classification Algorithms on Personality Prediction Dataset, Elementary Education Online, 19, 4, pp. 3400-3413, (2020); William P., Abhishek Badholia Dr., A Review on Prediction of Personality Traits Considering Interview Answers with Personality Models 9,V, International Journal for Research in Applied Science and Engineering Technology (IJRASET), pp. 1611-1616; William P., Patil V.S., Architectural Challenges of Cloud Computing and Its Security Issues with Solutions, International Journal for Scientific Research and Development, 4, 8, pp. 265-268, (2016); William P., Kumar P., Chhabra G.S., Vengatesan K., Task Allocation in Distributed Agile Software Development using Machine Learning Approach, 2021 International Conference on Disruptive Technologies for Multi-Disciplinary Research and Applications (CENTCON), pp. 168-172, (2021); William P., Badholia A., Verma V., Sharma A., Verma A., Analysis of Data Aggregation and Clustering Protocol in Wireless Sensor Networks Using Machine Learning, Evolutionary Computing and Mobile Sustainable Networks. Lecture Notes on Data Engineering and Communications Technologies, 116, (2022); Bibave R., Thokal P., Hajare R., Deulkar A., William P., Chandan A.T., A Comparative Analysis of Single Phase to Three Phase Power Converter for Input Current THD Reduction, 2022 International Conference on Electronics and Renewable Systems (ICEARS), pp. 325-330, (2022); Bornare A.B., Naikwadi S.B., Pardeshi D.B., William P., Preventive Measures to Secure Arc Fault using Active and Passive Protection, 2022 International Conference on Electronics and Renewable Systems (ICEARS), pp. 934-938, (2022); Matharu H.S., Girase V., Pardeshi D.B., William P., Design and Deployment of Hybrid Electric Vehicle, 2022 International Conference on Electronics and Renewable Systems (ICEARS), pp. 331-334, (2022); William P., Choubey A., Chhabra G.S., Bhattacharya R., Vengatesan K., Choubey S., Assessment of Hybrid Cryptographic Algorithm for Secure Sharing of Textual and Pictorial Content, 2022 International Conference on Electronics and Renewable Systems (ICEARS), pp. 918-922, (2022); William P., Choubey S., Ramkumar M., Verma A., Vengatesan K., Choubey A., Implementation of 5G Network Architecture with Interoperability in Heterogeneous Wireless Environment using Radio Spectrum, 2022 International Conference on Electronics and Renewable Systems (ICEARS), pp. 786-791, (2022); Pawar A.B., Gawali P., Gite M., Jawale M.A., William P., Challenges for Hate Speech Recognition System: Approach based on Solution, 2022 International Conference on Sustainable Computing and Data Communication Systems (ICSCDS), pp. 699-704, (2022); William P., Jadhav D., Cholke P., Jawale M.A., Pawar A.B., Framework for Product Anti-Counterfeiting using Blockchain Technology, 2022 International Conference on Sustainable Computing and Data Communication Systems (ICSCDS), pp. 1254-1258, (2022); William P., Gade R., Chaudhari R.E., Pawar A.B., Jawale M.A., Machine Learning based Automatic Hate Speech Recognition System, 2022 International Conference on Sustainable Computing and Data Communication Systems (ICSCDS), pp. 315-318, (2022); William P., Badholia A., Patel B., Nigam M., Hybrid Machine Learning Technique for Personality Classification from Online Text using HEXACO Model, 2022 International Conference on Sustainable Computing and Data Communication Systems (ICSCDS), pp. 253-259, (2022); Pawar A.B., Khemnar V., Londhe R., William P., Jawale M.A., Discriminant Analysis of Student's Online Learning Satisfaction during COVID'19, 2022 International Conference on Sustainable Computing and Data Communication Systems (ICSCDS), pp. 260-263, (2022); Yuvaraj S., Badholia A., William P., Vengatesan K., Bibave R., Speech Recognition Based Robotic Arm Writing, Proceedings of International Conference on Communication and Artificial Intelligence. Lecture Notes in Networks and Systems, 435, (2022); Gondkar S.S., Pardeshi D.B., William P., Innovative System for Water Level Management using IoT to prevent Water Wastage, 2022 International Conference on Applied Artificial Intelligence and Computing (ICAAIC), pp. 1555-1558, (2022); Wakchaure A., Kanawade P., Jawale M.A., William P., Pawar A.B., Face Mask Detection in Realtime Environment using Machine Learning based Google Cloud, 2022 International Conference on Applied Artificial Intelligence and Computing (ICAAIC), pp. 557-561, (2022); Kolpe R., Ghogare S., Jawale M.A., William P., Pawar A.B., Identification of Face Mask and Social Distancing using YOLO Algorithm based on Machine Learning Approach, 2022 6th International Conference on Intelligent Computing and Control Systems (ICICCS), pp. 1399-1403, (2022); Batt A.A., Ahmad Bhat R., Pardeshi D.B., William P., Gondkar S.S., Singh Matharu H., Design and Optimization of Solar using MPPT Algorithm in Electric Vehicle, 2022 6th International Conference on Intelligent Computing and Control Systems (ICICCS), pp. 226-230, (2022); Najgad Y.B., Namdev Munde S., Chobe P.S., Pardeshi D.B., William P., Advancement of Hybrid Energy Storage System with PWM Technique for Electric Vehicles, 2022 6th International Conference on Intelligent Computing and Control Systems (ICICCS), pp. 238-242, (2022); Ghoderao R.B., Raosaheb Balwe S., Chobe P.S., Pardeshi D.B., William P., Smart Charging Station for Electric Vehicle with Different Topologies, 2022 6th International Conference on Intelligent Computing and Control Systems (ICICCS), pp. 243-246, (2022); Gondkar S.S., Pardeshi D.B., William P., Innovative System for Water Level Management using IoT to prevent Water Wastage, 2022 International Conference on Applied Artificial Intelligence and Computing (ICAAIC), pp. 1555-1558, (2022); Wakchaure A., Kanawade P., Jawale M.A., William P., Pawar A.B., Face Mask Detection in Realtime Environment using Machine Learning based Google Cloud, 2022 International Conference on Applied Artificial Intelligence and Computing (ICAAIC), pp. 557-561, (2022); Kolpe R., Ghogare S., Jawale M.A., William P., Pawar A.B., Identification of Face Mask and Social Distancing using YOLO Algorithm based on Machine Learning Approach, 2022 6th International Conference on Intelligent Computing and Control Systems (ICICCS), pp. 1399-1403, (2022); Batt A.A., Ahmad Bhat R., Pardeshi D.B., William P., Gondkar S.S., Singh Matharu H., Design and Optimization of Solar using MPPT Algorithm in Electric Vehicle, 2022 6th International Conference on Intelligent Computing and Control Systems (ICICCS), pp. 226-230, (2022); Najgad Y.B., Namdev Munde S., Chobe P.S., Pardeshi D.B., William P., Advancement of Hybrid Energy Storage System with PWM Technique for Electric Vehicles, 2022 6th International Conference on Intelligent Computing and Control Systems (ICICCS), pp. 238-242, (2022); Ghoderao R.B., Raosaheb Balwe S., Chobe P.S., Pardeshi D.B., William P., Smart Charging Station for Electric Vehicle with Different Topologies, 2022 6th International Conference on Intelligent Computing and Control Systems (ICICCS), pp. 243-246, (2022); Gondkar S.S., William P., Pardeshi D.B., Design of a Novel IoT Framework for Home Automation using Google Assistant, 2022 6th International Conference on Intelligent Computing and Control Systems (ICICCS), pp. 451-454, (2022); William P., Et al., Darknet Traffic Analysis and Network Management for Malicious Intent Detection by Neural Network Frameworks, Using Computational Intelligence for the Dark Web and Illicit Behavior Detection, pp. 1-19, (2022); William P., Et al., Systematic Approach for Detection and Assessment of Dark Web Threat Evolution, Using Computational Intelligence for the Dark Web and Illicit Behavior Detection, pp. 230-256, (2022); Navare D.S., Kapde Y.R., Maurya S., Pardeshi D.B., William P., Robotic Bomb Detection and Disposal: Application using Arduino, 2022 7th International Conference on Communication and Electronics Systems (ICCES), pp. 479-483, (2022); Jadhav R., Shaikh A., Jawale M.A., Pawar A.B., William P., System for Identifying Fake Product using Blockchain Technology, 2022 7th International Conference on Communication and Electronics Systems (ICCES), pp. 851-854, (2022); Rawat R., Rimal Y.N., William P., Dahima S., Gupta S., Sankaran K.S., Malware Threat Affecting Financial Organization Analysis Using Machine Learning Approach, International Journal of Information Technology and Web Engineering (IJITWE), 17, 1, pp. 1-20, (2022); William P., Shrivastava A., Chauhan H., N Nagpal V K T P., Singh P., Framework for Intelligent Smart City Deployment via Artificial Intelligence Software Networking, 2022 3rd International Conference on Intelligent Engineering and Management (ICIEM), pp. 455-460, (2022); William P.Y.N., Vimala S., Gite P., Blockchain Technology for Data Privacy using Contract Mechanism for 5G Networks, 2022 3rd International Conference on Intelligent Engineering and Management (ICIEM), pp. 461-465, (2022); Gondkar S.S., William P., Pardeshi D.B., Design of a Novel IoT Framework for Home Automation using Google Assistant, 2022 6th International Conference on Intelligent Computing and Control Systems (ICICCS), pp. 451-454, (2022); Khoshgoftaar T.M., Golawala M., Van Hulse J., An empirical study oflearning from imbalanced data using random forest, 19th IEEEInternational Conference on Tools with Artificial Intelligence (ICTAI 2007)., 2, pp. 310-317, (2007)</t>
  </si>
  <si>
    <t xml:space="preserve">3rd International Conference on Electronics and Sustainable Communication Systems, ICESC 2022</t>
  </si>
  <si>
    <t xml:space="preserve">17 August 2022 through 19 August 2022</t>
  </si>
  <si>
    <t xml:space="preserve">978-166547971-4</t>
  </si>
  <si>
    <t xml:space="preserve">2-s2.0-85139564211</t>
  </si>
  <si>
    <t xml:space="preserve">Mishra R.; Saranya S.S.; Shafahad M.</t>
  </si>
  <si>
    <t xml:space="preserve">Mishra, Raman (58153602500); Saranya, S.S. (58992201300); Shafahad, Mohd (58153380300)</t>
  </si>
  <si>
    <t xml:space="preserve">58153602500; 58992201300; 58153380300</t>
  </si>
  <si>
    <t xml:space="preserve">Analysis of different Machine Learning and Deep Learning Techniques for Malaria Parasite Detection</t>
  </si>
  <si>
    <t xml:space="preserve">Malaria is an epizootic illness caused by unicellular parasites. In Two thousand eighteen there were an estimated two hundred twenty-eight million cases of malaria worldwide. Conventional method of diagnosis requires experienced technician and careful perusal to classify between healthy and infected blood cell, which consumes a lot of time and is also prone to human error. With the help of ML and DL we can simulate human intelligence and make better predictions. The main aim of the paper is to compare the machine learning algorithms namely KNN, Decision Tree, Logistic regression and Random forest and implementing transfer learning with deep learning models VGG19, modified Resnet50 to improve the accuracy achieved with machine learning models thus proposing the best model for predicting malaria only by observing by blood cell image rather than doing any staining of blood, thus reducing any expert requirement. © 2022 IEEE.</t>
  </si>
  <si>
    <t xml:space="preserve">4th International Conference on Emerging Research in Electronics, Computer Science and Technology, ICERECT 2022</t>
  </si>
  <si>
    <t xml:space="preserve">10.1109/ICERECT56837.2022.10059648</t>
  </si>
  <si>
    <t xml:space="preserve">https://www.scopus.com/inward/record.uri?eid=2-s2.0-85150678781&amp;doi=10.1109%2fICERECT56837.2022.10059648&amp;partnerID=40&amp;md5=26b4fc901595039a38e03513a228a1df</t>
  </si>
  <si>
    <t xml:space="preserve">SRM Institute of Science and Technology, Computer Science and Engineering, Kattankulathur, India</t>
  </si>
  <si>
    <t xml:space="preserve">Mishra R., SRM Institute of Science and Technology, Computer Science and Engineering, Kattankulathur, India; Saranya S.S., SRM Institute of Science and Technology, Computer Science and Engineering, Kattankulathur, India; Shafahad M., SRM Institute of Science and Technology, Computer Science and Engineering, Kattankulathur, India</t>
  </si>
  <si>
    <t xml:space="preserve">Decision tree; Deep learning; K nearest neighbour; Machine Learning; Parasitized; Random Forest; Resnet50V2; VGG19</t>
  </si>
  <si>
    <t xml:space="preserve">Blood; Cells; Convolutional neural networks; Deep learning; Diseases; Image enhancement; Learning systems; Logistic regression; Nearest neighbor search; Deep learning; K near neighbor; Learning techniques; Machine-learning; Malaria parasite; Nearest-neighbour; Parasitized; Random forests; Resnet50v2; VGG19; Decision trees</t>
  </si>
  <si>
    <t xml:space="preserve">Malaria microscopy quality assurance manual-version; World malaria report 2017, (2017); Bibin D., Nair M.S., Punitha P., Blood Smear Images Using Deep Belief Networks, IEEE, (2017); Mahdieh Poostchi, Kamolrat Silamut, Richard J. Maude, Stefan Jaeger and George Thoma, Image Analysis and Machine Learning for Detecting Malaria, (2017); Mahedi Masud, Hesham Alhumyani, Sultan S. Alshamrani, 1 Omar Cheikhrouhou, Saleh Ibrahim, Ghulam Muhammad, M. Shamim Hossain, and Mohammad Shorfuzzaman, Leveraging Deep Learning Techniques for Malaria Parasite Detection Using Mobile Application, (2020); Pattanaik P.A., Mittal M., Zubair Khan M., Panda S.N., Malaria detection using deep residual networks with mobile microscopy, Science Direct, (2019); Iradukunda O., Che H., Uwinezal J., Yves Bayingana J., Bin-Imam M.S., Niyonzima I., IEEE, (2019); Sai Bharadwaj Reddy A., Sujitha Juliet D., Transfer Learning with ResNet-50 for Malaria Cell-Image Classification, IEEE, (2019); Dastidar Rai T., Ethirajan R., Biomedical Optical Express, (2020); Poostchi M., Ersoy I., McMenamin K., Gordon E., Palaniappan N., Pierce S., Maude R.J., Journal of Medical imaging, (2018); Penas Delas K.E., Rivera P.T., Naval P.C., Malaria Parasite Detection and Species Identification on Thin Blood Smears using a Convolutional Neural Network, IEEE, (2017); Yang F., Yu H., Maude R.J., Silamut K., Parasite Detection in Thick Blood Smears Based on Customized Faster-RCNN on Smartphones, IEEE, (2019); Nayak S., Kumar S., Jangid M., Malaria Detection Using Multiple Deep Learning Approaches, International Conference On Intelligent Communications and Computational Technique, (2019); Shekar G., Revathi S., Karthick Goud E., Malaria Detection Using Deep Learning, IEEE, (2020); Bajaj K., Sharma B., Singh R., Implementation analysis of IoT-based offloading frameworks on cloud/edge computing for sensor generated big data, Complex &amp; Intelligent Systems, 8, 5, pp. 3641-3658, (2022); Dogra R., Rani S., Sharma B., A review to forest fires and its detection techniques using wireless sensor network, Advances in communication and computational technology, pp. 1339-1350, (2021); Sharma B., Obaidat M.S., Sharma V., Hsiao K.F., Routing and collision avoidance techniques for unmanned aerial vehicles: Analysis, optimal solutions, and future directions, International Journal of Communication Systems, 33, 18, (2020); Sharma B., Obaidat M.S., Comparative analysis of IoT based products, technology and integration of IoT with cloud computing, IET Networks, 9, 2, pp. 43-47, (2020); Garg S., Singh R., Obaidat M.S., Bhalla V.K., Sharma B., Statistical vertical reduction-based data abridging technique for big network traffic dataset, International Journal of Communication Systems, 33, 4, (2020); Sharma B., Obaidat M.S., Singh K., Bajaj K., A Comparative Study on Frameworks, MAC Layer Protocols and Open Research Issues in Internet of Things, Adhoc &amp; Sensor Wireless Networks, (2019); Chand T., Sharma B., HRCCTP: A hybrid reliable and congestion control transport protocol for wireless sensor networks, 2015 IEEE sensors, pp. 1-4, (2015)</t>
  </si>
  <si>
    <t xml:space="preserve">26 December 2022 through 27 December 2022</t>
  </si>
  <si>
    <t xml:space="preserve">Mandya</t>
  </si>
  <si>
    <t xml:space="preserve">978-166545635-7</t>
  </si>
  <si>
    <t xml:space="preserve">Int. Conf. Emerg. Res. Electron., Comput. Sci. Technol., ICERECT</t>
  </si>
  <si>
    <t xml:space="preserve">2-s2.0-85150678781</t>
  </si>
  <si>
    <t xml:space="preserve">Rodriguez M.F.; Ravelo-Garcia A.; Alvarez E.; Diaz L.A.; Cornejo D.R.; Cabrera-Caso V.; Condori-Merma D.; Cornejo M.V.</t>
  </si>
  <si>
    <t xml:space="preserve">Rodriguez, Maria Fernanda (58189068000); Ravelo-Garcia, Antonio (9634135600); Alvarez, Esteban (7203082633); Diaz, Luz Alexandra (58147880900); Cornejo, Diego Rodrigo (57222005271); Cabrera-Caso, Victor (58189751900); Condori-Merma, Dante (57207622703); Cornejo, Miguel Vizcardo (6503955900)</t>
  </si>
  <si>
    <t xml:space="preserve">58189068000; 9634135600; 7203082633; 58147880900; 57222005271; 58189751900; 57207622703; 6503955900</t>
  </si>
  <si>
    <t xml:space="preserve">Approximate Entropy and Densely Connected Neural Network in the Early Diagnostic of Patients with Chagas Disease</t>
  </si>
  <si>
    <t xml:space="preserve">It is estimated that in the world there are between 6 and 8 million people infected with Chagas disease, mainly in endemic areas of 21 Latin American countries, and in recent years it is slowly becoming a health problem in more urban areas and countries. In that sense, developing diagnosis methods is primordial. That is why this work used a deep neural network to classify 292 subjects (volunteers and patients) composed of 83 health volunteers (Control group); 102 asymptomatic chagasic patients (CH1 group) and 107 seropositive chagasic patients with incipient heart disease (CH2 group). Approximate Entropy ApEn was calculated from the tachograms of the circadian profiles of 24 hours every 5 minutes (288 frames) of each subject, and part of this data were used to train the network. The classification work done by the deep neural network had 98% of accuracy and 98% of precision, validated with the ROC curve, whose AUC values were approximately the unit for each group. Taking into account the good performance, we can consider this deep neural network and approximate entropy as useful tools to have a good early diagnosis about Chagas disease and its cardiac compromise. © 2022 Creative Commons.</t>
  </si>
  <si>
    <t xml:space="preserve">10.22489/CinC.2022.313</t>
  </si>
  <si>
    <t xml:space="preserve">https://www.scopus.com/inward/record.uri?eid=2-s2.0-85152942331&amp;doi=10.22489%2fCinC.2022.313&amp;partnerID=40&amp;md5=f5b475f93b75294c9918e35f4d82aecc</t>
  </si>
  <si>
    <t xml:space="preserve">Universidad Nacional de San Agustín de Arequipa, Escuela Profesional de Física, Peru; Instituto for Technological Development and Innovation in Communications, Universidad de Las Palmas de Gran Canaria, Spain; Universidad Central de Venezuela, Escuela de Física, Venezuela</t>
  </si>
  <si>
    <t xml:space="preserve">Rodriguez M.F., Universidad Nacional de San Agustín de Arequipa, Escuela Profesional de Física, Peru; Ravelo-Garcia A., Instituto for Technological Development and Innovation in Communications, Universidad de Las Palmas de Gran Canaria, Spain; Alvarez E., Universidad Central de Venezuela, Escuela de Física, Venezuela; Diaz L.A., Universidad Nacional de San Agustín de Arequipa, Escuela Profesional de Física, Peru; Cornejo D.R., Universidad Nacional de San Agustín de Arequipa, Escuela Profesional de Física, Peru; Cabrera-Caso V., Universidad Nacional de San Agustín de Arequipa, Escuela Profesional de Física, Peru; Condori-Merma D., Universidad Nacional de San Agustín de Arequipa, Escuela Profesional de Física, Peru; Cornejo M.V., Universidad Nacional de San Agustín de Arequipa, Escuela Profesional de Física, Peru</t>
  </si>
  <si>
    <t xml:space="preserve">Cardiology; Diagnosis; Disease control; Entropy; Approximate entropy(ApEn); Chagas disease; Control groups; Diagnosis methods; Heart disease; Latin americans; Neural-networks; ROC curves; Tachograms; Urban areas; Deep neural networks</t>
  </si>
  <si>
    <t xml:space="preserve">Universidad Nacional de San Agustin de Arequipa, UNSA</t>
  </si>
  <si>
    <t xml:space="preserve">Universidad Nacional de San Agustin de Arequipa</t>
  </si>
  <si>
    <t xml:space="preserve">ENFERMEDAD de Chagas e Inmunosupresíon, Decálogo para la prevencíon, el diagnóstico y el tratamiento, (2021); FIRST WHO report on neglected tropical diseases: working to overcome the global impact of neglected tropical diseases, First WHO report on neglected tropical diseases: Working to overcome the global impact of neglected tropical diseases, (2010); Marin-Neto J., Cunha-Neto E., Maciel B., Simoes M., PATHOGENESIS of chronic Chagas heart disease, Circulation, 115, 9, pp. 1109-1123, (2007); Mendoza I., Moleiro F., Marques J., Britto I.M., ARRITMIAS y muerte súbita en la enfermedad de Chagas, (2008); Di Lorenzo Oliveira C., Nunes M.C., Colosimo E., De Lima E., Cardoso C., Ferreira A., De Oliveira L., Valente C., Bierrenbach L., Ana D., Peixoto S., Lima M., Sabino E., Ribeiro A.L.P., RISK Score for Predicting 2-Year Mortality in Patients With Chagas Cardiomyopathy From Endemic Areas: SaMi-Trop Cohort Study, Journal of the American Heart Association, 9, 6, (2020); Forsyth C., Manne-Goehler J., Bern C., Whitman J., Hochberg N., Edwards M., Marcus R., Beatty N., Castro-Sesquen Y., Coyle C., Stigler P., Hamer D., Maguire J., Gilman R., Meymandi S., RECOMMENDATIONS for Screening and Diagnosis of Chagas Disease in the United States, The Journal of Infectious Diseases, 225, 9, pp. 1601-1610, (2022); Fonseca S., Milho J., Passos P., Araujo D., Davids K., APPROXIMATE entropy normalized measures for analyzing social neurobiological systems, J Mot Behav, 44, 3, pp. 179-183, (2012); Horie T., APPROXIMATE entropy of electrocardiogram signals in atrial fibrillation, Rinsho Byori., 61, 10, pp. 893-899, (2013); Solis E., Galvez G., Munoz A., ENTROPY Analysis of RR-Time Series From Stress Tests, Frontiers in Phsicology, 11, (2020); Vizcardo M., Ravelo A., USE of Approximation Entropy for Stratification of Risk in Patients With Chagas Disease, 2018 Computing in Cardiology Conference (CinC), 45, pp. 1-4, (2018); Cochero J., Pattori L., Balsalobre A., Ceccarelli S., Marti G., A CONVOLUTIONAL neural network to recognize Chagas disease vectors using mobile phone images, Ecological Informatics, 68, (2022); Sanchez-Patino N., Toriz-Vazquez A., Hevia-Montiel N., Perez-Gonzalez J., CONVOLUTIONAL Neural Networks for Chagas Parasite Detection in Histopathological Images, International Conference of the IEEE Engineering in Medicine &amp; Biology Society, pp. 2732-2735, (2021); De Santana W., Machado A., Junior P., De Melo C., Silva M., Da Silva R., Jeraldo V., MACHINE learning and automatic selection of attributes for the identification of Chagas disease from clinical and sociodemographic data, Research, Society and Development, 10, 4, (2021); Pereira A., Mazza L., Pinto P., Gomes J., Nedjah N., Vanzan D., Pyrrho A., Soares G., DEEP convolutional neural network applied to Trypanosoma cruzi detection in blood samples, International Journal of Bio-Inspired Computation, 19, 1, pp. 1-17, (2022); Pan J., Tompkins W.J., A REAL-Time QRS Detection Algorithm, IEEE Transactions on Biomedical Engineering, 32, 3, pp. 230-236, (1985); Pincus S.M., APPROXIMATE entropy as a measure of system complexity, Proceedings of the National Academy of Sciences, 88, 6, pp. 2297-2301, (1991); Akaike H., FITTING Autoregressive for Prediction Models, Statist Math, 21, pp. 243-247, (1969)</t>
  </si>
  <si>
    <t xml:space="preserve">M.V. Cornejo; Arequipa, Calle Santa Catalina N° 117, CP 04000, Peru; email: mvizcardoc@unsa.edu.pe</t>
  </si>
  <si>
    <t xml:space="preserve">2022 Computing in Cardiology, CinC 2022</t>
  </si>
  <si>
    <t xml:space="preserve">4 September 2022 through 7 September 2022</t>
  </si>
  <si>
    <t xml:space="preserve">Tampere</t>
  </si>
  <si>
    <t xml:space="preserve">979-835030097-0</t>
  </si>
  <si>
    <t xml:space="preserve">2-s2.0-85152942331</t>
  </si>
  <si>
    <t xml:space="preserve">Chauhan R.; Sengupta A.; Yafi E.</t>
  </si>
  <si>
    <t xml:space="preserve">Chauhan, Ritu (57197047673); Sengupta, Aparajita (57560954300); Yafi, Eiad (36806985300)</t>
  </si>
  <si>
    <t xml:space="preserve">57197047673; 57560954300; 36806985300</t>
  </si>
  <si>
    <t xml:space="preserve">Artificial Intelligence an Influential Review: Pandemic Scenario</t>
  </si>
  <si>
    <t xml:space="preserve">Since the beginning of the 21st century the world had to face several outbreaks ofviral diseases like Chikungunya, Ebola, Nipah, H7H9 Bird flu, H1N1, SARS, MERS and above all the Coronavirus or SARS-CoV-2 which has brought the whole world to a standstill, as of now it as infected around 200 million people and has caused over 4 million deaths. The countries of USA, India, Brazil and Russia have been the most seriously affected countries of all. outbreak of Covid-19 a 'Public Health Emergency of International Concern' on 30th January 2020 and a 'pandemic' on 11th march 2020. Although the SARS-CoV-2 (Severe acute respiratory syndrome Coronavirus 2) or the Coronavirus has a very low fatality rate i.e. 2.9%, but the most problematic aspect of the Coronavirus is its unusually high infectivity rate. Such unique attributes of the virus called for more stringent and advanced methods of investigation, research and analysis and this is where Artificial Intelligence (AI) comes in; the scientific community strongly believe that AI and data science can be used to fight against the Coronavirus and can fill in the blanks still left by science. In current study of approach, we have emphasis the role of AI during the pandemic and implemented the study. Further, a trend analysis is conducted from year 2020 till 2021 to analyze the pattern for future forecasting.  © 2022 IEEE.</t>
  </si>
  <si>
    <t xml:space="preserve">Proceedings of the 2022 16th International Conference on Ubiquitous Information Management and Communication, IMCOM 2022</t>
  </si>
  <si>
    <t xml:space="preserve">10.1109/IMCOM53663.2022.9721753</t>
  </si>
  <si>
    <t xml:space="preserve">https://www.scopus.com/inward/record.uri?eid=2-s2.0-85127530288&amp;doi=10.1109%2fIMCOM53663.2022.9721753&amp;partnerID=40&amp;md5=c95f16671956dbb9260c59d98f300c17</t>
  </si>
  <si>
    <t xml:space="preserve">Amity University, Center for Computational Biology and Bioinformatics, Noida, India; Amity University, Center of Medical Biotechnology, Noida, India; Institute of Dili, Faculty of Information and Communications Technologies, Timor-Leste, Australia</t>
  </si>
  <si>
    <t xml:space="preserve">Chauhan R., Amity University, Center for Computational Biology and Bioinformatics, Noida, India; Sengupta A., Amity University, Center of Medical Biotechnology, Noida, India; Yafi E., Institute of Dili, Faculty of Information and Communications Technologies, Timor-Leste, Australia</t>
  </si>
  <si>
    <t xml:space="preserve">Artificial Intelligence; Healthcare databases; Machine Learning; pandemic; SARS-Cov-2</t>
  </si>
  <si>
    <t xml:space="preserve">Machine learning; Bird flu; Chikungunya; Coronaviruses; Fatality rates; Health emergencies; Healthcare database; Machine-learning; Pandemic; SARS-cov-2; Severe acute respiratory syndrome coronavirus; Coronavirus; SARS</t>
  </si>
  <si>
    <t xml:space="preserve">Kuah A.T.H., Dillon R., Digital Transformation in a Post-covid World Alan Turing Institute Project: Antarctic Seal Populations, (2021); Banerjee A., Monteleoni C., Climate Change: Challenges for Machine Learning (Nips Tutorial, (2014); Banerji M., Et al., Galaxy Zoo: Reproducing Galaxy Morphologies Via Machine Learning, (2010); Claire M.P., Aneja U., Artificial Intelligence for Healthcare Insights from India, Centre for Universal Health &amp; Asia-Pacific Programme, (2020); AlphaFold: Using Ai for Scientific Discovery, (2018); Gomez-Gonzalez E., Gomez E., Marquez-Rivas, Et al., Artificial Intelligence in Medicine and Healthcare: A Review and Classification of Current and Near-Future Applications and Their Ethical and Social Impact, (2020); Lee J., Freddolkino P., Zhang Y., Ab initio protein structure prediction, From Protein Structure to Function with Bioinformatics, (2017); Lochner M., McEwen J.D., Peiris H.V., Lahav O., Winter M.K., Photometric Supernova Classification with Machine Learning, (2016); Miller A., A Machine Learning Method to Infer Fundamental Stellar Parameters from Photometric Light Curves, (2015); Morello V., Barr E.D., Bailes M., Flynn C.M., Keane E.F., Van Straten W., Spinn: A Straightforward Machine Learning Solution to the Pulsar Candidate Selection Problem, (2014); Patel V.L., Shortliffe E.H., Stefanelli M., Szolovits P., Berthold M.R., Bellazzi R., Abu-Hanna A., The coming of age of artificial intelligence in medicine, Artif Intell Med., 46, 1, pp. 5-17, (2009); Roberts S., McQuillan A., Reece S., Aigrain S., Astrophysically Robust Systematics Removal Using Variational Inference, (2013); The Ai Revolution in Scientific Research by the Royal Society and the Alan Turing Institute; The role of artificial intelligence in tackling covid-19, Future Virology, 15, 11; Aishya R., Javaid M., Ibrahim H.K., Haleem A., Artificial Intelligence (ai) applications for covid-19 pandemic, Diabetes &amp; Metabolic Syndrome: Clinical Research &amp; Reviews, 14, 4, (2020); Chauhan R., Kaur H., A Feature Based Reduction technique on Large Scale Databases, International Journal of Data Analysis Techniques and Strategies. 2017, 9, 3, pp. 207-221, (2017); Chauhan R., Kaur H., Alam A.M., Data Clustering Method for Discovering Clusters in Spatial Cancer Databases, International Journal of Computer Applications-Special Issue, 10, 6, pp. 9-14, (2010); Chauhan R., Yafi E., Big Data Analytics for Prediction Modelling in Healthcare Databases, 2021 15th International Conference on Ubiquitous Information Management and Communication (IMCOM), 2021, pp. 1-5, (2021); Kumar N., Chauhan R., Dubey G., Applicability of Financial System Using Deep Learning Techniques, Advances in Intelligent Syst., Computing, 1097, (2019); Yu-Chen H., Et al., Ambient Communications and Computer Systems</t>
  </si>
  <si>
    <t xml:space="preserve">E. Yafi; Institute of Dili, Faculty of Information and Communications Technologies, Timor-Leste, Australia; email: Eiad.yafi@uts.edu.au</t>
  </si>
  <si>
    <t xml:space="preserve">Lee S.; Choo H.; Ismail R.</t>
  </si>
  <si>
    <t xml:space="preserve">16th International Conference on Ubiquitous Information Management and Communication, IMCOM 2022</t>
  </si>
  <si>
    <t xml:space="preserve">3 January 2022 through 5 January 2022</t>
  </si>
  <si>
    <t xml:space="preserve">Seoul</t>
  </si>
  <si>
    <t xml:space="preserve">978-166542678-7</t>
  </si>
  <si>
    <t xml:space="preserve">Proc. Int. Conf. Ubiquitous Inf. Manag. Commun,, IMCOM</t>
  </si>
  <si>
    <t xml:space="preserve">2-s2.0-85127530288</t>
  </si>
  <si>
    <t xml:space="preserve">Tieppo E.; Barddal J.P.; Nievola J.C.</t>
  </si>
  <si>
    <t xml:space="preserve">Tieppo, Eduardo (57306105200); Barddal, Jean Paul (56313344100); Nievola, Júlio Cesar (6508070965)</t>
  </si>
  <si>
    <t xml:space="preserve">57306105200; 56313344100; 6508070965</t>
  </si>
  <si>
    <t xml:space="preserve">Automatic disease vector mosquitoes identification via hierarchical data stream classification</t>
  </si>
  <si>
    <t xml:space="preserve">Vector-borne diseases (VBDs), such as Dengue or Malaria, are one of the main concerns of public health agencies and governments. These diseases are mainly spread by mosquitoes acting as vectors by transmitting infected blood between humans. Machine learning can be used to design and improve control strategies of VBDs by providing models able to recognize disease vector mosquitoes and automatically capture or kill harmful species. The automatic identification of disease vector mosquitoes was not yet addressed concerning the hierarchical classification of data streams. Thus, reliable information has not been used to improve learning models, such as mosquitoes' hierarchical taxonomy. In this study, we propose a framework for the automatic identification of disease vector mosquitoes in the context of the hierarchical classification of data streams area. To this end, we propose a hierarchical adaptation of a disease vector mosquitoes' dataset to include their taxonomy and introduce kNC and Dribble, two novel classification methods fitted to hierarchical data streams representing the mosquitoes. Results depicted that our framework, using summarization techniques, achieves significantly better prediction and processing speed rates when compared to existing state-of-the-art models. © 2022 ACM.</t>
  </si>
  <si>
    <t xml:space="preserve">Proceedings of the ACM Symposium on Applied Computing</t>
  </si>
  <si>
    <t xml:space="preserve">10.1145/3477314.3507019</t>
  </si>
  <si>
    <t xml:space="preserve">https://www.scopus.com/inward/record.uri?eid=2-s2.0-85130322818&amp;doi=10.1145%2f3477314.3507019&amp;partnerID=40&amp;md5=7ee6870a649732eece0308ee1bde02c4</t>
  </si>
  <si>
    <t xml:space="preserve">Pontifícia Universidade Católica Do Paraná (PUCPR), Curitiba, Brazil</t>
  </si>
  <si>
    <t xml:space="preserve">Tieppo E., Pontifícia Universidade Católica Do Paraná (PUCPR), Curitiba, Brazil; Barddal J.P., Pontifícia Universidade Católica Do Paraná (PUCPR), Curitiba, Brazil; Nievola J.C., Pontifícia Universidade Católica Do Paraná (PUCPR), Curitiba, Brazil</t>
  </si>
  <si>
    <t xml:space="preserve">data stream classification; data summarization; hierarchical classification; vector-borne diseases</t>
  </si>
  <si>
    <t xml:space="preserve">Automation; Disease control; Diseases; Learning systems; Natural language processing systems; Taxonomies; Automatic identification; Classification of data; Data stream; Data stream classifications; Data summarizations; Disease vectors; Hierarchical classification; Hierarchical data; Public-health agencies; Vector-borne disease; Vectors</t>
  </si>
  <si>
    <t xml:space="preserve">Aggarwal C.C., Han J., Wang J., Yu P.S., A framework for on-demand classification of evolving data streams, Ieee Transactions on Knowledge and Data Engineering, 18, 5, pp. 577-589, (2006); Aha D.W., Kibler D., Albert M.K., Instance-based learning algorithms, Machine Learning, 6, 1, pp. 37-66, (1991); Paul Barddal J., Murilo Gomes H., Enembreck F., Pfahringer B., Bifet A., On dynamic feature weighting for feature drifting data streams, Joint European Conference on Machine Learning and Knowledge Discovery in Databases, pp. 129-144, (2016); Bifet A., Kirkby R., Data Stream Mining: A Practical Approach, (2009); Bouzid M., Brainard J., Hooper L., Hunter P.R., Public health interventions for Aedes control in the time of Zikavirus-A meta-review on effectiveness of vector control strategies, PLoS Neglected Tropical Diseases, 10, 12, (2016); Cao L., Wang Y., Zhang B., Jin Q., Vasilakos A.V., GCHAR: An efficient Group-based Context-Aware human activity recognition on smartphone, J. Parallel and Distrib. Comput, 118, pp. 67-80, (2018); Da Silva Motta D., Badaro R., Santos A., Kirchner F., Use of Artificial Intelligence on the Control of Vector-Borne Diseases, Vectors and Vector-Borne Zoonotic Diseases, (2018); Demsar J., Statistical comparisons of classifiers over multiple data sets, Journal of Machine Learning Research, 7, pp. 1-30, (2006); Friedman M., The use of ranks to avoid the assumption of normality implicit in the analysis of variance, J. Amer. Statist. Assoc, 32, 200, pp. 675-701, (1937); Gama J., Knowledge Discovery from Data Streams, (2010); Gama J., Sebastiao R., Pereira Rodrigues P., On evaluating stream learning algorithms, Machine Learning, 90, 3, pp. 317-346, (2013); Gama J., Zliobaite I., Bifet A., Pechenizkiy M., Bouchachia A., A survey on concept drift adaptation, Acm Computing Surveys (CSUR, 46, 4, (2014); Huang K., Qian-Bei Hong C., Su M., Chen Y., Speech Emotion Recognition Using Deep Neural Network Considering Verbal and Nonverbal Speech Sounds, Proceedings of the Ieee International Conference on Acoustics, Speech and Signal Processing (ICASSP, pp. 5866-5870, (2019); Joshi A., Miller C., Reviewof machine learning techniques for mosquito control in urban environments, Ecological Informatics, (2021); Kiritchenko S., Famili F., Functional Annotation of Genes Using Hierarchical Text Categorization, Proceedings of BioLink SIG, Ismb, (2005); Kosmopoulos A., Partalas I., Gaussier E., Paliouras G., Androutsopoulos I., Evaluation measures for hierarchical classification: A unified view and novel approaches, Data Mining and Knowledge Discovery, 29, 3, pp. 820-865, (2015); Kraemer M.Ug, Sinka M.E., Duda K.A., Mylne A.Qn, Shearer F.M., Barker C.M., Moore C.G., Carvalho R.G., Coelho G.E., Van Bortel W., Et al., The global distribution of the arbovirus vectors Aedes aegypti and Ae, Albopictus. Elife, 4, (2015); Nemenyi P., Distribution-free multiple comparisons, Biometrics, 18, (1962); Nguyen H., Woon Y., Ng W., A survey on data stream clustering and classification, Knowledge and Information Systems, 45, 3, pp. 535-569, (2015); O'Callaghan L., Mishra N., Meyerson A., Guha S., Motwani R., Streaming-data algorithms for high-quality clustering, Proceedings 18th International Conference on Data Engineering, pp. 685-694, (2002); A Global Brief on Vector-borne Diseases, (2014); Rafael A., Parmezan S., Ma Souza V., Batista G., Towards Hierarchical Classification of Data Streams, Iberoamerican Congress on Pattern Recognition, pp. 314-322, (2018); Ramirez-Gallego S., Krawczyk B., Garcia S., Wozniak M., Herrera F., A survey on data preprocessing for data stream mining: Current status and future directions, Neurocomputing, 239, pp. 39-57, (2017); Silla C.N., Freitas A.A., A survey of hierarchical classification across different application domains, Data Mining and Knowledge Discovery, 22, 1-2, pp. 31-72, (2011); Souza V.M.A., Reis D.M., Maletzke A.G., Batista G.E.A.P.A., Challenges in Benchmarking Stream Learning Algorithms with Real-world Data, Data Mining and Knowledge Discovery, pp. 1-54, (2020); Steinbach M., Ertoz L., Kumar V., The challenges of clustering high dimensional data, New Directions in Statistical Physics, pp. 273-309, (2004); Tieppo E., Robson Dos Santos R., Paul Barddal J., Cesar Nievola J., Hierarchical classification of data streams: A systematic literature review, Artificial Intelligence Review, pp. 1-40, (2021); Tsymbal A., The problem of concept drift: Definitions and related work, Computer Science Department, 106, 2, (2004); Wu F., Zhang J., Honavar V., Learning classifiers using hierarchically structured class taxonomies, International Symposium on Abstraction, Reformulation, and Approximation, pp. 313-320, (2005); Zhang T., Ramakrishnan R., Livny M., BIRCH: An efficient data clustering method for very large databases, Acm Sigmod Record, 25, 2, pp. 103-114, (1996)</t>
  </si>
  <si>
    <t xml:space="preserve">ACM Special Interest Group on Applied Computing (SIGAPP)</t>
  </si>
  <si>
    <t xml:space="preserve">37th ACM/SIGAPP Symposium on Applied Computing, SAC 2022</t>
  </si>
  <si>
    <t xml:space="preserve">25 April 2022 through 29 April 2022</t>
  </si>
  <si>
    <t xml:space="preserve">978-145038713-2</t>
  </si>
  <si>
    <t xml:space="preserve">Proc ACM Symp Appl Computing</t>
  </si>
  <si>
    <t xml:space="preserve">2-s2.0-85130322818</t>
  </si>
  <si>
    <t xml:space="preserve">Crossed D Signumic D.; Keco D.; Mašetic Z.</t>
  </si>
  <si>
    <t xml:space="preserve">Crossed D Signumic, Dalibor (57872221200); Keco, Dino (57192431250); Mašetic, Zerina (57188562566)</t>
  </si>
  <si>
    <t xml:space="preserve">57872221200; 57192431250; 57188562566</t>
  </si>
  <si>
    <t xml:space="preserve">Automatization of Microscopy Malaria Diagnosis Using Computer Vision and Random Forest Method</t>
  </si>
  <si>
    <t xml:space="preserve">Malaria is an infectious disease caused by Plasmodium species parasites transferred by infected females of Anopheles mosquitoes. Around half of the world population is exposed to some risk of malaria, with the highest incidence in sub-Saharan Africa. High mortality rates and the spread of this disease require a fast and efficient mode of diagnosis. This paper presents a model for automatization of microscopy analysis of malaria suspect blood smears and diagnosis using Random Forest method. The results are evaluated through accuracy, recall and precision metrics, with achieved performance of 90% for all three metrics. This shows the potential of machine learning methods inclusion in the malaria detection process for faster and less costly diagnosis. © 2022 Elsevier B.V.. All rights reserved.</t>
  </si>
  <si>
    <t xml:space="preserve">IFAC-PapersOnLine</t>
  </si>
  <si>
    <t xml:space="preserve">10.1016/j.ifacol.2022.06.013</t>
  </si>
  <si>
    <t xml:space="preserve">https://www.scopus.com/inward/record.uri?eid=2-s2.0-85137168481&amp;doi=10.1016%2fj.ifacol.2022.06.013&amp;partnerID=40&amp;md5=cca326cf2834604ec141d6a518c97dc7</t>
  </si>
  <si>
    <t xml:space="preserve">System Verification, Sarajevo, Bosnia and Herzegovina; International Burch University, Sarajevo, Bosnia and Herzegovina</t>
  </si>
  <si>
    <t xml:space="preserve">Crossed D Signumic D., System Verification, Sarajevo, Bosnia and Herzegovina; Keco D., International Burch University, Sarajevo, Bosnia and Herzegovina; Mašetic Z., International Burch University, Sarajevo, Bosnia and Herzegovina</t>
  </si>
  <si>
    <t xml:space="preserve">blood smears analysis; malaria; microscopy analysis; random forest</t>
  </si>
  <si>
    <t xml:space="preserve">Blood; Computer vision; Decision trees; Diseases; Learning systems; Random forests; Anopheles mosquitoes; Blood smear analyse; Blood smears; Infectious disease; Malaria; Malaria diagnosis; Microscopy analyse; Parasite-; Random forest methods; Random forests; Diagnosis</t>
  </si>
  <si>
    <t xml:space="preserve">Breiman L., Machine Learning, (2001); Bridget B., Rajahram G.S., Grigg M.J., William T., Anstey N.M., World Malaria Report: Time to Acknowledge Plasmodium Knowlesi Malaria, Malaria Journal, 16, 1, (2017); Chansuda W., Wernsdorfer W.H., Muth S., Sutamihardja A., Barcus M.J., A Review of Malaria Diagnostic Tools: Microscopy and Rapid Diagnostic Test (RDT), The American Journal of Tropical Medicine and Hygiene, (2007); Cutler A., Cutler D.R., Stevens J.R., Random Forests, Ensemble Machine Learning, (2012); Das D.K., Ghosh M., Pal M., Maiti A.K., Chakraborty C., Machine learning approach for automated screening of malaria parasite using light microscopic images, Micron, (2013); Hanscheid T., Grobusch M.P., How Useful Is PCR in the Diagnosis of Malaria?, Trends in Parasitology, (2002); Mace K.E., Arguin P.M., Tan K.R., Malaria Surveillance - United States, 2015, Morbidity and Mortality Weekly Report, Surveillance Summaries, 67, 7, pp. 1-28, (2018); Poostchi M., Silamut K., Maude R.J., Jaeger S., Thoma G., Image analysis and machine learning for detecting malaria, Translational Research, 194, (2018); Noppadon T., Duangdee C., Wilairatana P., Krudsood S., Malaria Diagnosis: A Brief Review, The Korean Journal of Parasitology, (2009)</t>
  </si>
  <si>
    <t xml:space="preserve">17th IFAC Conference on Programmable Devices and Embedded Systems, PDES 2022</t>
  </si>
  <si>
    <t xml:space="preserve">17 May 2022 through 19 May 2022</t>
  </si>
  <si>
    <t xml:space="preserve">Sarajevo</t>
  </si>
  <si>
    <t xml:space="preserve">2-s2.0-85137168481</t>
  </si>
  <si>
    <t xml:space="preserve">Musa P.; Wibowo E.P.; Hermita M.; Muzhaffar R.F.</t>
  </si>
  <si>
    <t xml:space="preserve">Musa, Purnawarman (55645367600); Wibowo, Eri Prasetyo (35175282300); Hermita, Matrissya (56347503900); Muzhaffar, Raihan Firas (58110165300)</t>
  </si>
  <si>
    <t xml:space="preserve">55645367600; 35175282300; 56347503900; 58110165300</t>
  </si>
  <si>
    <t xml:space="preserve">Classify Malaria Dataset Human Blood Images Using Convolutional Neural Networks</t>
  </si>
  <si>
    <t xml:space="preserve">Malaria is prevalent in regions around the globe, and human activity has contributed to more than 400,000 fatalities annually. A timely and accurate diagnosis is necessary for optimal disease treatment, given that malaria is a substantial problem on a global scale. Our research presents classification studies of malaria as a solution to the previously described problem. These studies use image datasets obtained from photo data online and attempt to detect malaria infected or non-infected by someone using a blood image via Convolutional Neural Network strategies and deep learning methods. The results of tests done with Convolutional Neural Network techniques show that the processes were successful, with the best model getting more than 95%. In the confusion matrix, their accuracy is 97.28%, their precision is 99.60%, their recall is 95.15%, their specificity is 99.62%, and their F1 Score is 97.32%. In addition, the prediction accuracy for identifying malaria was 100% when utilizing photographs or various datasets from the laboratory as test data.  © 2022 IEEE.</t>
  </si>
  <si>
    <t xml:space="preserve">2022 4th International Conference on Cybernetics and Intelligent System, ICORIS 2022</t>
  </si>
  <si>
    <t xml:space="preserve">10.1109/ICORIS56080.2022.10031575</t>
  </si>
  <si>
    <t xml:space="preserve">https://www.scopus.com/inward/record.uri?eid=2-s2.0-85148487429&amp;doi=10.1109%2fICORIS56080.2022.10031575&amp;partnerID=40&amp;md5=6f07ec48510048c3e5edc137d12d29f7</t>
  </si>
  <si>
    <t xml:space="preserve">Gunadarma University, Department of Electrical Engineering, Depok, Indonesia; Gunadarma University, Department of Information Technology, Depok, Indonesia; Gunadarma University, Department of Medicine, Depok, Indonesia; Department of Informatics Engineering, Gunadarma University, Depok, Indonesia</t>
  </si>
  <si>
    <t xml:space="preserve">Musa P., Gunadarma University, Department of Electrical Engineering, Depok, Indonesia; Wibowo E.P., Gunadarma University, Department of Information Technology, Depok, Indonesia; Hermita M., Gunadarma University, Department of Medicine, Depok, Indonesia; Muzhaffar R.F., Department of Informatics Engineering, Gunadarma University, Depok, Indonesia</t>
  </si>
  <si>
    <t xml:space="preserve">CNN; Dataset Blood; Deep Learning; Image; Malaria</t>
  </si>
  <si>
    <t xml:space="preserve">Blood; Classification (of information); Convolution; Deep learning; Diagnosis; Diseases; Image classification; Learning systems; Blood images; Convolutional neural network; Dataset blood; Deep learning; Disease treatment; Global scale; Human activities; Human bloods; Image; Malaria; Convolutional neural networks</t>
  </si>
  <si>
    <t xml:space="preserve">Charumathi B., Jayashri D., Rajayamini R., Parasuraman G., Dutta R., Jain T., A Study on Knowledge, Attitude and Practice on Mosquito Borne Diseases in Thirumazhisai, Thiruvallur District, Tamilnadu, Indian J. Public Heal. Res. Dev., (2020); Punitha S., Logeshwari P., Sivaranjani P., Priyanka S., Detection of Malarial Parasite in Blood Using Image Processing, SSRN Electron. J., (2017); Chibuta S., Acar A.C., Real-time Malaria Parasite Screening in Thick Blood Smears for Low-Resource Setting, J. Digit. Imaging, 33, 3, pp. 763-775, (2020); Manning K., Zhai X., Yu W., Image analysis and machine learning-based malaria assessment system, Digit. Commun. Networks, 8, 2, pp. 132-142, (2022); Ariyanti E., Prasetyorini B., Harun S., Handayani S., Tjitra E., Biomedis Dan Teknologi Dasar Kesehatan P., Cross-Checking Malaria Smears in Monitoring Dyhydroartemisinin-Piperakuin in Kalimantan and Sulawesi [Indonesia: Cek Silang Mikroskopis Sediaan Darah Malaria Pada Monitoring Pengobatan Dihidroartemisinin-Piperakuin Di Kalimantan Dan Sulawesi], Media Litbang Kesehat., 22, 4, pp. 167-172, (2012); Savkare S.S., Narote S.P., Automatic Detection of Malaria Parasites for Estimating Parasitemia, Int. J. Comput. Sci. Secur., 5, 3, pp. 310-315, (2011); Plucinski M., Aidoo M., Rogier E., Laboratory detection of malaria antigens: A strong tool for malaria research, diagnosis, and epidemiology, Clinical Microbiology Reviews, 34, 3, (2021); Abbas N., Saba T., Mohamad D., Rehman A., Almazyad A.S., Al-Ghamdi J.S., Machine aided malaria parasitemia detection in Giemsa-stained thin blood smears, Neural Comput. Appl., 29, 3, pp. 803-818, (2018); Sato S., Plasmodium-a brief introduction to the parasites causing human malaria and their basic biology, Journal of Physiological Anthropology, 40, 1, (2021); Abu-Raddad L.J., Patnaik P., Kublin J.G., Dual infection with HIV and malaria fuels the spread of both diseases in Sub-Saharan Africa, Science (80-.)., 314, 5805, pp. 1603-1606, (2006); Damelang T., Et al., Antibody mediated activation of natural killer cells in malaria exposed pregnant women, Sci. Rep., 11, 1, (2021); Sharifi-Mood B., Malaria in Pregnant Women, Int. J. Infect., 2, 3, (2015); Syams N.Y.N., Sumarno H., Sianturi P., Analysis of sis-si stochastic model with ctmc on the spread of malaria disease, J. Math. Fundam. Sci., 53, 2, pp. 166-181, (2021); Alfred R., Obit J.H., A Review on Spatial Technologies for Enhancing Malaria Control: Concepts, Tools, and Challenges, Int. J. Adv. Sci. Eng. Inf. Technol., 11, 1, pp. 334-341, (2021); Zahara L., Musa P., Prasetyo Wibowo E., Karim I., Bahri Musa S., The Facial Emotion Recognition (FER-2013) Dataset for Prediction System of Micro-Expressions Face Using the Convolutional Neural Network (CNN) Algorithm based Raspberry Pi, 5th International Conference on Informatics and Computing (ICIC), 7, (2020); Dey S., Nath P., Biswas S., Nath S., Ganguly A., Malaria detection through digital microscopic imaging using Deep Greedy Network with transfer learning, J. Med. Imaging, 8, 5, (2021); Chougule S., Koznek N., Ismail A., Adam G., Narayan V., Schulze M., Reliable multilane detection and classification by utilizing CNN as a regression network, Lecture Notes in Computer Science (including subseries Lecture Notes in Artificial Intelligence and Lecture Notes in Bioinformatics), pp. 740-752, (2019); Liang Z., Et al., CNN-based image analysis for malaria diagnosis, Proceedings-2016 IEEE International Conference on Bioinformatics and Biomedicine, BIBM 2016, pp. 493-496, (2017); Traore B.B., Kamsu-Foguem B., Tangara F., Deep convolution neural network for image recognition, Ecol. Inform., 48, pp. 257-268, (2018); Shah D., Kawale K., Shah M., Randive S., Mapari R., Malaria Parasite Detection Using Deep Learning: (Beneficial to humankind), Proceedings of the International Conference on Intelligent Computing and Control Systems, ICICCS 2020, pp. 984-988, (2020); Murray C.K., Gasser R.A., Magill A.J., Miller R.S., Update on rapid diagnostic testing for malaria, Clinical Microbiology Reviews, 21, 1, pp. 97-110, (2008); Ochodo E., Garner P., Sinclair D., Achieving universal testing for malaria, BMJ, 352, (2016); Kigozi R.N., Et al., Determinants of malaria testing at health facilities: The case of Uganda, Malar. J., 20, 1, (2021); McCarthy F.D., Wolf H.C., Wu Y., The Growth Costs of Malaria, SSRN Electron. J., (2005); Orish V.N., De-Gaulle V.F., Sanyaolu A.O., Interpreting rapid diagnostic test (RDT) for Plasmodium falciparum, BMC Res. Notes, 11, 1, (2018); Williams T.N., Human red blood cell polymorphisms and malaria, Current Opinion in Microbiology, 9, 4, pp. 388-394, (2006); Hung J., Carpenter A., Applying Faster R-CNN for Object Detection on Malaria Images, IEEE Computer Society Conference on Computer Vision and Pattern Recognition Workshops, 2017, (2017); Zhou Y., Niu Y., Luo Q., Jiang M., Teaching learning-based whale optimization algorithm for multi-layer perceptron neural network training, Math. Biosci. Eng., 17, 5, pp. 5987-6025, (2020); Iqbal A., Aftab S., A classification framework for software defect prediction using multi-filter feature selection technique and MLP, Int. J. Mod. Educ. Comput. Sci., 12, 1, pp. 18-25, (2020); Suartika I.W., A.E.P, Wijaya Y., Soelaiman R., Image Classification Uses the Convolutional Neural Network (CNN) at Caltech [Indonesia: Klasifikasi Citra Menggunakan Convolutional Neural Network (CNN) pada Caltech 101], (2016); Nissa N.F., Janiati A., Cahya N., Anton A., Astuti P., Application of Deep Learning Using Convolutional Neural Network (CNN) Method For Women's Skin Classification, Sci. J. Informatics, 8, 1, pp. 144-153, (2021); Noeman A., Handayani D., Detection of Mad Lazim Harfi Musyba Images Uses Convolutional Neural Network, IOP Conference Series: Materials Science and Engineering, 771, 1, (2020); Ilyas T., Khan A., Umraiz M., Kim H., SEEK: A framework of superpixel learning with cnn features for unsupervised segmentation, Electron., 9, 3, (2020); Musa P., Wibowo E.P., Musa S.B., Baihaqi I., Pelican Crossing System for Control a Green Man Light with Predicted Age, MATRIK J. Manajemen, Tek. Inform. dan Rekayasa Komput., 21, 2, pp. 293-306, (2022); Syulistyo A.R., Hormansyah D.S., Saputra P.Y., SIBI (Sistem Isyarat Bahasa Indonesia) translation using Convolutional Neural Network (CNN), IOP Conference Series: Materials Science and Engineering, 732, 1, (2020); Momeny M., Jahanbakhshi A., Jafarnezhad K., Zhang Y.D., Accurate classification of cherry fruit using deep CNN based on hybrid pooling approach, Postharvest Biol. Technol., 166, (2020); Eddine G.A., Skin Lesion Classification Using Hybrid Deep Neural Networks, (2019); Salih A.A., Abdulazeez A.M., Evaluation of Classification Algorithms for Intrusion Detection System: A Review, J. Soft Comput. Data Min., 2, 1, (2021); Oyewola D.O., Dada E.G., Misra S., Damasevicius R., A Novel Data Augmentation Convolutional Neural Network for Detecting Malaria Parasite in Blood Smear Images, Appl. Artif. Intell., (2022)</t>
  </si>
  <si>
    <t xml:space="preserve">4th International Conference on Cybernetics and Intelligent System, ICORIS 2022</t>
  </si>
  <si>
    <t xml:space="preserve">8 October 2022 through 9 October 2022</t>
  </si>
  <si>
    <t xml:space="preserve">978-166545395-0</t>
  </si>
  <si>
    <t xml:space="preserve">Int. Conf. Cybern. Intell. Syst., ICORIS</t>
  </si>
  <si>
    <t xml:space="preserve">2-s2.0-85148487429</t>
  </si>
  <si>
    <t xml:space="preserve">Poojary H.D.; Sumithra T.V.</t>
  </si>
  <si>
    <t xml:space="preserve">Poojary, Harshita Dooja (57205437567); Sumithra, T.V. (57804876900)</t>
  </si>
  <si>
    <t xml:space="preserve">57205437567; 57804876900</t>
  </si>
  <si>
    <t xml:space="preserve">Comparative Analysis of Deep Learning Models for Malaria Detection</t>
  </si>
  <si>
    <t xml:space="preserve">The blood morphology of a human provides information on changes in the human body and underlying maladies. Disease like malaria, caused by parasites of the genus Plasmodium transmitted through infected Anopheles mosquitoes is an endemic across large areas of Asia, Africa, Central and South America, Eastern Europe and the South Pacific. Conventional diagnosis of malaria involves microscopic examination of the blood smear of a patient which is stained with the nucleic acid. Recent decades have experienced rapid development of Artificial Intelligence in the healthcare industry due to the influx of large datasets provided by healthcare practitioners and the advancement of powerful computer hardware. In particular, the development of deep learning and machine learning is considered to be effective in computer-aided detection and diagnosis, image analysis, drug discovery and health monitoring. This work analyses and provides a detailed review of the implementation of state-of-the-art Deep learning networks in detecting malaria infections. In the present work, the CNN, transfer learning, CNN-KNN and Vision Transformer networks are being analyzed and evaluated against various metrics like accuracy and precision. The network experiments for malaria detection using deep learning on real-world datasets have proven to show significant results despite the limit on training data. © 2022 IEEE.</t>
  </si>
  <si>
    <t xml:space="preserve">2022 IEEE 3rd Global Conference for Advancement in Technology, GCAT 2022</t>
  </si>
  <si>
    <t xml:space="preserve">10.1109/GCAT55367.2022.9972167</t>
  </si>
  <si>
    <t xml:space="preserve">https://www.scopus.com/inward/record.uri?eid=2-s2.0-85145434618&amp;doi=10.1109%2fGCAT55367.2022.9972167&amp;partnerID=40&amp;md5=eec52f96573643c379fe49a60bb1c511</t>
  </si>
  <si>
    <t xml:space="preserve">Product Engineering Reliance Jio, Mumbai, India; Ramrao Adik Institute of Technology, Department of Computer Engineering, Mumbai, India</t>
  </si>
  <si>
    <t xml:space="preserve">Poojary H.D., Product Engineering Reliance Jio, Mumbai, India; Sumithra T.V., Ramrao Adik Institute of Technology, Department of Computer Engineering, Mumbai, India</t>
  </si>
  <si>
    <t xml:space="preserve">accuracy; CNN; CNN-KNN; Deep Learning; Malaria detection; precision; Transfer learning; Vision Transformer</t>
  </si>
  <si>
    <t xml:space="preserve">Blood; Computer aided analysis; Computer aided diagnosis; Computer hardware; Deep learning; Health care; Large dataset; Learning systems; Nucleic acids; Accuracy; CNN-KNN; Comparative analyzes; Deep learning; Human bodies; Learning models; Malaria detection; Precision; Transfer learning; Vision transformer; Diseases</t>
  </si>
  <si>
    <t xml:space="preserve">World Malaria Report, (2015); Fact Sheet about MALARIA; Caraballo H., King K., Emergency department management of mosquito-borne illness: Malaria, dengue, and West Nile virus, Emergency Medicine Practice, 16, 5, pp. 1-23, (2014); Tokumasu F., Fairhurst R.M., Ostera G.R., Band 3 modifications in Plasmodium falciparum-infected AA and CC erythrocytes assayed by autocorrelation analysis using quantum dots, Journal of Cell Science, 118, 5, pp. 1091-1098, (2005); Linder N., Turkki R., Walliander M., Martensson A., Diwan V., Rahtu E., Pietikainen M., Lundin M., Lundin J., A malaria diagnostic tool based on computer vision screening and visualization of plasmodium falciparum candidate areas in digitized blood smears, PLoS ONE., 9, (2014); Opoku-Ansah J., Eghan M.J., Anderson B., Boampong J.N., Wavelength markers for malaria (plasmodium falciparum) infected and uninfected red blood cells for ring and trophozoite stages, Appl. Phys. Res., 6, (2014); Wold S., Esbensen K., Geladi P., Principal component analysis, Chemom. Intell. Lab. Syst., 2, pp. 37-52, (1987); Zulfikar W.B., Irfan M., Alam C.N., Indra M., The comparation of text mining with naive bayes classifier, nearest neighbor, and decision tree to detect Indonesian swear words on twitter, 2017 5th International Conference on Cyber and IT Service Management (CITSM), pp. 1-5, (2017); Poostchi M., Silamut K., Maude R.J., Jaeger S., Thoma G., Image analysis and machine learning for detecting malaria, Transl. Res., 194, pp. 36-55, (2018); Rajaraman S., Antani S.K., Poostchi M., Silamut K., Hossain A., Maude R.J., Jaeger S., Thoma G.R., Pre-trained convolutional neural networks as feature extractors toward improved malaria parasite detection in thin blood smear images, PeerJ, 6, (2018); Alom M.Z., Taha T.M., Yakopcic C., Westberg S., Sidike P., Nasrin S., Hasan M., Van Essen B.C., Awwal A.A.S., Asari V.K., A state-of-the-art survey on deep learning theory and architectures, Electronics, 8, (2019); Elmahmudi A., Ugail H., A framework for facial age progression and regression using exemplar face templates, Vis. Comput., 37, pp. 1-16, (2020); Elmahmudi A., Ugail H., Experiments on deep face recognition using partial faces, Proceedings of the 2018 International Conference on Cyberworlds (CW), pp. 357-362, (2018); Abubakar A., Comparative analysis of classification algorithms using cnn transferable features: A case study using burn datasets from black africans, Appl. Syst. Innov., 3, (2020); Abubakar A., Ugail H., Smith K.M., Bukar A.M., Elmahmudi A., Burns depth assessment using deep learning features, J. Med. Biol. Eng., 40, pp. 1-11, (2020); Abubakar A., Ugail H., Discrimination of human skin burns using machine learning, Intelligent Computing-Proceedings of the Computing Conference, pp. 641-647, (2019); Abubakar A., Ajuji M., Yahya I.U., Comparison of deep transfer learning techniques in human skin burns discrimination, Appl. Syst. Innov., 3, (2020); Ugail H., Alzorgani M., Bukar A., Hussain H., Burn C., Sein T.M., Betmouni S., A deep learning approach to tumour identification in fresh frozen tissues, Proceedings of the 2019 13th International Conference on Software, Knowledge Information Management and Applications (SKIMA), pp. 1-6, (2019); Singh R., Ahmed T., Kumar A., Kumar Singh A., Kumar Pandey A., Kumar Singh S., Imbalanced breast cancer classification using transfer learning, IEEE/ACM Trans. Comput. Biol. Bioinform., 18, pp. 83-93, (2020); Hassan S.A., Sayed M.S., Abdalla M.I., Rashwan M.A., Breast cancer masses classification using deep convolutional neural networks and transfer learning, Multimed. Tools Appl., 79, pp. 30735-30768, (2020); Craja P., Kim A., Lessmann S., Deep Learning for Detecting Financial Statement Fraud; Oble F., Bontempi G., Deep-learning domain adaptation techniques for credit cards fraud detection, Recent Advances in Big Data and Deep Learning: Proceedings of the INNS Big Data and Deep Learning Conference INNSBDDL2019, 1, (2019); Diaz G., Gonzalez F.A., Romero E., A semi-automatic method for quantification and classification of erythrocytes infected with malaria parasites in microscopic images, Journal of Biomedical Informatics., 42, 2, pp. 296-307, (2009); Alom Z., Taha T.M., Yakopcic C., Westberg S., Sidike P., Shamima Nasrin M., Van Esesn B.C., Awwal S.A.A., Asari V.K., The History Began from AlexNet: A Comprehensive Survey on Deep Learning Approaches, (2018); Zhaoui L., Andrew P., Ersoy I., Poostchi M., Silmaut K., Palani K., CNN-based image analysis for malaria diagnosis, IEEE International Conference on Bioinformatics and Biomedicine (BIBM); Liu S., Deng W., Very deep convolutional neural network-based image classification using small training sample size, 2015 3rd IAPR Asian Conference on Pattern Recognition (ACPR); Nima H., Gavet Y., Debayale J., Classification of time-series images using deep convolutional neural network, Tenth International Conference on Machine Vision (ICMV 2017); Bibin D., Nair M.S., Punitha P., Malaria parasite detection from peripheral blood smear images using deep belief networks, IEEE Access., 5, pp. 9099-9108, (2017); Gopakumar G.P., Swetha M., Sai Siva G., SaiSubrahmanyam G.R.K., Convolutional neural network-based malaria diagnosis from focus stack of blood smear images acquired using custom-built slide scanner, J. Biophotonics., 11, (2018); Reddy A.S.B., Juliet D.S., Transfer learning with resnet-50 for malaria cell-image classification, The Proceedings of the 2019 International Conference on Communication and Signal Processing (ICCSP), pp. 945-949, (2019); Vaswani A., Shazeer N., Parmar N., Uszkoreit J., Jones L., Gomez A.N., Kaiser L., Polosukhin I., Attention is all you need, Adv. Neural Inf. Process. Syst., pp. 5999-6009, (2017); Shamshad F., Khan S., Zamir S.W., Khan M.H., Hayat M., Khan F.S., Fu H., Transformers in Medical Imaging: A Survey, (2022); Tummala S., Brain Tumor Classification from MRI Using Vision Transformers Ensembling, (2022); Rahman A., Zunair H., Sohel Rahman M., Quader Yuki J., Biswas S., Alam A., Binte Alam N., Mahdy M.R.C., Improving Malaria Parasite Detection from Red Blood Cell Using Deep Convolutional Neural Networks, (2019); Simonyan K., Zisserman A., Very Deep Convolutional Networks for Large-Scale Image Recognition, (2015); Dosovitskiy A., Beyer L., Kolesnikov A., Weissenborn D., Zhai X., Unterthiner T., Dehghani M., Minderer M., Heigold G., Gelly S., Uszkoreit J., Houlsby N., An Image is Worth 16x16 Words: Transformers for Image Recognition at Scale, Centers of Disease Control and Prevention, (2020); Kassim Y.M., Yang F., Yu H., Jaeger Stefan Maudeand R.J., DeepFMD: Computational Analysis for Malaria Detection in Blood-Smear Images Using Deep-Learning Features, (2021)</t>
  </si>
  <si>
    <t xml:space="preserve">3rd IEEE Global Conference for Advancement in Technology, GCAT 2022</t>
  </si>
  <si>
    <t xml:space="preserve">7 October 2022 through 9 October 2022</t>
  </si>
  <si>
    <t xml:space="preserve">978-166546853-4</t>
  </si>
  <si>
    <t xml:space="preserve">IEEE Glob. Conf. Adv. Technol., GCAT</t>
  </si>
  <si>
    <t xml:space="preserve">2-s2.0-85145434618</t>
  </si>
  <si>
    <t xml:space="preserve">Muhammad F.A.; Sudirman R.; Ariffin I.; Ramli N.</t>
  </si>
  <si>
    <t xml:space="preserve">Muhammad, Fatima Abdullahi (57915065200); Sudirman, Rubita (16176754800); Ariffin, Ismail (57194261773); Ramli, Norhafizah (55583199600)</t>
  </si>
  <si>
    <t xml:space="preserve">57915065200; 16176754800; 57194261773; 55583199600</t>
  </si>
  <si>
    <t xml:space="preserve">Comparison of Regularization and Data Augmentation as Means of Improving Malaria Classification using Convolutional Neural Network</t>
  </si>
  <si>
    <t xml:space="preserve">One of the major limiting factors of the application of deep learning in automating malaria diagnosis is the insufficiency of labeled data for network training which leads to overfitting of the model on training data. Network regularization and data augmentation are two major techniques employed during network design and training to mitigate the effect of overfitting. To investigate and compare the effect of these two techniques, this study developed three deep learning models based on convolutional neural network which were trained on 27558 images of equal instances of malaria (P.Falciparum specie) infected and uninfected cells (NIH malaria dataset). The first model which consist of three convolution layers and one hidden layer achieved a validation accuracy of 95%. A second model was developed which employed network regularization, by training the model on fewer neurons to increase its robustness. Drop out regularization of 20%, 30% and 50% were embedded on successive convolution layers which resulted in a final validation accuracy of 95.1%. Data augmentation in the form of various image transformation was employed. This resulted in a validation accuracy of 93.7%.  © 2022 IEEE.</t>
  </si>
  <si>
    <t xml:space="preserve">Proceedings of the 2022 IEEE International Conference on Industry 4.0, Artificial Intelligence, and Communications Technology, IAICT 2022</t>
  </si>
  <si>
    <t xml:space="preserve">10.1109/IAICT55358.2022.9887391</t>
  </si>
  <si>
    <t xml:space="preserve">https://www.scopus.com/inward/record.uri?eid=2-s2.0-85139212675&amp;doi=10.1109%2fIAICT55358.2022.9887391&amp;partnerID=40&amp;md5=0aad991000b467fefa68a6293364be99</t>
  </si>
  <si>
    <t xml:space="preserve">Faculty of Electrical Engineering, Universiti Teknologi Malaysia, Johor Bahru, Malaysia</t>
  </si>
  <si>
    <t xml:space="preserve">Muhammad F.A., Faculty of Electrical Engineering, Universiti Teknologi Malaysia, Johor Bahru, Malaysia; Sudirman R., Faculty of Electrical Engineering, Universiti Teknologi Malaysia, Johor Bahru, Malaysia; Ariffin I., Faculty of Electrical Engineering, Universiti Teknologi Malaysia, Johor Bahru, Malaysia; Ramli N., Faculty of Electrical Engineering, Universiti Teknologi Malaysia, Johor Bahru, Malaysia</t>
  </si>
  <si>
    <t xml:space="preserve">Augmentation; CNN; Dropout; Malaria</t>
  </si>
  <si>
    <t xml:space="preserve">Convolution; Deep learning; Diseases; Metadata; Augmentation; Convolutional neural network; Data augmentation; Dropout; Labeled data; Malaria; Malaria diagnosis; Network training; Overfitting; Regularisation; Convolutional neural networks</t>
  </si>
  <si>
    <t xml:space="preserve">Universiti Teknologi Malaysia, UTM, (Q.J130000.2651.17J69, Q.J130000.3851.20J75)</t>
  </si>
  <si>
    <t xml:space="preserve">Acknowledgement: Authors would like to express appreciations to Universiti Teknologi Malaysia for funding the study using the following grants: Q.J130000.3851.20J75 and Q.J130000.2651.17J69</t>
  </si>
  <si>
    <t xml:space="preserve">Peterson E., Parry W., 28 Devastating Infectious Diseases, (2020); Mmv.Org; Malaria Primer; Definitions and symptoms | Medicines for Malaria Venture, (2017); Five species | Medicines for Malaria Venture, (2022); Microscopic Tests, (2018); Delgado-Ortet M., Molina A., Alferez S., Rodellar J., Merino A., A Deep Learning Approach for Segmentation of Red Blood Cell Images and Malaria Detection, Entropy, 22, 6, (2020); Yonas Y., Automatic Malaria Detection Using Machine Learning Approaches, (2021); Ozbilge E., Guler E., Guvenir M., SAnlidag T., Ozbilgin A., Suer K., Automated Malaria Parasite Detection Using Artificial Neural Network, Advances in Intelligent Systems and Computing, pp. 631-640, (2021); Park H.S., Rinehart M.T., Walzer K.A., Chi J.T.A., Wax A., Automated Detection of P. falciparum Using Machine Learning Algorithms with Quantitative Phase Images of Unstained Cells, PLOS ONE, 11, 9, (2016); Liang Z., Powell A., Ersoy I., Poostchi M., Silamut K., Palaniappan K., Guo P., Hossain M.A., Sameer A., Maude R.J., Huang J.X., Jaeger S., Thoma G., CNN-based image analysis for malaria diagnosis, 2016 IEEE International Conference on Bioinformatics and Biomedicine (BIBM), (2016); Rajaraman S., Antani S.K., Poostchi M., Silamut K., Hossain M.A., Maude R.J., Jaeger S., Thoma G.R., Pre-trained convolutional neural networks as feature extractors toward improved malaria parasite detection in thin blood smear images, PeerJ, (2018)</t>
  </si>
  <si>
    <t xml:space="preserve">F.A. Muhammad; Faculty of Electrical Engineering, Universiti Teknologi Malaysia, Johor Bahru, Malaysia; email: fatspacia@yahoo.com</t>
  </si>
  <si>
    <t xml:space="preserve">IEEE Communications Society Indonesia Chapter (ComSoc)</t>
  </si>
  <si>
    <t xml:space="preserve">2022 IEEE International Conference on Industry 4.0, Artificial Intelligence, and Communications Technology, IAICT 2022</t>
  </si>
  <si>
    <t xml:space="preserve">28 July 2022 through 30 July 2022</t>
  </si>
  <si>
    <t xml:space="preserve">978-166545126-0</t>
  </si>
  <si>
    <t xml:space="preserve">Proc. IEEE Int. Conf. Ind. 4.0, Artif. Intell., Commun. Technol., IAICT</t>
  </si>
  <si>
    <t xml:space="preserve">2-s2.0-85139212675</t>
  </si>
  <si>
    <t xml:space="preserve">Wijayanto I.; Irawati I.D.; Fahrozi F.; Hadiyoso S.</t>
  </si>
  <si>
    <t xml:space="preserve">Wijayanto, Inung (57193238551); Irawati, Indrarini Dyah (56669673500); Fahrozi, Farell (57560237200); Hadiyoso, Sugondo (56412012500)</t>
  </si>
  <si>
    <t xml:space="preserve">57193238551; 56669673500; 57560237200; 56412012500</t>
  </si>
  <si>
    <t xml:space="preserve">Computer Aided Detection System for Pharyngitis Based on Convolutional Neural Network</t>
  </si>
  <si>
    <t xml:space="preserve">Pharyngitis is inflammation of the throat or pharynx, known as strep throat, caused by viruses or bacteria. Some symptoms that arise in pharyngitis are difficulty swallowing, hoarseness of voice, itching, and sore throat. That way, a person will find it difficult to talk and eat. If there are complications in strep throat, it will trigger other diseases such as chronic tonsillitis, dengue fever, and abscesses, so it needs to be further diagnosed. This study proposed an automatic laryngitis classification method based on strep throat images to assist nose and throat specialists in diagnosing the disease. This study compares several neural network architectures with Adam optimizers, such as VGG-16, VGG-19, DenseNet121, AlexNet, and ResNet152. There are two classes of sore throat conditions classified in this study. Furthermore, a comparison is performed by augmenting the data. The simulation results show that by using non-augmented data, the proposed system achieved 88% of accuracy, while by using augmented data, the system achieved 98% accuracy. The neural network-based transfer learning method that is simulated in this study is expected to support the clinical diagnosis of strep throat.  © 2022 IEEE.</t>
  </si>
  <si>
    <t xml:space="preserve">APWiMob 2022 - Proceedings: 2022 IEEE Asia Pacific Conference on Wireless and Mobile</t>
  </si>
  <si>
    <t xml:space="preserve">10.1109/APWiMob56856.2022.10014256</t>
  </si>
  <si>
    <t xml:space="preserve">https://www.scopus.com/inward/record.uri?eid=2-s2.0-85147544065&amp;doi=10.1109%2fAPWiMob56856.2022.10014256&amp;partnerID=40&amp;md5=fc6bfcfffae3ffbeb235085ba107bc8e</t>
  </si>
  <si>
    <t xml:space="preserve">Telkom University, School of Electrical Engineering, Bandung, Indonesia; Telkom University, School of Applied Science, Bandung, Indonesia</t>
  </si>
  <si>
    <t xml:space="preserve">Wijayanto I., Telkom University, School of Electrical Engineering, Bandung, Indonesia; Irawati I.D., Telkom University, School of Applied Science, Bandung, Indonesia; Fahrozi F., Telkom University, School of Applied Science, Bandung, Indonesia; Hadiyoso S., Telkom University, School of Applied Science, Bandung, Indonesia</t>
  </si>
  <si>
    <t xml:space="preserve">convolutional neural network; data augmentation; pharyngitis; VGG-16</t>
  </si>
  <si>
    <t xml:space="preserve">Computer aided diagnosis; Convolution; Learning systems; Network architecture; Transfer learning; Viruses; Chronic tonsillitis; Classification methods; Computer aided detection systems; Convolutional neural network; Data augmentation; Dengue fevers; Neural network architecture; Pharyngiti; Sore throat; VGG-16; Convolutional neural networks</t>
  </si>
  <si>
    <t xml:space="preserve">Basuki S.W., Nuria I., Ziyaadatulhuda Z., Utami F., Ardilla N., Tonsilitis, Proceeding Book Call for Paper Thalamus: Medical Research for Better Health, (2020); Baugh R.F., Archer S.M., Mitchell R.B., Rosenfeld R.M., Amin R., Burns J.J., Darrow D.H., Giordano T., Litman R.S., Li K.K., Mannix M.E., Schwartz R.H., Setzen G., Wald E.R., Wall E., Sandberg G., Patel M.M., Clinical Practice Guideline: Tonsillectomy in Children, Otolaryngology-Head and Neck Surgery, 144, 1, pp. S1-S30, (2011); Sykes E.A., Wu V., Beyea M.M., Simpson M.T.W., Beyea J.A., Pharyngitis: Approach to diagnosis and treatment, Canadian Family Physician Medecin de Famille Canadien, 66, 4, pp. 251-257, (2020); Tabas I., Glass C.K., Anti-Inflammatory Therapy in Chronic Disease: Challenges and Opportunities, Science, 339, 6116, pp. 166-172, (2013); Brodsky L., Modern Assessment of Tonsils and Adenoids, Pediatric Clinics of North America, 36, 6, pp. 1551-1569, (1989); Li Z., Huang J., Hu Z., Screening and Diagnosis of Chronic Pharyngitis Based on Deep Learning, International Journal of Environmental Research and Public Health, 16, 10, (2019); Yoo T.K., Choi J.Y., Jang Y., Oh E., Ryu I.H., Toward automated severe pharyngitis detection with smartphone camera using deep learning networks, Computers in Biology and Medicine, 125, (2020); Fahrozi F., Hadiyoso S., Hariyani Y.S., Breast Cancer Detection in Mammography Image using Convolutional Neural Network, Jurnal Rekayasa Elektrika, 18, 1, (2022); Hadiyoso S., Fahrozi F., Hariyani Y.S., Sulistyo M.D., Image Based ECG Signal Classification Using Convolutional Neural Network, International Journal of Online and Biomedical Engineering (IJOE), 18, 4, pp. 64-78, (2022); Tammina S., Transfer learning using VGG-16 with Deep Convolutional Neural Network for Classifying Images, International Journal of Scientific and Research Publications (IJSRP), 9, 10, (2019); Rosmala D., Prakha Anggara M.R., Sahat J.P., Transfer learning with vgg16 and inceptionv3 model for classification of potato leaf disease, Journal of Theoretical and Applied Information Technology, 99, 2, pp. 279-292, (2021); Chauhan T., Palivela H., Tiwari S., Optimization and fine-tuning of DenseNet model for classification of COVID-19 cases in medical imaging, International Journal of Information Management Data Insights, 1, 2, (2021); Kandel I., Castelli M., Transfer Learning with Convolutional Neural Networks for Diabetic Retinopathy Image Classification. A Review, Applied Sciences, 10, 6, (2020); Kandel I., Castelli M., Popovic A., Comparative Study of First Order Optimizers for Image Classification Using Convolutional Neural Networks on Histopathology Images, Journal of Imaging, 6, 9, (2020); Zhuang F., Qi Z., Duan K., Xi D., Zhu Y., Zhu H., Xiong H., He Q., A Comprehensive Survey on Transfer Learning, (2019); Van T.T., Mata K., Dien Bard J., Automated Detection of Streptococcus pyogenes Pharyngitis by Use of Colorex Strep A CHROMagar and WASPLab Artificial Intelligence Chromogenic Detection Module Software, Journal of Clinical Microbiology, 57, 11, (2019); Shaikh N., Leonard E., Martin J.M., Prevalence of Streptococcal Pharyngitis and Streptococcal Carriage in Children: A Meta-analysis, Pediatrics, 126, 3, pp. e557-e564, (2010); Rao A., Berg B., Quezada T., Fader R., Walker K., Tang S., Cowen U., Duncan D., Sickler J., Diagnosis and antibiotic treatment of group a streptococcal pharyngitis in children in a primary care setting: Impact of point-of-care polymerase chain reaction, BMC Pediatrics, 19, 1, (2019); Mirza M., Sindero S., Conditional Generative Adversarial Nets, pp. 29-34; Simonyan K., Zisserman A., Very deep convolutional networks for large-scale image recognition, 3rd International Conference on Learning Representations, ICLR 2015 - Conference Track Proceedings, pp. 1-14, (2015)</t>
  </si>
  <si>
    <t xml:space="preserve">I. Wijayanto; Telkom University, School of Electrical Engineering, Bandung, Indonesia; email: iwijayanto@telkomuniversity.ac.id</t>
  </si>
  <si>
    <t xml:space="preserve">2022 IEEE Asia Pacific Conference on Wireless and Mobile, APWiMob 2022</t>
  </si>
  <si>
    <t xml:space="preserve">9 December 2022 through 10 December 2022</t>
  </si>
  <si>
    <t xml:space="preserve">978-166547486-3</t>
  </si>
  <si>
    <t xml:space="preserve">APWiMob - Proc.: IEEE Asia Pac. Conf. Wirel. Mob.</t>
  </si>
  <si>
    <t xml:space="preserve">2-s2.0-85147544065</t>
  </si>
  <si>
    <t xml:space="preserve">Cornejo D.R.; Ravelo-Garcia A.; Alvarez E.; Rodriguez M.F.; Diaz L.A.; Cabrera-Caso V.; Condori-Merma D.; Cornejo M.V.</t>
  </si>
  <si>
    <t xml:space="preserve">Cornejo, Diego Rodrigo (57222005271); Ravelo-Garcia, Antonio (9634135600); Alvarez, Esteban (7203082633); Rodriguez, Maria Fernanda (58189068000); Diaz, Luz Alexandra (58147880900); Cabrera-Caso, Victor (58189751900); Condori-Merma, Dante (57207622703); Cornejo, Miguel Vizcardo (6503955900)</t>
  </si>
  <si>
    <t xml:space="preserve">57222005271; 9634135600; 7203082633; 58189068000; 58147880900; 58189751900; 57207622703; 6503955900</t>
  </si>
  <si>
    <t xml:space="preserve">Deep Learning and Permutation Entropy in the Stratification of Patients with Chagas Disease</t>
  </si>
  <si>
    <t xml:space="preserve">Chagas disease is a life threatening illness that in the last decades was becoming a public health problem because of the change in the epidemiological pattern. It may be silent and asymptomatic in the chronic phase. Hence the necessity of the development of early markers. To achieve this, we propose a deep neural network architecture in order to classify 292 patients into three groups: The Control group with 83 volunteers, the CH1 group with 102 patients with positive serology and no cardiac involvement and the CH2 group with 107 patients with positive serology and incipient heart failure. The used data comes from 24-hour ECG, the RR intervals from each subject was divided in 288 frames of 5 minutes each. Then it was preprocessed using permutation entropy obtaining the circadian profile for each patient. And by applying PCA each patient ended up represented by a vector of 144 entries. This was in turn used for the training of the proposed NN architecture. The classification performed with 91% accuracy and an average of 92% precision, consisting in a great work of classification validated by the AUC in each ROC curve. As this results were obtained with a limited quantity of data, this study can be improved provided with more samples, making this model a tool for analyzing ECG in order to try to do an early evaluation and diagnosis of a cardiac compromise related to the generally silent chronic phase. © 2022 Creative Commons.</t>
  </si>
  <si>
    <t xml:space="preserve">10.22489/CinC.2022.311</t>
  </si>
  <si>
    <t xml:space="preserve">https://www.scopus.com/inward/record.uri?eid=2-s2.0-85152914334&amp;doi=10.22489%2fCinC.2022.311&amp;partnerID=40&amp;md5=27ae40e62d98986abf3835b17d922ba5</t>
  </si>
  <si>
    <t xml:space="preserve">Universidad Nacional de San Agustín de Arequipa, Escuela Profesional de Física, Arequipa, 04000, Peru; Instituto for Technological Development and Innovation in Communications, Universidad de Las Palmas de Gran Canaria, Spain; Universidad Central de Venezuela, Escuela de Física, Venezuela</t>
  </si>
  <si>
    <t xml:space="preserve">Cornejo D.R., Universidad Nacional de San Agustín de Arequipa, Escuela Profesional de Física, Arequipa, 04000, Peru; Ravelo-Garcia A., Instituto for Technological Development and Innovation in Communications, Universidad de Las Palmas de Gran Canaria, Spain; Alvarez E., Universidad Central de Venezuela, Escuela de Física, Venezuela; Rodriguez M.F., Universidad Nacional de San Agustín de Arequipa, Escuela Profesional de Física, Arequipa, 04000, Peru; Diaz L.A., Universidad Nacional de San Agustín de Arequipa, Escuela Profesional de Física, Arequipa, 04000, Peru; Cabrera-Caso V., Universidad Nacional de San Agustín de Arequipa, Escuela Profesional de Física, Arequipa, 04000, Peru; Condori-Merma D., Universidad Nacional de San Agustín de Arequipa, Escuela Profesional de Física, Arequipa, 04000, Peru; Cornejo M.V., Universidad Nacional de San Agustín de Arequipa, Escuela Profesional de Física, Arequipa, 04000, Peru</t>
  </si>
  <si>
    <t xml:space="preserve">Cardiology; Deep neural networks; Entropy; Network architecture; Chagas disease; Control groups; Early diagnosis; Early evaluation; Heart failure; Neural network architecture; Permutation entropy; ROC curves; RR intervals; Electrocardiograms</t>
  </si>
  <si>
    <t xml:space="preserve">Briceno-Leon R., La enfermedad de Chagas en las Américas: una perspectiva de ecosalud, Cadernos de saúde pública, 25, pp. S71-S82, (2009); Enfermedad de Chagas en las Américas, Hoja informativa para los trabajadores de salud, (2017); First WHO report on neglected tropical diseases: working to overcome the global impact of neglected tropical diseases, First WHO report on neglected tropical diseases: Working to overcome the global impact of neglected tropical diseases, (2010); Schmunis G.A., Epidemiology of Chagas disease in non endemic countries: The role of international migration, Memorias do Instituto Oswaldo Cruz, 102, pp. 75-86, (2007); Chagas disease control and prevention in Europe. Report of a WHO Informal Consultation (jointly organized by WHO headquarters and the WHO Regional Office for Europe), (2009); Mendoza I., Moleiro F., Marques J., Britto I.M., Arritmias y muerte súbita en la enfermedad de Chagas, (2008); Moleiro F., Miocardiopatía crónica chagásica: Un estudio epidemiológico utilizando métodos electrofiosiol ógicos de exploración clínica, (1980); Hagar J.M., Rahimtoola S.H., Chagas' heart disease in the United States, New England Journal of Medicine, 325, 11, pp. 763-768, (1991); Di Lorenzo Oliveira C., Nunes M.C.P., Colosimo E.A., De Lima E.M., Cardoso C.S., Ferreira A.M., Ribeiro A.L.P., Risk Score for Predicting 2-Year Mortality in Patients With Chagas Cardiomyopathy From Endemic Areas: SaMi-Trop Cohort Study, Journal of the American Heart Association, 9, 6, (2020); Cornejo D., Rodriguez M., Diaz L., Alvarez E., Vizcardo M., Application of Permutation Entropy in the stratification of patients with chagas disease, Computing in Cardiology, pp. 1-4, (2020); Oh S.L., Hagiwara Y., Raghavendra U., Yuvaraj R., Arunkumar N., Murugappan M., Acharya U.R., A deep learning approach for Parkinson's disease diagnosis from EEG signals, Neural Computing and Applications, pp. 1-7, (2018); Driss S.B., Soua M., Kachouri R., Akil M., A comparison study between MLP and convolutional neural network models for character recognition, Real-Time Image and Video Processing 2017, (2017); Bogu G., Snyder M., Deep learningbased detection of COVID-19 using wearables data, medRxiv, (2021); Haselsteiner E., Pfurtscheller G., Using time-dependent neural networks for EEG classification, IEEE Transactions on Rehabilitation Engineering, 8, 4, pp. 457-463; Chatterjee R., Bandyopadhyay T., EEG based Motor Imagery Classification using SVM and MLP, 2016 2nd International Conference on Computational Intelligence and Networks (CINE), pp. 84-89, (2016); Raad A., Kalakech A., Ayache M., Breast cancer classification using neural network approach: MLP and RBF, networks, 7, 8, (2012); Pan J., Tompkins W.J., A Real-Time QRS Detection Algorithm, IEEE Transactions on Biomedical Engineering, BME-32, 3, pp. 230-236, (1985); Wessel N., Voss A., Kurths J., Saparin P., Witt A., Kleiner H.J., Dietz R., Renormalised entropy: A new method of non-linear dynamics for the analysis of heart rate variability, Computers in Cardiology 1994, pp. 137-140, (1994); Bandt C., Pompe B., Permutation Entropy: A natural complexity measure for time series, Physical review letters, 88, 17, (2002); Akaike H., Fitting Autoregressive for Prediction Models, Statist Math, 21, pp. 243-247, (1969)</t>
  </si>
  <si>
    <t xml:space="preserve">2-s2.0-85152914334</t>
  </si>
  <si>
    <t xml:space="preserve">Rana S.K.; Boruah A.N.; Biswas S.K.; Chakraborty M.; Purkayastha B.</t>
  </si>
  <si>
    <t xml:space="preserve">Rana, Sandeep Kumar (57879052000); Boruah, Arpita Nath (57699909100); Biswas, Saroj Kr. (56270718900); Chakraborty, Manomita (57190687202); Purkayastha, Biswajit (8245188400)</t>
  </si>
  <si>
    <t xml:space="preserve">57879052000; 57699909100; 56270718900; 57190687202; 8245188400</t>
  </si>
  <si>
    <t xml:space="preserve">Dengue Fever Prediction using Machine Learning Analytics</t>
  </si>
  <si>
    <t xml:space="preserve">Dengue Fever (DF) is one of the most severe epidemiologic disease which is caused by blood-feeding mosquitoes and also most speedily increasing public health issues in tropical and subtropical regions which sometimes cause continual epidemics. The general symptoms of dengue are fever which includes joint pain, headache, vomiting, etc.; however, if Dengue is not detected at an early stage and experience severe bleeding and shock, which may even lead to death. Thus, increasing DF can be very severe and critical, turning out to be a global threat. So, considering the severity of DF, this paper proposes a model, named Dengue Fever Expert System using Machine Learning Analytics (DFES-MLA) to explore the dengue data to predict the disease more efficiently considering only the symptomatic features. The dengue dataset is imbalanced in nature. And therefore, the DFES-MLA model uses the 4 most prominent oversampling techniques namely SMOTE, Borderline SMOTE, ADASYN, Gaussian SMOTE to get rid of the class imbalance problem of the dengue dataset. DFES-MLA model uses Decision Tree (DT) and Random Forest (RF) classifiers along with all the data pre-processing steps for DF prediction. © 2022 IEEE.</t>
  </si>
  <si>
    <t xml:space="preserve">2022 International Conference on Machine Learning, Big Data, Cloud and Parallel Computing, COM-IT-CON 2022</t>
  </si>
  <si>
    <t xml:space="preserve">10.1109/COM-IT-CON54601.2022.9850923</t>
  </si>
  <si>
    <t xml:space="preserve">https://www.scopus.com/inward/record.uri?eid=2-s2.0-85137486986&amp;doi=10.1109%2fCOM-IT-CON54601.2022.9850923&amp;partnerID=40&amp;md5=09185014e98c9a56434512a8ed1a8771</t>
  </si>
  <si>
    <t xml:space="preserve">National Institute of Technology, Computer Science and Engineering, Silchar, India; VIT-AP University, School of Computer Science and Engineering, Andhra Pradesh, India</t>
  </si>
  <si>
    <t xml:space="preserve">Rana S.K., National Institute of Technology, Computer Science and Engineering, Silchar, India; Boruah A.N., National Institute of Technology, Computer Science and Engineering, Silchar, India; Biswas S.K., National Institute of Technology, Computer Science and Engineering, Silchar, India; Chakraborty M., VIT-AP University, School of Computer Science and Engineering, Andhra Pradesh, India; Purkayastha B., National Institute of Technology, Computer Science and Engineering, Silchar, India</t>
  </si>
  <si>
    <t xml:space="preserve">Class Imbalance Problem; Data Mining; Decision Tree; Random Forest; SMOTE</t>
  </si>
  <si>
    <t xml:space="preserve">Data handling; Data mining; Expert systems; Machine learning; Random forests; Tropics; Analytic modeling; Class imbalance problems; Dengue fevers; Machine-learning; Model use; Public health issues; Random forests; SMOTE; Subtropical regions; Tropical regions; Decision trees</t>
  </si>
  <si>
    <t xml:space="preserve">Gubler D.J., Dengue and Dengue hemorrhagic fever, Clinical microbiology reviews, 11, 3, pp. 480-496, (1998); Gubler D.J., Ooi E.E., Vasudevan S., Farrar J., Dengue and Dengue hemorrhagic fever, CABI, (2014); Fajardo-Dolci G., Meljem-Moctezuma J., Vicente-Gonzalez E., Venegas-Paez F.V., Mazon-Gonzalez B., Aguirre-Gas H.G., The Dengue fever in Mexico. Knowledge for improving the quality in health, Revista Medica del Instituto Mexicano del Seguro Social, 50, 6, pp. 631-639, (2012); Dengue Guidelines for Diagnosis, Treatment, Prevention, and Control, (2009); Tiruveedhula S., Navya M., Gayathri Y., Reshma N., Classification of Dengue using Machine Learning Techniques, International Journal of Engineering and Technology, 11, (2022); Chawla N.V., Bowyer K., Hall L.O., Kegelmeyer W.P., SMOTE: Synthetic Minority Over-sampling Technique, Journal of Artificial Intelligence Research, 16, 1, pp. 321-357, (2002); Han H., Wang W.Y., Mao B.H., Borderline-SMOTE: A New Over-Sampling Method in Imbalanced Data Sets Learning, Advances in Intelligent Computing. ICIC 2005. Lecture Notes in Computer Science, 3644; Haibo He., Bai Y., Garcia E.A., Shutao L., ADASYN: Adaptive synthetic sampling approach for imbalanced learning, 2008 IEEE International Joint Conference on Neural Networks (IEEE World Congress on Computational Intelligence), pp. 1322-1328, (2008); Tingting P., Junhong Z., Wei Wu J.Y., Learning imbalanced datasets based on smote and gaussian distribution; Tanner L., Schreiber M., Low J.G.H., Ong A., Tolfvenstam T., Lai Y.L., Ng L.C., Leo Y.S., Puong L.T., Vasudevan S.G., Simmons C.P., Hibberd M.L., Ooi E.E., Decision Tree Algorithms Predict the Diagnosis and Outcome of Dengue Fever in the Early Phase of Illness, PLoSNegl Trop Dis, 2, 3; Ahmed N., Ishaq A., Shoaib M., Wahab A., Role of Expert Systems in Identification and Overcoming of Dengue Fever, International Journal of Advanced Computer Science and Applications (IJACSA), 8, 10, (2017); Husin N.A., Al-Harogi A.S.N., Mustapha N., Hamdan H., Husin U.A., Fuzzy Rules Base System for EarlySelf-Diagnosis of Dengue Symptoms, International Journal of Engineering &amp; Technology, 7, 4-19, pp. 458-463, (2018); Phakhounthong K., Chaovalit P., Jittamala P., Blacksell S.D., Carter M.J., Turner P., Chheng K., Sona S., Kumar V., Day N.P.J., White L.J., Pan-Ngum W., Predicting the severity of dengue fever in children on admission based on clinical features and laboratory indicators: Application of classification tree analysis, BMC Pediatrics, 18, 1; Boruah A.N., Kumar Biswas S., Bandyopadhyay S., Sarkar S., Expert System to Manage Parkinson Disease by Identifying Risk Factors: TD-Rules-PD, 2020 International Conference on Computational Performance Evaluation (ComPE), pp. 1-6, (2020); Gangula R., Thirupathi L., Parupati R., Sreeved K., Gattoju S., Ensemble machine Learning Based prediction of Dengue Disease with performance and Accuracy Elevation Patterns, Materialstody Proceedings; Hoyos W., Aguilar J., Toro M., Dengue Models Based on Machine Learning Techniques: A Systematic Literature Review, Artificial Intelligence in Medicine, 119, (2021); Silitonga P., Dewi B.E., Bustamam A., ShaoriAl-Ash H., Evaluation of Dengue Model Performances Developed Using Artificial Neural Network and Random Forest Classifiers, Procedia Computer Science, 179, pp. 135-143, (2021); Boruah A.N., Biswas S.K., Bandyonadhyay S., Sarkar S., An Expert System for Identification of Key Factors of Parkinson's Disease: B-TDS-PD, 2020 IEEE India Council International Subsections Conference (INDISCON), pp. 37-42, (2020); Hasan M.K., Alam M.A., Das D., Hossain E., Hasan M., Diabetes Prediction Using Ensembling of Different Machine Learning Classifiers, IEEE Access, 8, pp. 76516-76531, (2020)</t>
  </si>
  <si>
    <t xml:space="preserve">26 May 2022 through 27 May 2022</t>
  </si>
  <si>
    <t xml:space="preserve">Faridabad</t>
  </si>
  <si>
    <t xml:space="preserve">978-166549602-5</t>
  </si>
  <si>
    <t xml:space="preserve">Int. Conf. Mach. Learn., Big Data, Cloud Parallel Comput., COM-IT-CON</t>
  </si>
  <si>
    <t xml:space="preserve">2-s2.0-85137486986</t>
  </si>
  <si>
    <t xml:space="preserve">Mai S.T.; Phi H.T.; Abubakar A.; Kilpatrick P.; Nguyen H.Q.V.; Vandierendonck H.</t>
  </si>
  <si>
    <t xml:space="preserve">Mai, Son T. (51663715300); Phi, Ha T. (58096851300); Abubakar, Abdullahi (57214996751); Kilpatrick, Peter (7004923270); Nguyen, Hung Q. V. (58831530300); Vandierendonck, Hans (6602259515)</t>
  </si>
  <si>
    <t xml:space="preserve">51663715300; 58096851300; 57214996751; 7004923270; 58831530300; 6602259515</t>
  </si>
  <si>
    <t xml:space="preserve">Dengue Fever: From Extreme Climates to Outbreak Prediction</t>
  </si>
  <si>
    <t xml:space="preserve">Dengue Fever (DF) is an emerging mosquito-borne infectious disease that affects hundred of millions of people each year with considerable morbidity and mortality rates, especially for children. Together with global climate changes, it is continuously increasing in terms of number of cases and new locations. Thus, having effective early warning systems becomes an urgent need to improve disease controls and prevention. In this paper, we introduce a novel framework, called Proximity Time Ensemble, to predict DF outbreaks for multiple areas (provinces) and multiple time steps ahead, and to study the effects of climate data on DF outbreaks. PT-Ensem consists of 6 key components: (1) an event-to-event probabilistic framework to study links among extreme climate events and DF outbreaks; (2) a proximity graph that connects similar provinces; (3) an ensemble prediction technique that combines many different advanced machine learning (ML) methods to predict outbreaks within t time steps in the future using extreme climate events as model inputs; (4) a data aggregate scheme to enrich training data for each province via its neighbors in the proximity graph; (5) a proximity propagation step that propagates predicted results among similar provinces via the proximity graph until maximal agreements are reached among provinces; and (6) a time propagation step to propagate results via different predicted time steps in each province. We use PT-Ensem to predict DF outbreaks for all provinces in Vietnam using data collected from 1997-2016. Experiments show that PT-Ensem acquires significant performance boost compared to many highly-rated ML models like XGBoost, LightGBM and Catboost in the outbreak prediction task. Compared to most recent deep learning approaches like LSTM-ATT, LSTM, CNN and Transformer for predicting DF incidence, PT-Ensem also dominates in both prediction accuracy and computation times.  © 2022 IEEE.</t>
  </si>
  <si>
    <t xml:space="preserve">Proceedings - IEEE International Conference on Data Mining, ICDM</t>
  </si>
  <si>
    <t xml:space="preserve">10.1109/ICDM54844.2022.00135</t>
  </si>
  <si>
    <t xml:space="preserve">https://www.scopus.com/inward/record.uri?eid=2-s2.0-85147735191&amp;doi=10.1109%2fICDM54844.2022.00135&amp;partnerID=40&amp;md5=83fdca93171aec73e3aa1eaff522d9db</t>
  </si>
  <si>
    <t xml:space="preserve">Queen's University Belfast, United Kingdom; Griffith University, Australia</t>
  </si>
  <si>
    <t xml:space="preserve">Mai S.T., Queen's University Belfast, United Kingdom; Phi H.T., Queen's University Belfast, United Kingdom; Abubakar A., Queen's University Belfast, United Kingdom; Kilpatrick P., Queen's University Belfast, United Kingdom; Nguyen H.Q.V., Griffith University, Australia; Vandierendonck H., Queen's University Belfast, United Kingdom</t>
  </si>
  <si>
    <t xml:space="preserve">Dengue Fever prediction; Ensemble learning; Epidemic forecast; Outbreak prediction</t>
  </si>
  <si>
    <t xml:space="preserve">Climate change; Climate models; Diseases; Learning systems; Long short-term memory; Climate event; Dengue fever prediction; Dengue fevers; Ensemble learning; Epidemic forecast; Extreme climates; Outbreak prediction; Propagation step; Proximity graphs; Time step; Forecasting</t>
  </si>
  <si>
    <t xml:space="preserve">Bhatt S., Et al., The global distribution and burden of dengue, Nature, 496, 7446, pp. 504-507, (2013); Siriyasatien P., Et al., Dengue epidemics prediction: A survey of the stateof-the-art based on data science processes, IEEE Access, 6, pp. 53757-53795, (2018); Thi Tuyet-Hanh T., Et al., Climate variability and dengue hemorrhagic fever in Hanoi, viet nam, during 2008 to 2015, Asia Pac J Public Health, 30, 6, pp. 532-541, (2018); Salami D., Et al., Predicting dengue importation into Europe, using machine learning and model-agnostic methods, Sci Rep, 10, 1, pp. 1-13, (2020); Xu J., Et al., Forecast of dengue cases in 20 Chinese cities based on the deep learning method, Int J Environ Res Public Health, 17, 2, (2020); Guo P., Et al., Developing a dengue forecast model using machine learning: A case study in China, PLoS Negl Trop Dis, 11, 10, (2017); Liu K., Et al., Enhancing fine-grained intra-urban dengue forecasting by integrating spatial interactions of human movements between urban regions, PLoS Negl Trop Dis, 14, 12, (2020); Nguyen V.-H., Et al., Deep learning models for forecasting dengue fever based on climate data in Vietnam, PLoS Negl Trop Dis, (2022); Hu W., Et al., Dengue fever and el nino/southern oscillation in Queensland, Australia: A time series predictive model, Occup Environ Med, 67, 5, pp. 307-311, (2010); Colon-Gonzalez F.J., Et al., Climate variability and dengue fever in warm and humid Mexico, Am J Trop Med Hyg, 84, 5, (2011); Colon-Gonzalez F.J., Probabilistic seasonal dengue forecasting in Vietnam: A modelling study using superensembles, PLoS Med, 18, 3, (2021); Aswi A., Et al., Bayesian spatial and spatio-temporal approaches to modelling dengue fever: A systematic review, Epidemiol Infect, 147, (2019); Wang C., Et al., A study of the dengue epidemic and meteorological factors in guangzhou, China, by using a zero-inflated poisson regression model, Asia Pac J Public Health, 26, 1, pp. 48-57, (2014); Stoddard S.T., Et al., House-to-house human movement drives dengue virus transmission, PNAS, 110, 3, pp. 994-999, (2013); Barrera R., Et al., Population dynamics of aedes aegypti and dengue as influenced by weather and human behavior in san juan, puerto rico, PLoS Negl Trop Dis, 5, 12, (2011); Jain R., Et al., Prediction of dengue outbreaks based on disease surveillance, meteorological and socio-economic data, BMC Infect Dis, 19, 1, pp. 1-16, (2019); Dengue hemorrhagic fever-us-Mexico border 2005, Morb Mortal Wkly Rep, 56, 31, pp. 785-789, (2007); Salim N.A.M., Et al., Prediction of dengue outbreak in selangor Malaysia using machine learning techniques, Sci Rep, 11, 1, pp. 1-9, (2021); Siriyasatien P., Et al., Analysis of significant factors for dengue fever incidence prediction, BMC Bioinform, 17, 1, pp. 1-9, (2016); Do T.T.T., Et al., Climatic-driven seasonality of emerging dengue fever in Hanoi, Vietnam, BMC Public Health, 14, 1, pp. 1-10, (2014); Ke G., Et al., Lightgbm: A highly efficient gradient boosting decision tree, NIPS, 30, (2017); Dorogush A.V., Et al., Catboost: gradient boosting with categorical features support, (2018); Buczak A.L., Et al., Ensemble method for dengue prediction, PLoS One, 13, 1, (2018); Johansson M.A., Et al., Local and global effects of climate on dengue transmission in puerto rico, PLoS Negl Trop Dis, 3, 2; Brady O.J., Et al., Dengue disease outbreak definitions are implicitly variable, Epidemics, 11, pp. 92-102, (2015); Johansson M.A., Et al., Multiyear climate variability and dengueel nino southern oscillation, weather, and dengue incidence in puerto rico, Mexico, and Thailand: A longitudinal data analysis, PLoS Med, 6, 11, (2009); Liu Z., Et al., Temperature increase enhances aedes albopictus competence to transmit dengue virus, Front Microbiol, 8, (2017)</t>
  </si>
  <si>
    <t xml:space="preserve">S.T. Mai; Queen's University Belfast, United Kingdom; email: thaison.mai@qub.ac.uk</t>
  </si>
  <si>
    <t xml:space="preserve">Zhu X.; Ranka S.; Thai My.T.; Washio T.; Wu X.</t>
  </si>
  <si>
    <t xml:space="preserve">IEEE Computer Society; US National Science Foundation (NSF)</t>
  </si>
  <si>
    <t xml:space="preserve">22nd IEEE International Conference on Data Mining, ICDM 2022</t>
  </si>
  <si>
    <t xml:space="preserve">28 November 2022 through 1 December 2022</t>
  </si>
  <si>
    <t xml:space="preserve">978-166545099-7</t>
  </si>
  <si>
    <t xml:space="preserve">Proc. IEEE Int. Conf. Data Min. ICDM</t>
  </si>
  <si>
    <t xml:space="preserve">2-s2.0-85147735191</t>
  </si>
  <si>
    <t xml:space="preserve">Lehmann N.J.; Karagulle M.-U.; Meurer P.; Niedermeyer E.; Vidishiqi P.; Pysz L.; Kreb M.; Muth L.R.; Feldmeier H.; Sahondra B.R.; Onintsoa O.R.T.; Voisard A.; Schuster A.</t>
  </si>
  <si>
    <t xml:space="preserve">Lehmann, Nicolas J. (57217360879); Karagulle, Muhammed-Ugur (57222556516); Meurer, Pauline (57240857100); Niedermeyer, Elen (57223108661); Vidishiqi, Petrit (57911934300); Pysz, Laura (57912340500); Kreb, Marlene (57911543000); Muth, Lea R. (57911543100); Feldmeier, Hermann (7005524209); Sahondra, Bodo Randrianasolo (57912135700); Onintsoa, Oliva Rabozakandraina Tiana (57911140600); Voisard, Agnes (55884833600); Schuster, Angela (7102981285)</t>
  </si>
  <si>
    <t xml:space="preserve">57217360879; 57222556516; 57240857100; 57223108661; 57911934300; 57912340500; 57911543000; 57911543100; 7005524209; 57912135700; 57911140600; 55884833600; 7102981285</t>
  </si>
  <si>
    <t xml:space="preserve">Designing AINA - Intercultural Human-Centered Design of an AI-based Application for Supporting the Diagnosis of Female Genital Schistosomiasis</t>
  </si>
  <si>
    <t xml:space="preserve">The prevalence of Female Genital Schistosomiasis (FGS) in northern Madagascar reaches 75 % and often lead to genital pain, contact bleeding, vaginal discharge, irregular menstruation, avoidance of sexual intercourse, and poor pregnancy outcomes. However, due to insufficient access to health care despite being free of charge, and lack of medical expertise on FGS, FGS remains undiagnosed or misdiagnosed. In this paper, we present AINA, an AI-based application for supporting medical professionals in the diagnosis of FGS. The AINA application is developed in a Human-Centered Design (HCD) approach. The HCD approach includes an analysis phase in which the target groups, use cases, and environment are considered when eliciting requirements. Subsequently, a final prototype of the AINA application is developed in an iterative design and evaluation process using non-participatory and participatory methods. The design study acts as preliminary work for developing a medical device for use in the rural regions of Africa, i.e., Madagascar.  © 2022 IEEE.</t>
  </si>
  <si>
    <t xml:space="preserve">Proceedings - 2022 IEEE 10th International Conference on Healthcare Informatics, ICHI 2022</t>
  </si>
  <si>
    <t xml:space="preserve">10.1109/ICHI54592.2022.00065</t>
  </si>
  <si>
    <t xml:space="preserve">https://www.scopus.com/inward/record.uri?eid=2-s2.0-85139018184&amp;doi=10.1109%2fICHI54592.2022.00065&amp;partnerID=40&amp;md5=7b39ff7ba8e259a641a7d18db2a82435</t>
  </si>
  <si>
    <t xml:space="preserve">Freie Universitüt Berlin, Berlin, Germany; Charité - Universitdtsmedizin Berlin, Berlin, Germany; Institute of Computer Science Freie Universitäat Berlin, Berlin, Germany; K' olo Vanona, Antananarivo, Madagascar; K' olo Vanona, Diana region, Ambanja, Madagascar; Freie Universität Berlin &amp; Fraunhofer FOKUS, Berlin, Germany</t>
  </si>
  <si>
    <t xml:space="preserve">Lehmann N.J., Freie Universitüt Berlin, Berlin, Germany; Karagulle M.-U., Freie Universitüt Berlin, Berlin, Germany; Meurer P., Charité - Universitdtsmedizin Berlin, Berlin, Germany; Niedermeyer E., Freie Universitüt Berlin, Berlin, Germany; Vidishiqi P., Freie Universitüt Berlin, Berlin, Germany; Pysz L., Freie Universitüt Berlin, Berlin, Germany; Kreb M., Freie Universitüt Berlin, Berlin, Germany; Muth L.R., Institute of Computer Science Freie Universitäat Berlin, Berlin, Germany; Feldmeier H., Charité - Universitdtsmedizin Berlin, Berlin, Germany; Sahondra B.R., K' olo Vanona, Antananarivo, Madagascar; Onintsoa O.R.T., K' olo Vanona, Diana region, Ambanja, Madagascar; Voisard A., Freie Universität Berlin &amp; Fraunhofer FOKUS, Berlin, Germany; Schuster A., Charité - Universitdtsmedizin Berlin, Berlin, Germany</t>
  </si>
  <si>
    <t xml:space="preserve">female genital schistosomiasis; fgs; human-centered design; intercultural design; neglected tropical diseases; ntd; user-centered design</t>
  </si>
  <si>
    <t xml:space="preserve">Health care; Iterative methods; Software prototyping; Tropics; User centered design; Bleedings; Design approaches; Female genital schistosomiasis; Fgs; Human-centred designs; Intercultural designs; Madagascar; Neglected tropical disease; Ntd; Sexual intercourse; Diagnosis</t>
  </si>
  <si>
    <t xml:space="preserve">Leutscher P., Ravaoalimalala V.E., Raharisolo C., Ramarokoto C.E., Rasendramino M., Raobelison A., Vennervald B., Esterre P., Feldmeier H., Clinical findings in female genital schistosomiasis in Madagascar, Wiley Online Library, Tropical Medicine &amp; International Health, 3, 4, pp. 327-332, (1998); Tchuem T.L.-A., Rollinson D., Stothard J.R., Molyneux D., Moving from control to elimination of schistosomiasis in sub-Saharan Africa: Time to change and adapt strategies, Infectious Diseases of Poverty, 6, 1, pp. 1-14, (2017); Schanz A., Richter J., Beyer I., Baldus S.E., Hess A.P., Kruessel J.S., Genital schistosomiasis as a cause of female sterility and acute abdomen, Fertility and sterility, 93, 6, (2010); Kjetland E.F., Leutscher P.D.C., Ndhlovu P.D., A review of female genital schistosomiasis, Trends in Parasitology, 28, 2, pp. 58-65, (2012); Ramarokoto C.E., Kildemoes A.O., Randrianasolo B.S., Ravoniarimbinina P., Ravaoalimalala V.E., Leutscher P., Kjetland E.F., Vennervald B.J., Eosinophil Granule Proteins ECP and EPX as Markers for a Potential Early-Stage Inflammatory Lesion in Female Genital Schistosomiasis (FGS), PLoS neglected tropical diseases, 8, 7, (2014); Kjetland E.F., Poggensee G., Helling-Giese G., Richter J., Sjaastad A., Chitsulo L., Kumwenda N., Gundersen S.G., Krantz I., Feldmeier H., Female genital schistosomiasis due to Schistosoma haematobium. Clinical and parasitological findings in women in rural Malawi, Acta tropica, 62, 4, pp. 239-255, (1996); Poggensee G., Kiwelu I., Weger V., Goppner D., Diedrich T., Krantz I., Feldmeier H., Female genital schistosomiasis of the lower genital tract: prevalence and disease-associated morbidity in northern Tanzania, The Journal of infectious diseases, 181, 3, pp. 1210-1213, (2000); Helling-Giese G., Kjetland E.F., Gundersen S.G., Poggensee G., Richter J., Krantz I., Feldmeier H., Schistosomiasis in women: manifestations in the upper reproductive tract, Acta tropica, 62, 4, pp. 225-238, (1996); Helling-Giese G., Sjaastad A., Poggensee G., Kjetland E.F., Richter J., Chitsulo L., Kumwenda N., Racz P., Roald B., Gundersen S.G., Female genital schistosomiasis (FGS): relationship between gynecological and histopathological findings, Acta tropica, 62, 4, pp. 257-267, (1996); Hotez P.J., Fenwick A., Schistosomiasis in Africa: An emerging tragedy in our new global health decade, PLoS neglected tropical diseases, 3, 9, (2009); Female genital schistosomiasis: A pocket atlas for clinical health-care professionals, (2015); Poggensee G., Sahebali S., Van Marck E., Swai B., Krantz I., Feldmeier H., Diagnosis of genital cervical schistosomiasis: comparison of cytological, histopathological and parasitological examination, Citeseer, The American journal of tropical medicine and hygiene, 65, 3, pp. 233-236, (2001); Da Silva I.M., Thiengo R., Conceicao M.J., Rey L., Lenzi H.L., Pereira Filho E., Ribeiro P.C., Therapeutic failure of praziquantel in the treatment of Schistosoma haematobium infection in Brazilians returning from Africa, SciELO Brasil, Memórias do Instituto Oswaldo Cruz, 100, pp. 445-449, (2005); Kjetland E.F., Norseth H.M., Taylor M., Lillebo K., Kleppa E., Holmen S.D., Andebirhan A., Yohannes T.H., Gundersen S.G., Vennervald B.J., Classification of the lesions observed in female genital schistosomiasis, (2014); Kjetland E.F., Ndhlovu P.D., Kurewa E.N., Midzi N., Gomo E., Mduluza T., Friis H., Gundersen S.G., Prevention of gynecologic contact bleeding and genital sandy patches by childhood anti-schistosomal treatment, The American journal of tropical medicine and hygiene, 79, 1, pp. 79-83, (2008); Global Observatory on eHealth-Key Indicators, (2016); Barmania S., Madagascar's health challenges, The Lancet, 386, 9995, pp. 729-730, (2015); Kukula V.A., MacPherson E.E., Tsey I.H., Stothard J.R., Theobald S., Gyapong M., A major hurdle in the elimination of urogenital schistosomiasis revealed: Identifying key gaps in knowledge and understanding of female genital schistosomiasis within communities and local health workers, PLoS neglected tropical diseases, 13, 3, (2019); Rashmi B., Vanita S., Radhika S., Niranjan K., Payal K., Sarif K.N., Vidya C., Lovi G., Soubhik P., Feasibility of using mobile smartphone camera as an imaging device for screening of cervical cancer in a low-resource setting, Journal of Postgraduate Medicine Education and Research (JPMER), 50, pp. 69-74, (2016); Gallay C., Caroline, Girardet A., Viviano M., Catarino R., Benski A.-C., Tran P.L., Ecabert C., Thiran J.-P., Vassilakos P., Petignat P., Cervical Cancer Screening in Low-Resource Settings: A Smartphone Image Application as an Alternative to Colposcopy, International Journal of Women's Health, 9, pp. 455-461, (2017); Quinley K.E., Gormley R.H., Ratcliffe S.J., Shih T., Szep Z., Steiner A., Ramogola-Masire D., Kovarik C.L., Use of mobile telemedicine for cervical cancer screening, Journal of Telemedicine and Telecare, 17, 4, pp. 203-209, (2011); Yuan C., Yao Y., Cheng B., Cheng Y., Li Y., Li Y., Liu X., Cheng X., Xie X., Wu J., Wang X., Lu W., The application of deep learning based diagnostic system to cervical squamous intraepithelial lesions recognition in colposcopy images, Nature, Scientific Reports, 10, (2020); Holmen S.D., Kjetland E.F., Taylor M., Kleppa E., Lillebo K., Gundersen S.G., Onsrud M., Albregtsen F., Colourimetric image analysis as a diagnostic tool in female genital schistosomiasis, Medical Engineering and Physics, 37, 3, pp. 309-314, (2015); Softeland S., Sebitloane M.H., Taylor M., Roald B.B., Holmen S., Galappaththi-Arachchige H.N., Gundersen S.G., Kjetland E.F., A systematic review of handheld tools in lieu of colposcopy for cervical neoplasia and female genital schistosomiasis, International Journal of Gynecology &amp; Obstetrics, 153, 2, pp. 190-199, (2021); Agarwal S., Perry H.B., Long L.A., Labrique A.B., Evidence on feasibility and effective use of mhealth strategies by frontline health workers in developing countries: Systematic review, Wiley Subscription Services, Tropical Medicine &amp; International Health, 20, 8, pp. 1003-1014, (2015); Opoku D., Stephani V., Quentin W., A realist review of mobile phone-based health interventions for non-communicable disease management in sub-saharan Africa, BioMed Central, BMC Medicine, 15, (2017); Howard A.G., Zhu M., Chen B., Kalenichenko D., Wang W., Weyand T., Andreetto M., Adam H., Mobilenets: Efficient convolutional neural networks for mobile vision applications, (2017); Jiang X., Wang H., Chen Y., Wu Z., Wang L., Zou B., Yang Y., Cui Z., Cai Y., Yu T., Lv C., Wu Z., Mnn: A universal and efficient inference engine, (2020); Nielsen J., 10 Usability Heuristics for User Interface Design, (1994); Graham L., Gestalt theory in interactive media design, Journal of Humanities &amp; Social Sciences, 2, 1, (2008)</t>
  </si>
  <si>
    <t xml:space="preserve">Health Data Science; IEEE Computer Society on Technical Community on Intelligent Informatics; Mayo Clinic Platform; Mayo Clinic, Department of AI and Informatics; Mayo Clinic, Robert D. and Patricia E. Kern, Center for the Science of Health Care Delivery; NSF</t>
  </si>
  <si>
    <t xml:space="preserve">10th IEEE International Conference on Healthcare Informatics, ICHI 2022</t>
  </si>
  <si>
    <t xml:space="preserve">11 June 2022 through 14 June 2022</t>
  </si>
  <si>
    <t xml:space="preserve">Rochester</t>
  </si>
  <si>
    <t xml:space="preserve">978-166546845-9</t>
  </si>
  <si>
    <t xml:space="preserve">Proc. - IEEE Int. Conf. Healthc. Informatics, ICHI</t>
  </si>
  <si>
    <t xml:space="preserve">2-s2.0-85139018184</t>
  </si>
  <si>
    <t xml:space="preserve">Al Nasar M.R.; Nasir I.; Mohamed T.; Elmitwally N.S.; Al-Sakhnini M.M.; Asgher T.</t>
  </si>
  <si>
    <t xml:space="preserve">Al Nasar, Mohammad Rustom (49962898700); Nasir, Iftikhar (57220188741); Mohamed, Tamer (56974109900); Elmitwally, Nouh Sabri (57209421201); Al-Sakhnini, Mahmoud M. (58038855100); Asgher, Tayba (57670104900)</t>
  </si>
  <si>
    <t xml:space="preserve">49962898700; 57220188741; 56974109900; 57209421201; 58038855100; 57670104900</t>
  </si>
  <si>
    <t xml:space="preserve">Detection of Dengue Disease Empowered with Fused Machine Learning</t>
  </si>
  <si>
    <t xml:space="preserve">Dengue fever is a life-threatening illness that affects both industrialized and poor nations, including Pakistan. It is necessary to forecast the illness at an early stage to avoid it. Machine Learning (ML) methods outperform other computer approaches in terms of illness prediction. The model utilized in this study to predict dengue fever is fused with machine learning. Artificial Neural Networks (ANN) and Support Vector Machine (SVM) provide the foundation of the conceptual framework. The datasets employed in these models have been collected from a government hospital in Lahore, Pakistan for diagnosing dengue fever (positive or negative). 70% of the statistics in the dataset are training data, whereas 30% are testing data. This fused model's membership functions explain whether a dengue diagnostic is positive or negative, which controls the model's output. A cloud storage system saves the fused model based on patients' real-time information for future use. The proposed model has a 96.19 % accuracy rate, which is much greater than earlier research. © 2022 IEEE.</t>
  </si>
  <si>
    <t xml:space="preserve">International Conference on Cyber Resilience, ICCR 2022</t>
  </si>
  <si>
    <t xml:space="preserve">10.1109/ICCR56254.2022.9996009</t>
  </si>
  <si>
    <t xml:space="preserve">https://www.scopus.com/inward/record.uri?eid=2-s2.0-85146497711&amp;doi=10.1109%2fICCR56254.2022.9996009&amp;partnerID=40&amp;md5=1a26ccebcdd560258015fece8670eae5</t>
  </si>
  <si>
    <t xml:space="preserve">American University in the Emirates (AUE), Academic City, College of Computer Information Technology (CCIT), Department of Information Technology Management, Dubai, United Arab Emirates; The Superior University, Lahor, Pakistan; Canadian University Dubai, Dubai, United Arab Emirates; School of Computing and Digital Technology, Birmingham City University, Birmingham, B4 7XG, United Kingdom; School of Business, Skyline University College, University City Sharjah, Sharjah, 1797, United Arab Emirates; Al-Madinah International University, Faculty of Computer and Information Technology, Kuala Lumpur, 57100, Malaysia; Riphah International University, Lahore Campus, Riphah School of Computing and Innovation, Faculty of Computing, Lahore, Pakistan</t>
  </si>
  <si>
    <t xml:space="preserve">Al Nasar M.R., American University in the Emirates (AUE), Academic City, College of Computer Information Technology (CCIT), Department of Information Technology Management, Dubai, United Arab Emirates; Nasir I., The Superior University, Lahor, Pakistan; Mohamed T., Canadian University Dubai, Dubai, United Arab Emirates; Elmitwally N.S., School of Computing and Digital Technology, Birmingham City University, Birmingham, B4 7XG, United Kingdom; Al-Sakhnini M.M., School of Business, Skyline University College, University City Sharjah, Sharjah, 1797, United Arab Emirates, Al-Madinah International University, Faculty of Computer and Information Technology, Kuala Lumpur, 57100, Malaysia; Asgher T., Riphah International University, Lahore Campus, Riphah School of Computing and Innovation, Faculty of Computing, Lahore, Pakistan</t>
  </si>
  <si>
    <t xml:space="preserve">Dengue Fever (DF); Dengue Hemorrhagic Fever (DHF); Dengue Prediction; Prediction Fused Dengue Model (PFDM)</t>
  </si>
  <si>
    <t xml:space="preserve">Diagnosis; Digital storage; Diseases; Learning systems; Membership functions; Neural networks; Statistical tests; Support vector machines; Dengue fever; Dengue fevers; Dengue hemorrhagic fever; Dengue prediction; Machine learning methods; Machine-learning; Neural network and support vector machines; Pakistan; Prediction fused dengue model; Forecasting</t>
  </si>
  <si>
    <t xml:space="preserve">Wellekens K., Betrains A., Munter P.D., Peetermans W., Dengue: current state one year before WHO 2010-2020 goals, International Journal Of Clinical and Medicine, 77, 2, pp. 436-444, (2020); Araujo R.V., Albertini M.R., Costa A.L., Suesdek L., Franceschi N.C.S., Et al., São Paulo urban heat islands have a higher incidence of dengue than other urban areas, The Brazilian Journal Of Infection Diseases, 19, 2, pp. 146-155, (2020); Duane J., Gubler, Dengue and dengue hemorrhagic fever, Clin Microbiol Rev, 11, 3, pp. 480-496, (1998); Roy S.K., Bhattacharjee S., Dengue virus: epidemiology, biology, and disease etiology, Canadian Journal of Microbiology, 67, 10, pp. 687-702, (2021); Liyanage P., Tissera H., Sewe M., Quam M., Amarasinghe A., Palihawadana P., Et al., A spatial hierarchical analysis of the temporal influences of the El Nino-southern oscillation and weather on dengue in Kalutara District, Sri Lanka, International Journal of Environmental Research and Public Health, 13, 11, (2016); Hasan S., Jamdar S.F., Alalowi M., Beaiji S.M.A., Dengue virus: A global human threat: Review of literature, Journal of International Society of Preventive and Community Dentistry, 6, 1, pp. 1-6, (2016); Halstead S.B., Dengue in the Americas and Southeast Asia: do they differ?, Pan American Journal od Public Health, 20, 6, pp. 407-415, (2006); Messina J.P., Brady O.J., Scott T.W., Zou C., Pigott D.M., Duda K.A., Et al., Global spread of dengue virus types: mapping the 70-year history, Trends in Microbiology, 22, 3, pp. 138-146, (2014); Haider Z., Ahmad F.Z., Mahmood A., Waseem T., Shafiq I., Raza T., Et al., Dengue fever in Pakistan: A paradigm shift; changing epidemiology and clinical patterns, Perspectives in Public Health, 135, 6, pp. 294-298, (2015); Ahmad S., Aziz M.A., Aftab A., Ullah Z., Ahmad M.I., Et al., Epidemiology of dengue in Pakistan, present prevalence and guidelines for future control, International Journal of Mosquito Research, 4, 6, pp. 25-32, (2017); Jahan F., Dengue fever (DF) in Pakistan, Asia Pacific Family Medicine, 10, 1, (2011); Sherin A., Dengue fever: A major public health concern in Pakistan, Khyber Medical University Journal, 3, 1, pp. 1-3, (2011); Khanani M.R., Arif A., Shaikh R., Dengue in Pakistan: journey from a disease free to a hyper endemic nation, Journal of the Dow University of Health Sciences, 5, 3, pp. 81-84, (2011); Shaukat K., Masood N., Mehreen S., Azmeen U., Dengue Fever Prediction: A Data Mining Problem, Journal of J Data Mining in Genomics &amp; Proteomics, 6, 3, pp. 1-5, (2015); Khan E., Prakoso D., Imtiaz K., Malik F., Farooqi J.Q., Long M.T., Et al., The clinical features of co-circulating dengue viruses and the absence of dengue hemorrhagic fever in Pakistan, Frontiers in public health, 8, (2020); Salim N.A.M., Wah Y.B., Reeves C., Smith M., Yaacob W.F.W., Mudin R.N., Et al., Prediction of dengue outbreak in Selangor Malaysia using machine learning techniques, Scientific reports, 11, 1, pp. 1-9, (2021); Ahmad S., Asif M., Talib R., Adeel M., Yasir M., Et al., Surveillance of intensity level and geographical spreading of dengue outbreak among males and females in Punjab, Pakistan: A case study of 2011, Journal of infection and public health, 11, 4, pp. 472-485, (2018); Shabbir W., Pilz J., Naeem A., A spatial-temporal study for the spread of dengue depending on climate factors in Pakistan 2006-2017, BMC Public Health, 20, 1, pp. 1-10, (2020); Potts J.A., Thomas S.J., Srikiatkhachorn A., Supradish P., Li W., Nisalak A., Et al., Classification of dengue illness based on readily available laboratory data, The American Journal of Tropical Medicine and Hygiene, 83, 4, pp. 781-788, (2010); Francisco M.E., Carvajal T.M., Ryo M., Nukazawa K., Amalin D.M., Watanabe K., Dengue disease dynamics are modulated by the combined influences of precipitation and landscape: A machine learning approach, Science of the Total Environment, 792, 20, (2021); Tazkia R.A.K., Narita V., Nugroho A.S., Dengue outbreak prediction for GIS-based early warning system, International conference on science in information technology, United States, 2015, pp. 121-125, (2015); Rahmawati D., Huang Y., Using c-support vector classification to forecast dengue fever epidemics in Taiwan, 2016 International Conference on System Science and Engineering, pp. 1-4, (2016); Ridwan R., COVID-19 and dengue: A deadly duo, Tropical Doctor, 50, 3, pp. 270-272, (2020); Martin M.L., Esguevillas A., Arribas J.I., Carro B., Supervised contrastive learning over prototype-label embedding for network intrusion detection, Information Fusion, 79, pp. 200-228, (2022); Martin M.L., Sanchez-Esguevillas A., Carro B., Review of Methods to Predict Connectivity of IoT Wireless Devices, Ad Hoc Sens. Wirel. Networks, 38, pp. 125-141, (2017); Bansal S., Kumar A., A Post-processing Fusion Framework for Deep Learning Models for Crop Disease Detection, IOP Conference Series: Materials Science and Engineering, 998, 1, (2020); Javed F., Khan S., Khan A., Javed A., Tariq R., Matiullah K.F., On precise path planning algorithm in wireless sensor network, International journal of distributed sensor networks, 14, 7, (2018); Adnan Khan M., Abbas S., Raza A., Khan F., Whangbo T., Emotion Based Signal Enhancement Through Multisensory Integration Using Machine Learning, CMC-Computers, Materials &amp; Continua, 71, 3, pp. 5911-5931, (2022); Laila U.E., Mahboob K., Khan A.W., Khan F., Taekeun W., An Ensemble Approach to Predict Early-Stage Diabetes Risk Using Machine Learning: An Empirical Study, Sensors, 22, 14, (2022); Khan A.H., Khan M.A., Abbas S., Siddiqui S.Y., Saeed M.A., Et al., Simulation, modeling, and optimization of intelligent kidney disease predication empowered with computational intelligence approaches, Computers, Materials &amp; Continua, 67, 2, pp. 1399-1412, (2021); Abbas S., Khan M.A., Athar A., Shan S.A., Saeed A., Alyas T., Enabling smart city with intelligent congestion control using hops with a hybrid computational approach, The Computer Journal, 65, 3, pp. 484-494, (2022); Rizvi S.S.R., Sagheer A., Adnan K., Muhammad A., Optical character recognition system for Nastalique Urdu-like script languages using supervised learning, International Journal of Pattern Recognition and Artificial Intelligence, 33, 10, (2019); Hussain S., Naqvi R.A., Abbas S., Khan M.A., Sohail T., Hussain D., Trait based trustworthiness assessment in human-agent collaboration using multi-layer fuzzy inference approach, IEEE Access, 9, pp. 73561-73574, (2021); Khan Q., Abbas S., Khan M.A., Fatima A., Alanazi S., Et al., Modelling intelligent driving behaviour using machine learning, Computers, Materials &amp; Continua, 68, 3, pp. 3061-3077, (2021); Iqbal Waseem M., Raza Naqvi M., Adnan Khan M., Khan F., Whangbo T., Mobile Devices Interface Adaptivity Using Ontologies using Machine learning, CMC Computers, Materials &amp; Continua, 71, 3, pp. 4767-4784, (2022); Fatima S.A., Hussain N., Balouch A., Rustam I., Saleem M., Asif M., IoT enabled smart monitoring of coronavirus empowered with fuzzy inference system, International journal of advance research, ideas and innovations in technology, 6, 1, pp. 188-194, (2020); Saleem M., Khan M.A., Abbas S., Asif M., Hassan M., Malik J.A., Intelligent FSO link for communication in natural disasters empowered with fuzzy inference system, 2019 International Conference on Electrical, Communication, and Computer Engineering (ICECCE), pp. 1-6, (2019); Ghazal T.M., Rehman A.U., Saleem M., Ahmad M., Ahmad S., Mehmood F., Intelligent Model to Predict Early Liver Disease using Machine Learning Technique, 2022 International Conference on Business Analytics for Technology and Security (ICBATS), pp. 1-5, (2022); Saleem M., Abbas S., Ghazal T.M., Khan M.A., Sahawneh N., Ahmad M., Smart cities: Fusion-based intelligent traffic congestion control system for vehicular networks using machine learning techniques, Egyptian Informatics Journal, (2022); Asif M., Abbas S., Khan M.A., Fatima A., Khan M.A., Lee S.W., MapReduce based intelligent model for intrusion detection using machine learning technique, Journal of King Saud University-Computer and Information Sciences, (2021); Asif M., Khan M.A., Abbas S., Saleem M., Analysis of space &amp; time complexity with PSO based synchronous MCCDMA system, 2019 2nd international conference on computing, mathematics and engineering technologies (iCoMET), pp. 1-5, (2019); Muneer S.M., Alvi M.B., Rasool M.A., Genetic Algorithm Based Intelligent System for Estate Value Estimation, International Journal of Computational and Innovative Sciences, 1, 1, (2022); Akmal R., Saleem M., AA Novel Method to improve the Round Robin CPU Scheduling Quantum time using Arithmetic Mean, International Journal of Computational and Innovative Sciences, 1, 2, pp. 69-82, (2022); Aslam M., Removal of the Noise &amp; Blurriness using Global &amp; Local Image Enhancement Equalization Techniques, International Journal of Computational and Innovative Sciences, 1, 1, (2022); Muneer S., Rasool M.A., AA systematic review: Explainable Artificial Intelligence (XAI) based disease prediction, International Journal of Advanced Sciences and Computing, 1, 1, pp. 1-6, (2022); Sami F., Integration Of Blockchain and Edge Computing to Improve The Scalability and Latency, International Journal of Advanced Sciences and Computing, 1, 1, pp. 23-32, (2022); Khan M.A., Abu-Khadrah A., Siddiqui S.Y., Ghazal T.M., Faiz T., Ahmad M., Lee S.W., Support-Vector-Machine-based Adaptive Scheduling in Mode 4 Communication, (2022); Raza S.A., Abbas S., Ghazal T.M., Khan M.A., Ahmad M., Al Hamadi H., Content Based Automated File Organization Using Machine Learning Approaches, (2022); Alzoubi H., Alshurideh M., Kurdi B., Alhyasat K., Ghazal T., The effect of e-payment and online shopping on sales growth: Evidence from banking industry, International Journal of Data and Network Science, 6, 4, pp. 1369-1380, (2022); Ghazal T.M., Hasan M.K., Abdullah S.N.H.S., Bakar K.A.A., Al Hamadi H., Private blockchain-based encryption framework using computational intelligence approach, Egyptian Informatics Journal, (2022)</t>
  </si>
  <si>
    <t xml:space="preserve">2022 International Conference on Cyber Resilience, ICCR 2022</t>
  </si>
  <si>
    <t xml:space="preserve">6 October 2022 through 7 October 2022</t>
  </si>
  <si>
    <t xml:space="preserve">Dubai</t>
  </si>
  <si>
    <t xml:space="preserve">978-166546122-1</t>
  </si>
  <si>
    <t xml:space="preserve">Int. Conf. Cyber Resil., ICCR</t>
  </si>
  <si>
    <t xml:space="preserve">2-s2.0-85146497711</t>
  </si>
  <si>
    <t xml:space="preserve">Hasan M.M.; Islam S.; Dey A.; Das A.; Tista S.C.</t>
  </si>
  <si>
    <t xml:space="preserve">Hasan, Md. Maruf (57470019600); Islam, Sabiha (57405409900); Dey, Ashim (57221962334); Das, Annesha (57221966855); Tista, Sharmistha Chanda (57204515793)</t>
  </si>
  <si>
    <t xml:space="preserve">57470019600; 57405409900; 57221962334; 57221966855; 57204515793</t>
  </si>
  <si>
    <t xml:space="preserve">Detection of Malaria Disease Using Image Processing and Machine Learning</t>
  </si>
  <si>
    <t xml:space="preserve">Malaria is a contagious disease that claims millions of lives each year. A standard laboratory malaria diagnosis requires a careful study of both healthy and infected red blood cells. Malaria can be diagnosed by looking at a drop of the patient’s blood under a microscope and opening it on a slide as a blood smear. The quality of the blood smear also influences its accuracy and correctness in the classification and detection of malaria disease. This results in a large number of inevitable errors, which are not acceptable. The goal of this research is to create a computer-aided method for the automatic detection of malaria parasites using image processing and machine learning techniques. Uninfected or parasitized blood cells have been classified using handcrafted features extracted from red blood cell images. We have implemented Adaboost, K-Nearest Neighbor, Decision Tree, Random Forest, Support Vector Machine and Multinomial Naive Bayes machine learning models on a dataset of 27,558 cell images. Among these algorithms, Adaboost, Random Forest, Support Vector Machine, and Multinomial Naive Bayes achieved an accuracy of about 91%. Furthermore, the ROC curve demonstrates that the Random Forest classification model is the best. We hope that by decreasing the requirement for human intervention throughout the detection process, this approach can greatly improve the efficiency of malaria disease detection. © 2022, The Author(s), under exclusive license to Springer Nature Switzerland AG.</t>
  </si>
  <si>
    <t xml:space="preserve">10.1007/978-3-030-93247-3_45</t>
  </si>
  <si>
    <t xml:space="preserve">https://www.scopus.com/inward/record.uri?eid=2-s2.0-85122491306&amp;doi=10.1007%2f978-3-030-93247-3_45&amp;partnerID=40&amp;md5=641e2c455b4d95d560430f0995266464</t>
  </si>
  <si>
    <t xml:space="preserve">Computer Science and Engineering, Chittagong University of Engineering and Technology, Chittagong, 4349, Bangladesh</t>
  </si>
  <si>
    <t xml:space="preserve">Hasan M.M., Computer Science and Engineering, Chittagong University of Engineering and Technology, Chittagong, 4349, Bangladesh; Islam S., Computer Science and Engineering, Chittagong University of Engineering and Technology, Chittagong, 4349, Bangladesh; Dey A., Computer Science and Engineering, Chittagong University of Engineering and Technology, Chittagong, 4349, Bangladesh; Das A., Computer Science and Engineering, Chittagong University of Engineering and Technology, Chittagong, 4349, Bangladesh; Tista S.C., Computer Science and Engineering, Chittagong University of Engineering and Technology, Chittagong, 4349, Bangladesh</t>
  </si>
  <si>
    <t xml:space="preserve">Blood smear images; Computer-aided diagnosis; Image processing; Machine learning; Malaria disease</t>
  </si>
  <si>
    <t xml:space="preserve">Fuhad K.M.F., Tuba J.F., Sarker M.R.A., Momen S., Mohammed N., Rahman T., Deep learning based automatic malaria parasite detection from blood smear and its smartphone based application, Diagnostics, 10, 5, (2020); Hanscheid T., Grobusch M.P., How useful is PCR in the diagnosis of malaria?, Trends Parasitol, 18, 9, pp. 395-398, (2002); Wongsrichanalai C., Barcus M., Sinuon M., Sutamihardja A., Wernsdorfer W., A review of malaria diagnostic tools: Microscopy and rapid diagnostic test (RDT), Am. J. Trop. Med. Hyg., 77, pp. 119-127, (2008); Khan S., Islam N., Jan Z., Ud Din I., Rodrigues J.J.P.C., A novel deep learning based framework for the detection and classification of breast cancer using transfer learning, Pattern Recogn. Lett., 125, 1-6, (2019); Lecun Y., Bengio Y., Convolutional networks for images, speech, And Time-Series, (1995); Liang Z., Et al., CNN-based image analysis for malaria diagnosis, 2016 IEEE International Conference on Bioinformatics and Biomedicine (BIBM), pp. 493-496, (2016); Militante S.V., Malaria disease recognition through adaptive deep learning models of convolutional neural network, 2019 IEEE 6Th International Conference on Engineering Technologies and Applied Sciences (ICETAS), pp. 1-6, (2019); Pattanaik P., Mittal M., Khan M.Z., Panda S., Malaria detection using deep residual networks with mobile microscopy, J. King Saud Univ. Comput. Inf. Sci., (2020); Linder N., Et al., A malaria diagnostic tool based on computer vision screening and visualization of plasmodium falciparum candidate areas in digitized blood smears, PLOS ONE, 9, 8, pp. 1-12, (2014); Kumari U., Memon M., Narejo S., Afzal M., Malaria detection using image processing and machine learning. IJERT NTASU-2020, (2021); Arunava: Malaria Cell Images Dataset, (2020); Rajaraman S., Et al., Pre-trained convolutional neural networks as feature extractors toward improved malaria parasite detection in thin blood smear images, Peerj, 6, (2018)</t>
  </si>
  <si>
    <t xml:space="preserve">M.M. Hasan; Computer Science and Engineering, Chittagong University of Engineering and Technology, Chittagong, 4349, Bangladesh; email: u1604089@student.cuet.ac.bd</t>
  </si>
  <si>
    <t xml:space="preserve">Vasant P.; Zelinka I.; Weber G.</t>
  </si>
  <si>
    <t xml:space="preserve">4th International Conference on Intelligent Computing and Optimization, ICO 2021</t>
  </si>
  <si>
    <t xml:space="preserve">30 December 2021 through 31 December 2021</t>
  </si>
  <si>
    <t xml:space="preserve">978-303093246-6</t>
  </si>
  <si>
    <t xml:space="preserve">2-s2.0-85122491306</t>
  </si>
  <si>
    <t xml:space="preserve">Maheswari B.U.; Thimmaraju M.K.; Jeeva V.; Swain M.P.; Singh S.K.; Kumar A.</t>
  </si>
  <si>
    <t xml:space="preserve">Maheswari, B. Uma (57222642232); Thimmaraju, Manish Kumar (54780764800); Jeeva, V. (57982459400); Swain, Mahendra Pratap (57982459500); Singh, Sandeep Kumar (55802371123); Kumar, Ashok (59192894800)</t>
  </si>
  <si>
    <t xml:space="preserve">57222642232; 54780764800; 57982459400; 57982459500; 55802371123; 59192894800</t>
  </si>
  <si>
    <t xml:space="preserve">Development of a Website for Malarial Detection using Deep Learning</t>
  </si>
  <si>
    <t xml:space="preserve">Malaria is a bacterial disease which is commonly caused by mosquitoes. In India, approximately, 7500 people have died due to malaria. The screening methods for malaria include the analysis of blood samples. This research aims the development a website that is capable of predicting malaria by analyzing the images of blood cells. For this purpose, images of blood cells are collected as a dataset from Kaggle. Both healthy and blood cells infected with malaria are included in this dataset. Next, the dataset's photos are selected for training, testing, and validation. The picked pictures are then scaled down to a specific size. With the help of the Convolutional Neural Network (CNN), a Deep Learning (DL) model is created. The preprocessed photos are then used to train this model. Model validation follows the training. The training and validation results are tallied and examined. Next, the model's accuracy and loss are evaluated. The highest accuracy of the model developed is 9% which was attained during the training. The model also produced the lowest loss value of 13% during the final epoch of the validation process. The model is then tested if the findings are satisfactory. The tested model is then deployed on a website. This website can be used as a pre-screening test for malaria in times when a person cannot reach out to the nearest doctor. This website can also be updated and converted as a software application in the future. © 2022 IEEE.</t>
  </si>
  <si>
    <t xml:space="preserve">International Conference on Edge Computing and Applications, ICECAA 2022 - Proceedings</t>
  </si>
  <si>
    <t xml:space="preserve">10.1109/ICECAA55415.2022.9936219</t>
  </si>
  <si>
    <t xml:space="preserve">https://www.scopus.com/inward/record.uri?eid=2-s2.0-85142689601&amp;doi=10.1109%2fICECAA55415.2022.9936219&amp;partnerID=40&amp;md5=3b12ebe431f3fe8cebc357a4672daf2b</t>
  </si>
  <si>
    <t xml:space="preserve">Department of Computer Science and Engineering, St. Joseph's College of Engineering, Tamil Nadu, Chennai, 600119, India; Department of Pharmaceutical Analysis, Balaji Institute of Pharmaceutical sciences, Telangana, Laknepally, 506331, India; Department of English, S.A. Engineering College, Tamil Nadu, Chennai, 600077, India; Department of Pharmaceutical Sciences and Technology, Birla Institute of Technology, Jharkhand, Mesra, 835215, India; Department of Computer Science, Banasthali Vidyapith, Rajasthan, Banasthali, 304022, India</t>
  </si>
  <si>
    <t xml:space="preserve">Maheswari B.U., Department of Computer Science and Engineering, St. Joseph's College of Engineering, Tamil Nadu, Chennai, 600119, India; Thimmaraju M.K., Department of Pharmaceutical Analysis, Balaji Institute of Pharmaceutical sciences, Telangana, Laknepally, 506331, India; Jeeva V., Department of English, S.A. Engineering College, Tamil Nadu, Chennai, 600077, India; Swain M.P., Department of Pharmaceutical Sciences and Technology, Birla Institute of Technology, Jharkhand, Mesra, 835215, India; Singh S.K., Department of Pharmaceutical Sciences and Technology, Birla Institute of Technology, Jharkhand, Mesra, 835215, India; Kumar A., Department of Computer Science, Banasthali Vidyapith, Rajasthan, Banasthali, 304022, India</t>
  </si>
  <si>
    <t xml:space="preserve">Accuracy; Data; Deep Learning; Disease; Mosquito; Website</t>
  </si>
  <si>
    <t xml:space="preserve">Application programs; Blood; Cells; Convolutional neural networks; Deep learning; Diagnosis; Statistical tests; Websites; Accuracy; Bacterial disease; Blood cells; Blood samples; Cell-be; Cell/B.E; Data; Deep learning; Mosquito; Screening methods; Diseases</t>
  </si>
  <si>
    <t xml:space="preserve">Huanget M., Et al., Joint-Channel-Connectivity-Based Feature Selection and Classification onf NIRSfor Stress Detectionin Decision-Making, IEEE Transactions on Neural Systems and Rehabilitation Engineering, 30, pp. 1858-1869, (2022); Campana M.G., Rovati A., Delmastro F., Pagani E., L3-Net Deep Audio Embeddings to Improve COVID-19 Detection from Smartphone Data, 2022 IEEE International Conference on Smart Computing (SMARTCOMP), pp. 100-107, (2022); Yang Y., Mei G., Piccialli F., A Deep Learning Approach Considering Image Background for Pneumonia Identification Using Explainable AI (XAI), IEEE/ACM Transactions on Computational Biology and Bioinformatics, (2022); Khoei T.T., Ahajjam M.A., Hu W.C., Kaabouch N., A Deep Learning Multi-Task Approach for the Detection of Alzheimer's Disease in a Longitudinal Study, 2022IEEE International Conference on Electro Information Technology (e IT), pp. 315-319, (2022); Gupta S., Agrawal M., Deepak D., Classification of Auscultation Sounds into Objective Spirometry Findings using MVMD and 3D CNN, 2022 National Conference on Communications (NCC), pp. 42-47, (2022); Lu X., Et al., Automatic RFI Identification for Sentinel-1 Based on Siamese-type Deep CNN Using Repeat-pass Images, IEEE Transactions on Geoscience and Remote Sensing, (2022); Wang Y., BPrice: An Optimal Price Recommendation Framework Based on Product Identification, 2022 IEEE 5th International Conference on Electronics Technology (ICET), pp. 1096-1101, (2022); Bias S.D., Reni S.K., Kale I., A novel fuzzy logic inspired edge det ect ion technique for analysis of malaria infect ed microscopic thin blood images, 2017 IEEE Life Sciences Conference (LSC), pp. 262-265, (2017); Nayak S., Kumar S., Jangid M., Malaria Detection Using Multiple Deep Learning Approaches, 20192nd International Conference on Intelligent Communication and Computational Techniques (ICCT), pp. 292-297, (2019); Chaudhury S., Et al., Wearables Detect Malaria Early in a Controlled Human-Infection Study, IEEE Transactions on Biomedical Engineering, 69, 6, pp. 2119-2129, (2022); Swastika W., Widodo R.B., Balqis G.A., Sitepu R., The Effect of Regularization on Deep Learning Methods For Detection of Malaria Infection, 2021 International Conference on Converging Technology in Electrical and Information Engineering(ICCTEIE), pp. 87-90, (2021); Kim W., Kim C., A novel image importance model for content-aware image resizing, 2011 18th IEEEInternational Conference on Image Processing, pp. 2469-2472, (2011); Kido S., Hirano Y., Hashimoto N., Detection and classification of lung abnormalities by use of convolutional neural network (CNN) and regions with CNN features (R-CNN), 2018 International Workshop on Advanced Image Technology (IWAIT), pp. 1-4, (2018); Kollias D., Zafeiriou S., Exploiting Multi-CNN Featuresin CNN-RNN Based Dimensional Emotion Recognition on the OMG in-the-Wild Dataset, IEEE Transactions on Affective Computing, 12, 3, pp. 595-606, (2021)</t>
  </si>
  <si>
    <t xml:space="preserve">2022 International Conference on Edge Computing and Applications, ICECAA 2022</t>
  </si>
  <si>
    <t xml:space="preserve">13 October 2022 through 15 October 2022</t>
  </si>
  <si>
    <t xml:space="preserve">Tamilnadu</t>
  </si>
  <si>
    <t xml:space="preserve">978-166548232-5</t>
  </si>
  <si>
    <t xml:space="preserve">Int. Conf. Edge Comput. Appl., ICECAA - Proc.</t>
  </si>
  <si>
    <t xml:space="preserve">2-s2.0-85142689601</t>
  </si>
  <si>
    <t xml:space="preserve">Anusha A.M.; Janager S.; Santi S.; Hegde S.; Naik P.</t>
  </si>
  <si>
    <t xml:space="preserve">Anusha, A.M. (58361472100); Janager, Shashank (58362724100); Santi, Sidagouda (58362724200); Hegde, Shama (58362101700); Naik, Pranita (58364627000)</t>
  </si>
  <si>
    <t xml:space="preserve">58361472100; 58362724100; 58362724200; 58362101700; 58364627000</t>
  </si>
  <si>
    <t xml:space="preserve">Diagnosis of Covid-19 Using X-Ray Images with the application of Deep Learning Techniques</t>
  </si>
  <si>
    <t xml:space="preserve">The World Health Organization (WHO) proclaimed the coronavirus disease (COVID-19) is infectious disease, which has spread globally, it was declared as a pandemic on March 11, 2020. Fever, cough, sore throat, headache, malaise, muscle aches and shortness of breath were among the signs and symptoms of COVID-19. This virus affects the respiratory system of a person and creates white patchy shadows in the lungs X-ray image. Vaccines were introduced in early June 2021 for the public, but there is an urgent need for quick and accurate tools to improve healthcare system efficiency. The standard method for detecting COVID-19 is the Reverse transcription-polymerase chain reaction (RT-PCR) test. Therefore, it is necessary to implement an automatic detection system as a quick alternative diagnosis option to prevent COVID-19 spreading among people. Early detection of COVID 19 infection can save many lives in the prevailing situation. Deep Learning has advanced recently and has been useful in the classification of images, including those used in medical imaging. Convolutional Neural Networks (CNNs) have shown promising results in the detection of a variety of ailments, such as Parkinson's disease, malaria, and coronary artery disease. In order to identify diseases from datasets, pre-trained CNNs are frequently used. By applying filters in parallel to the images, the CNN model's parallelization technique recovers the features from the X-ray images. Detection of Corona virus using X-ray images is very convenient method and detection cost is also less compared to standard methods like RT-PCR. Neural networks were used to fully automate the analysis of COVID-19 chest radiographs. This method successfully classifying images into three categories: COVID-19, pneumonia, and normal (health), also improved the proposed method, the pre-processing component of the MLbased system. This method helps for detect people infected with the coronavirus faster and more accurately without human intervention, allowing doctors to make faster decisions. © 2022 IEEE.</t>
  </si>
  <si>
    <t xml:space="preserve">2022 IEEE North Karnataka Subsection Flagship International Conference, NKCon 2022</t>
  </si>
  <si>
    <t xml:space="preserve">10.1109/NKCon56289.2022.10126660</t>
  </si>
  <si>
    <t xml:space="preserve">https://www.scopus.com/inward/record.uri?eid=2-s2.0-85163136400&amp;doi=10.1109%2fNKCon56289.2022.10126660&amp;partnerID=40&amp;md5=01a2d92b62e5978453278beb417c0729</t>
  </si>
  <si>
    <t xml:space="preserve">K.L.E. Institute of Technology, Hubli, India</t>
  </si>
  <si>
    <t xml:space="preserve">Anusha A.M., K.L.E. Institute of Technology, Hubli, India; Janager S., K.L.E. Institute of Technology, Hubli, India; Santi S., K.L.E. Institute of Technology, Hubli, India; Hegde S., K.L.E. Institute of Technology, Hubli, India; Naik P., K.L.E. Institute of Technology, Hubli, India</t>
  </si>
  <si>
    <t xml:space="preserve">Chest Radiography; CNN; Convolution Neural Network; Covid-19; Deep Learning; machine Learning; X-Ray image</t>
  </si>
  <si>
    <t xml:space="preserve">Convolution; Convolutional neural networks; Coronavirus; Deep learning; Diagnosis; Image classification; Image enhancement; Learning systems; Medical imaging; Polymerase chain reaction; Chest radiography; Convolution neural network; Convolutional neural network; Coronaviruses; Covid-19; Deep learning; Learning techniques; Machine-learning; Reverse transcription-polymerase chain reaction; X-ray image; COVID-19</t>
  </si>
  <si>
    <t xml:space="preserve">Sharif H., Nasiri H., COV-ADSX: An automated detection system using X-ray images, deep learning, and XGBoost for COVID-1145(1), 19, (2021); KhandakerFoysal H., Abdelgawad A., A deep learning approach to detect COVID-19 patients from chest X-ray images, College of Science and Engineering, (2020); Sohaib A., Classification of COVID-19 from chest X-ray images using deep convolutional neural network, IEEE 6th international conference on computer and communications (ICCC). IEEE, (2020); Villavicencio C.N., Development of a Machine Learning Based Web Application for Early Diagnosis of COVID19 Based on Symptoms, (2022); Kishore M., Jamil M., Hussain M.I., Automatic detection of COVID-19 infection from chest X-ray using deep learning, (2020); Ali N., Kaya C., Pamuk Z., Automatic detection of coronavirus disease (covid-19) using x-ray images and deep convolutional neural networks, (2021); Rawal T., Devadas V., Intelligent Transportation System in India-A Review, Journal of Development Management and Communication, 11, 3, pp. 299-308, (2015); Indhiradevi P., Saravanakumar P., Varsha R., Shahithya S., Prabhu S.N., A Review on Smart Traffic Management System, IOP Conference Series Materials Science and Engineering, 1145, 1, (2021); Upulie H., Lakshini K., Real-Time Object Detection using YOLO: A review, (2021); Zaatouri K., Ezzedine T., A Self-Adaptive Traffic Light Control System Based on YOLO, International Conference on Internet of Things, Embedded Systems and Communications (IINTEC), pp. 16-19, (2018); Ministry of Road Transport &amp; Highways, (2019); Lee W.-H., Chiu C.-Y., Design and Implementation of a Smart Traffic Signal Control System for Smart City Applications, Sensors, 20, 2, (2020); Gohar M., Muzammal M., Rahman A.U., SMART TSS: Defining transportation system behavior using big data analytics in smart cities, Sustainable Cities and Society, 41, (2018); Al-Smadi M., Abdulrahim K., Salam R.A., Traffic surveillance: A review of vision-based vehicle detection, recognition, and tracking, International Journal of Applied Engineering Research, 11, 1, pp. 713-726, (2016); Radhakrishnan M., Video object extraction by using background subtraction techniques for sports applications, Digital Image Processing, 5, 9, pp. 91-97, (2016); Qiu-Lin L.I., Jia-Feng H.E., Vehicles detection based on the three-frame-difference method and cross-entropy threshold method, Computer Engineering, 37, 4, pp. 172-174, (2018); Liu Y., Yao L., Shi Q., Ding J., Optical flow-based urban road vehicle tracking, 19th IEEE International Conference on Computational Intelligence and Security, (2013); Lokanath M., Kumar K.S., Keerthi E.S., Accurate object classification and detection by faster-RCNN, IOP Conference Series Materials Science and Engineering, 263, 5, (2017); Zhao Z.Q., Zheng P., Xu S.T., Wu X., Object detection with deep learning: A review, IEEE Transactions on Neural Networks and Learning Systems, 30, 11, pp. 3212-3232, (2018); Liu W., Anguelov D., Erhan D., Szegedy C., Reed S., Fu C.Y., Berg A.C., SSD: Single shot multibox detector, European conference on computer vision, ECCV, pp. 21-37, (2016); Hu X., Xu X., Xiao Y., Hao C., He S., Jing Q., Heng P.A., Sinet: A scale-insensitive convolutional neural network for fast vehicle detection, IEEE Transactions on Intelligent Transportation Systems, 99, pp. 1-10, (2018); Girshick R., Fast R-CNN, IEEE International Conference on Computer Vision (ICCV), pp. 1440-1448, (2015); Alexey B., Chien-Yao W., Hong-Yuan L., YOLOv4: Optimal Speed and Accuracy of Object Detection, (2020); Karnawat A., A Survey on Easy OCR Techniques used to build System for Visually Impaired People, 6, pp. 1425-1429, (2018)</t>
  </si>
  <si>
    <t xml:space="preserve">20 November 2022 through 21 November 2022</t>
  </si>
  <si>
    <t xml:space="preserve">Vijaypur</t>
  </si>
  <si>
    <t xml:space="preserve">978-166545342-4</t>
  </si>
  <si>
    <t xml:space="preserve">IEEE North Karnataka Subsect. Flagship Int. Conf., NKCon</t>
  </si>
  <si>
    <t xml:space="preserve">2-s2.0-85163136400</t>
  </si>
  <si>
    <t xml:space="preserve">Shastry K.A.; Senthil K.; Sriranjan S.; Ghosh A.; Sameer M.</t>
  </si>
  <si>
    <t xml:space="preserve">Shastry, K Aditya (56426201100); Senthil, Karthik (56926388700); Sriranjan, S. (58038855300); Ghosh, Akhil (58038770200); Sameer, Mohamed (59430589000)</t>
  </si>
  <si>
    <t xml:space="preserve">56426201100; 56926388700; 58038855300; 58038770200; 59430589000</t>
  </si>
  <si>
    <t xml:space="preserve">Diagnosis of Malaria using Machine Learning Models</t>
  </si>
  <si>
    <t xml:space="preserve">Malaria is a disease caused by the protozoan parasite plasmodium vivax, and spreads through the bites of infected mosquitoes. It causes close to 19,000 deaths annually in India alone, a testament to the truly devastating impact this disease can have if not treated properly. We recognize that an early diagnosis is paramount with regards to the treatment of any disease, especially one as potentially deadly as malaria. This work aims to facilitate the diagnosis of malaria by utilizing Machine Learning models to classify patients as infected or otherwise. The data we use to train our models consists of cell image data, more specifically, images of blood cells collected from patients. Using our predictive models, we attempt to accurately classify blood cells on the grounds of whether they are parasitized or uninfected. We also compare the performance metrics of the models we employ and seek to find the one that performs optimally and provides the most accurate predictions in the process. Since the data is not skewed, Classification Accuracy is a suitable metric for measurement of the performance of various models and will be used in our implementation. © 2022 IEEE.</t>
  </si>
  <si>
    <t xml:space="preserve">MysuruCon 2022 - 2022 IEEE 2nd Mysore Sub Section International Conference</t>
  </si>
  <si>
    <t xml:space="preserve">10.1109/MysuruCon55714.2022.9972568</t>
  </si>
  <si>
    <t xml:space="preserve">https://www.scopus.com/inward/record.uri?eid=2-s2.0-85145359557&amp;doi=10.1109%2fMysuruCon55714.2022.9972568&amp;partnerID=40&amp;md5=2b95813fb43611f89adac2b013a841c6</t>
  </si>
  <si>
    <t xml:space="preserve">Nitte Meenakshi Institute of Technology, Information Science &amp; Engineering, Bangalore, India</t>
  </si>
  <si>
    <t xml:space="preserve">Shastry K.A., Nitte Meenakshi Institute of Technology, Information Science &amp; Engineering, Bangalore, India; Senthil K., Nitte Meenakshi Institute of Technology, Information Science &amp; Engineering, Bangalore, India; Sriranjan S., Nitte Meenakshi Institute of Technology, Information Science &amp; Engineering, Bangalore, India; Ghosh A., Nitte Meenakshi Institute of Technology, Information Science &amp; Engineering, Bangalore, India; Sameer M., Nitte Meenakshi Institute of Technology, Information Science &amp; Engineering, Bangalore, India</t>
  </si>
  <si>
    <t xml:space="preserve">Classification; Machine Learning; Malaria</t>
  </si>
  <si>
    <t xml:space="preserve">Blood; Cells; Computer aided diagnosis; Machine learning; Blood cells; Cell images; Early diagnosis; Image data; Machine learning models; Machine-learning; Malaria; Plasmodium vivax; Predictive models; Protozoan parasites; Diseases</t>
  </si>
  <si>
    <t xml:space="preserve">Iradukunda O., Che H., Uwineza J., Bayingana J.Y., Bin-Imam M.S., Niyonzima I., Malaria disease prediction based on machine learning, 2019 IEEE International Conference on Signal, Information and Data Processing (ICSIDP), pp. 1-7, (2019); Shamout F., Zhu T., Clifton D.A., Machine learning for clinical outcome prediction, IEEE Reviews in Biomedical Engineering, 14, pp. 116-126, (2021); Ashfaq A., Predicting Clinical Outcomes Via Machine Learning on Electronic Health Records (Licentiate Dissertation), (2019); Kelly C.J., Karthikesalingam A., Suleyman M., Et al., Key challenges for delivering clinical impact with artificial intelligence, BMC Med, 17, (2019); Alzubaidi L., Zhang J., Humaidi A.J., Al-Dujaili A., Duan Y., Al-Shamma O., Santamaria J., Fadhel M.A., Al-Amidie M., Farhan L., Review of deep learning: Concepts, cnn architectures, challenges, applications, future directions, Journal of Big Data, 8, 1, pp. 1-74, (2021); Antonio Garrido-Cardenas J., Cebrian-Carmona J., Gonzalez-Ceron L., Manzano-Agugliaro F., Mesa-Valle C., Analysis of global research on malaria and plasmodium vivax, International Journal of Environmental Research and Public Health, 16, 11, (2019); Pavithra S.S., Chitrakala S., Bhatt C.M., Spectral clustering of events in social media flood images based on multimodal analysis, 2021 7th International Conference on Electrical Energy Systems (ICEES), pp. 648-653, (2021); Kumar Sharma A., Nandal A., Dhaka A., Koundal D., Capeska Bogatinoska D., Alyami H., Enhanced watershed segmentation algorithm-based modified resnet50 model for brain tumor detection, BioMed Research International, (2022); Shorten C., Khoshgoftaar T.M., A survey on image data augmentation for deep learning, Journal of Big Data, 6, 1, pp. 1-48, (2019); Maduri P.K., Shalu, Agrawal S., Rai A., Chaubey S., Malaria detection using image processing and machine learning, 2021 3rd International Conference on Advances in Computing, Communication Control and Networking (ICAC3N), pp. 1789-1792, (2021); Mitrovic K., Milosevic D., Classification of malaria-infected cells using convolutional neural networks, 2021 IEEE 15th International Symposium on Applied Computational Intelligence and Informatics (SACI), pp. 323-328, (2021)</t>
  </si>
  <si>
    <t xml:space="preserve">2nd IEEE Mysore Sub Section International Conference, MysuruCon 2022</t>
  </si>
  <si>
    <t xml:space="preserve">16 October 2022 through 17 October 2022</t>
  </si>
  <si>
    <t xml:space="preserve">Mysuru</t>
  </si>
  <si>
    <t xml:space="preserve">978-166549790-9</t>
  </si>
  <si>
    <t xml:space="preserve">MysuruCon - IEEE Mysore Sub Sect. Int. Conf.</t>
  </si>
  <si>
    <t xml:space="preserve">2-s2.0-85145359557</t>
  </si>
  <si>
    <t xml:space="preserve">Sivakumar R.; Ghosh A.; Mohanty N.; Mishra K.</t>
  </si>
  <si>
    <t xml:space="preserve">Sivakumar, R. (57193242564); Ghosh, Auhona (57704845800); Mohanty, Nikita (57478035000); Mishra, Kartikey (57562348100)</t>
  </si>
  <si>
    <t xml:space="preserve">57193242564; 57704845800; 57478035000; 57562348100</t>
  </si>
  <si>
    <t xml:space="preserve">Electroencephalography and Blood Cells Analysis for Cerebral Malaria Detection using Deep Learning and Neural Networks</t>
  </si>
  <si>
    <t xml:space="preserve">Cerebral malaria is a clinical syndrome that is marked by the asexual parasitic form - 'plasmodium falciparum'. Early diagnosis can help in avoiding fatal and long-lasting neurological outcomes such as severe psychosis, metabolic acidosis, and hypoglycemia. Therefore, the developed model aims to detect the same for narrowed down symptoms associated with the same. The design is divided into the following functions - the recognition of potential seizures in the patient and the identification of parasitic blood cells. In the first half, the deep-learning algorithm consists of a Neural Network Sequential model to grasp the exclusive electroencephalogram (EEG) features of epileptic seizures and also reveal the correlation between data samples that are successive to each other. The latter work focuses on inspecting the decompressed blood cells images that are fed into a deep convolutional neural network to distinguish parasitized cells from healthy cells. With this, the transfer of medical findings is also made effortless since compression of images is done without loss of valuable information. © The Electrochemical Society</t>
  </si>
  <si>
    <t xml:space="preserve">ECS Transactions</t>
  </si>
  <si>
    <t xml:space="preserve">10.1149/10701.12325ecst</t>
  </si>
  <si>
    <t xml:space="preserve">https://www.scopus.com/inward/record.uri?eid=2-s2.0-85130558581&amp;doi=10.1149%2f10701.12325ecst&amp;partnerID=40&amp;md5=df9ba705065239c8830e302881a6f2b3</t>
  </si>
  <si>
    <t xml:space="preserve">School of Electronics Engineering, Vellore Institute of Technology, Tamil Nadu, Vellore, India</t>
  </si>
  <si>
    <t xml:space="preserve">Sivakumar R., School of Electronics Engineering, Vellore Institute of Technology, Tamil Nadu, Vellore, India; Ghosh A., School of Electronics Engineering, Vellore Institute of Technology, Tamil Nadu, Vellore, India; Mohanty N., School of Electronics Engineering, Vellore Institute of Technology, Tamil Nadu, Vellore, India; Mishra K., School of Electronics Engineering, Vellore Institute of Technology, Tamil Nadu, Vellore, India</t>
  </si>
  <si>
    <t xml:space="preserve">Blood; Cells; Cytology; Deep neural networks; Diseases; Electrophysiology; Learning algorithms; Medical imaging; Blood cells; Cell analysis; Clinical syndromes; Early diagnosis; Learning network; Long lasting; Metabolic acidosis; Neural-networks; Parasitics; Plasmodium falciparum; Electroencephalography</t>
  </si>
  <si>
    <t xml:space="preserve">Valentim M., Cerebral malaria, J Neurol Stroke, 8, 4, pp. 216-221, (2018); Laurent R., Shanshan W.H., Carla C., Anne C.G., Rossarin S., Teck H.T., Bruce R., Lisa N., Virulence, 3, 2, pp. 193-201, (2012); Birjandtalab J., Heydarzadeh M., Nourani M., Automated EEG-Based Epileptic Seizure Detection Using Deep Neural Networks, IEEE International Conference on Healthcare Informatics Proceedings, pp. 552-555, (2017); Yunyuan G., Bo G., Qiang C., Jia L., Yingchun Z., Deep Convolutional Neural Network-Based Epileptic Electroencephalogram (EEG) Signal Classification, Frontiers in Neurology, 11, (2020); Dong Y., Jiang Z., Shen H., Pan W. D., Classification accuracies of malaria infected cells using deep convolutional neural networks based on decompressed images, SoutheastCon 2017 Proceedings, pp. 1-6, (2017); Maqsood A., Farid M.S., Khan M.H., Grzegorzek M., Deep Malaria Parasite Detection in Thin Blood Smear Microscopic Images, Appl. Sci, 11, (2021); Abdurahman F., Fante K.A., Aliy M., Malaria parasite detection in thick blood smear microscopic images using modified YOLOV3 and YOLOV4 models, BMC Bioinformatics, 22, (2021); de la Serna E., Arias-Alpizar K., Neves Borgheti-Cardoso L., Sanchez-Cano A., Sulleiro E., Zarzuela F., Bosch-Nicolau P., Salvador F., Molina I., Ramirez M., Fernandez-Busquets X., Sanchez-Montalva A., Baldrich E., Detection of Plasmodium falciparum malaria in 1 h using a simplified enzyme-linked immunosorbent assay, Analytica Chimica Acta, 1152, (2021); Khatkar M., Atal D. K., Singh S., Identification of Malaria Parasite Using Soft Computing Techniques, Asian Conference on Innovation in Technology (ASIANCON) proceedings, pp. 1-7, (2021); Muhammad B., Varol A., A Symptom-Based Machine Learning Model for Malaria Diagnosis in Nigeria, 2021 9th International Symposium on Digital Forensics and Security (ISDFS), pp. 1-6, (2021); Alexander A., Tesfaye Z., Rima I., Jiaxiang G., Dana H., Jessica M., Douglas G.P., Using EEG in Resource-Limited Areas: Comparing Qualitative and Quantitative Interpretation Methods in Cerebral Malaria, Pediatric Neurology, 126, 2022, pp. 96-103, (2021); Ruban S., Naresh A., Rai S., A Noninvasive Model to Detect Malaria Based on Symptoms Using Machine Learning, Advances in Parallel Computing Technologies and Applications, pp. 23-30, (2021)</t>
  </si>
  <si>
    <t xml:space="preserve">R. Sivakumar; School of Electronics Engineering, Vellore Institute of Technology, Vellore, Tamil Nadu, India; email: rsivakumar@vit.ac.in</t>
  </si>
  <si>
    <t xml:space="preserve">1st International Conference on Technologies for Smart Green Connected Society 2021, ICTSGS 2021</t>
  </si>
  <si>
    <t xml:space="preserve">29 November 2021 through 30 November 2021</t>
  </si>
  <si>
    <t xml:space="preserve">978-160768539-5</t>
  </si>
  <si>
    <t xml:space="preserve">2-s2.0-85130558581</t>
  </si>
  <si>
    <t xml:space="preserve">Shinde S.; Yadav S.; Somvanshi A.</t>
  </si>
  <si>
    <t xml:space="preserve">Shinde, Soham (57454840100); Yadav, Seema (57198732726); Somvanshi, Ashelesha (58123573100)</t>
  </si>
  <si>
    <t xml:space="preserve">57454840100; 57198732726; 58123573100</t>
  </si>
  <si>
    <t xml:space="preserve">Epidemic Outbreak Prediction Using Machine Learning Model</t>
  </si>
  <si>
    <t xml:space="preserve">The intelligent models is used for prediction of diseases as well as creation of model that helps doctor to prevent spreading of disease globally is increased day by day. When a disease spreads rapidly in a short period of time in a specific area, it is called an epidemic outbreak. An outbreak might start in a single community or spread across multiple countries. It might last anywhere from a few days to several years. PHO (Public health organizations) are taking preventative efforts to stop the disease from spreading besides that they are highly benefited from accurate prediction of infectious disease. The emergence of big data in the sectors of health and biomedicine, precise data analysis aids early disease identification and better patient treatment. It is now increasingly viable to use massive computing power to predict and manage outbreaks. Our goal is to investigate and determine how outbreaks spread in villages and suburbs where medical care may be limited. A machine learning model is required to forecast epidemic dynamics and identify where the next outbreak is most likely to occur. Because these are important features that contribute subtly to the dynamics of the disease epidemic, our method considers the climate, geography, and distribution of population in impacted region. Our approach will assist health authorities in taking the necessary steps to guarantee that there are sufficient resources to fulfil demand and, if feasible, to prevent epidemics from arising.  © 2022 IEEE.</t>
  </si>
  <si>
    <t xml:space="preserve">5th IEEE International Conference on Advances in Science and Technology, ICAST 2022</t>
  </si>
  <si>
    <t xml:space="preserve">10.1109/ICAST55766.2022.10039594</t>
  </si>
  <si>
    <t xml:space="preserve">https://www.scopus.com/inward/record.uri?eid=2-s2.0-85149184900&amp;doi=10.1109%2fICAST55766.2022.10039594&amp;partnerID=40&amp;md5=475290f285e62f140eedaf8ded0cf635</t>
  </si>
  <si>
    <t xml:space="preserve">K.J Somaiya Institute of Engineering and Information Technology, Information Technology, Mumbai, India</t>
  </si>
  <si>
    <t xml:space="preserve">Shinde S., K.J Somaiya Institute of Engineering and Information Technology, Information Technology, Mumbai, India; Yadav S., K.J Somaiya Institute of Engineering and Information Technology, Information Technology, Mumbai, India; Somvanshi A., K.J Somaiya Institute of Engineering and Information Technology, Information Technology, Mumbai, India</t>
  </si>
  <si>
    <t xml:space="preserve">Cases; Classification; Epidemic; Outbreak; Population Density; Prediction; Regression; Weather; Zika Virus</t>
  </si>
  <si>
    <t xml:space="preserve">Diseases; Epidemiology; Machine learning; Patient treatment; Population statistics; Weather forecasting; Case; Disease spread; Epidemic; Intelligent models; Machine learning models; Outbreak; Population densities; Regression; Weather; Zika virus; Viruses</t>
  </si>
  <si>
    <t xml:space="preserve">Remuzzi A., Remuzzi G., COVID-19 and Italy: what next, Lancet, 395, pp. 1225-1228, (2020); Darwish A., Rahhal Y., Jafar A., A comparative study on predicting influenza outbreaks using different feature spaces: Application of influenza-like illness data from Early Warning Alert and Response System in Syria, BMC Res. Notes, 13, (2020); Scarpino S.V., Petri G., On the predictability of infectious disease outbreaks, Nat Communication, 10, (2019); Pan J.-R., Huang Z.-Q., Chen K., Evaluation of the effect of varicella outbreak control measures through a discrete time delay SEIR model, Zhonghua Yu Fang Yi Xue Za Zhi, 46, pp. 343-347, (2012); Dantas E., Tosin M., Cunha A., Calibration of a SEIR-SEI epidemic model to describe the Zika virus outbreak in Brazil, Applied. Math. Computation., 338, pp. 249-259, (2018); Yin R., Tran V.H., Zhou X., Zheng J., Kwoh C.K., Predicting antigenic variants of H1N1 influenza virus based on epidemics and pandemics using a stacking model, PLoS ONE, (2018); Das Adhikari N., Alka A., Kushwaha J., Nayak A., Sentiment Classifier and Analysis for Epidemic Prediction; Buja A., Cook D., Swayne D.F., Interactive High-Dimensional Data Visualization, Journal of Computational and Graphical Statistics, 5, 1, pp. 78-99, (1996); Taylor J., A Comparison of UnivariateTime Series Methods for Forecasting Intraday Arrivals at a Call Center, ManagementScience, 54, pp. 253-265, (2008); Chenar S.S., Deng Z., Development of genetic programming-based models for predicting oyster norovirus outbreak risks, Water Res., 128, pp. 20-37, (2018); Liang R., Lu Y., Qu X., Su Q., Li C., Xia S., Liu Y., Zhang Q., Cao X., Chen Q., Et al., Prediction for global African swine fever outbreaks based on a combination of random forest algorithms and meteorological data, Transbound. Emerg. Dis., 67, pp. 935-946, (2020); Raja D.B., Mallol R., Ting C.Y., Kamaludin F., Ahmad R., Ismail S., Jayaraj V.J., Sundram B.M., Artificial Intelligence Model as Predictor for Dengue Outbreaks, Malays. J. Public Health Med., 19, pp. 103-108, (2019)</t>
  </si>
  <si>
    <t xml:space="preserve">IEEE Bombay Section</t>
  </si>
  <si>
    <t xml:space="preserve">2 December 2022 through 3 December 2022</t>
  </si>
  <si>
    <t xml:space="preserve">978-166549263-8</t>
  </si>
  <si>
    <t xml:space="preserve">2-s2.0-85149184900</t>
  </si>
  <si>
    <t xml:space="preserve">Adetiba E.; Akanle M.; Akande V.; Badejo J.; Nzanzu V.P.; Molo M.J.; Oguntosin V.; Oshin O.; Adebiyi E.</t>
  </si>
  <si>
    <t xml:space="preserve">Adetiba, Emmanuel (36175331700); Akanle, Matthew (57201732780); Akande, Victor (57208753042); Badejo, Joke (56369236800); Nzanzu, Vingi Patrick (57289478800); Molo, Mbasa Joaquim (57289478700); Oguntosin, Victoria (56940911000); Oshin, Oluwadamilola (56293885700); Adebiyi, Ezekiel (6508389794)</t>
  </si>
  <si>
    <t xml:space="preserve">36175331700; 57201732780; 57208753042; 56369236800; 57289478800; 57289478700; 56940911000; 56293885700; 6508389794</t>
  </si>
  <si>
    <t xml:space="preserve">FEDGEN Testbed: A Federated Genomics Private Cloud Infrastructure for Precision Medicine and Artificial Intelligence Research</t>
  </si>
  <si>
    <t xml:space="preserve">The cloud computing space is enjoying a renaissance. Not long ago, cloud computing was confined to the wall of high-revenue companies, but in recent times a growing number of businesses, public and private institutions are turning to the cloud computing platform to reap the benefits of a self-service, scalable, and flexible infrastructure. Moreover, with the increased implementation, advantages, and popularity of artificial intelligence, the demand for computing environments to solve age-old problems such as malaria and cancer is on the rise. This paper presents the implementation of a cloud computing infrastructure, the FEDerated GENomics (FEDGEN) Testbed, to provide an adequate IT environment for cancer and malaria researchers. The cloud computing environment is built using Openstack middleware. OpenStack is deployed using Metal-As-A-Service (MAAS) and Juju. Virtual Machines (Instances) were deployed, and services (JupiterHub) were installed on the FEDGEN testbed. The built infrastructure would allow the running of models requiring high computing power and would allow for collaboration among teams. © 2022, Springer Nature Switzerland AG.</t>
  </si>
  <si>
    <t xml:space="preserve">1547 CCIS</t>
  </si>
  <si>
    <t xml:space="preserve">10.1007/978-3-030-95630-1_6</t>
  </si>
  <si>
    <t xml:space="preserve">https://www.scopus.com/inward/record.uri?eid=2-s2.0-85124645375&amp;doi=10.1007%2f978-3-030-95630-1_6&amp;partnerID=40&amp;md5=9172b76f7c2aad875d3c112ff5eef4b7</t>
  </si>
  <si>
    <t xml:space="preserve">Department of Electrical and Information Engineering, Covenant University, Ogun-State, Ota, Nigeria; HRA, Institute for Systems Science, Durban University of Technology, P.O. Box 1334, Durban, South Africa; Covenant Applied Informatics and Communication African Center of Excellence, Covenant University, Ogun State, Ota, Nigeria; Covenant University Bioinformatics Research (CUBRe), Covenant University, Ogun State, Ota, Nigeria; Applied Bioinformatics Division, German Cancer Research Center (DKFZ), Heidelberg, 69120, Germany</t>
  </si>
  <si>
    <t xml:space="preserve">Adetiba E., Department of Electrical and Information Engineering, Covenant University, Ogun-State, Ota, Nigeria, HRA, Institute for Systems Science, Durban University of Technology, P.O. Box 1334, Durban, South Africa, Covenant Applied Informatics and Communication African Center of Excellence, Covenant University, Ogun State, Ota, Nigeria; Akanle M., Covenant Applied Informatics and Communication African Center of Excellence, Covenant University, Ogun State, Ota, Nigeria, Covenant University Bioinformatics Research (CUBRe), Covenant University, Ogun State, Ota, Nigeria; Akande V., Covenant Applied Informatics and Communication African Center of Excellence, Covenant University, Ogun State, Ota, Nigeria; Badejo J., Department of Electrical and Information Engineering, Covenant University, Ogun-State, Ota, Nigeria, Covenant Applied Informatics and Communication African Center of Excellence, Covenant University, Ogun State, Ota, Nigeria; Nzanzu V.P., Department of Electrical and Information Engineering, Covenant University, Ogun-State, Ota, Nigeria, Covenant Applied Informatics and Communication African Center of Excellence, Covenant University, Ogun State, Ota, Nigeria; Molo M.J., Department of Electrical and Information Engineering, Covenant University, Ogun-State, Ota, Nigeria, Covenant Applied Informatics and Communication African Center of Excellence, Covenant University, Ogun State, Ota, Nigeria; Oguntosin V., Department of Electrical and Information Engineering, Covenant University, Ogun-State, Ota, Nigeria; Oshin O., Department of Electrical and Information Engineering, Covenant University, Ogun-State, Ota, Nigeria; Adebiyi E., Covenant Applied Informatics and Communication African Center of Excellence, Covenant University, Ogun State, Ota, Nigeria, Applied Bioinformatics Division, German Cancer Research Center (DKFZ), Heidelberg, 69120, Germany</t>
  </si>
  <si>
    <t xml:space="preserve">Cloud computing; Federated cloud; Juju; MAAS; Openstack</t>
  </si>
  <si>
    <t xml:space="preserve">Artificial intelligence; Diseases; Middleware; Testbeds; Artificial intelligence research; Cloud infrastructures; Cloud-computing; Federated clouds; Genomics; Juju; Metal-as-A-service; Private clouds; Private institutions; Public institution; Platform as a Service (PaaS)</t>
  </si>
  <si>
    <t xml:space="preserve">Covenant Applied Informatics and Communication Africa Centre of Excellence; National University Commission; World Bank Group, WBG; Covenant University; Covenant University Centre for Research, Innovation and Discovery, CUCRID</t>
  </si>
  <si>
    <t xml:space="preserve">Funding text 1: The authors acknowledge the Covenant Applied Informatics and Communication Africa Centre of Excellence (CApIC-ACE) domiciled at Covenant University for funding this work with the ACE Impact grant from World Bank through the National University Commission, Nigeria. The Covenant University Center for Research, Innovation and Discovery (CUCRID), Covenant University is also acknowledged for providing fund towards the publication of this study.; Funding text 2: Acknowledgements. The authors acknowledge the Covenant Applied Informatics and Communication Africa Centre of Excellence (CApIC-ACE) domiciled at Covenant University for funding this work with the ACE Impact grant from World Bank through the National University Commission, Nigeria. The Covenant University Center for Research, Innovation and Discovery (CUCRID), Covenant University is also acknowledged for providing fund towards the publication of this study.</t>
  </si>
  <si>
    <t xml:space="preserve">Bello S.A., Et al., Cloud computing in construction industry: Use cases, benefits and challenges, Autom. Constr., 122, (2021); Hua G.-J., Tang C.Y., Hung C.-L., Lin Y.-L., Cloud computing service framework for bioinformatics tools, 2015 IEEE International Conference on Bioinformatics and Biomedicine (BIBM), pp. 1509-1513, (2015); Boehmer U., Twenty years of public health research: Inclusion of lesbian, gay, bisexual, and transgender populations, Am. J. Public Health, 92, 7, (2002); Devita V.T.J., Rosenberg S.A., Two hundred years of cancer research, New Engl. J. Med., 366, 23, pp. 2207-2214, (2012); Ajayi O.O., Bagula A.B., Ma K., Fourth industrial revolution for development: The relevance of cloud federation in healthcare support, IEEE Access, 7, pp. 185322-185337, (2019); Ismaeel S., Miri A., Chourishi D., Reza Dibaj S.M., Open source cloud management platforms: A review, 2015 IEEE 2Nd International Conference on Cyber Security and Cloud Computing, pp. 470-475, (2015); Chadwick D.W., Siu K., Lee C., Fouillat Y., Germonville D., Adding federated identity management to openstack, J. Grid Comput., 12, 1, pp. 3-27, (2013); Salomoni D., Et al., INDIGO-DataCloud: A platform to facilitate seamless access to E-infrastructures, J. Grid Comput., 16, 3, pp. 381-408, (2018); Kranzlmuller D., de Lucas J.M., Oster P., The European grid initiative (EGI, Remote Instrumentation and Virtual Laboratories, pp. 61-66, (2010); de Almeida A.V., Borges M.M., Roque L., The European open science cloud: A new challenge for Europe, International Conference Proceedings Series, Vol. Part F132203, (2017); Jones B., Casu F., Helix Nebula-The Science Cloud: A Public-Private Partnership to Build A Multidisciplinary Cloud Platform for Data Intensive Science. EGUGA, pp. EGU2013-EGU1510, (2013); Monna S., Et al., INDIGO-DATA CLOUD EC Project: A Study Case Applied to One of the EMSO Research Infrastructure Deep Sea Observatories, (2016); EGI: EGI: Advanced Computing for Research, (2020); Schulz J.C., Überlegungen zur Steuerung einer föderativen Infrastruktur am Beispiel von bwCloud, Kooperation Von Rechenzentren, pp. 221-242, (2016); Attardi G., Barchiesi A., Colla A., Galeazzi F., Marzulli G., Reale M., Declarative Modeling for Building a Cloud Federation and Cloud Applications, pp. 1-23, (2017); Musavi P., Adams B., Khomh F., Experience report: An empirical study of API failures in OpenStack cloud environments, Proceedings of the International Symposium on Software Reliability Engineering, ISSRE, pp. 424-434, (2016); Rosado T., Bernardino J., An overview of Openstack architecture, ACM International Conference on Proceeding Series, pp. 366-367, (2014); Inukonda M.S., Mittal S., Kottapalli S.H., A Solution Architecture of Bare-Metal as a Service Cloud Using Open-Source Tools, (2019); Libri A., Bartolini A., Benini L., DiG: Enabling out-of-band scalable high-resolution monitoring for data-center analytics, automation and control (extended), Clust. Comput., 24, 4, pp. 2723-2734, (2021); Tesfamicael A.D., Liu V., Caelli W., Design and implementation of unified communications as a service based on the open stack cloud environment, Proceedings-2015 IEEE International Conference on Computational Intelligence and Communication Technology, CICT 2015, Pp. 117–122, (2015); Paladi N., Gehrmann C., Aslam M., Morenius F., Trusted launch of virtual machine instances in public IaaS environments, ICISC 2012. LNCS, Vol. 7839, pp. 309-323, (2013); Basin D., Schaller P., Schlapfer M., Logging and log analysis, Appl. Inf. Secur., pp. 69-80, (2011); Fernandez R.A.L., Hagenrud H., Korhonen T., Laface E., Jupyterhub at the ESS. an Interactive Python Computing Environment for Scientists and Engineers, (2016); Madhav N., Joseph M.K., Cloud-based virtual computing labs for HEIs, 2016 IEEE International Conference on Emerging Technologies and Innovative Business Practices for the Transformation of Societies, Emergitech 2016, Pp. 373–377, (2016)</t>
  </si>
  <si>
    <t xml:space="preserve">E. Adetiba; Department of Electrical and Information Engineering, Covenant University, Ota, Ogun-State, Nigeria; email: emmanuel.adetiba@covenantuniversity.edu.ng</t>
  </si>
  <si>
    <t xml:space="preserve">Misra S.; Oluranti J.; Damaševičius R.; Maskeliunas R.</t>
  </si>
  <si>
    <t xml:space="preserve">1st International Conference on Informatics and Intelligent Applications, ICIIA 2021</t>
  </si>
  <si>
    <t xml:space="preserve">25 November 2021 through 27 November 2021</t>
  </si>
  <si>
    <t xml:space="preserve">978-303095629-5</t>
  </si>
  <si>
    <t xml:space="preserve">2-s2.0-85124645375</t>
  </si>
  <si>
    <t xml:space="preserve">Ingle D.R.; Waghmare S.R.; Patil V.; Chavan S.</t>
  </si>
  <si>
    <t xml:space="preserve">Ingle, D.R. (55446424300); Waghmare, Samirkumar R. (58198169200); Patil, Vijaykumar (57218551260); Chavan, Sandip (58198109800)</t>
  </si>
  <si>
    <t xml:space="preserve">55446424300; 58198169200; 57218551260; 58198109800</t>
  </si>
  <si>
    <t xml:space="preserve">Identification of Vector Borne Disease Spread Using Big Data Analysis</t>
  </si>
  <si>
    <t xml:space="preserve">Diseases transmitted by vectors are becoming an increasingly serious problem in India. The prevention and control of these vector-borne diseases continues to be a struggle for the government, even though they have developed into a burden for society. Every year, a sizeable proportion of the population in India is struck down with this illness. The primary objective of this research is to create a prediction model for vector-borne diseases by making use of several machine learning methodologies. Research into diseases transmitted by vectors encompasses a wide variety of illnesses and is therefore an expansive field. Dengue fever, on the other hand, is the only condition that will be examined in detail within the scope of this study because it has been one of the most common in recent times. The purpose of this research is to offer a prediction model that is capable of diagnosing dengue fever in its early stages from an Indian point of view and also classifying the phases of dengue fever cases that have been clinically proven. The model that has been proposed contains a total of five modules, which are referred to as Data Transformation, Data Pre-processing, Feature scaling &amp; Normalization, Split dataset, and Model Building and Prediction module respectively. The process of transforming the data has been completed in the first module. The processes of data preprocessing, feature scaling, and normalization of the dataset were carried out in the second module. The data pre-processing and normalization process has been completed in the third module of the project. The prediction model has been constructed with the assistance of Gaussian Naive Byes classification in the fourth module of the training program. At the end of the investigation, a prediction model for vector-borne disease that can identify dengue disease at each stage of dengue was proposed as part of the study. The suggested model was put through its paces with five different machine learning methods, namely Decision Tree, Logistic Regression, Support Vector Machine (SVM), Random Forest Classifier, and Gaussian Naive Bayes Classifier. All of these techniques were used to test and validate the model. After going through the testing and validation process, the suggested model had an accuracy rate of 97.5 percent on average. However, the Gaussian Naive Bayes classifier has achieved an accuracy of 97.5% while maintaining a 0% mean square error.  © 2022 IEEE.</t>
  </si>
  <si>
    <t xml:space="preserve">2022 International Conference on Smart Generation Computing, Communication and Networking, SMART GENCON 2022</t>
  </si>
  <si>
    <t xml:space="preserve">10.1109/SMARTGENCON56628.2022.10083613</t>
  </si>
  <si>
    <t xml:space="preserve">https://www.scopus.com/inward/record.uri?eid=2-s2.0-85153679371&amp;doi=10.1109%2fSMARTGENCON56628.2022.10083613&amp;partnerID=40&amp;md5=0ac04fc55df33b0825e0abebf159579e</t>
  </si>
  <si>
    <t xml:space="preserve">Bharati Vidyapeeth College of Engg, Depantment of Computer Engineering, Navi Mumbai, India</t>
  </si>
  <si>
    <t xml:space="preserve">Ingle D.R., Bharati Vidyapeeth College of Engg, Depantment of Computer Engineering, Navi Mumbai, India; Waghmare S.R., Bharati Vidyapeeth College of Engg, Depantment of Computer Engineering, Navi Mumbai, India; Patil V., Bharati Vidyapeeth College of Engg, Depantment of Computer Engineering, Navi Mumbai, India; Chavan S., Bharati Vidyapeeth College of Engg, Depantment of Computer Engineering, Navi Mumbai, India</t>
  </si>
  <si>
    <t xml:space="preserve">Dengue; Epidemic; Subtropical; Tropical; Vector Borne Diseases</t>
  </si>
  <si>
    <t xml:space="preserve">Big data; Data handling; Decision trees; Diagnosis; Disease control; Forecasting; Gaussian distribution; Learning systems; Mean square error; Metadata; Support vector machines; Tropics; Vectors; Data preprocessing; Dengue; Dengue fevers; Epidemic; Feature normalization; Gaussians; Prediction modelling; Subtropical; Tropical; Vector-borne disease; Diseases</t>
  </si>
  <si>
    <t xml:space="preserve">Murphy K.P., Machinelearning: Aprobabilisticperspective, (2012); Wang H., Ma C., Zhou L., A Brief Review of Machine Learning and Its Application, 2009 International Conference on Information Engineering and Computer Science, pp. 1-4, (2009); Dengue: National Vector Borne Disease Control Programme (NVBDCP), (2021); Basukoski, Machine Learning-Based Approaches for Location Based Dengue Prediction: Review, Fourth International Congress on Information and Communication Technology, pp. 343-352, (2020); Dourjoy S., Rafi A., Tumpa Z.N., Saifuzzaman M., A Comparative Study on Predictionof Dengue Fever Using Machine Learning Algorithm, Advances in Distributed Computingand Machine Learning, pp. 501-510, (2020); Nordin N., Sobri N., Ismail N., Zulkifli S.N., Razak N., Mahmud M., The ClassificationPerformance using Support Vector Machine for Endemic Dengue Cases, Journal of Physics: Conference Series., 1496, (2020); Pravin, Jacob T.P., Nagarajan G., An intelligent and secure healthcare framework forthe prediction and prevention of Dengue virus outbreak using fog computing, Health and Technology, 10, 1, pp. 303-311, (2020); Sood S.K., Kaur S., Chahal K.K., An intelligent framework for monitoring dengue feverrisk using LDA-ANFIS, Journal of Ambient Intelligence and Smart Environments, 12, 1, pp. 5-20, (2020); Siringi N., Mala S., Rawat A., Study of K-Means Clustering Algorithm for Identificationof Dengue Fever Hotspots, ICDSMLA 2019, pp. 51-61, (2020); Sood S.K., Sood V., Mahajan I., Sahil, Fog-Cloud Assisted IoT-Based Hierarchical Approach For Controlling Dengue Infection, The Computer Journal, (2018); Zhao N., Charland K., Carabali M., Nsoesie E.O., Maheu-Giroux M., Rees E., Machine learningand dengue forecasting: Comparing random forests and artificial neural networks for predictingdengue burdens at the national sub-national scale in Colombia, PLOS Neglected Tropical Diseases, pp. 1-15, (2020); Devi C., Pastor A., Oliveira T., Neto F., Braga-Neto U., Bigham A., Bigham A., Bamshad M., Marques E., Severe Dengue Prognosis Using Human Geno me Data and Machine Learning, IEEE Transactions on Biomedical Engineering, 66, 10, pp. 2861-2868, (2019); Kerdprasop K., Kerdprasop N., Chuaybamroong P., Forecasting Dengue Incidence withthe Chi-squared Automatic Interaction Detection Technique, Proceedings of the 2019 2ndArtificial Intelligence and Cloud Computing Conference, pp. 37-42, (2019); Macedo Hair G., Fonseca Nobre F., Brasil P., Characterization of clinical patterns of dengue patient susing an unsupervised machine learning approach, BMC Infect Dis, 19, 1, (2019); Mello-Roman J.D., Mello-Roman J.C., Gomez-Guerrero S., Garcia-Torres M., PredictiveModels for the Medical Diagnosis of Dengue: A Case Study in Paraguay, Computational and Mathematical Methods in Medicine, pp. 1-7, (2019); Mussumeci E., Coelho F.C., Machine-learning fore casting for Dengueepidemics-Comparing LSTM, Random Forest and Lasso regression, medRxiv, pp. 1-17, (2020); Savargaonkara D., Sinhaa S., Srivastava B., Nagpal B., Sinha A., Shamima A., Das R., Pande V., Anvika, Valecha N., An epidemiological study of dengue and its coinfections in Delhi, International Journal of Infectious Diseases, 74, pp. 41-46, (2018); Sahana K.S., Sujatha R., Clinical Profile of Dengue Among Children According to Revised WHO Classification: Analysis of a 2012 Outbreak from Southern India, Indian J Pediatr, 82, 2, pp. 109-113, (2015); Patil V., Ingle D.R., An association between fingerprint patterns with blood group and lifestyle based diseases: A review, Artif Intell Rev, 54, pp. 1803-1839, (2021); Patil V.N., Ingle D.R., A Novel Approach for ABO Blood Group Prediction using Fingerprint through Optimized Convolutional Neural Network, Int J Intell Syst Appl Eng, 10, 1, pp. 60-68, (2022); Patil V., Ingle D.R., Comparative Analysis of Different ML Classification Algorithms with Diabetes Prediction through Pima Indian Diabetics Dataset, 2021 International Conference on Intelligent Technologies (CONIT), pp. 1-9, (2021); Ambre A., Gaikwad P., Pawar K., Patil V., Web and Android Application for Comparison of E-Commerce Products, International Journal of Advanced Engineering, Management and Science (ISSN: 2454-1311), 5, 4, pp. 266-268, (2019)</t>
  </si>
  <si>
    <t xml:space="preserve">23 December 2022 through 25 December 2022</t>
  </si>
  <si>
    <t xml:space="preserve">978-166545499-5</t>
  </si>
  <si>
    <t xml:space="preserve">Int. Conf. Smart Gener. Comput., Commun. Netw., SMART GENCON</t>
  </si>
  <si>
    <t xml:space="preserve">2-s2.0-85153679371</t>
  </si>
  <si>
    <t xml:space="preserve">Garba S.; Abdullahi M.B.; Bashir S.A.; Abisoye O.A.</t>
  </si>
  <si>
    <t xml:space="preserve">Garba, Suleiman (58707952500); Abdullahi, Muhammad Bashir (58823509400); Bashir, Sulaimon Adebayo (57188960166); Abisoye, Opeyemi Adenike (57221871133)</t>
  </si>
  <si>
    <t xml:space="preserve">58707952500; 58823509400; 57188960166; 57221871133</t>
  </si>
  <si>
    <t xml:space="preserve">Implementation of Malaria Parasite Detection and Species Classification Using Dilated Convolutional Neural Network</t>
  </si>
  <si>
    <t xml:space="preserve">Malaria is an infectious disease caused by a bite of an Anopheles Mosquito which has caused a lot of death. Diagnosis of malaria is made by examining a red blood cell of an infected patient using a microscope, which takes time and requires a qualified laboratory expert to examine, read and interpret the results obtained. Convolutional Neural Network (CNN) has played important role in image classification; however, it has exhibited some problems in consuming computing resources which is one of the limitations of CNN. To reduce this problem, this paper presented a Dilated Convolution Neural Network for malaria parasites detection and species classification using blood smear images. A direct classification was carried out to detect infected and uninfected malaria parasites. Subsequently, species classification was carried out using 3 convolutional layers and Convolution2D for convolution operation while a dilation rate of 2 was used for the convolution layers. The model was trained with a publicly available dataset of 27699 images with a performance accuracy of 99.9% for parasite detection and species classification of 99.9% for falciparum, 64.6% for Malarie, 39.1% for Ovale and 37.3% for Vivax. © 2022 IEEE.</t>
  </si>
  <si>
    <t xml:space="preserve">Proceedings of the 5th International Conference on Information Technology for Education and Development: Changing the Narratives Through Building a Secure Society with Disruptive Technologies, ITED 2022</t>
  </si>
  <si>
    <t xml:space="preserve">10.1109/ITED56637.2022.10051510</t>
  </si>
  <si>
    <t xml:space="preserve">https://www.scopus.com/inward/record.uri?eid=2-s2.0-85149928934&amp;doi=10.1109%2fITED56637.2022.10051510&amp;partnerID=40&amp;md5=c786fa01e2b03f5e2ab8f3cda0c1ebb1</t>
  </si>
  <si>
    <t xml:space="preserve">Federal University of Technology, Department of Computer Science, Minna, Nigeria</t>
  </si>
  <si>
    <t xml:space="preserve">Garba S., Federal University of Technology, Department of Computer Science, Minna, Nigeria; Abdullahi M.B., Federal University of Technology, Department of Computer Science, Minna, Nigeria; Bashir S.A., Federal University of Technology, Department of Computer Science, Minna, Nigeria; Abisoye O.A., Federal University of Technology, Department of Computer Science, Minna, Nigeria</t>
  </si>
  <si>
    <t xml:space="preserve">Classification; Convolution Neural Network; Dilated; Malaria; Parasite; Species</t>
  </si>
  <si>
    <t xml:space="preserve">Blood; Convolution; Convolutional neural networks; Diagnosis; Diseases; Image classification; Anopheles mosquitoes; Convolution neural network; Convolutional neural network; Dilated; Infectious disease; Malaria; Malaria parasite; Parasite-; Species; Species classification; Classification (of information)</t>
  </si>
  <si>
    <t xml:space="preserve">Mohammed H.A., Abdelrahman I.A.M., Detection and classification of Malaria in thin blood slide images, Proc.-2017 Int. Conf. Commun. Control. Comput. Electron. Eng. ICCCCEE, 2017, pp. 1-5, (2017); Kassim Y.M., Yang F., Yu H., Maude R.J., Jaeger S., Diagnosing malaria patients with plasmodium falciparum and vivax using deep learning for thick smear images, Diagnostics, 11, 11, pp. 1-19, (2021); Peter Asaga M., Hussaini Fatima A., Amuga G., Prerna T., Philomena A., Prevalence of Plasmodium Falciparum among Nigerians in Abuja and Central States: A Comparative Analysis of Sensitivity and Specificity Using Rapid Diagnostic Test and Microscopy as Tools in Management of Malaria, Int. J. Trop. Dis, 2, 1, pp. 2-7, (2019); Kudisthalert W., Pasupa K., Tongsima S., Counting and classification of malarial parasite from giemsa-stained thin film images, IEEE Access, 8, pp. 78663-78682, (2020); Yu F., Koltun V., Multi-scale context aggregation by dilated convolutions, 4th Int. Conf. Learn. Represent. ICLR 2016-Conf. Track Proc, (2016); Remote Sensing Image Scene Classification using Dilated Convolutional Neural Networks, Int. J. Emerg. Trends Eng. Res, 8, 7, pp. 3622-3630, (2020); Nugroho H.A., Akbar S.A., Murhandarwati E.E.H., Feature extraction and classification for detection malaria parasites in thin blood smear, ICITACEE 2015-2nd Int. Conf. Inf. Technol. Comput. Electr. Eng. Green Technol. Strength. Inf. Technol. Electr. Comput. Eng. Implementation, Proc, 1, pp. 197-201, (2016); Rosado L., Da Costa J.M.C., Elias D., Cardoso J.S., Automated Detection of Malaria Parasites on Thick Blood Smears via Mobile Devices, Procedia Comput. Sci, 90, pp. 138-144, (2016); Liang Z., Et al., CNN-based image analysis for malaria diagnosis, Proc.-2016 IEEE Int. Conf. Bioinforma. Biomed. BIBM, 2017, pp. 493-496, (2016); Mehanian C., Et al., Computer-Automated Malaria Diagnosis and Quantitation Using Convolutional Neural Networks, Proc.-2017 IEEE Int. Conf. Comput. Vis. Work. ICCVW 2017, pp. 116-125, (2017); Penas K.E.D., Rivera P.T., Naval P.C., Malaria Parasite Detection and Species Identification on Thin Blood Smears Using a Convolutional Neural Network, Proc.-2017 IEEE 2nd Int. Conf. Connect. Heal. Appl. Syst. Eng. Technol. CHASE, 2017, pp. 1-6, (2017); Gopakumar G.P., Swetha M., Sai Siva G., Sai Subrahmanyam G.R.K., Convolutional neural network-based malaria diagnosis from focus stack of blood smear images acquired using custom-built slide scanner, J. Biophotonics, 11, 3, (2018); Mwanga E.P., Et al., Eave ribbons treated with transfluthrin can protect both users and non-users against malaria vectors, Malar. J, 18, 1, pp. 1-14, (2019); Bin A., Qayyum A., Islam T., Haque M.A., Malaria Diagnosis with Dilated Convolutional Neural Network Based Image Analysis, BECITHCON 2019-2019 IEEE Int. Conf. Biomed. Eng. Comput. Inf. Technol. Heal, pp. 68-72, (2019); Yang F., Et al., Deep Learning for Smartphone-Based Malaria Parasite Detection in Thick Blood Smears, IEEE J. Biomed. Heal. Informatics, 24, 5, pp. 1427-1438, (2020); Quan Q., Wang J., Liu L., An Effective Convolutional Neural Network for Classifying Red Blood Cells in Malaria Diseases, Interdiscip. Sci.-Comput. Life Sci, 12, 2, pp. 217-225, (2020); Abdurahman F., Fante K.A., Aliy M., Malaria parasite detection in thick blood smear microscopic images using modified YOLOV3 and YOLOV4 models, BMC Bioinformatics, 22, 1, pp. 1-17, (2021)</t>
  </si>
  <si>
    <t xml:space="preserve">5th International Conference on Information Technology for Education and Development, ITED 2022</t>
  </si>
  <si>
    <t xml:space="preserve">1 November 2022 through 3 November 2022</t>
  </si>
  <si>
    <t xml:space="preserve">978-150906422-9</t>
  </si>
  <si>
    <t xml:space="preserve">Proc. Int. Conf. Inf. Technol. Educ. Dev.: Chang. Narrat. Through Building Secur. Soc. Disruptive Technol., ITED</t>
  </si>
  <si>
    <t xml:space="preserve">2-s2.0-85149928934</t>
  </si>
  <si>
    <t xml:space="preserve">Tiwari H.; Dhole A.</t>
  </si>
  <si>
    <t xml:space="preserve">Tiwari, Harsha (57906858100); Dhole, Avinash (57207647936)</t>
  </si>
  <si>
    <t xml:space="preserve">57906858100; 57207647936</t>
  </si>
  <si>
    <t xml:space="preserve">Malaria Detection from Blood Cell Images Using Convolutional Neural Network Model</t>
  </si>
  <si>
    <t xml:space="preserve">Malaria disease is the major and worldwide reason for death in the human community. To identify the malaria, sample of red blood cell is examined under the microscopic instrument by the technician. But, due to the varying structural nature of malaria parasite in the blood cell; relying on the single method may endanger the diagnosis of this disease. With the advancement of advanced technique including machine and deep learning mechanism, this solution can be enhanced to verify the severity of this diseases and make them to properly diagnose the infected case. In this context, an artificial intelligence based convolutional neural network model has been developed to categorize the blood cell into malaria infected and uninfected type of classes. Performance of the model has been evaluated using standard evaluation measures on the public dataset of malaria blood cell images. Obtained quantitative scores confirms its performance which outperforms the available state-of-the-art techniques. © 2022, The Author(s), under exclusive license to Springer Nature Singapore Pte Ltd.</t>
  </si>
  <si>
    <t xml:space="preserve">10.1007/978-981-19-2281-7_56</t>
  </si>
  <si>
    <t xml:space="preserve">https://www.scopus.com/inward/record.uri?eid=2-s2.0-85138786166&amp;doi=10.1007%2f978-981-19-2281-7_56&amp;partnerID=40&amp;md5=0afba40e1f6351ee01be48c682610953</t>
  </si>
  <si>
    <t xml:space="preserve">Department of Computer Science and Engineering, Raipur Institute of Technology, Mandir Hasaud, Chhattisgarh, Chhatouna, 492001, India</t>
  </si>
  <si>
    <t xml:space="preserve">Tiwari H., Department of Computer Science and Engineering, Raipur Institute of Technology, Mandir Hasaud, Chhattisgarh, Chhatouna, 492001, India; Dhole A., Department of Computer Science and Engineering, Raipur Institute of Technology, Mandir Hasaud, Chhattisgarh, Chhatouna, 492001, India</t>
  </si>
  <si>
    <t xml:space="preserve">Computer-added diagnosis; Convolutional neural network; Deep learning; Malaria parasite; Medical imaging; Red blood cell examination</t>
  </si>
  <si>
    <t xml:space="preserve">Blood; Cells; Convolution; Convolutional neural networks; Cytology; Deep learning; Diagnosis; Diseases; Medical imaging; Blood cell images; Computer-added diagnose; Convolutional neural network; Deep learning; Malaria parasite; Neural network model; Performance; Red blood cell; Red blood cell examination; Neural network models</t>
  </si>
  <si>
    <t xml:space="preserve">Dewangan D.K., Rathore Y., Image quality costing of compressed image using full reference method, Int J Technol, 1, 2, pp. 68-71, (2011); Ali U., Dewangan K.K., Dewangan D.K., Distributed denial of service attack detection using ant bee colony and artificial neural network in cloud computing, Adv Intell Syst Comput, 652, pp. 165-175, (2018); Chaudhuri A., Sahu T.P., A hybrid feature selection method based on Binary Jaya algorithm for micro-array data classification, Comput Electr Eng, 90, (2021); Pandey P., Dewangan K.K., Dewangan D.K., Enhancing the quality of satellite images by preprocessing and contrast enhancement. In: Proceedings 2017 IEEE International Conference on Communication Signal Processing, ICCSP 2017, vol 2018-Janua, (2018); Chaudhuri A., Sahu T.P., Feature selection using Binary Crow Search Algorithm with time varying flight length, Expert Syst Appl, 168, (2021); Bhattacharya N., Dewangan D.K., Fusion Technique for Finger Knuckle Print Recognition. In, (2015); Dewangan D.K., Sahu S.P., Deep learning-based speed bump detection model for intelligent vehicle system using raspberry pi, IEEE Sens J, 21, 3, pp. 3570-3578, (2021); Dewangan D.K., Sahu S.P., RCNet: Road classification convolutional neural networks for intelligent vehicle system, Intell Serv Robot, 14, 2, pp. 199-214, (2021); Chaudhuri A., Sahu T.P., PROMETHEE-based hybrid feature selection technique for high-dimensional biomedical data: Application to parkinson’s disease classification, Electron Lett, 56, 25, pp. 1403-1406, (2020); Dewangan D.K., Sahu S.P., Driving behaviour analysis of intelligent vehicle system for lane detection using vision-sensor, IEEE Sens J, 21, 5, pp. 6367-6375, (2021); Dewangan D.K., Sahu S.P., PotNet: Pothole detection for autonomous vehicle system using convolutional neural network, Electron Lett, 57, 2, pp. 53-56, (2021); Dewangan D.K., Sahu S.P., Road detection using semantic segmentation-based convolutional neural network for intelligent vehicle system, Data Engineering and Communication Technology. Lecture Notes on Data Engineering and Communications Technologies, pp. 629-637, (2021); Dewangan D.K., Sahu S.P., Predictive control strategy for driving of intelligent vehicle system against the parking slots, 2021 5Th International Conference on Intelligent Computing and Control Systems (ICICCS), (2021); Ojha A., Sahu S.P., Dewangan D.K., Vehicle detection through instance segmentation using mask R-CNN for intelligent vehicle system, 2021 5Th International Conference on Intelligent Computing and Control Systems (ICICCS), pp. 954-959, (2021); Banjarey K., Sahu S.P., Dewangan D.K., A survey on human activity recognition using sensors and deep learning methods, 2021 5Th International Conference on Computing Methodologies and Communication (ICCMC), pp. 1610-1617, (2021); Pardhi P., Yadav K., Shrivastav S., Sahu S.P., Dewangan D.K., Vehicle motion prediction for autonomous navigation system using 3 dimensional convolutional neural network, 2021 5Th International Conference on Computing Methodologies and Communication (ICCMC), pp. 1322-1329, (2021); Sahu S.P., Dewangan D.K., Agrawal A., Priyanka T.S., Traffic light cycle control using deep reinforcement technique, 2021 International Conference on Artificial Intelligence and Smart Systems (ICAIS), pp. 697-702, (2021); Poostchi M., Et al., Malaria parasite detection and cell counting for human and mouse using thin blood smear microscopy, J Med Imaging, 5, 4, (2018); Somasekar J., Sharma A., Madhusudhana Reddy N., Padmanabha Reddy Y.C.A., Image analysis for automatic enumeration of rbc infected with plasmodium parasites-implications for malaria diagnosis, Adv Math Sci J, 9, 3, pp. 1221-1230, (2020); Dave I.R., Upla K.P., Computer aided diagnosis of Malaria disease for thin and thick blood smear microscopic images, 2017 4Th International Conference on Signal Processing Integration Networks, SPIN, 2017, pp. 561-565, (2017); Roy K., Sharmin S., Mukta R.B.M., Sen A., Detection of malaria parasite in giemsa blood sample using image processing, Int J Comput Sci Inf Technol, 10, 1, pp. 55-65, (2018); Kazarine A., Baakdah F., Gopal A.A., Oyibo W., Georges E., Wiseman P.W., Malaria detection by third-harmonic generation image scanning cytometry, Anal Chem, 91, 3, pp. 2216-2223, (2019); Bibin D., Nair M.S., Punitha P., Malaria parasite detection from peripheral blood smear images using deep belief networks, IEEE Access, 5, pp. 9099-9108, (2017); Saiprasath G., Babu R.N., Priyan J.A., Vinayakumar R., Sowmya V., Soman K., Performance comparison of machine learning algorithms for malaria detection using microscopic images, Int J Res Anal Rev, 6, 1, pp. 86-90, (2019); Denton D., McLlroy P., Plasmodium life cycle stage classification based quantification of malaria parasitaemia in thin blood smears, (2018); Devi S.S., Roy A., Singha J., Sheikh S.A., Laskar R.H., Malaria infected erythrocyte classification based on a hybrid classifier using microscopic images of thin blood smear, Multimedia Tools Appl, 77, 1, pp. 631-660, (2018); Vijayalakshmi A., Rajesh Kanna B., Deep learning approach to detect malaria from microscopic images, Multimedia Tools Appl, 79, 21-22, pp. 15297-15317, (2020); Liang Z., Et al., CNN-based image analysis for malaria diagnosis, Proceedings-2016 IEEE International Conference on Bioinformatics and Biomedical, BIBM, 2016, pp. 493-496, (2017); Delgado-Ortet M., Molina A., Alferez S., Rodellar J., Merino A., A deep learning approach for segmentation of red blood cell images and malaria detection, Entropy, 22, 6, pp. 1-16, (2020); Dong Y., Et al., Evaluations of deep convolutional neural networks for automatic identification of malaria infected cells, 2017 IEEE EMBS International Conference on Biomedical Healths and Informatics, BHI, 2017, pp. 101-104, (2017); Arunava (2019) Malaria Cell Images Dataset Cell-Images for Detecting Malaria</t>
  </si>
  <si>
    <t xml:space="preserve">H. Tiwari; Department of Computer Science and Engineering, Raipur Institute of Technology, Chhatouna, Mandir Hasaud, Chhattisgarh, 492001, India; email: harshatiwari.com@gmail.com</t>
  </si>
  <si>
    <t xml:space="preserve">Majhi S.; Pérez de Prado R.; Dasanapura Nanjundaiah C.</t>
  </si>
  <si>
    <t xml:space="preserve">International Conference on Distributed Computing and Optimization Techniques, ICDCOT 2021</t>
  </si>
  <si>
    <t xml:space="preserve">25 June 2021 through 26 June 2021</t>
  </si>
  <si>
    <t xml:space="preserve">978-981192280-0</t>
  </si>
  <si>
    <t xml:space="preserve">2-s2.0-85138786166</t>
  </si>
  <si>
    <t xml:space="preserve">Almezhghwi K.</t>
  </si>
  <si>
    <t xml:space="preserve">Almezhghwi, Khaled (57205365719)</t>
  </si>
  <si>
    <t xml:space="preserve">Malaria Detection Using Convolutional Neural Network</t>
  </si>
  <si>
    <t xml:space="preserve">Malaria detection and classification is still time and money costly. Identification of malaria cells can be done through some costly techniques. Those techniques are good, but they require time and high cost. Hence, there is a need of discovering alternative techniques to identify blood cells, that saves both time and reduce cost. In addition to time and cost, those new techniques should also be accurate and effective. Thus, in this work, we propose a transfer learning based GoogleNet approach for the classification of Malaria cells. The depth and inception of GoogleNet made it a very robust deep network that can classify accurately if trained and fine-tuned on enough amount of data. Thus, in this study, 27558 of the 2 types of cells are used for fine-tuning and testing the pre-trained network GoogleNet. Experimentally, the employed GoogleNet fine-tuned to classify Malaria, showed a great capability in generalizing accurate and correct diagnosis of images that were not seen during training, in which it achieved a testing accuracy of 95% with a relatively short time and small number of epochs. © 2022, The Author(s), under exclusive license to Springer Nature Switzerland AG.</t>
  </si>
  <si>
    <t xml:space="preserve">362 LNNS</t>
  </si>
  <si>
    <t xml:space="preserve">10.1007/978-3-030-92127-9_19</t>
  </si>
  <si>
    <t xml:space="preserve">https://www.scopus.com/inward/record.uri?eid=2-s2.0-85123273187&amp;doi=10.1007%2f978-3-030-92127-9_19&amp;partnerID=40&amp;md5=7e25d3b6e40badac2eb062a20c3bcf55</t>
  </si>
  <si>
    <t xml:space="preserve">Electrical and Electronics Engineering, College of Electronics Technology, Tripoli, Libya</t>
  </si>
  <si>
    <t xml:space="preserve">Almezhghwi K., Electrical and Electronics Engineering, College of Electronics Technology, Tripoli, Libya</t>
  </si>
  <si>
    <t xml:space="preserve">Classification; Deep network; GoogleNet; Malaria; Transfer learning</t>
  </si>
  <si>
    <t xml:space="preserve">Razzak M.I., Malarial parasite classification using recurrent neural network, Int. J. Image Process, 9, 2, pp. 27-32, (2015); Almezhghwi K., Serte S., Al-Turjman F., Convolutional neural networks for the classification of chest X-rays in the IoT era, Multim. Tool. Appl., 80, 19, pp. 29051-29065, (2021); Abiyev R.H., Maaitah M.K.S., Deep convolutional neural networks for chest diseases detection, J. Healthc. Eng, (2018); Nguyen D., Et al., A comparison of Monte Carlo dropout and bootstrap aggregation on the performance and uncertainty estimation in radiation therapy dose prediction with deep learning neural networks, Phys. Med. Biol., 66, 5, (2021); Szegedy C., Et al., Going deeper with convolutions, IEEE Conference on Computer Vision and Pattern Recognition (CVPR), (2015)</t>
  </si>
  <si>
    <t xml:space="preserve">K. Almezhghwi; Electrical and Electronics Engineering, College of Electronics Technology, Tripoli, Libya; email: Khaldalmezghwi84@gmail.com</t>
  </si>
  <si>
    <t xml:space="preserve">Aliev R.A.; Kacprzyk J.; Pedrycz W.; Jamshidi M.; Babanli M.; Sadikoglu F.M.</t>
  </si>
  <si>
    <t xml:space="preserve">11th International Conference on Theory and Applications Soft Computing, Computing with Words and Perceptions and Artificial Intelligence, ICSCCW 2021</t>
  </si>
  <si>
    <t xml:space="preserve">23 August 2021 through 24 August 2021</t>
  </si>
  <si>
    <t xml:space="preserve">Antgalya</t>
  </si>
  <si>
    <t xml:space="preserve">978-303092126-2</t>
  </si>
  <si>
    <t xml:space="preserve">2-s2.0-85123273187</t>
  </si>
  <si>
    <t xml:space="preserve">Cristin R.; Satish A.R.; Kundu T.K.; Maram B.</t>
  </si>
  <si>
    <t xml:space="preserve">Cristin, Rajan (57191842745); Satish, Aravapalli Rama (57519872900); Kundu, Tamal Kr. (57563047400); Maram, Balajee (58261701700)</t>
  </si>
  <si>
    <t xml:space="preserve">57191842745; 57519872900; 57563047400; 58261701700</t>
  </si>
  <si>
    <t xml:space="preserve">Malaria Disease Prediction with Ensemble Learning Technique</t>
  </si>
  <si>
    <t xml:space="preserve">The use of machine learning will continue to emerge, especially in the field of automated diagnostics and forecasting, because malaria is a major public health problem worldwide, and disease control requires rapid and accurate diagnosis. According to the World Health Organization by 2021, an estimated 235 million people worldwide have been diagnosed with malaria in Southeast Asia, including India, Bangladesh, and Belarus. Malaria is a major problem in tropical and subtropical countries. Therefore, it is necessary to develop a mechanism for early detection of the plasmodium parasite, which is infections. In the conventional method, which is used to diagnose malaria in the laboratory by capturing cells with a microscope, a series of tests are performed and the results are analyzed. In this paper discussed the random forest classifier for malaria detection. First, select the random samples from a given database. Next, algorithm will create a decision tree for each sample and prediction effect on all decision trees. The final result will be generated from the prediction result which is based on voting. This paper strongly recommend that you complete the development of a model to improve the diagnosis of malaria using machine learning techniques. © 2022, The Author(s), under exclusive license to Springer Nature Singapore Pte Ltd.</t>
  </si>
  <si>
    <t xml:space="preserve">10.1007/978-981-16-8987-1_55</t>
  </si>
  <si>
    <t xml:space="preserve">https://www.scopus.com/inward/record.uri?eid=2-s2.0-85127642774&amp;doi=10.1007%2f978-981-16-8987-1_55&amp;partnerID=40&amp;md5=48392ff2eb9c044db8803cb030ba6da1</t>
  </si>
  <si>
    <t xml:space="preserve">Department of CSE, GMR Institute of Technology, Andhra Pradesh, Rajam, India; VIT-AP University, Near AP Secretariat, A.P., Guntur (DT), 522237, India; Department of CSE, Koneru Lakshmaiah Education Foundation, Greenfields, Vaddeswaram, Andhra Pradesh, Guntur, 522502, India; Department of CSE, GMR Institute of Technology (Autonomous), Andhra Pradesh, Rajam, India</t>
  </si>
  <si>
    <t xml:space="preserve">Cristin R., Department of CSE, GMR Institute of Technology, Andhra Pradesh, Rajam, India; Satish A.R., VIT-AP University, Near AP Secretariat, A.P., Guntur (DT), 522237, India; Kundu T.K., Department of CSE, Koneru Lakshmaiah Education Foundation, Greenfields, Vaddeswaram, Andhra Pradesh, Guntur, 522502, India; Maram B., Department of CSE, GMR Institute of Technology (Autonomous), Andhra Pradesh, Rajam, India</t>
  </si>
  <si>
    <t xml:space="preserve">Classification; F1 score; Plasmodium; Prediction; Random forest</t>
  </si>
  <si>
    <t xml:space="preserve">Cristin R., Raj C., Consistency features and fuzzy based segmentation for shadow and reflection detection in digital image forgery, Sci China Inf Sci, 65, 1, pp. 43-66, (2017); Geetha M., Pooja R.C., Swetha J., Nivedha N., Daniya T., Implementation of text recognition and text extraction on formatted bills using deep learning, Int J Contrl Automat, 13, 2, pp. 646-665, (2020); Daniya T., Vigneshwari S., A review on machine learning techniques for rice plant disease detection in agricultural research, Int J Adv Sci Technol, 8, 13, (2020); Santhosh Kumar B., Daniya T., Ajayan J., Breast cancer prediction using machine learning algorithms, Int J Adv Sci Technol, 29, 3, (2020); Daniya T., Geetha M., Suresh Kumar K., Classification and regression trees with gini index, Adv Math Sci J, 9, pp. 8237-8247, (2020); Daniya T., Geetha M., Santhosh Kumar B., Cristin R., Least square estimation of parameters for linear regression, Int J Control Auto, 13, 2, (2020); Olugboja A., Wang Z., Malaria parasite detection using different machine learning classifier, 2017 International Conference on Machine Learning and Cybernetics (ICMLC), Ningbo, pp. 246-250, (2017); Dong Y., Jiang Z., Shen H., David Pan W., Williams L.A., Reddy V.V.B., Bryan A.W., Et al., Evaluations of deep convolutional neural networks for automatic identification of malaria infected cells, In: 2017 IEEE EMBS International Conference on Biomedical &amp; Health Informatics (BHI, (2017); Liang Z., Powell A., Ersoy I., Poostchi M., Silamut K., Palaniappan K., Guo P., Hossain M.A., Sameer A., Maude R.J., Huang J.X., Jaeger S., Thoma G., CNN-based image analysis for malaria diagnosis, Proceeding BIBM, pp. 493-496, (2017); Mohammed H.A., Abdelrahman I.A.M., Detection and classification of Malaria in thin blood slide images. In: 2017 international conference on communication, control, Computing and Electronics Engineering (ICCCCEE, (2017); Lee Y.W., Choi J.W., Shin E.-H., Machine learning model for predicting malaria using clinical information, Comput Bio Med, (2021); Masud M., Alhumyani H., Alshamrani S.S., Cheikhrouhou O., Ibrahim S., Muhammad G., Hossain M.S., Shorfuzzaman M., Leveraging deep learning techniques for malaria parasite detection using mobile application, Wireless Commun Mob Comput, (2020); Tripathi B.C.R., ASADSB (2020) Malaria detection using contour detection and random forest classifier, Int J Adv Sci Technol, 29, 3, pp. 503-513; Poostchi M., Silamut K., Maude R.J., Jaeger S., Thoma G., Image analysis and machine learning for detecting malaria, Transl Res, 194, pp. 36-55, (2018); Iradukunda O., Che H., Uwineza J., Bayingana J.Y., Bin-Imam M.S., Niyonzima I., Malaria disease prediction based on machine learning, IEEE International Conference on Signal, Information and Data Processing (ICSIDP), pp. 1-7, (2019)</t>
  </si>
  <si>
    <t xml:space="preserve">R. Cristin; Department of CSE, GMR Institute of Technology, Rajam, Andhra Pradesh, India; email: cristin.r@gmrit.edu.in</t>
  </si>
  <si>
    <t xml:space="preserve">Saini H.S.; Sayal R.; Govardhan A.; Buyya R.</t>
  </si>
  <si>
    <t xml:space="preserve">9th International Conference on Innovations in Computer Science and Engineering, ICICSE 2021</t>
  </si>
  <si>
    <t xml:space="preserve">3 September 2021 through 4 September 2021</t>
  </si>
  <si>
    <t xml:space="preserve">978-981168986-4</t>
  </si>
  <si>
    <t xml:space="preserve">2-s2.0-85127642774</t>
  </si>
  <si>
    <t xml:space="preserve">Razin W.R.W.M.; Gunawan T.S.; Kartiwi M.; Yusoff N.M.</t>
  </si>
  <si>
    <t xml:space="preserve">Razin, Wan Rasyidah Wan Mohd (57963393900); Gunawan, Teddy Surya (8286407700); Kartiwi, Mira (35310925800); Yusoff, Nelidya Md. (56036869700)</t>
  </si>
  <si>
    <t xml:space="preserve">57963393900; 8286407700; 35310925800; 56036869700</t>
  </si>
  <si>
    <t xml:space="preserve">Malaria Parasite Detection and Classification using CNN and YOLOv5 Architectures</t>
  </si>
  <si>
    <t xml:space="preserve">Malaria is a severe global public health issue that is caused by the bite of an infected mosquito. It is curable, but only with early detection and prompt, effective treatment. It may lead to severe conditions if it is not properly diagnosed and treated in its early stages. In the worst-case scenario, it can result in death. The preferred methods for diagnosing malaria are microscopic analysis of blood samples or rapid diagnostic tests. This method is time-consuming and requires qualified medical personnel, who are currently in short supply and quite expensive. Detecting malaria from blood smears using this method is therefore extremely difficult. As a result of the rapid development of deep learning, numerous experts have attempted to implement it in the medical sector due to its ability to overcome the limitations of conventional methods. Therefore, the purpose of this paper is to design and develop a model for the detection of malaria parasites. Implementing a Convolutional Neural Network (CNN) and YOLOv5 algorithm to detect and classify malaria with the selected dataset, respectively, is the proposed method. This project will utilize a publicly accessible dataset containing all images of the malaria parasite. After training, the CNN model's accuracy in detecting infected blood images is 96.21 percent, and its performance will be evaluated and compared to the opinion of experts.  © 2022 IEEE.</t>
  </si>
  <si>
    <t xml:space="preserve">8th IEEE International Conference on Smart Instrumentation, Measurement and Applications, ICSIMA 2022</t>
  </si>
  <si>
    <t xml:space="preserve">10.1109/ICSIMA55652.2022.9928992</t>
  </si>
  <si>
    <t xml:space="preserve">https://www.scopus.com/inward/record.uri?eid=2-s2.0-85141836398&amp;doi=10.1109%2fICSIMA55652.2022.9928992&amp;partnerID=40&amp;md5=2d0eb72bf69d016a6dbdc4b7d21958b9</t>
  </si>
  <si>
    <t xml:space="preserve">International Islamic University Malaysia, Electrical and Computer Engineering Department, Kuala Lumpur, 53100, Malaysia; International Islamic University Malaysia, Information Systems Department, Kuala Lumpur, 53100, Malaysia; Universiti Teknologi Malaysia, Razak Faculty of Technology and Informatics, Kuala Lumpur, 54100, Malaysia</t>
  </si>
  <si>
    <t xml:space="preserve">Razin W.R.W.M., International Islamic University Malaysia, Electrical and Computer Engineering Department, Kuala Lumpur, 53100, Malaysia; Gunawan T.S., International Islamic University Malaysia, Electrical and Computer Engineering Department, Kuala Lumpur, 53100, Malaysia; Kartiwi M., International Islamic University Malaysia, Information Systems Department, Kuala Lumpur, 53100, Malaysia; Yusoff N.M., Universiti Teknologi Malaysia, Razak Faculty of Technology and Informatics, Kuala Lumpur, 54100, Malaysia</t>
  </si>
  <si>
    <t xml:space="preserve">classification; CNN; malaria parasite; object detection; YOLOv5</t>
  </si>
  <si>
    <t xml:space="preserve">Blood; Classification (of information); Convolutional neural networks; Deep learning; Diagnosis; Diseases; Blood samples; Condition; Convolutional neural network; Global public health; Malaria parasite; Microscopic analysis; Objects detection; Public health issues; Worst case scenario; YOLOv5; Object detection</t>
  </si>
  <si>
    <t xml:space="preserve">Ministry of Higher Education, Malaysia, MOHE, (FRGS/1/2020/ICT05/UTM/02/2); Universiti Teknologi Malaysia, UTM; International Islamic University Malaysia, IIUM</t>
  </si>
  <si>
    <t xml:space="preserve">Funding text 1: ACKNOWLEDGMENT The Ministry of Higher Education financially supported this research under the Fundamental Research Grant Scheme (FRGS/1/2020/ICT05/UTM/02/2). The authors would also like to acknowledge the support from International Islamic University Malaysia and Universiti Teknologi Malaysia for the research facilities.; Funding text 2: The Ministry of Higher Education financially supported this research under the Fundamental Research Grant Scheme (FRGS/1/2020/ICT05/UTM/02/2). The authors would also like to acknowledge the support from International Islamic University Malaysia and Universiti Teknologi Malaysia for the research facilities</t>
  </si>
  <si>
    <t xml:space="preserve">World Health Organization1 2021, (2021); Poostchi M., Silamut K., Maude R.J., Jaeger S., Thoma G., Image analysis and machine learning for detecting malaria, Translational Research, 194, pp. 36-55, (2018); Chibuta S., Acar A.C., Real-time malaria parasite screening in thick blood smears for low-resource setting, Journal of digital imaging, 33, 3, pp. 763-775, (2020); Ihsanto E., Ramli K., Sudiana D., Gunawan T.S., Fast and accurate algorithm for ECG authentication using residual depthwise separable convolutional neural networks, Applied Sciences, 10, 9, (2020); Vijayalakshmi A., Deep learning approach to detect malaria from microscopic images, Multimedia Tools and Applications, 79, 21, pp. 15297-15317, (2020); Rajaraman S., Et al., Pre-trained convolutional neural networks as feature extractors toward improved malaria parasite detection in thin blood smear images, PeerJ, 6, (2018); Dong Y., Et al., Evaluations of deep convolutional neural networks for automatic identification of malaria infected cells, 2017 IEEE EMBS international conference on biomedical &amp; health informatics (BHI), 2017: IEEE, pp. 101-104; Fuhad K.F., Tuba J.F., Sarker M.R.A., Momen S., Mohammed N., Rahman T., Deep learning based automatic malaria parasite detection from blood smear and its smartphone based application, Diagnostics, 10, 5, (2020); Yang F., Et al., Cascading yolo: Automated malaria parasite detection for plasmodium vivax in thin blood smears, Medical Imaging 2020: Computer-Aided Diagnosis, pp. 404-410, (2020); Abdurahman F., Fante K.A., Aliy M., Malaria parasite detection in thick blood smear microscopic images using modified YOLOV3 and YOLOV4 models, BMC bioinformatics, 22, 1, pp. 1-17, (2021); Arshad Q.A., Et al., A dataset and benchmark for malaria life-cycle classification in thin blood smear images, Neural Computing and Applications, 34, 6, pp. 4473-4485, (2022)</t>
  </si>
  <si>
    <t xml:space="preserve">27 September 2022 through 28 September 2022</t>
  </si>
  <si>
    <t xml:space="preserve">Melaka</t>
  </si>
  <si>
    <t xml:space="preserve">978-166548800-6</t>
  </si>
  <si>
    <t xml:space="preserve">IEEE Int. Conf. Smart Instrum., Meas. Appl., ICSIMA</t>
  </si>
  <si>
    <t xml:space="preserve">2-s2.0-85141836398</t>
  </si>
  <si>
    <t xml:space="preserve">Lipsa S.; Dash R.K.</t>
  </si>
  <si>
    <t xml:space="preserve">Lipsa, Swati (57874755400); Dash, Ranjan Kumar (56354050100)</t>
  </si>
  <si>
    <t xml:space="preserve">57874755400; 56354050100</t>
  </si>
  <si>
    <t xml:space="preserve">MalNet - an Optimized CNN based method for Malaria Diagnosis</t>
  </si>
  <si>
    <t xml:space="preserve">Due to the sheer advancement of modern computing, deep learning has emerged as one of the most promising technologies for machine learning. This work concentrates on applying deep learning to accurately diagnose disease. Our proposed method employs a Convolutional Neural Network (CNN) along with the optimal number and size of convolution and spooling layers. We have focused on a case study of the malaria diagnosis dataset containing pathological samples. This work utilizes Adam optimizer to train and validate the model. The choice of Adam optimization along with its important features is discussed. A suitable dataset is used and images are fed into the CNN without reducing their size or color and their performance is evaluated. An architectural comparison is performed between the proposed CNN model and some popular CNN architectures, resulting in a clearer vision of the proposed model's correctness while using a smaller number of hyperparameters. Furthermore, we also compared the proposed model to existing state-of-the-art models to assess its competency in terms of key performance metrics. This comparison reveals that this model's mechanism requires significantly fewer evaluation parameters, enabling the proposed method to become a time-efficient and computationally accurate model in terms of predicate accuracy. © 2022 IEEE.</t>
  </si>
  <si>
    <t xml:space="preserve">2022 2nd International Conference on Intelligent Technologies, CONIT 2022</t>
  </si>
  <si>
    <t xml:space="preserve">10.1109/CONIT55038.2022.9848328</t>
  </si>
  <si>
    <t xml:space="preserve">https://www.scopus.com/inward/record.uri?eid=2-s2.0-85137259510&amp;doi=10.1109%2fCONIT55038.2022.9848328&amp;partnerID=40&amp;md5=2527200fe2049cf6a664fcec9f46c563</t>
  </si>
  <si>
    <t xml:space="preserve">Odisha University of Technology and Research, Department of Information Technology, Bhubaneswar, India</t>
  </si>
  <si>
    <t xml:space="preserve">Lipsa S., Odisha University of Technology and Research, Department of Information Technology, Bhubaneswar, India; Dash R.K., Odisha University of Technology and Research, Department of Information Technology, Bhubaneswar, India</t>
  </si>
  <si>
    <t xml:space="preserve">Backpropagation algorithm; Computer-aided diagnosis; Convolutional neural network; Deep learning; Feature extraction</t>
  </si>
  <si>
    <t xml:space="preserve">Computer aided instruction; Convolution; Convolutional neural networks; Deep learning; Diseases; Learning systems; Multilayer neural networks; Convolutional neural network; Deep learning; Diagnose disease; Features extraction; Machine-learning; Malaria diagnosis; Malnets; Network-based; Optimal number; Optimal size; Computer aided diagnosis</t>
  </si>
  <si>
    <t xml:space="preserve">Tangpukdee N., Duangdee C., Wilairatana P., Krudsood S., Malaria diagnosis: A brief review, The Korean journal of parasitology, 47, 2, (2009); LeCun Y., Bengio Y., Hinton G., Deep learning, Nature, 521, (2015); Zeiler M.D., Fergus R., Visualizing and understanding convolutional neural networks, European conference on computer vision, pp. 818-833, (2014); Szegedy C., Et al., Going deeper with convolutions, IEEE Conference on Computer Vision and Pattern Recognition (CVPR), Boston, pp. 1-9, (2015); Khan A., Sohail A., Zahoora U., Qureshi A., A Survey of the Recent Architectures of Deep Convolutional Neural Networks, (2019); Krizhevsky A., Sutskever I., Hinton G.E., ImageNET classification with deep convolutional neural networks, Advances in neural information processing systems 2012, pp. 1097-1105, (2012); Litjens G., Kooi T., Bejnordi B.E., Setio A.A.A., Ciompi F., Ghafoorian M., Et al., A survey on deep learning in medical image analysis, Med Image Anal, 42, pp. 60-88, (2017); Suzuki K., Survey of deep learning applications to medical image analysis, Med Imaging Technol, 35, pp. 212-226, (2017); Poostchi M., Silamut K., Maude R.J., Jaeger S., Thoma G.R., Image analysis and machine learning for detecting malaria, Translational Research, 194, pp. 36-55, (2018); Ross N.E., Pritchard C.J., Rubin D.M., Duse A.G., Automated image processing method for the diagnosis and classification of malaria on thin blood smears, Medical &amp; Biological Engineering &amp; Computing, 44, pp. 427-436, (2006); Das D.K., Ghosh M., Pal M., Maiti A.K., Chakraborty C., Machine learning approachfor automated screening of malaria parasite using light microscopic images, Micron, 45, pp. 97-106, (2013); Dong Y., Jiang Z., Shen H., David P.W., Williams L.A., Reddy V.V.B., Benjamin W.H., Bryan A.W., Evaluations of deep convolutional neural networks for automatic identification of malaria infected cells, 2017 IEEE EMBS international conferenceon biomedical and health informatics, BHI 2017. Piscataway: IEEE, pp. 101-104, (2017); Pan W.D., Dong Y., Wu D., Classification of Malaria-Infected Cells Using Deep Convolutional Neural Networks, In Machine Learning-Advanced Techniques and Emerging Applications, Intech Open, (2017); Liang Z., Powell A., Ersoy I., Poostchi M., Silamut K., Palaniappan K., Guo P., Hossain M.A., Sameer A., Maude R.J., Huang J.X., Jaeger S., Thoma G., CNN-based image analysis for malaria diagnosis, Proceedings 2016 IEEE international conference on bioinformatics and biomedicine, BIBM 2016. Piscataway: IEEE, pp. 493-496, (2017); Bibin D., Nair M.S., Punitha P., Malaria parasite detection from peripheral blood smear images using deep belief networks, IEEE Access, 5, pp. 9099-9108, (2017); Hung J., Carpenter A., Applying Faster R-CNN for Object Detection on Malaria Images, IEEE Conference on Computer Vision and Pattern Recognition Workshops (CVPRW, pp. 808-813, (2017); Rajaraman S., Jaeger S., Antani S.K., Performance evaluation of deep neural ensembles toward malaria parasite detection in thin-blood smear images, PeerJ, (2019); Gopakumar G.P., Swetha M., Sai S.G., Sai S.G.R.K., Convolutionalneural network-based malaria diagnosis from focus stack of blood smear imagesacquired using custom-built slide scanner, Journal of Biophotonics, 11, (2018); Rajaraman S., Antani S.K., Poostchi M., Silamut K., Hossain M.A., Maude R.J., Jaeger S., Thoma G.R., Pre-trained convolutional neural networks as feature extractorstoward improved malaria parasite detection in thin blood smear images, PeerJ, (2018); Vijayalakshmi A., Rajesh K.B., Deep learning approach to detect malaria from microscopic Images, Multimedia Tools and Applications, (2019); Shang W., Sohn K., Almeida D., Lee H., Understanding and improving convolutional neural networks via concatenated rectified linear units, Proceedings of 33rd international conference on machine learning (ICML2016, 48, pp. 2217-2225, (2016); Srivastava N., Hinton G., Krizhevsky A., Sutskever I., Salakhutdinov R., Dropout: A simple way to prevent neural networks from overfitting, Journal of Machine Learning Research, 15, pp. 1929-1958, (2014); Ruder S., An overview of gradient descent optimization algorithms, (2016); Kingma D.P., Ba J., Adam: A Method for Stochastic Optimization, (2015); Fuhad K.M., Tuba J.F., Sarker M., Ali R., Momen S., Mohammed N., Rahman T., Deep learning based automatic malaria parasite detection from blood smear and its smartphone based application, Diagnostics, 10, 5, (2020)</t>
  </si>
  <si>
    <t xml:space="preserve">2nd IEEE International Conference on Intelligent Technologies, CONIT 2022</t>
  </si>
  <si>
    <t xml:space="preserve">24 June 2022 through 26 June 2022</t>
  </si>
  <si>
    <t xml:space="preserve">Hubli</t>
  </si>
  <si>
    <t xml:space="preserve">978-166548407-7</t>
  </si>
  <si>
    <t xml:space="preserve">Int. Conf. Intell. Technol., CONIT</t>
  </si>
  <si>
    <t xml:space="preserve">2-s2.0-85137259510</t>
  </si>
  <si>
    <t xml:space="preserve">Hasan T.M.; Alneamy J.</t>
  </si>
  <si>
    <t xml:space="preserve">Hasan, Tasneem Muhammed (58824946900); Alneamy, Jamal (57222472816)</t>
  </si>
  <si>
    <t xml:space="preserve">58824946900; 57222472816</t>
  </si>
  <si>
    <t xml:space="preserve">Medical Images Classification Using Hybrid Deep Learning CNN-PSO-GA</t>
  </si>
  <si>
    <t xml:space="preserve">Convolutional Neural Network (CNN) has made outstanding achievements in image processing and detection. The recent research uses CNN to classify the medical images, but this performance depends on its hyperparameters chosen by the programmer. Choosing these parameters is a difficult process if done manually, so there is a need to find out alternative methods. To solve this problem, the researchers hybridized a CNN with particle swarm optimization (PSO) to find better values for these hyperparameters. PSO was hybridized using genetic algorithm to solve the retired particle problem. The purpose of this research is to take advantage of the achievements of deep learning in classifying medical images. The proposed model was tested with three datasets: malaria, COVID-19, and pneumonia. The model achieved 99.5%, 100%, and 99.7% accuracy for the above datasets respectively. These results were compared with the results of the standard CNN; the proposed model surpassed the standard CNN in overall performance. © 2022 IEEE.</t>
  </si>
  <si>
    <t xml:space="preserve">2022 8th International Conference on Contemporary Information Technology and Mathematics, ICCITM 2022</t>
  </si>
  <si>
    <t xml:space="preserve">10.1109/ICCITM56309.2022.10031978</t>
  </si>
  <si>
    <t xml:space="preserve">https://www.scopus.com/inward/record.uri?eid=2-s2.0-85148475915&amp;doi=10.1109%2fICCITM56309.2022.10031978&amp;partnerID=40&amp;md5=d99ed1ab02d4690d1c2bcf69e30e68b8</t>
  </si>
  <si>
    <t xml:space="preserve">University of Mosul, Dept. of Software Engineering, Mosul, Iraq</t>
  </si>
  <si>
    <t xml:space="preserve">Hasan T.M., University of Mosul, Dept. of Software Engineering, Mosul, Iraq; Alneamy J., University of Mosul, Dept. of Software Engineering, Mosul, Iraq</t>
  </si>
  <si>
    <t xml:space="preserve">convolution neural network; Deep Learning; genetic algorithm; Image classification; Particle Swarm optimization</t>
  </si>
  <si>
    <t xml:space="preserve">Convolution; Convolutional neural networks; Deep learning; Image classification; Medical imaging; Particle swarm optimization (PSO); Swarm intelligence; Convolution neural network; Convolutional neural network; Deep learning; Hyper-parameter; Images classification; Medical image classification; Particle swarm; Particle swarm optimization; Performance; Swarm optimization; Genetic algorithms</t>
  </si>
  <si>
    <t xml:space="preserve">Wang B., Sun Y., Xue B., Zhang M., A hybrid GA-PSO method for evolving architecture and short connections of deep convolutional neural networks, Pacific Rim International Conference on Artificial Intelligence, pp. 650-663, (2019); Singh P., Chaudhury S., Panigrahi B.K.J.S., Computation E., Hybrid MPSO-CNN: Multi-Level Particle Swarm Optimized Hyperparameters of Convolutional Neural Network, 63, (2021); Wang Y., Zhang H., Zhang G.J.S., Computation E., CPSO-CNN: An Efficient PSO-Based Algorithm For Fine-Tuning Hyper-Parameters of Convolutional Neural Networks, 49, pp. 114-123, (2019); Alkrimi J., Toma S.A., Mohammed R., George L.J.I.J.S.R.I.N.S., Vol C., Using Knowledge Discovery to Enhance Classification Techniques for Detect Malaria-Infected Red Blood Cells, 8, (2020); Masud M., Et al., Leveraging Deep Learning Techniques For Malaria Parasite Detection Using Mobile Application, 2020, (2020); Mijwil M.M.J.I.J.O.S., Implementation of Machine Learning Techniques for the Classification of Lung X-Ray Images Used to Detect COVID-19 in Humans, pp. 2099-2109, (2021); Pandit M.K., Banday S.A., Naaz R., Chishti M.A.J.R., Automatic Detection of COVID-19 From Chest Radiographs Using Deep Learning, 27, 2, pp. 483-489, (2021); Baltazar L.R., Et al., Artificial Intelligence on COVID-19 Pneumonia Detection Using Chest Xray Images, 16, 10, (2021); Ozsoz M., Ibrahim A.U., Serte S., Al-Turjman F., Yakoi P.S., Viral and Bacterial Pneumonia Detection Using Artificial Intelligence in the Era of COVID-19, (2020); Mitiku K., Mengistu G., Gelaw B.J.E.J.O.H.D., The Reliability of Blood Film Examination For Malaria at the Peripheral Health Unit, 17, 3, pp. 197-204, (2003); Sattar S.B.A., Sharma S., Bacterial Pneumonia, (2018); Patil A., Rane M., Convolutional neural networks: an overview and its applications in pattern recognition, International Conference on Information and Communication Technology for Intelligent Systems, pp. 21-30, (2020); Sarvamangala D., Kulkarni R.V.J.E.I., Convolutional Neural Networks in Medical Image Understanding: A Survey, pp. 1-22, (2021); Alom M.Z., Et al., A state-of-the-Art Survey on Deep Learning Theory and Architectures, 8, 3, (2019); Eberhart R., Kennedy J., Particle swarm optimization, Proceedings of the IEEE international conference on neural networks, Australia, 1948, (1942); Jaberipour M., Khorram E., Karimi B.J.C., Applications M.W., Particle Swarm Algorithm For Solving Systems Of Nonlinear Equations, 62, 2, pp. 566-576, (2011); Mirjalili S., Evolutionary algorithms and neural networks, Studies in Computational Intelligence, 780, (2019); Sarkar D., Bali R., Sharma T.J.A.P.-S., Practical Machine Learning With Python, (2018)</t>
  </si>
  <si>
    <t xml:space="preserve">T.M. Hasan; University of Mosul, Dept. of Software Engineering, Mosul, Iraq; email: tasneem.20csp8@student.uomosul.edu.iq</t>
  </si>
  <si>
    <t xml:space="preserve">8th International Conference on Contemporary Information Technology and Mathematics, ICCITM 2022</t>
  </si>
  <si>
    <t xml:space="preserve">31 August 2022 through 1 September 2022</t>
  </si>
  <si>
    <t xml:space="preserve">Mosul</t>
  </si>
  <si>
    <t xml:space="preserve">979-835033486-9</t>
  </si>
  <si>
    <t xml:space="preserve">Int. Conf. Contemp. Inf. Technol. Math., ICCITM</t>
  </si>
  <si>
    <t xml:space="preserve">2-s2.0-85148475915</t>
  </si>
  <si>
    <t xml:space="preserve">Pedraza A.; Ruiz-Santaquiteria J.; Deniz O.; Bueno G.</t>
  </si>
  <si>
    <t xml:space="preserve">Pedraza, Anibal (57194184170); Ruiz-Santaquiteria, Jesus (57195231384); Deniz, Oscar (8562422200); Bueno, Gloria (7003988757)</t>
  </si>
  <si>
    <t xml:space="preserve">57194184170; 57195231384; 8562422200; 7003988757</t>
  </si>
  <si>
    <t xml:space="preserve">PARASITIC EGG DETECTION AND CLASSIFICATION WITH TRANSFORMER-BASED ARCHITECTURES</t>
  </si>
  <si>
    <t xml:space="preserve">Soil-transmitted helminth infections are one of the most common healthcare problems worldwide and they especially affect to the poorest communities in tropical and subtropical areas. Nowadays, diagnosis of intestinal parasites is performed by highly skilled medical staff, directly examining samples in the laboratory via a microscope, a laborious and time-consuming work. Automatic deep learning-based object detection methods can help to automatically detect and identify intestinal parasitic eggs, or at least reduce the workload. In this work, the application of novel Transformer-based architectures is proposed to solve the parasitic egg detection task in microscopic images. Several detection methods and backbones have been analyzed and compared, obtaining up to 0.875 mIoU score on the dataset used for testing. © 2022 IEEE.</t>
  </si>
  <si>
    <t xml:space="preserve">10.1109/ICIP46576.2022.9897846</t>
  </si>
  <si>
    <t xml:space="preserve">https://www.scopus.com/inward/record.uri?eid=2-s2.0-85136117794&amp;doi=10.1109%2fICIP46576.2022.9897846&amp;partnerID=40&amp;md5=8d4300ebc947c61548a4289db9e760fa</t>
  </si>
  <si>
    <t xml:space="preserve">University of Castilla-La Mancha, ETSI Industrial, VISILAB, Ciudad Real, Spain</t>
  </si>
  <si>
    <t xml:space="preserve">Pedraza A., University of Castilla-La Mancha, ETSI Industrial, VISILAB, Ciudad Real, Spain; Ruiz-Santaquiteria J., University of Castilla-La Mancha, ETSI Industrial, VISILAB, Ciudad Real, Spain; Deniz O., University of Castilla-La Mancha, ETSI Industrial, VISILAB, Ciudad Real, Spain; Bueno G., University of Castilla-La Mancha, ETSI Industrial, VISILAB, Ciudad Real, Spain</t>
  </si>
  <si>
    <t xml:space="preserve">Deep Learning; Neural Networks; Object Detection; Parasitic Eggs; Transformers</t>
  </si>
  <si>
    <t xml:space="preserve">Deep learning; Diagnosis; Network architecture; Object recognition; Statistical tests; Tropics; Deep learning; Detection tasks; Healthcare problems; Intestinal parasites; Neural-networks; Object detection method; Objects detection; Parasitic eggs; Subtropical area; Transformer; Object detection</t>
  </si>
  <si>
    <t xml:space="preserve">Autonomous Government of Castilla-La Mancha, (FPU17/04758, PRE2018-083772); European Union NextGenerationEU/PRTR, (SBPLY/17/180501/000543); Spanish Ministry of Economy and Business, (PDC2021-121197-C22); Ministerio de Ciencia, Innovación y Universidades, MCIU; Ministerio de Ciencia e Innovación, MICINN; Agencia Estatal de Investigación, AEI</t>
  </si>
  <si>
    <t xml:space="preserve">This work was partially funded by projects TIN2017-82113-C2-2-R by the Spanish Ministry of Economy and Business, PDC2021-121197-C22 (funded by MCIN/AEI/ 10.13039/501100011033 and by the European Union NextGenerationEU/PRTR) and SBPLY/17/180501/000543 by the Autonomous Government of Castilla-La Mancha; as well as the Postgraduate Grants FPU17/04758 and PRE2018-083772 from the Spanish Ministry of Science, Innovation, and Universities.</t>
  </si>
  <si>
    <t xml:space="preserve">Soil-transmitted helminth infections; Quinn J.A., Nakasi R., Mugagga P.K.B., Byanyima P., Lubega W., Andama A., Deep convolutional neural networks for microscopy-based point of care diagnostics, Machine Learning for Healthcare Conference., pp. 271-281, (2016); Roder M., Passos L.A., Ribeiro L.C.F., Benato B.C., Falcao A.X., Papa J.P., Intestinal parasites classification using deep belief networks, International Conference on Artificial Intelligence and Soft Computing, pp. 242-251, (2020); Suwannaphong T., Chavana S., Tongsom S., Palasuwan D., Chalidabhongse T.H., Anantrasirichai N., Parasitic egg detection and classification in low-cost microscopic images using transfer learning, (2021); Mayo P., Anantrasirichai N., Chalidabhongse T.H., Palasuwan D., Achim A., Detection of parasitic eggs from microscopy images and the emergence of a new dataset, (2022); Parasitic Egg Detection and Classification in Microscopic Images; Vaswani A., Shazeer N., Parmar N., Et al., Attention is all you need, Advances in Neural Information Processing Systems, (2017); Dosovitskiy A., Beyer L., Kolesnikov A., Et al., An image is worth 16x16 words: Transformers for image recognition at scale, (2020); Carion N., Massa F., Synnaeve G., Usunier N., Kirillov A., Zagoruyko S., End-to-end object detection with transformers, European conference on computer vision, pp. 213-229, (2020); Zhu X., Su W., Lu L., Li B., Wang X., Dai J., Deformable DETR: Deformable Transformers for End-to-End Object Detection, International Conference on Learning Representations, (2021); Ren S., He K., Girshick R., Sun J., Faster R-CNN: Towards real-time object detection with region proposal networks, Advances in neural information processing systems, 28, (2015); He K., Gkioxari G., Dollar P., Girshick R., Mask R-CNN, Proceedings of the IEEE international Conference on Computer Vision, pp. 2961-2969, (2017); Cai Z., Vasconcelos N., Cascade R-CNN: Delving into High Quality Object Detection, Proceedings of the IEEE Conference on Computer Vision and Pattern Recognition, pp. 6154-6162, (2018); Liu Z., Lin Y., Cao Y., Hu H., Wei Y., Zhang Z., Lin S., Guo B., Swin transformer: Hierarchical vision transformer using shifted windows, Proceedings of the IEEE/CVF International Conference on Computer Vision, pp. 10012-10022, (2021); Xie Z., Lin Y., Yao Z., Zhang Z., Dai Q., Cao Y., Hu H., Self-supervised learning with swin transformers, (2021); Chen X., Fan H., Girshick R., He K., Improved baselines with momentum contrastive learning, (2020); Grill J.-B., Strub F., Altche F., Tallec C., Richemond P., Buchatskaya E., Doersch C., Pires B.A., Guo Z., Azar M.G., Et al., Bootstrap your own latent-a new approach to self-supervised learning, Advances in Neural Information Processing Systems, 33, pp. 21271-21284, (2020); Hugging Face DETR Implementation; Chen K., Wang J., Pang J., Cao Y., Xiong Y., Et al., MMDetection: Open MMLab Detection Toolbox and Benchmark, (2019); Official implementation for Swin Transformer: Hierarchical Vision Transformer using Shifted Windows; Official implementation for Self-Supervised Learning with Swin Transformers</t>
  </si>
  <si>
    <t xml:space="preserve">The Institute of Electrical and Electronics Engineers Signal Processing Society</t>
  </si>
  <si>
    <t xml:space="preserve">29th IEEE International Conference on Image Processing, ICIP 2022</t>
  </si>
  <si>
    <t xml:space="preserve">16 October 2022 through 19 October 2022</t>
  </si>
  <si>
    <t xml:space="preserve">Bordeaux</t>
  </si>
  <si>
    <t xml:space="preserve">978-166549620-9</t>
  </si>
  <si>
    <t xml:space="preserve">2-s2.0-85136117794</t>
  </si>
  <si>
    <t xml:space="preserve">Aleixo R.; Kon F.; Rocha R.; Camargo M.S.; De Camargo R.Y.</t>
  </si>
  <si>
    <t xml:space="preserve">Aleixo, Robson (57837916100); Kon, Fabio (6602156198); Rocha, Rudi (56038032600); Camargo, Marcela Santos (57838375700); De Camargo, Raphael Y. (13105073800)</t>
  </si>
  <si>
    <t xml:space="preserve">57837916100; 6602156198; 56038032600; 57838375700; 13105073800</t>
  </si>
  <si>
    <t xml:space="preserve">Predicting Dengue Outbreaks with Explainable Machine Learning</t>
  </si>
  <si>
    <t xml:space="preserve">Seasonal infectious diseases, such as dengue, have been causing great losses in many countries around the world in terms of deaths, quality of life, and economic burden. In Brazil, this is relevant not only in large cities such as Rio de Janeiro and São Paulo but, according to the Ministry of Health, in another 500 cities throughout the country. Predicting the occurrence of diseases, such as dengue bursts, can be a valuable instrument for public health management as health officials can better prepare and redirect resources to the affected areas. In this paper, we present an explainable machine learning model to forecast the number of dengue occurrences in a large metropolis, Rio de Janeiro. We focus on explainable models, which provide health authorities with the reasons for outbreak predictions, allowing them to plan their actions accordingly. We trained a gradient boosting decision tree algorithm (CatBoost) with data from the National System of Information on Notifiable Diseases (SINAN), weather data, and socio-demographic data from The Brazilian Institute of Geoaraphy and Statistics (IBGE). © 2022 IEEE.</t>
  </si>
  <si>
    <t xml:space="preserve">Proceedings - 22nd IEEE/ACM International Symposium on Cluster, Cloud and Internet Computing, CCGrid 2022</t>
  </si>
  <si>
    <t xml:space="preserve">10.1109/CCGrid54584.2022.00114</t>
  </si>
  <si>
    <t xml:space="preserve">https://www.scopus.com/inward/record.uri?eid=2-s2.0-85135750144&amp;doi=10.1109%2fCCGrid54584.2022.00114&amp;partnerID=40&amp;md5=d2f62e3eafe4e8235eeb0f8614705b4f</t>
  </si>
  <si>
    <t xml:space="preserve">University of São Paulo, Department of Computer Science, Brazil; Institute for Health Policy Studies (IEPS), São Paulo School of Business Adm. (FGV), Brazil; Federal University of Abc, Center of Mathematics, Computing, and Cognition, Brazil</t>
  </si>
  <si>
    <t xml:space="preserve">Aleixo R., University of São Paulo, Department of Computer Science, Brazil; Kon F., University of São Paulo, Department of Computer Science, Brazil; Rocha R., Institute for Health Policy Studies (IEPS), São Paulo School of Business Adm. (FGV), Brazil; Camargo M.S., Institute for Health Policy Studies (IEPS), São Paulo School of Business Adm. (FGV), Brazil; De Camargo R.Y., Federal University of Abc, Center of Mathematics, Computing, and Cognition, Brazil</t>
  </si>
  <si>
    <t xml:space="preserve">Dengue Fever; Epidemiology; Explainable AI; Machine Learning; Public Health</t>
  </si>
  <si>
    <t xml:space="preserve">Adaptive boosting; Decision trees; Forecasting; Machine learning; Affected area; Dengue fevers; Economic burden; Explainable AI; Health management; Infectious disease; Large cities; Machine-learning; Quality of life; Sao Paulo; Public health</t>
  </si>
  <si>
    <t xml:space="preserve">Fundação de Amparo à Pesquisa do Estado de São Paulo, FAPESP, (14/50937-1, 15/24485-9); Coordenação de Aperfeiçoamento de Pessoal de Nível Superior, CAPES; Conselho Nacional de Desenvolvimento Científico e Tecnológico, CNPq, (465446/2014-0)</t>
  </si>
  <si>
    <t xml:space="preserve">This research is part of the INCT of the Future Internet for Smart Cities funded by CNPq proc. 465446/2014-0, Coordenac¸ão de Aperfeic¸oamento de Pessoal de Nível Superior – Brasil (CAPES) – Finance Code 001, FAPESP proc. 14/50937-1, and FAPESP proc. 15/24485-9. 1https://www.cdc.gov/dengue/about/index.html</t>
  </si>
  <si>
    <t xml:space="preserve">Wiemken T.L., Kelley R.R., Machine learning in epidemiology and health outcomes research, Annual Review of Public Health, 41, pp. 21-36, (2020); Siriyasatien P., Chadsuthi S., Jampachaisri K., Kesorn K., Dengue epidemics prediction: a survey of the state-of-the-art based on data science processes, IEEE Access, 6, pp. 53757-53795, (2018); Jain R., Sontisirikit S., Iamsirithaworn S., Prendinger H., Prediction of dengue outbreaks based on disease surveillance, meteorological and socio-economic data, BMC Infectious Diseases, 19, 1, pp. 1-16, (2019); Chumpu R., Khamsemanan N., Nattee C., The association between dengue incidences and provincial-level weather variables in thailand from 2001 to 2014, Plos One, 14, 12, (2019); Ramadona A.L., Lazuardi L., Hii Y.L., Holmner A°., Kusnanto H., Rocklov J., Prediction of dengue outbreaks based on disease surveillance and meteorological data, PloS One, 11, 3, (2016); Zhu G., Hunter J., Jiang Y., Improved prediction of dengue outbreak using the delay permutation entropy, 2016 IEEE Int. Conf. on Internet of Things (iThings) and Green Computing and Communications (GreenCom) and Cyber, Physical and Social Computing (CPSCom) and Smart Data (SmartData), pp. 828-832, (2016); Deb S., Deb S., An ensemble method for early prediction of dengue outbreak, Journal of the Royal Statistical Society: Series A (Statistics in Society), (2021); Roster K., Rodrigues F.A., Neural Networks For Dengue Prediction: A Systematic Review, (2021); Enslen A.W., Lima Neto A.S., Castro M.C., Infestation measured by aedes aegypti larval surveys as an indication of future dengue epidemics: an evaluation for brazil, Transactions of the Royal Society of Tropical Medicine and Hygiene, 114, 7, pp. 506-512, (2020); Subramanian R., Romeo-Aznar V., Ionides E., Codeco C.T., Pascual M., Predicting re-emergence times of dengue epidemics at low reproductive numbers: Denv1 in rio de janeiro 1986-1990, Journal of the Royal Society Interface, 17, 167, (2020); Bomfim R., Pei S., Shaman J., Yamana T., Makse H.A., Andrade J.S., Lima Neto A.S., Furtado V., Predicting dengue outbreaks at neighbourhood level using human mobility in urban areas, Journal of the Royal Society Interface, 17, 171, (2020); Bakar A.A., Kefli Z., Abdullah S., Sahani M., Predictive models for dengue outbreak using multiple rulebase classifiers, Proceedings of the 2011 International Conference on Electrical Engineering and Informatics, pp. 1-6, (2011); Chen C.-C., Chang H.-C., Predicting dengue outbreaks using approximate entropy algorithm and pattern recognition, Journal of Infection, 67, 1, pp. 65-71, (2013); McGough S.F., Clemente L., Kutz J.N., Santillana M., A dynamic, ensemble learning approach to forecast dengue fever epidemic years in brazil using weather and population susceptibility cycles, Journal of the Royal Society Interface, 18, 179, (2021); De Janeiro M.R., Dengue: Dados Epidemiológicos, (2021); De Meteorologia I.N., Dados Climáticos, (2021); Dados Sociodemográficos, (2021); Saude De Estabelecimentos De C.N., Cadastro nacional de estabelecimentos de saúde, (2021); Prokhorenkova L., Gusev G., Vorobev A., Dorogush A.V., Gulin A., Catboost: Unbiased boosting with categorical features, Proceedings of the 32nd International Conference on Neural Information Processing Systems, ser. nips'18, pp. 6639-6649, (2018); Lundberg S.M., Erion G., Chen H., DeGrave A., Prutkin J.M., Nair B., Katz R., Himmelfarb J., Bansal N., Lee S.-I., From local explanations to global understanding with explainable ai for trees, Nature Machine Intelligence, 2, 1, pp. 56-67, (2020); Lundberg S.M., Lee S.-I., A unified approach to interpreting model predictions, Proceedings of the 31st International Conference on Neural Information Processing Systems, ser. nips'17, pp. 4768-4777, (2017)</t>
  </si>
  <si>
    <t xml:space="preserve">Fazio M.; Panda D.K.; Prodan R.; Cardellini V.; Kantarci B.; Rana O.; Villari M.</t>
  </si>
  <si>
    <t xml:space="preserve">22nd IEEE/ACM International Symposium on Cluster, Cloud and Internet Computing, CCGrid 2022</t>
  </si>
  <si>
    <t xml:space="preserve">16 May 2022 through 19 May 2022</t>
  </si>
  <si>
    <t xml:space="preserve">Taormina</t>
  </si>
  <si>
    <t xml:space="preserve">978-166549956-9</t>
  </si>
  <si>
    <t xml:space="preserve">Proc. - IEEE/ACM Int. Symp. Cluster, Cloud Internet Comput., CCGrid</t>
  </si>
  <si>
    <t xml:space="preserve">2-s2.0-85135750144</t>
  </si>
  <si>
    <t xml:space="preserve">Sarwar M.T.; Al Mamun M.</t>
  </si>
  <si>
    <t xml:space="preserve">Sarwar, Md. Toyhid (58288430500); Al Mamun, Md. (59483277800)</t>
  </si>
  <si>
    <t xml:space="preserve">58288430500; 59483277800</t>
  </si>
  <si>
    <t xml:space="preserve">Prediction of Dengue using Machine Learning Algorithms: Case Study Dhaka</t>
  </si>
  <si>
    <t xml:space="preserve">In recent years, Bangladesh and the South Asian countries are facing a huge problem from mosquito-borne diseases like dengue fever. According to WHO, the global dengue incidence has grown dramatically in recent decades and there are an estimated 100-400 million infections each year. Approximately 100 million people get sick from infection, and 22,000 die from severe dengue. If we can predict the high time of dengue with environmental/meteorological factors then we can take precautionary steps to mitigate the dengue outbreak. The proposed prediction model can accurately predict this epidemic with machine learning algorithms. In this research, environmental factors like rainfall, humidity, temperature of Dhaka city are considered. The proposed machine learning model uses Support Vector Machine (SVM) for prediction which performs better than the other models used for comparison. Precision, recall, f1 score, accuracy score are used as the measurement of the performance. We got 97% accuracy in SVM for predicting the dengue epidemic in Bangladesh. Most of the research works in this area have been focused on visualizing the dengue scenario whereas this paper contributes an efficient machine learning model with limited available data for predicting the dengue.  © 2022 IEEE.</t>
  </si>
  <si>
    <t xml:space="preserve">4th International Conference on Electrical, Computer and Telecommunication Engineering, ICECTE 2022</t>
  </si>
  <si>
    <t xml:space="preserve">10.1109/ICECTE57896.2022.10114535</t>
  </si>
  <si>
    <t xml:space="preserve">https://www.scopus.com/inward/record.uri?eid=2-s2.0-85160214228&amp;doi=10.1109%2fICECTE57896.2022.10114535&amp;partnerID=40&amp;md5=c704f9ead3f6553e65cef79b07805d19</t>
  </si>
  <si>
    <t xml:space="preserve">Rajshahi University of Engineering and Technology, Department of Computer Science and Engineering, Rajshahi, Bangladesh</t>
  </si>
  <si>
    <t xml:space="preserve">Sarwar M.T., Rajshahi University of Engineering and Technology, Department of Computer Science and Engineering, Rajshahi, Bangladesh; Al Mamun M., Rajshahi University of Engineering and Technology, Department of Computer Science and Engineering, Rajshahi, Bangladesh</t>
  </si>
  <si>
    <t xml:space="preserve">dengue epidemic; dengue prediction; logistic regression; machine learning; SVM; XGBOOST</t>
  </si>
  <si>
    <t xml:space="preserve">Epidemiology; Learning algorithms; Learning systems; Logistic regression; Support vector machines; Bangladesh; Case-studies; Dengue epidemic; Dengue prediction; Logistics regressions; Machine learning algorithms; Machine learning models; Machine-learning; Support vectors machine; XGBOOST; Forecasting</t>
  </si>
  <si>
    <t xml:space="preserve">Hsan K., Hossain M.M., Sarwar M.S., Wilder-Smith A., Gozal D., Unprecedented rise in dengue outbreaks in bangladesh, The Lancet Infectious Diseases, 19, 12, (2019); Kesetyaningsih T.W., Andarini S., Sudarto S., Pramoedyo H., Determination of environmental factors affecting dengue incidence in sleman district, yogyakarta, indonesia, African journal of infectious diseases, 12, 1 S, pp. 13-25, (2018); Murray N., Quam M., Epidemiology of dengue: Past, present and future prospects, Clin Epidemiol, 5, pp. 299-309, (2013); Pham D.N., Aziz T., Kohan A., Nellis S., Khoo J.J., Lukose D., Bakar S.A., Sattar A., Ong H.H., Et al., How to efficiently predict dengue incidence in kuala lumpur, 2018 Fourth International Conference on Advances in Computing, Communication &amp; Automation (ICACCA). IEEE, pp. 1-6, (2018); Muurlink O.T., Stephenson P., Islam M.Z., Taylor-Robinson A.W., Long-term predictors of dengue outbreaks in bangladesh: A data mining approach, Infectious Disease Modelling, 3, pp. 322-330, (2018); Nakvisut A., Phienthrakul T., Two-step prediction technique for dengue outbreak in thailand, 2018 International Electrical Engineering Congress (iEECON). IEEE, pp. 1-4, (2018); Chovatiya M., Dhameliya A., Deokar J., Gonsalves J., Mathur A., Prediction of dengue using recurrent neural network, 2019 3rd International Conference on Trends in Electronics and Informatics (ICOEI). IEEE, pp. 926-929, (2019); Baker Q.B., Faraj D., Alguzo A., Forecasting dengue fever using machine learning regression techniques, 2021 12th International Conference on Information and Communication Systems (ICICS). IEEE, pp. 157-163, (2021); Bin M.I., Dauda U., Standardization and its effects on kmeans clustering algorithm, Research Journal of Applied Sciences, Engineering and Technology, 6, (2013); Monowar K.F., Hasan M.A.M., Shin J., A lightweight convolutional neural network model for child pneumonia classification, 2021 International Conference on Information and Communication Technology for Sustainable Development (ICICT4SD). IEEE, pp. 269-273, (2021); Derczynski L., Complementarity, f-score, and nlp evaluation, Proceedings of the Tenth International Conference on Language Resources and Evaluation (LREC'16), pp. 261-266, (2016); Ben-Hur A., Weston J., A user's guide to support vector machines, Data mining techniques for the life sciences, pp. 223-239, (2010); Li J., Liu H., Yang Z., Han L., A credit risk model with small sample data based on g-xgboost, Applied Artificial Intelligence, pp. 1-17, (2021)</t>
  </si>
  <si>
    <t xml:space="preserve">Bangladesh Hi-Tech Park Authority; Gazi Communications; ICT Division; Nesco; SincoS; Supersign Cable</t>
  </si>
  <si>
    <t xml:space="preserve">29 December 2022 through 31 December 2022</t>
  </si>
  <si>
    <t xml:space="preserve">979-835032054-1</t>
  </si>
  <si>
    <t xml:space="preserve">Int. Conf. Electr., Comput. Telecommun. Eng., ICECTE</t>
  </si>
  <si>
    <t xml:space="preserve">2-s2.0-85160214228</t>
  </si>
  <si>
    <t xml:space="preserve">Aravinth S.S.; Thiyagarajan R.; Rameshkumar M.; Richard William A.; Sakthivel P.</t>
  </si>
  <si>
    <t xml:space="preserve">Aravinth, S.S. (56084992700); Thiyagarajan, R. (57563076400); Rameshkumar, M. (57564088100); Richard William, A. (57564599000); Sakthivel, P. (58354333300)</t>
  </si>
  <si>
    <t xml:space="preserve">56084992700; 57563076400; 57564088100; 57564599000; 58354333300</t>
  </si>
  <si>
    <t xml:space="preserve">The Roles of Supervised Machine Learning Algorithms in Medical Treatment System</t>
  </si>
  <si>
    <t xml:space="preserve">Artificial Intelligence is the broader section and subdomain of the field of computer science and applications. It is a process of creating or developing self-autonomous machines to replicate human intelligence and behaviours. To meet the goals of AI, and to link the gap in AI, machine learning concepts have emerged. With the help of available data and experience, the ML algorithms are trained and employed to draw some hidden information and underlying patterns. Based on the dataset, and output, many ML algorithms are being used in recent research studies. The ML algorithms are separated into three broad categories such as supervised, unsupervised, and reinforcement learning algorithms. These ML algorithms are being used to extract meaningful information and prediction parameters. Many ML algorithms have been applied and implemented on earlier disease prediction and analysis. Roughly of the unsupervised algorithms were also applied to maintain the integrity in preserving the medical related health care records (Rizwana et al. in Int J Recent Technol Eng 7(6): 579–582, 2019). ML algorithms with image processing techniques were also employed to predict the malaria disease in the past years (Sajana and Narasingarao in J Adv Res Dyn Control Syst 9(6): 349–369, 2017). In this paper, the supervised, unsupervised and semi-supervised learning algorithms used in medical treatment are discussed and analysed. The comparative study is also proposed with necessary analysis results along with facts and figures. Each and every types of algorithms are compared with the results in various health related issues and treatment. This paper is arranged as six chapters. The first chapter gives the introduction about the need of ML enabled clinical system. Followed by, further chapters are argued about the various supervised ML algorithms and those usages in medical treatment system. © 2022, The Author(s), under exclusive license to Springer Nature Singapore Pte Ltd.</t>
  </si>
  <si>
    <t xml:space="preserve">10.1007/978-981-16-8987-1_34</t>
  </si>
  <si>
    <t xml:space="preserve">https://www.scopus.com/inward/record.uri?eid=2-s2.0-85127642085&amp;doi=10.1007%2f978-981-16-8987-1_34&amp;partnerID=40&amp;md5=a36091542424eda16e7c0f9fe404c1eb</t>
  </si>
  <si>
    <t xml:space="preserve">Department of Computer Science and Engineering, Koneru Lakshmaiah Education Foundation, AP, Vaddeswaram, India; Department of Bio Medical Engineering, Shreenivasa Engineering College, TN, B. Pallipatti, India; Principal, AVS College of Technology, TN, Salem, India; Department of Information Technology, Er. PMC, TN, Hosur, India; Department of Computer Science and Engineering, Knowledge Institute of Technology, TN, Salem, India</t>
  </si>
  <si>
    <t xml:space="preserve">Aravinth S.S., Department of Computer Science and Engineering, Koneru Lakshmaiah Education Foundation, AP, Vaddeswaram, India; Thiyagarajan R., Department of Bio Medical Engineering, Shreenivasa Engineering College, TN, B. Pallipatti, India; Rameshkumar M., Principal, AVS College of Technology, TN, Salem, India; Richard William A., Department of Information Technology, Er. PMC, TN, Hosur, India; Sakthivel P., Department of Computer Science and Engineering, Knowledge Institute of Technology, TN, Salem, India</t>
  </si>
  <si>
    <t xml:space="preserve">Decision tree; Disease prediction; Healthcare; Random forest; Regression; Supervised algorithms; SVM</t>
  </si>
  <si>
    <t xml:space="preserve">Shinde S.A., Raja Rajeswari P., A novel hybrid framework for cuff-less blood pressure estimation based on vital bio signals processing using machine learning, Int J Adv Trends Comput Sci Eng, 9, 2, pp. 1556-1561, (2020); Tumuluru P., Lakshmi C.P., Sahaja T., Prazna R., A review of Machine Learning techniques for breast cancer diagnosis in medical applications, Proceedings of the 3Rd International Conference on I-SMAC Iot in Social, Mobile, Analytics and Cloud, I-SMAC 2019, December 2019, Article, pp. 618-623, (2019); Prakash K.B., Imambi S.S., Ismail M., Pavan Kumar T., Naga Pawan Y.V.R., Analysis, prediction and evaluation of covid-19 datasets using machine learning algorithms. Int J Emerging Trends Eng Res 8(5), Article, 117, pp. 2199-2204, (2020); Razia S., Swathi Prathyusha P., Vamsi Krishna N., Sathya Sumana N., A comparative study of machine learning algorithms on thyroid disease prediction, Int J Eng Technol (UAE), 7, 2, pp. 315-319, (2018); Srinivas P.V.V.S., Pavan Sai Sujith L.V.N., Sarvani P.M., Kumar D.S., Parasa D., Prediction of hospital admission using machine learning, Int J Sci Technol Res, 8, 12, pp. 2764-2770, (2019); Saba S.S., Sreelakshmi D., Sampath Kumar P., Sai Kumar K., Saba S.R., Logistic regression machine learning algorithm on MRI brain image for fast and accurate diagnosis, Int J Sci Technol Res, 9, 3, pp. 7076-7081, (2020); Dharmapuri S.L., Dandamudi P.K., Botcha V.M., Kolla B.P., Detecting central nervous system disorder using machine learning technique (XGB classifier), Int J Emerging Trends Eng Res, 8, 4, pp. 1142-1147, (2020); Sajana T., Narasingarao M.R., Machine learning techniques for malaria disease diag-nosis—a review, J Adv Res Dyn Control Syst, 9, 6, pp. 349-369, (2017); Rizwana S., Challa K., Rafi S., Imambi S.S., Enhanced biomedical data modelling using unsupervised probabilistic machine learning technique, Int J Recent Technol Eng, 7, 6, pp. 579-582, (2019)</t>
  </si>
  <si>
    <t xml:space="preserve">S.S. Aravinth; Department of Computer Science and Engineering, Koneru Lakshmaiah Education Foundation, Vaddeswaram, AP, India; email: aravinthkrithick@gmail.com</t>
  </si>
  <si>
    <t xml:space="preserve">2-s2.0-85127642085</t>
  </si>
  <si>
    <t xml:space="preserve">Sultani W.; Nawaz W.; Javed S.; Danish M.S.; Saadia A.; Ali M.</t>
  </si>
  <si>
    <t xml:space="preserve">Sultani, Waqas (36622398000); Nawaz, Wajahat (57202812059); Javed, Syed (57207875762); Danish, Muhammad Sohail (57362568700); Saadia, Asma (57962963500); Ali, Mohsen (57054179100)</t>
  </si>
  <si>
    <t xml:space="preserve">36622398000; 57202812059; 57207875762; 57362568700; 57962963500; 57054179100</t>
  </si>
  <si>
    <t xml:space="preserve">Towards Low-Cost and Efficient Malaria Detection</t>
  </si>
  <si>
    <t xml:space="preserve">Malaria, a fatal but curable disease claims hundreds of thousands of lives every year. Early and correct diagnosis is vital to avoid health complexities, however, it depends upon the availability of costly microscopes and trained experts to analyze blood-smear slides. Deep learning-based methods have the potential to not only decrease the burden of experts but also improve diagnostic accuracy on low-cost microscopes. However, this is hampered by the absence of a reasonable size dataset. One of the most challenging aspects is the reluctance of the experts to annotate the dataset at low magnification on low-cost microscopes. We present a dataset to further the research on malaria microscopy over low-cost microscopes at low magnification. Our large-scale dataset consists of images of blood-smear slides from several malaria-infected patients, collected through micro-scopes at two different cost spectrums and multiple magnifications. Malarial cells are annotated for the localization and life-stage classification task on the images collected through the high-cost microscope at high magnification. We design a mechanism to transfer these annotations from the high-cost microscope at high magnification to the low-cost microscope, at multiple magnifications. Multiple object detectors and domain adaptation methods are presented as the baselines. Furthermore, a partially supervised domain adaptation method is introduced to adapt the object-detector to work on the images collected from the low-cost microscope. The dataset is available here: http://im.itu.edu.pk/m5-malaria-dataset/ © 2022 IEEE.</t>
  </si>
  <si>
    <t xml:space="preserve">Proceedings of the IEEE Computer Society Conference on Computer Vision and Pattern Recognition</t>
  </si>
  <si>
    <t xml:space="preserve">10.1109/CVPR52688.2022.02003</t>
  </si>
  <si>
    <t xml:space="preserve">https://www.scopus.com/inward/record.uri?eid=2-s2.0-85133215760&amp;doi=10.1109%2fCVPR52688.2022.02003&amp;partnerID=40&amp;md5=484b878af3e685b576484cfb4c44797c</t>
  </si>
  <si>
    <t xml:space="preserve">Information Technology University, Intelligent Machines Lab, Pakistan; Central Park Medical College, Pakistan</t>
  </si>
  <si>
    <t xml:space="preserve">Sultani W., Information Technology University, Intelligent Machines Lab, Pakistan; Nawaz W., Information Technology University, Intelligent Machines Lab, Pakistan; Javed S., Information Technology University, Intelligent Machines Lab, Pakistan; Danish M.S., Information Technology University, Intelligent Machines Lab, Pakistan; Saadia A., Central Park Medical College, Pakistan; Ali M., Information Technology University, Intelligent Machines Lab, Pakistan</t>
  </si>
  <si>
    <t xml:space="preserve">biological and cell microscopy; categorization; Computer vision for social good; Datasets and evaluation; Medical; Recognition: detection; retrieval</t>
  </si>
  <si>
    <t xml:space="preserve">Blood; Costs; Deep learning; Diagnosis; Diseases; Large dataset; Microscopes; Object detection; Biological and cell microscopy; Blood smears; Categorization; Computer vision for social good; Dataset and evaluation; High costs; Low-costs; Medical; Recognition: detection; Retrieval; Computer vision</t>
  </si>
  <si>
    <t xml:space="preserve">malaria dataset; Centers for disease control and prevention; Part of the endoscopic vision challenge; Ahonen T., Hadid A., Pietikainen M., Face recognition with local binary patterns, Computer Vision-ECCV2004, (2004); Ammar Arshad Q., Ali M., Hassan S., Chen C., Imran A., Rasul G., Sultani W., A dataset and benchmark for malaria life-cycle classification in thin blood smear images, (2021); Ashraf S., Kao A., Hugo C., Christophel E.M., Fatunmbi B., Luchavez J., Lilley K., Bell D., Developing standards for malaria microscopy: external competency assessment for malaria microscopists in the asia-pacific, Malaria journal, 11, 1, (2012); Bay H., Ess A., Tuytelaars T., Van Gool L., Speeded-up robust features (surf), Computer Vision and Image Understanding, pp. 346-359, (2008); Chen K., Wang J., Pang J., Cao Y., Xiong Y., Li X., Sun S., Feng W., Liu Z., Xu J., Zhang Z., Cheng D., Zhu C., Cheng T., Zhao Q., Li B., Lu X., Zhu R., Wu Y., Dai J., Wang J., Shi J., Ouyang W., Change Loy C., Lin D., MMDetection: Open mmlab detection toolbox and benchmark, (2019); Chen Y., Li W., Sakaridis C., Dai D., Van Gool L., Domain adaptive faster r-cnn for object detection in the wild, Proceedings of the IEEE conference on computer vision and pattern recognition, pp. 3339-3348, (2018); Cortes C., Vapnik V., Support-vector networks, Machine learning, 20, pp. 273-297, (1995); Dave I.R., Image analysis for malaria parasite detection from microscopic images of thick blood smear, 2017 International Conference on Wireless Communications, Signal Processing and Networking (WiSPNET), pp. 1303-1307, (2017); Di Ruberto C., Dempster A., Khan S., Jarra B., Analysis of infected blood cell images using morphological operators, Image and vision computing, 20, 2, pp. 133-146, (2002); Diaz G., Gonzalez F.A., Romero E., A semi-automatic method for quantification and classification of erythrocytes infected with malaria parasites in microscopic images, Journal of Biomedical Informatics, 42, 2, pp. 296-307, (2009); Fatima T., Shahid Farid M., Automatic detection of Plasmodium parasites from microscopic blood images, Journal of Parasitic Diseases, 44, 1, pp. 69-78, (2020); Fischler M.A., Bolles R.C., Random sample consensus: A paradigm for model fitting with applications to image analysis and automated cartography, Commun. ACM, 24, pp. 381-395, (1981); He K., Zhang X., Ren S., Sun J., Deep residual learning for image recognition, 2016 IEEE Conference on Computer Vision and Pattern Recognition (CVPR), pp. 770-778, (2016); Hung J., Carpenter A., Applying faster r-cnn for object detection on malaria images, Proceedings of the IEEE Conference on Computer Vision and Pattern Recognition (CVPR) Workshops, (2017); Krizhevsky A., Sutskever I., Hinton G.E., Imagenet classification with deep convolutional neural networks, Advances in Neural Information Processing Systems, (2012); Kumar Kumarasamy S., Ong S.H., Tan K.S.W., Robust contour reconstruction of red blood cells and parasites in the automated identification of the stages of malarial infection, Machine Vision and Applications, 22, 3, pp. 461-469, (2011); Landier J., Parker D.M., Myint Thu A., Carrara V.I., Maung Lwin K., Borinington C.A., Pukrittayakamee S., Delmas G., Nosten F.H., The role of early detection and treatment in malaria elimination, Malaria journal, 15, 1, pp. 1-8, (2016); Li H., Wang Y., Wan R., Wang S., Li T., Kot A.C., Domain generalization for medical imaging classification with linear-dependency regulariza-tion, (2020); Lin T., Goyal P., Girshick R., He K., Dollar P., Focal loss for dense object detection, 2017 IEEE International Conference on Computer Vision (ICCV), (2017); Linder N., Turkki R., Walliander M., Martensson A., Diwan V., Rahtu E., Pietikainen M., Lundin M., Lundin J., A malaria diagnostic tool based on computer vision screening and visualization of Plasmodium falciparum candidate areas in digitized blood smears, PLoS One, 9, 8, (2014); Liu Y., Wu Y., Ban Y., Wang H., Cheng M., Rethinking computer-aided tuberculosis diagnosis, 2020IEEE/CVF Conference on Computer Vision and Pattern Recognition (CVPR), pp. 2643-2652, (2020); Loddo A., Di Ruberto C., Kocher M., Prod'Hom G., Mp-idb: The malaria parasite image database for image processing and analysis, Sipaim-Miccai Biomedical Workshop, pp. 57-65, (2018); Lowe D.G., Distinctive image features from scale-invariant keypoints, Int. J. Comput. Vision, pp. 91-110, (2004); Mathison B., Pritt B., Update on malaria diagnostics and test utilization, Journal of Clinical Microbiology, 55, (2017); Mehanian C., Jaiswal M., Delahunt C., Thompson C., Horning M., Hu L., Ostbye T., McGuire S., Mehanian M., Champlin C., Et al., Computer-automated malaria diagnosis and quantitation using convolutional neural networks, Proceedings of the IEEE International Conference on Computer Vision Workshops, pp. 116-125, (2017); Molina A., Alferez S., Boldii L., Acevedo A., Rodellar J., Merino A., Sequential classification system for recognition of malaria infection using peripheral blood cell images, Journal of Clinical Pathology, (2020); World malaria report 2020: 20 years of global progress and challenges, World Health Organization, (2020); World malaria report 2019, (2019); Phillips N.A., Rajpurkar P., Sabini M., Krishnan R., Zhou S., Pareek A., Minh Phu N., Wang C., Jain M., Duong Du N., Truong S.Q.H., Ng A.Y., Lungren M.P., Chex-photo: 10, 000+photos and transformations of chest x-rays for benchmarking deep learning robustness, Proceedings of the Machine Learning for Health NeurlPS Workshop, 136, (2020); Rajaraman S., Antani S.K., Poostchi M., Silamut K., Hossain M.A., Maude R.J., Jaeger S., Thoma G.R., Pre-trained convolutional neural networks as feature extractors toward improved malaria parasite detection in thin blood smear images, Peer], 6, (2018); Moh-Ana Rao K.N.R., Dempster A.G., Jarra B., Khan S., Automatic scanning of malaria infected blood slide images using mathematical morphology, (2002); Redmon J., Farhadi A., Yolov3: An incremental improvement, (2018); Ren S., He K., Girshick R., Sun J., Faster r-cnn: Towards real-time object detection with region proposal networks, Advances in Neural Information Processing Systems, (2015); Saito K., Ushiku Y., Harada T., Saenko K., Strong-weak distribution alignment for adaptive object detection, Proceedings of the IEEE/CVF Conference on Computer Vision and Pattern Recognition, (2019); Boray Tek F., Dempster A.G., Kale I., Images of thin blood smears with bounding boxes around malaria parasites (malaria-655); G Boray Tek Andrew Dempster F., Kale I., Malaria parasite detection in peripheral blood images, BMVA, (2006); Tian Z., Shen C., Chen H., He T., FCOS: Fully convolutional one-stage object detection, Proc. Int. Conf. Computer Vision (ICCV), (2019); Umer M., Sadiq S., Ahmad M., Ullah S., Sang Choi G., Mehmood A., A novel stacked cnn for malarial parasite detection in thin blood smear images, IEEE Access, pp. 93782-93792, (2020); Vijayalakshmi A., Et al., Deep learning approach to detect malaria from microscopic images, Multimedia Tools and Applications, pp. 1-21, (2019); Wang X., Peng Y., Lu L., Lu Z., Bagheri M., Summers R.M., Chestx-ray8: Hospital-scale chest x-ray database and benchmarks on weakly-supervised classification and localization of common thorax diseases, CVPR, (2017); Xu M., Wang H., Ni B., Tian Q., Zhang W., Cross-domain detection via graph-induced prototype alignment, Proceedings of the IEEE/CVF Conference on Computer Vision and Pattern Recognition, (2020); Zhu J., Park T., Isola P., Efros A.A., Unpaired image-to-image translation using cycle-consistent adversarial networks, Computer Vision (ICCV), 2017 IEEE International Conference on, (2017); Zia A., Bhattacharyya K., Liu X., Wang Z., Kondo S., Colleoni E., Van Amsterdam B., Hussain R., Hussain R., Maier-Hein L., Stoyanov D., Speidel S., Jarc A., Surgical visual domain adaptation: Results from the miccai 2020 surgvisdom challenge, (2021)</t>
  </si>
  <si>
    <t xml:space="preserve">2022 IEEE/CVF Conference on Computer Vision and Pattern Recognition, CVPR 2022</t>
  </si>
  <si>
    <t xml:space="preserve">19 June 2022 through 24 June 2022</t>
  </si>
  <si>
    <t xml:space="preserve">New Orleans</t>
  </si>
  <si>
    <t xml:space="preserve">978-166546946-3</t>
  </si>
  <si>
    <t xml:space="preserve">PIVRE</t>
  </si>
  <si>
    <t xml:space="preserve">Proc IEEE Comput Soc Conf Comput Vision Pattern Recognit</t>
  </si>
  <si>
    <t xml:space="preserve">2-s2.0-85133215760</t>
  </si>
  <si>
    <t xml:space="preserve">Gummadi S.D.; Ghosh A.; Vootla Y.</t>
  </si>
  <si>
    <t xml:space="preserve">Gummadi, Sai Dheeraj (57343683000); Ghosh, Anirban (57213748604); Vootla, Yeswanth (57343390400)</t>
  </si>
  <si>
    <t xml:space="preserve">57343683000; 57213748604; 57343390400</t>
  </si>
  <si>
    <t xml:space="preserve">Transfer Learning based Classification of Plasmodium Falciparum Parasitic Blood Smear Images</t>
  </si>
  <si>
    <t xml:space="preserve">A transfer learning-based convolutional neural network (CNN) architecture is used in the current study to differentiate parasitic malaria cell images from the healthy ones and localize the parasites in infected images using global average pooling(GAP) and heat map. Malaria is a serious malady that can even lead to death in the absence of timely diagnosis. With the use of computerized malaria diagnosis, the suggested solution tackles the problem of timely detection and eases the strain on health care. Three transfer learning-based neural network architectures are studied and compared in terms of their accuracy, precision, sensitivity and specificity. The optimal model with less number of false negatives was then interfaced with a newly developed web service which can be easily accessed and used by common people. The studied models were trained and evaluated on 27,558 single cell images, yielding a maximum accuracy of 96.88%, with 97.35% sensitivity, 96.41% specificity, 96.89% F1-Score, and 96.44% precision.  © 2022 IEEE.</t>
  </si>
  <si>
    <t xml:space="preserve">10th International Symposium on Digital Forensics and Security, ISDFS 2022</t>
  </si>
  <si>
    <t xml:space="preserve">10.1109/ISDFS55398.2022.9800796</t>
  </si>
  <si>
    <t xml:space="preserve">https://www.scopus.com/inward/record.uri?eid=2-s2.0-85134228985&amp;doi=10.1109%2fISDFS55398.2022.9800796&amp;partnerID=40&amp;md5=2c0f7d2082c01acc27e543dbc5ca55e4</t>
  </si>
  <si>
    <t xml:space="preserve">Srm University-AP, Dept. Electronics and Communication Engineering, Guntur, India</t>
  </si>
  <si>
    <t xml:space="preserve">Gummadi S.D., Srm University-AP, Dept. Electronics and Communication Engineering, Guntur, India; Ghosh A., Srm University-AP, Dept. Electronics and Communication Engineering, Guntur, India; Vootla Y., Srm University-AP, Dept. Electronics and Communication Engineering, Guntur, India</t>
  </si>
  <si>
    <t xml:space="preserve">Inception Resnet-V2; Malaria; Plasmodium Falciparum; VGG</t>
  </si>
  <si>
    <t xml:space="preserve">Blood; Convolutional neural networks; Image classification; Network architecture; Web services; Blood smears; Cell images; Convolutional neural network; Inception resnet-v2; Malaria; Neural network architecture; Parasitics; Plasmodium falciparum; Transfer learning; VGG; Diseases</t>
  </si>
  <si>
    <t xml:space="preserve">Salihah A.-N.A., Yusoff M., Zeehaida M., Colour image segmentation approach for detection of malaria parasites using various colour models and k-means clustering, WSEAS Transactions on Biology and Biomedicine, (2013); Malaria; Shekar G., Revathy S., Goud E.K., Malaria detection using deep learning, 2020 4th International Conference on Trends in Electronics and Informatics (ICOEI)(48184), pp. 746-750, (2020); Bibin D., Nair M.S., Punitha P., Malaria parasite detection from peripheral blood smear images using deep belief networks, IEEE Access, 5, pp. 9099-9108, (2017); Saidheeraj G., Yeswanth V., Malaria Fight, (2021); Malaria Diagnostic Tests; Tek F.B., Dempster A.G., Kale I., Parasite detection and identification for automated thin blood film malaria diagnosis, Computer Vision and Image Understanding, 114, 1, pp. 21-32, (2010); Ross N.E., Pritchard C.J., Rubin D.M., Duse A.G., Automated image processing method for the diagnosis and classification of malaria on thin blood smears, Medical and Biological Engineering and Computing, 44, 5, pp. 427-436, (2006); Sample Records for Vivax Malaria Exhibits; Devi S.S., Roy A., Singha J., Sheikh S.A., Laskar R.H., Malaria infected erythrocyte classification based on a hybrid classifier using microscopic images of thin blood smear, Multimedia Tools and Applications, 77, 1, pp. 631-660, (2018); Fn K.T., Daniel T., Pierre E., Emmanuel T., Philippe B., Automated diagnosis of malaria in tropical areas using 40x microscopic images of blood smears, International Journal of Biometrics and Bioinformatics (IJBB), 10, 2, (2016); Prakash S.S., Kovoor B.C., Visakha K., Convolutional neural network based malaria parasite infection detection using thin microscopic blood smear samples, 2020 Second International Conference on Inventive Research in Computing Applications (ICIRCA), pp. 308-313, (2020); Krishnadas P., Sampathila N., Automated detection of malaria implemented by deep learning in pytorch, 2021 IEEE International Conference on Electronics, Computing and Communication Technologies (CONECCT), pp. 1-5, (2021); Malaria Datasets; Rajaraman S., Antani S.K., Poostchi M., Silamut K., Hossain M.A., Maude R.J., Jaeger S., Thoma G.R., Pre-trained convolutional neural networks as feature extractors toward improved malaria parasite detection in thin blood smear images, Peer J, 6, (2018); Simonyan K., Zisserman A., Very Deep Convolutional Networks for Large-scale Image Recognition, (2014); Yadav A., Vishwakarma D.K., A deep learning architecture of ra-dlnet for visual sentiment analysis, Multimedia Systems, 26, pp. 431-451, (2020); Reddy D.S., Bharath R., Rajalakshmi P., Classification of nonalcoholic fatty liver texture using convolution neural networks, In2018 IEEE 20th International Conference on E-Health Networking, Applications and Services (Health com), pp. 1-5, (2018); Gummadi S.D., Vootla Y., Ghosh A., Kartheek P.N., Kandimalla A.K., Transfer learning based detection of pneumonia from chest x-ray images, 2021 13th International Conference on Computational Intelligence and Communication Networks (CICN), pp. 135-139, (2021); Tufail A.B., Ma Y.-K., Zhang Q.-N., Binary classification of alzheimer's disease using smri imaging modality and deep learning, Journal of Digital Imaging, 33, 5, pp. 1073-1090, (2020)</t>
  </si>
  <si>
    <t xml:space="preserve">Varol A.; Karabatak M.; Varol C.</t>
  </si>
  <si>
    <t xml:space="preserve">IEEE Society</t>
  </si>
  <si>
    <t xml:space="preserve">6 June 2022 through 7 June 2022</t>
  </si>
  <si>
    <t xml:space="preserve">978-166549796-1</t>
  </si>
  <si>
    <t xml:space="preserve">Int. Symp. Digit. Forensics Secur., ISDFS</t>
  </si>
  <si>
    <t xml:space="preserve">2-s2.0-85134228985</t>
  </si>
  <si>
    <t xml:space="preserve">da Silva Neto S.R.; Tabosa de Oliveira T.; Teixiera I.V.; Medeiros Neto L.; Souza Sampaio V.; Lynn T.; Endo P.T.</t>
  </si>
  <si>
    <t xml:space="preserve">da Silva Neto, Sebastião Rogério (57219266926); Tabosa de Oliveira, Thomás (57678253800); Teixiera, Igor Vitor (57677947000); Medeiros Neto, Leonides (57678854000); Souza Sampaio, Vanderson (57301548200); Lynn, Theo (25825321500); Endo, Patricia Takako (36160299900)</t>
  </si>
  <si>
    <t xml:space="preserve">57219266926; 57678253800; 57677947000; 57678854000; 57301548200; 25825321500; 36160299900</t>
  </si>
  <si>
    <t xml:space="preserve">Arboviral disease record data - Dengue and Chikungunya, Brazil, 2013–2020</t>
  </si>
  <si>
    <t xml:space="preserve">One of the main categories of Neglected Tropical Diseases (NTDs) are arboviruses, of which Dengue and Chikungunya are the most common. Arboviruses mainly affect tropical countries. Brazil has the largest absolute number of cases in Latin America. This work presents a unified data set with clinical, sociodemographic, and laboratorial data on confirmed patients of Dengue and Chikungunya, as well as patients ruled out of infection from these diseases. The data is based on case notification data submitted to the Brazilian Information System for Notifiable Diseases, from Portuguese Sistema de Informação de Agravo de Notificação (SINAN), from 2013 to 2020. The original data set comprised 13,421,230 records and 118 attributes. Following a pre-processing process, a final data set of 7,632,542 records and 56 attributes was generated. The data presented in this work will assist researchers in investigating antecedents of arbovirus emergence and transmission more generally, and Dengue and Chikungunya in particular. Furthermore, it can be used to train and test machine learning models for differential diagnosis and multi-class classification. © 2022, The Author(s).</t>
  </si>
  <si>
    <t xml:space="preserve">Data paper</t>
  </si>
  <si>
    <t xml:space="preserve">Scientific Data</t>
  </si>
  <si>
    <t xml:space="preserve">10.1038/s41597-022-01312-7</t>
  </si>
  <si>
    <t xml:space="preserve">https://www.scopus.com/inward/record.uri?eid=2-s2.0-85129809722&amp;doi=10.1038%2fs41597-022-01312-7&amp;partnerID=40&amp;md5=21a03b512018d400e906ba46d04a4ba2</t>
  </si>
  <si>
    <t xml:space="preserve">Universidade de Pernambuco, Programa de Pós-Graduação em Engenharia da Computação, Recife, 50720-001, Brazil; Fundação de Medicina Tropical Dr. Heitor Vieira Dourado, Manaus, 69040-000, Brazil; Instituto Todos pela Saúde, São Paulo, 01310-942, Brazil; Irish Institute of Digital Business, Dublin City University, Dublin 9, Ireland</t>
  </si>
  <si>
    <t xml:space="preserve">da Silva Neto S.R., Universidade de Pernambuco, Programa de Pós-Graduação em Engenharia da Computação, Recife, 50720-001, Brazil; Tabosa de Oliveira T., Universidade de Pernambuco, Programa de Pós-Graduação em Engenharia da Computação, Recife, 50720-001, Brazil; Teixiera I.V., Universidade de Pernambuco, Programa de Pós-Graduação em Engenharia da Computação, Recife, 50720-001, Brazil; Medeiros Neto L., Universidade de Pernambuco, Programa de Pós-Graduação em Engenharia da Computação, Recife, 50720-001, Brazil; Souza Sampaio V., Fundação de Medicina Tropical Dr. Heitor Vieira Dourado, Manaus, 69040-000, Brazil, Instituto Todos pela Saúde, São Paulo, 01310-942, Brazil; Lynn T., Irish Institute of Digital Business, Dublin City University, Dublin 9, Ireland; Endo P.T., Universidade de Pernambuco, Programa de Pós-Graduação em Engenharia da Computação, Recife, 50720-001, Brazil</t>
  </si>
  <si>
    <t xml:space="preserve">Arboviruses; Brazil; Chikungunya Fever; Dengue; Humans; Neglected Diseases; Zika Virus Infection; Arbovirus; Brazil; chikungunya; dengue; human; neglected disease; Zika fever</t>
  </si>
  <si>
    <t xml:space="preserve">Coordenação de Aperfeiçoamento de Pessoal de Nível Superior, CAPES; Conselho Nacional de Desenvolvimento Científico e Tecnológico, CNPq; Fundação de Amparo à Ciência e Tecnologia do Estado de Pernambuco, FACEPE; Universidade de Pernambuco, UPE</t>
  </si>
  <si>
    <t xml:space="preserve">This work was partially funded by Conselho Nacional de Desenvolvimento Científico e Tecnológico (CNPq), Coordenação de Aperfeiçoamento de Pessoal de Nível Superior (CAPES), Fundação de Amparo a Ciência e Tecnologia do Estado de Pernambuco (FACEPE), and Universidade de Pernambuco (UPE), an entity of the Government of the State of Pernambuco focused on the promotion of teaching, research and extension. </t>
  </si>
  <si>
    <t xml:space="preserve">Rust R.S., Human arboviral encephalitis, Seminars in Pediatric Neurology, 3, pp. 130-151, (2012); Leta S., Et al., Global risk mapping for major diseases transmitted by aedes aegypti and aedes albopictus, International Journal of Infectious Diseases, 67, pp. 25-35, (2018); Cavany S.M., Espana G., Vazquez-Prokopec G.M., Scott T.W., Perkins T.A., Pandemic-associated mobility restrictions could cause increases in dengue virus transmission, PLOS Neglected Tropical Diseases, 15, pp. 1-19, (2021); WHO Region of the Americas records highest number of dengue cases in history; cases spike in other regions, (2019); Plisa health information platform for the americas - dengue cases, (2021); Plisa health information platform for the americas - chikungunya cases, (2021); (2020); Lima-Camara T.N., Emerging arboviruses and public health challenges in brazil, Revista de saude publica, 50, (2016); M, Boletins epidemiológicos, (2020); Oliveira T., (2013); Campos J.M., Et al., Arboviroses De importância epidemiológica No Brasil, (2018); Donalisio M.R., Freitas A.R.R., Zuben A.P.B.V., Arboviroses emergentes no brasil: Desafios para a clnica e implicações para a saúde pública, Revista De saúde pública, (2017); Amaral J.K., Schoen R.T., Chikungunya in brazil: rheumatologists on the front line, The Journal of rheumatology, 45, pp. 1491-1492, (2018); Oidtman R.J., Espana G., Perkins T.A., Co-circulation and misdiagnosis led to underestimation of the 2015–2017 zika epidemic in the americas, PLoS neglected tropical diseases, 15, (2021); Lee V.J., Et al., Simple clinical and laboratory predictors of chikungunya versus dengue infections in adults, PLoS Negl Trop Dis, 6, (2012); Robert M.A., Et al., Arbovirus emergence in the temperate city of córdoba, argentina, 2009–2018, Scientific data, 6, pp. 1-6, (2019); Lopez M.S., Et al., Dengue emergence in the temperate argentinian province of santa fe, 2009–2020, Scientific Data, 8, pp. 1-7, (2021)</t>
  </si>
  <si>
    <t xml:space="preserve">P.T. Endo; Universidade de Pernambuco, Programa de Pós-Graduação em Engenharia da Computação, Recife, 50720-001, Brazil; email: patricia.endo@upe.br</t>
  </si>
  <si>
    <t xml:space="preserve">Sci. Data</t>
  </si>
  <si>
    <t xml:space="preserve">2-s2.0-85129809722</t>
  </si>
  <si>
    <t xml:space="preserve">Rahman A.; Rahman M.S.; Mahdy M.R.C.</t>
  </si>
  <si>
    <t xml:space="preserve">Rahman, Aimon (57210370160); Rahman, M Sohel (55457931100); Mahdy, M.R.C. (56524254800)</t>
  </si>
  <si>
    <t xml:space="preserve">57210370160; 55457931100; 56524254800</t>
  </si>
  <si>
    <t xml:space="preserve">3C-GAN: Class-consistent CycleGAN for malaria domain adaptation model</t>
  </si>
  <si>
    <t xml:space="preserve">Unpaired domain translation models with distribution matching loss such as CycleGAN are now widely being used to shift domain in medical images. However, synthesizing medical images using CycleGAN can lead to misdiagnosis of a medical condition as it might hallucinate unwanted features, especially if theres a data bias. This can potentially change the original class of the input image, which is a very serious problem. In this paper, we have introduced a modified distribution matching loss for CycleGAN to eliminate feature hallucination on the malaria dataset. In the context of the malaria dataset, unintentional feature hallucination may introduce a facet that resembles a parasite or remove the parasite after the translation. Our proposed approach has enabled us to shift the domain of the malaria dataset without the risk of changing their corresponding class.We have presented experimental evidence that our modified loss significantly reduced feature hallucination by preserving original class labels. The experimental results are better in comparison to the baseline (classic CycleGAN) that targets the translating domain. We believe that our approach will expedite the process of developing unsupervised unpaired GAN that is safe for clinical use.  ©2021 IOP Publishing Ltd.</t>
  </si>
  <si>
    <t xml:space="preserve">Biomedical Physics and Engineering Express</t>
  </si>
  <si>
    <t xml:space="preserve">IOP Publishing Ltd</t>
  </si>
  <si>
    <t xml:space="preserve">10.1088/2057-1976/ac0e74</t>
  </si>
  <si>
    <t xml:space="preserve">https://www.scopus.com/inward/record.uri?eid=2-s2.0-85110523917&amp;doi=10.1088%2f2057-1976%2fac0e74&amp;partnerID=40&amp;md5=e4eecadf576daa817d7bac541c2f70a5</t>
  </si>
  <si>
    <t xml:space="preserve">Department of Electrical and Computer Engineering, North South University, Dhaka, 1229, Bangladesh; Department of Computer Science &amp; Engineering, Bangladesh University of Engineering &amp; Technology (BUET), ECE Building, West Palasi, Dhaka, 1205, Bangladesh</t>
  </si>
  <si>
    <t xml:space="preserve">Rahman A., Department of Electrical and Computer Engineering, North South University, Dhaka, 1229, Bangladesh; Rahman M.S., Department of Computer Science &amp; Engineering, Bangladesh University of Engineering &amp; Technology (BUET), ECE Building, West Palasi, Dhaka, 1205, Bangladesh; Mahdy M.R.C., Department of Electrical and Computer Engineering, North South University, Dhaka, 1229, Bangladesh</t>
  </si>
  <si>
    <t xml:space="preserve">Classification; CycleGAN; Domain adaptation; Microscopy</t>
  </si>
  <si>
    <t xml:space="preserve">Hallucinations; Humans; Image Processing, Computer-Assisted; Malaria; Diseases; Class labels; Clinical use; Distribution matching; Domain adaptation; Experimental evidence; Input image; Medical conditions; Translation models; Article; classifier; comparative study; CycleGAN; feature detection; human; learning algorithm; machine learning; malaria; nonhuman; Plasmodium; hallucination; image processing; Medical imaging</t>
  </si>
  <si>
    <t xml:space="preserve">BOT; CTRGC, (201920, 2020-21); The World Academy of Sciences, TWAS, (18-121RG/PHYS/AS I-FR3240303643); The World Academy of Sciences, TWAS; Namseoul University, NSU</t>
  </si>
  <si>
    <t xml:space="preserve">M.R.C. Mahdy acknowledges the support of NSU internal grant: CTRGC grant 201920 and 2020-21 (approved by the members of BOT, NSU, Bangladesh) and the support of TWAS international grant 2018 (Ref: 18-121RG/PHYS/AS I-FR3240303643).</t>
  </si>
  <si>
    <t xml:space="preserve">Malaria: fact sheet Technical Report World Health Organization, (2014); World Malaria Report, (2019); Wilson ML, Malaria rapid diagnostic tests, Clinical Infectious Diseases, 54, pp. 1637-1641, (2012); Liang Z, Et al., Cnn-based image analysis for malaria diagnosis 2016, IEEE International Conference on Bioinformatics and Biomedicine (BIBM) (IEEE), pp. 493-496, (2016); Dong Y, Jiang Z, Shen H, Pan WD, Williams L A, Reddy VV, BenjaminWHand Bryan AW, Evaluations of deep convolutional neural networks for automatic identification of malaria infected cells 2017, IEEE EMBS International Conference on Biomedical&amp;Health Informatics (BHI) (IEEE), pp. 101-104, (2017); Hung J, Carpenter A, Applying faster r-cnn for object detection on malaria images, Proceedings of the IEEE Conference on Computer Vision and Pattern Recognition Workshops), pp. 56-61, (2017); Rajaraman S, Antani S K, Poostchi M, Silamut K, Hossain MA, Maude R J, Jaeger S, Thoma GR, Pre-trained convolutional neural networks as feature extractors toward improved malaria parasite detection in thin blood smear images, PeerJ, 6, (2018); Pan WD, Dong Y, andWuD2018 Classification of malariainfected cells using deep convolutional neural networks Machine Learning, Advanced Techniques and Emerging Applications, 1; Deep learning approach to detect malaria from microscopic images, Multimedia ToolsAppl, 79, pp. 1-21, (2019); Hoffman J, Tzeng E, Park T, Zhu J Y, Isola P, Saenko K, Efros Aand Darrell T, Cycada: cycle-consistent adversarial domain adaptation, International Conference on Machine Learning (PMLR), pp. 1989-1998, (2018); Cohen J P, LuckMand Honari S, Distribution matching losses can hallucinate features in medical image translation, International Conference on Medical Image Computing and Computer-assisted Intervention, pp. 529-536, (2018); Goodfellow I, Pouget-Abadie J, Mirza M, Xu B, Warde-Farley D, Ozair S, Courville A, Bengio Y, Generative adversarial nets, Advances in Neural Information Processing Systems, pp. 2672-2680, (2014); Wolterink JM, Dinkla AM, Savenije MH, Seevinck P R, van den Berg CA, Isgum I, DeepMRtoCT synthesis using unpaired data, International Workshop on Simulation and Synthesis in Medical Imaging, pp. 14-23, (2017); Ben-Cohen A, Klang E, Raskin S P, AmitaiMMand GreenspanH2017 Virtual pet images from ct data using deep convolutional networks: initial results International Workshop on Simulation and Synthesis in Medical Imaging, pp. 49-57; Dagan: deep de-aliasing generative adversarial networks for fast compressed sensing MRI reconstruction, IEEE Trans. Med. Imaging, 37, pp. 1310-1321, (2017); Bayramoglu N, Kaakinen M, Eklund L, Heikkila J, Towards virtual h&amp;e staining of hyperspectral lung histology images using conditional generative adversarial networks, Proceedings of the IEEE International Conference on Computer Vision Workshops, pp. 64-71, (2017); Chu C, Zhmoginov A, SandlerM2017 Cyclegan, a master of steganographyarXiv; SimonyanKand Zisserman A, Very deep convolutional networks for large-scale image recognition, (2014); Kingma DP, Ba J, Adam: a method for stochastic optimization, (2014); Srivastava A, Valkov L, Russell C, GutmannMUand Sutton C, Veegan: Reducing mode collapse in gans using implicit variational learning, Advances in Neural Information Processing Systems, pp. 3308-3318, (2017); Gong X, Chang S, Jiang Y, Wang Z, Autogan: neural architecture search for generative adversarial networks, Proceedings of the IEEE International Conference on Computer Vision, pp. 3224-3234, (2019); Ljosa V, Sokolnicki KL, Carpenter A E, Annotated high-throughput microscopy image sets for validation, Nat. Methods, 9, pp. 637-637, (2012)</t>
  </si>
  <si>
    <t xml:space="preserve">M.R.C. Mahdy; Department of Electrical and Computer Engineering, North South University, Dhaka, 1229, Bangladesh; email: mahdy.chowdhury@northsouth.edu</t>
  </si>
  <si>
    <t xml:space="preserve">Biomed. Phys. Eng. Express</t>
  </si>
  <si>
    <t xml:space="preserve">2-s2.0-85110523917</t>
  </si>
  <si>
    <t xml:space="preserve">Figtree G.A.; Broadfoot K.; Casadei B.; Califf R.; Crea F.; Drummond G.R.; Freedman J.E.; Guzik T.J.; Harrison D.; Hausenloy D.J.; Hill J.A.; Januzzi J.L.; Kingwell B.A.; Lam C.S.P.; MacRae C.A.; Misselwitz F.; Miura T.; Ritchie R.H.; Tomaszewski M.; Wu J.C.; Xiao J.; Zannad F.</t>
  </si>
  <si>
    <t xml:space="preserve">Figtree, Gemma A. (6506780808); Broadfoot, Keith (57222991765); Casadei, Barbara (7007009404); Califf, Robert (36045760600); Crea, Filippo (35371766500); Drummond, Grant R. (7103359403); Freedman, Jane E. (55111611700); Guzik, Tomasz J. (7003467849); Harrison, David (36062229900); Hausenloy, Derek J. (6602976997); Hill, Joseph A. (55557121100); Januzzi, James L. (7003533511); Kingwell, Bronwyn A. (7005360682); Lam, Carolyn S.P. (19934204100); MacRae, Calum A. (57209404548); Misselwitz, Frank (7004763308); Miura, Tetsuji (35449589100); Ritchie, Rebecca H. (56249028700); Tomaszewski, MacIej (7006672694); Wu, Joseph C. (55608202400); Xiao, Junjie (35278982600); Zannad, Faiez (7102111367)</t>
  </si>
  <si>
    <t xml:space="preserve">6506780808; 57222991765; 7007009404; 36045760600; 35371766500; 7103359403; 55111611700; 7003467849; 36062229900; 6602976997; 55557121100; 7003533511; 7005360682; 19934204100; 57209404548; 7004763308; 35449589100; 56249028700; 7006672694; 55608202400; 35278982600; 7102111367</t>
  </si>
  <si>
    <t xml:space="preserve">A Call to Action for New Global Approaches to Cardiovascular Disease Drug Solutions</t>
  </si>
  <si>
    <t xml:space="preserve">While we continue to wrestle with the immense challenge of implementing equitable access to established evidence-based treatments, substantial gaps remain in our pharmacotherapy armament for common forms of cardiovascular disease including coronary and peripheral arterial disease, heart failure, hypertension, and arrhythmia. We need to continue to invest in the development of new approaches for the discovery, rigorous assessment, and implementation of new therapies. Currently, the time and cost to progress from lead compound/product identification to the clinic, and the success rate in getting there reduces the incentive for industry to invest, despite the enormous burden of disease and potential size of market. There are tremendous opportunities with improved phenotyping of patients currently batched together in syndromic "buckets." Use of advanced imaging and molecular markers may allow stratification of patients in a manner more aligned to biological mechanisms that can, in turn, be targeted by specific approaches developed using high-throughput molecular technologies. Unbiased "omic" approaches enhance the possibility of discovering completely new mechanisms in such groups. Furthermore, advances in drug discovery platforms, and models to study efficacy and toxicity more relevant to the human disease, are valuable. Re-imagining the relationships among discovery, translation, evaluation, and implementation will help reverse the trend away from investment in the cardiovascular space, establishing innovative platforms and approaches across the full spectrum of therapeutic development. © 2021 Lippincott Williams and Wilkins. All rights reserved.</t>
  </si>
  <si>
    <t xml:space="preserve">Circulation</t>
  </si>
  <si>
    <t xml:space="preserve">10.1161/CIR.0000000000000981</t>
  </si>
  <si>
    <t xml:space="preserve">https://www.scopus.com/inward/record.uri?eid=2-s2.0-85110451070&amp;doi=10.1161%2fCIR.0000000000000981&amp;partnerID=40&amp;md5=2d9b2169378efc8586f47f19c26fba7f</t>
  </si>
  <si>
    <t xml:space="preserve">Kolling Institute, Royal North Shore Hospital, University of Sydney, Australia; Clinical Committee, National Heart Foundation of Australia, Australia; Division of Cardiovascular Medicine, Radcliffe Department of Medicine, University of Oxford, United Kingdom; Nihr Oxford Biomedical Research Centre, United Kingdom; British Heart Foundation Centre of Research Excellence, Oxford, United Kingdom; Verily, South San Francisco, CA, United States; Catholic University, Rome, Italy; Centre for Cardiovascular Biology and Disease Research, Department of Physiology, Anatomy and Microbiology, La Trobe University, Melbourne, Australia; Cardiovascular Research, University of Massachusetts Medical School, Worcester, United Kingdom; Institute of Cardiovascular and Medical Sciences, University of Glasgow, United Kingdom; Jagiellonian University Collegium Medicum, Krakow, Poland; Clinical Pharmacology, Vanderbilt University School of Medicine, Nashville, TN, United States; Signature Research Program in Cardiovascular and Metabolic Disorders Program, Duke-National University of Singapore Nus Medical School, Singapore; National Heart Research Institute Singapore, National Heart Centre, Singapore; Yong Loo Lin School of Medicine, National University Singapore, Singapore; The Hatter Cardiovascular Institute, University College London, United Kingdom; Cardiovascular Research Center, College of Medical and Health Sciences, Asia University, Taiwan; University of Texas Southwestern, Dallas, United States; Massachusetts General Hospital, Harvard University, Boston, United States; Csl Ltd, Melbourne, Australia; National Heart Centre Singapore, Duke-National University of Singapore, Singapore; Brigham and Women's Hospital, Harvard Medical School, Boston, MA, United States; Bayer Ag, Pharmaceuticals Division, Wuppertal, Germany; Department of Cardiovascular, Renal and Metabolic Medicine, Sapporo Medical University, Japan; Drug Discovery Biology, Monash Institute of Pharmaceutical Sciences, Monash University (Parkville Campus), VIC, Australia; Division of Cardiovascular Sciences, Faculty of Biology, Medicine and Health and Manchester University Nhs Foundation Trust, University of Manchester, United Kingdom; Stanford Cardiovascular Institute, CA, United States; Cardiac Regeneration and Ageing Laboratory, Institute of Cardiovascular Sciences, School of Life Sciences, Shanghai University, China; Université de Lorraine, Inserm Cic 1493, Ini Crct, Chru, Nancy, France</t>
  </si>
  <si>
    <t xml:space="preserve">Figtree G.A., Kolling Institute, Royal North Shore Hospital, University of Sydney, Australia; Broadfoot K., Clinical Committee, National Heart Foundation of Australia, Australia; Casadei B., Division of Cardiovascular Medicine, Radcliffe Department of Medicine, University of Oxford, United Kingdom, Nihr Oxford Biomedical Research Centre, United Kingdom, British Heart Foundation Centre of Research Excellence, Oxford, United Kingdom; Califf R., Verily, South San Francisco, CA, United States; Crea F., Catholic University, Rome, Italy; Drummond G.R., Centre for Cardiovascular Biology and Disease Research, Department of Physiology, Anatomy and Microbiology, La Trobe University, Melbourne, Australia; Freedman J.E., Cardiovascular Research, University of Massachusetts Medical School, Worcester, United Kingdom; Guzik T.J., Institute of Cardiovascular and Medical Sciences, University of Glasgow, United Kingdom, Jagiellonian University Collegium Medicum, Krakow, Poland; Harrison D., Clinical Pharmacology, Vanderbilt University School of Medicine, Nashville, TN, United States; Hausenloy D.J., Signature Research Program in Cardiovascular and Metabolic Disorders Program, Duke-National University of Singapore Nus Medical School, Singapore, National Heart Research Institute Singapore, National Heart Centre, Singapore, Yong Loo Lin School of Medicine, National University Singapore, Singapore, The Hatter Cardiovascular Institute, University College London, United Kingdom, Cardiovascular Research Center, College of Medical and Health Sciences, Asia University, Taiwan; Hill J.A., University of Texas Southwestern, Dallas, United States; Januzzi J.L., Massachusetts General Hospital, Harvard University, Boston, United States; Kingwell B.A., Csl Ltd, Melbourne, Australia; Lam C.S.P., National Heart Centre Singapore, Duke-National University of Singapore, Singapore; MacRae C.A., Brigham and Women's Hospital, Harvard Medical School, Boston, MA, United States; Misselwitz F., Bayer Ag, Pharmaceuticals Division, Wuppertal, Germany; Miura T., Department of Cardiovascular, Renal and Metabolic Medicine, Sapporo Medical University, Japan; Ritchie R.H., Drug Discovery Biology, Monash Institute of Pharmaceutical Sciences, Monash University (Parkville Campus), VIC, Australia; Tomaszewski M., Division of Cardiovascular Sciences, Faculty of Biology, Medicine and Health and Manchester University Nhs Foundation Trust, University of Manchester, United Kingdom; Wu J.C., Stanford Cardiovascular Institute, CA, United States; Xiao J., Cardiac Regeneration and Ageing Laboratory, Institute of Cardiovascular Sciences, School of Life Sciences, Shanghai University, China; Zannad F., Université de Lorraine, Inserm Cic 1493, Ini Crct, Chru, Nancy, France</t>
  </si>
  <si>
    <t xml:space="preserve">atherosclerosis; cardiovascular system; drug discovery; drug therapy; heart failure; organoids; precision medicine; therapeutics</t>
  </si>
  <si>
    <t xml:space="preserve">Cardiovascular Diseases; Drug Discovery; Humans; alirocumab; cardiovascular agent; clopidogrel; empagliflozin; evolocumab; hydroxymethylglutaryl coenzyme A reductase inhibitor; inclisiran; noradrenalin; pioglitazone; saxagliptin; warfarin; Article; artificial intelligence; atherosclerosis; atrial fibrillation; autoimmune disease; cardiometabolic risk; cardiotoxicity; cardiovascular disease; cardiovascular risk; cardiovascular system; Chagas disease; clinical trial (topic); computer model; coronary angiography; coronary artery disease; disease burden; disease exacerbation; drug development; drug efficacy; drug industry; drug screening; drug solution; electronic health record; evidence based medicine; follow up; gene therapy; genome-wide association study; government; health care policy; health care system; heart amyloidosis; heart arrhythmia; heart failure; heart infarction; heart left ventricle ejection fraction; heart muscle fibrosis; hemodialysis; hemodynamics; human; hypertension; hypoxia; incentive; investment; lipid metabolism; low income country; machine learning; medicare; middle income country; peripheral occlusive artery disease; personalized medicine; pharmacogenomics; phenotype; pipeline; practice guideline; questionnaire; randomized controlled trial (topic); sinus rhythm; tropical disease; cardiovascular disease; procedures</t>
  </si>
  <si>
    <t xml:space="preserve">alirocumab, 1245916-14-6; clopidogrel, 113665-84-2, 120202-66-6, 90055-48-4, 94188-84-8, 120202-65-5, 120202-67-7, 894353-16-3, 744256-69-7; empagliflozin, 864070-44-0; evolocumab, 1256937-27-5; inclisiran, 1639324-58-5, 1639324-62-1; noradrenalin, 1407-84-7, 51-41-2; pioglitazone, 105355-27-9, 111025-46-8, 1266523-09-4, 105390-47-4, 112529-15-4; saxagliptin, 361442-04-8, 945667-22-1; warfarin, 129-06-6, 2610-86-8, 3324-63-8, 5543-58-8, 81-81-2</t>
  </si>
  <si>
    <t xml:space="preserve">Stealth BioTherapeutics; National Institutes of Health, NIH; American Heart Association, AHA; AstraZeneca; Bayer; Roche; Medtronic; Boston Scientific Corporation, BSC; National Health and Medical Research Council, NHMRC; National Medical Research Council, NMRC; Vifor Pharma</t>
  </si>
  <si>
    <t xml:space="preserve">G.A.F. reports grants from National Health and Medical Research Council (Australia), personal fees from CSL, and grants from Abbott Diagnostic outside the submitted work. In addition, G.A.F. has a patent Biomarkers and Oxidative Stress awarded USA May 2017 (US9638699B2) issued to Northern Sydney Local Health District. Dr B.C. reports in-kind research support from Roche Diagnostics and iRhythm, outside the submitted work. Dr R.C. reports personal fees from Verily, Google Health, and Cytokinetics, during the conduct of the study and outside the submitted work. Dr F.C. reports personal fees from Amgen, Astra Zeneca, Servier, and BMS, outside the submitted work. Dr J.E.F., Dr D.H., Dr D.J.H., Dr J.A.H., Dr T.M., Dr M.T., and Dr J.X. have nothing to disclose. Dr G.R.D. and Dr R.H.R. reports grants from National Health and Medical Research Council (Australia), Dr T.G. reports grants and personal fees from Oxford University Press, grants and personal fees from Bayer AG and Merck, outside the submitted work. Dr J.J. reports grants and personal fees from Roche, grants, personal fees, and other contributions from Novartis, grants from Innolife, grants from Applied Therapeutics, personal fees from Abbott, other contributions from Bayer, Siemens, Abbvie, Amgen, and Imbria Pharmaceuticals, during the conduct of the study. Dr B.A.K. reports other contributions from CSL Ltd, outside the submitted work. Dr C.S.P.L. is supported by a Clinician Scientist Award from the National Medical Research Council of Singapore; has received research support from Boston Scientific, Bayer, Roche Diagnostics, AstraZeneca, Medtronic, and Vifor Pharma; has served as consultant or on the Advisory Board/Steering Committee/Executive Committee for Boston Scientific, Bayer, Roche Diagnostics, AstraZeneca, Medtronic, Vifor Pharma, Novartis, Amgen, Merck, Janssen Research &amp; Development LLC, Menarini, Boehringer Ingelheim, Novo Nordisk, Abbott Diagnostics, Corvia, Stealth BioTherapeutics, JanaCare, Biofourmis, Darma, Applied Therapeutics, MyoKardia, Cytokinetics, WebMD Global LLC, Radcliffe Group Ltd and Corpus; and serves as co-founder and non-executive director of Us2.ai. Dr C.A.M. reports grants from NIH, American Heart Association, Verily, Astra Zeneca, Quest Diagnostics, Apple, Pfizer, Bayer, BMS, personal fees from Clarify Health Solutions, Foresite Labs, other contributions from Atman Health, outside the submitted work. In addition, Dr C.A.M. has a patent Genetic testing in cardiomyopathies with royalties paid to Partners Health Care, a patent Training cytometry data to refine disease pending, a patent Scalable cellular physiology to refine disease pending, and a patent Annotating small molecule function using phenotypic profiling pending. Dr F.M. reports other contributions from Bayer AG, outside the submitted work. Dr J.C.W. reports grants from National Institutes of Health. Dr F.Z. reports personal fees from Janssen, Novartis, Boston Scientific, Amgen, CVRx, other contributions from cardiorenal, personal fees from AstraZeneca, Vifor Fresenius, Cardior, Cereno pharmaceutical, Applied Therapeutics, Merck, other contributions from CVCT, personal fees from BAYER, Cellprothera, Owkin, Boehringer, Myokardia, Corvidia, and other contributions from G3 pharmaceuticals, outside the submitted work.</t>
  </si>
  <si>
    <t xml:space="preserve">Timmis A., Townsend N., Gale C.P., Torbica A., Lettino M., Petersen S.E., Mossialos E.A., Maggioni A.P., Kazakiewicz D., May H.T., Et al., European Society of Cardiology: Cardiovascular Disease Statistics 2019, Eur Heart J, 41, pp. 12-85, (2020); Virani S.S., Alonso A., Benjamin E.J., Bittencourt M.S., Callaway C.W., Carson A.P., Chamberlain A.M., Chang A.R., Cheng S., Delling F.N., Et al., Heart Disease and Stroke Statistics-2020 Update: A Report From the American Heart Association, Circulation, 141, pp. e139-e596, (2020); Roth G.A., Mensah G.A., Johnson C.O., Addolorato G., Ammirati E., Baddour L.M., Barengo N.C., Beaton A.Z., Benjamin E.J., Benziger C.P., Et al., Global burden of cardiovascular diseases and risk factors, 1990-2019: update from the GBD 2019 Study, J Am Coll Cardiol, 76, pp. 2982-3021, (2020); Hwang T.J., Lauffenburger J.C., Franklin J.M., Kesselheim A.S., Temporal trends and factors associated with cardiovascular drug development, 1990 to 2012, JACC Basic Transl Sci, 1, pp. 301-308, (2016); Fordyce C.B., Roe M.T., Ahmad T., Libby P., Borer J.S., Hiatt W.R., Bristow M.R., Packer M., Wasserman S.M., Braunstein N., Et al., Cardiovascular drug development: is it dead or just hibernating?, J Am Coll Cardiol, 65, pp. 1567-1582, (2015); Darrow J.J., Kesselheim A.S., Drug development and FDA approval, 1938-2013, N Engl J Med, 370, (2014); Pammolli F., Magazzini L., Riccaboni M., The productivity crisis in pharmaceutical R&amp;D, Nat Rev Drug Discov, 10, pp. 428-438, (2011); Crea F., Libby P., Acute coronary syndromes: the way forward from mechanisms to precision treatment, Circulation, 136, pp. 1155-1166, (2017); Kaski J.C., Crea F., Gersh B.J., Camici P.G., Reappraisal of ischemic heart disease, Circulation, 138, pp. 1463-1480, (2018); Fiuzat M., Stockbridge N., Califf R.M., Resourcing drug development commensurate with its public health importance: the road ahead, JACC Basic Transl Sci, 1, pp. 309-312, (2016); Vernon S.T., Coffey S., Bhindi R., Soo Hoo S.Y., Nelson G.I., Ward M.R., Hansen P.S., Asrress K.N., Chow C.K., Celermajer D.S., Et al., Increasing proportion of ST elevation myocardial infarction patients with coronary atherosclerosis poorly explained by standard modifiable risk factors, Eur J Prev Cardiol, 24, pp. 1824-1830, (2017); Vernon S.T., Coffey S., D'Souza M., Chow C.K., Kilian J., Hyun K., Shaw J.A., Adams M., Roberts-Thomson P., Brieger D., Et al., ST-segment-elevation myocardial infarction (STEMI) patients without standard modifiable cardiovascular risk factors: how common are they, and what are their outcomes?, J Am Heart Assoc, 8, (2019); Schiele F., Ecarnot F., Chopard R., Coronary artery disease: risk stratification and patient selection for more aggressive secondary prevention, Eur J Prev Cardiol, 24, pp. 88-100, (2017); Ridker P.M., Everett B.M., Thuren T., MacFadyen J.G., Chang W.H., Ballantyne C., Fonseca F., Nicolau J., Koenig W., Anker S.D., Et al., Antiinflammatory therapy with canakinumab for atherosclerotic disease, N Engl J Med, 377, pp. 1119-1131, (2017); Nidorf S.M., Fiolet A.T.L., Mosterd A., Eikelboom J.W., Schut A., Opstal T.S.J., The S.H.K., Xu X.F., Ireland M.A., Lenderink T., Et al., Colchicine in patients with chronic coronary disease, N Engl J Med, 383, pp. 1838-1847, (2020); Crea F., Liuzzo G., Addressing acute coronary syndromes: new challenges and opportunities after the CANTOS trial (Canakinumab Anti-inflammatory Thrombosis Outcomes Study), Circulation, 137, pp. 1100-1102, (2018); Vernon S.T., Hansen T., Kott K.A., Yang J.Y., O'Sullivan J.F., Figtree G.A., Utilizing state-of-the-art "omics" technology and bioinformatics to identify new biological mechanisms and biomarkers for coronary artery disease, Microcirculation, 26, (2019); Deloukas P., Kanoni S., Willenborg C., Farrall M., Assimes T.L., Thompson J.R., Ingelsson E., Saleheen D., Erdmann J., Goldstein B.A., Et al., Large-scale association analysis identifies new risk loci for coronary artery disease, Nat Genet, 45, pp. 25-33, (2013); Murray C.W., Rees D.C., The rise of fragment-based drug discovery, Nat Chem, 1, pp. 187-192, (2009); Bubb K.J., Drummond G.R., Figtree G.A., New opportunities for targeting redox dysregulation in cardiovascular disease, Cardiovasc Res, 116, pp. 532-544, (2020); Landmesser U., Poller W., Tsimikas S., Most P., Paneni F., Luscher T.F., From traditional pharmacological towards nucleic acid-based therapies for cardiovascular diseases, Eur Heart J, 41, pp. 3884-3899, (2020); Top 10 pharmaceutical industries using artificial intelligence, (2020); Vergallo R., Crea F., Atherosclerotic plaque healing, N Engl J Med, 383, pp. 846-857, (2020); Camici P.G., Crea F., Coronary microvascular dysfunction, N Engl J Med, 356, pp. 830-840, (2007); Yoon S., Eom G.H., Heart failure with preserved ejection fraction: present status and future directions, Exp Mol Med, 51, pp. 1-9, (2019); Figtree G.A., Radholm K., Barrett T.D., Perkovic V., Mahaffey K.W., De Zeeuw D., Fulcher G., Matthews D.R., Shaw W., Neal B., Effects of canagliflozin on heart failure outcomes associated with preserved and reduced ejection fraction in type 2 diabetes mellitus, Circulation, 139, pp. 2591-2593, (2019); Kato E.T., Silverman M.G., Mosenzon O., Zelniker T.A., Cahn A., Furtado R.H.M., Kuder J., Murphy S.A., Bhatt D.L., Leiter L.A., Et al., Effect of dapagliflozin on heart failure and mortality in type 2 diabetes mellitus, Circulation, 139, pp. 2528-2536, (2019); Anker S.D., Butler J., Filippatos G.S., Jamal W., Salsali A., Schnee J., Kimura K., Zeller C., George J., Brueckmann M., Et al., Evaluation of the effects of sodium-glucose co-transporter 2 inhibition with empagliflozin on morbidity and mortality in patients with chronic heart failure and a preserved ejection fraction: rationale for and design of the EMPEROR-Preserved Trial, Eur J Heart Fail, 21, pp. 1279-1287, (2019); Shah S.J., Precision medicine for heart failure with preserved ejection fraction: an overview, J Cardiovasc Transl Res, 10, pp. 233-244, (2017); Dunlay S.M., Roger V.L., Redfield M.M., Epidemiology of heart failure with preserved ejection fraction, Nat Rev Cardiol, 14, pp. 591-602, (2017); Kott K.A., Vernon S.T., Hansen T., Yu C., Bubb K.J., Coffey S., Sullivan D., Yang J., O'Sullivan J., Chow C., Et al., Biobanking for discovery of novel cardiovascular biomarkers using imaging-quantified disease burden: protocol for the longitudinal, prospective, BioHEART-CT cohort study, BMJ Open, 9, (2019); Johnson J.A., Cavallari L.H., Pharmacogenetics and cardiovascular disease-implications for personalized medicine, Pharmacol Rev, 65, pp. 987-1009, (2013); Projections of mortality and burden of disease, 2004-2030; standard DALYs (3% discounting, age weights)-baseline scenario, (2008); Celermajer D.S., Chow C.K., Marijon E., Anstey N.M., Woo K.S., Cardiovascular disease in the developing world: prevalences, patterns, and the potential of early disease detection, J Am Coll Cardiol, 60, pp. 1207-1216, (2012); Moolani Y., Bukhman G., Hotez P.J., Neglected tropical diseases as hidden causes of cardiovascular disease, PLoS Negl Trop Dis, 6, (2012); Ebert A.D., Liang P., Wu J.C., Induced pluripotent stem cells as a disease modeling and drug screening platform, J Cardiovasc Pharmacol, 60, pp. 408-416, (2012); Sayed N., Liu C., Ameen M., Himmati F., Zhang J.Z., Khanamiri S., Moonen J.R., Wnorowski A., Cheng L., Rhee J.W., Et al., Clinical trial in a dish using iPSCs shows lovastatin improves endothelial dysfunction and cellular cross-talk in LMNA cardiomyopathy, Sci Transl Med, 12, (2020); Zhang H., Tian L., Shen M., Tu C., Wu H., Gu M., Paik D.T., Wu J.C., Generation of quiescent cardiac fibroblasts from human induced pluripotent stem cells for in vitro modeling of cardiac fibrosis, Circ Res, 125, pp. 552-566, (2019); Polonchuk L., Chabria M., Badi L., Hoflack J.C., Figtree G., Davies M.J., Gentile C., Cardiac spheroids as promising in vitro models to study the human heart microenvironment, Sci Rep, 7, (2017); Takeda M., Miyagawa S., Fukushima S., Saito A., Ito E., Harada A., Matsuura R., Iseoka H., Sougawa N., Mochizuki-Oda N., Et al., Development of in vitro drug-induced cardiotoxicity assay by using three-dimensional cardiac tissues derived from human induced pluripotent stem cells, Tissue Eng Part C Methods, 24, pp. 56-67, (2018); Ha Y.C., Barter P.J., Differences in plasma cholesteryl ester transfer activity in sixteen vertebrate species, Comp Biochem Physiol B, 71, pp. 265-269, (1982); Zschaler J., Schlorke D., Arnhold J., Differences in innate immune response between man and mouse, Crit Rev Immunol, 34, pp. 433-454, (2014); Milani-Nejad N., Janssen P.M., Small and large animal models in cardiac contraction research: advantages and disadvantages, Pharmacol Ther, 141, pp. 235-249, (2014); Drucker D.J., Never waste a good crisis: confronting reproducibility in translational research, Cell Metab, 24, pp. 348-360, (2016); Hausenloy D.J., Heusch G., Translating cardioprotection for patient benefit: the EU-CARDIOPROTECTION COST action, J Am Coll Cardiol, 73, pp. 2001-2003, (2019); Lindsey M.L., Kassiri Z., Virag J.A.I., De Castro Bras L.E., Scherrer-Crosbie M., Guidelines for measuring cardiac physiology in mice, Am J Physiol Heart Circ Physiol, 314, pp. H733-H752, (2018); Percie Du Sert N., Hurst V., Ahluwalia A., Alam S., Avey M.T., Baker M., Browne W.J., Clark A., Cuthill I.C., Dirnagl U., Et al., The ARRIVE guidelines 2.0: updated guidelines for reporting animal research, PLoS Biol, 18, (2020); Savitz S.I., Baron J.C., Fisher M., Stroke Treatment Academic Industry Roundtable X: brain cytoprotection therapies in the reperfusion era, Stroke, 50, pp. 1026-1031, (2019); Puntmann V.O., Valbuena S., Hinojar R., Petersen S.E., Greenwood J.P., Kramer C.M., Kwong R.Y., McCann G.P., Berry C., Nagel E., Society for Cardiovascular Magnetic Resonance (SCMR) expert consensus for CMR imaging endpoints in clinical research, part I-analytical validation and clinical qualification, J Cardiovasc Magn Reson, 20, (2018); Vaidya K., Arnott C., Martinez G.J., Ng B., McCormack S., Sullivan D.R., Celermajer D.S., Patel S., Colchicine therapy and plaque stabilization in patients with acute coronary syndrome: a CT coronary angiography study, JACC Cardiovasc Imaging, 11, pp. 305-316, (2018); Calvert M., Kyte D., Mercieca-Bebber R., Slade A., Chan A.W., King M.T., Hunn A., Bottomley A., Regnault A., Chan A.W., Et al., Guidelines for inclusion of patient-reported outcomes in clinical trial protocols: the SPIRIT-PRO Extension, JAMA, 319, pp. 483-494, (2018); Marquis-Gravel G., Moliterno D.J., Francis D.P., Juni P., Rosenberg Y.D., Claessen B.E., Mentz R.J., Mehran R., Cutlip D.E., Chauhan C., Et al., Improving the design of future PCI trials for stable coronary artery disease: JACC state-of-the-art review, J Am Coll Cardiol, 76, pp. 435-450, (2020); Iacobucci G., Inclisiran: UK to roll out new cholesterol lowering drug from next year, BMJ, 368, (2020)</t>
  </si>
  <si>
    <t xml:space="preserve">G.A. Figtree; Kolling Institute, Royal North Shore Hospital, University of Sydney, Australia; email: gemma.figtree@sydney.edu.au</t>
  </si>
  <si>
    <t xml:space="preserve">CIRCA</t>
  </si>
  <si>
    <t xml:space="preserve">2-s2.0-85110451070</t>
  </si>
  <si>
    <t xml:space="preserve">Siddiqua R.; Rahman S.; Uddin J.</t>
  </si>
  <si>
    <t xml:space="preserve">Siddiqua, Rumali (57219985682); Rahman, Shakila (57218573687); Uddin, Jia (54994936900)</t>
  </si>
  <si>
    <t xml:space="preserve">57219985682; 57218573687; 54994936900</t>
  </si>
  <si>
    <t xml:space="preserve">A deep learning-based dengue mosquito detection method using faster r-cnn and image processing techniques</t>
  </si>
  <si>
    <t xml:space="preserve">Dengue fever, a mosquito-borne disease caused by dengue viruses, is a significant public health concern in many countries especially in the tropical and subtropical regions. In this paper, we introduce a deep learning-based model using Faster R-CNN with InceptionV2 accompanied by image processing techniques to identify the dengue mosquitoes. Performance of the proposed model is evaluated using a custom mosquito dataset built upon varying environments which are collected from the internet. The proposed Faster R-CNN with InceptionV2 model is compared with other two state-of-art models, R-FCN with ResNet 101 and SSD with MobilenetV2. The False positive (FP), False negative (FN), precision and recall are used as performance measurement tools to evaluate the detection accuracy of the proposed model. The experimental results demonstrate that as a classifier the Faster-RCNN model shows 95.19% of accuracy and outperforms other state-of-the-art models as R-FCN and SSD model show 94.20% and 92.55% detection accuracy, respectively for the test dataset. © 2021 by the author(s).</t>
  </si>
  <si>
    <t xml:space="preserve">Annals of Emerging Technologies in Computing</t>
  </si>
  <si>
    <t xml:space="preserve">International Association for Educators and Researchers (IAER)</t>
  </si>
  <si>
    <t xml:space="preserve">10.33166/AETiC.2021.03.002</t>
  </si>
  <si>
    <t xml:space="preserve">https://www.scopus.com/inward/record.uri?eid=2-s2.0-85110498409&amp;doi=10.33166%2fAETiC.2021.03.002&amp;partnerID=40&amp;md5=f8f6878dbcadcb19b0981be3477f2ffb</t>
  </si>
  <si>
    <t xml:space="preserve">Swinburne University of Technology, Melbourne, Australia; International Islamic University Chittagong, Chittagong, Bangladesh; Woosong University, Daejeon, South Korea</t>
  </si>
  <si>
    <t xml:space="preserve">Siddiqua R., Swinburne University of Technology, Melbourne, Australia; Rahman S., International Islamic University Chittagong, Chittagong, Bangladesh; Uddin J., Woosong University, Daejeon, South Korea</t>
  </si>
  <si>
    <t xml:space="preserve">Deep Learning; Dengue Mosquito; Detection Algorithms; Faster R-CNN; Image Processing; InceptionV2</t>
  </si>
  <si>
    <t xml:space="preserve">Classification (of information); Convolutional neural networks; Image processing; Learning systems; Statistical tests; Tropics; Viruses; Detection accuracy; Detection methods; Image processing technique; Learning Based Models; Mosquito-borne disease; Performance measurements; Precision and recall; Subtropical regions; Deep learning</t>
  </si>
  <si>
    <t xml:space="preserve">Woosong University</t>
  </si>
  <si>
    <t xml:space="preserve">This research is funded by Woosong University Academic Research in 2021.</t>
  </si>
  <si>
    <t xml:space="preserve">Biswas Ayan K., Siddique Nahian A., Tian Bing B., Wong Enoch, Caillouet Kevin A., Et al., Design of a Fiber-Optic Sensing Mosquito Trap, IEEE Sensors Journal, 13, 11, pp. 4423-4431, (2013); Minakshi Mona, Bharti Pratool, Chellappan Sriram, Leveraging Smart-Phone Cameras and Image Processing Techniques to Classify Mosquito Species, Proceedings of the 15th EAI International Conference on Mobile and Ubiquitous Systems: Computing, Networking and Services 2018 (MobiQuitous '18), pp. 77-86, (2018); Bhatt Samir, Gething Peter W., Brady Oliver J., Messina Jane P., Farlow Andrew W., Et al., The global distribution and burden of dengue, Nature, 496, 7446, pp. 504-507, (2013); Hong Suk-Ju, Kim Sang-Yeon, Kim Eungchan, Lee Chang-Hyup, Lee Jung-Sup, Et al., Moth Detection from Pheromone Trap Images Using Deep Learning Object Detectors, Agriculture, 10, 5; Sabab Md. Nazmus, Chowdhury Mohammad Abidur Rahman, Mahsanul Islam Nirjhor S. M., Uddin Jia, Bangla Speech Recognition Using 1D-CNN and LSTM with Different Dimension Reduction Techniques, Emerging Technologies in Computing. iCETiC 2020. Lecture Notes of the Institute for Computer Sciences, Social Informatics and Telecommunications Engineering, 332, pp. 158-169; Zhao Zhong-Qiu, Zheng Peng, Xu Shou-Tao, Wu Xindong, Object Detection with Deep Learning: A Review, IEEE Transactions on Neural Networks and Learning Systems, 30, 11, pp. 3212-3232, (2019); Ren Shaoqing, He Kaiming, Girshick Ross, Sun Jian, Faster R-CNN: Towards Real-Time Object Detection with Region Proposal Networks, IEEE Transactions on Pattern Analysis and Machine Intelligence, 39, 6, pp. 1137-1149, (2017); Dai Jifeng, Li Yi, He Kaiming, Sun Jian, R-FCN: Object detection via region-based fully convolutional networks, Proceedings of the 30th International Conference on Neural Information Processing Systems (NIPS'16), pp. 379-387, (2016); Liu Wei, Anguelov Dragomir, Erhan Dumitru, Szegedy Christian, Reed Scott, Et al., SSD: Single Shot MultiBox Detector, Lecture Notes in Computer Science, Computer Vision – ECCV, 9905, pp. 21-37, (2016); Alamsyah Derry, Fachrurrozi Muhammad, Faster R-CNN with Inception V2 for Fingertip Detection in Homogenous Background Image, Journal of Physics: Conference Series, 1196, (2018); He Kaiming, Zhang Xiangyu, Ren Shaoqing, Sun Jian, Deep residual learning for image recognition, Proceedings of the IEEE conference on computer vision and pattern recognition (CVPR), pp. 770-778, (2016); Sandler Mark, Howard Andrew, Zhu Menglong, Zhmoginov Andrey, Chen Liang-Chieh, MobilenetV2: Inverted residuals and linear bottlenecks, Proceedings of the IEEE Conference on Computer Vision and Pattern Recognition (CVPR), pp. 4510-4520, (2018); Dalal N., Triggs B., Histograms of Oriented Gradients for Human Detection, Proceedings of the IEEE Computer Society Conference on Computer Vision and Pattern Recognition (CVPR'05), 1, pp. 886-893, (2005); Viola P., Jones M., Rapid object detection using a boosted cascade of simple features, Proceedings of the 2001 IEEE Computer Society Conference on Computer Vision and Pattern Recognition (CVPR 2001), (2001); Suykens Johan A.K., De Brabanter Lukas, Vandewalle Joos, Weighted least squares support vector machines: robustness and sparse approximation, Neurocomputing, 48, 1-4, pp. 85-105, (2002); McCulloch Warren S., Pitts Walter, A logical calculus of the ideas immanent in nervous activity, Bulletin of Mathematical Biophysics, 5, pp. 115-133, (1943); Chowdhury Partha Narayan, Ray Tonmoy Chandra, Uddin Jia, A Vehicle Detection Technique for Traffic Management using Image Processing, 2018 International Conference on Computer, Communication, Chemical, Material and Electronic Engineering (IC4ME2), pp. 1-4, (2018); Szegedy Christian, Liu Wei, Jia Yangqing, Sermanet Pierre, Reed Scott, Et al., Going deeper with convolutions, Proceedings of the IEEE Conference on Computer Vision and Pattern Recognition (CVPR), pp. 1-9, (2015); Krizhevsky Alex, Sutskever Ilya, Hinton Geoffrey E., ImageNet classification with deep convolutional neural networks, Communications of the ACM, 60, 6, pp. 84-90, (2017); Motta Daniel, Santos Alex A. B., Winkler Ingrid, Machado Bruna A. S., Imperial Pereira Daniel A. D., Et al., Application of convolutional neural networks for classification of adult mosquitoes in the field, PLOS ONE, 14, 1, (2019); Zhong Yuanhong, Gao Junyuan, Lei Qilun, Zhou Yao, A Vision-Based Counting and Recognition System for Flying Insects in Intelligent Agriculture, Sensors, 18, 5, (2018); Yalcin Hulya, Vision based automatic inspection of insects in pheromone traps, Proceedings of the Fourth International Conference on Agro-Geoinformatics (Agro-geoinformatics), pp. 333-338, (2015); Okayasu Kazushige, Yoshida Kota, Fuchida Masataka, Nakamura Akio, Vision-Based Classification of Mosquito Species: Comparison of Conventional and Deep Learning Methods, Applied Sciences, 9, 18, (2019); Fuchida Masataka, Pathmakumar Thejus, Mohan Rajesh E., Tan Ning, Nakamura Akio, Vision-Based Perception and Classification of Mosquitoes Using Support Vector Machine, Applied Sciences, 7, 1, (2017); De Los Reyes Anna Monica M., Reyes Anna Camille A., Torres Jumelyn L., Padilla Dionis A., Villaverde Jocelyn, Detection of Aedes Aegypti mosquito by digital image processing techniques and support vector machine, Proceedings of the IEEE Region 10 Conference (TENCON), pp. 2342-2345, (2016); Treebupachatsakul Treesukon, Poomrittigul Suvit, Bacteria Classification using Image Processing and Deep learning, Proceedings of the 34th International Technical Conference on Circuits/Systems, Computers and Communications (ITC-CSCC), pp. 1-3, (2019); Minakshi Mona, Bharti Pratool, Chellappan Sriram, Identifying mosquito species using smart-phone cameras, Proceedings of the European Conference on Networks and Communications (EuCNC), pp. 1-6, (2017); Martineau Maxime, Conte Donatello, Raveaux Romain, Arnault Ingrid, Munier Damien, Et al., A survey on image-based insect classification, Pattern Recognition, 65, pp. 273-284, (2016); Matthews Jerrid, Kulkarni Rajan, Whitesides George, Sarrafzadeh Majid, Gerla Mario, Et al., A light-weight solution for real-time dengue detection using mobile phones, Proceedings of the IEEE Computer Society MOBICASE 2009, (2009); Pham Duc N., Aziz Tarique, Kohan Ali, Nellis Syahrul, Jamil Juraina binti Abd., Et al., How to Efficiently Predict Dengue Incidence in Kuala Lumpur, Proceedings of the Fourth International Conference on Advances in Computing, Communication &amp; Automation (ICACCA), pp. 1-6, (2018); Redmon Joseph, Divvala Santosh, Girshick Ross, Farhadi Ali, You only look once: Unified, real-time object detection, Proceedings of the IEEE Conference on Computer Vision and Pattern Recognition (CVPR), pp. 779-788, (2016); Abadi Martin, Barham Paul, Chen Jianmin, Chen Zhifeng, Davis Andy, Et al., TensorFlow: a system for large-scale machine learning, Proceedings of the 12th USENIX conference on Operating Systems Design and Implementation (OSDI'16), pp. 265-283, (2016); Huang Jonathan, Rathod Vivek, Sun Chen, Zhu Menglong, Korattikara Anoop, Et al., Speed/accuracy trade-offs for modern convolutional object detectors, Proceedings of the IEEE conference on computer vision and pattern recognition (CVPR), pp. 7310-7311, (2017); Zabin Mahe, Choi Ho-Jin, Uddin Jia, Furhad Md. Hasan, Ullah Abu.Barkat, Industrial Fault Diagnosis using Hilbert Transform and Texture Features, Proceedings of the 2021 IEEE International Conference on Big Data and Smart Computing (BigComp), pp. 121-128, (2021); Yadav Nikhil, Binay Utkarsh, Comparative study of object detection algorithms, International Research Journal of Engineering and Technology (IRJET), pp. 586-591, (2017)</t>
  </si>
  <si>
    <t xml:space="preserve">J. Uddin; Woosong University, Daejeon, South Korea; email: jia.uddin@wsu.ac.kr</t>
  </si>
  <si>
    <t xml:space="preserve">Ann. Emer. Tech. Comp.</t>
  </si>
  <si>
    <t xml:space="preserve">2-s2.0-85110498409</t>
  </si>
  <si>
    <t xml:space="preserve">Ruban S.; Naresh A.; Rai S.</t>
  </si>
  <si>
    <t xml:space="preserve">Ruban, S. (56607107100); Naresh, A. (57351420500); Rai, Sanjeev (57352314500)</t>
  </si>
  <si>
    <t xml:space="preserve">56607107100; 57351420500; 57352314500</t>
  </si>
  <si>
    <t xml:space="preserve">A noninvasive model to detect malaria based on symptoms using machine learning</t>
  </si>
  <si>
    <t xml:space="preserve">The impact of Artificial Intelligence in the domain of Healthcare has been growing, day by day. These applications bring a drastic change in the healthcare system and affects our lives based in the change it brings to the Patientcare system, transforming the traditional way of handling sicknesses and diseases. Machine Learning algorithms that use data, have a big role in the AI based applications that are used in the Healthcare. Hence the Data source and the nature of Data holds an important role in developing effective AI based solutions for many health issues in the society. Data is available in all the hospitals and medical care facilities for many years now. However, without transforming them into a format where Machine Learning algorithms work, it is impossible to use them to develop an AI based application. In this research paper, we briefly discuss the process of developing an AI based application to predict Malaria, which is one of the most common vector borne diseases in the coastal districts of Karnataka. This pioneer work was done over the data collected from the clinical notes of a 1500 bed hospital situated in Mangalore. Few machine learning algorithms like Logistic regression, Support vector machine XGB Booster classifier, CAT Booster Classifier and Random forest classifier were used over the dataset. Our experimental study revealed that, Random Forest classifier works efficiently for this data set, compared with the other algorithms that we used. It gave the best accuracy of 90.92.  © 2021 The authors and IOS Press.</t>
  </si>
  <si>
    <t xml:space="preserve">Advances in Parallel Computing</t>
  </si>
  <si>
    <t xml:space="preserve">10.3233/APC210119</t>
  </si>
  <si>
    <t xml:space="preserve">https://www.scopus.com/inward/record.uri?eid=2-s2.0-85119863021&amp;doi=10.3233%2fAPC210119&amp;partnerID=40&amp;md5=94e98cfd3dd42bfcde66109c65219bf9</t>
  </si>
  <si>
    <t xml:space="preserve">PG Dept. of IT, St Aloysius College, Mangalore, India; Father Muller Medical College, Mangalore, India</t>
  </si>
  <si>
    <t xml:space="preserve">Ruban S., PG Dept. of IT, St Aloysius College, Mangalore, India; Naresh A., PG Dept. of IT, St Aloysius College, Mangalore, India; Rai S., Father Muller Medical College, Mangalore, India</t>
  </si>
  <si>
    <t xml:space="preserve">Artificial Intelligence; Logistic regression; Machine learning; Malaria; Random forest; Support vector machine; Vector borne disease</t>
  </si>
  <si>
    <t xml:space="preserve">Vision Group on Science and Technology, VGST, (126/19(FMM-CIEC/CCM/149/2019)</t>
  </si>
  <si>
    <t xml:space="preserve">The authors would like to acknowledge, that this work was done in the lab funded by Vision Group of science and Technology (VGST), Government of Karnataka, under the Grant scheme K-FIST(L2)-545 and the data was collected from Father Muller Medical College Hospital, based on the Ethics committee approval via protocol no: 126/19(FMM-CIEC/CCM/149/2019) on 12.06.2019.</t>
  </si>
  <si>
    <t xml:space="preserve">Rong G., Mendez A., Assi E.B., Zhao B., Sawan M., Artificial intelligence in healthcare: Review and prediction case studies, Engineering., 6, 3, pp. 291-301, (2020); Weng J., McClelland J., Pentland A., Sporns O., Stockman I., Sur M., Thelen E., Autonomous mental development by robots and animals, Science., 291, 5504, pp. 599-600, (2001); Priya D., Top 5 Limitations of Artificial Intelligence, (2019); Huang G., Huang G.B., Song S., You K., Trends in extreme learning machines: A review, Neural Networks., 61, pp. 32-48, (2015); Guo Y., Liu Y., Oerlemans A., Lao S., Wu S., Lew M.S., Deep learning for visual understanding: A review, Neurocomputing., 187, pp. 27-48, (2016); Rodriguez-Vera F.J., Marin Y., Sanchez A., Borrachero C., Pujol E., Illegible handwriting in medical records, Journal of the Royal Society of Medicine., 95, 11, pp. 545-546, (2002); Rajesh B.V., Kumar A., Achari M., Deepa S., Vyas N., Malarial trend in Dakshina Kannada, Karnataka: An epidemiological assessment from 2004 to 2013, Indian Journal of Health Sciences and Biomedical Research (KLEU)., 8, 2, pp. 91-94, (2015); Bhatt S., Gething P.W., Brady O.J., Messina J.P., Farlow A.W., Moyes C.L., Drake J.M., Brownstein J.S., Hoen A.G., Sankoh O., Myers M.F., The global distribution and burden of dengue, Nature., 496, 7446, pp. 504-507, (2013); George T., Jakribettu R.P., Yesudas S., Thaliath A., Pais M.L., Abraham S., Baliga M.S., Trend analysis of dengue in greater Mangalore region of Karnataka India: Observations from a tertiary care hospital, International Journal of Advanced Research (IJAR)., 4, 6, pp. 92-96, (2018); Sharma R., Epidemiological investigation of malaria outbreak in village Santej, district Gandhi Nagar (Gujarat), Indian Journal Preventive Social Medicine., 37, 3, pp. 125-132, (2006); Zacarias O.P., Bostrom H., Predicting the incidence of malaria cases in Mozambique using regression trees and forests, International Journal of Computer Science and Electronics Engineering (IJCSEE)., 1, 1, pp. 50-54, (2013); Linder N., Turkki R., Walliander M., Martensson A., Diwan V., Rahtu E., Pietikainen M., Lundin M., Lundin J., A malaria diagnostic tool based on computer vision screening and visualization of Plasmodium falciparum candidate areas in digitized blood smears, PLoS One., 9, 8, (2014); Devi S.S., Sheikh S.A., Talukdar A., Laskar R.H., Malaria infected erythrocyte classification based on the histogram features using microscopic images of thin blood smear, Indian Journal of Science and Technology., 9, pp. 1-10, (2016); Darla B., Malaria: Causes, Symptoms, and Diagnosis, (2019); Sidey-Gibbons J.A., Sidey-Gibbons C.J., Machine learning in medicine: A practical introduction, BMC Medical Research Methodology., 19, 1, pp. 1-8, (2019); Beam A.L., Kohane I.S., Big data and machine learning in health care, Journal of the American Medical Association., 319, 13, pp. 1317-1318, (2018); Xu X., Machine learning-based prediction of urban soil environment and corpus translation teaching, Arabian Journal of Geosciences., 14, 11, pp. 1-5, (2021); Luo Y., Environmental cost control of coal industry based on cloud computing and machine learning, Arabian Journal of Geosciences., 14, 12, pp. 1-6, (2021)</t>
  </si>
  <si>
    <t xml:space="preserve">S. Ruban; Department of IT, AIMIT, St Aloysius College (Autonomous), Mangalore, India; email: ruban@staloysius.ac.in</t>
  </si>
  <si>
    <t xml:space="preserve">Hemanth D.J.; Elhosney M.; Nguyen T.N.; Lakshmanan S.</t>
  </si>
  <si>
    <t xml:space="preserve">978-164368218-1</t>
  </si>
  <si>
    <t xml:space="preserve">Adv. Parallel Comput.</t>
  </si>
  <si>
    <t xml:space="preserve">2-s2.0-85119863021</t>
  </si>
  <si>
    <t xml:space="preserve">Elangovan P.; Nath M.K.</t>
  </si>
  <si>
    <t xml:space="preserve">Elangovan, Poonguzhali (57210075002); Nath, Malaya Kumar (26423133700)</t>
  </si>
  <si>
    <t xml:space="preserve">57210075002; 26423133700</t>
  </si>
  <si>
    <t xml:space="preserve">A Novel Shallow ConvNet-18 for Malaria Parasite Detection in Thin Blood Smear Images: CNN Based Malaria Parasite Detection</t>
  </si>
  <si>
    <t xml:space="preserve">Accurate diagnosis of plasmodium parasite from blood cell images is essential to prevent the further spreading of the deadliest disease, malaria. It is an infectious disease, mainly transmitted by female Anopheles bite. Conventionally, microscopists can diagnose this disease by examining the thick and thin blood smears. Due to inter/intraobserver errors, the classification accuracy may get affected. To overcome this, a robust and shallow convolutional neural network is developed for the automatic detection of malaria parasite using thin blood smear images. The network is trained with 80% of images (11,023 parasitized and 11,023 uninfected) and tested with 20% (2756 parasitized and 2756 uninfected) of images. Several standard pre-trained models like Alexnet, VGG-16, VGG-19, Resnet-18, Resnet-50, Resnet-101, Squeezenet, Mobilenet-v2, Inception-v3, Googlenet, Xception, and Densenet-201 are implemented and the results obtained are compared with the proposed method. Classification accuracy, sensitivity, specificity, positive predictive value, and F1-score are the metrics used to evaluate the performance of the networks. Compared to existing pre-trained models, the proposed CNN has achieved better results with classification accuracy of 97.8%, sensitivity of 97.9%, specificity of 97.8%, positive predictive value of 97.8%, and F1-score of 97.84%. The proposed method performs the training much faster compared to the pre-trained network due to less number of parameters. © 2021, The Author(s), under exclusive licence to Springer Nature Singapore Pte Ltd.</t>
  </si>
  <si>
    <t xml:space="preserve">10.1007/s42979-021-00763-w</t>
  </si>
  <si>
    <t xml:space="preserve">https://www.scopus.com/inward/record.uri?eid=2-s2.0-85124213382&amp;doi=10.1007%2fs42979-021-00763-w&amp;partnerID=40&amp;md5=7ea81aaed03d8a3cea5fa87db621e8e4</t>
  </si>
  <si>
    <t xml:space="preserve">Department of ECE, National Institute of Technology Puducherry, Karaikal, India; Department of ECE, National Institute of Technology Puducherry, Karaikal, India</t>
  </si>
  <si>
    <t xml:space="preserve">Elangovan P., Department of ECE, National Institute of Technology Puducherry, Karaikal, India; Nath M.K., Department of ECE, National Institute of Technology Puducherry, Karaikal, India</t>
  </si>
  <si>
    <t xml:space="preserve">Convolutional neural network; Malaria; Plasmodium parasite; Transfer learning</t>
  </si>
  <si>
    <t xml:space="preserve">Bibin D., Nair M.S., Punitha P., Malaria parasite detection from peripheral blood smear images using deep belief networks, IEEE Access, 5, pp. 9099-9108, (2017); Chollet F., Xception: Deep learning with depthwise separable convolutions, 2017 IEEE Conference on Computer Vision and Pattern Recognition (CVPR), 1, pp. 1800-1807, (2017); Dong Y., Jiang Z., Shen H., Pan W.D., Williams L.A., Reddy V.V.B., Benjamin W.H., Bryan A.W., Evaluations of deep convolutional neural networks for automatic identification of malaria infected cells, 2017 IEEE EMBS International Conference on Biomedical and Health Informatics (BHI), 1, pp. 101-104, (2017); Elangovan P., Nath M.K., Glaucoma assessment from color fundus images using convolutional neural network, Int J Imaging Syst Technol, 31, (2020); Fatima T., Farid M.S., Automatic detection of plasmodium parasites from microscopic blood images, J Parasitic Dis, 44, pp. 69-78, (2019); He K., Zhang X., Ren S., Sun J., Deep residual learning for image recognition, 2016 IEEE Conference on Computer Vision and Pattern Recognition (CVPR), 1, pp. 770-778, (2016); Huang G., Liu Z., Maaten V.D., Weinberger K.Q., Densely connected convolutional networks, 2017 IEEE Conference on Computer Vision and Pattern Recognition (CVPR), 1, pp. 2261-2269, (2017); Iandola F.N., Moskewicz M.W., Ashraf K., Han S., Dally W.J., Keutzer K., Squeezenet: Alexnet-Level Accuracy with 50X Fewer Parameters and &lt;1 Mb Model Size, pp. 1-13, (2016); Ide H., Kurita T., Improvement of learning for cnn with relu activation by sparse regularization, 2017 International Joint Conference on Neural Networks (IJCNN), 1, pp. 2684-2691, (2017); Ioffe S., Szegedy C., Batch normalization: Accelerating deep network training by reducing internal covariate shift, . In: Proceedings of the 32Nd International Conference on Machine Learning (ICML), 37, pp. 448-456, (2015); Kingma D.P., Ba J., Adam: A method for stochastic optimization, In: Third International Conference on Learning Representations (ICLR), 1, pp. 1-15, (2015); Krizhevsky A., Sutskever I., Hinton G.E., Imagenet classification with deep convolutional neural networks, Neural Inf Process Syst, 25, 2, pp. 1097-1105, (2012); Liang Z., Powell A., Ersoy I., Poostchi M., Silamut K., Palaniappan K., Guo P., Hossain M.A., Sameer A., Maude R.J., Huang J.X., Jaeger S., Thoma G., Cnn-based image analysis for malaria diagnosis, In: 2016 IEEE International Conference on Bioinformatics and Biomedicine (BIBM), 1, pp. 493-496, (2016); Olugboja A., Wang Z., Malaria parasite detection using different machine learning classifier, 2017 International Conference on Machine Learning and Cybernetics (ICMLC), 1, pp. 246-250, (2017); Poostchi M., Silamut K., Maude R.J., Jaeger S., Thoma G., Image analysis and machine learning for detecting malaria, Transl Res, 194, pp. 36-55, (2018); Rajaraman S., Antani S.K., Poostchi M., Silamut K., Hossain M.A., Maude R.J., Jaeger S., Thoma G.R., Pre-trained convolutional neural networks as feature extractors toward improved malaria parasite detection in thin blood smear images, PeerJ, 6, (2018); Rajaraman S., Jaeger S., Antani S.K., Performance evaluation of deep neural ensembles toward malaria parasite detection in thin-blood smear images, PeerJ, 7, (2019); Razavian A.S., Azizpour H., Sullivan J., Carlsson S., Cnn features off-the-shelf: An astounding baseline for recognition, 2014 IEEE Conference on Computer Vision and Pattern Recognition Workshops, 1, pp. 512-519, (2014); Ross N.E.P.C., DA Rubin D.M., Automated image processing method for the diagnosis and classification of malaria on thin blood smears, Med Biol Eng Comput, 44, 5, pp. 427-436, (2006); Roy K., Sharmin S., Bintey R., Mukta R., Sen A., Joy J., Detection of malaria parasite in giemsa blood sample using image processing, Int J Comput Sci Inf Technol, 10, pp. 55-65, (2018); Sandler M., Howard A., Zhu M., Zhmoginov A., Chen L., MobileNetV2: Inverted residuals and linear bottlenecks, IEEE/CVF Conference on Computer Vision and Pattern Recognition (CVPR), 1, pp. 4510-4520, (2018); Simonyan K., Zisserman A., Very deep convolutional networks for large-scale image recognition, Third International Conference on Learning Representations (ICLR), 1, pp. 1-14, (2015); Szegedy C., Vanhoucke V., Ioffe S., Shlens J., Wojna Z., Rethinking the inception architecture for computer vision, In: Proceedings of the IEEE Conference on Computer Vision and Pattern Recognition (CVPR), 1, pp. 2818-2826, (2016); Szegedy C., Liu W., Jia Y., Sermanet P., Reed S., Anguelov D., Erhan D., Vanhoucke V., Rabinovich A., Going deeper with convolutions, In: 2015 IEEE Conference on Computer Vision and Pattern Recognition (CVPR), 1, pp. 1-9, (2015); Tek F.B., Dempster A.G., İzzet Kale: parasite detection and identification for automated thin blood film malaria diagnosis, Comput Vis Image Underst, 114, 1, pp. 21-32, (2010); Telang H., Sonawane K., Effective performance of bins approach for classification of malaria parasite using machine learning, Proceedings of the IEEE Conference on Computing Communication and Automation (ICCCA), 1, pp. 427-432, (2020); New Perspectives: Malaria Diagnosis. Geneva, pp. 1-29, (2000); Wongsrichanalai C., Barcus M.J., Muth S., Sutamihardja A., Wernsdorfer W.H., A review of malaria diagnostic tools: microscopy and rapid diagnostic test (rdt), Am J Trop Med Hygiene, 77, 6, pp. 119-127, (2007)</t>
  </si>
  <si>
    <t xml:space="preserve">P. Elangovan; Department of ECE, National Institute of Technology Puducherry, Karaikal, India; email: epoonguzhali3@gmail.com</t>
  </si>
  <si>
    <t xml:space="preserve">2-s2.0-85124213382</t>
  </si>
  <si>
    <t xml:space="preserve">Kanakasabapathy M.K.; Thirumalaraju P.; Kandula H.; Doshi F.; Sivakumar A.D.; Kartik D.; Gupta R.; Pooniwala R.; Branda J.A.; Tsibris A.M.; Kuritzkes D.R.; Petrozza J.C.; Bormann C.L.; Shafiee H.</t>
  </si>
  <si>
    <t xml:space="preserve">Kanakasabapathy, Manoj Kumar (56674673800); Thirumalaraju, Prudhvi (57193762852); Kandula, Hemanth (57205135267); Doshi, Fenil (57195282118); Sivakumar, Anjali Devi (59026762800); Kartik, Deeksha (57220926619); Gupta, Raghav (57695784100); Pooniwala, Rohan (57212178077); Branda, John A. (6602790642); Tsibris, Athe M. (6504615448); Kuritzkes, Daniel R. (7005078007); Petrozza, John C. (6603049658); Bormann, Charles L. (7006274029); Shafiee, Hadi (26535067700)</t>
  </si>
  <si>
    <t xml:space="preserve">56674673800; 57193762852; 57205135267; 57195282118; 59026762800; 57220926619; 57695784100; 57212178077; 6602790642; 6504615448; 7005078007; 6603049658; 7006274029; 26535067700</t>
  </si>
  <si>
    <t xml:space="preserve">Adaptive adversarial neural networks for the analysis of lossy and domain-shifted datasets of medical images</t>
  </si>
  <si>
    <t xml:space="preserve">In machine learning for image-based medical diagnostics, supervised convolutional neural networks are typically trained with large and expertly annotated datasets obtained using high-resolution imaging systems. Moreover, the network’s performance can degrade substantially when applied to a dataset with a different distribution. Here, we show that adversarial learning can be used to develop high-performing networks trained on unannotated medical images of varying image quality. Specifically, we used low-quality images acquired using inexpensive portable optical systems to train networks for the evaluation of human embryos, the quantification of human sperm morphology and the diagnosis of malarial infections in the blood, and show that the networks performed well across different data distributions. We also show that adversarial learning can be used with unlabelled data from unseen domain-shifted datasets to adapt pretrained supervised networks to new distributions, even when data from the original distribution are not available. Adaptive adversarial networks may expand the use of validated neural-network models for the evaluation of data collected from multiple imaging systems of varying quality without compromising the knowledge stored in the network. © 2021, The Author(s), under exclusive licence to Springer Nature Limited.</t>
  </si>
  <si>
    <t xml:space="preserve">Nature Biomedical Engineering</t>
  </si>
  <si>
    <t xml:space="preserve">10.1038/s41551-021-00733-w</t>
  </si>
  <si>
    <t xml:space="preserve">https://www.scopus.com/inward/record.uri?eid=2-s2.0-85107471612&amp;doi=10.1038%2fs41551-021-00733-w&amp;partnerID=40&amp;md5=58e48498df3141e97bf6045e461265cf</t>
  </si>
  <si>
    <t xml:space="preserve">Division of Engineering in Medicine, Department of Medicine, Brigham and Women’s Hospital, Harvard Medical School, Boston, MA, United States; Department of Pathology, Massachusetts General Hospital, Harvard Medical School, Boston, MA, United States; Division of Infectious Diseases, Department of Medicine, Brigham and Women’s Hospital, Harvard Medical School, Boston, MA, United States; Division of Reproductive Endocrinology and Infertility, Department of Obstetrics and Gynecology, Massachusetts General Hospital, Harvard Medical School, Boston, MA, United States</t>
  </si>
  <si>
    <t xml:space="preserve">Kanakasabapathy M.K., Division of Engineering in Medicine, Department of Medicine, Brigham and Women’s Hospital, Harvard Medical School, Boston, MA, United States; Thirumalaraju P., Division of Engineering in Medicine, Department of Medicine, Brigham and Women’s Hospital, Harvard Medical School, Boston, MA, United States; Kandula H., Division of Engineering in Medicine, Department of Medicine, Brigham and Women’s Hospital, Harvard Medical School, Boston, MA, United States; Doshi F., Division of Engineering in Medicine, Department of Medicine, Brigham and Women’s Hospital, Harvard Medical School, Boston, MA, United States; Sivakumar A.D., Division of Engineering in Medicine, Department of Medicine, Brigham and Women’s Hospital, Harvard Medical School, Boston, MA, United States; Kartik D., Division of Engineering in Medicine, Department of Medicine, Brigham and Women’s Hospital, Harvard Medical School, Boston, MA, United States; Gupta R., Division of Engineering in Medicine, Department of Medicine, Brigham and Women’s Hospital, Harvard Medical School, Boston, MA, United States; Pooniwala R., Division of Engineering in Medicine, Department of Medicine, Brigham and Women’s Hospital, Harvard Medical School, Boston, MA, United States; Branda J.A., Department of Pathology, Massachusetts General Hospital, Harvard Medical School, Boston, MA, United States; Tsibris A.M., Division of Infectious Diseases, Department of Medicine, Brigham and Women’s Hospital, Harvard Medical School, Boston, MA, United States; Kuritzkes D.R., Division of Infectious Diseases, Department of Medicine, Brigham and Women’s Hospital, Harvard Medical School, Boston, MA, United States; Petrozza J.C., Division of Reproductive Endocrinology and Infertility, Department of Obstetrics and Gynecology, Massachusetts General Hospital, Harvard Medical School, Boston, MA, United States; Bormann C.L., Division of Reproductive Endocrinology and Infertility, Department of Obstetrics and Gynecology, Massachusetts General Hospital, Harvard Medical School, Boston, MA, United States; Shafiee H., Division of Engineering in Medicine, Department of Medicine, Brigham and Women’s Hospital, Harvard Medical School, Boston, MA, United States</t>
  </si>
  <si>
    <t xml:space="preserve">Datasets as Topic; Embryo, Mammalian; Female; Histocytochemistry; Humans; Image Interpretation, Computer-Assisted; Malaria, Falciparum; Male; Microscopy; Neural Networks, Computer; Plasmodium falciparum; Spermatozoa; Supervised Machine Learning; Time-Lapse Imaging; Diagnosis; Image resolution; Imaging systems; Large dataset; Medical imaging; Petroleum reservoir evaluation; Quality control; Adversarial learning; Adversarial networks; Annotated datasets; Different distributions; High-resolution imaging; Medical diagnostics; Neural network model; Supervised network; Article; cell structure; controlled study; convolutional neural network; embryo; human; human cell; human embryo; image analysis; image quality; information processing; major clinical study; malaria; male; male infertility; sperm; computer assisted diagnosis; cytochemistry; diagnostic imaging; female; malaria falciparum; mammalian embryo; microscopy; parasitology; Plasmodium falciparum; procedures; spermatozoon; supervised machine learning; time lapse imaging; ultrastructure; Convolutional neural networks</t>
  </si>
  <si>
    <t xml:space="preserve">Mass General Brigham; National Institutes of Health, NIH, (R01AI118502, R61AI140489); National Institutes of Health, NIH; Foundation for the National Institutes of Health, FNIH; National Institute of Allergy and Infectious Diseases, NIAID, (R01AI138800); National Institute of Allergy and Infectious Diseases, NIAID; Brigham and Women's Hospital, BWH; Partners Healthcare</t>
  </si>
  <si>
    <t xml:space="preserve">We thank the staff members of the Massachusetts General Hospital (MGH) IVF laboratory and the MGH clinical pathology laboratory for their support and assistance in data collection and annotation; the American Association of Bioanalysts Proficiency Testing Services for providing sperm image data and clinical performance information; and staff at the Massachusetts General Hospital and Brigham and Women’s Hospital Centre for Clinical Data Science (CCDS) for providing access to additional compute power. The work reported here was partially supported by the National Institutes of Health under award numbers R01AI118502, R01AI138800 and R61AI140489; the Brigham and Women’s Hospital through the Precision Medicine Development Grant; and the Mass General Brigham through Partners Innovation Discovery grant.</t>
  </si>
  <si>
    <t xml:space="preserve">Esteva A., Et al., A guide to deep learning in healthcare, Nat. Med., 25, pp. 24-29, (2019); Topol E.J., High-performance medicine: the convergence of human and artificial intelligence, Nat. Med., 25, pp. 44-56, (2019); LeCun Y., Bengio Y., Hinton G., Deep learning, Nature, 521, pp. 436-444, (2015); Morvant E., Available Theoretical Results, Advances in Domain Adaptation Theory, (2019); Khosravi P., Et al., Deep learning enables robust assessment and selection of human blastocysts after in vitro fertilization, NPJ Digit. Med., 2, (2019); Zech J.R., Et al., Variable generalization performance of a deep learning model to detect pneumonia in chest radiographs: a cross-sectional study, PLoS Med., 15, (2018); Badgeley M.A., Et al., Deep learning predicts hip fracture using confounding patient and healthcare variables, NPJ Digit. Med., 2, (2019); Beede E., A human-centered evaluation of a deep learning system deployed in clinics for the detection of diabetic retinopathy, In Proc. 2020 CHI Conference on Human Factors in Computing Systems, pp. 1-12; Hosny A., Aerts H.J.W.L., Artificial intelligence for global health, Science, 366, pp. 955-956, (2019); Goodfellow I.J., Generative adversarial networks, In Adv. Neural Inf. Process. Syst, (2014); Long M., Cao Z., Wang J., Jordan M.I., Conditional adversarial domain adaptation, In Adv. Neural Inf. Process. Syst.; Ganin Y., Et al., Domain-adversarial training of neural networks, J. Mach. Learn. Res., 17, pp. 1-35, (2016); Kanakasabapathy M.K., Et al., Development and evaluation of inexpensive automated deep learning-based imaging systems for embryology, Lab Chip, 19, pp. 4139-4145, (2019); Bormann C.L., Et al., Consistency and objectivity of automated embryo assessments using deep neural networks, Fertil. Steril., 113, pp. 781-787, (2020); Thirumalaraju P., Et al., Evaluation of deep convolutional neural networks in classifying human embryo images based on their morphological quality, Heliyon, 7, (2021); Bormann C.L., Et al., Performance of a deep learning based neural network in the selection of human blastocysts for implantation, eLife, 9, (2020); Curchoe C.L., Bormann C.L., Artificial intelligence and machine learning for human reproduction and embryology presented at ASRM and ESHRE 2018, J. Assist. Reprod. Genet., 36, pp. 591-600, (2019); Hardarson T., Van Landuyt L., Jones G., The blastocyst, Hum. Reprod., 27, pp. i72-i91, (2012); Saenko K., Kulis B., Fritz M., Darrell T., Adapting Visual Category Models to New Domains. in 11Th European Conference on Computer Vision; Tzeng E., Hoffman J., Saenko K., Darrell T., Adversarial discriminative domain adaptation, 2017 IEEE Conference on Computer Vision and Pattern Recognition (CVPR), pp. 2962-2971, (2017); Long M., Cao Y., Wang J., Jordan M.I., Learning transferable features with deep adaptation networks, Proc. 32Nd International Conference on Machine Learning, pp. 97-105, (2015); Bousmalis K., Silberman N., Dohan D., Erhan D., Krishnan D., Unsupervised pixel-level domain adaptation with generative adversarial networks, 2017 IEEE Conference on Computer Vision and Pattern Recognition (CVPR) 95–104 (IEEE, (2017); Wei K.-Y., Hsu C.-T., Generative adversarial guided learning for domain adaptation, British Machine Vision Conference 2018 100 (BMVA Press, (2018); Kang G., Jiang L., Yang Y., Hauptmann A.G., Contrastive adaptation network for unsupervised domain adaptation, 2019 IEEE/CVF Conference on Computer Vision and Pattern Recognition (CVPR) 4888–4897 (IEEE, (2019); Wilson G., Cook D.J., A survey of unsupervised deep domain adaptation, ACM Trans. Intell. Syst. Technol., 11, (2020); WHO Laboratory Manual for the Examination and Processing of Human Semen, (2010); Kose M., Sokmensuer L.K., Demir A., Bozdag G., Gunalp S., Manual versus computer-automated semen analysis, Clin. Exp. Obstet. Gynecol., 41, pp. 662-664, (2014); Mortimer S.T., van Der Horst G., Mortimer D., The future of computer-aided sperm analysis, Asian J. Androl., 17, pp. 545-553, (2015); Thirumalaraju P., Et al., Automated sperm morpshology testing using artificial intelligence, Fertil. Steril., 110, (2018); Thirumalaraju P., Et al., Human sperm morphology analysis using smartphone microscopy and deep learning, Fertil. Steril., 112, (2019); Kanakasabapathy M.K., Et al., An automated smartphone-based diagnostic assay for point-of-care semen analysis, Sci. Transl. Med., 9, (2017); Agarwal A., Et al., Home sperm testing device versus laboratory sperm quality analyzer: comparison of motile sperm concentration, Fertil. Steril., 110, pp. 1277-1284, (2018); Rajaraman S., Et al., Pre-trained convolutional neural networks as feature extractors toward improved malaria parasite detection in thin blood smear images, PeerJ, 6, (2018); Guidelines for Clinicians; (2015); Global Technical Strategy for Malaria 2016–2030. Library Cataloguing-In-Publication Data, (2015); Poostchi M., Silamut K., Maude R.J., Jaeger S., Thoma G., Image analysis and machine learning for detecting malaria, Transl. Res., 194, pp. 36-55, (2018); Kelly C.J., Karthikesalingam A., Suleyman M., Corrado G., King D., Key challenges for delivering clinical impact with artificial intelligence, BMC Med., 17, (2019); Kim D.W., Jang H.Y., Kim K.W., Shin Y., Park S.H., Design characteristics of studies reporting the performance of artificial intelligence algorithms for diagnostic analysis of medical images: results from recently published papers, Korean J. Radiol., 20, pp. 405-410, (2019); Winkler J.K., Et al., Association between surgical skin markings in dermoscopic images and diagnostic performance of a deep learning convolutional neural network for melanoma recognition, JAMA Dermatol., 155, pp. 1135-1141, (2019); D'Amour A., Et al., Underspecification Presents Challenges for Credibility in Modern Machine Learning, (2020); Kazeminia S., Et al., GANs for medical image analysis, Artif. Intell. Med., 109, (2020); Rivenson Y., Et al., Deep learning enhanced mobile-phone microscopy, ACS Photonics, 5, pp. 2354-2364, (2018); Shin H.-C.; Rivenson Y., Et al., Virtual histological staining of unlabelled tissue-autofluorescence images via deep learning, Nat. Biomed. Eng., 3, pp. 466-477, (2019); Rivenson Y., Wu Y., Ozcan A., Deep learning in holography and coherent imaging, Light Sci. Appl., 8, (2019); Belthangady C., Royer L.A., Applications, promises, and pitfalls of deep learning for fluorescence image reconstruction, Nat. Methods, 16, pp. 1215-1225, (2019); Sankaranarayanan S., Balaji Y., Castillo C.D., Chellappa R., Generate to adapt: Aligning domains using generative adversarial networks, 2018 IEEE/CVF Conference on Computer Vision and Pattern Recognition (CVPR) 8503–8512 (IEEE, (2018); Wood C.S., Et al., Taking connected mobile-health diagnostics of infectious diseases to the field, Nature, 566, pp. 467-474, (2019); Chollet F., Xception: Deep learning with depthwise separable convolutions, 2017 IEEE Conference on Computer Vision and Pattern Recognition (CVPR), pp. 1800-1807, (2017); Szegedy C., Vanhoucke V., Ioffe S., Shlens J., Wojna Z., Rethinking the inception architecture for computer vision, 2016 IEEE Conference on Computer Vision and Pattern Recognition (CVPR) 2818–2826 (IEEE, (2016); He K., Zhang X., Ren S., Sun J., Deep residual learning for image recognition, 2016 IEEE Conference on Computer Vision and Pattern Recognition (CVPR) 770–778 (IEEE, (2016); Szegedy C., Ioffe S., Vanhoucke V., Alemi A., Inception-v4, Inception-ResNet and the impact of residual connections on learning, Proc. Thirty-First AAAI Conference on Artificial Intelligence 4278–4284 (AAAI Press, (2017)</t>
  </si>
  <si>
    <t xml:space="preserve">H. Shafiee; Division of Engineering in Medicine, Department of Medicine, Brigham and Women’s Hospital, Harvard Medical School, Boston, United States; email: hshafiee@bwh.harvard.edu</t>
  </si>
  <si>
    <t xml:space="preserve">2157846X</t>
  </si>
  <si>
    <t xml:space="preserve">Nat. Biomed. Eng.</t>
  </si>
  <si>
    <t xml:space="preserve">2-s2.0-85107471612</t>
  </si>
  <si>
    <t xml:space="preserve">Manian V.; Orozco-Sandoval J.; Diaz-Martinez V.</t>
  </si>
  <si>
    <t xml:space="preserve">Manian, Vidya (7004590579); Orozco-Sandoval, Jairo (57221963614); Diaz-Martinez, Victor (57224948175)</t>
  </si>
  <si>
    <t xml:space="preserve">7004590579; 57221963614; 57224948175</t>
  </si>
  <si>
    <t xml:space="preserve">An Integrative Network Science and Artificial Intelligence Drug Repurposing Approach for Muscle Atrophy in Spaceflight Microgravity</t>
  </si>
  <si>
    <t xml:space="preserve">Muscle atrophy is a side effect of several terrestrial diseases which also affects astronauts severely in space missions due to the reduced gravity in spaceflight. An integrative graph-theoretic network-based drug repurposing methodology quantifying the interplay of key gene regulations and protein–protein interactions in muscle atrophy conditions is presented. Transcriptomic datasets from mice in spaceflight from GeneLab have been extensively mined to extract the key genes that cause muscle atrophy in organ muscle tissues such as the thymus, liver, and spleen. Top muscle atrophy gene regulators are selected by Bayesian Markov blanket method and gene–disease knowledge graph is constructed using the scalable precision medicine knowledge engine. A deep graph neural network is trained for predicting links in the network. The top ranked diseases are identified and drugs are selected for repurposing using drug bank resource. A disease drug knowledge graph is constructed and the graph neural network is trained for predicting new drugs. The results are compared with machine learning methods such as random forest, and gradient boosting classifiers. Network measure based methods shows that preferential attachment has good performance for link prediction in both the gene–disease and disease–drug graphs. The receiver operating characteristic curves, and prediction accuracies for each method show that the random walk similarity measure and deep graph neural network outperforms the other methods. Several key target genes identified by the graph neural network are associated with diseases such as cancer, diabetes, and neural disorders. The novel link prediction approach applied to the disease drug knowledge graph identifies the Monoclonal Antibodies drug therapy as suitable candidate for drug repurposing for spaceflight induced microgravity. There are a total of 21 drugs identified as possible candidates for treating muscle atrophy. Graph neural network is a promising deep learning architecture for link prediction from gene–disease, and disease–drug networks. © Copyright © 2021 Manian, Orozco-Sandoval and Diaz-Martinez.</t>
  </si>
  <si>
    <t xml:space="preserve">10.3389/fcell.2021.732370</t>
  </si>
  <si>
    <t xml:space="preserve">https://www.scopus.com/inward/record.uri?eid=2-s2.0-85116261490&amp;doi=10.3389%2ffcell.2021.732370&amp;partnerID=40&amp;md5=7dec8353b99f0e626ea791ef1a43d045</t>
  </si>
  <si>
    <t xml:space="preserve">Laboratory for Applied Remote Sensing, Imaging, and Photonics, Department of Electrical and Computer Engineering, University of Puerto Rico, Mayaguez, PR, United States</t>
  </si>
  <si>
    <t xml:space="preserve">Manian V., Laboratory for Applied Remote Sensing, Imaging, and Photonics, Department of Electrical and Computer Engineering, University of Puerto Rico, Mayaguez, PR, United States; Orozco-Sandoval J., Laboratory for Applied Remote Sensing, Imaging, and Photonics, Department of Electrical and Computer Engineering, University of Puerto Rico, Mayaguez, PR, United States; Diaz-Martinez V., Laboratory for Applied Remote Sensing, Imaging, and Photonics, Department of Electrical and Computer Engineering, University of Puerto Rico, Mayaguez, PR, United States</t>
  </si>
  <si>
    <t xml:space="preserve">gradient boosting; graph neural network; link prediction; muscle atrophy; network measures; preferential attachment; random forest; random walk</t>
  </si>
  <si>
    <t xml:space="preserve">adalimumab; arcitumomab tc 99m; azathioprine; balsalazide; budesonide; certolizumab pegol; formoterol; glucocorticoid receptor; golimumab; hydrocortisone; infliximab; insulin; ivermectin; loteprednol; monoclonal antibody; nimodipine; olsalazine; ornithine; riboflavin; selegiline; sulfafurazole; tetracycline; tinidazole; transcription factor GATA 1; acute leukemia; adult; animal experiment; animal model; aortic disease; Article; artificial intelligence; bone disease; celiac disease; cholangitis; comparative study; controlled study; cosmic radiation; diabetes mellitus; disease association; drug repositioning; endometriosis; eye disease; gene control; gene expression; gene regulatory network; hair disease; hypothyroidism; leprosy; liver disease; liver tissue; lymphoma; machine learning; male; malignant neoplasm; microgravity; mouse; muscle atrophy; muscle tissue; network analysis; nonhuman; nose disease; osteoarthritis; overnutrition; paired end sequencing; personalized medicine; prion disease; protein protein interaction; psoriasis; random forest; receiver operating characteristic; RNA sequencing; space flight; spleen tissue; stomach cancer; thymus tissue; transcriptomics; young adult</t>
  </si>
  <si>
    <t xml:space="preserve">adalimumab, 331731-18-1, 1446410-95-2; arcitumomab tc 99m, 154361-49-6, 154361-48-5; azathioprine, 446-86-6; balsalazide, 82101-18-6, 150399-21-6, 213594-60-6, 80573-04-2; budesonide, 51333-22-3, 51372-29-3; certolizumab pegol, 428863-50-7; formoterol, 73573-87-2; golimumab, 476181-74-5; hydrocortisone, 50-23-7; infliximab, 170277-31-3; insulin, 9004-10-8; ivermectin, 70288-86-7; loteprednol, 129260-79-3; nimodipine, 66085-59-4; olsalazine, 6054-98-4; ornithine, 70-26-8, 7006-33-9; riboflavin, 83-88-5; selegiline, 14611-51-9, 14611-52-0, 2079-54-1, 2323-36-6; sulfafurazole, 127-69-5; tetracycline, 23843-90-5, 60-54-8, 64-75-5, 8021-86-1; tinidazole, 19387-91-8; transcription factor GATA 1, 125267-48-3</t>
  </si>
  <si>
    <t xml:space="preserve">NASA EPSCoR, (80NSSC20M0132); National Aeronautics and Space Administration, NASA</t>
  </si>
  <si>
    <t xml:space="preserve">Funding text 1: This research was funded by NASA EPSCoR (Grant Number 80NSSC20M0132). Opinions, findings, conclusions, or recommendations expressed in this material are those of the authors and do not necessarily reflect the views of NASA.; Funding text 2: The authors would like to thank the NASA technical monitor Egle Cekanaviciute for providing us with the SPOKE database for gene disease interactions.</t>
  </si>
  <si>
    <t xml:space="preserve">Abbas K., Abbasi A., Dong S., Niu L., Yu L., Chen B., Et al., Application of network link prediction in drug discovery, BMC Bioinform, 22, 187, (2021); Ainsworth H., Shin S., Cordell H., A comparison of methods for inferring causal relationships between genotype and phenotype using additional biological measurements, Genet. Epidemiol, 41, pp. 577-586, (2017); Anand G.K., Bioinformatics Bayesian Networks for Omics Data Analysis, (2009); Ballerini A., Chua C., Rhudy J., Susnjar A., Di Trani N., Jain P., Et al., Counteracting muscle atrophy on earth and in space via nanofluidics delivery of formoterol, Adv. Therapeutics, 3, (2020); Beheshti A., Ray S., Fogle H., Berrios D., Costes S., A microRNA signature and TGF-β1 response were identified as the key master regulators for spaceflight response, PLoS One, 13, e0199621, (2018); Bei Y., Xiao J., MicroRNAs in muscle wasting and cachexia induced by heart failure, Nat. Rev. Cardiol, 14, 566, (2017); Bhatnagar S., Panguluri S., Gupta S., Dahiya S., Lundy R., Et al., Tumor necrosis Factor-α regulates distinct molecular pathways and gene networks in cultured skeletal muscle cells, PLoS One, 5, e13262, (2010); Biggs N., Algebraic Graph Theory, (1993); Bui A., Jun H., Learning bayesian network structure using Markov blanket decomposition, Pattern Recogn. Lett, 33, pp. 2134-2140, (2012); Burckart K., Beca S., Urban R., Sheffield-Moore M., Pathogenesis of muscle wasting in cancer cachexia: targeted anabolic and anticatabolic therapies, Curr. Opin. Clin. Nutr. Metab. Care, 13, pp. 410-416, (2010); Cadena S., Zhang Y., Fang J., Brachat S., Kuss P., Giorgetti E., Et al., Skeletal muscle in MuRF1 null mice is not spared in low-gravity conditions, indicating atrophy proceeds by unique mechanisms in space, Sci. Rep, 9, 9397, (2019); Campins L., Camps M., Riera A., Pleguezuelos E., Yebenes J., Et al., Oral drugs related with muscle wasting and sarcopenia. a review, Pharmacology, 99, pp. 1-8, (2017); Chen B., Yong H., Ying J., Link prediction on directed networks based on AUC optimization, IEEE Access, 6, pp. 28122-28136, (2018); Chen Z., Liu X., Hogan W., Shenkman E., Bian J., Applications of artificial intelligence in drug development using real-world data, Drug Discovery Today, 26, pp. 1256-1264, (2020); Costa L., Travieso G., Exploring complex networks through random walks, Phys. Rev. Statistical Nonlinear Soft Matter Phys, 75, pp. 1-7, (2007); Dapp C., Fluck M., Schmutz S., Hoppeler H., Transcriptional reprogramming and ultrastructure during atrophy and recovery of mouse soleus muscle, Physiol. Genom, 20, pp. 97-107, (2004); Doig J., Griffiths L., Peberdy D., Dharmasaroja P., Vera M., Davies F., Et al., In vivo characterization of the role of tissue-specific translation elongation factor 1 A 2 in protein synthesis reveals insights into muscle atrophy, FEBS J, 280, pp. 6528-6540, (2013); Dostert C., Grusdat M., Letellier E., Brenner D., The TNF family of ligands and receptors: communication modules in the immune system and beyond, Physiol. Rev, 99, pp. 115-160, (2019); Dudgeon W., Phillips K., Carson J., Brewer R., Durstine J., Et al., Counteracting muscle wasting in HIV-infected individuals, HIV Med, 7, pp. 299-310, (2006); Fire M., Tenenboim L., Lesser O., Puzis R., Rokach L., Elovici Y., Link prediction in social networks using computationally efficient topological features, Proceedings - 2011 IEEE International Conference on Privacy, Security, Risk and Trust and IEEE International Conference on Social Computing, PASSAT/SocialCom 2011, pp. 73-80, (2011); DrugBank Online. Database for Drug and Drug Target Info, (2021); Goropashnaya A., Barnes B., Fedorov V., Transcriptional changes in muscle of hibernating arctic ground squirrels (Urocitellus parryii): implications for attenuation of disuse muscle atrophy, Sci. Rep, 10, 9010, (2020); Grover A., Leskovec J., node2vec: scalable feature learning for networks, Proceedings of the ACM SIGKDD International Conference on Knowledge Discovery and Data Mining, pp. 855-864, (2016); Gysi D., Valle I., Zitnik M., Ameli A., Gan X., Varol O., Et al., Network Medicine Framework for Identifying Drug Repurposing Opportunities for COVID-19, ArXiv [preprint], (2020); Horie K., Kato T., Kudo T., Sasanuma H., Miyauchi M., Akiyama N., Et al., Impact of spaceflight on the murine thymus and mitigation by exposure to artificial gravity during spaceflight, Sci. Rep, 9, 19866, (2019); Horie K., Sasanuma H., Kudo T., Fujita S., Miyauchi M., Miyao T., Et al., Down-regulation of GATA1-dependent erythrocyte-related genes in the spleens of mice exposed to a space travel, Sci. Rep, 9, 7654, (2019); Hu Z., Lee I., Wang X., Sheng H., Zhang L., Du J., Et al., PTEN expression contributes to the regulation of muscle protein degradation in diabetes, Diabetes Metab. Res. Rev, 56, pp. 2449-2456, (2007); Hussain Ahmed C., Dhruba Kumar B., Jugal Kumar K., (Differential) Co-expression analysis of gene expression: a survey of best practices, IEEE/ACM Trans. Comp. Biol. Bioinform, 17, pp. 1154-1173, (2020); Janwa H., Massey S., Velev J., Mishra B., On the origin of biomolecular networks, Front. Genetics, 10, 240, (2019); Jarada T., Rokne J., Alhajj R., A review of computational drug repositioning: strategies, approaches, opportunities, challenges, and directions, J. Cheminform, 12, 46, (2020); Kalyani R., Corriere M., Ferrucci L., Age-related and disease-related muscle loss: the effect of diabetes, obesity, and other diseases, Lancet Diabetes Endocrinol, 2, pp. 819-829, (2014); Koromina M., Pandi M., Patrinos G., Rethinking drug repositioning and development with artificial intelligence, machine learning, and omics, OMICS J. Int. Biol, 23, pp. 539-548, (2019); Lebsack T., Fa V., Woods C., Gruener R., Manziello A., Pecaut M., Et al., Microarray analysis of spaceflown murine thymus tissue reveals changes in gene expression regulating stress and glucocorticoid receptors, J. Cell. Biochem, 110, pp. 372-381, (2010); Li T., Wang J., Tu M., Zhang Y., Yan Y., Enhancing link prediction using gradient boosting features, Lecture Notes Comp. Sci, 9772, pp. 81-92, (2016); Malkani S., Chin C., Cekanaviciute E., Mortreux M., Okinula H., Tarbier M., Et al., Circulating miRNA spaceflight signature reveals targets for countermeasure development, Cell Rep, 33, (2020); Mutlu E., Oghaz T., Rajabi A., Garibay I., Review on learning and extracting graph features for link prediction, Machine Learn. Knowledge Extract, 2, pp. 672-704, (2020); NASA GeneLab: Open Science for Life in Space; Nelson C., Acuna A., Paul A., Scott R., Butte A., Cekanaviciute E., Et al., Knowledge network embedding of transcriptomic data from spaceflown mice uncovers signs and symptoms associated with terrestrial diseases, Life, 11, pp. 1-14, (2021); Neutelings T., Nusgens B., Liu Y., Tavella S., Ruggiu A., Cancedda R., Et al., Skin physiology in microgravity: a 3-month stay aboard ISS induces dermal atrophy and affects cutaneous muscle and hair follicles cycling in mice, NPJ Microgravity, 1, 15002, (2015); Opsahl T., Agneessens F., Skvoretz J., Node centrality in weighted networks: generalizing degree and shortest paths, Soc. Networks, 32, pp. 245-251, (2010); Pellet J., Elisseeff A., Using markov blankets for causal structure learning, J. Machine Learn. Res, 9, pp. 1295-1342, (2008); Ram R., Chetty M., A markov-blanket-based model for gene regulatory network inference, IEEE/ACM Trans. Comp. Biol. Bioinform, 8, pp. 353-367, (2011); Rausch V., Sala V., Penna F., Porporato P., Ghigo A., Understanding the common mechanisms of heart and skeletal muscle wasting in cancer cachexia, Oncogenesis, 10, pp. 1-13, (2021); Reda C., Kaufmann E., Delahaye-Duriez A., Machine learning applications in drug development, Comp. Structural Biotechnol. J, 18, pp. 241-252, (2020); Rullman E., Mekjavic I., Fischer H., Eiken O., PlanHab (Planetary Habitat Simulation): the combined and separate effects of 21 days bed rest and hypoxic confinement on human skeletal muscle miRNA expression, Physiol. Rep, 4, e12753, (2016); Smith R., Cramer M., Mitchell P., Lucchesi J., Ortega A., Livingston E., Et al., Inhibition of myostatin prevents microgravity-induced loss of skeletal muscle mass and strength, PLoS One, 15, e0230818, (2020); Syed Sazzad A., Swarup R., Jugal K., Assessing the effectiveness of causality inference methods for gene regulatory networks, IEEE/ACM Trans. Comp. Biol. Bioinform, 17, pp. 56-70, (2020); Tsamardinos I., Aliferis C., Statnikov A., Statnikov E., Algorithms for large scale markov blanket discovery, Proceedings of the Sixteenth International Florida Artificial Intelligence Research Society Conference, (2003); Versari S., Longinotti G., Barenghi L., Maier J., Bradamante S., The challenging environment on board the International Space Station affects endothelial cell function by triggering oxidative stress through thioredoxin interacting protein overexpression: the ESA-SPHINX experiment, FASEB J, 27, pp. 4466-4475, (2013); Wang Y., You Z., Yang S., Yi H., Chen Z., Et al., A deep learning-based method for drug-target interaction prediction based on long short-term memory neural network, BMC Med. Inform. Decis. Mak, 20, 49, (2020); Wu W., Lin J., Pan C., Chan T., Liu C., Wu W., Et al., Amplification-driven BCL6-suppressed cytostasis is mediated by transrepression of FOXO3 and post-translational modifications of FOXO3 in urinary bladder urothelial carcinoma, Theranostics, 10, pp. 707-724, (2020); Wu M., Yong H., Liang Z., Yue H., Link prediction based on random forest in signed social networks, Proceedings - 2018 10th International Conference on Intelligent Human-Machine Systems and Cybernetics, pp. 251-256, (2018); Wyart E., Bindels L., Mina E., Menga A., Stanga S., Et al., Cachexia, a systemic disease beyond muscle atrophy, Int. J. Mol. Sci, 21, pp. 1-18, (2020); Xuan P., Zhao L., Zhang T., Ye Y., Zhang Y., Inferring drug-related diseases based on convolutional neural network and gated recurrent unit, Molecules, 24, 2712, (2019); Yang J., Cao Y.R., Li Q., Zhu F., Muscle atrophy in Cancer, Muscle Atrophy, pp. 329-346, (2018); Yang Y., Lichtenwalter R., Chawla N., Evaluating link prediction methods, Knowledge Information Systems, 45, (2015); Zea L., Drug discovery and development in space, Proc. Int. Astronaut. Cong, 1, pp. 273-282, (2015); Zhao K., So H., Drug repositioning for schizophrenia and depression/anxiety disorders: a machine learning approach leveraging expression data, IEEE J. Biomed. Health Inform, 23, pp. 1304-1315, (2018)</t>
  </si>
  <si>
    <t xml:space="preserve">V. Manian; Laboratory for Applied Remote Sensing, Imaging, and Photonics, Department of Electrical and Computer Engineering, University of Puerto Rico, Mayaguez, United States; email: vidya.manian@upr.edu</t>
  </si>
  <si>
    <t xml:space="preserve">2-s2.0-85116261490</t>
  </si>
  <si>
    <t xml:space="preserve">Xavier L.L.; Honório N.A.; Pessanha J.F.M.; Peiter P.C.</t>
  </si>
  <si>
    <t xml:space="preserve">Xavier, Leandro Layter (57209326783); Honório, Nildimar Alves (6602344881); Pessanha, José Francisco Moreira (18038433000); Peiter, Paulo César (17135582300)</t>
  </si>
  <si>
    <t xml:space="preserve">57209326783; 6602344881; 18038433000; 17135582300</t>
  </si>
  <si>
    <t xml:space="preserve">Analysis of climate factors and dengue incidence in the metropolitan region of Rio de Janeiro, Brazil</t>
  </si>
  <si>
    <t xml:space="preserve">Dengue is a re-emerging disease, currently considered the most important mosquito-borne arbovirus infection affecting humankind, taking into account both its morbidity and mortality. Brazil is considered an endemic country for dengue, such that more than 1,544,987 confirmed cases were notified in 2019, which means an incidence rate of 735 for every 100 thousand inhabitants. Climate is an important factor in the temporal and spatial distribution of vector-borne diseases, such as dengue. Thus, rainfall and temperature are considered macro-factors determinants for dengue, since they directly influence the population density of Aedes aegypti, which is subject to seasonal fluctuations, mainly due to these variables. This study examined the incidence of dengue fever related to the climate influence by using temperature and rainfall variables data obtained from remote sensing via artificial satellites in the metropolitan region of Rio de Janeiro, Brazil. The mathematical model that best fits the data is based on an auto-regressive moving average with exogenous inputs (ARMAX). It reproduced the values of incidence rates in the study period and managed to predict with good precision in a one-year horizon. The approach described in present work may be replicated in cities around the world by the public health managers, to build auxiliary operational tools for control and prevention tasks of dengue, as well of other arbovirus diseases. Copyright: © 2021 Xavier et al.</t>
  </si>
  <si>
    <t xml:space="preserve">e0251403</t>
  </si>
  <si>
    <t xml:space="preserve">10.1371/journal.pone.0251403</t>
  </si>
  <si>
    <t xml:space="preserve">https://www.scopus.com/inward/record.uri?eid=2-s2.0-85106029853&amp;doi=10.1371%2fjournal.pone.0251403&amp;partnerID=40&amp;md5=c73996828670e439e09aae1ad9d05ec6</t>
  </si>
  <si>
    <t xml:space="preserve">Parasitic Diseases Laboratory, Tropical Medicine Program, Oswaldo Cruz Institute, Oswaldo Cruz Foundation, Rio de Janeiro, Brazil; Hematozoan Transmitting Mosquito, Tropical Medicine Program, Oswaldo Cruz Institute, Oswaldo Cruz Foundation, Rio de Janeiro, Brazil; Institute of Mathematics and Statistics, State University of Rio de Janeiro, Rio de Janeiro, Brazil</t>
  </si>
  <si>
    <t xml:space="preserve">Xavier L.L., Parasitic Diseases Laboratory, Tropical Medicine Program, Oswaldo Cruz Institute, Oswaldo Cruz Foundation, Rio de Janeiro, Brazil; Honório N.A., Hematozoan Transmitting Mosquito, Tropical Medicine Program, Oswaldo Cruz Institute, Oswaldo Cruz Foundation, Rio de Janeiro, Brazil; Pessanha J.F.M., Institute of Mathematics and Statistics, State University of Rio de Janeiro, Rio de Janeiro, Brazil; Peiter P.C., Parasitic Diseases Laboratory, Tropical Medicine Program, Oswaldo Cruz Institute, Oswaldo Cruz Foundation, Rio de Janeiro, Brazil</t>
  </si>
  <si>
    <t xml:space="preserve">Brazil; Cities; Climate; Dengue; Dengue Virus; Humans; Incidence; Rain; Temperature; rain; Aedes aegypti; arbovirus infection; Article; artificial intelligence; Brazil; climate; controlled study; dengue; disease association; environmental temperature; human; infection control; major clinical study; mathematical model; morbidity; population density; public health; remote sensing; satellite imagery; time series analysis; urban area; city; climate; dengue; Dengue virus; incidence; isolation and purification; temperature</t>
  </si>
  <si>
    <t xml:space="preserve">Weaver SC, Reisen WK., Present and future arboviral threats, Antiviral Reseach, 85, 2, pp. 328-345, (2010); Donalisio MR, Freitas ARR, Zuben APBV., Arboviruses emerging in Brazil: challenges for clinic and implications for public health, Revista de Saúde Pública, 51, 30, pp. 1-6, (2017); Viana DV, Ignotti E., The ocorrence of dengue and weather changes in Brazil; A systematic review, Rev. Bras Epidemiol, 16, 2, pp. 240-256, (2013); Dengue haemorrhagic fever: diagnosis, treatment, prevention and control, (1997); Halstead SB., Dengue virus mosquito interactions, Annual Review of Entomology, 53, pp. 273-291, (2008); Gurugama P, Gard P, Perera J, Wijewickrama A, Seneviratne SL., Dengue viral infections, Indian Journal of Dermatology, 55, 1, pp. 68-78, (2010); Shepard DS, Undurraga EA, Halasa YA, Stanaway JD., The global economic burden of dengue: a systematic analysis, The Lancet Infectious Diseases, 16, 8, pp. 935-941, (2016); Normile D., Surprising New Dengue Virus Throws a Spanner in Disease Control Efforts, Tropical Medicine, 342, 6157, (2013); Mustafa MS, Rasotgi V, Jain S, Gupta V., Discovery of fifth serotype of dengue virus (DENV-5): A new public health dilemma in dengue control, Medical Journal Armed Forces India, 71, 1, pp. 67-70, (2015); Mc Bride CS, Baier FB, Omondi AB, Spitzer SA, Lutomiah J, Sang R, Et al., Evolution of mosquito preference for humans linked to an odorant receptor, Nature Internation Journal of Science, (2014); Carvalho RG, Lourenco-de-Oliveira R, Braga IA., Updating the geographical distribution and frequency of Aedes albopictus in Brazil with remarks regarding its range in the Americas, Mem Inst Oswaldo Cruz, 109, 6, pp. 787-796, (2014); Lima-Camara TN, Urbinatti PR, Chiaravalloti-Neto F., Finding Aedes aegypti in a natural breeding site in an urban zone, Sao Paulo, Southeastern Brazil, Rev Saúde Pública, 50, 3, pp. 1-4, (2014); Tauil PL., Urbanização e ecologia do dengue, Rev Saúde Pública, 17, pp. 99-102, (2001); Braks MAH, Honorio NA, Lourenco-De-Oliveira R, Lounibos LP., Convergent habitat segregation of Aedes aegypti and Aedes albopictus (Diptera: Culicidae) in southeastern Brazil and Florida, Journal of Medical Entomogy, 40, 6, pp. 785-794, (2003); Abreu FVS, Morais MM, Ribeiro SP, Eiras AE., Influence of breeding site availability on the oviposition behavior of Aedes aegypti, Mem Inst Oswaldo Cruz, 110, pp. 669-676, (2015); Santos SL, Augusto LGS., Modelo multidimensional para o controle da dengue: uma proposta com base na reprodução social e situações de risco, Physis: Revista de Saúde Coletiva, 21, 1, pp. 177-196, (2011); Gomes AF, Nobre AA, Cruz OG., Temporal analysis of the relationship between dengue and meteorological variables in the city of Rio de Janeiro, 2001-2009, Cadernos Saúde Pública, 28, 1, pp. 177-196, (2012); Lourenco-de-Oliveira R., Biologia e Comportamento do Vetor. In: Valle D, Pimenta D, Cunha R. Dengue: Teorias e Práticas, 1, pp. 75-92, (2015); Racloz V, Ramsey R, Tong S, Hu W., Surveillance of dengue fever virus: a review of epidemiological models and early warning systems, PLoS Neglected Tropical Diseases, 6, 5, (2012); Phung D, Huang C, Rutherford S, Chu C, Wang X, Nguyen M, Et al., Identification of the prediction model for dengue incidence in Can Tho city, a Mekong Delta area in Vietnam, Acta Tropica, 141, pp. 88-96, (2015); Gharbi M, Quenel P, Gustave J, Cassadou S, La Ruche G, Girdary L, Et al., Time series analysis of dengue incidence in Guadeloupe, French West Indies: Forecasting models using climate variables as predictor, BMC Infectious Diseases, 11, (2011); Guo P, Liu T, Zhang Q, Wang L, Xiao J, Zhang Q, Et al., Developing a dengue forecast model using machine learning: A case study in China, PLOS Neglected Tropical Diseases, (2017); Cheng Q, Jing Q, Spear RC, Marshall JM, Yang Z, Gong P., Climate and the Timing of Imported Cases as Determinants of the Dengue Outbreak in Guangzhou, 2014: Evidence from a Mathematical Model, Plos Neglected Tropical Diseases, 10, pp. 1-22, (2016); Chuang TW, Chaves LF, Chen PJ., Effects of local and regional climatic fluctuations on dengue outbreaks in Southern Taiwan, Plos One, 12, 7, (2017); Junior JLR, Padilha TF, Rezende JE, Rabelo ECA, Ferreira ACG, Rabahi MF, Efeito da sazonalidade climática na ocorrência de sintomas respiratórios em uma cidade de clima tropical, Jornal Brasileiro de Pneumologia, 37, 6, (2011); Produto interno bruto do Estado do Rio de Janeiro, (2015); Censo Demográfico, (2010); Defines National List of Compulsory Notification of Diseases, Health Conditions and Health Events public and private health services throughout the national territory, in accordance with annex, and other arrangements, (2014); Wan Z., New refinements and validation of the MODIS Land-Surface Temperature/Emissivity products, Remote Sens. Environ, 112, pp. 59-74, (2008); Liu Z., Comparison of precipitation estimates between Version 7 3-hourly TRMM Multi-Satellite Precipitation Analysis (TMPA) near-real-time and research products, Atmospheric Research, 153, pp. 119-133, (2015); Huffman GJ, Adler RF, Bolvin DT, Nelkin EJ., The TRMM Multi-Satellite Precipitation Analysis (TMPA), Satellite Rainfall Applications for Surface Hydrology, pp. 3-22, (2010); Huffman GJ, Bolvin DT., Real-Time TRMM Multi-Satellite Precipitation Analysis Data Set Documentation, (2018); Hamilton J. D., Time Series Analysis, (1994); Verbeek M., A guide to modern econometrics, (2012); Medronho RA., Dengue fever and the urban environment, Revista Brasileira de Epidemiologia, 9, 2, pp. 159-161, (2006); Gomes AC, Forattini OP, Kakitami I, Marques GRAM, Marques CCA, Marucci D, Et al., Microhabitats de Aedes albopictus (Skuse) na região do Vale do Paraíba, Estado de São Paulo, Brasil, Revista de Saúde Pública, 26, 2, pp. 108-118, (1992); Chiaravalloti Neto F., Descrição da colonização de Aedes aegypti na região de São José do Rio Preto, São Paulo, Revista da Sociedade Brasileira de Medicina Tropical, 30, 4, pp. 279-285, (1997); Rebelo JMM, Costa JML, Silva FS, Pereira YNO, Silva JM., Distribution of Aedes aegypti and dengue in the State of Maranhão, Brazil, Cadernos de Saúde Pública, 15, 3, pp. 447-486, (1999); Forattini OP, Kakitania I, Santos RLC, Kobayashib KM, Uenob HM, Fernandez Z., Distribution of Aedes aegypti and dengue in the State of Maranhão, Brazil, Revista de Saúde Pública, 34, 5, pp. 461-467, (2000); Pinheiro VCS, Tadei WP., Frequency, diversity, and productivity study on the Aedes aegypti most preferred containers in the city of Manaus, Amazonas, Brazil, Revista do Instituto de Medicina Tropical de São Paulo, 44, 5, pp. 245-250, (2002); Souza ICA, Vianna RPT, Moraes RM., MModelagem da incidência do dengue na Paraíba, Brasil, por modelos de defasagem distribuída, Cadernos de Saúde Pública, 23, 11, pp. 2623-2630, (2007); Urbinatti PR, Menezes RMT, Nata D., Sazonalidade de Aedes albopictus em área protegida na cidade de São Paulo, Brasil, Revista de Saúde Pública, 41, 3, pp. 478-481, (2007); Costa FS, Silva JJ, Souza CM, Mendes J., Population dynamics of Aedes aegypti (L) in an urban area with high incidence of dengue, Revista da Sociedade Brasileira de Medicina Tropical, 41, 3, pp. 309-312, (2008); Zeidler JD, Acosta POA, Barreto PP, Cordeiro JS., Dengue virus in Aedes aegypti larvae and infestation dynamics in Roraima, Brazil, Revista de Saúde Pública, 42, 6, pp. 1-6, (2008); Honorio NA, Codeco CT, Alves FC, Magalhaes MAFM, Lourenco-de-Oliveira R., Temporal distribution of Aedes aegypti in different districts of Rio de Janeiro, Brazil, measured by two types of traps, Journal of Medical Entomology, 46, 5, pp. 1001-1014, (2009); Morim CW, Comrie AC, Ernst K., Climate and dengue transmission: evidence and implications, Environmental Heath Perspectives, 121, 11-12, pp. 1264-1272, (2013); Struchiner CJ, Rocklov J, Smith AW, Massad E., Increasing dengue incidence in Singapore over the past 40 years: population growth, climate and mobility, PLoS ONE, 10, 8, (2015); Sharmin S, Glass K, Viennet E, Harley D., Interaction of mean temperature and daily fluctuation influences dengue incidence in Dhaka, Bangladesh, Plos Neglected Tropical Disease, 9, 7, (2015); Koh YM, Spindler R, Sandgren M, Jiang J., A model comparison algorithm for increased forecast accuracy of dengue fever incidence in Singapore and the auxiliary role of total precipitation information, International Journal of Environmental Health Research, 5, pp. 535-552, (2018)</t>
  </si>
  <si>
    <t xml:space="preserve">L.L. Xavier; Parasitic Diseases Laboratory, Tropical Medicine Program, Oswaldo Cruz Institute, Oswaldo Cruz Foundation, Rio de Janeiro, Brazil; email: leandromedicinatropical@gmail.com</t>
  </si>
  <si>
    <t xml:space="preserve">2-s2.0-85106029853</t>
  </si>
  <si>
    <t xml:space="preserve">Tamomh A.G.; Elkhalifa A.M.E.</t>
  </si>
  <si>
    <t xml:space="preserve">Tamomh, Abdelhakam G. (57210211209); Elkhalifa, Ahmed M.E. (57204629211)</t>
  </si>
  <si>
    <t xml:space="preserve">57210211209; 57204629211</t>
  </si>
  <si>
    <t xml:space="preserve">Artificial neural network as a tool for appraising hematological parameters in sudanese patients with malaria</t>
  </si>
  <si>
    <t xml:space="preserve">Background: The purpose of this paper was to quantitatively assess and explore the effect of malaria infection in the hematological parameters of Sudanese population. Methods: All data were obtained from malaria infected and non-infected Sudanese patients attending to Kosti Teaching Hospital. The effect of malaria on the hematological parameters was depicted. The relationships between hematological parameters with the effect of malaria in the two groups were assessed using Spearman's correlation. The quantitative effects of malaria on the hematological parameters were assessed using SPSS 21.0 software with a neutral network feature. Results: There was no correlation between the effect of malaria infection and MCV, PCV, and MCHC (r = 0.055, r = 0.087, and r = 0.067, respectively) among Sudanese population (p &gt; 0.05). An obvious correlation was observed between hemoglobin concentration (Hb Conc.), RBC count, MCH, and ESR and the effect of malaria infection (r = -0.226, r = 0.285, r = 0.286, and r = -0.378, respectively (p &lt; 0.05). The effect of malaria infection on PCV standardized percentage (100%) was much higher than other hematological parameters. Conclusions: Changes in the PCV measurements among Sudanese patients may be associated with the higher effect of malaria infection. Because malaria is caused by a blood parasite, early diagnosis and treatment could contribute to improve the individual health status. © 2021 Verlag Klinisches Labor GmbH. All rights reserved.</t>
  </si>
  <si>
    <t xml:space="preserve">Clinical Laboratory</t>
  </si>
  <si>
    <t xml:space="preserve">Verlag Klinisches Labor GmbH</t>
  </si>
  <si>
    <t xml:space="preserve">10.7754/Clin.Lab.2021.201141</t>
  </si>
  <si>
    <t xml:space="preserve">https://www.scopus.com/inward/record.uri?eid=2-s2.0-85115024017&amp;doi=10.7754%2fClin.Lab.2021.201141&amp;partnerID=40&amp;md5=78dab0595335a668a2458c988633c351</t>
  </si>
  <si>
    <t xml:space="preserve">Department of Parasitology and Medical Entomology, Faculty of Medical Laboratory Sciences, University of El Imam El Mahdi, Kosti, Sudan; Department of Public Health, College of Health Sciences, The Saudi Electronic University, Riyadh, Saudi Arabia; Department of Hematology, Faculty of Medical Laboratory Sciences, University of El Imam El Mahdi, Kosti, Sudan</t>
  </si>
  <si>
    <t xml:space="preserve">Tamomh A.G., Department of Parasitology and Medical Entomology, Faculty of Medical Laboratory Sciences, University of El Imam El Mahdi, Kosti, Sudan; Elkhalifa A.M.E., Department of Public Health, College of Health Sciences, The Saudi Electronic University, Riyadh, Saudi Arabia, Department of Hematology, Faculty of Medical Laboratory Sciences, University of El Imam El Mahdi, Kosti, Sudan</t>
  </si>
  <si>
    <t xml:space="preserve">Artificial neural network; Malaria; RBC count; Red cell indices; Sudan</t>
  </si>
  <si>
    <t xml:space="preserve">African Continental Ancestry Group; Erythrocyte Count; Humans; Malaria; Neural Networks, Computer; adult; Article; artificial neural network; blood parasite; blood sampling; cell volume; controlled study; early diagnosis; erythrocyte; erythrocyte count; erythrocyte sedimentation rate; female; Giemsa stain; health status; hematological parameters; hemoglobin determination; human; major clinical study; malaria; male; mean corpuscular hemoglobin; mean corpuscular hemoglobin concentration; mean corpuscular volume; software; Sudanese; teaching hospital; Black person; malaria</t>
  </si>
  <si>
    <t xml:space="preserve">Mbanefo A, Kumar N., Evaluation of Malaria Diagnostic Methods as a Key for Successful Control and Elimination Programs, Trop Med Infect Dis, 5, 2, (2020); Cunningham J, Jones S, Gatton ML, Et al., A review of the WHO malaria rapid diagnostic test product testing programme (2008 - 2018): performance, procurement and policy, Malar J, 18, 1, (2019); Tessema SK, Raman J, Duffy CW, Ishengoma DS, Amambua-Ngwa A, Greenhouse B., Applying next-generation sequencing to track falciparum malaria in sub-Saharan Africa, Malar J, 18, 1, (2019); Mutala AH, Badu K, Owusu C, Et al., Impact of malaria on haematological parameters of urban, peri-urban and rural residents in the Ashanti region of Ghana: a cross-sectional study, AAS Open Res, 2, (2020); Kotepui M, Kotepui KU., Prevalence and laboratory analysis of malaria and dengue co-infection: a systematic review and meta-analysis, BMC Public Health, 19, 1, (2019); Gupta P, Guddattu V, Saravu K., Characterization of platelet count and platelet indices and their potential role to predict severity in malaria, Pathog Glob Health, 113, 2, pp. 86-93, (2019); Awoke N, Arota A., Profiles of hematological parameters in Plasmodium falciparum and Plasmodium vivax malaria patients attending Tercha General Hospital, Dawuro Zone, South Ethiopia, Infect Drug Resist, 12, pp. 521-527, (2019); Sowunmi A, Fatunmbi B, Akano K, Et al., Factors contributing to anaemia after uncomplicated falciparum malaria in under five year-old Nigerian children ten years following adoption of artemisinin-based combination therapies as first-line antimalarials, BMC Infect Dis, 17, 1, (2017); Squire DS, Asmah RH, Brown CA, Adjei DN, Obeng-Nkrumah N, Ayeh-Kumi PF., Effect of Plasmodium falciparum malaria parasites on haematological parameters in Ghanaian children, J Para-sit Dis, 40, 2, pp. 303-311, (2016); Ghanchi NK, Khan MH, Arain MA, Et al., Hematological Profile and Gametocyte Carriage in Malaria Patients from Southern Pakistan, Cureus, 11, 3, (2019); Dhangadamajhi G, Panigrahi S, Roy S, Tripathy S., Effect of Plasmodium falciparum infection on blood parameters and their association with clinical severity in adults of Odisha, India, Acta Trop, 190, pp. 1-8, (2019); Salih MM, Eltahir HG, Abdallah TM, Et al., Haematological parameters, haemozoin-containing leukocytes in Sudanese children with severe Plasmodium falciparum malaria, J Infect Dev Ctries, 12, 4, pp. 273-278, (2018); Naing C, Whittaker MA., Severe thrombocytopaenia in patients with vivax malaria compared to falciparum malaria: a systematic review and meta-analysis, Infect Dis Poverty, 7, 1, (2018); Kho S, Barber BE, Johar E, Et al., Platelets kill circulating parasites of all major Plasmodium species in human malaria, Blood, 132, 12, pp. 1332-1344, (2018); Leal-Santos FA, Silva SB, Crepaldi NP, Et al., Altered platelet indices as potential markers of severe and complicated malaria caused by Plasmodium vivax: a cross-sectional descriptive study, Malar J, 12, (2013); Li B, Li B, Guo T, Et al., Artificial neural network models for early diagnosis of hepatocellular carcinoma using serum levels of αfetoprotein, α-fetoprotein-L3, des-γ-carboxy prothrombin, and Golgi protein 73, Oncotarget, 8, 46, pp. 80521-80530, (2017); Fei Y, Hu J, Gao K, Tu J, Li WQ, Wang W., Predicting risk for portal vein thrombosis in acute pancreatitis patients: A comparison of radical basis function artificial neural network and logistic regression models, J Crit Care, 39, pp. 115-123, (2017); Hongfei W, Yunyan Z, Fei Y, Hui L., Evaluation of an artificial neural network to ascertain why there is a high incidence of hepatitis B in the Chinese population after vaccination, Comput Biol Med, 43, 9, pp. 1167-1170, (2013); Tamomh A G, Liu H., Quantitative Assessment of an Artificial Neural Network for the Variation in Immunity to Salmonella Infection Among Sudanese and Chinese Populations and the Relationship Between HLA-DQB1 and Antibody: A Preliminary Study, Jundishapur Journal of Microbiology, 13, (2020); Hirose H, Takayama T, Hozawa S, Hibi T, Saito I., Prediction of metabolic syndrome using artificial neural network system based on clinical data including insulin resistance index and serum adiponectin, Comput Biol Med, 41, 11, pp. 1051-1056, (2011); Naumovic R, Furuncic D, Jovanovic D, Stosovic M, Basta-Jovanovic G, Lezaic V., Application of artificial neural networks in estimating predictive factors and therapeutic efficacy in idiopathic membranous nephropathy, Biomed Pharmacother, 64, 9, pp. 633-638, (2010); Aussem A, Tchernof A, de Morais SR, Rome S., Analysis of lifestyle and metabolic predictors of visceral obesity with Bayesian Networks, BMC Bioinformatics, 11, (2010)</t>
  </si>
  <si>
    <t xml:space="preserve">A.G. Tamomh; Department of Parasitology and Medical Entomology, Faculty of Medical Laboratory Sciences, University of El Imam El Mahdi, Kosti, 27711, Sudan; email: abdelhakam738@gmail.com</t>
  </si>
  <si>
    <t xml:space="preserve">CLLAF</t>
  </si>
  <si>
    <t xml:space="preserve">Clin. Lab.</t>
  </si>
  <si>
    <t xml:space="preserve">2-s2.0-85115024017</t>
  </si>
  <si>
    <t xml:space="preserve">Gerardo C.J.; Silvius E.; Schobel S.; Eppensteiner J.C.; McGowan L.M.; Elster E.A.; Kirk A.D.; Limkakeng A.T.</t>
  </si>
  <si>
    <t xml:space="preserve">Gerardo, Charles J. (6508067425); Silvius, Elizabeth (57205570771); Schobel, Seth (57203879182); Eppensteiner, John C. (57200596153); McGowan, Lauren M. (57222585044); Elster, Eric A. (6701712470); Kirk, Allan D. (7102479359); Limkakeng, Alexander T. (6505759590)</t>
  </si>
  <si>
    <t xml:space="preserve">6508067425; 57205570771; 57203879182; 57200596153; 57222585044; 6701712470; 7102479359; 6505759590</t>
  </si>
  <si>
    <t xml:space="preserve">Association of a Network of Immunologic Response and Clinical Features With the Functional Recovery From Crotalinae Snakebite Envenoming</t>
  </si>
  <si>
    <t xml:space="preserve">Background: The immunologic pathways activated during snakebite envenoming (SBE) are poorly described, and their association with recovery is unclear. The immunologic response in SBE could inform a prognostic model to predict recovery. The purpose of this study was to develop pre- and post-antivenom prognostic models comprised of clinical features and immunologic cytokine data that are associated with recovery from SBE. Materials and Methods: We performed a prospective cohort study in an academic medical center emergency department. We enrolled consecutive patients with Crotalinae SBE and obtained serum samples based on previously described criteria for the Surgical Critical Care Initiative (SC2i)(ClinicalTrials.gov Identifier: NCT02182180). We assessed a standard set of clinical variables and measured 35 unique cytokines using Luminex Cytokine 35-Plex Human Panel pre- and post-antivenom administration. The Patient-Specific Functional Scale (PSFS), a well-validated patient-reported outcome of functional recovery, was assessed at 0, 7, 14, 21 and 28 days and the area under the patient curve (PSFS AUPC) determined. We performed Bayesian Belief Network (BBN) modeling to represent relationships with a diagram composed of nodes and arcs. Each node represents a cytokine or clinical feature and each arc represents a joint-probability distribution (JPD). Results: Twenty-eight SBE patients were enrolled. Preliminary results from 24 patients with clinical data, 9 patients with pre-antivenom and 11 patients with post-antivenom cytokine data are presented. The group was mostly female (82%) with a mean age of 38.1 (SD ± 9.8) years. In the pre-antivenom model, the variables most closely associated with the PSFS AUPC are predominantly clinical features. In the post-antivenom model, cytokines are more fully incorporated into the model. The variables most closely associated with the PSFS AUPC are age, antihistamines, white blood cell count (WBC), HGF, CCL5 and VEGF. The most influential variables are age, antihistamines and EGF. Both the pre- and post-antivenom models perform well with AUCs of 0.87 and 0.90 respectively. Discussion: Pre- and post-antivenom networks of cytokines and clinical features were associated with functional recovery measured by the PSFS AUPC over 28 days. With additional data, we can identify prognostic models using immunologic and clinical variables to predict recovery from SBE. © Copyright © 2021 Gerardo, Silvius, Schobel, Eppensteiner, McGowan, Elster, Kirk and Limkakeng.</t>
  </si>
  <si>
    <t xml:space="preserve">10.3389/fimmu.2021.628113</t>
  </si>
  <si>
    <t xml:space="preserve">https://www.scopus.com/inward/record.uri?eid=2-s2.0-85103308190&amp;doi=10.3389%2ffimmu.2021.628113&amp;partnerID=40&amp;md5=a62f69d27307a6829cd7d719ecc247f7</t>
  </si>
  <si>
    <t xml:space="preserve">Department of Surgery, Duke University, Durham, NC, United States; DecisionQ, Arlington, VA, United States; Department of Surgery, Uniformed Services University of the Health Sciences, Bethesda, MD, United States</t>
  </si>
  <si>
    <t xml:space="preserve">Gerardo C.J., Department of Surgery, Duke University, Durham, NC, United States; Silvius E., DecisionQ, Arlington, VA, United States; Schobel S., Department of Surgery, Uniformed Services University of the Health Sciences, Bethesda, MD, United States; Eppensteiner J.C., Department of Surgery, Duke University, Durham, NC, United States; McGowan L.M., Department of Surgery, Duke University, Durham, NC, United States; Elster E.A., Department of Surgery, Uniformed Services University of the Health Sciences, Bethesda, MD, United States; Kirk A.D., Department of Surgery, Duke University, Durham, NC, United States; Limkakeng A.T., Department of Surgery, Duke University, Durham, NC, United States</t>
  </si>
  <si>
    <t xml:space="preserve">antivenin; chemokine; cytokine; Patient Specific Functional Scale; predictive modeling; prognostic model; snake bite</t>
  </si>
  <si>
    <t xml:space="preserve">Adult; Aged; Animals; Antivenins; Biomarkers; Crotalid Venoms; Crotalinae; Cytokines; Female; Humans; Male; Middle Aged; Models, Immunological; Predictive Value of Tests; Prospective Studies; Recovery of Function; Snake Bites; Time Factors; Treatment Outcome; antihistaminic agent; CXCL11 chemokine; epidermal growth factor; gamma interferon; granulocyte macrophage colony stimulating factor; HLA DR antigen; interleukin 10; interleukin 13; interleukin 15; interleukin 17; interleukin 2; interleukin 4; interleukin 6; interleukin 7; interleukin 8; macrophage inflammatory protein 1alpha; monocyte chemotactic protein 1; programmed death 1 ligand 1; scatter factor; snake venom; toll like receptor 4; tumor necrosis factor; vasculotropin; venom; venom antiserum; biological marker; cytokine; snake venom; venom antiserum; adult; area under the curve; Article; blood cell count; cell count; clinical article; cohort analysis; controlled study; cytokine production; electronic health record; envenomation; enzyme linked immunosorbent assay; female; flow cytometry; human; immune response; machine learning; male; outcome assessment; prospective study; receiver operating characteristic; remission; transcriptomics; aged; animal; biological model; blood; convalescence; Crotalinae; immunology; middle aged; predictive value; snakebite; time factor; treatment outcome</t>
  </si>
  <si>
    <t xml:space="preserve">epidermal growth factor, 59459-45-9, 62229-50-9; gamma interferon, 82115-62-6; interleukin 13, 148157-34-0; interleukin 2, 85898-30-2; interleukin 8, 114308-91-7; macrophage inflammatory protein 1alpha, 155075-84-6; scatter factor, 67256-21-7, 72980-71-3; snake venom, 55230-69-8; toll like receptor 4, 203811-83-0; vasculotropin, 127464-60-2; Antivenins, ; Biomarkers, ; Crotalid Venoms, ; Cytokines, </t>
  </si>
  <si>
    <t xml:space="preserve">BTG Specialty Pharmaceuticals; U.S. Department of Defense, DOD, (USUHS HT9494-13-1-0032)</t>
  </si>
  <si>
    <t xml:space="preserve">Funding text 1: Grant funding for this research: United States Department of Defense. USUHS HT9404-13-1-0032 and USUHS HU001-15-2-0001.; Funding text 2: Conflict of Interest: ES was employed by DecisionQ. CG receives grant funding from BTG Specialty Pharmaceuticals.</t>
  </si>
  <si>
    <t xml:space="preserve">Minghui R., Malecela M.N., Cooke E., Abela-Ridder B., WHO’s Snakebite Envenoming Strategy for prevention and control, Lancet Glob Health, 7, 7, (2019); Brenes-Chacon H., Gutierrez J.M., Camacho-Badilla K., Soriano-Fallas A., Ulloa-Gutierrez R., Valverde-Munoz K., Et al., Snakebite envenoming in children: A neglected tropical disease in a Costa Rican pediatric tertiary care center, Acta Trop, 200, (2019); Pach S., Le Geyt J., Gutierrez J.M., Williams D., Maduwage K.P., Habib A.G., Et al., Paediatric snakebite envenoming: the world’s most neglected “Neglected Tropical Disease”, Arch Dis Child, (2020); Kasturiratne A., Wickremasinghe A.R., de Silva N., Gunawardena N.K., Pathmeswaran A., Premaratna R., Et al., The global burden of snakebite: a literature analysis and modelling based on regional estimates of envenoming and deaths, PloS Med, 5, 11, (2008); Williams D.J., Faiz M.A., Abela-Ridder B., Ainsworth S., Bulfone T.C., Nickerson A.D., Et al., Strategy for a globally coordinated response to a priority neglected tropical disease: Snakebite envenoming, PLoS Negl Trop Dis, 13, 2, (2019); Chippaux J.P., Snake-bites: appraisal of the global situation, Bull World Health Organ, 76, 5, (1998); Lavonas E.J., Ruha A.-M., Banner W., Bebarta V., Bernstein J.N., Bush S.P., Et al., Unified treatment algorithm for the management of crotaline snakebite in the United States: results of an evidence-informed consensus workshop, BMC Emerg Med, 11, (2011); Harrison R.A., Gutierrez J.M., Priority actions and progress to substantially and sustainably reduce the mortality, morbidity and socioeconomic burden of tropical snakebite, Toxins (Basel), 8, 12, (2016); Pucca M.B., Cerni F.A., Janke R., Bermudez-Mendez E., Ledsgaard L., Barbos J.E., Et al., History of envenoming therapy and current perspectives, Front Immunol, 10, (2019); Dart R.C., Seifert S.A., Boyer L.V., Clark R.F., Hall E., McKinney P., Et al., A randomized multicenter trial of crotalinae polyvalent immune Fab (ovine) antivenom for the treatment for crotaline snakebite in the United States, Arch Intern Med, 161, 16, (2001); Bush S.P., Ruha A.-M., Seifert S.A., Morgan D.L., Lewis B.J., Arnold T.C., Et al., Comparison of F(ab’)2 versus Fab antivenom for pit viper envenomation: a prospective, blinded, multicenter, randomized clinical trial, Clin Toxicol, 53, 1, pp. 37-45, (2015); Gerardo C.J., Quackenbush E., Lewis B., Rose S.R., Greene S., Toschlog E.A., Et al., The Efficacy of Crotalidae Polyvalent Immune Fab (Ovine) Antivenom Versus Placebo Plus Optional Rescue Therapy on Recovery From Copperhead Snake Envenomation: A Randomized, Double-Blind, Placebo-Controlled, Clinical Trial, Ann Emerg Med, 70, 2, pp. 233-44.e3, (2017); Dart R.C., Seifert S.A., Carroll L., Clark R.F., Hall E., Boyer-Hassen L.V., Et al., Affinity-purified, mixed monospecific crotalid antivenom ovine Fab for the treatment of crotalid venom poisoning, Ann Emerg Med, 30, 1, (1997); Mullins M.E., Gerardo C.J., Bush S.P., Rose S.R., Greene S., Quackenbush E.B., Et al., Adverse Events in the Efficacy of Crotalidae Polyvalent Immune Fab Antivenom vs Placebo in Recovery from Copperhead Snakebite Trial, South Med J, 111, 12, (2018); Kravitz J., Gerardo C.J., Copperhead snakebite treated with crotalidae polyvalent immune fab (ovine) antivenom in third trimester pregnancy, Clin Toxicol, 44, 3, (2006); Clark R.F., McKinney P.E., Chase P.B., Walter F.G., Immediate and delayed allergic reactions to Crotalidae polyvalent immune Fab (ovine) antivenom, Ann Emerg Med, 39, 6, (2002); de Silva H.A., Pathmeswaran A., Ranasinha C.D., Jayamanne S., Samarakoon S.B., Hittharage A., Et al., Low-dose adrenaline, promethazine, and hydrocortisone in the prevention of acute adverse reactions to antivenom following snakebite: a randomised, double-blind, placebo-controlled trial, PLoS Med, 8, 5, (2011); Lalloo D.G., Theakston R.D.G., Snake antivenoms, J Toxicol Clin Toxicol, 41, 3, (2003); Williams D.J., Jensen S.D., Nimorakiotakis B., Muller R., Winkel K.D., Antivenom use, premedication and early adverse reactions in the management of snake bites in rural Papua New Guinea, Toxicon, 49, 6, (2007); Williams D.J., Habib A.G., Warrell D.A., Clinical studies of the effectiveness and safety of antivenoms, Toxicon, 150, pp. 1-10, (2018); Hasan S.M.K., Basher A., Molla A.A., Sultana N.K., Faiz M.A., The impact of snake bite on household economy in Bangladesh, Trop Doct, 42, 1, (2012); Hamza M., Idris M.A., Maiyaki M.B., Lamorde M., Chippaux J.-P., Warrell D.A., Et al., Cost-Effectiveness of Antivenoms for Snakebite Envenoming in 16 Countries in West Africa, PloS Negl Trop Dis, 10, 3, (2016); Quintana-Castillo J.C., Estrada-Gomez S., Cardona-Arias J.A., Economic evaluations of interventions for snakebites: A systematic review, Clinicoecon Outcomes Res, 12, (2020); Lavonas E.J., Anderson V.E., Gerardo C.J., In reply to Dr. Shah and Dr. Beuhler, Clin Toxicol, 58, 3, (2020); Shah K.R., Beuhler M.C., Comment on Early administration of fab antivenom resulted in faster limb recovery in copperhead snake envenomation patients, Clin Toxicol, 58, 3, (2020); Habib A.G., Brown N.I., The snakebite problem and antivenom crisis from a health-economic perspective, Toxicon, 150, (2018); Harrison R.A., Oluoch G.O., Ainsworth S., Alsolaiss J., Bolton F., Arias A.-S., Et al., Preclinical antivenom-efficacy testing reveals potentially disturbing deficiencies of snakebite treatment capability in East Africa, PLoS Negl Trop Dis, 11, 10, (2017); Habib A.G., Musa B.M., Iliyasu G., Hamza M., Kuznik A., Chippaux J.-P., Challenges and prospects of snake antivenom supply in sub-Saharan Africa, PLoS Negl Trop Dis, 14, 8, (2020); Chippaux J.P., Kambewasso A., [Snake bites and antivenom availability in the urban community of Niamey, Niger], Bull Soc Pathol Exot, 95, 3, (2002); Borek H.A., Rizer J., Ngo A., Fab antivenom controversy continues, Ann Emerg Med, 70, 6, (2017); Gerardo C.J., Lavonas E.J., In reply, Ann Emerg Med, 70, 6, (2017); Anderson V.E., Gerardo C.J., Rapp-Olsson M., Bush S.P., Mullins M.E., Greene S., Et al., Early administration of Fab antivenom resulted in faster limb recovery in copperhead snake envenomation patients, Clin Toxicol, 57, 1, pp. 25-30, (2019); Bucaretchi F., Herrera S.R.F., Hyslop S., Baracat E.C.E., Vieira R.J., Snakebites by Crotalus durissus ssp in children in Campinas, São Paulo, Brazil, Rev Inst Med Trop Sao Paulo, 44, 3, (2002); Bucaretchi F., Herrera S.R., Hyslop S., Baracat E.C., Vieira R.J., Snakebites by Bothrops spp in children in Campinas, São Paulo, Brazil, Rev Inst Med Trop Sao Paulo, 43, 6, (2001); Otero R., Gutierrez J., Beatriz Mesa M., Duque E., Rodriguez O., Luis Arango J., Et al., Complications of Bothrops, Porthidium, and Bothriechis snakebites in Colombia. A clinical and epidemiological study of 39 cases attended in a university hospital, Toxicon, 40, 8, (2002); Pinho F.M.O., Zanetta D.M.T., Burdmann E.A., Acute renal failure after Crotalus durissus snakebite: a prospective survey on 100 patients, Kidney Int, 67, 2, (2005); Nicoleti A.F., de Medeiros C.R., Duarte M.R., Franca FO de S., Comparison of Bothropoides jararaca bites with and without envenoming treated at the Vital Brazil Hospital of the Butantan Institute, State of São Paulo, Brazil, Rev Soc Bras Med Trop, 43, 6, (2010); Ribeiro L.A., Jorge M.T., Lebrao M.L., Prognostic factors for local necrosis in Bothrops jararaca (Brazilian pit viper) bites, Trans R Soc Trop Med Hyg, 95, 6, (2001); Gerardo C.J., Vissoci J.R.N., Brown M.W.J., Bush S.P., Coagulation parameters in copperhead compared to other Crotalinae envenomation: secondary analysis of the F(ab’)2 versus Fab antivenom trial, Clin Toxicol, 55, 2, (2017); Gerardo C.J., Vissoci J.R.N., Evans C.S., Simel D.L., Lavonas E.J., Does this patient have a severe snake envenomation?: the rational clinical examination systematic review, JAMA Surg, 154, 4, (2019); Kanaan N.C., Ray J., Stewart M., Russell K.W., Fuller M., Bush S.P., Et al., Wilderness medical society practice guidelines for the treatment of pitviper envenomations in the united states and canada, Wilderness Environ Med, 26, 4, (2015); Gold B.S., Dart R.C., Barish R.A., Bites of venomous snakes, N Engl J Med, 347, 5, (2002); Thomas L., Tyburn B., Ketterle J., Biao T., Mehdaoui H., Moravie V., Et al., Prognostic significance of clinical grading of patients envenomed by Bothrops lanceolatus in Martinique. Members of the Research Group on Snake Bite in Martinique, Trans R Soc Trop Med Hyg, 92, 5, (1998); Ward K.N., Wortley A.G., Quackenbush E.B., Gerardo C.J., 396 variability in antivenom treatment in snake envenomations between two major tertiary care emergency departments, Ann Emerg Med, 64, 4, (2014); Rokyta D.R., Wray K.P., McGivern J.J., Margres M.J., The transcriptomic and proteomic basis for the evolution of a novel venom phenotype within the Timber Rattlesnake (Crotalus horridus), Toxicon, 98, pp. 34-48, (2015); Lomonte B., Tsai W.-C., Urena-Diaz J.M., Sanz L., Mora-Obando D., Sanchez E.E., Et al., Venomics of New World pit vipers: genus-wide comparisons of venom proteomes across Agkistrodon, J Proteomics, 96, (2014); Bickler P.E., Amplification of snake venom toxicity by endogenous signaling pathways, Toxins (Basel), 12, 2, (2020); Ibiapina H.N.S., Costa A.G., Sachett J.A.G., Silva I.M., Tarrago A.M., Neves J.C.F., Et al., An Immunological Stairway to Severe Tissue Complication Assembly in Bothrops atrox Snakebites, Front Immunol, 10, (2019); Rex C.J., Mackessy S.P., Venom composition of adult Western Diamondback Rattlesnakes (Crotalus atrox) maintained under controlled diet and environmental conditions shows only minor changes, Toxicon, 164, pp. 51-60, (2019); Liu Y., Zhang X.-H., Yu Y., Chen H.-X., Zhou Y.-L., Zhang X.-X., Snake venom characteristic peptides: novel fingerprints for species identification by sheathless capillary electrophoresis-electrospray ionization-mass spectrometry, Analyst, 145, 14, (2020); Lynch H.E., Sanchez A.M., D'Souza M.P., Rountree W., Denny T.N., Kalos M., Et al., Development and implementation of a proficiency testing program for Luminex bead-based cytokine assays, J Immunol Methods, 409, pp. 62-71, (2014); Patro A.R.K., Mohanty S., Prusty B.K., Singh D.K., Gaikwad S., Saswat T., Et al., Cytokine Signature Associated with Disease Severity in Dengue, Viruses, 11, 1, (2019); Muema D.M., Akilimali N.A., Ndumnego O.C., Rasehlo S.S., Durgiah R., Ojwach D.B.A., Et al., Association between the cytokine storm, immune cell dynamics, and viral replicative capacity in hyperacute HIV infection, BMC Med, 18, 1, (2020); Kojima N., Siebert J.C., Maecker H., Rosenberg-Hasson Y., Leon S.R., Vargas S.K., Et al., Cytokine expression in Treponema pallidum infection, J Transl Med, 17, 1, (2019); White R.R., Weber R.A., Poisonous snakebite in central Texas. Possible indicators for antivenin treatment, Ann Surg, 213, 5, (1991); Seifert S.A., Kirschner R I., Martin N., Recurrent, persistent, or late, new-onset hematologic abnormalities in Crotaline snakebite, Clin Toxicol, 49, 4, (2011); Belard A., Buchman T., Dente C.J., Potter B.K., Kirk A., Elster E., The uniformed services university’s surgical critical care initiative (sc2i): bringing precision medicine to the critically ill, Mil Med, 183, (2018); Gelbard R.B., Hensman H., Schobel S., Khatri V., Tracy B.M., Dente C.J., Et al., Random forest modeling can predict infectious complications following trauma laparotomy, J Trauma Acute Care Surg, 87, 5, (2019); Bradley M., Dente C., Khatri V., Schobel S., Lisboa F., Shi A., Et al., Advanced modeling to predict pneumonia in combat trauma patients, World J Surg, 44, 7, (2020); Dente C.J., Bradley M., Schobel S., Gaucher B., Buchman T., Kirk A.D., Et al., Towards precision medicine: Accurate predictive modeling of infectious complications in combat casualties, J Trauma Acute Care Surg, 83, 4, (2017); Lisboa F.A., Bradley M.J., Hueman M.T., Schobel S.A., Gaucher B.J., Styrmisdottir E.L., Et al., Nonsteroidal anti-inflammatory drugs may affect cytokine response and benefit healing of combat-related extremity wounds, Surgery, 161, 4, (2017); Vissoci J.R.N., Tupetz A., Phillips A.J., Kelly P.E., Lavonas E.J., Gerardo C.J., What activities do snakebite envenomation patients choose to assess dysfunction, Toxicon, 182, (2020); Gutierrez J.M., Burnouf T., Harrison R.A., Calvete J.J., Brown N., Jensen S.D., Et al., A Call for Incorporating Social Research in the Global Struggle against Snakebite, PLoS Negl Trop Dis, 9, 9, (2015); Larson B.A., Calculating disability-adjusted-life-years lost (DALYs) in discrete-time, Cost Eff Resour Alloc, 11, 1, (2013); Junior F.A.N., Jorge A.R.C., Marinho A.D., Silveira JA de M., Alves N.T.Q., Costa P.H.S., Et al., Bothrops alternatus Snake Venom Induces Cytokine Expression and Oxidative Stress on Renal Function, Curr Top Med Chem, 19, 22, (2019); Stone S.F., Isbister G.K., Shahmy S., Mohamed F., Abeysinghe C., Karunathilake H., Et al., Immune response to snake envenoming and treatment with antivenom; complement activation, cytokine production and mast cell degranulation, PLoS Negl Trop Dis, 7, 7, (2013); Yin S., Kokko J., Lavonas E., Mlynarchek S., Bogdan G., Schaeffer T., Factors associated with difficulty achieving initial control with crotalidae polyvalent immune fab antivenom in snakebite patients, Acad Emerg Med, 18, 1, pp. 46-52, (2011); Freiermuth C.E., Lavonas E.J., Anderson V.E., Kleinschmidt K.C., Sharma K., Rapp-Olsson M., Et al., Antivenom Treatment Is Associated with Fewer Patients using Opioids after Copperhead Envenomation, West J Emerg Med, 20, 3, pp. 497-505, (2019); Seifert S.A., Mascarenas D.N., Fullerton L., Warrick B.J., Smolinske S.C., Unpredicted late-, new-onset thrombocytopenia and hypofibrinogenemia in Fab antivenom-treated rattlesnake envenomation, Toxicon, 184, (2020); Lavonas E.J., Gerardo C.J., Letter to the editor: “Safety of nonsteroidal anti-inflammatory drugs in copperhead snakebite patients” by Pham and Mullins, Clin Toxicol 2018 May 18, Clin Toxicol, 57, 2, (2019); Pham H.X., Mullins M.E., Safety of nonsteroidal anti-inflammatory drugs in copperhead snakebite patients, Clin Toxicol, 56, 11, (2018); Cezarette G.N., Sartim M.A., Sampaio S.V., Inflammation and coagulation crosstalk induced by BJcuL, a galactose-binding lectin isolated from Bothrops jararacussu snake venom, Int J Biol Macromol, 144, pp. 296-304, (2020); de Almeida M.T., Freitas-de-Sousa L.A., Colombini M., Gimenes S.N.C., Kitano E.S., Faquim-Mauro E.L., Et al., Inflammatory Reaction Induced by Two Metalloproteinases Isolated from Bothrops atrox Venom and by Fragments Generated from the Hydrolysis of Basement Membrane Components, Toxins (Basel), 12, 2, (2020); Wellmann I.A.M., Ibiapina H.N.S., Sachett J.A.G., Sartim M.A., Silva I.M., Oliveira S.S., Et al., Correlating Fibrinogen Consumption and Profiles of Inflammatory Molecules in Human Envenomation’s by Bothrops atrox in the Brazilian Amazon, Front Immunol, 11, (2020); Gerardo C.J., Evans C.S., Kuchibhatla M., Mando-Vandrick J., Drake W.G., Yen M., Et al., Time to antivenom administration is not associated with total antivenom dose administered in a copperhead-predominant snakebite population, Acad Emerg Med, 22, 3, (2015)</t>
  </si>
  <si>
    <t xml:space="preserve">2-s2.0-85103308190</t>
  </si>
  <si>
    <t xml:space="preserve">Hossain M.M.; Rahim M.A.; Bahar A.N.; Rahman M.M.</t>
  </si>
  <si>
    <t xml:space="preserve">Hossain, Muhammad Minoar (57412321200); Rahim, Md Abdur (57211631174); Bahar, Ali Newaz (56412536200); Rahman, Mohammad Motiur (57211522419)</t>
  </si>
  <si>
    <t xml:space="preserve">57412321200; 57211631174; 56412536200; 57211522419</t>
  </si>
  <si>
    <t xml:space="preserve">Automatic malaria disease detection from blood cell images using the variational quantum circuit</t>
  </si>
  <si>
    <t xml:space="preserve">Variational quantum circuit (VQC) is a quantum-classical (QC) machine learning approach that accommodates quantum processes on a classical computer. Malaria is a worldwide deadly disease caused by Plasmodium parasites. This research designs an effective VQC-based approach to recognize the existence of malaria from the Red blood cell (RBC) image through the classification of the optimized feature set that has been extracted from a set of RBC images. Minimum redundancy maximum relevance (mRMR), and Principal component analysis (PCA), are used to optimize the feature set. Comparing to existing classical approaches we have found that mRMR with our input encoding and parameterized circuit of VQC shows satisfactory performance by using a lower number of features and a lower number of parameters. After ascertaining the presence of malaria from VQC we have also introduced a rule-based expert system to detect the types of malaria. The proposed mechanism is mainly designed to evaluate the potency of quantum machine learning (QML) in near-term quantum computers and using the ten-fold cross-validation the scheme gained an overall accuracy, precision, recall, and specificity of 99.06%, 99.08%, 99.05%, and 99.07% respectively for malaria disease diagnosis. © 2021 The Authors</t>
  </si>
  <si>
    <t xml:space="preserve">10.1016/j.imu.2021.100743</t>
  </si>
  <si>
    <t xml:space="preserve">https://www.scopus.com/inward/record.uri?eid=2-s2.0-85122781891&amp;doi=10.1016%2fj.imu.2021.100743&amp;partnerID=40&amp;md5=45ce92c466725f387414ef66c220cd23</t>
  </si>
  <si>
    <t xml:space="preserve">Department of Computer Science and Engineering, Mawlana Bhashani Science and Technology University, Santosh, Tangail, 1902, Bangladesh; Department of information and communication technology, Mawlana Bhashani Science and Technology University, Santosh, Tangail, 1902, Bangladesh</t>
  </si>
  <si>
    <t xml:space="preserve">Hossain M.M., Department of Computer Science and Engineering, Mawlana Bhashani Science and Technology University, Santosh, Tangail, 1902, Bangladesh; Rahim M.A., Department of Computer Science and Engineering, Mawlana Bhashani Science and Technology University, Santosh, Tangail, 1902, Bangladesh; Bahar A.N., Department of information and communication technology, Mawlana Bhashani Science and Technology University, Santosh, Tangail, 1902, Bangladesh; Rahman M.M., Department of Computer Science and Engineering, Mawlana Bhashani Science and Technology University, Santosh, Tangail, 1902, Bangladesh</t>
  </si>
  <si>
    <t xml:space="preserve">Contourlet transform (CT); Quantum computing; Qubit; Variational quantum circuit (VQC)</t>
  </si>
  <si>
    <t xml:space="preserve">Article; blood smear; computer assisted diagnosis; controlled study; cross validation; diagnostic accuracy; diagnostic test accuracy study; diarrhea; empirical mode decomposition; erythrocyte; expert system; feature extraction; headache; human; human cell; machine learning; malaria; mathematical model; myalgia; principal component analysis; quantum mechanics; vomiting</t>
  </si>
  <si>
    <t xml:space="preserve">The WIKIPEDIA website; The malaria no more website. [Online]; The World health organization website; Poostchi M., Silamut K., Maude R.J., Jaeger S., Thoma G., Image analysis and machine learning for detecting malaria, Transl Res, 194, pp. 36-55, (2018); Quan Q., Wang J., Liu L., An effective convolutional neural network for classifying red blood cells in malaria diseases, Interdiscipl Sci Comput Life Sci, 12, 2, (2020); The WIKIPEDIA website; Rajaraman S., Antani S.K., Poostchi M., Silamut K., Hossain M.A., Maude R.J., Thoma G.R., Pre-trained convolutional neural networks as feature extractors toward improved malaria parasite detection in thin blood smear images, PeerJ, 6, (2018); Nakasi R., Francis Tusubira J., Zawedde A., Mansourian A., Mwebaze E., A web-based intelligence platform for diagnosis of malaria in thick blood smear images: a case for a developing country, Proceedings of the IEEE/CVF conference on computer vision and pattern recognition workshops, pp. 984-985, (2020); Liang Z., Powell A., Ersoy I., Poostchi M., Silamut K., Palaniappan K., Thoma G., CNN-based image analysis for malaria diagnosis, 2016 IEEE international conference on bioinformatics and biomedicine (BIBM), pp. 493-496, (2016); Shekar G., Revathy S., Goud E.K., Malaria detection using deep learning, 4th International Conference on Trends in Electronics and Informatics (ICOEI)(48184), 2020, pp. 746-750, (2020); Masud M., Alhumyani H., Alshamrani S.S., Cheikhrouhou O., Ibrahim S., Muhammad G., Shorfuzzaman M., Leveraging deep learning techniques for malaria parasite detection using mobile application, Wireless Commun Mobile Comput, 2020, (2020); Rajaraman S., Jaeger S., Antani S.K., Performance evaluation of deep neural ensembles toward malaria parasite detection in thin-blood smear images, PeerJ, 7, (2019); Zhang Y., Ni Q., Recent advances in quantum machine learning, Quantum Engineering, 2, 1, (2020); Phillipson F., Quantum machine learning: benefits and practical examples, QANSWER, pp. 51-56, (2020); Poostchi M., Silamut K., Maude R.J., Jaeger S., Thoma G., Image analysis and machine learning for detecting malaria, Transl Res, 194, pp. 36-55, (2018); The Kaggle website; Pitas I., Venetsanopoulos A.N., Median filters, Nonlinear digital filters, pp. 63-116, (1990); Do M.N., Vetterli M., The contourlet transform: an efficient directional multiresolution image representation, IEEE Trans Image Process, 14, 12, pp. 2091-2106, (2005); Wang J.S., Ren X.D., GLCM based extraction of flame image texture features and KPCA-GLVQ recognition method for rotary kiln combustion working conditions, Int J Autom Comput, 11, 1, pp. 72-77, (2014); Ismael M.R., Abdel-Qader I., Brain tumor classification via statistical features and back-propagation neural network, IEEE international conference on electro/information technology (EIT), 2018, (2018); Chao G., Luo Y., Ding W., Recent advances in supervised dimension reduction: a survey, Machine learning and knowledge extraction, 1, 1, pp. 341-358, (2019); Bugata P., Drotar P., On some aspects of minimum redundancy maximum relevance feature selection, Sci China Inf Sci, 63, 1, pp. 1-15, (2020); Schuld M., Bocharov A., Svore K.M., Wiebe N., Circuit-centric quantum classifiers, Phys Rev, 101, 3, (2020); Benedetti M., Lloyd E., Sack S., Fiorentini M., Erratum: parameterized quantum circuits as machine learning models (2019 Quant. Sci. Tech. 4 043001), Quantum Science and Technology, 5, 1, (2019); Farhi E., Neven H., Classification with quantum neural networks on near term processors, (2018); The Medium website; Abbas A., Sutter D., Zoufal C., Lucchi A., Figalli A., Woerner S., The power of quantum neural networks, (2020); Grosan C., Abraham A., Rule-based expert systems, Intelligent systems, pp. 149-185, (2011); Moll N., Barkoutsos P., Bishop L.S., Chow J.M., Cross A., Egger D.J., Temme K., Quantum optimization using variational algorithms on near-term quantum devices, Quantum Science and Technology, 3, 3, (2018)</t>
  </si>
  <si>
    <t xml:space="preserve">M.M. Hossain; Department of Computer Science and Engineering, Mawlana Bhashani Science and Technology University, Santosh, Tangail, 1902, Bangladesh; email: minoarhossain16005@gmail.com</t>
  </si>
  <si>
    <t xml:space="preserve">2-s2.0-85122781891</t>
  </si>
  <si>
    <t xml:space="preserve">Lino Ferreira da Silva Barros M.H.; Alves G.O.; Morais Florêncio Souza L.; da Silva Rocha E.; Lorenzato de Oliveira J.F.; Lynn T.; Sampaio V.; Endo P.T.</t>
  </si>
  <si>
    <t xml:space="preserve">Lino Ferreira da Silva Barros, Maicon Herverton (58064910300); Alves, Geovanne Oliveira (57223931968); Morais Florêncio Souza, Lubnnia (57647168300); da Silva Rocha, Elisson (57201277232); Lorenzato de Oliveira, João Fausto (59158485100); Lynn, Theo (25825321500); Sampaio, Vanderson (55835942000); Endo, Patricia Takako (36160299900)</t>
  </si>
  <si>
    <t xml:space="preserve">58064910300; 57223931968; 57647168300; 57201277232; 59158485100; 25825321500; 55835942000; 36160299900</t>
  </si>
  <si>
    <t xml:space="preserve">Benchmarking machine learning models to assist in the prognosis of tuberculosis</t>
  </si>
  <si>
    <t xml:space="preserve">Tuberculosis (TB) is an airborne infectious disease caused by organisms in the Mycobacterium tuberculosis (Mtb) complex. In many low and middle-income countries, TB remains a major cause of morbidity and mortality. Once a patient has been diagnosed with TB, it is critical that healthcare workers make the most appropriate treatment decision given the individual conditions of the patient and the likely course of the disease based on medical experience. Depending on the prognosis, delayed or inappropriate treatment can result in unsatisfactory results including the exacerbation of clinical symptoms, poor quality of life, and increased risk of death. This work benchmarks machine learning models to aid TB prognosis using a Brazilian health database of confirmed cases and deaths related to TB in the State of Amazonas. The goal is to predict the probability of death by TB thus aiding the prognosis of TB and associated treatment decision making process. In its original form, the data set comprised 36,228 records and 130 fields but suffered from missing, incomplete, or incorrect data. Following data cleaning and preprocessing, a revised data set was generated comprising 24,015 records and 38 fields, including 22,876 reported cured TB patients and 1139 deaths by TB. To explore how the data imbalance impacts model performance, two controlled experiments were designed using (1) imbalanced and (2) balanced data sets. The best result is achieved by the Gradient Boosting (GB) model using the balanced data set to predict TB-mortality, and the ensemble model composed by the Random Forest (RF), GB and Multi-Layer Perceptron (MLP) models is the best model to predict the cure class. © 2021 by the authors. Licensee MDPI, Basel, Switzerland.</t>
  </si>
  <si>
    <t xml:space="preserve">MDPI AG</t>
  </si>
  <si>
    <t xml:space="preserve">10.3390/informatics8020027</t>
  </si>
  <si>
    <t xml:space="preserve">https://www.scopus.com/inward/record.uri?eid=2-s2.0-85106500404&amp;doi=10.3390%2finformatics8020027&amp;partnerID=40&amp;md5=6fbb3c328d286ba93413d3f06c20f145</t>
  </si>
  <si>
    <t xml:space="preserve">Programa de Pós-Graduação em Engenharia de Computação (PPGEC), Universidade de Pernambuco, Recife, Pernambuco, 50720-001, Brazil; Business School, Dublin City University, Dublin 9, Dublin, Ireland; Fundação de Medicina Tropical Doutor Heitor Vieira Dourado, Manaus, Amazonas, 69040-000, Brazil</t>
  </si>
  <si>
    <t xml:space="preserve">Lino Ferreira da Silva Barros M.H., Programa de Pós-Graduação em Engenharia de Computação (PPGEC), Universidade de Pernambuco, Recife, Pernambuco, 50720-001, Brazil; Alves G.O., Programa de Pós-Graduação em Engenharia de Computação (PPGEC), Universidade de Pernambuco, Recife, Pernambuco, 50720-001, Brazil; Morais Florêncio Souza L., Programa de Pós-Graduação em Engenharia de Computação (PPGEC), Universidade de Pernambuco, Recife, Pernambuco, 50720-001, Brazil; da Silva Rocha E., Programa de Pós-Graduação em Engenharia de Computação (PPGEC), Universidade de Pernambuco, Recife, Pernambuco, 50720-001, Brazil; Lorenzato de Oliveira J.F., Programa de Pós-Graduação em Engenharia de Computação (PPGEC), Universidade de Pernambuco, Recife, Pernambuco, 50720-001, Brazil; Lynn T., Business School, Dublin City University, Dublin 9, Dublin, Ireland; Sampaio V., Fundação de Medicina Tropical Doutor Heitor Vieira Dourado, Manaus, Amazonas, 69040-000, Brazil; Endo P.T., Programa de Pós-Graduação em Engenharia de Computação (PPGEC), Universidade de Pernambuco, Recife, Pernambuco, 50720-001, Brazil</t>
  </si>
  <si>
    <t xml:space="preserve">Benchmark; Ensemble model; Feature selection; Imbalanced data sets; Machine learning; Neglected tropical disease; Prognosis; Random search; Tuberculosis</t>
  </si>
  <si>
    <t xml:space="preserve">IIDB; Irish Institute of Digital Business; National Council for Scientific; Coordenação de Aperfeiçoamento de Pessoal de Nível Superior, CAPES; Conselho Nacional de Desenvolvimento Científico e Tecnológico, CNPq; Fundação de Amparo à Pesquisa do Estado do Amazonas, FAPEAM, (PAPAC 005/2019); Fundação de Amparo à Pesquisa do Estado do Amazonas, FAPEAM</t>
  </si>
  <si>
    <t xml:space="preserve">Acknowledgments: We thank the Coordenação de Aperfeiçoamento de Pessoal de Nível Superior— Brasil (CAPES), the National Council for Scientific, Technological Development (CNPq) and the Fundação de Amparo à Pesquisa do Estado do Amazonas (PAPAC 005/2019, PRÓ-ESTADO, and Posgrad calls) and the Irish Institute of Digital Business (IIDB) at DCU.</t>
  </si>
  <si>
    <t xml:space="preserve">Pai M., Behr M., Dowdy D., Dheda K., Divangahi M., Boehme C., Raviglione M., Tuberculosis, Nat. Rev. Dis. Prim, 2, (2016); Global Tuberculosis Report 2020; Tuberculosis Profile: Brazil; Country Profiles for 30 High TB Burden Countries; Ranzani O.T., Pescarini J.M., Martinez L., Garcia-Basteiro A.L., Increasing tuberculosis burden in Latin America: An alarming trend for global control efforts, BMJ, (2021); Estrutura, Princípios e Como Funciona; SUS’ Entre Países Com Mais de 200 Milhões de Habitantes; Caught in the Cross Fire; Hemingway H., Prognosis research: Why is Dr. Lydgate still waiting?, J. Clin. Epidemiol, 59, pp. 1229-1238, (2006); Hemingway H., Riley R.D., Altman D.G., Ten steps towards improving prognosis research, BMJ, 339, (2009); Bora R.M., Chaudhari S.N., Mene S.P., A Review of Ensemble Based Classification and Clustering in Machine Learning, Int. J. New Innov. Eng. Technol, 12, pp. 2319-6319, (2019); Garcia-Gil D., Holmberg J., Garcia S., Xiong N., Herrera F., Smart Data based Ensemble for Imbalanced Big Data Classification, (2020); Yang K., Yu Z., Wen X., Cao W., Chen C.P., Wong H.S., You J., Hybrid Classifier Ensemble for Imbalanced Data, IEEE Trans. Neural Netw. Learn. Syst, 31, pp. 1387-1400, (2019); Martins V.d.O., de Miranda C.V., Diagnóstico e Tratamento Medicamentoso Em Casos de Tuberculose Pulmonar: Revisão de Literatura, Rev. Saúde Multidiscip, 7, (2020); Lakhani P., Sundaram B., Deep learning at chest radiography: Automated classification of pulmonary tuberculosis by using convolutional neural networks, Radiology, 284, pp. 574-582, (2017); Rajaraman S., Candemir S., Xue Z., Alderson P.O., Kohli M., Abuya J., Thoma G.R., Antani S., A novel stacked generalization of models for improved TB detection in chest radiographs, Proceedings of the 2018 40th Annual International Conference of the IEEE Engineering in Medicine and Biology Society (EMBC), pp. 718-721, (2018); Hooda R., Sofat S., Kaur S., Mittal A., Meriaudeau F., Deep-learning: A potential method for tuberculosis detection using chest radiography, Proceedings of the 2017 IEEE International Conference on Signal and Image Processing Applications (ICSIPA), pp. 497-502, (2017); Sethi K., Parmar V., Suri M., Low-Power Hardware-Based Deep-Learning Diagnostics Support Case Study, Proceedings of the 2018 IEEE Biomedical Circuits and Systems Conference (BioCAS), pp. 1-4, (2018); Kant S., Srivastava M.M., Towards automated tuberculosis detection using deep learning, Proceedings of the 2018 IEEE Symposium Series on Computational Intelligence (SSCI), pp. 1250-1253, (2018); Carneiro G., Oakden-Rayner L., Bradley A.P., Nascimento J., Palmer L., Automated 5-year mortality prediction using deep learning and radiomics features from chest computed tomography, Proceedings of the 2017 IEEE 14th International Symposium on Biomedical Imaging (ISBI 2017), pp. 130-134, (2017); Song Q., Zheng Y.J., Xue Y., Sheng W.G., Zhao M.R., An evolutionary deep neural network for predicting morbidity of gastrointestinal infections by food contamination, Neurocomputing, 226, pp. 16-22, (2017); Lee C.K., Hofer I., Gabel E., Baldi P., Cannesson M., Development and validation of a deep neural network model for prediction of postoperative in-hospital mortality, Anesthesiol. J. Am. Soc. Anesthesiol, 129, pp. 649-662, (2018); Peetluk L.S., Ridolfi F.M., Rebeiro P.F., Liu D., Rolla V.C., Sterling T.R., Systematic review of prediction models for pulmonary tuberculosis treatment outcomes in adults, BMJ Open, 11, (2021); Abdelbary B., Garcia-Viveros M., Ramirez-Oropesa H., Rahbar M., Restrepo B., Predicting treatment failure, death and drug resistance using a computed risk score among newly diagnosed TB patients in Tamaulipas, Mexico, Epidemiol. Infect, 145, pp. 3020-3034, (2017); Aljohaney A.A., Mortality of patients hospitalized for active tuberculosis in King Abdulaziz University Hospital, Jeddah, Saudi Arabia, Saudi Med. J, 39, (2018); Bastos H.N., Osorio N.S., Castro A.G., Ramos A., Carvalho T., Meira L., Araujo D., Almeida L., Boaventura R., Fragata P., Et al., A prediction rule to stratify mortality risk of patients with pulmonary tuberculosis, PLoS ONE, 11, (2016); Gupta-Wright A., Corbett E.L., Wilson D., van Oosterhout J.J., Dheda K., Huerga H., Peter J., Bonnet M., Alufandika-Moyo M., Grint D., Et al., Risk score for predicting mortality including urine lipoarabinomannan detection in hospital inpatients with HIV-associated tuberculosis in sub-Saharan Africa: Derivation and external validation cohort study, PLoS Med, 16, (2019); Horita N., Miyazawa N., Yoshiyama T., Sato T., Yamamoto M., Tomaru K., Masuda M., Tashiro K., Sasaki M., Morita S., Et al., Development and validation of a tuberculosis prognostic score for smear-positive in-patients in Japan, Int. J. Tuberc. Lung Dis, 17, pp. 54-60, (2013); Koegelenberg C.F.N., Balkema C.A., Jooste Y., Taljaard J.J., Irusen E.M., Validation of a severity-of-illness score in patients with tuberculosis requiring intensive care unit admission, S. Afr. Med. J, 105, pp. 389-392, (2015); Nguyen D.T., Graviss E.A., Development and validation of a prognostic score to predict tuberculosis mortality, J. Infect, 77, pp. 283-290, (2018); Nguyen D.T., Graviss E.A., Development and validation of a risk score to predict mortality during TB treatment in patients with TB-diabetes comorbidity, BMC Infect. Dis, 19, pp. 1-8, (2019); Nguyen D.T., Jenkins H.E., Graviss E.A., Prognostic score to predict mortality during TB treatment in TB/HIV co-infected patients, PLoS ONE, 13, (2018); Pefura-Yone E.W., Balkissou A.D., Poka-Mayap V., Fatime-Abaicho H.K., Enono-Edende P.T., Kengne A.P., Development and validation of a prognostic score during tuberculosis treatment, BMC Infect. Dis, 17, (2017); Podlekareva D.N., Grint D., Post F.A., Mocroft A., Panteleev A.M., Miller R., Miro J., Bruyand M., Furrer H., Riekstina V., Et al., Health care index score and risk of death following tuberculosis diagnosis in HIV-positive patients, Int. J. Tuberc. Lung Dis, 17, pp. 198-206, (2013); Valade S., Raskine L., Aout M., Malissin I., Brun P., Deye N., Baud F.J., Megarbane B., Tuberculosis in the intensive care unit:A retrospective descriptive cohort study with determination of a predictive fatality score, Can. J. Infect. Dis. Med. Microbiol, 23, pp. 173-178, (2012); Wang Q., Han W., Niu J., Sun B., Dong W., Li G., Prognostic value of serum macrophage migration inhibitory factor levels in pulmonary tuberculosis, Respir. Res, 20, pp. 1-10, (2019); Wejse C., Gustafson P., Nielsen J., Gomes V.F., Aaby P., Andersen P.L., Sodemann M., TBscore: Signs and symptoms from tuberculosis patients in a low-resource setting have predictive value and may be used to assess clinical course, Scand. J. Infect. Dis, 40, pp. 111-120, (2008); Zhang Z., Xu L., Pang X., Zeng Y., Hao Y., Wang Y., Wu L., Gao G., Yang D., Zhao H., Et al., A Clinical scoring model to predict mortality in HIV/TB co-infected patients at end stage of AIDS in China: An observational cohort study, Biosci. Trends, 13, pp. 136-144, (2019); Hussain O.A., Junejo K.N., Predicting treatment outcome of drug-susceptible tuberculosis patients using machine-learning models, Inform. Health Soc. Care, 44, pp. 135-151, (2019); Killian J.A., Wilder B., Sharma A., Choudhary V., Dilkina B., Tambe M., Learning to prescribe interventions for tuberculosis patients using digital adherence data, Proceedings of the 25th ACM SIGKDD International Conference on Knowledge Discovery &amp; Data Mining, pp. 2430-2438, (2019); Sauer C.M., Sasson D., Paik K.E., McCague N., Celi L.A., Sanchez Fernandez I., Illigens B.M., Feature selection and prediction of treatment failure in tuberculosis, PLoS ONE, 13, (2018); Kalhori S.R.N., Zeng X.J., Evaluation and comparison of different machine learning methods to predict outcome of tuberculosis treatment course, J. Intell. Learn. Syst. Appl, 5, (2013); Kira K., Rendell L.A., A practical approach to feature selection, Machine Learning Proceedings 1992, pp. 249-256, (1992); Rocha E.D.S., DEEPTUB: Plataforma Para PrediçãO De Morte Por Tuberculose Baseado Em Modelos De Deep Learning Utilizando Dados DemográFicos, ClíNicos E Laboratoriais, (2020); Marcano-Cedeno A., Quintanilla-Dominguez J., Cortina-Januchs M., Andina D., Feature selection using sequential forward selection and classification applying artificial metaplasticity neural network, Proceedings of the IECON 2010-36th Annual Conference on IEEE Industrial Electronics Society, pp. 2845-2850, (2010); Alakus T.B., Turkoglu I., Feature selection with sequential forward selection algorithm from emotion estimation based on EEG signals, Sak. Üniversitesi Fen Bilim. Enstitüsü derg, 23, pp. 1096-1105, (2019); Kuchibhotla S., Vankayalapati H.D., Anne K.R., An optimal two stage feature selection for speech emotion recognition using acoustic features, Int. J. Speech Technol, 19, pp. 657-667, (2016); Varma M., Jereesh A., Identifying predominant clinical and genomic features for glioblastoma multiforme using sequential backward selection, Proceedings of the 2017 International Conference on Circuit, Power and Computing Technologies (ICCPCT), pp. 1-4, (2017); Lingampeta D., Yalamanchili B., Human Emotion Recognition using Acoustic Features with Optimized Feature Selection and Fusion Techniques, Proceedings of the 2020 International Conference on Inventive Computation Technologies (ICICT), pp. 221-225, (2020); Das K., Behera R.N., A survey on machine learning: Concept, algorithms and applications, Int. J. Innov. Res. Comput. Commun. Eng, 5, pp. 1301-1309, (2017); Callahan A., Shah N.H., Machine learning in healthcare, Key Advances in Clinical Informatics, pp. 279-291, (2017); Bonte C., Vercauteren F., Privacy-preserving logistic regression training, BMC Med. Genom, 11, (2018); Menard S., Applied Logistic Regression Analysis, 106, (2002); Fisher R.A., The use of multiple measurements in taxonomic problems, Ann. Eugen, 7, pp. 179-188, (1936); Xanthopoulos P., Pardalos P.M., Trafalis T.B., Linear discriminant analysis, Robust Data Mining, pp. 27-33, (2013); Balakrishnama S., Ganapathiraju A., Linear discriminant analysis-a brief tutorial, Inst. Signal Inf. Process, 18, pp. 1-8, (1998); Basha S.M., Rajput D.S., Survey on Evaluating the Performance of Machine Learning Algorithms: Past Contributions and Future Roadmap, Deep Learning and Parallel Computing Environment for Bioengineering Systems, pp. 153-164, (2019); Guo G., Wang H., Bell D., Bi Y., Greer K., KNN model-based approach in classification, OTM Confederated International Conferences “On the Move to Meaningful Internet Systems”, pp. 986-996, (2003); Talita A., Nataza O., Rustam Z., Naïve Bayes Classifier and Particle Swarm Optimization Feature Selection Method for Classifying Intrusion Detection System Dataset, J. Phys. Conf. Ser. IOP Publ, 1752, (2021); Rukmawan S., Aszhari F., Rustam Z., Pandelaki J., Cerebral Infarction Classification Using the K-Nearest Neighbor and Naive Bayes Classifier, J. Phys. Conf. Ser, 1752, (2021); Rish I., An empirical study of the naive Bayes classifier, Proceedings of the IJCAI 2001Workshop On Empirical Methods in Artificial Intelligence, 3, pp. 41-46, (2001); da Silva L.A., Peres S.M., Boscarioli C., Introdução à Mineração de Dados: Com Aplicações em R, (2017); Bordoloi D.J., Tiwari R., Optimum multi-fault classification of gears with integration of evolutionary and SVM algorithms, Mech. Mach. Theory, 73, pp. 49-60, (2014); Yao Y., Liu Y., Yu Y., Xu H., Lv W., Li Z., Chen X., K-SVM: An Effective SVM Algorithm Based on K-means Clustering, JCP, 8, pp. 2632-2639, (2013); Lu H., Karimireddy S.P., Ponomareva N., Mirrokni V., Accelerating Gradient Boosting Machines, Proceedings of the International Conference on Artificial Intelligence and Statistics, pp. 516-526, (2020); Natekin A., Knoll A., Gradient boosting machines, a tutorial, Front. Neurorobot, 7, (2013); Gomes H.M., Bifet A., Read J., Barddal J.P., Enembreck F., Pfharinger B., Holmes G., Abdessalem T., Adaptive random forests for evolving data stream classification, Mach. Learn, 106, pp. 1469-1495, (2017); Zanaty E., Support vector machines (SVMs) versus multilayer perception (MLP) in data classification, Egypt. Inform. J, 13, pp. 177-183, (2012); Zhou Z.H., Ensemble Methods: Foundations and Algorithms, (2012); Dicionário de Dados-SINAN NET-Versão 5.0; Badza M.M., Barjaktarovic M.C., Classification of brain tumors from MRI images using a convolutional neural network, Appl. Sci, 10, (2020); Cherifa M., Blet A., Chambaz A., Gayat E., Resche-Rigon M., Pirracchio R., Prediction of an acute hypotensive episode during an ICU hospitalization with a super learner machine-learning algorithm, Anesth. Analg, 130, pp. 1157-1166, (2020); Song W., Jung S.Y., Baek H., Choi C.W., Jung Y.H., Yoo S., A Predictive Model Based on Machine Learning for the Early Detection of Late-Onset Neonatal Sepsis: Development and Observational Study, JMIR Med. Inform, 8, (2020); Eickelberg G., Sanchez-Pinto L.N., Luo Y., Predictive modeling of bacterial infections and antibiotic therapy needs in critically ill adults, J. Biomed. Inform, 109, (2020); Ho Thanh Lam L., Le N.H., Van Tuan L., Tran Ban H., Nguyen Khanh Hung T., Nguyen N.T.K., Huu Dang L., Le N.Q.K., Machine learning model for identifying antioxidant proteins using features calculated from primary sequences, Biology, 9, (2020); Liashchynskyi P., Liashchynskyi P., Grid Search, Random Search, Genetic Algorithm: A Big Comparison for NAS, (2019); Woolson R., Wilcoxon signed-rank test, Wiley Encyclopedia of Clinical Trials, pp. 1-3, (2007); Le N.Q.K., Do D.T., Hung T.N.K., Lam L.H.T., Huynh T.T., Nguyen N, computational framework based on ensemble deep neural networks for essential genes identification, Int. J. Mol. Sci, 21, (2020)</t>
  </si>
  <si>
    <t xml:space="preserve">P.T. Endo; Programa de Pós-Graduação em Engenharia de Computação (PPGEC), Universidade de Pernambuco, Recife, Pernambuco, 50720-001, Brazil; email: patricia.endo@upe.br</t>
  </si>
  <si>
    <t xml:space="preserve">2-s2.0-85106500404</t>
  </si>
  <si>
    <t xml:space="preserve">Dailey-Chwalibóg T.; Freemark M.; Muehlbauer M.; Roberfroid D.; Kemokai I.A.; Mostak M.R.; Alim M.A.; Khan M.M.S.T.; Khan M.A.H.; Bawo L.; Dunbar N.K.; Taylor C.H.; Fouillet H.; Huneau J.-F.; Kolsteren P.; Guesdon B.</t>
  </si>
  <si>
    <t xml:space="preserve">Dailey-Chwalibóg, Trenton (57214864680); Freemark, Michael (7006975127); Muehlbauer, Michael (6602745993); Roberfroid, Dominique (57210784033); Kemokai, Issa A. (57224495513); Mostak, Md Rayhan (57214867378); Alim, Md Abdul (57202703120); Khan, Murad Md Shamsher Tabris (57224495538); Khan, Md Abul Hashem (57214865815); Bawo, Luke (55331481000); Dunbar, Nelson K. (57195307551); Taylor, Curtis H. (49964568500); Fouillet, Helene (6602378448); Huneau, Jean-Francois (7003860580); Kolsteren, Patrick (6603882639); Guesdon, Benjamin (57193821042)</t>
  </si>
  <si>
    <t xml:space="preserve">57214864680; 7006975127; 6602745993; 57210784033; 57224495513; 57214867378; 57202703120; 57224495538; 57214865815; 55331481000; 57195307551; 49964568500; 6602378448; 7003860580; 6603882639; 57193821042</t>
  </si>
  <si>
    <t xml:space="preserve">Clinical and biochemical markers of risk in uncomplicated severe acute malnutrition</t>
  </si>
  <si>
    <t xml:space="preserve">BACKGROUND AND OBJECTIVES: Use of mid-upper arm circumference (MUAC) as a single screening tool for severe acute malnutrition (SAM) assumes that children with a low weight-for-height z score (WHZ) and normal MUAC have lower risks of morbidity and mortality. However, the pathophysiology and functional severity associated with different anthropometric phenotypes of SAM have never been well characterized. We compared clinical characteristics, biochemical features, and health and nutrition histories of nonedematous children with SAM who had (1) low WHZ only, (2) both low WHZ and low MUAC, or (3) low MUAC only. METHODS: In Bangladesh, Burkina Faso, and Liberia, we conducted a multicentric cohort study in uncomplicated, nonedematous children with SAM and low MUAC only (n = 161), low WHZ only (n = 138), or a combination of low MUAC and low WHZ (n = 152). Alongside routine anthropometric measurements, we collected a wide range of critical indicators of clinical and nutritional status and viability; these included serum leptin, an adipocytokine negatively associated with mortality risk in SAM. RESULTS: Median leptin levels at diagnosis were lower in children with low WHZ only (215.8 pg/ mL; P,.001) and in those with combined WHZ and MUAC deficits (180.1 pg/mL; P,.001) than in children with low MUAC only (331.50 pg/mL). The same pattern emerged on a wide range of clinical indicators, including signs of severe wasting, dehydration, serum ferritin levels, and caretaker-reported health deterioration, and was replicated across study sites. CONCLUSIONS: Illustrative of the likely heterogeneous functional severity of the different anthropometric phenotypes of SAM, our results confirm the need to retain low WHZ as an independent diagnostic criterion. Copyright © 2021 by the American Academy of Pediatrics</t>
  </si>
  <si>
    <t xml:space="preserve">Pediatrics</t>
  </si>
  <si>
    <t xml:space="preserve">American Academy of Pediatrics</t>
  </si>
  <si>
    <t xml:space="preserve">e2020027003</t>
  </si>
  <si>
    <t xml:space="preserve">10.1542/peds.2020-027003</t>
  </si>
  <si>
    <t xml:space="preserve">https://www.scopus.com/inward/record.uri?eid=2-s2.0-85107711748&amp;doi=10.1542%2fpeds.2020-027003&amp;partnerID=40&amp;md5=3158178481b4d1a482fa6ceda842cb82</t>
  </si>
  <si>
    <t xml:space="preserve">Department of Expertise and Advocacy, Action Contre la Faim, Paris, France; Université Paris-Saclay, AgroParisTech, INRAE, UMR PNCA, Paris, 75005, France; Department of Food Technology, Safety, and Health, Ghent University, Ghent, Belgium; Division of Pediatric Endocrinology and Diabetes, Duke University Medical Center, Durham, NC, United States; Duke Molecular Physiology Institute, Duke University Medical Center, Durham, NC, United States; Belgian Health Care Knowledge Centre, Brussels, Belgium; Medicine Department, Faculty of Medicine, University of Namur, Namur, Belgium; Action Contre la Faim, Monrovia, Liberia; Action Contre la Faim, Dhaka, Bangladesh; Palli Karma-Sahayak Foundation, Dhaka, Bangladesh; National Nutrition Service, Institute of Public Health Nutrition, Dhaka, Bangladesh; Community Based Health Care, Dhaka, Bangladesh; Ministry of Health, Monrovia, Liberia; Pacific Institute for Research and Evaluation, University of Liberia, Monrovia, Liberia</t>
  </si>
  <si>
    <t xml:space="preserve">Dailey-Chwalibóg T., Department of Expertise and Advocacy, Action Contre la Faim, Paris, France, Université Paris-Saclay, AgroParisTech, INRAE, UMR PNCA, Paris, 75005, France, Department of Food Technology, Safety, and Health, Ghent University, Ghent, Belgium; Freemark M., Division of Pediatric Endocrinology and Diabetes, Duke University Medical Center, Durham, NC, United States, Duke Molecular Physiology Institute, Duke University Medical Center, Durham, NC, United States; Muehlbauer M., Duke Molecular Physiology Institute, Duke University Medical Center, Durham, NC, United States; Roberfroid D., Department of Food Technology, Safety, and Health, Ghent University, Ghent, Belgium, Belgian Health Care Knowledge Centre, Brussels, Belgium, Medicine Department, Faculty of Medicine, University of Namur, Namur, Belgium; Kemokai I.A., Action Contre la Faim, Monrovia, Liberia; Mostak M.R., Action Contre la Faim, Dhaka, Bangladesh, Palli Karma-Sahayak Foundation, Dhaka, Bangladesh; Alim M.A., National Nutrition Service, Institute of Public Health Nutrition, Dhaka, Bangladesh; Khan M.M.S.T., National Nutrition Service, Institute of Public Health Nutrition, Dhaka, Bangladesh; Khan M.A.H., Community Based Health Care, Dhaka, Bangladesh; Bawo L., Ministry of Health, Monrovia, Liberia; Dunbar N.K., Ministry of Health, Monrovia, Liberia; Taylor C.H., Pacific Institute for Research and Evaluation, University of Liberia, Monrovia, Liberia; Fouillet H., Université Paris-Saclay, AgroParisTech, INRAE, UMR PNCA, Paris, 75005, France; Huneau J.-F., Université Paris-Saclay, AgroParisTech, INRAE, UMR PNCA, Paris, 75005, France; Kolsteren P., Department of Food Technology, Safety, and Health, Ghent University, Ghent, Belgium; Guesdon B., Department of Expertise and Advocacy, Action Contre la Faim, Paris, France</t>
  </si>
  <si>
    <t xml:space="preserve">Biomarkers; Body Weights and Measures; Child, Preschool; Cohort Studies; Female; Humans; Infant; Male; Risk Assessment; Severe Acute Malnutrition; adipocytokine; carboxy terminal telopeptide; ferritin; iron; leptin; retinol binding protein; transferrin receptor; biological marker; age; anthropometric parameters; arm circumference; Article; Bangladesh; body height; body mass; Burkina Faso; caregiver; child; child growth; clinical feature; cohort analysis; controlled study; dehydration; deterioration; diarrhea; enzyme linked immunosorbent assay; female; ferritin blood level; food intake; height for age z score; human; hydration; infant; iron balance; iron deficiency; iron storage; length of stay; Liberia; major clinical study; malaria; male; malnutrition; mid upper arm circumference; mortality risk; nutritional status; phenotype; predictive value; preschool child; protein expression; retinol deficiency; scoring system; sex difference; stunting; wasting syndrome; weight for height z score; blood; clinical trial; malnutrition; morphometry; multicenter study; risk assessment</t>
  </si>
  <si>
    <t xml:space="preserve">ferritin, 9007-73-2; iron, 14093-02-8, 53858-86-9, 7439-89-6; Biomarkers, </t>
  </si>
  <si>
    <t xml:space="preserve">Action Contre la Faim France; Association Nationale Recherche Technologie; Convention Industrielle de Formation par la REcherche; DH-ECHO; Directorate-General for European Civil Protection and Humanitarian Aid Operations; European Commission’s Civil Protection and Humanitarian Aid Operations Enhanced Response Capacity, (ECHO/ERC/BUD/2015/91002); Foundation Action Contre la Faim; Humanitarian Innovation Fund</t>
  </si>
  <si>
    <t xml:space="preserve">Funding text 1: FUNDING: The data presented in this article are part of the OptiDiag study, which is funded by Action Contre la Faim France with financial support from the European Commission’s Civil Protection and Humanitarian Aid Operations Enhanced Response Capacity (grant ECHO/ERC/BUD/2015/91002) and the Humanitarian Innovation Fund, a program managed by Enhanced Learning and Research for Humanitarian Assistance. The funders had no role in study design, data collection and analysis, decision to publish, or preparation of the article.; Funding text 2: FINANCIAL DISCLOSURE: Dr Dailey-Chwalibóg reports grants from the Humanitarian Innovation Fund (HIF) at Enhanced Learning and Research for Humanitarian Assistance (ELRHA), the Directorate-General for European Civil Protection and Humanitarian Aid Operations (DG-ECHO), the Foundation Action Contre la Faim, and the Association Nationale Recherche Technologie (ANRT) for a Convention Industrielle de Formation par la REcherche (CIFRE) grant, provided to Action Contre la Faim France and AgroParisTech for the conduct of the study. Dr Guesdon reports grants from the HIF, DH-ECHO, the Foundation Action Contre la Faim, and the ANRT provided to Action Contre la Faim France for the conduct of the study. Dr Freemark reports grants from the HIF and DG-ECHO during the conduct of the study; the other authors have indicated they have no financial relationships relevant to this article to disclose.</t>
  </si>
  <si>
    <t xml:space="preserve">WHO child growth standards and the identification of severe acute malnutrition in infants and children: a joint statement by the World Health Organization and the United Nations Children's Fund, (2009); Guideline: updates on the management of severe acute malnutrition in infants and children, (2013); Grellety E, Golden MH., Weight-for-height and mid-upper-arm circumference should be used independently to diagnose acute malnutrition: policy implications, BMC Nutr, 2, (2016); Briend A, Alvarez J-L, Avril N, Et al., Low mid-upper arm circumference identifies children with a high risk of death who should be the priority target for treatment, BMC Nutr, 2, 1, (2016); Recommendation on the use of mid-upper arm circumference (MUAC) in the community: a statement from the Council of Research &amp; Technical Advice on Acute Malnutrition (CORTASAM), (2018); Woodhead S, Rio D, Zagre N., Regional perspectives on simplified approaches for the management of children with acute malnutrition: West and Central Africa, (2019); Roberfroid D, Hammami N, Lachat C, Et al., Utilization of mid-upper arm circumference versus weight-for-height in nutritional rehabilitation programmes: a systematic review of evidence, (2013); Global action plan on child wasting: a framework for action to accelerate progress in preventing and managing child wasting and the achievement of the sustainable development goals, (2020); Bartz S, Mody A, Hornik C, Et al., Severe acute malnutrition in childhood: hormonal and metabolic status at presentation, response to treatment, and predictors of mortality, J Clin Endocrinol Metab, 99, 6, pp. 2128-2137, (2014); Njunge JM, Gwela A, Kibinge NK, Et al., Biomarkers of post-discharge mortality among children with complicated severe acute malnutrition, Sci Rep, 9, 1, (2019); Recommendations for data collection, analysis and reporting on anthropometric indicators in children under 5 years old, (2019); Cashin K, Oot L., Guide to anthropometry: a practical tool for program planners, managers, and implementers, (2018); WHO child growth standards: length/height-for-age, weight-for-age, weight-for-length, weight-for-height and body mass index-for-age: methods and development, (2006); Savino F, Rossi L, Benetti S, Petrucci E, Sorrenti M, Silvestro L., Serum reference values for leptin in healthy infants, PLoS One, 9, 11, (2014); Thurnham DI., Interactions between nutrition and immune function: using inflammation biomarkers to interpret micronutrient status, Proc Nutr Soc, 73, 1, pp. 1-8, (2014); Handbook: IMCI integrated management of childhood illness, (2005); Training course on the management of severe malnutrition, (2002); Ross SM., Distributions of Sampling Statistics, Introductory Statistics, pp. 297-328, (2017); Roberfroid D, Huybregts L, Lachat C, Vrijens F, Kolsteren P, Guesdon B., Inconsistent diagnosis of acute malnutrition by weight-for-height and mid-upper arm circumference: contributors in 16 cross-sectional surveys from South Sudan, the Philippines, Chad, and Bangladesh, Nutr J, 14, (2015); Isanaka S, Guesdon B, Labar AS, Hanson K, Langendorf C, Grais RF., Comparison of clinical characteristics and treatment outcomes of children selected for treatment of severe acute malnutrition using mid upper arm circumference and/or weight-for-height z-score, PLoS One, 10, 9, (2015); Mody A, Bartz S, Hornik CP, Et al., Effects of HIV infection on the metabolic and hormonal status of children with severe acute malnutrition, PLoS One, 9, 7, (2014); Duggal P, Guo X, Haque R, Et al., A mutation in the leptin receptor is associated with Entamoeba histolytica infection in children, J Clin Invest, 121, 3, pp. 1191-1198, (2011); Maurya R, Bhattacharya P, Dey R, Nakhasi HL., Leptin functions in infectious diseases, Front Immunol, 9, (2018); Saucillo DC, Gerriets VA, Sheng J, Rathmell JC, Maciver NJ., Leptin metabolically licenses T cells for activation to link nutrition and immunity, J Immunol, 192, 1, pp. 136-144, (2014); Cohen S, Danzaki K, MacIver NJ., Nutritional effects on T-cell immunometabolism, Eur J Immunol, 47, 2, pp. 225-235, (2017); Alwarawrah Y, Kiernan K, MacIver NJ., Changes in nutritional status impact immune cell metabolism and function, Front Immunol, 9, (2018); Levitt Katz LE, Abraham M, Johansen L, Jawad AF., Leptin levels decline steadily during prolonged fasting in lean children, J Pediatr, 149, 6, pp. 798-802, (2006); Pelletier DL., The relationship between child anthropometry and mortality in developing countries: implications for policy, programs and future research, J Nutr, 124, pp. 2047S-2081S, (1994); Schwinger C, Golden MH, Grellety E, Roberfroid D, Guesdon B., Severe acute malnutrition and mortality in children in the community: Comparison of indicators in a multi-country pooled analysis, PLoS One, 14, 8, (2019); Berkley J, Mwangi I, Griffiths K, Et al., Assessment of severe malnutrition among hospitalized children in rural Kenya: comparison of weight for height and mid upper arm circumference, JAMA, 294, 5, pp. 591-597, (2005); Grellety E, Golden MH., Severely malnourished children with a low weight-for-height have a higher mortality than those with a low mid-upper-arm-circumference: I. Empirical data demonstrates Simpson's paradox, Nutr J, 17, 1, (2018); de Onis M, Yip R, Mei Z., The development of MUAC-for-age reference data recommended by a WHO expert committee, Bull World Health Organ, 75, 1, pp. 11-18, (1997); Grellety E, Golden MH., Severely malnourished children with a low weight-for-height have a higher mortality than those with a low mid-upper-arm-circumference: III. Effect of case-load on malnutrition related mortality- policy implications, Nutr J, 17, 1, (2018); Bilukha O, Leidman E., Concordance between the estimates of wasting measured by weight-for-height and by mid-upper arm circumference for classification of severity of nutrition crisis: analysis of population-representative surveys from humanitarian settings, BMC Nutr, 4, 1, (2018); Guesdon B, Couture A, Pantchova D, Bilukha O., Potential consequences of expanded MUAC-only programs on targeting of acutely malnourished children and ready-to-use-therapeutic-food allocation: lessons from cross-sectional surveys, BMC Nutr, 6, (2020)</t>
  </si>
  <si>
    <t xml:space="preserve">T. Dailey-Chwalibóg; Department of Food Technology, Safety, and Health, Ghent University, Ghent, Coupure Links 653, B-9000, Belgium; email: trenton@dailey-chwalibog.com</t>
  </si>
  <si>
    <t xml:space="preserve">PEDIA</t>
  </si>
  <si>
    <t xml:space="preserve">2-s2.0-85107711748</t>
  </si>
  <si>
    <t xml:space="preserve">Kumar R.; Joshi S.; Dwivedi A.</t>
  </si>
  <si>
    <t xml:space="preserve">Kumar, Rajiv (57214462130); Joshi, Shivani (57212646133); Dwivedi, Avinash (55554061200)</t>
  </si>
  <si>
    <t xml:space="preserve">57214462130; 57212646133; 55554061200</t>
  </si>
  <si>
    <t xml:space="preserve">CNN-SSPSO: A Hybrid and Optimized CNN Approach for Peripheral Blood Cell Image Recognition and Classification</t>
  </si>
  <si>
    <t xml:space="preserve">White blood cells (WBCs) play a main role in identifying the health condition and disease characteristics of a normal person. An automated classification system is capable of recognizing white blood cells that may help doctors to diagnose several diseases like malaria, anemia, leukemia, etc. Automated blood cell analysis allows fast and accurate outcomes and often involves broad data without performance negotiation. The state-of-The-Art systems use a lot of different stages (feature extraction, segmentation, pre-processing, etc.) to provide the automated blood cell analysis using blood smear images which is a lengthy process. To overcome these problems, this paper presents an efficient peripheral blood cell image recognition and classification using a combination of the salp swarm algorithm and the cat swarm optimization (SSPSO) algorithm-based optimized convolutional neural networks (SSPSO-CNN) method. This paper uses the CNN approach to classify five peripheral blood cells such as eosinophil, basophil, lymphocytes, monocytes, and neutrophils without any human intervention. The other objective of this paper is to propose an improved version of salp swarm optimizer (SSO) using particle swarm optimization (PSO) to attain competitive classification performance over the database of the blood cell images. In this paper, the CNN uses VGG19 architecture for training purposes. The accuracy of the classification achieved with VGG19 models is 98%. The proposed model based on the CNN approach optimized by SSPSO achieves high classification accuracy and provides automatic peripheral blood cell classification. This method establishes the fine-Tuning process to develop a classifier trained using 10 674 images obtained from medical practice. The proposed method augmented the performance in terms of high precision and F1-score and obtained an overall classification accuracy of 99%. © 2021 World Scientific Publishing Company.</t>
  </si>
  <si>
    <t xml:space="preserve">International Journal of Pattern Recognition and Artificial Intelligence</t>
  </si>
  <si>
    <t xml:space="preserve">10.1142/S0218001421570044</t>
  </si>
  <si>
    <t xml:space="preserve">https://www.scopus.com/inward/record.uri?eid=2-s2.0-85097264860&amp;doi=10.1142%2fS0218001421570044&amp;partnerID=40&amp;md5=59a5e9f985e7b72c98d38ad5854f8831</t>
  </si>
  <si>
    <t xml:space="preserve">Department of Computer Science and Engineering, Gl Bajaj Institute of Technology and Management, Dr Abdul Kalam Technical University, Lucknow Greater Noida, India; Department of Computer Science and Engineering, Jims Engineering and Technical Campus Affiliated to Guru Gobind Singh Indrapratha University, Delhi, India</t>
  </si>
  <si>
    <t xml:space="preserve">Kumar R., Department of Computer Science and Engineering, Gl Bajaj Institute of Technology and Management, Dr Abdul Kalam Technical University, Lucknow Greater Noida, India; Joshi S., Department of Computer Science and Engineering, Gl Bajaj Institute of Technology and Management, Dr Abdul Kalam Technical University, Lucknow Greater Noida, India; Dwivedi A., Department of Computer Science and Engineering, Jims Engineering and Technical Campus Affiliated to Guru Gobind Singh Indrapratha University, Delhi, India</t>
  </si>
  <si>
    <t xml:space="preserve">Blood smear image; CNN; fine-Tuning; hyperparameter optimization; peripheral blood cells; PSO; SSO; white blood cell</t>
  </si>
  <si>
    <t xml:space="preserve">Automation; Cells; Classification (of information); Convolutional neural networks; Cytology; Diseases; Image classification; Image enhancement; Image recognition; Image segmentation; Medical imaging; Particle swarm optimization (PSO); Automated classification systems; Blood cell images; Classification accuracy; Classification performance; Human intervention; State-of-the-art system; Swarm optimization; White blood cells; Blood</t>
  </si>
  <si>
    <t xml:space="preserve">Alferez S., Merino A., Acevedo A., Puigvi L., Rodellar J., Color clustering segmentation framework for image analysis of malignant lymphoid cells in peripheral blood, Med. Biol. Eng. Comput, 57, 6, pp. 1265-1283, (2019); Banik P. P., Saha R., Kim K. D., An automatic nucleus segmentation and CNN model based classification method of white blood cell, Exp. Syst. Appl, 149, (2020); Baydilli Y. Y., Atila U., Classification of white blood cells using capsule networks, Comput. Med. Imaging Graph, 80, (2020); Biji G., Hariharan S., An efficient peripheral blood smear image analysis technique for leukemia detection, 2017 Int. Conf. I-SMAC (IoT in Social, Mobile, Analytics and Cloud) (I-SMAC), pp. 259-264, (2017); Chadha G. K., Srivastava A., Singh A., Gupta R., Singla D., An automated method for counting red blood cells using image processing, Proc. Comp. Sci, 167, pp. 769-778, (2020); Darwish A., Ezzat D., Hassanien A. E., An optimized model based on convolutional neural networks and orthogonal learning particle swarm optimization algorithm for plant diseases diagnosis, Swarm Evol. Comput, 52, (2020); Dhanachandra N., Chanu Y. J., An image segmentation approach based on fuzzy c-means and dynamic particle swarm optimization algorithm, Multimedia Tools Appl, 79, pp. 18839-18858, (2020); Di Ruberto C., Loddo A., Putzu L., Detection of red and white blood cells from microscopic blood images using a region proposal approach, Comp. Biol. Med, 116, (2020); Gao R., Cheng L., Wang S., Bi X., Wang X., Wang R., Chen X., Zha Z., Wang F., Xu X., Zhao G., Efficient separation of tumor cells from untreated whole blood using a novel multistage hydrodynamic focusing microfluidics, Talanta, 207, (2020); Gupta D., Agrawal U., Arora J., Khanna A., Bat-inspired algorithm for feature selection and white blood cell classification, Nature-Inspired Computation and Swarm Intelligence, pp. 179-197, (2020); He H., Tang L., Jiang N., Zheng R., Li W., Gu Y., Wang M., Characterization of peripheral blood mononuclear cells isolated using two kinds of leukocyte filters, Trans. Clin. Biol, 27, 1, pp. 10-17, (2020); Hegde R. B., Prasad K., Hebbar H., Singh B. M., Comparison of traditional image processing and deep learning approaches for classification of white blood cells in peripheral blood smear images, Biocybern. Biomed. Eng, 39, 2, pp. 382-392, (2019); Ibrahim R. A., Ewees A. A., Oliva D., Elaziz M. A., Lu S., Improved salp swarm algorithm based on particle swarm optimization for feature selection, J. Ambient Intell. Human. Comput, 10, 8, pp. 3155-3169, (2019); Kennedy J., Eberhart R. C., Particle swarm optimization, Proc. ICNN'95-Int. Conf. Neural Networks, 4, pp. 1942-1948, (1995); Li Y., Xiao J., Chen Y., Jiao L., Evolving deep Convolutional neural networks by quantum behaved particle swarm optimization with binary encoding for image classifi-cation, Neurocomputing, 362, pp. 156-165, (2019); Liu J., Li S., Liu J., Liang B., Wang X., Wang H., Li W., Tong Q., Yi J., Zhao L., Xiong L., Longitudinal characteristics of lymphocyte responses and cytokine profiles in the peripheral blood of SARS-CoV-2 infected patients, EBioMedicine, (2020); Liu Y. Y., Yang Q. F., Yang J. S., Cao R. B., Liang J. Y., Liu Y. T., Zeng Y. L., Chen S., Xia X. F., Zhang K., Liu L., Characteristics and prognostic significance of profiling the peripheral blood T-cell receptor repertoire in patients with advanced lung cancer, Int. J. Cancer, 145, 5, pp. 1423-1431, (2019); Lu Y., Yi S., Zeng N., Liu Y., Zhang Y., Identification of rice diseases using deep convolutional neural networks, Neurocomputing, 267, pp. 378-384, (2017); Mirjalili S., Faris H., Gandomi A. H., Mirjalili S. M., Mirjalili S. Z., Saremi S., Salp swarm algorithm: A bio-inspired optimizer for engineering design problems, Adv. Eng. Softw, 114, pp. 163-191, (2017); Mishra S., Majhi B., Sa P. K., Texture feature based classification on microscopic blood smear for acute lymphoblastic leukemia detection, Biomed. Signal Process. Control, 47, pp. 303-311, (2019); Ramesh S., Vydeki D., Recognition and classification of paddy leaf diseases using optimized deep neural network with Jaya algorithm, Inform. Process. Agric, 7, 2, pp. 249-260, (2019); Rejeesh M. R., Interest point based face recognition using adaptive neuro fuzzy inference system, Multimed. Tools Appl, 78, 16, pp. 22691-22710, (2019); Sahlol A. T., Kollmannsberger P., Ewees A. A., Efficient classification of white blood cell leukemia with improved Swarm optimization of deep features, Sci. Rep, 10, 1, (2020); Sayed G. I., Khoriba G., Haggag M. H., A novel chaotic salp swarm algorithm for global optimization and feature selection, Appl. Intell, 48, 10, pp. 3462-3481, (2018); Shahin A. I., Guo Y., Amin K. M., Sharawi A. A., White blood cells identification system based on convolutional deep neural learning networks, Comp. Methods Progr. Biomed, 168, pp. 69-80, (2019); Singh A., Sood N., Narang V., Goyal A., Morphology of COVID-19-Affected cells in peripheral blood film, BMJ Case Rep. CP, 13, 5, (2020); Sundararaj V., An efficient threshold prediction scheme for wavelet based ECG signal noise reduction using variable step size firefly algorithm, Int. J. Intell. Eng. Syst, 9, 3, pp. 117-126, (2016); Sundararaj V., Optimal task assignment in mobile cloud computing by queue based antbee algorithm, Wirel. Pers. Commun, 104, 1, pp. 173-197, (2019); Suzuki E., Sugimoto M., Kawaguchi K., Pu F., Uozumi R., Yamaguchi A., Nishie M., Tsuda M., Kotake T., Morita S., Toi M., Gene expression profile of peripheral blood mononuclear cells may contribute to the identification and immunological classification of breast cancer patients, Breast Cancer, 6, 3, pp. 282-289, (2019); Vinu S., Anoop V., Dixit P., Arjaria A., Chourasia U., Bhambri P., Rejeesh M. R., Sundararaj R., CCGPA-MPPT: Cauchy preferential crossover-based global pollination algorithm for MPPT in photovoltaic system, Progr. Photovolt. Res. Appl, (2020); Vinu S., Optimised denoising scheme via opposition-based self-Adaptive learning PSO algorithm for wavelet-based ECG signal noise reduction, Int. J. Biomed. Eng. Technol, 31, 4, (2019); Vinu S., Muthukumar S., Kumar R. S., An optimal cluster formation based energy efficient dynamic scheduling hybrid MAC protocol for heavy traffic load in wireless sensor networks, Comput. Secur, 77, pp. 277-288, (2018); Wen W., Su W., Tang H., Le W., Zhang X., Zheng Y., Liu X., Xie L., Li J., Ye J., Dong L., Immune cell profiling of COVID-19 patients in the recovery stage by single-cell sequencing, Cell Discov, 6, 1, pp. 1-8, (2020)</t>
  </si>
  <si>
    <t xml:space="preserve">S. Joshi; Department of Computer Science and Engineering, Gl Bajaj Institute of Technology and Management, Dr Abdul Kalam Technical University, Lucknow Greater Noida, India; email: shivani1275@gmail.com</t>
  </si>
  <si>
    <t xml:space="preserve">IJPIE</t>
  </si>
  <si>
    <t xml:space="preserve">Int J Pattern Recognit Artif Intell</t>
  </si>
  <si>
    <t xml:space="preserve">2-s2.0-85097264860</t>
  </si>
  <si>
    <t xml:space="preserve">Winkler J.K.; Sies K.; Fink C.; Toberer F.; Enk A.; Abassi M.S.; Fuchs T.; Blum A.; Stolz W.; Coras-Stepanek B.; Cipic R.; Guther S.; Haenssle H.A.</t>
  </si>
  <si>
    <t xml:space="preserve">Winkler, Julia K. (57191580858); Sies, Katharina (57217086727); Fink, Christine (56844769800); Toberer, Ferdinand (37262045600); Enk, Alexander (57217521840); Abassi, Mohamed Souhayel (57213199280); Fuchs, Tobias (57204540190); Blum, Andreas (55644610100); Stolz, Wilhelm (55422932100); Coras-Stepanek, Brigitte (13604965100); Cipic, Robert (57224312850); Guther, Stefanie (37064601700); Haenssle, Holger A. (6603657821)</t>
  </si>
  <si>
    <t xml:space="preserve">57191580858; 57217086727; 56844769800; 37262045600; 57217521840; 57213199280; 57204540190; 55644610100; 55422932100; 13604965100; 57224312850; 37064601700; 6603657821</t>
  </si>
  <si>
    <t xml:space="preserve">Collective human intelligence outperforms artificial intelligence in a skin lesion classification task</t>
  </si>
  <si>
    <t xml:space="preserve">Background and objectives: Convolutional neural networks (CNN) enable accurate diagnosis of medical images and perform on or above the level of individual physicians. Recently, collective human intelligence (CoHI) was shown to exceed the diagnostic accuracy of individuals. Thus, diagnostic performance of CoHI (120 dermatologists) versus individual dermatologists versus two state-of-the-art CNN was investigated. Patients and Methods: Cross-sectional reader study with presentation of 30 clinical cases to 120 dermatologists. Six diagnoses were offered and votes collected via remote voting devices (quizzbox®, Quizzbox Solutions GmbH, Stuttgart, Germany). Dermatoscopic images were classified by a binary and multiclass CNN (FotoFinder Systems GmbH, Bad Birnbach, Germany). Three sets of diagnostic classifications were scored against ground truth: (1) CoHI, (2) individual dermatologists, and (3) CNN. Results: CoHI attained a significantly higher accuracy [95 % confidence interval] (80.0 % [62.7 %–90.5 %]) than individual dermatologists (75.7 % [73.8 %–77.5 %]) and CNN (70.0 % [52.1 %–83.3 %]; all P &lt; 0.001) in binary classifications. Moreover, CoHI achieved a higher sensitivity (82.4 % [59.0 %–93.8 %]) and specificity (76.9 % [49.7 %–91.8 %]) than individual dermatologists (sensitivity 77.8 % [75.3 %–80.2 %], specificity 73.0 % [70.6 %–75.4 %]) and CNN (sensitivity 70.6 % [46.9 %–86.7 %], specificity 69.2 % [42.4 %–87.3 %]). The diagnostic accuracy of CoHI was superior to that of individual dermatologists (P &lt; 0.001) in multiclass evaluation, with the accuracy of the latter comparable to multiclass CNN. Conclusions: Our analysis revealed that the majority vote of an interconnected group of dermatologists (CoHI) outperformed individuals and CNN in a demanding skin lesion classification task. © 2021 The Authors. Journal der Deutschen Dermatologischen Gesellschaft published by John Wiley &amp; Sons Ltd on behalf of Deutsche Dermatologische Gesellschaft.</t>
  </si>
  <si>
    <t xml:space="preserve">JDDG - Journal of the German Society of Dermatology</t>
  </si>
  <si>
    <t xml:space="preserve">10.1111/ddg.14510</t>
  </si>
  <si>
    <t xml:space="preserve">https://www.scopus.com/inward/record.uri?eid=2-s2.0-85107349943&amp;doi=10.1111%2fddg.14510&amp;partnerID=40&amp;md5=e103f505209fbaa01a8abd3210c96a4c</t>
  </si>
  <si>
    <t xml:space="preserve">Department of Dermatology, University of Heidelberg, Heidelberg, Germany; Department of Research and Development, FotoFinder Systems GmbH, Bad Birnbach, Germany; Public, Private and Teaching Practice, Konstanz, Germany; Department of Dermatology, Allergology and Environmental Medicine II, Hospital Thalkirchner Street, Munich, Germany</t>
  </si>
  <si>
    <t xml:space="preserve">Winkler J.K., Department of Dermatology, University of Heidelberg, Heidelberg, Germany; Sies K., Department of Dermatology, University of Heidelberg, Heidelberg, Germany; Fink C., Department of Dermatology, University of Heidelberg, Heidelberg, Germany; Toberer F., Department of Dermatology, University of Heidelberg, Heidelberg, Germany; Enk A., Department of Dermatology, University of Heidelberg, Heidelberg, Germany; Abassi M.S., Department of Research and Development, FotoFinder Systems GmbH, Bad Birnbach, Germany; Fuchs T., Department of Research and Development, FotoFinder Systems GmbH, Bad Birnbach, Germany; Blum A., Public, Private and Teaching Practice, Konstanz, Germany; Stolz W., Department of Dermatology, Allergology and Environmental Medicine II, Hospital Thalkirchner Street, Munich, Germany; Coras-Stepanek B., Department of Dermatology, Allergology and Environmental Medicine II, Hospital Thalkirchner Street, Munich, Germany; Cipic R., Department of Dermatology, Allergology and Environmental Medicine II, Hospital Thalkirchner Street, Munich, Germany; Guther S., Department of Dermatology, Allergology and Environmental Medicine II, Hospital Thalkirchner Street, Munich, Germany; Haenssle H.A., Department of Dermatology, University of Heidelberg, Heidelberg, Germany</t>
  </si>
  <si>
    <t xml:space="preserve">artificial intelligence; collective; convolution neural network; skin lesion classification</t>
  </si>
  <si>
    <t xml:space="preserve">Artificial Intelligence; Cross-Sectional Studies; Dermatologists; Dermoscopy; Humans; Intelligence; Melanoma; Skin Neoplasms; acral hypokeratosis; actinic keratosis; adult; angioma; Article; artificial intelligence; back propagation; basal cell carcinoma; binary classification; Bowen disease; bowenoid papulosis; clinical article; clinical effectiveness; collective human intelligence; comparative study; confidence interval; controlled study; convolutional neural network; cross-sectional study; cutaneous leishmaniasis; data analysis software; dermatofibroma; dermatologist; diagnostic accuracy; diagnostic test accuracy study; diagnostic value; disease classification; epiluminescence microscopy; female; human; image analysis; inflammation; intelligence; keratosis; lentigo; male; melanoma; middle aged; molluscum contagiosum; multiclass classification; nevus; onychopapilloma; outcome assessment; psoriasis; receiver operating characteristic; seborrheic keratosis; sensitivity and specificity; skin disease; skin infection; skin sarcoidosis; skin tumor; squamous cell carcinoma; vascular lesion; dermatologist; melanoma; skin tumor</t>
  </si>
  <si>
    <t xml:space="preserve">Moleanalyzer-Pro, FotoFinder Systems, Germany; quizzbox</t>
  </si>
  <si>
    <t xml:space="preserve">FotoFinder Systems, Germany</t>
  </si>
  <si>
    <t xml:space="preserve">Apalla Z., Lallas A., Sotiriou E., Et al., Epidemiological trends in skin cancer, Dermatol Pract Concept, 7, (2017); Apalla Z., Nashan D., Weller R.B., Castellsague X., Skin cancer: epidemiology, disease burden, pathophysiology, diagnosis, and therapeutic approaches, Dermatol ther, 7, pp. 5-19, (2017); Brunssen A., Waldmann A., Eisemann N., Katalinic A., Impact of skin cancer screening and secondary prevention campaigns on skin cancer incidence and mortality: A systematic review, J Am Acad of Dermatol, 76, pp. 129-139, (2017); Kittler H., Pehamberger H., Wolff K., Binder M., Diagnostic accuracy of dermoscopy, Lancet oncol, 3, pp. 159-165, (2002); Zalaudek I., Argenziano G., Di Stefani A., Et al., Dermoscopy in general dermatology, Dermatology, 212, pp. 7-18, (2006); Schweizer A., Fink C., Bertlich I., Et al., Differentiation of combined nevi and melanomas: Case-control study with comparative analysis of dermoscopic features, J Dtsch Dermatol Ges, 18, pp. 111-118, (2020); Vestergaard M., Macaskill P., Holt P., Menzies S., Dermoscopy compared with naked eye examination for the diagnosis of primary melanoma: a meta-analysis of studies performed in a clinical setting, Br J Dermatol, 159, pp. 669-676, (2008); Ahlgrimm-Siess V., Weitzer F., Arzberger E., Et al., Diagnostic impact of reflectance confocal microscopy as a second-level examination for facial skin lesions, J Dtsch Dermatol Ges, 17, pp. 266-273, (2019); Esteva A., Kuprel B., Novoa R.A., Et al., Dermatologist-level classification of skin cancer with deep neural networks, Nature, 542, pp. 115-118, (2017); Tschandl P., Codella N., Akay B.N., Et al., Comparison of the accuracy of human readers versus machine-learning algorithms for pigmented skin lesion classification: an open, web-based, international, diagnostic study, Lancet Oncol, 20, 7, pp. 938-947, (2019); Okur E., Turkan M., A survey on automated melanoma detection, Eng Appl Artif Intell, 73, pp. 50-67, (2018); Tschandl P., Rosendahl C., Akay B.N., Et al., Expert-level diagnosis of nonpigmented skin cancer by combined convolutional neural networks, JAMA Dermatol, 155, pp. 58-65, (2019); Haenssle H.A., Fink C., Schneiderbauer R., Et al., Man against machine: diagnostic performance of a deep learning convolutional neural network for dermoscopic melanoma recognition in comparison to 58 dermatologists, Ann oncol, 29, pp. 1836-1842, (2018); Verghese A., Shah N.H., Harrington R.A., What this computer needs is a physician: humanism and artificial intelligence, JAMA, 319, pp. 19-20, (2018); Patel B.N., Rosenberg L., Willcox G., Et al., Human-machine partnership with artificial intelligence for chest radiograph diagnosis, NPJ Digit Med, 2, pp. 1-10, (2019); Barnett M.L., Boddupalli D., Nundy S., Bates D.W., Comparative accuracy of diagnosis by collective intelligence of multiple physicians vs individual physicians, JAMA Netw Open, 2, (2019); Kurvers R.H., Krause J., Argenziano G., Et al., Detection accuracy of collective intelligence assessments for skin cancer diagnosis, JAMA dermatol, 151, pp. 1346-1353, (2015); Rinner C., Kittler H., Rosendahl C., Tschandl P., Analysis of collective human intelligence for diagnosis of pigmented skin lesions harnessed by gamification via a web-based training platform: simulation reader study, J Med Internet Res, 22, (2020); Szegedy C., Liu W., Jia Y., Sermanet P., Et al., Going deeper with convolutions, Proceedings of the IEEE Conference on Computer Vision and Pattern Recognition, pp. 1-9, (2015); Haenssle H.A., Fink C., Toberer F., Et al., Man against machine reloaded: performance of a market-approved convolutional neural network in classifying a broad spectrum of skin lesions in comparison with 96 dermatologists working under less artificial conditions, Ann Oncol, 31, pp. 137-143, (2020); Xiang J.X., On two-sample McNemar test, J Biopharm Stat, 26, pp. 217-226, (2016); Kammer J.E., Hautz W.E., Herzog S.M., Et al., The potential of collective intelligence in emergency medicine: pooling medical students’ independent decisions improves diagnostic performance, Med Decis Making, 37, pp. 715-724, (2017); Rosenberg L., Lungren M., Halabi S., Et al., Artificial swarm intelligence employed to amplify diagnostic accuracy in radiology, IEEE 9th Annual Information Technology, Electronics and Mobile Communication Conference (IEMCON, pp. 1186-1191, (2018); Wolf M., Krause J., Carney P.A., Et al., Collective intelligence meets medical decision-making: the collective outperforms the best radiologist, PloS one, 10, (2015); Kurvers R.H., Herzog S.M., Hertwig R., Et al., Boosting medical diagnostics by pooling independent judgments, Proc Natl Acad Sci USA, 113, pp. 8777-8782, (2016); Radcliffe K., Lyson H.C., Barr-Walker J., Sarkar U., Collective intelligence in medical decision-making: a systematic scoping review, BMC Med Inform Decis Mak, 19, (2019); Kammer J.E., Hautz W.E., Herzog S.M., Et al., The potential of collective intelligence in emergency medicine: pooling medical students’ independent decisions improves diagnostic performance, Med Decis Making, 37, pp. 715-724, (2017); Tschandl P., Rinner C., Apalla Z., Et al., Human-computer collaboration for skin cancer recognition, Nat Med, 26, 8, pp. 1229-1234, (2020)</t>
  </si>
  <si>
    <t xml:space="preserve">H.A. Haenssle; Department of Dermatology, University of Heidelberg, Heidelberg, Germany; email: holger.haenssle@med.uni-heidelberg.de</t>
  </si>
  <si>
    <t xml:space="preserve">JJDDA</t>
  </si>
  <si>
    <t xml:space="preserve">JDDG J. German Soc. Dermatol.</t>
  </si>
  <si>
    <t xml:space="preserve">2-s2.0-85107349943</t>
  </si>
  <si>
    <t xml:space="preserve">Possas C.; Marques E.T.A.; Risi J.B., Jr; Homma A.</t>
  </si>
  <si>
    <t xml:space="preserve">Possas, Cristina (9334092400); Marques, Ernesto T. A. (7005196013); Risi, João Baptista (6602639246); Homma, Akira (17634622400)</t>
  </si>
  <si>
    <t xml:space="preserve">9334092400; 7005196013; 6602639246; 17634622400</t>
  </si>
  <si>
    <t xml:space="preserve">COVID-19 and Future Disease X in Circular Economy Transition: Redesigning Pandemic Preparedness to Prevent a Global Disaster</t>
  </si>
  <si>
    <t xml:space="preserve">The COVID-19 pandemic exposed a world surprisingly unprepared to respond to the new epidemiological scenario, even the developed countries, in spite of warnings from scientists since the 1990s. These alerts warned on the risks of an exponential increase in emergence of potentially pandemic zoonotic infectious diseases related to disruptive ecological niches in different regions of the globe, such as H1N1 Influenza, SARS, MERS, Zika, avian flu, swine flu, and Ebola, and also on the risks of a future and more lethal Disease X. We examine this global public health failure in anticipating and responding to the pandemic, stressing the urgent need for an innovative global pandemic preparedness system in the current transition from linear economy to a circular economy. Evidence provided here indicates that this novel preventive-based and resource-saving preparedness system could contribute to reverse the detrimental impacts of the pandemic on global economy and increase its resilience. Individual protection, contact tracing, and lockdown have proved to be just partially effective to respond to the spillover of viral zoonosis into the human population, and for most of these pathogens, vaccines are not yet available. As for COVID-19 vaccines, in spite of the extraordinary investments and unprecedented advances in innovative vaccines in few months, most of these products are expected to be available to more vulnerable developing countries’ populations only by mid-2022. Furthermore, even when these vaccines are available, constraints such as low efficacy, waning immunity, new concerning COVID-19 variants, adverse events, and vaccine hesitancy might possibly restrict their public health impact and could contribute to aggravate the pandemic scenario. Considering these constraints and the severe global economic and social crises resulting from the lack of adequate preparedness and delayed effective response to COVID-19 and possibly to a future Disease X, we propose a pro-active global eco-social pandemic preparedness system. This novel system, based on One Health paradigm and on artificial intelligence and machine learning, is expected to incorporate “spillover” foresight and management into global preparedness and timely response. Designed to mitigate damage from outbreaks and minimize human morbidity and mortality, this approach to pandemic foresight and preparedness will be key to prevent a global disaster. © 2021, The Author(s), under exclusive licence to Springer Nature Switzerland AG.</t>
  </si>
  <si>
    <t xml:space="preserve">Circular Economy and Sustainability</t>
  </si>
  <si>
    <t xml:space="preserve">10.1007/s43615-021-00060-x</t>
  </si>
  <si>
    <t xml:space="preserve">https://www.scopus.com/inward/record.uri?eid=2-s2.0-85140083408&amp;doi=10.1007%2fs43615-021-00060-x&amp;partnerID=40&amp;md5=cad83e3f1dfcf283dbbcbfa256a8c051</t>
  </si>
  <si>
    <t xml:space="preserve">Bio-Manguinhos, Oswaldo Cruz Foundation, Rio de Janeiro, Brazil; Aggeu Magalhães Institute, Oswaldo Cruz Foundation, Pernambuco, Brazil; Department of Infectious Diseases and Microbiology, University of Pittsburgh, Pittsburgh, United States</t>
  </si>
  <si>
    <t xml:space="preserve">Possas C., Bio-Manguinhos, Oswaldo Cruz Foundation, Rio de Janeiro, Brazil; Marques E.T.A., Aggeu Magalhães Institute, Oswaldo Cruz Foundation, Pernambuco, Brazil, Department of Infectious Diseases and Microbiology, University of Pittsburgh, Pittsburgh, United States; Risi J.B., Jr, Bio-Manguinhos, Oswaldo Cruz Foundation, Rio de Janeiro, Brazil; Homma A., Bio-Manguinhos, Oswaldo Cruz Foundation, Rio de Janeiro, Brazil</t>
  </si>
  <si>
    <t xml:space="preserve">Circular economy; COVID-19; Disease X; Ecology; Pandemic preparedness; Vaccines</t>
  </si>
  <si>
    <t xml:space="preserve">Levins R., Awerbuch T., Brinkmann U., Eckardt I., Epstein P., Makhoul N., Possas C., Puccia C., Spielman A., Wilson M.E., The emergence of new diseases, Am Sci, 82, 1, pp. 52-60, (1994); Morse S.S., Mazet J.A.K., Woolhouse M., Parrish C.R., Carroll D., Karesh W.B., Zambrana-Torrelio C., Lipkin W.I., Daszak P., Prediction and prevention of the next pandemic zoonosis, Lancet, 380, pp. 1956-1965, (2012); Morse S.S., Factors in the emergence of infectious diseases, Emerg Infect Dis, 1, 1, pp. 7-15.1, (1995); Global Preparedness Monitoring Board, (2019); Global Preparedness Monitoring Board, (2020); Wang L.F., Crameri G., Emerging zoonotic viral diseases, Rev Sci Tech Off Int Epiz, 33, 2, pp. 569-581, (2014); Schoch-Spana M., Brunson E.K., Shearer M.P., Ravi S., Sell T.K., Chandler H., Gronvall G.K., The SPARS Pandemic 2025-2028: A Futuristic Scenario for Public Health Risk Communicators, (2017); Spreeuwenberg P., Kroneman M., Paget J., Reassessing the global mortality burden of the 1918 influenza pandemic, Am J Epidemiol, 187, 12, pp. 2561-2567, (2018); Ending the covid-19 pandemic: The need for a global approach. Commissioned by The Bill &amp; Melinda Gates Foundation New York, NY, (2020); Ellen Macarthur Foundation, (2020); Cassim Z., Handjiski B., Schubert J., Zouaoui Y., Public Sector Practice: the $10 Trillion Rescue: How Governments Can Deliver Impact, (2020); Cutler D.M., Summers L.H., The COVID-19 pandemic and the $16 trillion virus, JAMA, 324, 15, pp. 1495-1496, (2020); Georgieva K., Transcript of International Monetary Fund Managing Director Kristalina Georgieva's Opening Press Conference Spring Meetings, (2021); Possas C.A., Social ecosystem health: confronting the complexity and emergence of infectious diseases, Reports in Public Health, 17, pp. 31-41, (2001); WHO Draft Landscape of Covid-19 Candidate Vaccines, (2020); James J.J., Yin and Yang and Herd Immunity, Disaster Medicine and Public Health Preparedness, (2020); Fontanet A., Cauchemez S., COVID-19 herd immunity: where are we?, Nat Rev Immunol, 20, pp. 583-584, (2020); Aguas R., Corder R.M., King J.G., Goncalves G., Ferreira M.U., Gomes G.M., Herd immunity thresholds for SARS-CoV-2 estimated from unfolding epidemics., (2020); Seow J., Graham C., Acors S., Steel K.J.A., Hemmings O., Longitudinal Evaluation and Decline of Antibody Responses in Sars-Cov-2 Infection, (2020); Ledford H., What the immune response to the coronavirus says about the prospects for a vaccine, Nature, 585, pp. 20-21, (2020); Mateus J., Grifoni A., Tarke A., Sidney J., Ramirez S.I., Dan J.M., Burger Z.C., Rawlings S.A., Smith D.M., Phillips E., Mallal S., Lammers M., Rubiro P., Quiambao L., Sutherland A., Yu E.D., da Silva Antunes R., Greenbaum J., Frazier A., Markmann A.J., Premkumar L., de Silva A., Peters B., Crotty S., Sette A., Weiskopf D., Selective and cross-reactive SARS-CoV-2 T cell epitopes in unexposed humans, Science, 370, 6512, pp. 89-94, (2020); Possas C., Antunes A.M.S., Mendes F.M.L., Schumacher S.O.R., Martins R.M., Homma A., Et al., Access to new technologies in multipatented vaccines: challenges for Brazil, Nat Biotechnol, 33, 6, pp. 599-603, (2015); Ten Threats to Global Health in 2019, (2020); Emergencies Preparedness and Response. Disease Outbreak News (Dons), (2020); Public Health Emergency of International Concern, Statement on the Second Meeting of the International Health Regulations (2005) Emergency Committee regarding the Outbreak of Novel Coronavirus (2019-Ncov), (2020); Johns Hopkins University, (2021); The Joint United Nations Programme on HIV/AIDS, (2021); Reid A., Taubenberger J., Fanning T., Evidence of an absence: the genetic origins of the 1918 pandemic influenza virus, Nat Rev Microbiol, 2, pp. 909-914, (2004); Taubenberger J., Reid A., Lourens R., Et al., Characterization of the 1918 influenza virus polymerase genes, Nature, 437, pp. 889-893, (2005); Afrough B., Dowall S., Hewson R., Emerging viruses and current strategies for vaccine intervention, Clin Exp Immunol, 196, pp. 157-166, (2019); Jacobsen K., Will COVID-19 generate global preparedness? Comment, Lancet, 395, pp. 1013-1014, (2020); Claas E.C.J., Osterhaus A.D.M.E., Beek R.V., Jong J.C.D., Rimmelzwaan G.F., Senne D.A., Et al., Human influenza A H5N1 virus related to a highly pathogenic avian influenza virus, Lancet, 351, 9101, pp. 472-477, (1998); WHO, (2020); Petersen L.R., Jamieson D.J., Powers A.M., Honein M.A., Zika Virus, N Engl J Med, 21, 37416, pp. 1552-1563, (2016); Possas C., Zika: what we do and do not know based on the experiences of Brazil, Epidemiology and Health, (2016); Possas C., Brasil P., Marzochi M.C., Tanuri A., Martins R.N., Marques E.T., Et al., Zika puzzle in Brazil: peculiar conditions of viral introduction and dissemination-a review, Mem Inst Oswaldo Cruz, 112, 5, pp. 319-327, (2017); Coburn B.J., Wagner B.G., Blower S., Modeling influenza epidemics and pandemics: insights into the future of swine flu (H1N1), BMC Med, 7, (2009); Feldmann M.D., Geisbert T.W., Ebola haemorrhagic fever, Lancet, 377, 9768, pp. 849-862, (2011); Leroy E., Kumulungui B., Pourrut X., Et al., Fruit bats as reservoirs of Ebola virus, Nature, 438, pp. 575-576, (2005); Azhar E.I., El-Kafrawy S.A., Farraj S.A., Et al., Evidence for camel-to-human transmission of MERS coronavirus, N Engl J Med, 370, pp. 2499-2505, (2014); Yang Y., Du L., Liu C., Et al., Receptor usage and cell entry of bat coronavirus HKU4 provide insight into bat-to-human transmission of MERS coronavirus, Proc Natl Acad Sci, 111, 34, pp. 12516-12521, (2014); Molecular evolution of the SARS coronavirus during the course of the SARS epidemic in China, Science, 303, 5664, pp. 1666-1669, (2004); Peiris J.S.M., Chu C.M., Cheng V.C.C., Chan K.S., Hung I.F.N., Poon L.L.M., Law K.I., Tang B.S., Hon T.Y., Chan C.S., Chan K.H., Ng J.S., Zheng B.J., Ng W.L., Lai R.W., Guan Y., Yuen K.Y., Clinical progression and viral load in a community outbreak of coronavirus-associated SARS pneumonia: a prospective study, Lancet, 361, 9371, pp. 1767-1772, (2003); Song Z., Xu Y., Bao L., Zhang L., Yu P., Qu Y., Zhu H., Zhao W., Han Y., Qin C., From SARS to MERS, thrusting coronaviruses into the spotlight, Viruses, 11, (2019); Grange Z.L., Goldstein T., Johnson C.K., Anthony S., Gilardi K., Daszak P., Et al., Ranking the risk of animal-to-human spillover for newly discovered viruses, PNAS, 118, (2021); Three-pronged pandemic prevention, Editorial Nat Ecol Evol, 4, (2020); Gibb R., Redding D.W., Chin K.Q., Donnelly C.A., Blackburn T.M., Newbold T., Jones K.E., Zoonotic host diversity increases in human-dominated ecosystems, Nature, 584, pp. 302-398, (2020); Munnink B.B.O., Sikkema R.S., Nieuwenhuijse D.F., Molenar R.J., Munger E., Molenkamp R., Transmission of SARS-CoV-2 on mink farms between humans and mink and back to humans, Science, 371, 6525, pp. 172-177, (2021); Nuismer S.L., Bull J.J., Self-disseminating vaccines to suppress zoonoses, Nat Ecol Evol, 4, pp. 1168-1173, (2020); Murphy A.A., Redwood A.J., Jarvis M.A., Self-disseminating vaccines for emerging infectious diseases, Expert Review of Vaccines, 15, 1, pp. 31-39, (2016); Kashyap H., Ahmed H.A., Hoque N., Roy S., Bhattacharyya D.K., Big data analytics in bioinformatics: architectures, techniques, tools and issues, Netw Model Anal Health Inform Bioinforma, 5, (2016); Bowles J., How Canadian AI Start-Up Bluedot Spotted Coronavirus before Anyone Else had a Clue, pp. 1-2, (2020); Biosymetrics, (2020); Biovista Harnesses New Kinds of Augmented and Artificial Intelligence to Address Covid-19, (2020); Naude W., Artificial intelligence vs COVID-19: limitations, constraints and pitfalls, AI &amp; Soc, 35, pp. 761-765, (2020); Gruber K., Predicting zoonoses, Nat Ecol Evol, 1, (2017); Britton T., Ball F., Trapman P., A mathematical model reveals the influence of population heterogeneity on herd immunity to SARS-CoV-2, Science, (2020); Clinicaltrials.Gov, (2020)</t>
  </si>
  <si>
    <t xml:space="preserve">C. Possas; Bio-Manguinhos, Oswaldo Cruz Foundation, Rio de Janeiro, Brazil; email: cristina.possas@bio.fiocruz.br</t>
  </si>
  <si>
    <t xml:space="preserve">2730597X</t>
  </si>
  <si>
    <t xml:space="preserve">Circ. Econ. Sustain.</t>
  </si>
  <si>
    <t xml:space="preserve">2-s2.0-85140083408</t>
  </si>
  <si>
    <t xml:space="preserve">Chandra R.; Krishna A.</t>
  </si>
  <si>
    <t xml:space="preserve">Chandra, Rohitash (35106707300); Krishna, Aswin (57223737040)</t>
  </si>
  <si>
    <t xml:space="preserve">35106707300; 57223737040</t>
  </si>
  <si>
    <t xml:space="preserve">COVID-19 sentiment analysis via deep learning during the rise of novel cases</t>
  </si>
  <si>
    <t xml:space="preserve">Social scientists and psychologists take interest in understanding how people express emotions and sentiments when dealing with catastrophic events such as natural disasters, political unrest, and terrorism. The COVID-19 pandemic is a catastrophic event that has raised a number of psychological issues such as depression given abrupt social changes and lack of employment. Advancements of deep learning-based language models have been promising for sentiment analysis with data from social networks such as Twitter. Given the situation with COVID-19 pandemic, different countries had different peaks where rise and fall of new cases affected lock-downs which directly affected the economy and employment. During the rise of COVID-19 cases with stricter lock-downs, people have been expressing their sentiments in social media. This can provide a deep understanding of human psychology during catastrophic events. In this paper, we present a framework that employs deep learning-based language models via long short-term memory (LSTM) recurrent neural networks for sentiment analysis during the rise of novel COVID-19 cases in India. The framework features LSTM language model with a global vector embedding and state-of-art BERT language model. We review the sentiments expressed for selective months in 2020 which covers the major peak of novel cases in India. Our framework utilises multi-label sentiment classification where more than one sentiment can be expressed at once. Our results indicate that the majority of the tweets have been positive with high levels of optimism during the rise of the novel COVID-19 cases and the number of tweets significantly lowered towards the peak. We find that the optimistic, annoyed and joking tweets mostly dominate the monthly tweets with much lower portion of negative sentiments. The predictions generally indicate that although the majority have been optimistic, a significant group of population has been annoyed towards the way the pandemic was handled by the authorities. Copyright: © 2021 Chandra, Krishna. This is an open access article distributed under the terms of the Creative Commons Attribution License, which permits unrestricted use, distribution, and reproduction in any medium, provided the original author and source are credited.</t>
  </si>
  <si>
    <t xml:space="preserve">e0255615</t>
  </si>
  <si>
    <t xml:space="preserve">10.1371/journal.pone.0255615</t>
  </si>
  <si>
    <t xml:space="preserve">https://www.scopus.com/inward/record.uri?eid=2-s2.0-85113343103&amp;doi=10.1371%2fjournal.pone.0255615&amp;partnerID=40&amp;md5=1d36c4b50efe534196638cb8734c76ba</t>
  </si>
  <si>
    <t xml:space="preserve">School of Mathematics and Statistics, University of New South Wales, Sydney, Australia; Department of Chemical Engineering, Indian Institute of Technology Guwahati, Assam, Guwahati, India</t>
  </si>
  <si>
    <t xml:space="preserve">Chandra R., School of Mathematics and Statistics, University of New South Wales, Sydney, Australia; Krishna A., Department of Chemical Engineering, Indian Institute of Technology Guwahati, Assam, Guwahati, India</t>
  </si>
  <si>
    <t xml:space="preserve">COVID-19; Deep Learning; Humans; India; Models, Biological; Models, Psychological; Pandemics; SARS-CoV-2; Social Media; anxiety; Article; artificial neural network; confocal laser scanning microscopy; coronavirus disease 2019; deep learning; depression; economic aspect; hidden Markov model; human; long short term memory network; machine learning; nerve cell network; pandemic; recurrent neural network; sentiment analysis; social media; T lymphocyte subpopulation; terrorism; training; vaccination; whole exome sequencing; Zika fever; biological model; epidemiology; India; pandemic; psychological model; psychology; social media</t>
  </si>
  <si>
    <t xml:space="preserve">Golbeck J, Robles C, Edmondson M, Turner K., Predicting personality from twitter, 2011 IEEE third international conference on privacy, security, risk and trust and 2011 IEEE third international conference on social computing, pp. 149-156, (2011); Quercia D, Kosinski M, Stillwell D, Crowcroft J., Our twitter profiles, our selves: Predicting personality with twitter, 2011 IEEE third international conference on privacy, security, risk and trust and 2011 IEEE third international conference on social computing, pp. 180-185, (2011); Bittermann A, Batzdorfer V, Muller SM, Steinmetz H., Mining Twitter to detect hotspots in psychology, Zeitschrift für Psychologie, (2021); Lin J., On building better mousetraps and understanding the human condition: Reflections on big data in the social sciences, The ANNALS of the American Academy of Political and Social Science, 659, 1, pp. 33-47, (2015); Coppersmith G, Dredze M, Harman C., Quantifying mental health signals in Twitter, Proceedings of the workshop on computational linguistics and clinical psychology: From linguistic signal to clinical reality, pp. 51-60, (2014); Murphy SC., A hands-on guide to conducting psychological research on Twitter, Social Psychological and Personality Science, 8, 4, pp. 396-412, (2017); Zhou Y, Na JC., A comparative analysis of Twitter users who Tweeted on psychology and political science journal articles, Online Information Review, 43, 7, pp. 1188-1208, (2019); Wang W, Hernandez I, Newman DA, He J, Bian J., Twitter analysis: Studying US weekly trends in work stress and emotion, Applied Psychology, 65, 2, pp. 355-378, (2016); Alizadeh M, Weber I, Cioffi-Revilla C, Fortunato S, Macy M., Psychology and morality of political extremists: evidence from Twitter language analysis of alt-right and Antifa, EPJ Data Science, 8, 17, (2019); Garg P, Garg H, Ranga V., Sentiment analysis of the Uri terror attack using Twitter, 2017 International conference on computing, communication and automation (ICCCA), pp. 17-20, (2017); Manning C, Schutze H., Foundations of statistical natural language processing, (1999); Liu B, Zhang L., A survey of opinion mining and sentiment analysis, Mining text data, pp. 415-463, (2012); Medhat W, Hassan A, Korashy H., Sentiment analysis algorithms and applications: A survey, Ain Shams engineering journal, 5, 4, pp. 1093-1113, (2014); Hussein DMEDM., A survey on sentiment analysis challenges, Journal of King Saud University-Engineering Sciences, 30, 4, pp. 330-338, (2018); Ordenes FV, Theodoulidis B, Burton J, Gruber T, Zaki M., Analyzing customer experience feedback using text mining: A linguistics-based approach, Journal of Service Research, 17, 3, pp. 278-295, (2014); Greaves F, Ramirez-Cano D, Millett C, Darzi A, Donaldson L., Use of sentiment analysis for capturing patient experience from free-text comments posted online, Journal of medical Internet research, 15, 11, (2013); Mittal A, Goel A., Stock prediction using Twitter sentiment analysis, (2012); Wang H, Can D, Kazemzadeh A, Bar F, Narayanan S., A system for real-time Twitter sentiment analysis of 2012 us presidential election cycle, Proceedings of the ACL 2012 system demonstrations, pp. 115-120, (2012); Zhang L, Wang S, Liu B., Deep learning for sentiment analysis: A survey, Wiley Interdisciplinary Reviews: Data Mining and Knowledge Discovery, 8, 4, (2018); Kouloumpis E, Wilson T, Moore J., Twitter sentiment analysis: The good the bad and the OMG!, Proceedings of the Fifth International Conference on Weblogs and Social Media, pp. 538-541, (2011); Giachanou A, Crestani F., Like it or not: A survey of Twitter sentiment analysis methods, ACM Computing Surveys, 49, 2, pp. 1-41, (2016); Severyn A, Moschitti A., Twitter sentiment analysis with deep convolutional neural networks, Proceedings of the 38th international ACM SIGIR conference on research and development in information retrieval, pp. 959-962, (2015); Gorbalenya AE, Baker SC, Baric RS, de Groot RJ, Drosten C, Gulyaeva AA, Et al., The species Severe acute respiratory syndrome-related coronavirus: classifying 2019-nCoV and naming it SARS-CoV-2, Nature Microbiology, 5, pp. 536-544, (2020); Monteil V, Kwon H, Prado P, Hagelkruys A, Wimmer RA, Stahl M, Et al., 536-544 Inhibition of SARSCoV-2 infections in engineered human tissues using clinical-grade soluble human ACE2, Cell, 181, pp. 905-913, (2020); Organization WH, Et al., Coronavirus disease 2019 (COVID-19): situation report, 72; Cucinotta D, Vanelli M., WHO declares COVID-19 a pandemic, Acta bio-medica: Atenei Parmensis, 91, 1, pp. 157-160, (2020); Siche R., What is the impact of COVID-19 disease on agriculture?, Scientia Agropecuaria, 11, 1, pp. 3-6, (2020); Richards M, Anderson M, Carter P, Ebert BL, Mossialos E., The impact of the COVID-19 pandemic on cancer care, Nature Cancer, 1, 6, pp. 565-567, (2020); Tiwari A, Gupta R, Chandra R., Delhi air quality prediction using LSTM deep learning models with a focus on COVID-19 lockdown, (2021); Shinde GR, Kalamkar AB, Mahalle PN, Dey N, Chaki J, Hassanien AE., Forecasting models for coronavirus disease (COVID-19): a survey of the state-of-the-art, SN Computer Science, 1, 4, pp. 1-15, (2020); Rahimi I, Chen F, Gandomi AH., A review on COVID-19 forecasting models, Neural Computing and Applications, pp. 1-11, (2021); Zeroual A, Harrou F, Dairi A, Sun Y., Deep learning methods for forecasting COVID-19 time-Series data: A Comparative study, Chaos, Solitons &amp; Fractals, 140, (2020); Chandra R, Jain A, Chauhan DS., Deep learning via LSTM models for COVID-19 infection forecasting in India, (2021); Tiwari A, Gupta R, Chandra R., Delhi air quality prediction using LSTM deep learning models with a focus on COVID-19 lockdown, (2021); Chakraborty K, Bhatia S, Bhattacharyya S, Platos J, Bag R, Hassanien AE., Sentiment Analysis of COVID-19 tweets by Deep Learning Classifiers-A study to show how popularity is affecting accuracy in social media, Applied Soft Computing, 97, (2020); Barkur G, Vibha GBK., Sentiment analysis of nationwide lockdown due to COVID 19 outbreak: Evidence from India, Asian journal of psychiatry, 51, (2020); Abd-Alrazaq A, Alhuwail D, Househ M, Hamdi M, Shah Z., Top concerns of tweeters during the COVID-19 pandemic: infoveillance study, Journal of medical Internet research, 22, 4, (2020); Xue J, Chen J, Chen C, Zheng C, Li S, Zhu T., Public discourse and sentiment during the COVID 19 pandemic: Using Latent Dirichlet Allocation for topic modeling on Twitter, PloS one, 15, 9, (2020); Hung M, Lauren E, Hon ES, Birmingham WC, Xu J, Su S, Et al., Social network analysis of COVID-19 Sentiments: application of artificial intelligence, Journal of medical Internet research, 22, 8, (2020); Wang T, Lu K, Chow KP, Zhu Q., COVID-19 Sensing: Negative sentiment analysis on social media in China via Bert Model, Ieee Access, 8, pp. 138162-138169, (2020); Zhou J, Yang S, Xiao C, Chen F., Examination of community sentiment dynamics due to COVID-19 pandemic: A case study from Australia, (2020); Pokharel BP., Twitter sentiment analysis during COVID-19 outbreak in Nepal, (2020); de Las Heras-Pedrosa C, Sanchez-Nunez P, Pelaez JI., Sentiment analysis and emotion understanding during the COVID-19 pandemic in Spain and its impact on digital ecosystems, International Journal of Environmental Research and Public Health, 17, 15, (2020); Kruspe A, Haberle M, Kuhn I, Zhu XX., Cross-language sentiment analysis of European Twitter messages during the COVID-19 pandemic, (2020); Yang Q, Alamro H, Albaradei S, Salhi A, Lv X, Ma C, Et al., SenWave: Monitoring the Global Sentiments under the COVID-19 Pandemic, (2020); Li Y, Yang T., Word embedding for understanding natural language: a survey, Guide to big data applications, pp. 83-104, (2018); Kutuzov A, Ovrelid L, Szymanski T, Velldal E., Diachronic word embeddings and semantic shifts: a survey, (2018); Ruder S, Vulic I, Sogaard A., A survey of cross-lingual word embedding models, Journal of Artificial Intelligence Research, 65, pp. 569-631, (2019); Zhang Y, Jin R, Zhou ZH., Understanding bag-of-words model: a statistical framework, International Journal of Machine Learning and Cybernetics, 1, 1-4, pp. 43-52, (2010); Ramos J, Et al., Using TF-IFD to determine word relevance in document queries, Proceedings of the first instructional conference on machine learning, 242, pp. 29-48, (2003); Goodman JT., A bit of progress in language modeling, Computer Speech &amp; Language, 15, 4, pp. 403-434, (2001); Guthrie D, Allison B, Liu W, Guthrie L, Wilks Y., A closer look at skip-gram modelling, LREC, 6, pp. 1222-1225, (2006); Mikolov T, Sutskever I, Chen K, Corrado G, Dean J., Distributed representations of words and phrases and their compositionality, (2013); Pennington J, Socher R, Manning CD., GloVe: Global Vectors for Word Representation, Empirical Methods in Natural Language Processing (EMNLP), pp. 1532-1543, (2014); Zhao J, Zhou Y, Li Z, Wang W, Chang KW., Learning gender-neutral word embeddings, (2018); Ghannay S, Esteve Y, Camelin N, Deleglise P., Evaluation of acoustic word embeddings, Proceedings of the 1st Workshop on Evaluating Vector-Space Representations for NLP, pp. 62-66, (2016); Schwenk H., Continuous space language models, Computer Speech &amp; Language, 21, 3, pp. 492-518, (2007); Wang Y, Liu S, Afzal N, Rastegar-Mojarad M, Wang L, Shen F, Et al., A comparison of word embeddings for the biomedical natural language processing, Journal of biomedical informatics, 87, pp. 12-20, (2018); Elman JL, Zipser D., Learning the hidden structure of speech, The Journal of the Acoustical Society of America, 83, 4, pp. 1615-1626, (1988); Elman JL., Finding structure in time, Cognitive Science, 14, pp. 179-211, (1990); Omlin CW, Giles CL., Constructing deterministic finite-state automata in recurrent neural networks, J ACM, 43, 6, pp. 937-972, (1996); Omlin CW, Giles CL., Training second-order recurrent neural networks using hints, Proceedings of the Ninth International Conference on Machine Learning, pp. 363-368, (1992); Chandra R, Omlin CW., The Comparison and Combination of Genetic and Gradient Descent Learning in Recurrent Neural Networks: An Application to Speech Phoneme Classification, Proc. of International Conference on Artificial Intelligence and Pattern Recognition, pp. 286-293, (2007); Werbos PJ., Backpropagation through time: what it does and how to do it, Proceedings of the IEEE, 78, 10, pp. 1550-1560, (1990); Hochreiter S., The vanishing gradient problem during learning recurrent neural nets and problem solutions, Int J Uncertain Fuzziness Knowl-Based Syst, 6, 2, pp. 107-116, (1998); Hochreiter S, Schmidhuber J., Long short-term memory, Neural computation, 9, 8, pp. 1735-1780, (1997); Graves A, Schmidhuber J., Framewise phoneme classification with bidirectional LSTM and other neural network architectures, Neural Networks, 18, pp. 602-610, (2005); Schuster M, Paliwal K., Bidirectional recurrent neural networks, Signal Processing, IEEE Transactions on, 45, pp. 2673-2681, (1997); Fan Y, Qian Y, Xie FL, Soong FK., TTS synthesis with bidirectional LSTM based recurrent neural networks, Fifteenth annual conference of the international speech communication association, pp. 1964-1968, (2014); Graves A, Jaitly N, Ar Mohamed, Hybrid speech recognition with deep bidirectional LSTM, 2013 IEEE workshop on automatic speech recognition and understanding, pp. 273-278, (2013); Vaswani A, Shazeer N, Parmar N, Uszkoreit J, Jones L, Gomez AN, Et al., Attention is all you need, (2017); Wolf T, Chaumond J, Debut L, Sanh V, Delangue C, Moi A, Et al., Transformers: State-of-the-art natural language processing, Proceedings of the 2020 Conference on Empirical Methods in Natural Language Processing: System Demonstrations, pp. 38-45, (2020); Devlin J, Chang MW, Lee K, Toutanova K., Bert: Pre-training of deep bidirectional transformers for language understanding, (2018); Su Y, Xiang H, Xie H, Yu Y, Dong S, Yang Z, Et al., Application of BERT to Enable Gene Classification Based on Clinical Evidence, BioMed Research International, (2020); Dembczynski K, Waegeman W, Cheng W, Hullermeier E., On label dependence and loss minimization in multi-label classification, Machine Learning, 88, 1-2, pp. 5-45, (2012); Zhang Z, Sabuncu MR., Generalized cross entropy loss for training deep neural networks with noisy labels, (2018); Hamers L, Et al., Similarity measures in scientometric research: The Jaccard index versus Salton's cosine formula, Information Processing and Management, 25, 3, pp. 315-318, (1989); Furnkranz J, Hullermeier E, Mencia EL, Brinker K., Multilabel classification via calibrated label ranking, Machine learning, 73, 2, pp. 133-153, (2008); Jeni LA, Cohn JF, De La Torre F., Facing imbalanced data-recommendations for the use of performance metrics, 2013 Humaine association conference on affective computing and intelligent interaction, pp. 245-251, (2013); Lewis DD, Schapire RE, Callan JP, Papka R., Training algorithms for linear text classifiers, Proceedings of the 19th annual international ACM SIGIR conference on Research and development in information retrieval, pp. 298-306, (1996); Lancet T., India under COVID-19 lockdown, Lancet (London, England), 395, 10233, (2020); Worldometer, (2021); (2020); Lamsal R., Design and analysis of a large-scale COVID-19 tweets dataset, Applied Intelligence, pp. 1-15, (2020); Jack RE, Garrod OG, Schyns PG., Dynamic facial expressions of emotion transmit an evolving hierarchy of signals over time, Current biology, 24, 2, pp. 187-192, (2014); Trampe D, Quoidbach J, Taquet M., Emotions in everyday life, PloS one, 10, 12, (2015); Cowen AS, Keltner D., Self-report captures 27 distinct categories of emotion bridged by continuous gradients, Proceedings of the National Academy of Sciences, 114, 38, pp. E7900-E7909, (2017); Wintre MG, Vallance DD., A developmental sequence in the comprehension of emotions: Intensity, multiple emotions, and valence, Developmental psychology, 30, 4, (1994); Kemper TD., How many emotions are there? Wedding the social and the autonomic components, American journal of Sociology, 93, 2, pp. 263-289, (1987); Ekman P., An argument for basic emotions, Cognition &amp; emotion, 6, 3-4, pp. 169-200, (1992); Lucas RE, Diener E, Larsen RJ., Measuring positive emotions, (2003); Friedman S., Comedy and distinction: The cultural currency of a 'Good'sense of humour, (2014); Rossato L, Chiaro D., Audiences and translated humour: An empirical study, Translation, humour and the media, pp. 121-137, (2010); Kuipers G., The politics of humour in the public sphere: Cartoons, power and modernity in the first transnational humour scandal, European Journal of Cultural Studies, 14, 1, pp. 63-80, (2011); Chey J., Youmo and the Chinese sense of humour, Humour in Chinese life and letters: Classical and traditional approaches, pp. 1-30, (2011); Clasquin M., Real Buddhas don't laugh: Attitudes towards humour and laughter in ancient India and China, Social Identities, 7, 1, pp. 97-116, (2001); Elst K., Humour in Hinduism, Humour and Religion: Challenges and Ambiguities, pp. 35-53, (2011); Chandra R, Jain K, Deo RV, Cripps S., Langevin-gradient parallel tempering for Bayesian neural learning, Neurocomputing, 359, pp. 315-326, (2019); Chandra R, Jain M, Maharana M, Krivitsky PN., Revisiting Bayesian Autoencoders with MCMC, (2021); Chandra R, Bhagat A, Maharana M, Krivitsky PN., Bayesian graph convolutional neural networks via tempered MCMC, (2021)</t>
  </si>
  <si>
    <t xml:space="preserve">R. Chandra; School of Mathematics and Statistics, University of New South Wales, Sydney, Australia; email: rohitash.chandra@unsw.edu.au</t>
  </si>
  <si>
    <t xml:space="preserve">2-s2.0-85113343103</t>
  </si>
  <si>
    <t xml:space="preserve">Elgohary E.M.; Abd-Elaziz M.M.</t>
  </si>
  <si>
    <t xml:space="preserve">Elgohary, Esam M. (57206658205); Abd-Elaziz, Mohamed M. (57195591068)</t>
  </si>
  <si>
    <t xml:space="preserve">57206658205; 57195591068</t>
  </si>
  <si>
    <t xml:space="preserve">Data mining framework for analyzing Twitter users' opinion on the drug mefloquine</t>
  </si>
  <si>
    <t xml:space="preserve">Background: Nowadays, the increasing data that became available on social media supported fast growth of the healthcare sector by analyzing a wide range of personal health experiences that help healthcare professionals to improve outcomes. This paper presents a new data mining framework to identify the polarity in Twitter (Twitter, Inc., San Francisco, CA, USA) users' sentiment by extracting data related to mefloquine as a malaria drug and analyze users' interactions and feedback. Methods: The framework consists of seven stages: collecting tweets related to mefloquine use, calculating TF-IDF scores for the words used in the tweets by preparing the collected data to be processed, performing a classification process for the constructed words list to produce three categories: positive, negative and neutral, performing a network analysis process to create a model for the tweets, identifying sub-graphs for this network model, calculating the module average opinion (MAO) and user average opinion (UAO) for all modules into network and, identifying the influential users in each module by performing the information brokers stage. Results: The results showed that the positive users' impression was 67.4% and the negative users' impression was 25.9% while the neutral users' opinion was 6.7%. Conclusions: Results also showed that the users who take advice from a physician before switching to mefloquine made up most of the positive users' opinions, while the negative opinions ranged from unavailability of the drug and the serious side effects that include long-term mental health problems and neurological side effects. It is therefore not recommended in people with a history of mental health problems or epilepsy.  © 2019 Edizioni Minerva Medica.</t>
  </si>
  <si>
    <t xml:space="preserve">Gazzetta Medica Italiana Archivio per le Scienze Mediche</t>
  </si>
  <si>
    <t xml:space="preserve">Edizioni Minerva Medica</t>
  </si>
  <si>
    <t xml:space="preserve">10.23736/S0393-3660.19.04199-8</t>
  </si>
  <si>
    <t xml:space="preserve">https://www.scopus.com/inward/record.uri?eid=2-s2.0-85109456238&amp;doi=10.23736%2fS0393-3660.19.04199-8&amp;partnerID=40&amp;md5=e5b24b0ae5eec40b9b30f10981aee1a0</t>
  </si>
  <si>
    <t xml:space="preserve">Institute of National Planning, Cairo, Egypt; Department of Information Systems, Faculty of Computers and Information Sciences, University of Mansoura, Mansoura, Egypt</t>
  </si>
  <si>
    <t xml:space="preserve">Elgohary E.M., Institute of National Planning, Cairo, Egypt; Abd-Elaziz M.M., Department of Information Systems, Faculty of Computers and Information Sciences, University of Mansoura, Mansoura, Egypt</t>
  </si>
  <si>
    <t xml:space="preserve">Delivery of healthcare; Malaria; Mefloquine; Social media</t>
  </si>
  <si>
    <t xml:space="preserve">mefloquine; adult; Article; artificial neural network; data accuracy; data analysis; data extraction; data mining; drug bioavailability; epilepsy; frequency analysis; health care cost; health care delivery; health care personnel; human; information processing; malaria; mental disease; mental health; module average opinion; network analysis; neurological complication; physician; protocol compliance; public opinion; social media; social network; social network analysis; term frequency inverse document frequency; user average opinion</t>
  </si>
  <si>
    <t xml:space="preserve">mefloquine, 51773-92-3, 53230-10-7</t>
  </si>
  <si>
    <t xml:space="preserve">Choon A., Social Media Awards for Malaria Heroes, (2015); Sopan GS., Intelligent data mining technique of social media for improving health care, (2017); Sul HK, Dennis AR, Yuan L., Trading on Twitter: Using Social Media Sentiment to Predict Stock Returns, J. Decis. Sci, 48, pp. 454-488, (2016); Gohil S, Vuik S, Darzi A., Sentiment Analysis of Health Care Tweets: Review of the Methods Used, JMIR Public Health Surveill, 4, (2018); Massey PM, Leader A, Yom-Tov E, Budenz A, Fisher K, Klassen AC., Applying Multiple Data Collection Tools to Quantify Human Papillomavirus Vaccine Communication on Twitter, J Med Internet Res, 18, (2016); Kaur S, Singh L., Improving a Novel Data Mining Approach Leveraging Social Media to Monitor Consumer Opinion of Sitagliptin, Imp. J. Interdiscip. Res, 2, (2016); Allem JP, Ramanujam J, Lerman K, Chu KH, Boley Cruz T, Unger JB., Identifying Sentiment of Hookah-Related Posts on Twitter, JMIR Public Health Surveill, 3, (2017); More S., Joshi P. P., Novel approach for Data Mining of Social Media to Improve Health Care using Network-Based Modelling, Sixth Post Graduate Conference for Computer Engineering (cPGCON 2017) Procedia, Int. J. Emer. Tren. Tech. (IJETT), 4, pp. 8189-8192, (2017); Tapan S, Chinmay C., Naveen R. C., Efficient Twitter Sentiment Classification using Subjective Distant Supervision, Proceedings of 2017 9th International Conference on Communication Systems and Networks (COMSNETS), (2017); Du J, Xu J, Song HY, Tao C., Leveraging machine learning-based approaches to assess human papillomavirus vaccination sentiment trends with Twitter data, BMCMed Inform Decis Mak, 17, (2017); Wang Y, Sun A, Han J, Liu Y, Zhu X., Sentiment Analysis by Capsules, Proceedings of International World Wide Web Conference Committee (IW3C2), (2018); Alonso SG, de la Torre-Diez I, Hamrioui S, Lopez- Coronado M, Barreno DC, Nozaleda LM, Et al., Data Mining Algorithms and Techniques in Mental Health: A Systematic Review, J Med Syst, 42, (2018); Kai S, Amy S, Suhang W, Jiliang T, Huan L., Fake News Detection on Social Media: AData Mining Perspective, (2017); Language database, (2019)</t>
  </si>
  <si>
    <t xml:space="preserve">E.M. Elgohary; Institute of National Planning, Cairo, Egypt; email: esam.elgohary@inp.edu.eg</t>
  </si>
  <si>
    <t xml:space="preserve">GMIME</t>
  </si>
  <si>
    <t xml:space="preserve">Gazz. Med. Ital. Arch. Sci. Med.</t>
  </si>
  <si>
    <t xml:space="preserve">2-s2.0-85109456238</t>
  </si>
  <si>
    <t xml:space="preserve">Auld A.F.; Kerkhoff A.D.; Hanifa Y.; Wood R.; Charalambous S.; Liu Y.; Agizew T.; Mathoma A.; Boyd R.; Date A.; Shiraishi R.W.; Bicego G.; Mathebula-Modongo U.; Alexander H.; Serumola C.; Rankgoane-Pono G.; Pono P.; Finlay A.; Shepherd J.C.; Ellerbrock T.V.; Grant A.D.; Fielding K.</t>
  </si>
  <si>
    <t xml:space="preserve">Auld, Andrew F. (36472978400); Kerkhoff, Andrew D. (36140414100); Hanifa, Yasmeen (23008560800); Wood, Robin (57208727631); Charalambous, Salome (7003388014); Liu, Yuliang (57219806555); Agizew, Tefera (35387410100); Mathoma, Anikie (11739822600); Boyd, Rosanna (57190809803); Date, Anand (16189096600); Shiraishi, Ray W. (22136486900); Bicego, George (6602002763); Mathebula-Modongo, Unami (57260406600); Alexander, Heather (35188643900); Serumola, Christopher (57193358585); Rankgoane-Pono, Goabaone (57200553840); Pono, Pontsho (57214819841); Finlay, Alyssa (7005821171); Shepherd, James C. (15064831400); Ellerbrock, Tedd V. (6603958630); Grant, Alison D. (7402445866); Fielding, Katherine (35493200400)</t>
  </si>
  <si>
    <t xml:space="preserve">36472978400; 36140414100; 23008560800; 57208727631; 7003388014; 57219806555; 35387410100; 11739822600; 57190809803; 16189096600; 22136486900; 6602002763; 57260406600; 35188643900; 57193358585; 57200553840; 57214819841; 7005821171; 15064831400; 6603958630; 7402445866; 35493200400</t>
  </si>
  <si>
    <t xml:space="preserve">Derivation and external validation of a risk score for predicting HIV-associated tuberculosis to support case finding and preventive therapy scale-up: A cohort study</t>
  </si>
  <si>
    <t xml:space="preserve">Background Among people living with HIV (PLHIV), more flexible and sensitive tuberculosis (TB) screening tools capable of detecting both symptomatic and subclinical active TB are needed to (1) reduce morbidity and mortality from undiagnosed TB; (2) facilitate scale-up of tuberculosis preventive therapy (TPT) while reducing inappropriate prescription of TPT to PLHIV with subclinical active TB; and (3) allow for differentiated HIV–TB care. Methods and findings We used Botswana XPRES trial data for adult HIV clinic enrollees collected during 2012 to 2015 to develop a parsimonious multivariable prognostic model for active prevalent TB using both logistic regression and random forest machine learning approaches. A clinical score was derived by rescaling final model coefficients. The clinical score was developed using southern Botswana XPRES data and its accuracy validated internally, using northern Botswana data, and externally using 3 diverse cohorts of antiretroviral therapy (ART)-naive and ART-experienced PLHIV enrolled in XPHACTOR, TB Fast Track (TBFT), and Gugulethu studies from South Africa (SA). Predictive accuracy of the clinical score was compared with the World Health Organization (WHO) 4-symptom TB screen. Among 5,418 XPRES enrollees, 2,771 were included in the derivation dataset; 67% were female, median age was 34 years, median CD4 was 240 cells/μL, 189 (7%) had undiagnosed prevalent TB, and characteristics were similar between internal derivation and validation datasets. Among XPHACTOR, TBFT, and Gugulethu cohorts, median CD4 was 400, 73, and 167 cells/μL, and prevalence of TB was 5%, 10%, and 18%, respectively. Factors predictive of TB in the derivation dataset and selected for the clinical score included male sex (1 point), ≥1 WHO TB symptom (7 points), smoking history (1 point), temperature &gt;37.5°C (6 points), body mass index (BMI) &lt;18.5kg/m2 (2 points), and severe anemia (hemoglobin &lt;8g/dL) (3 points). Sensitivity using WAU HO:4-symptom PleasenotethatasperPLOSstyle TB screen was 73%, ; donotusethewordtheinfrontofWHO 80%, 94%, and 94% in XPRES, ; CIRM; ora XPHACTOR, TBFT, and Gugulethu cohorts, respectively, but increased to 88%, 87%, 97%, and 97%, when a clinical score of ≥2 was used. Negative predictive value (NPV) also increased 1%, 0.3%, 1.6%, and 1.7% in XPRES, XPHACTOR, TBFT, and Gugulethu cohorts, respectively, when the clinical score of ≥2 replaced WHO 4-symptom TB screen. Categorizing risk scores into low (&lt;2), moderate (2 to 10), and high-risk categories (&gt;10) yielded TB prevalence of 1%, 1%, 2%, and 6% in the lowest risk group and 33%, 22%, 26%, and 32% in the highest risk group for XPRES, XPHACTOR, TBFT, and Gugulethu cohorts, respectively. At clinical score ≥2, the number needed to screen (NNS) ranged from 5.0 in Gugulethu to 11.0 in XPHACTOR. Limitations include that the risk score has not been validated in resource-rich settings and needs further evaluation : and validation in contemporary cohorts in Africa and other resource-constrained settings. Conclusions The simple and feasible clinical score allowed for prioritization of sensitivity and NPV, which could facilitate reductions in mortality from undiagnosed TB and safer administration of TPT during proposed global scale-up efforts. Differentiation of risk by clinical score cutoff allows flexibility in designing differentiated HIV–TB care to maximize impact of available resources. © 2021 Public Library of Science. All rights reserved.</t>
  </si>
  <si>
    <t xml:space="preserve">PLoS Medicine</t>
  </si>
  <si>
    <t xml:space="preserve">e1003739</t>
  </si>
  <si>
    <t xml:space="preserve">10.1371/journal.pmed.1003739</t>
  </si>
  <si>
    <t xml:space="preserve">https://www.scopus.com/inward/record.uri?eid=2-s2.0-85115018842&amp;doi=10.1371%2fjournal.pmed.1003739&amp;partnerID=40&amp;md5=91c28cbed1f8d5f2712898a71f0b53d4</t>
  </si>
  <si>
    <t xml:space="preserve">Division of Global HIV and TB, Centers for Disease Control and Prevention, Atlanta, GA, United States; Division of HIV, Infectious Diseases and Global Medicine, Zuckerberg San Francisco General Hospital and Trauma Center, Department of Medicine, University of California, San Francisco, CA, United States; TB Centre, London School of Hygiene and Tropical Medicine, London, United Kingdom; Desmond Tutu HIV Centre, Institute of Infectious Disease and Molecular Medicine, Cape Town, South Africa; Aurum Institute, Johannesburg, South Africa; Division of TB Elimination, Centers for Disease Control and Prevention, Gaborone, Botswana; University of Botswana, Gaborone, Botswana; Ministry of Health and Wellness, Gaborone, Botswana; Yale University School of Medicine, New Haven, CT, United States; Africa Health Research Institute, School of Laboratory Medicine and Medical Sciences, College of Health Sciences, University of KwaZulu-Natal, Durban, South Africa</t>
  </si>
  <si>
    <t xml:space="preserve">Auld A.F., Division of Global HIV and TB, Centers for Disease Control and Prevention, Atlanta, GA, United States; Kerkhoff A.D., Division of HIV, Infectious Diseases and Global Medicine, Zuckerberg San Francisco General Hospital and Trauma Center, Department of Medicine, University of California, San Francisco, CA, United States; Hanifa Y., TB Centre, London School of Hygiene and Tropical Medicine, London, United Kingdom; Wood R., Desmond Tutu HIV Centre, Institute of Infectious Disease and Molecular Medicine, Cape Town, South Africa; Charalambous S., Aurum Institute, Johannesburg, South Africa; Liu Y., Division of Global HIV and TB, Centers for Disease Control and Prevention, Atlanta, GA, United States; Agizew T., Division of TB Elimination, Centers for Disease Control and Prevention, Gaborone, Botswana; Mathoma A., Division of TB Elimination, Centers for Disease Control and Prevention, Gaborone, Botswana, University of Botswana, Gaborone, Botswana; Boyd R., Division of TB Elimination, Centers for Disease Control and Prevention, Gaborone, Botswana; Date A., Division of Global HIV and TB, Centers for Disease Control and Prevention, Atlanta, GA, United States; Shiraishi R.W., Division of Global HIV and TB, Centers for Disease Control and Prevention, Atlanta, GA, United States; Bicego G., Division of Global HIV and TB, Centers for Disease Control and Prevention, Atlanta, GA, United States; Mathebula-Modongo U., Division of TB Elimination, Centers for Disease Control and Prevention, Gaborone, Botswana; Alexander H., Division of Global HIV and TB, Centers for Disease Control and Prevention, Atlanta, GA, United States; Serumola C., Division of TB Elimination, Centers for Disease Control and Prevention, Gaborone, Botswana; Rankgoane-Pono G., Ministry of Health and Wellness, Gaborone, Botswana; Pono P., Ministry of Health and Wellness, Gaborone, Botswana; Finlay A., Division of TB Elimination, Centers for Disease Control and Prevention, Gaborone, Botswana; Shepherd J.C., Division of TB Elimination, Centers for Disease Control and Prevention, Gaborone, Botswana, Yale University School of Medicine, New Haven, CT, United States; Ellerbrock T.V., Division of Global HIV and TB, Centers for Disease Control and Prevention, Atlanta, GA, United States; Grant A.D., TB Centre, London School of Hygiene and Tropical Medicine, London, United Kingdom, Africa Health Research Institute, School of Laboratory Medicine and Medical Sciences, College of Health Sciences, University of KwaZulu-Natal, Durban, South Africa; Fielding K., TB Centre, London School of Hygiene and Tropical Medicine, London, United Kingdom</t>
  </si>
  <si>
    <t xml:space="preserve">Adult; Anti-Retroviral Agents; Antitubercular Agents; Botswana; Clinical Trials as Topic; Coinfection; Early Diagnosis; Female; HIV Infections; HIV Long-Term Survivors; Humans; Male; Mass Screening; Middle Aged; Predictive Value of Tests; Prevalence; Preventive Health Services; Prognosis; Reproducibility of Results; Risk Assessment; Risk Factors; Tuberculosis; CD4 antigen; hemoglobin; antiretrovirus agent; tuberculostatic agent; adult; aged; anemia; antiretroviral therapy; Article; body mass; Botswana; breathing rate; CD4 lymphocyte count; cohort analysis; decision tree; diagnostic accuracy; diagnostic test accuracy study; enzyme active site; female; fever; health care delivery; health care facility; high risk population; human; Human immunodeficiency virus 1; Human immunodeficiency virus infected patient; Human immunodeficiency virus infection; machine learning; major clinical study; malaria; male; mortality; multicenter study; predictive value; prevalence; prophylaxis; quantitative structure activity relation; random forest; receiver operating characteristic; rheumatoid arthritis; scale up; sensitivity analysis; sensitivity and specificity; smoking; South Africa; sputum smear; tachycardia; thorax radiography; treatment response; tuberculosis; virus load; World Health Organization; clinical trial (topic); coinfection; early diagnosis; HIV survivor; Human immunodeficiency virus infection; mass screening; microbiology; middle aged; preventive health service; prognosis; reproducibility; risk assessment; risk factor; tuberculosis; virology</t>
  </si>
  <si>
    <t xml:space="preserve">hemoglobin, 9008-02-0; Anti-Retroviral Agents, ; Antitubercular Agents, </t>
  </si>
  <si>
    <t xml:space="preserve">TB and HIV, and other comorbidities—2018 report; Gupta RK, Lucas SB, Fielding KL, Lawn SD., Prevalence of tuberculosis in post-mortem studies of HIV-infected adults and children in resource-limited settings: a systematic review and meta-analysis, AIDS, 29, 15, pp. 1987-2002, (2015); Gupta A, Nadkarni G, Yang WT, Chandrasekhar A, Gupte N, Bisson GP, Et al., Early Mortality in Adults Initiating Antiretroviral Therapy (ART) in Low- and Middle-Income Countries (LMIC): A Systematic Review and Meta-Analysis, PLoS ONE, 6, 12, (2011); Latent TB Infection: Updated and consolidated guidelines for programmatic management; Drain PK, Bajema KL, Dowdy D, Dheda K, Naidoo K, Schumacher SG, Et al., Incipient and Subclinical Tuberculosis: a Clinical Review of Early Stages and Progression of Infection, Clin Microbiol Rev, 31, 4, (2018); Hamada Y, Lujan J, Schenkel K, Ford N, Getahun H., Sensitivity and specificity of WHO’s recommended four-symptom screening rule for tuberculosis in people living with HIV: a systematic review and meta-analysis, Lancet HIV, 5, 9, pp. e515-e23, (2018); Ahmad Khan F, Verkuijl S, Parrish A, Chikwava F, Ntumy R, El-Sadr W, Et al., Performance of symptom-based tuberculosis screening among people living with HIV: not as great as hoped, AIDS, 28, 10, pp. 1463-1472, (2014); Rangaka MX, Wilkinson RJ, Glynn JR, Boulle A, van Cutsem G, Goliath R, Et al., Effect of antiretroviral therapy on the diagnostic accuracy of symptom screening for intensified tuberculosis case finding in a South African HIV clinic, Clin Infect Dis, 55, 12, pp. 1698-1706, (2012); Melgar M, Nichols C, Cavanaugh JS, Kirking HL, Surie D, Date A, Et al., Tuberculosis Preventive Treatment Scale-Up Among Antiretroviral Therapy Patients—16 Countries Supported by the U.S. President’s Emergency Plan for AIDS Relief, 2017–2019, MMWR Morb Mortal Wkly Rep, 69, 12, pp. 329-334, (2020); Harries AD, Schwoebel V, Monedero-Recuero I, Aung TK, Chadha S, Chiang CY, Et al., Challenges and opportunities to prevent tuberculosis in people living with HIV in low-income countries, Int J Tuberc Lung Dis, 23, 2, pp. 241-251, (2019); Pathmanathan I, Ahmedov S, Pevzner E, Anyalechi G, Modi S, Kirking H, Et al., TB preventive therapy for people living with HIV: key considerations for scale-up in resource-limited settings, Int J Tuberc Lung Dis, 22, 6, pp. 596-605, (2018); Lawn SD, Wilkinson RJ, Lipman MC, Wood R., Immune reconstitution and "unmasking" of tuberculosis during antiretroviral therapy, Am J Respir Crit Care Med, 177, 7, pp. 680-685, (2008); Oni T, Burke R, Tsekela R, Bangani N, Seldon R, Gideon HP, Et al., High prevalence of subclinical tuberculosis in HIV-1-infected persons without advanced immunodeficiency: implications for TB screening, Thorax, 66, 8, pp. 669-673, (2011); Lawn SD, Harries AD, Wood R., Strategies to reduce early morbidity and mortality in adults receiving antiretroviral therapy in resource-limited settings, Curr Opin HIV AIDS, 5, 1, pp. 18-26, (2010); Auld AF, Agizew T, Pals S, Finlay A, Ndwapi N, Boyd R, Et al., Implementation of a pragmatic, stepped-wedge cluster randomized trial to evaluate impact of Botswana’s Xpert MTB/RIF diagnostic algorithm on TB diagnostic sensitivity and early antiretroviral therapy mortality, BMC Infect Dis, 16, 1, (2016); Auld AF, Agizew T, Mathoma A, Boyd R, Date A, Pals SL, Et al., Effect of tuberculosis screening and retention interventions on early antiretroviral therapy mortality in Botswana: a stepped-wedge cluster randomized trial, BMC Med, 18, 1, (2020); Obermeyer Z, Emanuel EJ., Predicting the Future—Big Data, Machine Learning, and Clinical Medicine, N Engl J Med, 375, 13, pp. 1216-1219, (2016); Hanifa Y, Fielding KL, Chihota VN, Adonis L, Charalambous S, Foster N, Et al., A clinical scoring system to prioritise investigation for tuberculosis among adults attending HIV clinics in South Africa, PLoS ONE, 12, 8, (2017); Grant AD, Charalambous S, Tlali M, Karat AS, Dorman SE, Hoffmann CJ, Et al., Algorithm-guided empirical tuberculosis treatment for people with advanced HIV (TB Fast Track): an open-label, clusterrandomised trial, Lancet HIV, (2019); Lawn SD, Bekker LG, Middelkoop K, Myer L, Wood R., Impact of HIV infection on the epidemiology of tuberculosis in a peri-urban community in South Africa: the need for age-specific interventions, Clin Infect Dis, 42, 7, pp. 1040-1047, (2006); Tuberculosis Country Profiles; Lawn SD, Kerkhoff AD, Vogt M, Wood R., Diagnostic accuracy of a low-cost, urine antigen, point-of-care screening assay for HIV-associated pulmonary tuberculosis before antiretroviral therapy: a descriptive study, Lancet Infect Dis, 12, 3, pp. 201-209, (2012); Dryden-Peterson S, Lockman S, Zash R, Lei Q, Chen JY, Souda S, Et al., Initial programmatic implementation of WHO option B in Botswana associated with increased projected MTCT, J Acquir Immune Defic Syndr, 68, 3, pp. 245-249, (2015); Altman DG, Vergouwe Y, Royston P, Moons KG., Prognosis and prognostic research: validating a prognostic model, BMJ, 338, (2009); Corbett EL, Bandason T, Cheung YB, Makamure B, Dauya E, Munyati SS, Et al., Prevalent infectious tuberculosis in Harare, Zimbabwe: burden, risk factors and implications for control, Int J Tuberc Lung Dis, 13, 10, pp. 1231-1237, (2009); Lawn SD, Kranzer K, Edwards DJ, McNally M, Bekker LG, Wood R., Tuberculosis during the first year of antiretroviral therapy in a South African cohort using an intensive pretreatment screening strategy, AIDS, 24, 9, pp. 1323-1328, (2010); Royston P, Moons KG, Altman DG, Vergouwe Y., Prognosis and prognostic research: Developing a prognostic model, BMJ, 338, (2009); Kerkhoff AD, Wood R, Vogt M, Lawn SD., Predictive value of anemia for tuberculosis in HIV-infected patients in Sub-Saharan Africa: an indication for routine microbiological investigation using new rapid assays, J Acquir Immune Defic Syndr, 66, 1, pp. 33-40, (2014); Auld AF, Mbofana F, Shiraishi RW, Alfredo C, Sanchez M, Ellerbrock TV, Et al., Incidence and determinants of tuberculosis among adults initiating antiretroviral therapy—Mozambique, 2004–2008, PLoS ONE, 8, 1, (2013); Benard A, Tessier JF, Rambeloarisoa J, Bonnet F, Fossoux H, Neau D, Et al., HIV infection and tobacco smoking behaviour: prospects for prevention? ANRS CO3 Aquitaine Cohort, 2002, Int J Tuberc Lung Dis, 10, 4, pp. 378-383, (2006); Nanta S, Kantipong P, Pathipvanich P, Ruengorn C, Tawichasri C, Patumanond J., Screening scheme development for active TB prediction among HIV-infected patients, Southeast Asian J Trop Med Public Health, 42, 4, pp. 867-875, (2011); Balcha TT, Skogmar S, Sturegard E, Schon T, Winqvist N, Reepalu A, Et al., A Clinical Scoring Algorithm for Determination of the Risk of Tuberculosis in HIV-Infected Adults: A Cohort Study Performed at Ethiopian Health Centers, Open Forum Infect Dis, 1, 3, (2014); Chowdhury MZI, Turin TC., Variable selection strategies and its importance in clinical prediction model-ling, Fam Med Community Health, 8, 1, (2020); Mupfumi L, Moyo S, Molebatsi K, Thami PK, Anderson M, Mogashoa T, Et al., Immunological non-response and low hemoglobin levels are predictors of incident tuberculosis among HIV-infected individuals on Truvada-based therapy in Botswana, PLoS ONE, 13, 1, (2018); Azman AS, Lessler J, Luquero FJ, Bhuiyan TR, Khan AI, Chowdhury F, Et al., Estimating cholera incidence with cross-sectional serology, Sci Transl Med, 11, 480, (2019); Weng SF, Reps J, Kai J, Garibaldi JM, Qureshi N., Can machine-learning improve cardiovascular risk prediction using routine clinical data?, PLoS ONE, 12, 4, (2017); Zhou V., Random Forests for Complete Beginners; Moons KG, Altman DG, Vergouwe Y, Royston P., Prognosis and prognostic research: application and impact of prognostic models in clinical practice, BMJ, 338, (2009); Gupta-Wright A, Corbett EL, Wilson D, van Oosterhout JJ, Dheda K, Huerga H, Et al., Risk score for predicting mortality including urine lipoarabinomannan detection in hospital inpatients with HIV-associated tuberculosis in sub-Saharan Africa: Derivation and external validation cohort study, PLoS Med, 16, 4, (2019); Williams R., Standardized Coefficients in Logistic Regression; Haemoglobin concentrations for the diagnosis of anaemia and assessment of severity; Del Bene VE., Clinical Methods: The History, Physical, and Laboratory Examinations; Boyles TH, Nduna M, Pitsi T, Scott L, Fox MP, Maartens G., A Clinical Prediction Score Including Trial of Antibiotics and C-Reactive Protein to Improve the Diagnosis of Tuberculosis in Ambulatory People With HIV, Open Forum Infect Dis, 7, 2, (2020); Aunsborg JW, Honge BL, Jespersen S, Rudolf F, Medina C, Correira FG, Et al., A clinical score has utility in tuberculosis case-finding among patients with HIV: A feasibility study from Bissau, Int J Infect Dis, 92S, pp. S78-S84, (2020); Rudolf F, Haraldsdottir TL, Mendes MS, Wagner AJ, Gomes VF, Aaby P, Et al., Can tuberculosis case finding among health-care seeking adults be improved? Observations from Bissau, Int J Tuberc Lung Dis, 18, 3, pp. 277-285, (2014); Baik Y, Rickman HM, Hanrahan CF, Mmolawa L, Kitonsa PJ, Sewelana T, Et al., A clinical score for identifying active tuberculosis while awaiting microbiological results: Development and validation of a multivariable prediction model in sub-Saharan Africa, PLoS Med, 17, 11, (2020); Nkrumah B, Nguah SB, Sarpong N, Dekker D, Idriss A, May J, Et al., Hemoglobin estimation by the HemoCue(R) portable hemoglobin photometer in a resource poor setting, BMC Clin Pathol, 11, (2011); Sanchis-Gomar F, Cortell-Ballester J, Pareja-Galeano H, Banfi G, Lippi G., Hemoglobin point-of-care testing: the HemoCue system, J Lab Autom, 18, 3, pp. 198-205, (2013); Medina Lara A, Mundy C, Kandulu J, Chisuwo L, Bates I., Evaluation and costs of different haemoglobin methods for use in district hospitals in Malawi, J Clin Pathol, 58, 1, pp. 56-60, (2005); Crowley C, Montenegro-Bethancourt G, Solomons NW, Schumann K., Validity and correspondence of non-invasively determined hemoglobin concentrations by two trans-cutaneous digital measuring devices, Asia Pac J Clin Nutr, 21, 2, pp. 191-200, (2012); Gayat E, Aulagnier J, Matthieu E, Boisson M, Fischler M., Non-invasive measurement of hemoglobin: assessment of two different point-of-care technologies, PLoS ONE, 7, 1, (2012); Noninvasive technology for anemia detection; Kerkhoff AD, Wood R, Cobelens FG, Gupta-Wright A, Bekker LG, Lawn SD., The predictive value of current haemoglobin levels for incident tuberculosis and/or mortality during long-term antiretroviral therapy in South Africa: a cohort study, BMC Med, 13, (2015); Kerkhoff AD, Meintjes G, Burton R, Vogt M, Wood R, Lawn SD., Relationship Between Blood Concentrations of Hepcidin and Anemia Severity, Mycobacterial Burden, and Mortality Among Patients With HIV-Associated Tuberculosis, J Infect Dis, (2015); Drakesmith H, Prentice AM., Hepcidin and the iron-infection axis, Science, 338, 6108, pp. 768-772, (2012); Shapiro AE, Hong T, Govere S, Thulare H, Moosa MY, Dorasamy A, Et al., C-reactive protein as a screening test for HIV-associated pulmonary tuberculosis prior to antiretroviral therapy in South Africa, AIDS, 32, 13, pp. 1811-1820, (2018); Yoon C, Semitala FC, Atuhumuza E, Katende J, Mwebe S, Asege L, Et al., Point-of-care C-reactive protein-based tuberculosis screening for people living with HIV: a diagnostic accuracy study, Lancet Infect Dis, 17, 12, pp. 1285-1292, (2017); Lawn SD, Kerkhoff AD., Serum C-reactive protein measurement for ruling out HIV-associated tuberculosis, Int J Tuberc Lung Dis, 17, 2, pp. 283-284, (2013); WHO operational handbook on tuberculosis. Module 2: systematic screening for tuberculosis disease; Santos VS, Goletti D, Kontogianni K, Adams ER, Molina-Moya B, Dominguez J, Et al., Acute phase proteins and IP-10 as triage tests for the diagnosis of tuberculosis: systematic review and meta-analysis, Clin Microbiol Infect, 25, 2, pp. 169-177, (2019); Holmes CB, Sikazwe I, Sikombe K, Eshun-Wilson I, Czaicki N, Beres LK, Et al., Estimated mortality on HIV treatment among active patients and patients lost to follow-up in 4 provinces of Zambia: Findings from a multistage sampling-based survey, PLoS Med, 15, 1, (2018); Tate JP, Sterne JAC, Justice AC, Albumin, white blood cell count, and body mass index improve discrimination of mortality in HIV-positive individuals, AIDS, 33, 5, pp. 903-912, (2019); Odekunle FF, Odekunle RO, Shankar S., Why sub-Saharan Africa lags in electronic health record adoption and possible strategies to increase its adoption in this region, Int J Health Sci (Qassim), 11, 4, pp. 59-64, (2017); Akanbi MO, Ocheke AN, Agaba PA, Daniyam CA, Agaba EI, Okeke EN, Et al., Use of Electronic Health Records in sub-Saharan Africa: Progress and challenges, J Med Trop, 14, 1, pp. 1-6, (2012); Karat AS, Omar T, von Gottberg A, Tlali M, Chihota VN, Churchyard GJ, Et al., Autopsy Prevalence of Tuberculosis and Other Potentially Treatable Infections among Adults with Advanced HIV Enrolled in Out-Patient Care in South Africa, PLoS ONE, 11, 11, (2016); van der Heijden YF, Karim F, Mufamadi G, Zako L, Chinappa T, Shepherd BE, Et al., Isoniazid-monoresistant tuberculosis is associated with poor treatment outcomes in Durban, South Africa, Int J Tuberc Lung Dis, 21, 6, pp. 670-676, (2017); Samandari T, Bishai D, Luteijn M, Mosimaneotsile B, Motsamai O, Postma M, Et al., Costs and consequences of additional chest x-ray in a tuberculosis prevention program in Botswana, Am J Respir Crit Care Med, 183, 8, pp. 1103-1111, (2011); McNairy ML, Abrams EJ, Rabkin M, El-Sadr WM., Clinical decision tools are needed to identify HIV-positive patients at high risk for poor outcomes after initiation of antiretroviral therapy, PLoS Med, 14, 4, (2017); Shapiro AE, Chakravorty R, Akande T, Lonnroth K, Golub JE., A systematic review of the number needed to screen to detect a case of active tuberculosis in different risk groups; Khoury MJ, Iademarco MF, Riley WT., Precision Public Health for the Era of Precision Medicine, Am J Prev Med, 50, 3, pp. 398-401, (2016); Pathmanathan I, Pevzner E, Cavanaugh J, Nelson L., Addressing tuberculosis in differentiated care provision for people living with HIV, Bull World Health Organ, 95, 1, (2017); Shoptaw S, Goodman-Meza D, Landovitz RJ., Collective Call to Action for HIV/AIDS Community-Based Collaborative Science in the Era of COVID-19, AIDS Behav, (2020); Auld AF, Fielding KL, Gupta-Wright A, Lawn SD., Xpert MTB/RIF—why the lack of morbidity and mortality impact in intervention trials?, Trans R Soc Trop Med Hyg, 110, 8, pp. 432-444, (2016); Date A, Modi S., TB screening among people living with HIV/AIDS in resource-limited settings, J Acquir Immune Defic Syndr, 68, pp. S270-S273, (2015); Pooran A, Theron G, Zijenah L, Chanda D, Clowes P, Mwenge L, Et al., Point of care Xpert MTB/RIF versus smear microscopy for tuberculosis diagnosis in southern African primary care clinics: a multicentre economic evaluation, Lancet Glob Health, 7, 6, pp. e798-e807, (2019); Griesel R, Stewart A, van der Plas H, Sikhondze W, Rangaka MX, Nicol MP, Et al., Optimizing Tuberculosis Diagnosis in Human Immunodeficiency Virus-Infected Inpatients Meeting the Criteria of Seriously Ill in the World Health Organization Algorithm, Clin Infect Dis, 66, 9, pp. 1419-1426, (2018); Firmin S., Seeing the Forest for the Trees: An Introduction to Random Forest; Chen JH, Asch SM., Machine Learning and Prediction in Medicine—Beyond the Peak of Inflated Expectations, N Engl J Med, 376, 26, pp. 2507-2509, (2017); Rajkomar A, Dean J, Kohane I., Machine Learning in Medicine, N Engl J Med, 380, 14, pp. 1347-1358, (2019)</t>
  </si>
  <si>
    <t xml:space="preserve">A.F. Auld; Division of Global HIV and TB, Centers for Disease Control and Prevention, Atlanta, United States; email: aauld@cdc.gov</t>
  </si>
  <si>
    <t xml:space="preserve">PLoS Med.</t>
  </si>
  <si>
    <t xml:space="preserve">2-s2.0-85115018842</t>
  </si>
  <si>
    <t xml:space="preserve">Wang Z.; Yin Z.; Argyris Y.A.</t>
  </si>
  <si>
    <t xml:space="preserve">Wang, Zuhui (57217079118); Yin, Zhaozheng (36351279000); Argyris, Young Anna (56964265300)</t>
  </si>
  <si>
    <t xml:space="preserve">57217079118; 36351279000; 56964265300</t>
  </si>
  <si>
    <t xml:space="preserve">Detecting Medical Misinformation on Social Media Using Multimodal Deep Learning</t>
  </si>
  <si>
    <t xml:space="preserve">In 2019, outbreaks of vaccine-preventable diseases reached the highest number in the US since 1992. Medical misinformation, such as antivaccine content propagating through social media, is associated with increases in vaccine delay and refusal. Our overall goal is to develop an automatic detector for antivaccine messages to counteract the negative impact that antivaccine messages have on the public health. Very few extant detection systems have considered multimodality of social media posts (images, texts, and hashtags), and instead focus on textual components, despite the rapid growth of photo-sharing applications (e.g., Instagram). As a result, existing systems are not sufficient for detecting antivaccine messages with heavy visual components (e.g., images) posted on these newer platforms. To solve this problem, we propose a deep learning network that leverages both visual and textual information. A new semantic- and task-level attention mechanism was created to help our model to focus on the essential contents of a post that signal antivaccine messages. The proposed model, which consists of three branches, can generate comprehensive fused features for predictions. Moreover, an ensemble method is proposed to further improve the final prediction accuracy. To evaluate the proposed model's performance, a real-world social media dataset that consists of more than 30,000 samples was collected from Instagram between January 2016 and October 2019. Our 30 experiment results demonstrate that the final network achieves above 97% testing accuracy and outperforms other relevant models, demonstrating that it can detect a large amount of antivaccine messages posted daily. The implementation code is available at https://github.com/wzhings/antivaccine_detection.  © 2013 IEEE.</t>
  </si>
  <si>
    <t xml:space="preserve">IEEE Journal of Biomedical and Health Informatics</t>
  </si>
  <si>
    <t xml:space="preserve">10.1109/JBHI.2020.3037027</t>
  </si>
  <si>
    <t xml:space="preserve">https://www.scopus.com/inward/record.uri?eid=2-s2.0-85097938162&amp;doi=10.1109%2fJBHI.2020.3037027&amp;partnerID=40&amp;md5=6f07dbf624ed534aa4a5843f196ce7a0</t>
  </si>
  <si>
    <t xml:space="preserve">Department of Computer Science, Stony Brook University, Stony Brook, NY, United States; AI Institute, Department of Computer Science, Department of Biomedical Informatics, Department of Applied Mathematics and Statistics (Affiliated), Stony Brook University, Stony Brook, NY, United States; Department of Media and Information, Michigan State University, East Lansing, MI, United States</t>
  </si>
  <si>
    <t xml:space="preserve">Wang Z., Department of Computer Science, Stony Brook University, Stony Brook, NY, United States; Yin Z., AI Institute, Department of Computer Science, Department of Biomedical Informatics, Department of Applied Mathematics and Statistics (Affiliated), Stony Brook University, Stony Brook, NY, United States; Argyris Y.A., Department of Media and Information, Michigan State University, East Lansing, MI, United States</t>
  </si>
  <si>
    <t xml:space="preserve">Antivaccine detection; attention mechanism; ensemble method; multimodal feature fusion</t>
  </si>
  <si>
    <t xml:space="preserve">Communication; Deep Learning; Humans; Public Health; Social Media; Semantics; Social networking (online); Vaccines; vaccine; Attention mechanisms; Automatic detector; Ensemble methods; Existing systems; Prediction accuracy; Testing accuracy; Textual information; Visual components; algorithm; Alzheimer disease; anti-vaccination movement; Article; artificial neural network; deep learning; health care planning; image segmentation; immunization; long short term memory network; machine learning; melanoma; misinformation; nuclear magnetic resonance imaging; Parkinson disease; positron emission tomography; prediction; public health; skin defect; social media; speech; support vector machine; vaccination; vaccine hesitancy; vaccine preventable disease; World Health Organization; Zika virus; human; interpersonal communication; Deep learning</t>
  </si>
  <si>
    <t xml:space="preserve">National Science Foundation, NSF, (CMMI-1646162, IIS-2019967); National Science Foundation, NSF; State University of New York, SUNY; Michigan State University, MSU</t>
  </si>
  <si>
    <t xml:space="preserve">Manuscript received June 3, 2020; revised October 3, 2020; accepted November 3, 2020. Date of publication November 10, 2020; date of current version June 4, 2021. The work of Zuhui Wang and Zhaozheng Yin was supported in part by NSF Grants IIS-2019967, CMMI-1646162, and in part by SUNY Empire Innovation Program (EIP). The work of Young Anna Argyris was supported in part by Michigan State University’s Science + Society @ State, and in part by Trifecta Initiative Facilitating Funds Awards. (Corresponding author: Zhaozheng Yin.) Zuhui Wang is with the Department of Computer Science, Stony Brook University, Stony Brook, NY 11794 USA (e-mail: zuwang@cs.stonybrook.edu).</t>
  </si>
  <si>
    <t xml:space="preserve">Carpiano R.M., Fitz N.S., Public attitudes toward child undervaccination: A randomized experiment on evaluations, stigmatizing orientations, and support for policies, Social Sci. Med., 185, pp. 127-136, (2017); Burki T., Vaccine misinformation and social media, Lancet Digit. Health, 1, 6, pp. e258-e259, (2019); Paige S.R., Krieger J.L., Stellefson M.L., The influence of ehealth literacy on perceived trust in online health communication channels and sources, J. Health Commun., 22, 1, pp. 53-65, (2017); Perrin A., Anderson M., Share of U. S. Adults Using Social Media, including Facebook, Is Mostly Unchanged since, (2018); Eftekhar A., Fullwood C., Morris N., Capturing personality from facebook photos and photo-related activities: How much exposure do you need?, Comput. Hum. Behav., 37, pp. 162-170, (2014); Chancellor S., Pater J.A., Clear T.A., Gilbert E., Choudhury M.D., #thyghgapp: Instagram content moderation and lexical variation in pro-eating disorder communities, Proc. 19th ACM Conf. Comput.-Supported Cooperative Work Social Comput., pp. 1199-1211, (2016); De Laat P.B., Big data and algorithmic decision-making: Can transparency restore accountability?, ACM SIGCAS Comput. Soc., 47, 3, pp. 39-53, (2017); Synnott J., Coulias A., Ioannou M., Online trolling: The case of madeleine mccann, Comput. Hum. Behav., 71, pp. 70-78, (2017); Mitra T., Counts S., Pennebaker J.W., Understanding antivaccination attitudes in social media, Proc. 10th Int. Conf. Web Social Media., pp. 269-278, (2016); Monsted B., Lehmann S., Algorithmic Detection and Analysis of Vaccine-denialist Sentiment Clusters in Social Networks, (2019); Tomeny T.S., Vargo C.J., El-Toukhy S., Geographic and demographic correlates of autism-related anti-vaccine beliefs on twitter, 2009-15, Social Sci. Med., 191, pp. 168-175, (2017); Jin Z., Cao J., Guo H., Zhang Y., Luo J., Multimodal fusion with recurrent neural networks for rumor detection on microblogs, Proc. 25th ACM Int. Conf. Multimedia, 22, pp. 795-816, (2017); Zhang H., Fang Q., Qian S., Xu C., Multi-modal knowledge-aware event memory network for social media rumor detection, Proc. 27th ACM Int. Conf. Multimedia, pp. 1942-1951, (2019); Wang Y., Et al., EANN: Event adversarial neural networks formulti-modal fake news detection, Proc. 24th ACMSIGKDD Int. Conf. Know. Discov. Data Mining, pp. 849-857, (2018); Khattar D., Goud J.S., Gupta M., Varma V., MVAE: Multimodal variational autoencoder for fake news detection, Proc. World Wide Web Conf., pp. 2915-2921, (2019); Schmidt A., Wiegand M., A survey on hate speech detection using natural language processing, Proc. 5th Int. Workshop Natural Lang. Process. Social Media., pp. 1-10, (2017); Gasparini F., Erba I., Fersini E., Corchs S., Multimodal classification of sexist advertisements, Proc. Int. Conf. Emerg. Trends Eng., pp. 565-572, (2018); Krizhevsky A., Sutskever I., Hinton G.E., Imagenet classification with deep convolutional neural networks, Proc. Adv. Neural Inf. Process. Syst., pp. 1106-1114, (2012); Mikolov T., Sutskever I., Chen K., Corrado G.S., Dean J., Distributed representations of words and phrases and their compositionality, Proc. Adv. Neural Inf. Process. Syst., pp. 3111-3119, (2013); Sabat B.O., Canton-Ferrer C., Giro-I-Nieto X., Hate Speech in Pixels: Detection of Offensive Memes towards Automatic Moderation, (2019); Simonyan K., Zisserman A., Very deep convolutional networks for large-scale image recognition, Proc. 3rd Int. Conf. Learn. Representations, pp. 1-14, (2015); Devlin J., Chang M., Lee K., Toutanova K., BERT: Pre-training of deep bidirectional transformers for language understanding, Proc. NAACL-HLT, pp. 4171-4186, (2019); Kumari K., Singh J.P., Identification of cyberbullying onmulti-modal social media posts using genetic algorithm, Trans. Emerg. Telecommun. Technol., (2020); He K., Zhang X., Ren S., Sun J., Deep residual learning for image recognition, Proc. IEEE Conf. Comput. Vis. Pattern Recognit., pp. 770-778, (2016); Yang F., Et al., Exploring deep multimodal fusion of text and photo for hate speech classification, Proc. 3rd Workshop Abusive Lang. Online, pp. 11-18, (2019); Szegedy C., Vanhoucke V., Ioffe S., Shlens J., Wojna Z., Rethinking the inception architecture for computer vision, Proc. IEEE Conf. Comput. Vis. Pattern Recognit., pp. 2818-2826, (2016); Gomez R., Gibert J., Gomez L., Karatzas D., Exploring hate speech detection in multimodal publications, Proc. IEEE Winter Conf. Appl. Comput. Vis., pp. 1459-1467, (2020); Choudhury M.D., Morris M.R., White R.W., Seeking and sharing health information online: Comparing search engines and social media, Proc. SIGCHI Conf. Hum. Factors Comput. Syst., pp. 1365-1376, (2014); Eysenbach G., Credibility of Health Information and Digital Media: New Perspectives and Implications for Youth. MacArthur Foundation Digital Media and Learning Initiative, (2008); Viviani M., Pasi G., Credibility in social media: Opinions, news, and health information-A survey, Wiley Interdiscipl. Rev.: Data Mining Knowl. Discov., 7, 5, (2017); Abbasi A., Fu T., Zeng D., Adjeroh D.A., Crawling credible online medical sentiments for social intelligence, Proc. Int. Conf. Social Comput., pp. 254-263, (2013); Weitzel L., De Oliveira J.P.M., Quaresma P., Measuring the reputation in user-generated-content systems based on health information, Proc. Int. Conf. Comput. Sci., 29, pp. 364-378, (2014); Ghenai A., Mejova Y., Catching Zika fever: Application of crowdsourcing and machine learning for tracking health misinformation on twitter, Proc. IEEE Int. Conf. Healthcare Inform., pp. 518-518, (2017); Liu Y., Yu K., Wu X., Qing L., Peng Y., Analysis and detection of health-related misinformation on Chinese social media, IEEE Access, 7, pp. 154480-154489, (2019); Friedman J.H., Greedy function approximation: A gradient boosting machine, Ann. Statist., 29, 5, pp. 1189-1232, (2001); Botsis T., Scott J., Woo E.J., Ball R., Identifying similar cases in document networks using cross-reference structures, IEEE J. Biomed. Health Inform., 19, 6, pp. 1906-1917, (2015); Cortes C., Vapnik V., Support-vector networks, Mach. Learn., 20, 3, pp. 273-297, (1995); Shi J., Zheng X., Li Y., Zhang Q., Ying S., Multimodal neuroimaging feature learning with multimodal stacked deep polynomial networks for diagnosis of Alzheimer's disease, IEEE J. Biomed. Health Inform., 22, 1, pp. 173-183, (2018); Vasquez-Correa J.C., Arias-Vergara T., Orozco-Arroyave J.R., Eskofier B., Klucken J., Noth E., Multimodal assessment of Parkinson's disease: A deep learning approach, IEEE J. Biomed. Health Inform., 23, 4, pp. 1618-1630, (2019); Kawahara J., Daneshvar S., Argenziano G., Hamarneh G., Sevenpoint checklist and skin lesion classification using multitask multimodal neural nets, IEEE J. Biomed. Health Inform., 23, 2, pp. 538-546, (2019); Song J., Han K., Lee D., Kim S.-W., Is a picture really worth a thousand words?: A case study on classifying user attributes on instagram, PLoS One, 13, 10, (2018); Bojanowski P., Grave E., Joulin A., Mikolov T., Enriching word vectors with subword information, Trans. Assoc. Comput. Linguistics, 5, pp. 135-146, (2017); Yang Z., Yang D., Dyer C., He X., Smola A., Hovy E., Hierarchical attention networks for document classification, Proc. Conf. North Amer. Chapter Assoc. Comput. Linguistics: Hum. Lang. Technol., pp. 1480-1489, (2016); Xu K., Et al., Show, attend and tell: Neural image caption generation with visual attention, Proc. Int. Conf. Mach. Learn., 37, pp. 2048-2057, (2015); Hu J., Shen L., Sun G., Squeeze-and-excitation networks, Proc. IEEE Conf. Comput. Vis. Pattern Recognit., pp. 7132-7141, (2018); Roy A.G., Navab N., Wachinger C., Concurrent spatial and channel 'squeeze &amp; excitation' in fully convolutional networks, Proc. Med. Image Comput. Comput. Assist. Interv., pp. 421-429, (2018); Lin M., Chen Q., Yan S., Network in network, Proc. 2nd Int. Conf. Learn. Representations, pp. 1-10, (2014); Cao H., Et al., A two-stage convolutional neural networks for lung nodule detection, IEEE J. Biomed. Health Inform., 24, 7, pp. 2006-2015, (2020); Kumar A., Kim J., Lyndon D., Fulham M., Feng D., An ensemble of fine-tuned convolutional neural networks for medical image classification, IEEE J. Biomed. Health Inform., 21, 1, pp. 31-40, (2017); Han L., Luo S., Yu J., Pan L., Chen S., Rule extraction from support vector machines using ensemble learning approach: An application for diagnosis of diabetes, IEEE J. Biomed. Health Inform., 19, 2, pp. 728-734, (2015); Wohlin C., Guidelines for snowballing in systematic literature studies and a replication in software engineering, Proc. 18th Int. Conf. Eval. Assessment Softw. Eng., pp. 1-10, (2014); Kata A., Anti-vaccine activists, web 2. 0, and the postmodern paradigm-An overview of tactics and tropes used online by the anti-vaccination movement, Vaccine, 30, 25, pp. 3778-3789, (2012); Fortin D., Uncles M., Lee M.S., Male M., Against medical advice: The anti-consumption of vaccines, J. Consum. Marketing, 28, 7, pp. 484-490, (2011); Huang G., Liu Z., Van Der Maaten L., Weinberger K.Q., Densely connected convolutional networks, Proc. Conf. Comput. Vis. Pattern Recognit., pp. 2261-2269, (2017); Ma J., Et al., Detecting rumors from microblogs with recurrent neural networks, Proc. 25th Int. Joint Conf. Artif. Intell., pp. 3818-3824, (2016); Xu Z., Personal stories matter: Topic evolution and popularity among pro-and anti-vaccine online articles, J. Comput. Social Sci., 2, 2, pp. 207-220, (2019)</t>
  </si>
  <si>
    <t xml:space="preserve">Z. Yin; AI Institute, Department of Computer Science, Department of Biomedical Informatics, Department of Applied Mathematics and Statistics (Affiliated), Stony Brook University, Stony Brook, United States; email: zyin@cs.stonybrook.edu</t>
  </si>
  <si>
    <t xml:space="preserve">ITIBF</t>
  </si>
  <si>
    <t xml:space="preserve">IEEE J. Biomedical Health Informat.</t>
  </si>
  <si>
    <t xml:space="preserve">2-s2.0-85097938162</t>
  </si>
  <si>
    <t xml:space="preserve">Keshavamurthy R.; Thumbi S.M.; Charles L.E.</t>
  </si>
  <si>
    <t xml:space="preserve">Keshavamurthy, Ravikiran (57207696583); Thumbi, Samuel M. (26436244600); Charles, Lauren E. (35298645500)</t>
  </si>
  <si>
    <t xml:space="preserve">57207696583; 26436244600; 35298645500</t>
  </si>
  <si>
    <t xml:space="preserve">Digital biosurveillance for zoonotic disease detection in kenya</t>
  </si>
  <si>
    <t xml:space="preserve">Infectious disease surveillance is crucial for early detection and situational awareness of disease outbreaks. Digital biosurveillance monitors large volumes of open-source data to flag potential health threats. This study investigates the potential of digital surveillance in the detection of the top five priority zoonotic diseases in Kenya: Rift Valley fever (RVF), anthrax, rabies, brucellosis, and trypanosomiasis. Open-source disease events reported between August 2016 and October 2020 were collected and key event-specific information was extracted using a newly developed disease event taxonomy. A total of 424 disease reports encompassing 55 unique events belonging to anthrax (43.6%), RVF (34.6%), and rabies (21.8%) were identified. Most events were first reported by news media (78.2%) followed by international health organizations (16.4%). News media reported the events 4.1 (±4.7) days faster than the official reports. There was a positive association between official reporting and RVF events (odds ratio (OR) 195.5, 95% confidence interval (CI); 24.01–4756.43, p &lt;0.001) and a negative association between official reporting and local media coverage of events (OR 0.03, 95% CI; 0.00–0.17, p = 0.030). This study highlights the usefulness of local news in the detection of potentially neglected zoonotic disease events and the importance of digital biosurveillance in resource-limited settings. © 2021 by the authors. Licensee MDPI, Basel, Switzerland.</t>
  </si>
  <si>
    <t xml:space="preserve">10.3390/pathogens10070783</t>
  </si>
  <si>
    <t xml:space="preserve">https://www.scopus.com/inward/record.uri?eid=2-s2.0-85114386452&amp;doi=10.3390%2fpathogens10070783&amp;partnerID=40&amp;md5=fee8174d222b0c6911b6a0a84a2943a5</t>
  </si>
  <si>
    <t xml:space="preserve">Paul G. Allen School for Global Animal Health, Washington State University, Pullman, 99164, WA, United States; Pacific Northwest National Laboratory, Richland, 99354, WA, United States; Center for Epidemiological Modelling and Analysis, Institute of Tropical and Infectious Diseases, University of Nairobi, Nairobi, 30197, Kenya; Institute of Immunology and Infection Research, University of Edinburgh, Edinburgh, EH9 3FL, United Kingdom</t>
  </si>
  <si>
    <t xml:space="preserve">Keshavamurthy R., Paul G. Allen School for Global Animal Health, Washington State University, Pullman, 99164, WA, United States, Pacific Northwest National Laboratory, Richland, 99354, WA, United States; Thumbi S.M., Paul G. Allen School for Global Animal Health, Washington State University, Pullman, 99164, WA, United States, Center for Epidemiological Modelling and Analysis, Institute of Tropical and Infectious Diseases, University of Nairobi, Nairobi, 30197, Kenya, Institute of Immunology and Infection Research, University of Edinburgh, Edinburgh, EH9 3FL, United Kingdom; Charles L.E., Paul G. Allen School for Global Animal Health, Washington State University, Pullman, 99164, WA, United States, Pacific Northwest National Laboratory, Richland, 99354, WA, United States</t>
  </si>
  <si>
    <t xml:space="preserve">Biosurveillance; Digital surveillance; Disease taxon-omy; Kenya; Open-source information; Zoonosis</t>
  </si>
  <si>
    <t xml:space="preserve">anthrax; Article; biosurveillance; brucellosis; disease surveillance; disease transmission; Kenya; machine learning; medical error; nonhuman; public health; rabies; Rift Valley fever; taxonomy; trypanosomiasis; vaccination; zoonosis</t>
  </si>
  <si>
    <t xml:space="preserve">National Biosurveillance Integration Center; Pacific Northwest National Laboratory Biofeeds Team; U.S. Department of Homeland Security, DHS; United States Agency for International Development, USAID</t>
  </si>
  <si>
    <t xml:space="preserve">S.M.T and R.K have received support through the United States Agency for International Development’s (USAID) Bureau for Humanitarian Assistance (BHA). The opinions expressed in this document are those of the author(s) and do not necessarily reflect the views of USAID. We acknowledge the United States Department of Homeland Security, National Biosurveillance Integration Center and the Pacific Northwest National Laboratory Biofeeds Team for their collaboration and contribution of the online news data and use of the AAID analytic pipeline, which were vital to the success of this research.</t>
  </si>
  <si>
    <t xml:space="preserve">Murray J., Cohen A.L., Infectious Disease Surveillance, International Encyclopedia of Public Health, pp. 222-229, (2016); Milinovich G.J., Williams G.M., Clements A.C.A., Hu W., Internet-Based Surveillance Systems for Monitoring Emerging Infectious Diseases, Lancet Infect. Dis, 14, pp. 160-168, (2014); O'Shea J.C., Digital disease detection: A systematic review of event-based internet biosurveillance systems, Int. J. Med. Inform, 101, pp. 15-22, (2017); Munyua P., Bitek A., Osoro E., Pieracci E.G., Muema J., Mwatondo A., Kungu M., Nanyingi M., Gharpure R., Njenga K., Et al., Prioritization of Zoonotic Diseases in Kenya, 2015, PLoS ONE, 11, (2016); Morse S.S., Public Health Surveillance and Infectious Disease Detection, Biosecur. Bioterror, (2012); Keller M., Blench M., Tolentino H., Freifeld C.C., Mandl K.D., Mawudeku A., Eysenbach G., Brownstein J.S., Use of Unstructured Event-Based Reports for Global Infectious Disease Surveillance, Emerg. Infect. Dis, 15, pp. 689-695, (2009); Milinovich G.J., Magalhaes R.J.S., Hu W., Role of Big Data in the Early Detection of Ebola and Other Emerging Infectious Diseases, Lancet Glob. Health, 3, pp. e20-e21, (2015); Madoff L.C., ProMED-Mail: An Early Warning System for Emerging Diseases, Clin. Infect. Dis, 39, pp. 227-232, (2004); Freifeld C.C., Mandl K.D., Reis B.Y., Brownstein J.S., HealthMap: Global Infectious Disease Monitoring through Automated Classification and Visualization of Internet Media Reports, J. Am. Med. Inform. Assoc, 15, pp. 150-157, (2008); Dion M., AbdelMalik P., Mawudeku A., Big Data and the Global Public Health Intelligence Network (GPHIN), Can. Commun. Dis. Rep, 41, pp. 209-214, (2015); Karo B., Haskew C., Khan A.S., Polonsky J.A., Mazhar M.K.A., Buddha N., World Health Organization Early Warning, Alert and Response System in the Rohingya Crisis, Bangladesh, 2017–2018, Emerg. Infect. Dis, 24, pp. 2074-2076, (2018); Guy S., Ratzki-Leewing A., Bahati R., Gwadry-Sridhar F., Social Media: A Systematic Review to Understand the Evidence and Application in Infodemiology, Lecture Notes of the Institute for Computer Sciences, Social-Informatics and Telecommunications Engineering, pp. 1-8, (2011); Grein T.W., Kamara K.B.O., Rodier G., Plant A.J., Bovier P., Ryan M.J., Ohyama T., Heymann D.L., Rumors of Disease in the Global Village: Outbreak Verification, Emerg. Infect. Dis, 6, pp. 97-102, (2000); Heymann D.L., Rodier G.R., Hot Spots in a Wired World: WHO Surveillance of Emerging and Re-Emerging Infectious Diseases, Lancet Infect. Dis, 1, pp. 345-353, (2001); Baker H., Grady A., Schwantes C., Iarocci E., Campbell R., Calapristi G., Dowson S., Hart M., Charles L.E., Quitugua T., NBIC Biofeeds: Deploying a New, Digital Tool for Open Source Biosurveillance across Federal Agencies, Online J. Public Health Inform, (2018); Falzon L.C., Alumasa L., Amanya F., Kang'ethe E., Kariuki S., Momanyi K., Muinde P., Murungi M.K., Njoroge S.M., Ogendo A., Et al., One Health in Action: Operational Aspects of an Integrated Surveillance System for Zoonoses in Western Kenya, Front. Vet. Sci, 6, (2019); Munyua P.M., Njenga M.K., Osoro E.M., Onyango C.O., Bitek A.O., Mwatondo A., Muturi M.K., Musee N., Bigogo G., Otiang E., Et al., Successes and Challenges of the One Health Approach in Kenya over the Last Decade, BMC Public Health, 19, (2019); OIE-Listed Diseases 2021; WHO|Other Neglected Zoonotic Diseases, (2013); Hassan A., Muturi M., Mwatondo A., Omolo J., Bett B., Gikundi S., Konongoi L., Ofula V., Makayotto L., Kasiti J., Et al., Epidemiological Investigation of a Rift Valley Fever Outbreak in Humans and Livestock in Kenya, 2018, Am. J. Trop. Med. Hyg, 103, pp. 1649-1655, (2020); Kitala P.M., McDermott J.J., Kyule M.N., Gathuma J.M., Community-Based Active Surveillance for Rabies in Machakos District, Kenya, Prev. Vet. Med, 44, pp. 73-85, (2000); Bitek A.O., Osoro E., Munyua P.M., Nanyingi M., Muthiani Y., Kiambi S., Muturi M., Mwatondo A., Muriithi R., Cleaveland S., Et al., A Hundred Years of Rabies in Kenya and the Strategy for Eliminating Dog-Mediated Rabies by 2030, AAS Open Res, 1, (2019); Muturi M., Gachohi J., Mwatondo A., Lekolool I., Gakuya F., Bett A., Osoro E., Bitek A., Thumbi S.M., Munyua P., Et al., Recurrent Anthrax Outbreaks in Humans, Livestock, and Wildlife in the Same Locality, Am. J. Trop. Med. Hyg, 99, pp. 833-839, (2018); Bukachi S.A., Wandibba S., Nyamongo I.K., The Socio-Economic Burden of Human African Trypanosomiasis and the Coping Strategies of Households in the South Western Kenya Foci, PLoS Negl. Trop. Dis, 11, (2017); Mableson H.E., Okello A., Picozzi K., Welburn S.C., Neglected Zoonotic Diseases-The Long and Winding Road to Advocacy, PLoS Negl. Trop. Dis, 8, (2014); Schwind J.S., Norman S.A., Karmacharya D., Wolking D.J., Dixit S.M., Rajbhandari R.M., Mekaru S.R., Brownstein J.S., Online Surveillance of Media Health Event Reporting in Nepal: Digital Disease Detection from a One Health Perspective, BMC Int. Health Hum. Rights, 17, (2017); Terrestrial Code Online Access</t>
  </si>
  <si>
    <t xml:space="preserve">L.E. Charles; Paul G. Allen School for Global Animal Health, Washington State University, Pullman, 99164, United States; email: lauren.charles@pnnl.edu</t>
  </si>
  <si>
    <t xml:space="preserve">2-s2.0-85114386452</t>
  </si>
  <si>
    <t xml:space="preserve">Watson D.J.; Meyers P.R.; Acquah K.S.; Dziwornu G.A.; Barnett C.B.; Wiesner L.</t>
  </si>
  <si>
    <t xml:space="preserve">Watson, Daniel J. (57226067502); Meyers, Paul R. (7102316328); Acquah, Kojo Sekyi (6508334939); Dziwornu, Godwin A. (57190027277); Barnett, Christopher Bevan (25927831100); Wiesner, Lubbe (36990491200)</t>
  </si>
  <si>
    <t xml:space="preserve">57226067502; 7102316328; 6508334939; 57190027277; 25927831100; 36990491200</t>
  </si>
  <si>
    <t xml:space="preserve">Discovery of novel cyclic ethers with synergistic antiplasmodial activity in combination with valinomycin</t>
  </si>
  <si>
    <t xml:space="preserve">With drug resistance threatening our first line antimalarial treatments, novel chemothera-peutics need to be developed. Ionophores have garnered interest as novel antimalarials due to their theorized ability to target unique systems found in the Plasmodium-infected erythrocyte. In this study, during the bioassay-guided fractionation of the crude extract of Streptomyces strain PR3, a group of cyclodepsipeptides, including valinomycin, and a novel class of cyclic ethers were identified and elucidated. Further study revealed that the ethers were cyclic polypropylene glycol (cPPG) oligomers that had leached into the bacterial culture from an extraction resin. Molecular dynamics analysis sug-gests that these ethers are able to bind cations such as K+, NH4+ and Na+ . Combination studies using the fixed ratio isobologram method revealed that the cPPGs synergistically improved the antiplas-modial activity of valinomycin and reduced its cytotoxicity in vitro. The IC50 of valinomycin against P. falciparum NF54 improved by 4–5-fold when valinomycin was combined with the cPPGs. Precisely, it was improved from 3.75 ± 0.77 ng/mL to 0.90 ± 0.2 ng/mL and 0.75 ± 0.08 ng/mL when dosed in the fixed ratios of 3:2 and 2:3 of valinomycin to cPPGs, respectively. Each fixed ratio combination displayed cytotoxicity (IC50) against the Chinese Hamster Ovary cell line of 57–65 µg/mL, which was lower than that of valinomycin (12.4 µg/mL). These results indicate that combinations with these novel ethers may be useful in repurposing valinomycin into a suitable and effective antimalarial. © 2021 by the authors. Licensee MDPI, Basel, Switzerland.</t>
  </si>
  <si>
    <t xml:space="preserve">Molecules</t>
  </si>
  <si>
    <t xml:space="preserve">10.3390/molecules26247494</t>
  </si>
  <si>
    <t xml:space="preserve">https://www.scopus.com/inward/record.uri?eid=2-s2.0-85121525420&amp;doi=10.3390%2fmolecules26247494&amp;partnerID=40&amp;md5=707db05a4b2db930b5df9adc98605eb8</t>
  </si>
  <si>
    <t xml:space="preserve">Division of Clinical Pharmacology, Department of Medicine, University of Cape Town, Cape Town, 7700, South Africa; Department of Molecular and Cell Biology, University of Cape Town, Cape Town, 7700, South Africa; Department of Chemistry, University of Cape Town, Cape Town, 7700, South Africa</t>
  </si>
  <si>
    <t xml:space="preserve">Watson D.J., Division of Clinical Pharmacology, Department of Medicine, University of Cape Town, Cape Town, 7700, South Africa, Department of Molecular and Cell Biology, University of Cape Town, Cape Town, 7700, South Africa; Meyers P.R., Department of Molecular and Cell Biology, University of Cape Town, Cape Town, 7700, South Africa; Acquah K.S., Department of Molecular and Cell Biology, University of Cape Town, Cape Town, 7700, South Africa, Department of Chemistry, University of Cape Town, Cape Town, 7700, South Africa; Dziwornu G.A., Department of Chemistry, University of Cape Town, Cape Town, 7700, South Africa; Barnett C.B., Department of Chemistry, University of Cape Town, Cape Town, 7700, South Africa; Wiesner L., Division of Clinical Pharmacology, Department of Medicine, University of Cape Town, Cape Town, 7700, South Africa</t>
  </si>
  <si>
    <t xml:space="preserve">Cyclic ethers; Ionophores; malaria; Polypropylene glycol; Synergy; Valinomycin</t>
  </si>
  <si>
    <t xml:space="preserve">Animals; Antimalarials; Cell Survival; CHO Cells; Cricetulus; Dose-Response Relationship, Drug; Drug Discovery; Drug Resistance; Ethers, Cyclic; Parasitic Sensitivity Tests; Plasmodium falciparum; Streptomyces; Valinomycin; antimalarial agent; ether derivative; valinomycin; animal; cell survival; chemistry; CHO cell line; Cricetulus; dose response; drug development; drug effect; drug resistance; drug sensitivity; Plasmodium falciparum; Streptomyces</t>
  </si>
  <si>
    <t xml:space="preserve">valinomycin, 2001-95-8; Antimalarials, ; Ethers, Cyclic, ; Valinomycin, </t>
  </si>
  <si>
    <t xml:space="preserve">National Research Foundation, NRF, (SFH150629121933, SFH160622173462, SFH170614240844)</t>
  </si>
  <si>
    <t xml:space="preserve">Funding: Daniel J. Watson was funded by the National Research Foundation Freestanding, Innovation and Scarce Skills Development Masters and Doctoral Scholarships 2016 (SFH150629121933), 2017 (SFH160622173462) and 2018 (SFH170614240844).</t>
  </si>
  <si>
    <t xml:space="preserve">Fong C.W., Physiology of ionophore transport of potassium and sodium ions across cell membranes: Valinomycin and 18-Crown-6 Ether, Int. J. Comput. Biol. Drug Des, 9, pp. 228-246, (2016); Bharti H., Singal A., Raza M., Ghosh P., Nag A., Ionophores as Potent Anti-malarials: A Miracle in the Making, Curr. Top. Med. Chem, 18, pp. 2029-2041, (2019); Park C.N., Lee J.M., Lee D., Kim B.S., Antifungal Activity of Valinomycin, a Peptide Antibiotic Produced by Streptomyces sp. Strain M10 Antagonistic to Botrytis Cinerea, J. Microbiol. Biotechnol, 18, pp. 880-884, (2008); Kaushik V., Yakisich J.S., Kumar A., Azad N., Iyer A.K.V., Ionophores: Potential Use as Anticancer Drugs and Chemosensitizers, Cancers, 10, (2018); Nakamura M., Kunimoto S., Takahashi Y., Naganawa H., Sakaue M., Inoue S., Ohno T., Takeuchi T., Inhibitory effects of polyethers on human immunodeficiency virus replication, Antimicrob. Agents Chemother, 36, pp. 492-494, (1992); Gumila C., Ancelin M.L., Delort A.M., Jeminet G., Vial H.J., Characterization of the Potent In Vitro and In Vivo Antimalarial Activities of Ionophore Compounds, Antimicrob. Agents Chemother, 41, pp. 523-529, (1997); Gumila C., Ancelin M.L., Jeminet G., Delort A.M., Miquel G., Vial H.J., Differential In Vitro Activities of Ionophore Compounds against Plasmodium falciparum and Mammalian Cells, Antimicrob. Agents Chemother, 40, pp. 602-608, (1996); Maron M.I., Magle C.T., Czesny B., Turturice B., Huang R., Zheng W., Vaidya A.B., Williamson K.C., Maduramicin Rapidly Eliminates Malaria Parasites and Potentiates the Gametocytocidal Activity of the Pyrazoleamide PA21A050, Antimicrob. Agents Chemother, 60, pp. 1492-1499, (2015); Vaidya A.B., Morrisey J.M., Zhang Z., Das S., Daly T.M., Otto T., Spillman N., Wyvratt M., Siegl P., Marfurt J., Et al., Pyrazoleamide compounds are potent antimalarials that target Na+ homeostasis in intraerythrocytic Plasmodium falciparum, Nat. Commun, 5, (2014); Otoguro K., Kohana A., Manabe C., Ishiyama A., Ui H., Shiomi K., Yamada H., Omura S., Potent Antimalarial Activities of Polyether Antibiotic, X-206, J. Antibiot, 54, pp. 658-663, (2001); World Malaria Report 2020, (2020); Roberts L., Drug-resistant malaria advances in Mekong, Science, 358, pp. 155-156, (2017); Noedl H., Se Y., Schaecher K., Smith B.L., Socheat D., Fukuda M.M., Evidence of artemisinin-resistant malaria in western Cambodia, N. Engl. J. Med, 359, pp. 2619-2620, (2008); Cowman A.F., Healer J., Marapana D., Marsh K., Malaria: Biology and Disease, Cell, 167, pp. 610-624, (2016); Ginsburg H., Transport pathways in the malaria-infected erythrocyte. Their characterization and their use as potential targets for chemotherapy, Biochem. Pharmacol, 48, pp. 1847-1856, (1994); Watson D., Screening of Actinobacteria for Novel Antimalarial Compounds, (2020); Wang M., Carver J.J., Phelan V.V., Sanchez L.M., Garg N., Peng Y., Nguyen D.D., Watrous J., Kapono C.A., Luzzatto-Knaan T., Et al., Sharing and community curation of mass spectrometry data with Global Natural Products Social Molecular Networking, Nat. Biotechnol, 34, pp. 828-837, (2016); Paulo B.S., Sigrist R., Angolini C.F.F., De Oliveira L.G., New Cyclodepsipeptide Derivatives Revealed by Genome Mining and Molecular Networking, ChemistrySelect, 4, pp. 7785-7790, (2019); Singh V.P., Sharma R., Sharma V., Raina C., Kapoor K.K., Kumar A., Chaubey A., Singh D., Vishwakarma R.A., Isolation of depsipeptides and optimization for enhanced production of valinomycin from the North-Western Himalayan cold desert strain Streptomyces lavendulae, J. Antibiot, 72, pp. 617-624, (2019); Wibowo J.T., Kellermann M.Y., Versluis D., Putra M.Y., Murniasih T., Mohr K.I., Wink J., Engelmann M., Praditya D.F., Steinmann E., Et al., Biotechnological Potential of Bacteria Isolated from the Sea Cucumber Holothuria leucospilota and Stichopus vastus from Lampung, Indonesia, Mar. Drugs, 17, (2019); Mohimani H., Gurevich A., Shlemov A., Mikheenko A., Korobeynikov A., Cao L., Shcherbin E., Nothias L.-F., Dorrestein P.C., Pevzner P.A., Dereplication of microbial metabolites through database search of mass spectra, Nat. Commun, 9, (2018); Gurevich A., Mikheenko A., Shlemov A., Korobeynikov A., Mohimani H., Pevzner P.A., Increased diversity of peptidic natural products revealed by modification-tolerant database search of mass spectra, Nat. Microbiol, 3, pp. 319-327, (2018); Wibowo J., Kellermann M., Kock M., Putra M., Murniasih T., Mohr K., Wink J., Praditya D., Steinmann E., Schupp P., Anti-Infective and Antiviral Activity of Valinomycin and Its Analogues from a Sea Cucumber-Associated Bacterium, Streptomyces sp. SV 21, Mar. Drugs, 19, (2021); Rindelaub J.D., Baird Z., Lindner B.A., Strantz A.A., Identifying extractable profiles from 3D printed medical devices, PLoS ONE, 14, (2019); Gavril G.-L., Wrona M., Bertella A., Swieca M., Rapa M., Salafranca J., Nerin C., Influence of medicinal and aromatic plants into risk assessment of a new bioactive packaging based on polylactic acid (PLA), Food Chem. Toxicol, 132, (2019); Arenaz P., Bitticks L., Pannell K., Garcia S., Genotoxic potential of crown ethers in mammalian cells: Induction of sister-chromatid exchanges, Mutat. Res. Toxicol, 280, pp. 109-115, (1992); Hayvali Z., Guler H., Ogutcu H., Sari N., Novel bis-crown ethers and their sodium complexes as antimicrobial agent: Synthesis and spectroscopic characterizations, Med. Chem. Res, 23, pp. 3652-3661, (2014); Michaud-Agrawal N., Denning E.J., Woolf T.B., Beckstein O., MDAnalysis: A toolkit for the analysis of molecular dynamics simulations, J. Comput. Chem, 32, pp. 2319-2327, (2011); Humphrey W., Dalke A., Schulten K., VMD: Visual molecular dynamics, J. Mol. Graph, 14, pp. 33-38, (1996); Tubiana T., Carvaillo J.-C., Boulard Y., Bressanelli S., TTClust: A Versatile Molecular Simulation Trajectory Clustering Program with Graphical Summaries, J. Chem. Inf. Model, 58, pp. 2178-2182, (2018); Weller M.G., A unifying review of bioassay-guided fractionation, effect-directed analysis and related techniques, Sensors, 12, pp. 9181-9209, (2012); Caesar L.K., Cech N.B., Synergy and antagonism in natural product extracts: When 1 + 1 does not equal 2, Nat. Prod. Rep, 36, pp. 869-888, (2019); Adovelande J., Schrevel J., Carboxylic ionophores in malaria chemotherapy: The effects of monensin and nigericin on Plasmodium falciparum in vitro and Plasmodium vinckei petteri in vivo, Life Sci, 59, pp. PL309-PL315, (1996); Matthews H., Deakin J., Rajab M., Idris-Usman M., Nirmalan N.J., Investigating antimalarial drug interactions of emetine dihydrochloride hydrate using CalcuSyn-based interactivity calculations, PLoS ONE, 12, (2017); Fivelman Q.L., Adagu I.S., Warhurst D.C., Modified Fixed-Ratio Isobologram Method for Studying In Vitro Interactions between Atovaquone and Proguanil or Dihydroartemisinin against Drug-Resistant Strains of Plasmodium falciparum, Antimicrob. Agents Chemother, 48, pp. 4097-4102, (2004); Wagner H., Ulrich-Merzenich G., Synergy research: Approaching a new generation of phytopharmaceuticals, Phytomedicine, 16, pp. 97-110, (2009); Van Vuuren S., Viljoen A., Plant-Based Antimicrobial Studies–Methods and Approaches to Study the Interaction between Natural Products, Planta Med, 77, pp. 1168-1182, (2011); Wu C.-Y., Jan J.-T., Ma S.-H., Kuo C.-J., Juan H.-F., Cheng Y.-S.E., Hsu H.-H., Huang H.-C., Wu D., Brik A., Et al., Small molecules targeting severe acute respiratory syndrome human coronavirus, Proc. Natl. Acad. Sci. USA, 101, pp. 10012-10017, (2004); Pink R., Hudson A., Mouries M.-A., Bendig M., Opportunities and Challenges in Antiparasitic Drug Discovery, Nat. Rev. Drug Discov, 4, pp. 727-741, (2005); Xu X., Xu L., Yuan G., Wang Y., Qu Y., Zhou M., Synergistic combination of two antimicrobial agents closing each other’s mutant selection windows to prevent antimicrobial resistance, Sci. Rep, 8, (2018); Ara I., Kudo T., Sphaerosporangium gen. nov., a new member of the family Streptosporangiaceae, with descriptions of three new species as Sphaerosporangium melleum sp. nov., Sphaerosporangium rubeum sp. nov. and Sphaerosporangium cinnabarinum sp. nov., and transfer of Streptosporangium viridialbum Nonomura and Ohara 1960 to Sphaerosporangium viridialbum comb. nov, Actinomycetologica, 21, pp. 11-21, (2007); Trager W., Jensen J.B., Human malaria parasites in continuous culture, Science, 193, pp. 673-675, (1976); Makler M.T., Ries J.M., Williams J.A., Bancroft J.E., Piper R.C., Gibbins B.L., Hinrichs D.J., Parasite lactate dehydrogenase as an assay for Plasmodium falciparum drug sensitivity, Am. J. Trop. Med. Hyg, 48, pp. 739-741, (1993); Pluskal T., Castillo S., Villar-Briones A., Oresic M., MZmine 2: Modular framework for processing, visualizing, and analyzing mass spectrometry-based molecular profile data, BMC Bioinform, 11, (2010); Chambers M.C., Maclean B., Burke R., Amodei D., Ruderman D.L., Neumann S., Gatto L., Fischer B., Pratt B., Egertson J., Et al., A cross-platform toolkit for mass spectrometry and proteomics, Nat. Biotechnol, 30, pp. 918-920, (2012); Shannon P., Markiel A., Ozier O., Baliga N.S., Wang J.T., Ramage D., Amin N., Schwikowski B., Ideker T., Cytoscape: A software environment for integrated models of biomolecular interaction networks, Genome Res, 13, pp. 2498-2504, (2003); Case P.A.K.D.A., Aktulga H.M., Belfon K., Ben-Shalom I.Y., Brozell S.R., Cerutti D.S., Cheatham T.E., Cisneros G.A., Cruzeiro V.W.D., Darden T.A., Et al., Amber Tools; San Fran: 2021; Jo S., Kim T., Iyer V.G., Im W., CHARMM-GUI: A web-based graphical user interface for CHARMM, J. Comput. Chem, 29, pp. 1859-1865, (2008); Eastman P., Swails J., Chodera J.D., McGibbon R.T., Zhao Y., Beauchamp K.A., Wang L.-P., Simmonett A.C., Harrigan M.P., Stern C.D., Et al., OpenMM 7: Rapid development of high performance algorithms for molecular dynamics, PLoS Comput. Biol, 13, (2017); Mosmann T., Rapid colorimetric assay for cellular growth and survival: Application to proliferation and cytotoxicity assays, J. Immunol. Methods, 65, pp. 55-63, (1983)</t>
  </si>
  <si>
    <t xml:space="preserve">D.J. Watson; Division of Clinical Pharmacology, Department of Medicine, University of Cape Town, Cape Town, 7700, South Africa; email: daniel.watson@uct.ac.za</t>
  </si>
  <si>
    <t xml:space="preserve">MOLEF</t>
  </si>
  <si>
    <t xml:space="preserve">2-s2.0-85121525420</t>
  </si>
  <si>
    <t xml:space="preserve">Nandwani S.; Bhakhri B.K.; Singh N.; Rai R.; Singh D.K.</t>
  </si>
  <si>
    <t xml:space="preserve">Nandwani, Sumi (55745203700); Bhakhri, Bhanu Kiran (36466214200); Singh, Nupur (57221731749); Rai, Ruchi (24402017800); Singh, Dharmender Kumar (57221728820)</t>
  </si>
  <si>
    <t xml:space="preserve">55745203700; 36466214200; 57221731749; 24402017800; 57221728820</t>
  </si>
  <si>
    <t xml:space="preserve">Early hematological parameters as predictors for outcomes in children with dengue in Northern India: A retrospective analysis</t>
  </si>
  <si>
    <t xml:space="preserve">Introduction: Dengue presents with a variable clinical course, ranging from mild illness to potentially fatal hemorrhage and shock. We aimed to evaluate the capabilities of various hematological parameters observed early in the course of illness for predicting the clinical outcomes of illness. Methods: We retrospectively analyzed the records of children admitted in the pediatric inpatient services of the institute with dengue between 2017 and 2019. We determined the relationships between the hematological parameters observed during the first evaluation and the various clinical outcomes. Results: We evaluated data from 613 patients (age range, 26 days to 17 years). Of these, 29.85% exhibited fever with warning signs, and 8.97% had severe dengue. Lower values of hemoglobin, platelet count, mean corpuscular volume, mean corpuscular hemoglobin concentration, and mean platelet volume, and higher values of total leukocyte count (TLC), hematocrit, and red cell distribution width variably correlated with numerous clinical outcomes—duration of hospital stay, development of complications, requirement of blood component transfusion, inotropic support, and mortality. Among the parameters, TLC ≥20,000/mL and initial platelet count ≤20,000/mL significantly associated with mortality, with odds ratios (95% confidence interval) of 11.81 (4.21–33.80) and 5.53 (1.90–16.09), respectively. Conclusions: Hematological parameters observed early during dengue infection may predict its clinical outcomes in infected children. Initial high TLC and low platelet count are potential predictors of fatal outcomes in the course of disease. © 2021, Sociedade Brasileira de Medicina Tropical. All rights reserved.</t>
  </si>
  <si>
    <t xml:space="preserve">Revista da Sociedade Brasileira de Medicina Tropical</t>
  </si>
  <si>
    <t xml:space="preserve">Sociedade Brasileira de Medicina Tropical</t>
  </si>
  <si>
    <t xml:space="preserve">e05192020</t>
  </si>
  <si>
    <t xml:space="preserve">10.1590/0037-8682-0519-2020</t>
  </si>
  <si>
    <t xml:space="preserve">https://www.scopus.com/inward/record.uri?eid=2-s2.0-85099960265&amp;doi=10.1590%2f0037-8682-0519-2020&amp;partnerID=40&amp;md5=bd70069e336e31bbae532b63f3e7271d</t>
  </si>
  <si>
    <t xml:space="preserve">Superspecialty Pediatric Hospital &amp; Postgraduate Teaching Institute, Department of Microbiology, Noida, Uttar Pradesh, India; Superspecialty Pediatric Hospital &amp; Postgraduate Teaching Institute, Department of Pediatrics, Noida, Uttar Pradesh, India; Superspecialty Pediatric Hospital &amp; Postgraduate Teaching Institute, Department of Neonatology, Noida, Uttar Pradesh, India</t>
  </si>
  <si>
    <t xml:space="preserve">Nandwani S., Superspecialty Pediatric Hospital &amp; Postgraduate Teaching Institute, Department of Microbiology, Noida, Uttar Pradesh, India; Bhakhri B.K., Superspecialty Pediatric Hospital &amp; Postgraduate Teaching Institute, Department of Pediatrics, Noida, Uttar Pradesh, India; Singh N., Superspecialty Pediatric Hospital &amp; Postgraduate Teaching Institute, Department of Pediatrics, Noida, Uttar Pradesh, India; Rai R., Superspecialty Pediatric Hospital &amp; Postgraduate Teaching Institute, Department of Neonatology, Noida, Uttar Pradesh, India; Singh D.K., Superspecialty Pediatric Hospital &amp; Postgraduate Teaching Institute, Department of Pediatrics, Noida, Uttar Pradesh, India</t>
  </si>
  <si>
    <t xml:space="preserve">Hemorrhagic fever; Leucocyte count; Mean platelet volume; Mortality predictors; Platelet count</t>
  </si>
  <si>
    <t xml:space="preserve">Adult; Child; Dengue; Hematocrit; Humans; India; Leukocyte Count; Retrospective Studies; Severe Dengue; immunoglobulin M antibody; nonstructural protein 1; abdominal pain; Article; ascites; child; clinical outcome; dengue; erythrocyte transfusion; fatality; fever; hematocrit; hemoglobin blood level; hemoperitoneum; hemorrhagic fever; hospitalization; human; human cell; India; initial platelet count; inotropism; jaundice; leukocyte count; malaria; male; mean corpuscular hemoglobin; mean corpuscular hemoglobin concentration; mean corpuscular volume; mean platelet volume; minimum platelet count; mortality; neutrophil count; palpation; platelet count; pleura effusion; receiver operating characteristic; red blood cell distribution width; retrospective study; thrombocyte transfusion; uremia; vomiting; adult; dengue; epidemiology; severe dengue</t>
  </si>
  <si>
    <t xml:space="preserve">Guo C, Zhou Z, Wen Z, Liu Y, Zeng C, Xiao D, Et al., Global Epidemiology of Dengue Outbreaks in 1990-2015: A Systematic Review and Meta-Analysis, Front Cell Infect Microbiol, 7, (2017); Garg P, Nagpal J, Khairnar P, Seneviratne SL., Economic burden of dengue infections in India, Trans R Soc Trop Med Hyg, 102, 6, pp. 570-577, (2008); Verhagen LM, de Groot R., Dengue in children, J Infect, 69, pp. S77-S86, (2014); Lee IK, Liu JW, Chen YH, Chen YC, Tsai CY, Huang SY, Et al., Development of a Simple Clinical Risk Score for Early Prediction of Severe Dengue in Adult Patients, PLoS One, 11, 5, (2016); Ho TS, Wang SM, Lin YS, Liu CC., Clinical and laboratory predictive markers for acute dengue infection, J Biomed Sci, 20, 1, (2013); Pandey N, Jain A, Garg RK, Kumar R, Agrawal OP, Lakshmana Rao PV., Serum levels of IL-8, IFNγ, IL-10, and TGF β and their gene expression levels in severe and non-severe cases of dengue virus infection, Arch Virol, 160, 6, pp. 1463-1475, (2015); Wakimoto MD, Camacho LA, Guaraldo L, Damasceno LS, Brasil P., Dengue in children: a systematic review of clinical and laboratory factors associated with severity, Expert Rev Anti Infect Ther, 13, 12, pp. 1441-1456, (2015); Mallhi TH, Khan AH, Adnan AS, Sarriff A, Khan YH, Jummaat F., Clinico-laboratory spectrum of dengue viral infection and risk factors associated with dengue hemorrhagic fever: a retrospective study, BMC Infect Dis, 15, (2015); Ali N, Usman M, Syed N, Khurshid M., Haemorrhagic manifestations and utility of haematological parameters in dengue fever: a tertiary care centre experience at Karachi, Scand J Infect Dis, 39, 11-12, pp. 1025-1028, (2007); Jayadas TTP, Kumanan T, Arasaratnam V, Gajapathy K, Surendran SN., The clinical profile, hematological parameters and liver transaminases of dengue NS1 Ag positive patients admitted to Jaffna Teaching Hospital, Sri Lanka, BMC Res Notes, 12, 1, (2019); The burden of child and maternal malnutrition and trends in its indicators in the states of India: the Global Burden of Disease Study 1990-2017, Lancet Child Adolesc Health, 3, 12, pp. 855-870, (2019); Maron GM, Clara AW, Diddle JW, Pleites EB, Miller L, Macdonald G, Et al., Association between nutritional status and severity of dengue infection in children in El Salvador, Am J Trop Med Hyg, 82, 2, pp. 324-329, (2010); Ferreira RAX, Kubelka CF, Velarde LGC, Matos JPS, Ferreira LC, Reid MM, Et al., Predictive factors of dengue severity in hospitalized children and adolescents in Rio de Janeiro, Brazil, Rev Soc Bras Med Trop, 51, 6, pp. 753-760, (2018); Wiwanitkit V, Manusvanich P., Can hematocrit and platelet determination on admission predict shock in hospitalized children with dengue hemorrhagic fever? A clinical observation from a small outbreak, Clin Appl Thromb Hemost, 10, 1, pp. 65-67, (2004); Carlos CC, Oishi K, Cinco MT, Mapua CA, Inoue S, Cruz DJ, Et al., Comparison of clinical features and hematologic abnormalities between dengue fever and dengue hemorrhagic fever among children in the Philippines, Am J Trop Med Hyg, 73, 2, pp. 435-440, (2005); Tanner L, Schreiber M, Low JG, Ong A, Tolfvenstam T, Lai YL, Et al., Decision tree algorithms predict the diagnosis and outcome of dengue fever in the early phase of illness, PLoS Negl Trop Dis, 2, 3, (2008); Kularatnam GAM, Jasinge E, Gunasena S, Samaranayake D, Senanayake MP, Wickramasinghe VP., Evaluation of biochemical and haematological changes in dengue fever and dengue hemorrhagic fever in Sri Lankan children: a prospective follow up study, BMC Pediatr, 19, 1, (2019); Fernandez E, Smieja M, Walter SD, Loeb M., A retrospective cohort study to predict severe dengue in Honduran patients, BMC Infect Dis, 17, 1, (2017); Rai S, Chakravarti A, Matlani M, Bhalla P, Aggarwal V, Singh N, Et al., Clinico-laboratory findings of patients during dengue outbreak from a tertiary care hospital in Delhi, Trop Doct, 38, 3, pp. 175-177, (2008); Chuansumrit A, Puripokai C, Butthep P, Wongtiraporn W, Sasanakul W, Tangnararatchakit K, Et al., Laboratory predictors of dengue shock syndrome during the febrile stage, Southeast Asian J Trop Med Public Health, 41, 2, pp. 326-332, (2010); Khatri S, Sabeena S, Arunkumar G, Mathew M., Utility of Platelet Parameters in Serologically Proven Dengue Cases with Thrombocytopenia, Indian J Hematol Blood Transfus, 34, 4, pp. 703-706, (2018); Sharma K, Yadav A., Association of Mean Platelet Volume with Severity, Serology &amp; Treatment Outcome in Dengue Fever: Prognostic Utility, J Clin Diagn Res, 9, 11, pp. EC01-EC03, (2015); Pinto RC, Castro DB, Albuquerque BC, Sampaio Vde S, Passos RA, Costa CF, Et al., Mortality Predictors in Patients with Severe Dengue in the State of Amazonas, Brazil, PLoS One, 11, 8, (2016)</t>
  </si>
  <si>
    <t xml:space="preserve">B.K. Bhakhri; Superspecialty Pediatric Hospital &amp; Postgraduate Teaching Institute, Department of Pediatrics, Noida, Uttar Pradesh, India; email: drbhanu04@gmail.com</t>
  </si>
  <si>
    <t xml:space="preserve">RSBTB</t>
  </si>
  <si>
    <t xml:space="preserve">Rev. Soc. Bras. Med. Trop.</t>
  </si>
  <si>
    <t xml:space="preserve">2-s2.0-85099960265</t>
  </si>
  <si>
    <t xml:space="preserve">Srivastava A.; Rengaraju M.; Srivastava S.; Narayanan V.; Gupta V.; Upadhayay R.; Kumar J.; Parameswaran S.; KanakavalliKadarkarai; AarthiVelmurugan</t>
  </si>
  <si>
    <t xml:space="preserve">Srivastava, Anurag (59101749100); Rengaraju, Manickavasagam (57221946255); Srivastava, Saurabh (57206565606); Narayanan, Vimal (57204181079); Gupta, Vivek (56978548300); Upadhayay, Rashmi (55566999800); Kumar, Jitender (59284929300); Parameswaran, Sathiyarajeswaran (57208908892); KanakavalliKadarkarai (57233365800); AarthiVelmurugan (57234347100)</t>
  </si>
  <si>
    <t xml:space="preserve">59101749100; 57221946255; 57206565606; 57204181079; 56978548300; 55566999800; 59284929300; 57208908892; 57233365800; 57234347100</t>
  </si>
  <si>
    <t xml:space="preserve">Efficacy of two siddha polyherbal decoctions, Nilavembu Kudineer and Kaba Sura Kudineer, along with standard allopathy treatment in the management of mild to moderate symptomatic COVID-19 patients—a double-blind, placebo-controlled, clinical trial</t>
  </si>
  <si>
    <t xml:space="preserve">Background and aim: Globally, the ongoing pursuit in exploring an effective drug to combat severe acute respiratory syndrome coronavirus-2 (SARS-CoV-2) virus has not met with significant success to date. Indian traditional medicines, especially polyherbal formulations like Nilavembu Kudineer (NVK) and Kaba Sura Kudineer (KSK) of the Siddha system of medicine, have been used as public health interventions for controlling viral epidemics like dengue and Chikungunya. These traditional therapies have been found safe, effective, and widely accepted. The current study evaluates the comparative efficacy of NVK and KSK as opposed to the placebo, in the management of mild to moderate COVID-19 disease. Methods: The study was a double-blind, placebo-controlled comparative clinical trial, with the primary objective of determining the efficacy of KSK and NVK. Patients (n=125) diagnosed with mild to moderate COVID-19 symptoms were enrolled in the study over a period of 4 months (Aug 2020—Dec 2020). Participants were randomized into 3 arms; placebo-decaffeinated tea in Arm I, NVK in Arm II, and KSK in Arm III. Each arm received 60 ml of the respective treatment twice a day, post morning and evening meals, along with standard allopathy treatment for a maximum of 10 days. The main outcome measures of the study were the reduction in SARS-CoV-2 viral load, hospital stay, and time taken by the patients to become asymptomatic from symptomatic. Efficacy assessments included clinical symptoms (fever, cough, and breathlessness) each day and real-time reverse transcription-polymerase chain reaction (RT-PCR), liver function test (LFT), renal function test (RFT), and electrolytes and electrocardiogram (ECG) at baseline (day 0) and days 3, 6, and 10. Post-treatment, participants were followed up for 30 days via phone for adverse effects if any. Effects of drugs on inflammatory markers (IL6) at the end of treatment were also recorded. Adverse events (AE) were monitored throughout the study. Results: The results revealed that when compared to patients in the placebo arm, those in NVK and KSK arms showed a statistically significant reduction in hospital stay time, reduction in viral load of SARS-CoV-2, and the time taken to become symptomatic from asymptomatic. Out of 125 COVID-19 patients recruited, 120 completed the study; two from the placebo group developed severe symptoms and were shifted to the intensive care unit (ICU) and three patients from Arms II and III withdrew from the study. The mean age of females (n=60) and males (n=60) enrolled was between 40.2 and 44.3 years, respectively. Results were more promising for all the patients in NVK and KSK arms as all enrolled participants (100%) under this group got discharged by day 6 as compared to only 42.5% (n=17) from the placebo group on that day. The hospital stay time for patients in Arm I was significantly longer (mean [SD]=8.4 [2.0] days) as compared to the Arms II and III (mean [SD]=4.7 [1.5] and 4.2 [1.5] days, respectively (Kruskal-Wallis test, P=0.0001). Patients in the three groups took a significantly different number of days to become asymptomatic. While Arm II and III patients took mean of 2.5 and 1.7 days, respectively, Arm I, patients took a mean of 4.2 days (Kruskal-Wallis test, P=0.0001). In all, two adverse events were recorded, one for vomiting and one for diarrhea lasting a day in Arm I and Arm II, respectively. The mean value of interleukin-6 (IL6) was significantly different in comparison to the placebo-decaffeinated tea arm (NVK=2.6 and KSK=2.2, placebo=4.0, P=0.02). The other blood biochemical parameters like C-reactive protein (CRP), lactate dehydrogenase (LDH), ferritin, and D-dimer that were analyzed at the baseline and at the time of discharge from the hospital, were not significantly different in the three arms. Conclusion: NVK and KSK arms showed a statistically significant reduction in hospital stay time, reduction in viral load of SARS-CoV-2, and time taken for patients to become asymptomatic from symptomatic, when compared to the placebo (decaffeinated tea). The primary outcome measures of the KSK arm were significantly better than those in the NVK arm. © 2021, The Author(s).</t>
  </si>
  <si>
    <t xml:space="preserve">Trials</t>
  </si>
  <si>
    <t xml:space="preserve">10.1186/s13063-021-05478-0</t>
  </si>
  <si>
    <t xml:space="preserve">https://www.scopus.com/inward/record.uri?eid=2-s2.0-85113597383&amp;doi=10.1186%2fs13063-021-05478-0&amp;partnerID=40&amp;md5=ef3f1fbe40b668cba25a92bb1b452065</t>
  </si>
  <si>
    <t xml:space="preserve">Government Institute of Medical Sciences (GIMS), Greater Noida, India; Siddha Clinical Research Unit, Safdarjung Hospital, New Delhi, India; Centre for Computational Biology and Bioinformatics, Amity University Uttar Pradesh, Noida, India; Siddha Central Research Institute, Chennai, India; Central Council for Research in Siddha, Chennai, India</t>
  </si>
  <si>
    <t xml:space="preserve">Srivastava A., Government Institute of Medical Sciences (GIMS), Greater Noida, India; Rengaraju M., Siddha Clinical Research Unit, Safdarjung Hospital, New Delhi, India; Srivastava S., Government Institute of Medical Sciences (GIMS), Greater Noida, India; Narayanan V., Siddha Clinical Research Unit, Safdarjung Hospital, New Delhi, India; Gupta V., Government Institute of Medical Sciences (GIMS), Greater Noida, India; Upadhayay R., Government Institute of Medical Sciences (GIMS), Greater Noida, India; Kumar J., Centre for Computational Biology and Bioinformatics, Amity University Uttar Pradesh, Noida, India; Parameswaran S., Siddha Central Research Institute, Chennai, India; KanakavalliKadarkarai, Central Council for Research in Siddha, Chennai, India; AarthiVelmurugan, Central Council for Research in Siddha, Chennai, India</t>
  </si>
  <si>
    <t xml:space="preserve">Double-blinded RCT; Kaba Sura Kudineer; Mild to moderate COVID-19; Nilavembu Kudineer; Siddha medicine</t>
  </si>
  <si>
    <t xml:space="preserve">COVID-19; Diarrhea; Double-Blind Method; Drug-Related Side Effects and Adverse Reactions; Female; Humans; Male; Middle Aged; SARS-CoV-2; D dimer; Kaba sura kudineer decoction; Nilavembu kudineer decoction; placebo; plant medicinal product; unclassified drug; allopathy; Article; breathing rate; clinical outcome; comparative effectiveness; controlled study; coronavirus disease 2019; double blind procedure; drug efficacy; electrocardiogram; estimated glomerular filtration rate; female; high performance thin layer chromatography; human; male; oxygen saturation; randomized controlled trial; Severe acute respiratory syndrome coronavirus 2; Siddha medicine; virus load; adverse drug reaction; diarrhea; middle aged</t>
  </si>
  <si>
    <t xml:space="preserve">CCRS; Central Council for Research in Siddha; Government Institute of Medical Sciences; SRM Medical University; Siddha Clinical Research Unit; VMMC &amp; Safdarjung Hospital</t>
  </si>
  <si>
    <t xml:space="preserve">Funding text 1: The trial is funded by the Central Council for Research in Siddha (CCRS), Min. of AYUSH, GIMS Greater Noida, Uttar Pradesh, India. ; Funding text 2: The authors express their sincere gratitude towards the administrative and technical support given by the following experts. Brigadier Dr. Rakesh Kumar Gupta, Director, Government Institute of Medical Sciences, (GIMS) Greater Noida, UP. Prof. Dr. Jugal Kishore, Director, HOD-Department of Community Medicine, VMMC &amp; Safdarjung Hospital, New Delhi. Prof. Dr. Padma Venkat, Dean, School of Public Health, SRM Medical University, Chennai (as a Mentor assigned by the Project Monitoring Unit ? Constituted by Min. of AYUSH, Government of India). The authors also would like to appreciate the involvement of other supporting staff in this study from both the Siddha Clinical Research Unit, New Delhi, and the Government Institute of Medical Sciences, Greater Noida, Uttar Pradesh.</t>
  </si>
  <si>
    <t xml:space="preserve">Chan J.F., Yuan S., Kok K.H., To K.K., Chu H., Yang J., Et al., A familial cluster of pneumonia associated with the 2019 novel corona virus indicating person-to-person transmission: a study of a family cluster, Lancet, 395, 10223, pp. 514-523, (2020); Jain J., Kumar A., Narayanan V., Ramaswamy R.S., Sathiyarajeswaran P., Devi M.S., Et al., Antiviral activity of ethanolic extract of Nilavembu Kudineer against dengue and chikungunya virus through in vitro evaluation, J Ayurveda Integr Med, 11, 3, pp. 329-335, (2020); Chan K.W., Wong V.T., Tang S.C., COVID-19: an update on the epidemiological, clinical, preventive and therapeutic evidence and guidelines of integrative Chinese–Western medicine for the management of 2019 novel corona virus disease, Am J Chinese Med, 48, 3, pp. 737-762, (2020); Susila R., Kannan M., Sathiyarajeswaran P., Et al., Analogy of Kaba Suram in siddha with COVID-19, Int J Ayurvedic Med, 11, pp. 616-621, (2020); Advisory from Ministry of AYUSH for meeting the challenges arising out of spread of corona virus in India, (2020); Anbarasu K., Mani Senthil K.K., Ramachandran S., Antipyretic, anti-inflammatory and analgesic properties of Nilavembu Kudineer choornam: a classical preparation used in the treatment of chikungunya fever, Asian Pac J Trop Med, 4, 10, pp. 819-823, (2011); Devaraj E., Appavu P.R., Krishnamoorthy V.K., Et al., Safety evaluation of an antiviral polyherbal drug of siddha medicine in Wistar rats, Ind J Trd Med, 18, pp. 531-535, (2019); Mekala P., Murthy T.G., Phytochemical screening and pharmacological update on Kaba Sura Kudineer Choornam and Nilavembu KudineerChoornam, J Pharmacognosy Phytochemistry, 9, 3, pp. 1031-1036, (2020); Christian G.J., Subramanian M., Periyasami D., Manickavasakam K., Gunasekaran P., Sivasubramanian S., Et al., Protective effect of Polyherbal siddha formulation-Nilavembu Kudineer against common viral fevers including dengue-a case-control approach, Int J Pharm Sci Res, 6, 4, (2015); Kalai A., Et al., A combination of Nilavembu Kudineer and Adathodai Manapagu in the management of dengue fever, Int J Curr Res, 5, 4, pp. 978-981, (2013); Vanan T., A Review on “Kapa Sura Kudineer”-a Siddha Formulary Prediction for Swine Flu, pp. 376-383, (2015); Pitchiah Kumar M., Meenakshi Sundaram K., Ramasamy M.S., Coronavirus spike (S) glycoprotein (2019-ncov) targeted siddha medicines Kaba Sura Kudineer and Thontha Sura Kudineer–in silico evidence for corona viral drug, Asian J Pharm Res Health Care, 12, 1, pp. 20-27, (2020); Kiran G., Karthik L., Devi M.S., Sathiyarajeswaran P., Kanakavalli K., Kumar K.M., Et al., In silico computational screening of Kaba Sura Kudineer-official siddha formulation and JACOM against SARS-CoV-2 spike protein, J Ayurveda Integr Med, (2020); John A., Jayachandran R., Ethirajulu S., Sathiyarajeswaran P., Analysis of Kaba Sura Kudineer Chooranam-a siddha formulation, Int Ayurvedic Med J, 3, 9, pp. 2915-2920, (2015); Neethu D., Anti-inflammatory, antipyretic and antibacterial study of Kaba Sura Kudineer Choornam, Int J Curr Adv Res, 7, 2, pp. 9992-9997, (2017); Sathiyarajeswaran P., Arivarasan V.K., Shree Devi M.S.; Jamuna D., Sathiyarajeswaran P., Devi M.S., Kanakavalli K., Vinod N.P., Nirmala A., Et al., Survival analysis to assess the length of stay of novel coronavirus (COVID-19) patients under integrated medicine-zinc, vitamin C &amp;Kaba Sura Kudineer (ZVcKK), Eur J Mol Clin Med, 7, 10, pp. 1375-1387, (2021); Natarajan S., Anbarasi C., Sathiyarajeswaran P., Manickam P., Geetha S., Kathiravan R., Et al., The efficacy of siddha medicine, Kaba Sura Kudineer (KSK) compared to vitamin C &amp; zinc (CZ) supplementation in the management of asymptomatic COVID-19 cases: a structured summary of a study protocol for a randomized controlled trial, Trials., 21, 1, pp. 1-2, (2020); Anurag S., Manickavasagam R., Saurabh S., Vimal N., Vivek G., Rashmi U., A double blinded placebo controlled comparative clinical trial to evaluate the effectiveness of siddha medicines, Kaba Sura Kudineer (KSK) &amp; Nilavembu Kudineer (NVK) along with standard allopathy treatment in the management of symptomatic COVID 19 patients – a structured summary of a study protocol for a randomized controlled trial, BMC J Trials, 22, (2021); Marshall J.C., Murthy S., Diaz J., Adhikari N., Angus D.C., Arabi Y.M., Et al., A minimal common outcome measure set for COVID-19 clinical research, Lancet Infect Dis, 12, (2020); Siddhaguidlines_V4a.Cdr</t>
  </si>
  <si>
    <t xml:space="preserve">M. Rengaraju; Siddha Clinical Research Unit, Safdarjung Hospital, New Delhi, India; email: rosiddha.del-ayush@gov.in</t>
  </si>
  <si>
    <t xml:space="preserve">2-s2.0-85113597383</t>
  </si>
  <si>
    <t xml:space="preserve">Reiker T.; Golumbeanu M.; Shattock A.; Burgert L.; Smith T.A.; Filippi S.; Cameron E.; Penny M.A.</t>
  </si>
  <si>
    <t xml:space="preserve">Reiker, Theresa (57210285559); Golumbeanu, Monica (56487769000); Shattock, Andrew (56526767800); Burgert, Lydia (57215665341); Smith, Thomas A. (55574197716); Filippi, Sarah (55241604600); Cameron, Ewan (14071182200); Penny, Melissa A. (24740980300)</t>
  </si>
  <si>
    <t xml:space="preserve">57210285559; 56487769000; 56526767800; 57215665341; 55574197716; 55241604600; 14071182200; 24740980300</t>
  </si>
  <si>
    <t xml:space="preserve">Emulator-based Bayesian optimization for efficient multi-objective calibration of an individual-based model of malaria</t>
  </si>
  <si>
    <t xml:space="preserve">Individual-based models have become important tools in the global battle against infectious diseases, yet model complexity can make calibration to biological and epidemiological data challenging. We propose using a Bayesian optimization framework employing Gaussian process or machine learning emulator functions to calibrate a complex malaria transmission simulator. We demonstrate our approach by optimizing over a high-dimensional parameter space with respect to a portfolio of multiple fitting objectives built from datasets capturing the natural history of malaria transmission and disease progression. Our approach quickly outperforms previous calibrations, yielding an improved final goodness of fit. Per-objective parameter importance and sensitivity diagnostics provided by our approach offer epidemiological insights and enhance trust in predictions through greater interpretability. © 2021, The Author(s).</t>
  </si>
  <si>
    <t xml:space="preserve">10.1038/s41467-021-27486-z</t>
  </si>
  <si>
    <t xml:space="preserve">https://www.scopus.com/inward/record.uri?eid=2-s2.0-85122323286&amp;doi=10.1038%2fs41467-021-27486-z&amp;partnerID=40&amp;md5=c080693f46a4138d007e7f741f03b22e</t>
  </si>
  <si>
    <t xml:space="preserve">Swiss Tropical and Public Health Institute, Basel, Switzerland; University of Basel, Basel, Switzerland; Imperial College London, London, United Kingdom; Malaria Atlas Project, Big Data Institute, University of Oxford, Oxford, United Kingdom; Curtin University, Perth, Australia; Telethon Kids Institute, Perth Children’s Hospital, Perth, Australia</t>
  </si>
  <si>
    <t xml:space="preserve">Reiker T., Swiss Tropical and Public Health Institute, Basel, Switzerland, University of Basel, Basel, Switzerland; Golumbeanu M., Swiss Tropical and Public Health Institute, Basel, Switzerland, University of Basel, Basel, Switzerland; Shattock A., Swiss Tropical and Public Health Institute, Basel, Switzerland, University of Basel, Basel, Switzerland; Burgert L., Swiss Tropical and Public Health Institute, Basel, Switzerland, University of Basel, Basel, Switzerland; Smith T.A., Swiss Tropical and Public Health Institute, Basel, Switzerland, University of Basel, Basel, Switzerland; Filippi S., Imperial College London, London, United Kingdom; Cameron E., Malaria Atlas Project, Big Data Institute, University of Oxford, Oxford, United Kingdom, Curtin University, Perth, Australia, Telethon Kids Institute, Perth Children’s Hospital, Perth, Australia; Penny M.A., Swiss Tropical and Public Health Institute, Basel, Switzerland, University of Basel, Basel, Switzerland</t>
  </si>
  <si>
    <t xml:space="preserve">Algorithms; Bayes Theorem; Calibration; Communicable Diseases; Computer Simulation; Disease Progression; Humans; Machine Learning; Malaria; Models, Biological; Normal Distribution; Software; Bayesian analysis; calibration; epidemiology; machine learning; malaria; optimization; all cause mortality; Article; Bayesian learning; bayesian optimization framework; calibration; comparative effectiveness; correlation function; disease severity; disease transmission; genetic algorithm; human; learning algorithm; machine learning; malaria; mathematical analysis; measurement accuracy; mortality; nonhuman; normal distribution; outcome assessment; prediction; prevalence; seasonal variation; sensitivity analysis; software; time series analysis; validation process; algorithm; Bayes theorem; biological model; calibration; communicable disease; computer simulation; disease exacerbation; machine learning; malaria</t>
  </si>
  <si>
    <t xml:space="preserve">Bill and Melinda Gates Foundation, BMGF, (OPP1032350); Bill and Melinda Gates Foundation, BMGF; Schweizerischer Nationalfonds zur Förderung der Wissenschaftlichen Forschung, SNF, (PP00P3_170702); Schweizerischer Nationalfonds zur Förderung der Wissenschaftlichen Forschung, SNF; Curtin University of Technology, (OPP1197730); Curtin University of Technology</t>
  </si>
  <si>
    <t xml:space="preserve">We acknowledge and thank our colleagues in the Swiss TPH Disease Modeling unit. Calculations were performed at sciCORE (http://scicore.unibas.ch/) scientific computing core facility at University of Basel. The work was funded by the Swiss National Science Foundation through SNSF Professorship of M.A.P. (PP00P3_170702) supporting M.A.P., M.G., and L.B. T.R. was supported by Bill &amp; Melinda Gates Foundation Project OPP1032350 to T.A.S. EC’s research is supported by funding from the Bill and Melinda Gates Foundation to Curtin University (Opportunity ID: OPP1197730).</t>
  </si>
  <si>
    <t xml:space="preserve">Deangelis D.L., Grimm V., Individual-based models in ecology after four decades, 6, (2014); Willem L., Verelst F., Bilcke J., Hens N., Beutels P., Lessons from a decade of individual-based models for infectious disease transmission: a systematic review (2006–2015), BMC Infect. Dis., 17, (2017); Smith T., Et al., Towards a comprehensive simulation model of malaria epidemiology and control, Parasitology, 135, pp. 1507-1516, (2008); Gomes M.F., Assessing the international spreading risk associated with the 2014 west african ebola outbreak, Plos Curr; Ferguson N., Report 9: impact of non-pharmaceutical interventions (NPIs) to reduce COVID19 mortality and healthcare demand, Imp. Coll. Lond., 10, (2020); Cohen T., Et al., Are survey-based estimates of the burden of drug resistant TB too low? Insight from a simulation study, PLoS ONE, 3, (2008); Halloran M.E., Et al., Modeling targeted layered containment of an influenza pandemic in the United States, Proc. Natl Acad. Sci. USA, 105, pp. 4639-4644, (2008); Perkins T.A., Et al., An agent-based model of dengue virus transmission shows how uncertainty about breakthrough infections influences vaccination impact projections, PLoS Comput. Biol., 15, (2019); Chitnis N., Hardy D., Smith T., A periodically-forced mathematical model for the seasonal dynamics of malaria in mosquitoes, Bull. Math. Biol., 74, pp. 1098-1124, (2012); Cameron E., Et al., Defining the relationship between infection prevalence and clinical incidence of Plasmodium falciparum malaria, Nat. Commun., 6, (2015); Eckhoff P.A., Malaria parasite diversity and transmission intensity affect development of parasitological immunity in a mathematical model, Malar. J., 11, (2012); Penny M.A., Et al., Public health impact and cost-effectiveness of the RTS,S/AS01 malaria vaccine: a systematic comparison of predictions from four mathematical models, Lancet, 387, pp. 367-375, (2016); Slater H.C., Walker P.G., Bousema T., Okell L.C., Ghani A.C., The potential impact of adding ivermectin to a mass treatment intervention to reduce malaria transmission: a modelling study, J. Infect. Dis., 210, pp. 1972-1980, (2014); Bhatt S., Et al., Improved prediction accuracy for disease risk mapping using Gaussian process stacked generalization, J. R. Soc. Interface, 14, (2017); Winskill P., Walker P.G., Griffin J.T., Ghani A.C., Modelling the cost-effectiveness of introducing the RTS,S malaria vaccine relative to scaling up other malaria interventions in sub-Saharan Africa, BMJ Glob. Health, 2, (2017); Nguyen T.D., Et al., Optimum population-level use of artemisinin combination therapies: a modelling study, Lancet Glob. Health, 3, pp. e758-e766, (2015); Brady O.J., Et al., Role of mass drug administration in elimination of Plasmodium falciparum malaria: a consensus modelling study, Lancet Glob. Health, 5, pp. e680-e687, (2017); Organization W.H., Malaria vaccine: WHO position paper–January 2016, Wkly. Epidemiol. Rec.= Relev. épidémiol. Hebd., 91, pp. 33-52, (2016); Okell L., Et al., Consensus modelling evidence to support the design of mass drug administration programmes, Malaria Policy Advisory Committee Meeting, pp. 16-18, (2015); Runge M., Et al., Simulating the council-specific impact of anti-malaria interventions: a tool to support malaria strategic planning in Tanzania, PLoS ONE, 15, (2020); Smith T., Et al., Ensemble modeling of the likely public health impact of a pre-erythrocytic malaria vaccine, PLoS Med., 9, (2012); Bellman R.E., Dynamic Programming, (1957); Craig A., Astronomers Count the Stars, (2003); Smith T., Et al., Mathematical modeling of the impact of malaria vaccines on the clinical epidemiology and natural history of Plasmodium falciparum malaria: overview, Am. J. Trop. Med. Hyg., 75, pp. 1-10, (2006); Goldberg D.E., (1989); Oliveto P.S., Paixao T., Perez Heredia J., Sudholt D., Trubenova B., When non-elitism outperforms elitism for crossing fitness valleys. Proc, Genetic and Evolutionary Computation Conference, 2016, pp. 1163-1170, (2016); Hazelbag C.M., Dushoff J., Dominic E.M., Mthombothi Z.E., Delva W., Calibration of individual-based models to epidemiological data: a systematic review, PLoS Comput. Biol., 16, (2020); Eckhoff P.A., A malaria transmission-directed model of mosquito life cycle and ecology, Malar. J., 10, (2011); Eckhoff P., P. falciparum infection durations and infectiousness are shaped by antigenic variation and innate and adaptive host immunity in a mathematical model, PLoS ONE, 7, (2012); Eckhoff P., Mathematical models of within-host and transmission dynamics to determine effects of malaria interventions in a variety of transmission settings, Am. J. Trop. Med. Hyg., 88, pp. 817-827, (2013); Griffin J.T., Et al., Reducing Plasmodium falciparum malaria transmission in Africa: a model-based evaluation of intervention strategies, PLoS Med, 7, (2010); Griffin J.T., Ferguson N.M., Ghani A.C., Estimates of the changing age-burden of Plasmodium falciparum malaria disease in sub-Saharan Africa, Nat. Commun., 5, pp. 1-10, (2014); Fer I., Et al., Linking big models to big data: efficient ecosystem model calibration through Bayesian model emulation, Biogeosciences (Online), 15, pp. 5801-5830, (2018); Mockus. J., Bayesian Approach to Global Optimization, pp. 125-156, (1989); Kennedy M.C., O'Hagan A., Bayesian calibration of computer models, J. R. Stat. Soc.: Ser. B (Stat. Methodol.), 63, pp. 425-464, (2001); Chong A., Menberg K., Guidelines for the Bayesian calibration of building energy models, Energy Build., 174, pp. 527-547, (2018); Gramacy R.B., Et al., Calibrating a large computer experiment simulating radiative shock hydrodynamics, Ann. Appl. Stat., 9, pp. 1141-1168, (2015); Snoek J., Larochelle H., Adams R.P., Practical bayesian optimization of machine learning algorithms, Adv. Neural Inf. Process. Syst., 25, pp. 2951-2959, (2012); Snoek J., Et al., Scalable Bayesian optimization using deep neural networks, International Conference on Machine Learning, pp. 2171-2180, (2015); Wolpert D.H., Stacked generalization, Neural Netw., 5, pp. 241-259, (1992); Sobol I.M., Sensitivity analysis for non-linear mathematical models, Math. Model. Comput. Exp., 1, pp. 407-414, (1993); Benkeser D., Ju C., Lendle S., van der Laan M., Online cross‐validation‐based ensemble learning, Stat. Med., 37, pp. 249-260, (2018); Breiman L., Stacked regressions, Mach. Learn., 24, pp. 49-64, (1996); van Der Laan M.J., Polley E.C., Hubbard A.E., Super Learner. Stat. Appl. Genet. Mol. Biol, 6, (2007); Sill J., Takacs G., Mackey L., Lin D., Feature-weighted linear stacking, (2009); Srinivas N., Krause A., Kakade S.M., Seeger M., Gaussian process optimization in the bandit setting: No regret and experimental design, (2009); Baker E., Et al., Analyzing stochastic computer models: A review with opportunities, (2020); Moriconi R., Deisenroth M.P., Kumar K.S., High-dimensional Bayesian optimization using low-dimensional feature spaces, Mach. Learn., 109, pp. 1925-1943, (2020); Zhou D., Li L., Gu Q., Neural contextual bandits with UCB-based exploration. International Conference on Machine Learning, pp. 11492-11502, (2020); Marler R.T., Arora J.S., The weighted sum method for multi-objective optimization: new insights, Struct. Multidiscip. Optim., 41, pp. 853-862, (2010); Binois M., Gramacy R.B., Ludkovski M., Practical heteroscedastic gaussian process modeling for large simulation experiments, J. Comput. Graph. Stat., 27, pp. 808-821, (2018); Hadji A., Szabo B., Can we trust Bayesian uncertainty quantification from Gaussian process priors with squared exponential covariance kernel?, SIAM/ASA Journal on Uncertainty Quantification, 9, pp. 185-230, (2021); Foresee F.D., Hagan M.T., Gauss-Newton approximation to Bayesian learning, Proceedings of International Conference on Neural Networks (ICNN'97)., 3, pp. 1930-1935, (1997); MacKay D.J., Bayesian interpolation, Neural Comput., 4, pp. 415-447, (1992); Rodriguez P., Gianola D.; Hastie T., Tibshirani R., Friedman J., The Elements of Statistical Learning: Data Mining, Inference, and Prediction., 2, (2009); Breiman L., Random forests, Mach. Learn., 45, pp. 5-32, (2001); Liaw A., Wiener M., Breiman L., Cutler A.; Chitnis N., Et al., Theory of reactive interventions in the elimination and control of malaria, Malar. J., 18, (2019); Reiker T., Chitnis N., Smith T., Modelling reactive case detection strategies for interrupting transmission of Plasmodium falciparum malaria, Malar. J., 18, (2019); Cauwet M.-L., Et al., Fully parallel hyperparameter search: Reshaped space-filling, Proceedings of the 37Th International Conference on Machine Learning, PMLR, 119, pp. 1338-1348, (2020); Kucherenko S., Albrecht D., Saltelli A., Exploring multi-dimensional spaces: A comparison of Latin hypercube and quasi Monte Carlo sampling techniques, (2015); Smith D.L., Et al., Ross, Macdonald, and a theory for the dynamics and control of mosquito-transmitted pathogens, PLoS Pathog., 8, (2012); Auer P., Using confidence bounds for exploitation-exploration trade-offs, J. Mach. Learn. Res., 3, pp. 397-422, (2002); Brochu E., Cora V.M., de Freitas N., A tutorial on Bayesian optimization of expensive cost functions, with application to active user modeling and hierarchical reinforcement learning, (2010); Binois M., Gramacy R.; Bischl B., Et al., mlr: machine learning in R, J. Mach. Learn. Res., 17, pp. 5938-5942, (2016); Ripley B., Venables W., Ripley M.B.; Hastie T., Qian J., Glmnet vignette, Retrieved June, 9, pp. 1-30, (2014); Hofner B., Mayr A., Robinzonov N., Schmid M., Model-based boosting in R: a hands-on tutorial using the R package mboost, Comput. Stat., 29, pp. 3-35, (2014); Mda: Mixture and flexible discriminant analysis, R Package Version 0.4-4, (2013); Cubist: Rule-and instance-based regression Modeling, Package 'Cubist'., (2018); Package ‘randomForestSRC’., (2020); Wright M.N., Ziegler A., Ranger: A fast implementation of random forests for high dimensional data in C++ and R, (2015); Meinshausen N., Meinshausen M.N.; Jansen M.J., Analysis of variance designs for model output, Comput. Phys. Commun., 117, pp. 35-43, (1999); Saltelli A., Et al., Variance based sensitivity analysis of model output. Design and estimator for the total sensitivity index, Comput. Phys. Commun., 181, pp. 259-270, (2010); Iooss B., Package ‘sensitivity’, (2021)</t>
  </si>
  <si>
    <t xml:space="preserve">M.A. Penny; Swiss Tropical and Public Health Institute, Basel, Switzerland; email: melissa.penny@unibas.ch</t>
  </si>
  <si>
    <t xml:space="preserve">2-s2.0-85122323286</t>
  </si>
  <si>
    <t xml:space="preserve">Yang X.; Tang T.; Yang Z.; Liu L.; Yuan S.; Zhang T.</t>
  </si>
  <si>
    <t xml:space="preserve">Yang, Xiaotong (57222994354); Tang, Tingting (57212265869); Yang, Zhikang (57222988245); Liu, Lu (57853962000); Yuan, Shuyi (57211754059); Zhang, Tai (57190189904)</t>
  </si>
  <si>
    <t xml:space="preserve">57222994354; 57212265869; 57222988245; 57853962000; 57211754059; 57190189904</t>
  </si>
  <si>
    <t xml:space="preserve">Evaluation of measles vaccination coverage in Lincang City, Yunnan Province, China</t>
  </si>
  <si>
    <t xml:space="preserve">Background: Lincang City in Yunnan Province on the China-Myanmar border, has reached the World Health Organization recommended coverage (95%) for measles-containing vaccine (MCV), but measles outbreaks still occur. We conducted a survey in Lincang City to determine the measles vaccination status of children on the China–Myanmar border. Methods: We used multistage sampling among children aged 8–83 months. Information on measles vaccination status was obtained from the child’s vaccination certificate, and serum samples were tested using commercially available ELISA kits. Results: A total of 938 children were surveyed. The vaccination coverage rate was 98.9% (95% CI: 98.2–99.6%) for measles–containing vaccine dose 1 (MCV1), and 95.8% (95% CI:94.9–96.7%) for measles–containing vaccine dose 2 (MCV2). The timely vaccination coverage rate was 52.0% (95% CI:48.8–55.2%) for MCV1, and 74.1% (95% CI: 82.9–89.0%) for MCV2. The timely-and–complete vaccination coverage rate was 41.0% (95% CI: 36.7–45.3%). The median delay period was 33 (95% CI: 27–39) days for MCV1, and 196 (95% CI: 146–246) days for MCV2. The seropositivity rate in children aged less than 7 years was 94.0% (95% CI: 92.5–95.5%) with a geometric mean titer of 1210.1 mIU/mL. Conclusions: The MCV coverage was high, but timely and timely-and-complete vaccination coverage were low and insufficient to prevent measles outbreaks. It is necessary to add the timely and timely-and-complete vaccination coverage as indicators of vaccination to provide a more complete picture of measles immunization status. © 2021 Taylor &amp; Francis Group, LLC.</t>
  </si>
  <si>
    <t xml:space="preserve">Human Vaccines and Immunotherapeutics</t>
  </si>
  <si>
    <t xml:space="preserve">10.1080/21645515.2021.1911215</t>
  </si>
  <si>
    <t xml:space="preserve">https://www.scopus.com/inward/record.uri?eid=2-s2.0-85104320320&amp;doi=10.1080%2f21645515.2021.1911215&amp;partnerID=40&amp;md5=a0c933c52a205a3262712632d9b7a791</t>
  </si>
  <si>
    <t xml:space="preserve">Epidemiology and Biostatistics Unit, Faculty of Public Health, Dali University, Dali, China; Department of Expanded Program on Immunization, Yunnan Center for Disease Control and Prevention, Kunming, China; Expanded Program on Immunization Department, Lincang Center for Disease Control and Prevention, Lincang City, China</t>
  </si>
  <si>
    <t xml:space="preserve">Yang X., Epidemiology and Biostatistics Unit, Faculty of Public Health, Dali University, Dali, China; Tang T., Department of Expanded Program on Immunization, Yunnan Center for Disease Control and Prevention, Kunming, China; Yang Z., Epidemiology and Biostatistics Unit, Faculty of Public Health, Dali University, Dali, China; Liu L., Epidemiology and Biostatistics Unit, Faculty of Public Health, Dali University, Dali, China; Yuan S., Expanded Program on Immunization Department, Lincang Center for Disease Control and Prevention, Lincang City, China; Zhang T., Epidemiology and Biostatistics Unit, Faculty of Public Health, Dali University, Dali, China</t>
  </si>
  <si>
    <t xml:space="preserve">China; international borders; Measles; seroepidemiology; timely vaccination coverage rate; vaccination</t>
  </si>
  <si>
    <t xml:space="preserve">Child; China; Humans; Immunization Programs; Infant; Measles; Measles Vaccine; Surveys and Questionnaires; Vaccination; Vaccination Coverage; immunoglobulin G; leprosy vaccine; measles mumps rubella vaccine; measles mumps vaccine; measles vaccine; measles vaccine; Article; blood analysis; calculation; child; China; clinical evaluation; controlled study; cross-sectional study; diagnostic criteria for measles; enzyme linked immunosorbent assay; ethnicity; female; geometric mean titer; health care survey; health program; human; immunization; immunogenicity; infant; Kaplan Meier method; leprosy; major clinical study; male; measles; measles vaccination; multistage sampling; preschool child; public health service; sample size; school child; seroepidemiological; seropositivity rate; seroprevalence; vaccination certificate; vaccination coverage; vaccination coverage rate; vaccination status; China; epidemiology; measles; preventive health service; questionnaire; vaccination</t>
  </si>
  <si>
    <t xml:space="preserve">immunoglobulin G, 97794-27-9; Measles Vaccine, </t>
  </si>
  <si>
    <t xml:space="preserve">Joint Special Project for Basic Research of Yunnan Provincial Universities, (2018FH001- 065, KYBS201705); Science and technology support program of Yunnan, China, (2021Y417); Ministry of Education of the People's Republic of China, MOE; Fudan University</t>
  </si>
  <si>
    <t xml:space="preserve">This study was supported by grants from the Science and technology support program of Yunnan, China (Grant No. 2021Y417). Joint Special Project for Basic Research of Yunnan Provincial Universities (2018FH001- 065). Dali University Doctor Start Fund project (KYBS201705). Key Laboratory of Public Health Safety (Fudan University), Ministry of Education, China (No.GW2019-2). We would like to thank all the participants who took part in this study. We are grateful to the leaders of Lincang City and the village committees in the survey villages for their assistance with the fieldwork. We also thank Editage for English language editing.</t>
  </si>
  <si>
    <t xml:space="preserve">Strategic plan 2012–2020; Immunization, vaccines and biologicals, (2020); Immunization coverage; Gao Y., Kc A., Chen C., Huang Y., Wang Y., Zou S., Zhou H., Inequality in measles vaccination coverage in the “big six” countries of the WHO South-East Asia region, Hum Vaccin Immunother, 16, 7, pp. 1485-1497, (2020); Debie A., Lakew A.M., Factors associated with the access and continuum of vaccination services among children aged 12–23 months in the emerging regions of Ethiopia: evidence from the 2016 Ethiopian demography and health survey, Ital J Pediatr, 46, 1, (2020); Fabiani M., Fano V., Spadea T., Piovesan C., Bianconi E., Rusciani R., Salamina G., Greco G., Ramigni M., Declich S., Et al., Comparison of early childhood vaccination coverage and timeliness between children born to Italian women and those born to foreign women residing in Italy: a multi-centre retrospective cohort study, Vaccine, 37, 16, pp. 2179-2187, (2019); Plans-Rubio P., Low percentages of measles vaccination coverage with two doses of vaccine and low herd immunity levels explain measles incidence and persistence of measles in the European Union in 2017–2018, Eur J Clin Microbiol Infect Dis, 38, 9, pp. 1719-1729, (2019); Measles and rubella surveillance data; Sodjinou V.D., Douba A., Nimpa M.M., Masembe Y.V., Randria M., Ndiaye C.F., Madagascar 2018–2019 measles outbreak response: main strategic areas, Pan Afr Med J, 37, 20, (2020); Zhou R.R., Li L.Q., Yuan S.Y., Yu W., Li Q.F., Gong Q.Y., Li J.R., Zhao Z.X., Effectiveness of measles-containing vaccine during a measles outbreak in the China-Myanmar border area, Int J Epidemiol Infect Dis, 47, 2, pp. 111-115, (2020); Delaporte E., Jeannot E., Sudre P., Wyler Lazarevic C., Richard J., Chastonay P., Measles in Geneva between 2003 and 2010: persistence of measles outbreaks despite high immunisation coverage, Euro Surveill, 16, 39, (2011); Immunization, vaccines and biologicals; Chandir S., Siddiqi D.A., Mehmood M., Setayesh H., Siddique M., Mirza A., Soundardjee R., Dharma V.K., Shah M.T., Abdullah S., Et al., Impact of COVID-19 pandemic response on uptake of routine immunizations in Sindh, Pakistan: an analysis of provincial electronic immunization registry data, Vaccine, 38, 45, pp. 7146-7155, (2020); Jamal D., Zaidi S., Husain S., Orr D.W., Riaz A., Farrukhi A.A., Najmi R., Low vaccination in rural Sindh, Pakistan: a case of refusal, ignorance or access?, Vaccine, 38, 30, pp. 4747-4754, (2020); Omoleke S.A., Getachew B., Igoh C.S., Yusuf T.A., Lukman S.A., Loveday N., The potential contribution of supplementary immunization activities to routine immunization in Kebbi State, Nigeria, J Prim Care Community Health, 11, (2020); Agopian A., Young H., Quinlan S., Rice M.M., Timeliness of childhood vaccinations in Armenia, 2015–2016, Vaccine, 38, 30, pp. 4671-4678, (2020); Zhou R., Li L., Yuan S., Yin J., Li Q., Guo L., Li M., Zhao Z., Song Z., Health and economic costs of an import-initiated measles outbreak in an international border area of Yunnan Province, Hum Vaccin Immunother, pp. 1-6, (2020); Zhang W.Y., Xiong P., Liu S.N., Zeng Z., Xu Q., Luan G.J., Xu A.Q., Zhang Y.J., Age-specific coverage of childhood routine immunization based on the immunization information system in Shandong province, Chin J Vaccine Immun, 25, pp. 193-197, (2019); Hu Y., Chen Y., Wang Y., Liang H., Lv H., Age-appropriate vaccination coverage and its determinants for the polio containing vaccine 1–3 and measles-containing vaccine doses in Zhejiang province, China: a community-based cross-sectional study, Hum Vaccin Immunother, 16, 9, pp. 2257-2264, (2020); Degarege A., Krupp K., Srinivas V., Ibrahimou B., Madhivanan P., Structural equation modeling to detect correlates of childhood vaccination: a moderated mediation analysis, Plos One, 15, 10, (2020); He Z., You F.F., Zhou Z., Risk factors for measles in adults: a meta-analysis of case-control study, Mod Prev Med, 46, pp. 1171-1175, (2019); Yunnan yearbook 2019; Zhou R., Yuan S., Yu W., Li L., Li Q., Guo L., Zhao Z., Song Z., Measles immunity in the China-Myanmar border region, Lincang city, Yunnan province, 2017, Hum Vaccin Immunother, 16, 4, pp. 881-885, (2020); Tang X.Y., Geater A., McNeil E., Zhou H.X., Deng Q.Y., Dong A.H., Timeliness and completeness of measles vaccination among children in rural areas of Guangxi, China: a stratified three-stage cluster survey, J. Epidemiol, 27, 7, pp. 317-324, (2017); Tang X.Y., Geater A., McNeil E., Zhou H.X., Deng Q.Y., Dong A.H., Li Q., Parental migration and children’s timely measles vaccination in rural China: a cross-sectional study, Trop Med Int Health, 21, 7, pp. 886-894, (2016); Immunization agenda; Diagnostic criteria for measles, (2008); Wagner A.L., Shenton L.M., Gillespie B.W., Mathew J.L., Boulton M.L., Assessing the timeliness of vaccine administration in children under five years in India, 2013, Vaccine, 37, 4, pp. 558-564, (2019); Schneider R., Reinau D., Schur N., Blozik E., Fruh M., Signorell A., Heininger U., Schwenkglenks M., Meier C.R., Coverage rates and timeliness of nationally recommended vaccinations in Swiss preschool children: a descriptive analysis using claims data, Vaccine, 38, 6, pp. 1551-1558, (2020); Marefiaw T.A., Yenesew M.A., Mihirete K.M., Age-appropriate vaccination coverage and its associated factors for pentavalent 1–3 and measles vaccine doses, in northeast Ethiopia: a community-based cross-sectional study, PLOS One, 14, 8, (2019); Rauniyar S.K., Munkhbat E., Ueda P., Yoneoka D., Shibuya K., Nomura S., Timeliness of routine vaccination among children and determinants associated with age-appropriate vaccination in Mongolia, Heliyon, 6, 9, (2020); Thar A.M.C., Wai K.T., Harries A.D., Show K.L., Mon L.L., Lin H.H., Reported measles cases, measles-related deaths and measles vaccination coverage in Myanmar from 2014 to 2018, Trop Med Health, 48, (2020); Nakatudde I., Rujumba J., Namiiro F., Sam A., Mugalu J., Musoke P., Vaccination timeliness and associated factors among preterm infants at a tertiary hospital in Uganda, PLOS One, 14, 9, (2019); Rybak A., Vie Le Sage F., Bechet S., Werner A., Thiebault G., Bakhache P., Virey B., Caulin E., Cohen R., Levy C., Timeliness of routine immunization in non-preterm children less than 2 years old using electronic data capture in an ambulatory setting in France in the context of vaccine hesitancy, Arch Pediatr, 26, 2, pp. 56-64, (2019); Expand the implementation plan of national immunization program; China statistical yearbook 2020; Qiu J.J., Chen P.Q., Wang J.M., A sero-epidemiological study on measles, rubella and mumps among the community–based populations aged 0 to 40 years in Yangzhong City, Jiangsu of China, Chin J Dis Control Prev, 21, 11, pp. 1178-1180, (2017); Liu Y.J., Zhao H.M., Xu R., Guan F., Analysis on level of measles antibody among healthy population in Dali Prefecture in 2018, Infect Dis Inf, 33, pp. 444-447, (2020)</t>
  </si>
  <si>
    <t xml:space="preserve">T. Zhang; Faculty of Public Health, Dali University, Yunnan, China; email: zhangtai16@126.com</t>
  </si>
  <si>
    <t xml:space="preserve">Hum. Vaccines Immunother.</t>
  </si>
  <si>
    <t xml:space="preserve">2-s2.0-85104320320</t>
  </si>
  <si>
    <t xml:space="preserve">Roy S.; Yadav S.; Garg S.; Deshmukh P.R.; Narang R.</t>
  </si>
  <si>
    <t xml:space="preserve">Roy, Subhasish (57328427800); Yadav, Sneha (57208724116); Garg, Shreyak (57328054600); Deshmukh, Pradeep R. (7005915755); Narang, Rahul (16684115500)</t>
  </si>
  <si>
    <t xml:space="preserve">57328427800; 57208724116; 57328054600; 7005915755; 16684115500</t>
  </si>
  <si>
    <t xml:space="preserve">Evaluation of nested PCR and loop mediated isothermal amplification assay (LAMP) targeting 47 ​kDa gene of Orientia tsutsugamushi for diagnosis of scrub typhus</t>
  </si>
  <si>
    <t xml:space="preserve">Purpose: Diagnostic testing, in particular early detection, is critical for scrub typhus, as most infected individuals have nonspecific symptoms that are easily confused with dengue and malaria. PCR and LAMP offer an alternative DNA amplification method for detection of Orientia tsutsugamushi. Detection of Orientia tsutsugamushi DNA by targeting the 47-kDa gene using nested PCR and LAMP for diagnosis of scrub typhus. Methods: A cross-sectional study in a tertiary care hospital in central India. The present study was done on a total of 274 patients with fever of five days or more and negative for other causes of fever viz. malaria, dengue and enteric fever. From each patient 5 ​ml of blood samples was collected in EDTA vial for molecular tests (PCR and LAMP) and in plain vial for serological tests (IgM IFA). The data was entered in Excel sheet and 2 ​× ​2 tables were created to find sensitivity, specificity, positive and negative likelihood ratios, disease prevalence, positive and negative predictive values and accuracy. Results: PCR showed a sensitivity of 29.73% while the sensitivity of LAMP was 16.22%. The specificity of nested PCR and LAMP was very high, 99.58% and 99.16% respectively. The diagnostic accuracy of nested PCR (90.15%) was found to be marginally better than LAMP (87.96%). Conclusions: For the treatment of scrub typhus, a gene-based diagnostic test would enable earlier and more accurate detection of the causative agents of the disease than serology in admission samples of patients with acute febrile illness in endemic areas. © 2021 Indian Association of Medical Microbiologists</t>
  </si>
  <si>
    <t xml:space="preserve">Indian Journal of Medical Microbiology</t>
  </si>
  <si>
    <t xml:space="preserve">Indian Association of Medical Microbiologists</t>
  </si>
  <si>
    <t xml:space="preserve">10.1016/j.ijmmb.2021.06.011</t>
  </si>
  <si>
    <t xml:space="preserve">https://www.scopus.com/inward/record.uri?eid=2-s2.0-85118795326&amp;doi=10.1016%2fj.ijmmb.2021.06.011&amp;partnerID=40&amp;md5=e94cf5d735aa10781b7edc13e7f6c94d</t>
  </si>
  <si>
    <t xml:space="preserve">Dept. of Microbiology, Mahatma Gandhi Institute of Medical Science, Sewagram, Wardha, 442102, Maharashtra, India; Department of Community Medicine, All India Institute of Medical Science (AIIMS), Nagpur, 441108, India; Dean, AIIMS Bibinagar, Hyderabad</t>
  </si>
  <si>
    <t xml:space="preserve">Roy S., Dept. of Microbiology, Mahatma Gandhi Institute of Medical Science, Sewagram, Wardha, 442102, Maharashtra, India; Yadav S., Dept. of Microbiology, Mahatma Gandhi Institute of Medical Science, Sewagram, Wardha, 442102, Maharashtra, India; Garg S., Dept. of Microbiology, Mahatma Gandhi Institute of Medical Science, Sewagram, Wardha, 442102, Maharashtra, India; Deshmukh P.R., Department of Community Medicine, All India Institute of Medical Science (AIIMS), Nagpur, 441108, India; Narang R., Dean, AIIMS Bibinagar, Hyderabad</t>
  </si>
  <si>
    <t xml:space="preserve">Nested PCR; Orientia tsutsugamushi, LAMP; Scrub typhus</t>
  </si>
  <si>
    <t xml:space="preserve">Cross-Sectional Studies; Fever; Humans; India; Molecular Diagnostic Techniques; Nucleic Acid Amplification Techniques; Orientia tsutsugamushi; Polymerase Chain Reaction; Scrub Typhus; Sensitivity and Specificity; Tertiary Care Centers; genomic DNA; immunoglobulin M; adolescent; adult; aged; anemia; Article; blood sampling; child; cross-sectional study; dengue; diagnostic test accuracy study; DNA extraction; enzyme linked immunosorbent assay; female; fever; gene; gene amplification; human; immunofluorescence assay; loop mediated isothermal amplification; major clinical study; malaria; male; nested polymerase chain reaction; Orientia tsutsugamushi; polymerase chain reaction; prevalence; receiver operating characteristic; scrub typhus; sensitivity and specificity; serology; synovial fluid; tertiary care center; typhoid fever; genetics; India; molecular diagnosis; nucleic acid amplification; polymerase chain reaction; scrub typhus</t>
  </si>
  <si>
    <t xml:space="preserve">immunoglobulin M, 9007-85-6</t>
  </si>
  <si>
    <t xml:space="preserve">Rahi M., Gupte M.D., Bhargava A., Varghese G.M., Arora R., DHR-ICMR Guidelines for diagnosis &amp; management of Rickettsial diseases in India, Indian J Med Res, 141, (2015); Kumar V., Kumar V., Yadav A.K., Iyengar S., Bhalla A., Sharma N., Et al., Scrub typhus is an under-recognized cause of acute febrile illness with acute kidney injury in India, PLoS Neglected Trop Dis, 8, (2014); Chakraborty S., Sarma N., Scrub typhus: an emerging threat, Indian J Dermatol, 62, pp. 478-485, (2017); Blacksell S.D., Paris D.H., Chierakul W., Wuthiekanun V., Teeratakul A., Kantipong P., Et al., Prospective evaluation of commercial antibody-based rapid tests in combination with a loop-mediated isothermal amplification PCR assay for detection of Orientia tsutsugamushi during the acute phase of scrub typhus infection, Clin Vaccine Immunol CVI, 19, pp. 391-395, (2012); Paris D.H., Dumler J.S., State of the art of diagnosis of rickettsial diseases: the use of blood specimens for diagnosis of scrub typhus, spotted fever group rickettsiosis, and murine typhus, Curr Opin Infect Dis, 29, pp. 433-439, (2016); Paris D.H., Blacksell S.D., Newton P.N., Day N.P.J., Simple, rapid and sensitive detection of Orientia tsutsugamushi by loop-isothermal DNA amplification, Trans R Soc Trop Med Hyg, 102, pp. 1239-1246, (2008); Pote K., Narang R., Deshmukh P., Diagnostic performance of serological tests to detect antibodies against acute scrub typhus infection in central India, Indian J Med Microbiol, 36, pp. 108-112, (2018); Kim D.-M., Park G., Kim H.S., Lee J.Y., Neupane G.P., Graves S., Et al., Comparison of conventional, nested, and real-time quantitative PCR for diagnosis of scrub typhus, J Clin Microbiol, 49, pp. 607-612, (2011); Huber E., Ji D., Howell L., Zhang Z., Chen H.-W., Ching W.-M., Et al., Loop-mediated isothermal amplification assay targeting the 47-kda gene of Orientia tsutsugamushi: a rapid and sensitive alternative to real-time PCR, J Med Microbiol Diagn, (2012); Brown G.W., Shirai A., Rogers C., Groves M.G., Diagnostic criteria for scrub typhus: probability values for immunofluorescent antibody and Proteus OXK agglutinin titers∗, Am J Trop Med Hyg, 32, pp. 1101-1107, (1983); Gautam R., Parajuli K., Tshokey T., Stenos J., Sherchand J.B., Diagnostic evaluation of IgM ELISA and IgM immunofluorescence assay for the diagnosis of acute scrub typhus in central Nepal, BMC Infect Dis, 20, (2020); Lim C., Blacksell S.D., Laongnualpanich A., Kantipong P., Day N.P.J., Paris D.H., Et al., Optimal cutoff titers for Indirect immunofluorescence assay for diagnosis of scrub typhus, J Clin Microbiol, 53, pp. 3663-3666, (2015); Gupta N., Chaudhry R., Thakur C.K., Determination of cutoff of ELISA and immunofluorescence assay for scrub typhus, J Global Infect Dis, 8, pp. 97-99, (2016); Watthanaworawit W., Turner P., Turner C., Tanganuchitcharnchai A., Richards A.L., Bourzac K.M., Et al., A prospective evaluation of real-time PCR assays for the detection of Orientia tsutsugamushi and Rickettsia spp. for early diagnosis of rickettsial infections during the acute phase of undifferentiated febrile illness, Am J Trop Med Hyg, 89, pp. 308-310, (2013); Sonthayanon P., Chierakul W., Wuthiekanun V., Blacksell S.D., Pimda K., Suputtamongkol Y., Et al., Rapid diagnosis of scrub typhus in rural Thailand using polymerase chain reaction, Am J Trop Med Hyg, 75, pp. 1099-1102, (2006); Jiang J., Chan T.-C., Temenak J.J., Dasch G.A., Ching W.-M., Richards A.L., Development of a quantitative real-time polymerase chain reaction assay specific for Orientia tsutsugamushi, Am J Trop Med Hyg, 70, pp. 351-356, (2004); Paris D.H., Blacksell S.D., Nawtaisong P., Jenjaroen K., Teeraratkul A., Chierakul W., Et al., Diagnostic accuracy of a loop-mediated isothermal PCR assay for detection of Orientia tsutsugamushi during acute scrub typhus infection, PLoS Neglected Trop Dis, 5, (2011); Karthikeyan P.A., Hoti S.L., Kanungo R., Evaluation of loop-mediated isothermal amplification assay for detection of scrub typhus in patients with acute febrile illness presenting to a Tertiary Care Center in Puducherry, India, J Lab Physicians, 11, pp. 82-86, (2019); James S.L., Blacksell S.D., Nawtaisong P., Tanganuchitcharnchai A., Smith D.J., Day N.P.J., Et al., Antigenic relationships among human pathogenic Orientia tsutsugamushi isolates from Thailand, PLoS Neglected Trop Dis, 10, (2016)</t>
  </si>
  <si>
    <t xml:space="preserve">S. Yadav; Dept. of Microbiology, Mahatma Gandhi Institute of Medical Science, Wardha, Sewagram, 442102, India; email: sneha.0211s@gmail.com</t>
  </si>
  <si>
    <t xml:space="preserve">IJMME</t>
  </si>
  <si>
    <t xml:space="preserve">Indian J. Med. Microbiol.</t>
  </si>
  <si>
    <t xml:space="preserve">2-s2.0-85118795326</t>
  </si>
  <si>
    <t xml:space="preserve">Hapugaswatta H.; Wimalasekara R.L.; Perera S.S.; Premaratna R.; Seneviratne K.N.; Jayathilaka N.</t>
  </si>
  <si>
    <t xml:space="preserve">Hapugaswatta, Harsha (57203588693); Wimalasekara, Ruwani L. (57212302391); Perera, Suharshi S. (57219794928); Premaratna, Ranjan (6602847952); Seneviratne, Kapila N. (36908989400); Jayathilaka, Nimanthi (8545810800)</t>
  </si>
  <si>
    <t xml:space="preserve">57203588693; 57212302391; 57219794928; 6602847952; 36908989400; 8545810800</t>
  </si>
  <si>
    <t xml:space="preserve">Expression of Nitric Oxide Synthase and Nitric Oxide Levels in Peripheral Blood Cells and Oxidized Low-Density Lipoprotein Levels in Saliva as Early Markers of Severe Dengue</t>
  </si>
  <si>
    <t xml:space="preserve">Background. Severe dengue (SD), experienced by only a fraction of dengue patients, can be lethal. Due to the lack of early markers that can predict the evolution of SD, all dengue patients have to be monitored under hospital care. We discovered early oxidative stress markers of SD to identify patients who can benefit from early intervention before the symptoms appear. Methods. The expression of inducible nitric oxide synthase (iNOS) in peripheral blood cells (PBC), nitric oxide (NO), and oxidized low-density lipoprotein (oxLDL) levels in plasma and saliva collected at early stages of dengue infection from 20 nonsevere dengue fever (DF) patients and 20 patients who later developed SD were analyzed in a retrospective nested case-control study. Results. The expression of iNOS is significantly (P&lt;0.05) lower in patients who developed SD than in DF patients at admission within 4 days from fever onset. Median plasma NO concentration within 4 days from fever onset is also significantly (P&lt;0.05) lower in patients who developed SD (17.9±1.6 μmol/L) than DF (23.0±2.1 μmol/L). Median oxLDL levels in plasma within 3 days from fever onset is significantly (P&lt;0.05) lower in patients who developed SD (509.4±224.1 ng/mL) than DF (740.0±300.0 ng/mL). Median salivary oxLDL levels are also significantly (P&lt;0.05) lower in patients who developed SD (0.8±0.5 ng/mL) than DF (3.6±2.6 ng/mL) within 4 days from fever onset. Conclusions. These findings suggest that the expression of iNOS (73% sensitivity, 86% specificity) and plasma NO (96% sensitivity, 61% specificity at 22.3 μmol/L; P&lt;0.05) may serve as early markers of SD within 3 days from fever onset. Salivary oxLDL levels may serve as early noninvasive markers of SD with a sensitivity and specificity, respectively, of 57% and 91% at 0.9 ng/mL; 76% and 55% at 2.3 ng/mL; and 100% and 50% at 4.6 ng/mL (P&lt;0.05) within 4 days from fever onset. © 2021 Harsha Hapugaswatta et al.</t>
  </si>
  <si>
    <t xml:space="preserve">BioMed Research International</t>
  </si>
  <si>
    <t xml:space="preserve">10.1155/2021/6650596</t>
  </si>
  <si>
    <t xml:space="preserve">https://www.scopus.com/inward/record.uri?eid=2-s2.0-85101633655&amp;doi=10.1155%2f2021%2f6650596&amp;partnerID=40&amp;md5=b2b12a5032f452477100a7975e4bfbb7</t>
  </si>
  <si>
    <t xml:space="preserve">Department of Chemistry, Faculty of Science, University of Kelaniya, Kelaniya, Sri Lanka; North Colombo Teaching Hospital, Ragama, Sri Lanka; Department of Medicine, Faculty of Medicine, University of Kelaniya, Kelaniya, Sri Lanka</t>
  </si>
  <si>
    <t xml:space="preserve">Hapugaswatta H., Department of Chemistry, Faculty of Science, University of Kelaniya, Kelaniya, Sri Lanka; Wimalasekara R.L., Department of Chemistry, Faculty of Science, University of Kelaniya, Kelaniya, Sri Lanka; Perera S.S., North Colombo Teaching Hospital, Ragama, Sri Lanka; Premaratna R., North Colombo Teaching Hospital, Ragama, Sri Lanka, Department of Medicine, Faculty of Medicine, University of Kelaniya, Kelaniya, Sri Lanka; Seneviratne K.N., Department of Chemistry, Faculty of Science, University of Kelaniya, Kelaniya, Sri Lanka; Jayathilaka N., Department of Chemistry, Faculty of Science, University of Kelaniya, Kelaniya, Sri Lanka</t>
  </si>
  <si>
    <t xml:space="preserve">Adolescent; Adult; Biomarkers; Case-Control Studies; Female; Humans; Lipoproteins, LDL; Male; Middle Aged; Nitric Oxide; Nitric Oxide Synthase Type II; Retrospective Studies; Saliva; Sensitivity and Specificity; Severe Dengue; Young Adult; biological marker; inducible nitric oxide synthase; nitric oxide; nitric oxide synthase; oxidized low density lipoprotein; biological marker; inducible nitric oxide synthase; low density lipoprotein; nitric oxide; NOS2 protein, human; oxidized low density lipoprotein; adult; Article; blood cell; case control study; controlled study; dengue; early intervention; female; fever; human; major clinical study; male; oxidative stress; retrospective study; saliva level; severe dengue; adolescent; blood; chemistry; genetics; metabolism; middle aged; saliva; sensitivity and specificity; severe dengue; young adult</t>
  </si>
  <si>
    <t xml:space="preserve">inducible nitric oxide synthase, 501433-35-8; nitric oxide, 10102-43-9; nitric oxide synthase, 125978-95-2; Biomarkers, ; Lipoproteins, LDL, ; Nitric Oxide, ; Nitric Oxide Synthase Type II, ; NOS2 protein, human, ; oxidized low density lipoprotein, </t>
  </si>
  <si>
    <t xml:space="preserve">Bhatt S., Gething P.W., Brady O.J., Messina J.P., Farlow A.W., Moyes C.L., Drake J.M., Brownstein J.S., Hoen A.G., Sankoh O., Myers M.F., George D.B., Jaenisch T., Wint G.R.W., Simmons C.P., Scott T.W., Farrar J.J., Hay S.I., The global distribution and burden of dengue, Nature, 496, 7446, pp. 504-507, (2013); Brady O.J., Gething P.W., Bhatt S., Messina J.P., Brownstein J.S., Hoen A.G., Moyes C.L., Farlow A.W., Scott T.W., Hay S.I., Refining the global spatial limits of dengue virus transmission by evidence-based consensus, PLoS Neglected Tropical Diseases, 6, 8, (2012); Dengue Update, (2019); Gubler D.J., Resurgent vector-borne diseases as a global health problem, Emerging Infectious Diseases, 4, 3, pp. 442-450, (1998); Sellahewa K.H., Pathogenesis of dengue haemorrhagic fever and its impact on case management, International Scholarly Research Notices, 2013, (2013); Kurane I., Dengue hemorrhagic fever with special emphasis on immunopathogenesis, Comparative Immunology, Microbiology and Infectious Diseases, 30, 5-6, pp. 329-340, (2007); Balfour H.H., Antiviral drugs, The New England Journal of Medicine, 340, 16, pp. 1255-1268, (1999); Sridhar S., Luedtke A., Langevin E., Zhu M., Bonaparte M., MacHabert T., Savarino S., Zambrano B., Moureau A., Khromava A., Moodie Z., Westling T., Mascarenas C., Frago C., Cortes M., Chansinghakul D., Noriega F., Bouckenooghe A., Chen J., Ng S.P., Gilbert P.B., Gurunathan S., DiazGranados C.A., Effect of dengue serostatus on dengue vaccine safety and efficacy, New England Journal of Medicine, 379, 4, pp. 327-340, (2018); Rico-Hesse R., Dengue virus markers of virulence and pathogenicity, Future Virology, 4, 6, pp. 581-589, (2009); Bethell D.B., Flobbe K., Phuong C.X.T., Day N.P.J., Phuong P.T., Buurman W.A., Cardosa M.J., White N.J., Kwiatkowski D., Pathophysiologic and prognostic role of cytokines in dengue hemorrhagic fever, The Journal of Infectious Diseases, 177, 3, pp. 778-782, (1998); Bosch I., Xhaja K., Estevez L., Raines G., Melichar H., Warke R.V., Fournier M.V., Ennis F.A., Rothman A.L., Increased production of interleukin-8 in primary human monocytes and in human epithelial and endothelial cell lines after dengue virus challenge, Journal of Virology, 76, 11, pp. 5588-5597, (2002); Lee Y.-R., Lei H.-Y., Chen S.-H., Wang J.-R., Lin Y.-S., Yeh T.-M., Liu C.-C., Liu H.-S., Signaling pathways involved in dengue-2 virus infection induced RANTES overexpression, American Journal of Infectious Diseases, 4, 1, pp. 32-40, (2008); Ubol S., Masrinoul P., Chaijaruwanich J., Kalayanarooj S., Charoensirisuthikul T., Kasisith J., Differences in global gene expression in peripheral blood mononuclear cells indicate a significant role of the innate responses in progression of dengue fever but not dengue hemorrhagic fever, Journal of Infectious Diseases, 197, 10, pp. 1459-1467, (2008); Gomes A.L.V., Wee L.J.K., Khan A.M., Gil L.H.V.G., Marques E.T.A., Calzavara-Silva C.E., Tan T.W., Classification of dengue fever patients based on gene expression data using support vector machines, PLoS One, 5, 6, (2010); Brasier A.R., Scott T.W., Morrison A.C., Kochel T.J., Spratt H.M., Bazan I., Forshey B.M., Garcia J., Victor S.S., Rocha C., Blair P.J., Comach G., Halsey E.S., Sierra G., Ju H., A three-component biomarker panel for prediction of dengue hemorrhagic fever, American Journal of Tropical Medicine and Higine, 86, 2, pp. 341-348, (2012); Malavige G.N., Huang L.C., Salimi M., Gomes L., Jayaratne S.D., Ogg G.S., Cellular and cytokine correlates of severe dengue infection, PLoS One, 7, 11, (2012); Khor C.C., Chau T.N.B., Pang J., Davila S., Long H.T., Ong R.T.H., Dunstan S.J., Wills B., Farrar J., Van Tram T., Gan T.T., Binh N.T.N., Tri L.T., Lien L.B., Tuan N.M., Tham N.T.H., Lanh M.N., Nguyet N.M., Hieu N.T., Vinh Chau N.V.N., Thuy T.T., Tan D.E.K., Sakuntabhai A., Teo Y.-Y., Hibberd M.L., Simmons C.P., Genome-wide association study identifies susceptibility loci for dengue shock syndrome at MICB and PLCE1, Nature Genetics, 43, 11, pp. 1139-1141, (2011); Whitehorn J., Chau T.N.B., Nguyet N.M., Kien D.T.H., Quyen N.T.H., Trung D.T., Pang J., Wills B., Chau N.V.V., Farrar J., Hibberd M.L., Khor C.C., Simmons C.P., Genetic variants of MICB and PLCE1 and associations with non-severe dengue, PLoS One, 8, 3, (2013); Garcia G., Del Puerto F., Perez A.B., Sierra B., Aguirre E., Kikuchi M., Sanchez L., Hirayama K., Guzman M.G., Association of MICA and MICB alleles with symptomatic dengue infection, Human Immunology, 72, 10, pp. 904-907, (2011); Qi Y., Li Y., Zhang L., Huang J., MicroRNA expression profiling and bioinformatic analysis of dengue virus-infected peripheral blood mononuclear cells, Molecular Medicine Reports, 7, 3, pp. 791-798, (2013); Chen R.-F., Yang K.D., Lee I.-K., Liu J.-W., Huang C.-H., Lin C.-Y., Chen Y.-H., Chen C.-L., Wang L., Augmented miR-150 expression associated with depressed SOCS1 expression involved in dengue haemorrhagic fever, Journal of Infection, 69, 4, pp. 366-374, (2014); Zhu X., He Z., Hu Y., Wen W., Lin C., Yu J., Pan J., Li R., Deng H., Liao S., Yuan J., Wu J., Li J., Li M., MicroRNA-30e ∗ suppresses dengue virus replication by promoting NF-κ B-dependent IFN production, PLoS Neglected Tropical Diseases, 8, 8, (2014); Tambyah P.A., Ching C.S., Sepramaniam S., Ali J.M., Armugam A., Jeyaseelan K., MicroRNA expression in blood of dengue patients, Annals of Clinical Biochemistry, 53, 4, pp. 466-476, (2016); Hapugaswatta H., Amarasena P., Premaratna R., Seneviratne K.N., Jayathilaka N., Differential expression of microRNA, miR150 and enhancer of zeste homolog 2 (EZH2) in peripheral blood cells as early markers of severe forms of dengue, Journal of Biomedical Science, 27, 25, (2020); Fialho L.G., Torrentes-Carvalho A., Cunha R.V., Faria N., Gandini M., Cipitelli M., De-Oliveira-Pinto L.M., Azeredo E.L., Kubelka C.F., Induced nitric oxide synthase (iNOS) and indoleamine 2,3-dioxygenase (IDO) detection in circulating monocyte subsets from Brazilian patients with Dengue-4 virus, Virology Reports, 7, 7, pp. 9-19, (2017); Miranda K.M., Espey M.G., Wink D.A., A discussion of the chemistry of oxidative and nitrosative stress in cytotoxicity, Journal of Inorganic Biochemistry, 79, 1-4, pp. 237-240, (2000); Olagnier D., Amatore D., Castiello L., Ferrari M., Palermo E., Diamond M.S., Palamara A.T., Hiscott J., Dengue virus immunopathogenesis: Lessons applicable to the emergence of Zika virus, Journal of Molecular Biology, 428, 17, pp. 3429-3448, (2016); Chaturvedi U.C., Nagar R., Nitric oxide in dengue and dengue haemorrhagic fever: Necessity or nuisance?, Fems Immunology and Medical Microbiology, 56, 1, pp. 9-24, (2009); Mapalagamage M., Handunnetti S., Premawansa G., Thillainathan S., Fernando T., Kanapathippillai K., Wickremasinghe R., De Silva A.D., Premawansa S., Is total serum nitrite and nitrate (NOx) level in dengue patients a potential prognostic marker of dengue hemorrhagic fever?, Disease Markers, 2018, (2018); Biswas H.H., Gordon A., Nunez A., Perez M.A., Balmaseda A., Harris E., Lower low-density lipoprotein cholesterol levels are associated with severe dengue outcome, PLoS Neglected Tropical Diseases, 9, 9, (2015); De Giuseppe R., Cossellu G., Vigna L., Dicorato F., De Vita C., Venturelli G., Bamonti F., Maiavacca R., Farronato G., Correlation between salivary and serum oxidized LDL levels: A pilot study on overweight/obese subjects, Journal of Oral Pathology and Medicine, 44, 10, pp. 884-887, (2015); Dengue: Guidelines for Diagnosis, Treatment, Prevention and Control, (2009); Kong Y., Zhang Y., Zhao X., Wang G., Liu Q., Carboxymethyl-chitosan attenuates inducible nitric oxide synthase and promotes interleukin-10 production in rat chondrocytes, Experimental and Therapeutic Medicine, 14, 6, pp. 5641-5646, (2017); Giustarini D., Rossi R., Milzani A., Dalle-Donne I., Nitrite and nitrate measurement by Griess reagent in human plasma: Evaluation of interferences and standardization, Methods in Enzymology, 440, pp. 361-380, (2008); Bryan N.S., Grisham M.B., Methods to detect nitric oxide and its metabolites in biological samples, Free Radical Biology and Medicine, 43, 5, pp. 645-657, (2007); Chen L.Y., Mehta P., Mehta J.L., Oxidized LDL decreases L-arginine uptake and nitric oxide synthase protein expression in human platelets: Relevance of the effect of oxidized LDL on platelet function, Circulation, 93, 9, pp. 1740-1746, (1996); Alisjahbana B., De Groot P.G., Indrati A.R., Fijnheer R., Puspita M., Dewi I.M.W., Van De Wijer L., De Boer E.M.S., Roest M., Van Der Ven A.J.A.M., De Mast Q., Michels M., Platelet function alterations in dengue are associated with plasma leakage, Thrombosis and Haemostasis, 112, 2, pp. 352-362, (2014); Mobarak E.H., Abdallah D.M., Saliva nitric oxide levels in relation to caries experience and oral hygiene, Journal of Advanced Research, 2, 4, pp. 357-362, (2011)</t>
  </si>
  <si>
    <t xml:space="preserve">N. Jayathilaka; Department of Chemistry, Faculty of Science, University of Kelaniya, Kelaniya, Sri Lanka; email: njayathi@kln.ac.lk</t>
  </si>
  <si>
    <t xml:space="preserve">BioMed Res. Int.</t>
  </si>
  <si>
    <t xml:space="preserve">2-s2.0-85101633655</t>
  </si>
  <si>
    <t xml:space="preserve">Chen A.T.C.; Payão F.; Chagas A.L.; de Souza Melo Alencar R.S.; Tani C.M.; da Conceição Vasconcelos K.G.M.; de Souza Rocha M.; de Andrade Carvalho H.; Hoff P.M.G.; Carrilho F.J.</t>
  </si>
  <si>
    <t xml:space="preserve">Chen, Andre Tsin Chih (57201429783); Payão, Fabio (56211512700); Chagas, Aline Lopes (26434626100); de Souza Melo Alencar, Regiane Saraiva (57224442846); Tani, Claudia Megumi (56031338100); da Conceição Vasconcelos, Karina Gondim Moutinho (57189044609); de Souza Rocha, Manoel (57219656151); de Andrade Carvalho, Heloisa (57224453009); Hoff, Paulo Marcelo Gehm (7102206202); Carrilho, Flair José (55577493900)</t>
  </si>
  <si>
    <t xml:space="preserve">57201429783; 56211512700; 26434626100; 57224442846; 56031338100; 57189044609; 57219656151; 57224453009; 7102206202; 55577493900</t>
  </si>
  <si>
    <t xml:space="preserve">Feasibility of SBRT for hepatocellular carcinoma in Brazil — A prospective pilot study</t>
  </si>
  <si>
    <t xml:space="preserve">Background: The aim of the study was to evaluate the feasibility and safety of stereotactic body radiotherapy (sBrT) for the treatment of hepatocellular carcinoma in Brazil. sBrT is an evolving treatment in hcc patients not candidates to other local therapies. Its adoption in clinical practice has been heterogeneous, with lack of data on its generalizability in the Brazilian population. Materials and methods: We conducted a prospective pilot study involving hcc patients after failure or ineligibility for transarterial chemoembolization. patients received sBrT 30 to 50 Gy in 5 fractions using an isotoxic prescription approach. This study is registered at clinicaltrials.gov NcT02221778. results: From Nov 2014 through aug 2019, 26 patients received sBrT with 40 Gy median dose. Underlying liver disease was hepatitis c, hepatitis B and alcohol-related in, respectively, 50%, 23% and 19% of patients. Median lesion size was 3.8 cm (range, 1.5–10 cm), and 46% had multiple lesions. Thirty-two percent had tumor vascular thrombosis; median pretreatment alpha-fetoprotein (aFp) was 171.7 ng/mL (range, 4.2–5,494 ng/mL). 1y-local progression-free survival (pFs) was 86% (95% cI: 61% to 95%), with higher local control in doses ≥ 45Gy (p = 0.037; hr = 0.12). 1y-liver pFs, distant pFs and Os were, respectively, 52%, 77% and 79%. Objective response was seen in 89% of patients, with 3 months post-sBrT median aFp of 12 ng/mL (2.4–637 ng/mL). There were no grade 3 or 4 clinical toxicities. Grade 3 or 4 laboratory toxicities occurred in 27% of patients. conclusion: sBrT is feasible and safe in patients unresponsive or ineligible for Tace in Brazil. Our study suggests doses ≥ 45 Gy yields better local control. © 2021 Greater poland cancer centre. published by Via Medica. all rights reserved.</t>
  </si>
  <si>
    <t xml:space="preserve">Reports of Practical Oncology and Radiotherapy</t>
  </si>
  <si>
    <t xml:space="preserve">Via Medica</t>
  </si>
  <si>
    <t xml:space="preserve">10.5603/RPOR.a2021.0035</t>
  </si>
  <si>
    <t xml:space="preserve">https://www.scopus.com/inward/record.uri?eid=2-s2.0-85107594243&amp;doi=10.5603%2fRPOR.a2021.0035&amp;partnerID=40&amp;md5=a8f65e72102e101dfcb5b862689ac457</t>
  </si>
  <si>
    <t xml:space="preserve">Department of Radiation Oncology, Instituto do Cancer do Estado de Sao Paulo, Hospital das Clinicas, Faculdade de Medicina da USP, Sao Paulo, SP, Brazil; Department of Radiology, Instituto do Cancer do Estado de Sao Paulo, Hospital das Clinicas, Faculdade de Medicina da USP, Sao Paulo, SP, Brazil; Department of Gastroenterology, Instituto do Cancer do Estado de Sao Paulo, Hospital das Clinicas, Faculdade de Medicina da USP, Sao Paulo, SP, Brazil; Department of Radiology, Instituto de Radiologia, Hospital das Clinicas, Faculdade de Medicina da USP, Sao Paulo, SP, Brazil; Department of Radiation Oncology, Instituto de Radiologia, Hospital das Clinicas, Faculdade de Medicina da USP, Sao Paulo, SP, Brazil; Department of Clinical Oncology, Instituto do Cancer do Estado de Sao Paulo, Hospital das Clinicas, Faculdade de Medicina da USP, Sao Paulo, SP, Brazil</t>
  </si>
  <si>
    <t xml:space="preserve">Chen A.T.C., Department of Radiation Oncology, Instituto do Cancer do Estado de Sao Paulo, Hospital das Clinicas, Faculdade de Medicina da USP, Sao Paulo, SP, Brazil; Payão F., Department of Radiology, Instituto do Cancer do Estado de Sao Paulo, Hospital das Clinicas, Faculdade de Medicina da USP, Sao Paulo, SP, Brazil; Chagas A.L., Department of Gastroenterology, Instituto do Cancer do Estado de Sao Paulo, Hospital das Clinicas, Faculdade de Medicina da USP, Sao Paulo, SP, Brazil; de Souza Melo Alencar R.S., Department of Gastroenterology, Instituto do Cancer do Estado de Sao Paulo, Hospital das Clinicas, Faculdade de Medicina da USP, Sao Paulo, SP, Brazil; Tani C.M., Department of Gastroenterology, Instituto do Cancer do Estado de Sao Paulo, Hospital das Clinicas, Faculdade de Medicina da USP, Sao Paulo, SP, Brazil; da Conceição Vasconcelos K.G.M., Department of Radiation Oncology, Instituto do Cancer do Estado de Sao Paulo, Hospital das Clinicas, Faculdade de Medicina da USP, Sao Paulo, SP, Brazil; de Souza Rocha M., Department of Radiology, Instituto de Radiologia, Hospital das Clinicas, Faculdade de Medicina da USP, Sao Paulo, SP, Brazil; de Andrade Carvalho H., Department of Radiation Oncology, Instituto de Radiologia, Hospital das Clinicas, Faculdade de Medicina da USP, Sao Paulo, SP, Brazil; Hoff P.M.G., Department of Clinical Oncology, Instituto do Cancer do Estado de Sao Paulo, Hospital das Clinicas, Faculdade de Medicina da USP, Sao Paulo, SP, Brazil; Carrilho F.J., Department of Gastroenterology, Instituto do Cancer do Estado de Sao Paulo, Hospital das Clinicas, Faculdade de Medicina da USP, Sao Paulo, SP, Brazil</t>
  </si>
  <si>
    <t xml:space="preserve">Clinical trial; Hepatocellular carcinoma; Radiosurgery; Stereotactic body radiotherapy; Therapeutic chemoembolization</t>
  </si>
  <si>
    <t xml:space="preserve">alanine aminotransferase; albumin; alpha fetoprotein; aspartate aminotransferase; bilirubin; creatinine; hemoglobin; sorafenib; adult; aged; alanine aminotransferase blood level; albumin blood level; alcohol liver disease; alpha fetoprotein blood level; anorexia; Article; aspartate aminotransferase blood level; bilirubin blood level; Brazil; cancer control; cancer prognosis; cancer radiotherapy; chemoembolization; Child Pugh score; clinical article; computer assisted tomography; convenience sample; creatinine blood level; diagnostic accuracy; diarrhea; distant progression free survival; dyspepsia; ECOG Performance Status; fatigue; feasibility study; female; fluoroscopy; follow up; four dimensional computed tomography; gastritis; gross tumor volume; hemoglobin blood level; hepatitis B; hepatitis C; human; international normalized ratio; liver cell carcinoma; liver resection; local progression free survival; male; nausea; neutrophil count; nonalcoholic steatohepatitis; nuclear magnetic resonance imaging; overall survival; pilot study; planning target volume; platelet count; pneumonia; prospective study; radiation dermatitis; radiation dose fractionation; response evaluation criteria in solid tumors; rib fracture; safety; schistosomiasis mansoni; stereotactic body radiation therapy; thorax pain; treatment failure; treatment planning; treatment response; tumor thrombus; vascular tumor; volumetric modulated arc therapy</t>
  </si>
  <si>
    <t xml:space="preserve">alanine aminotransferase, 9000-86-6, 9014-30-6; aspartate aminotransferase, 9000-97-9; bilirubin, 18422-02-1, 635-65-4; creatinine, 19230-81-0, 60-27-5; hemoglobin, 9008-02-0; sorafenib, 284461-73-0</t>
  </si>
  <si>
    <t xml:space="preserve">Axesse, Elekta</t>
  </si>
  <si>
    <t xml:space="preserve">Elekta</t>
  </si>
  <si>
    <t xml:space="preserve">Bray F, Ferlay J, soerjomataram I, Et al., Global cancer statistics 2018: GLOBOcaN estimates of incidence and mortality worldwide for 36 cancers in 185 countries, ca cancer J clin, 68, 6, pp. 394-424, (2018); Ferlay J, soerjomataram I, Dikshit r, Et al., cancer incidence and mortality worldwide: sources, methods and major patterns in GLOBOcaN 2012, Int J cancer, 136, 5, pp. e359-e386, (2015); Debes JD, chan aJ, Balderramo D, Et al., hepatocellular carcinoma in south america: evaluation of risk factors, demographics and therapy, Liver Int, 38, 1, pp. 136-143, (2018); Llovet JM, Bruix J., systematic review of randomized trials for unresectable hepatocellular carcinoma: chemoembolization improves survival, hepatology, 37, 2, pp. 429-442, (2003); Oliveri rs, Wetterslev J, Gluud c., Transarterial (chemo) embolisation for unresectable hepatocellular carcinoma, cochrane Database syst rev, 3, (2011); Forner a, reig M, Bruix J., hepatocellular carcinoma, Lancet, 391, 10127, pp. 1301-1314, (2018); chow pKh, Gandhi M, Tan sB, Et al., asia-pacific hepatocellular carcinoma Trials Group. sIrveNIB: selective Internal radiation Therapy Versus sorafenib in asia-pacific patients With hepatocellular carcinoma, J clin Oncol, 36, 19, pp. 1913-1921, (2018); Vilgrain V, pereira h, assenat e, Et al., efficacy and safety of selective internal radiotherapy with yttrium-90 resin microspheres compared with sorafenib in locally advanced and inoperable hepatocellular carcinoma (sarah): an open-label randomised controlled phase 3 trial, Lancet Oncol, 18, 12, pp. 1624-1636, (2017); perkins sM, Et al., phase I feasibility trial of stereotactic body radiation therapy for primary hepatocellular carcinoma, clin Transl Oncol, 12, 3, pp. 218-225, (2010); andolino DL, Johnson cs, Maluccio M, Et al., stereotactic body radiotherapy for primary hepatocellular carcinoma, Int J radiat Oncol Biol phys, 81, 4, pp. e447-e453, (2011); Bujold a, Massey ca, Kim JJ, Et al., sequential phase I and II trials of stereotactic body radiotherapy for locally advanced hepatocellular carcinoma, J clin Oncol, 31, 13, pp. 1631-1639, (2013); Kang JK, Ms Kim, cho cK, Et al., stereotactic body radiation therapy for inoperable hepatocellular carcinoma as a local salvage treatment after incomplete transarterial chemoembolization, cancer, 118, 21, pp. 5424-5431, (2012); scorsetti M, comito T, cozzi L, Et al., The challenge of inoperable hepatocellular carcinoma (hcc): results of a single-institutionalexperienceonstereotacticbodyradiationtherapy(sBrT), JcancerresclinOncol, 141, 7, pp. 1301-1309, (2015); Takeda a, sanuki N, Tsurugai Y, Et al., phase 2 study of stereotactic body radiotherapy and optional transarterial chemoembolization for solitary hepatocellular carcinoma not amenable to resection and radiofrequency ablation, cancer, 122, 13, pp. 2041-2049, (2016); Lasley FD, Mannina eM, Johnson cs, Et al., Treatment variables related to liver toxicity in patients with hepatocellular carcinoma, child-pugh class a and B enrolled in a phase 1-2 trial of stereotactic body radiation therapy, pract radiat Oncol, 5, 5, pp. e443-e449, (2015); Durand-Labrunie J, Baumann as, ayav a, Et al., curative Irradiation Treatment of hepatocellular carcinoma: a Multicenter phase 2 Trial, Int J radiat Oncol Biol phys, 107, 1, pp. 116-125, (2020); NccN clinical practice Guidelines in Oncology. hepatobiliary cancers, (2020); heimbach JK, Kulik LM, Finn rs, Et al., aasLD guidelines for the treatment of hepatocellular carcinoma, hepatology, 67, 1, pp. 358-380, (2018); Vogel a, cervantes a, chau I, Et al., esMO Guidelines committee. hepatocellular carcinoma: esMO clinical practice Guidelines for diagnosis, treatment and follow-up, ann Oncol, 29, pp. iv238-iv255, (2018); Bruix J, sherman M., american association for the study of Liver Diseases. Management of hepatocellular carcinoma: an update, hepatology, 53, 3, pp. 1020-1022, (2011); Wang pM, chung NN, hsu Wc, Et al., stereotactic body radiation therapy in hepatocellular carcinoma: Optimal treatment strategies based on liver segmentation and functional hepatic reserve, rep pract Oncol radiother, 20, 6, pp. 417-424, (2015); World Medical association Declaration of helsinki, JaMa, 310, 20, (2013); La Dawson, radiation Therapy Oncology Group rtog 1112 randomized phase III study of sorafenib Versus stereotactic Body radiation Therapy Followed By sorafenib in hepatocellular randomized phase Iii study of sorafenib Versus stereotactic Body radiation Therapy Follow, (2014); Lencioni r, Llovet JM., Modified recIsT (mrecIsT) assessment for hepatocellular carcinoma, semin Liver Dis, 30, 1, pp. 52-60, (2010); rim ch, Kim hJu, seong J., clinical feasibility and efficacy of stereotactic body radiotherapy for hepatocellular carcinoma: a systematic review and meta-analysis of observational studies, radiother Oncol, 131, pp. 135-144, (2019); Timmerman r, paulus r, Galvin J, Et al., excessive toxicity when treating central tumors in a phase II study of stereotactic body radiation therapy for medically inoperable early-stage lung cancer, J clin Oncol, 24, 30, pp. 4833-4839, (2006); randomized phase III clinical Trial of stereotactic Body radiation Therapy versus Transarterial chemoembolization in hepatocellular carcinoma; radiobiology for the radiologist, (2011); hong Ts, Wo JY, Yeap BY, Et al., Multi-Institutional phase II study of high-Dose hypofractionated proton Beam Therapy in patients With Localized, Unresectable hepatocellular carcinoma and Intrahepatic cholangiocarcinoma, J clin Oncol, 34, 5, pp. 460-468, (2016); Tetreau r, Llacer c, riou O, Et al., evaluation of response after sBrT for liver tumors, rep pract Oncol radiother, 22, 2, pp. 170-175, (2017); Yoon sM, ryoo BY, Lee soJ, Et al., efficacy and safety of Transarterial chemoembolization plus external Beam radiotherapy vs sorafenib in hepatocellular carcinoma With Macroscopic Vascular Invasion: a randomized clinical Trial, JaMa Oncol, 4, 5, pp. 661-669, (2018); Llovet JM, ricci s, Mazzaferro V, Et al., sorafenib in advanced hepatocellular carcinoma, N engl J Med, 359, 4, pp. 378-390, (2008); cheng aL, Kang YK, chen Z, Et al., efficacy and safety of sorafenib in patients in the asia-pacific region with advanced hepatocellular carcinoma: a phase III randomised, double-blind, placebo-controlled trial, Lancet Oncol, 10, 1, pp. 25-34, (2009)</t>
  </si>
  <si>
    <t xml:space="preserve">A.T.C. Chen; Sao Paulo, SP, Av. Dr. Arnaldo, 251, 01246-000, Brazil; email: andre.chen@hc.fm.usp.br</t>
  </si>
  <si>
    <t xml:space="preserve">RPORA</t>
  </si>
  <si>
    <t xml:space="preserve">Rep. Pract. Oncol. Radiother.</t>
  </si>
  <si>
    <t xml:space="preserve">2-s2.0-85107594243</t>
  </si>
  <si>
    <t xml:space="preserve">Madanayake P.; Jayawardena A.; Wijekoon S.L.; Perera N.; Wanigasuriya J.</t>
  </si>
  <si>
    <t xml:space="preserve">Madanayake, Pmw (57222550362); Jayawardena, Aeu (57222551543); Wijekoon, S.L. (57218361415); Perera, N. (56567757700); Wanigasuriya, Jkp (15023638700)</t>
  </si>
  <si>
    <t xml:space="preserve">57222550362; 57222551543; 57218361415; 56567757700; 15023638700</t>
  </si>
  <si>
    <t xml:space="preserve">Fluid requirement in adult dengue haemorrhagic fever patients during the critical phase of the illness: an observational study</t>
  </si>
  <si>
    <t xml:space="preserve">Background: Dengue fever prevalence is rising globally and it causes significant morbidity and mortality. Fluid extravasation during the critical phase of dengue haemorrhagic fever (DHF) leads to shock, multi-organ failure and death if not resuscitated appropriately with fluids. The mainstay of management is judicious fluid replacement using a guideline based, calculated fluid quota of maintenance (M) fluid plus 5% deficit (M + 5% deficit) to prevent organ hypoperfusion. Methods: We conducted an observational follow-up study in Sri Lanka from January–July 2017 to identify the fluid requirements of DHF patients and to identify whether features of fluid overload are present in patients who exceeded the fluid quota. Patients who developed DHF following admission to the place of study, were recruited and the amount of fluid received during the critical phase was documented. Results: A total of 115 DHF patients with a mean age of 30.3 (SD 12.2) years were recruited to the study. There were 65 (56.5%) males and the mean fluid requirement was 5279.7 ml (SD 735) over the 48 h. Majority of the study participants (n = 80, 69.6%) received fluid in excess of the recommended maintenance + 5% deficit and this group had higher body mass index (22.75 vs 20.76, p0.03) and a lower white cell count at the onset of the critical phase (3.22 × 103 vs 4.78 × 103, p &lt; 0.001). The highest fluid requirement was seen within the first 12 and 24 h of the critical phase in patients requiring fluid M + 5%–7.5% deficit and ≥ M + 7.5% deficit respectively. Patients exceeding M + 5% deficit had narrow pulse pressure and hypotension compared to the rest. DHF grades III and IV were seen exclusively in patients exceeding the fluid quota indicating higher amount of fluid was given for resuscitation. Fluid overload was detected in 14 (12.1%) patients and diuretic therapy was required in 6 (5.2%) patients. Conclusions: The majority of patients received fluid in excess of the recommended quota and this group represents patients with narrow pulse pressure and hypotension. Although, fluid overload was infrequent in the study population, clinicians should be cautious when administering fluid in excess of M + 7.5% deficit. © 2021, The Author(s).</t>
  </si>
  <si>
    <t xml:space="preserve">10.1186/s12879-021-05971-6</t>
  </si>
  <si>
    <t xml:space="preserve">https://www.scopus.com/inward/record.uri?eid=2-s2.0-85103197815&amp;doi=10.1186%2fs12879-021-05971-6&amp;partnerID=40&amp;md5=31ed3ef0185d7eba3c2a68b3c4101012</t>
  </si>
  <si>
    <t xml:space="preserve">Colombo South Teaching Hospital, Kalubowila, Sri Lanka; Faculty of Medical Sciences, University of Sri Jayewardenepura, Nugegoda, Sri Lanka</t>
  </si>
  <si>
    <t xml:space="preserve">Madanayake P., Colombo South Teaching Hospital, Kalubowila, Sri Lanka; Jayawardena A., Faculty of Medical Sciences, University of Sri Jayewardenepura, Nugegoda, Sri Lanka; Wijekoon S.L., Faculty of Medical Sciences, University of Sri Jayewardenepura, Nugegoda, Sri Lanka; Perera N., Colombo South Teaching Hospital, Kalubowila, Sri Lanka, Faculty of Medical Sciences, University of Sri Jayewardenepura, Nugegoda, Sri Lanka; Wanigasuriya J., Colombo South Teaching Hospital, Kalubowila, Sri Lanka, Faculty of Medical Sciences, University of Sri Jayewardenepura, Nugegoda, Sri Lanka</t>
  </si>
  <si>
    <t xml:space="preserve">Critical phase; Dengue fever; Dengue haemorrhagic fever; Fluid leakage; Fluid overload; Fluid requirement</t>
  </si>
  <si>
    <t xml:space="preserve">Adult; Female; Fluid Therapy; Follow-Up Studies; Humans; Male; Resuscitation; Severe Dengue; Sri Lanka; Young Adult; diuretic agent; adult; Article; body mass; controlled study; critical illness; dengue hemorrhagic fever; diuretic therapy; female; fluid resuscitation; fluid therapy; follow up; hospital admission; human; hypervolemia; hypotension; leukocyte count; major clinical study; male; observational study; pulse pressure; rest; Sri Lanka; Sri Lankan; epidemiology; resuscitation; severe dengue; young adult</t>
  </si>
  <si>
    <t xml:space="preserve">Brady O.J., Gething P.W., Bhatt S., Messina J.P., Brownstein J.S., Hoen A.G., Moyes C.L., Farlow A.W., Scott T.W., Hay S.I., Refining the global spatial limits of dengue virus transmission by evidence-based consensus, Plos Negl Trop Dis, 6, 8, (2012); Bhatt S., Gething P.W., Brady O.J., Messina J.P., Farlow A.W., Moyes C.L., Drake J.M., Brownstein J.S., Hoen A.G., Sankoh O., Myers M.F., George D.B., Jaenisch T., Wint G.R.W., Simmons C.P., Scott T.W., Farrar J.J., Hay S.I., The global distribution and burden of dengue, Nature., 496, 7446, pp. 504-507, (2013); Historical account of dengue haemorrhagic fever in Sri Lanka, WHO/ SEARO Dengue Bulletin, 21, pp. 117-111, (1997); Jayarajah U., Faizer S., de zoysa I., Seneviratne P.S., A Large Dengue Epidemic Affects Sri Lanka In 2017, Int J Progress Sci Emerg Technol, 6, pp. 84-86, (2017); Q Epidemiol Rep 2017; (2011); Sellahewa K.H., Pathogenesis of dengue Haemorrhagic fever and its impact on case management, ISRN Infect Dis, 2013, (2013); Srikiatkhachorn A., Rothman A.L., Gibbons R.V., Sittisombut N., Malasit P., Ennis F.A., Nimmannitya S., Kalayanarooj S., Dengue—how best to classify it, Clin Infect Dis, 53, 6, pp. 563-567, (2011); Guidelines on Clinical Management of Dengue Fever and Dengue Haemorrhagic Fever in Adults; Holliday M.A., Segar W.E., The maintenance need for water in parenteral fluid therapy, Pediatrics., 19, 5, pp. 823-832, (1957); Dung N.M., Day N.P.J., Tam D.T.H., Loan H.T., Chau H.T.T., Minh L.N., Diet T.V., Bethell D.B., Kneen R., Hien T.T., White N.J., Farrar J.J., Fluid replacement in dengue shock syndrome: a randomized, double-blind comparison of four intravenous-fluid regimens, Clin Infect Dis, 29, 4, pp. 787-794, (1999); Wills B.A., Nguyen, Comparison of three fluid solutions for resuscitation in dengue shock syndrome, NEJM., 353, 9, pp. 877-889, (2005); Nguyen T.H., Nguyen T.L., Lei H.-Y., Lin Y.-S., Le B.L., Huang K.-J., Et al., Volume replacement in infants with dengue hemorrhagic fever/dengue shock syndrome, Am J Trop Med Hyg, 74, 4, pp. 684-691, (2006); Chan C.Y., Ooi E.E., Dengue: an update on treatment options, Future Microbiol, 10, 12, pp. 2017-2031, (2015); Premaratna R., Ragupathy A., Miththinda J.K.N.D., de Silva H.J., Timing, predictors, and progress of third space fluid accumulation during preliminary phase fluid resuscitation in adult patients with dengue, Int J Infect Dis, 17, 7, pp. e505-e509, (2013); Kularatne S.A., Weerakoon K.G., Munasinghe R., Ralapanawa U.K., Pathirage M., Trends of fluid requirement in dengue fever and dengue haemorrhagic fever: a single Centre experience in Sri Lanka, BMC Res Notes, 8, 1, (2015)</t>
  </si>
  <si>
    <t xml:space="preserve">N. Perera; Faculty of Medical Sciences, University of Sri Jayewardenepura, Nugegoda, Sri Lanka; email: nilanka@sjp.ac.lk</t>
  </si>
  <si>
    <t xml:space="preserve">2-s2.0-85103197815</t>
  </si>
  <si>
    <t xml:space="preserve">Fernandes F.; Moreira C.H.V.; Oliveira L.C.; Souza-Basqueira M.; Ianni B.M.; Di Lorenzo C.; Ramires F.J.A.; Nastari L.; Cunha-Neto E.; Ribeiro A.L.; Lopes R.D.; Keating S.M.; Sabino E.C.; Mady C.</t>
  </si>
  <si>
    <t xml:space="preserve">Fernandes, Fábio (7103077860); Moreira, Carlos Henrique Valente (57191675257); Oliveira, Lea Campos (22333367000); Souza-Basqueira, Marcela (57200759842); Ianni, Barbara Maria (7003360633); Di Lorenzo, Claudia (57222338152); Ramires, Felix José Alvarez (6601914987); Nastari, Luciano (57212012810); Cunha-Neto, Edecio (7003621554); Ribeiro, Antonio L. (57204577960); Lopes, Renato Delascio (57203183974); Keating, Sheila M. (7006797482); Sabino, Ester Cerdeira (57217499362); Mady, Charles (7004409912)</t>
  </si>
  <si>
    <t xml:space="preserve">7103077860; 57191675257; 22333367000; 57200759842; 7003360633; 57222338152; 6601914987; 57212012810; 7003621554; 57204577960; 57203183974; 7006797482; 57217499362; 7004409912</t>
  </si>
  <si>
    <t xml:space="preserve">Galectin-3 associated with severe forms and long-term mortality in patients with chagas disease</t>
  </si>
  <si>
    <t xml:space="preserve">Background: The histopathological characteristics of Chagas disease (ChD) are: presence of myocarditis, destruction of heart fibers, and myocardial fibrosis. Galectin-3 (Gal-3) is a biomarker involved in the mechanism of fibrosis and inflammation that may be useful for risk stratification of individuals with ChD. Objectives: We sought to evaluate whether high Gal-3 levels are associated with severe forms of Chagas cardiomyopathy (CC) and whether they are predictive of mortality. Methods: We studied anti-T. cruzi positive blood donors (BD): Non-CC-BD (187 BD without CC with normal electrocardiogram [ECG] and left ventricular ejection fraction [LVEF]); CC-Non-Dys-BD (46 BD with CC with abnormal ECG but normal LVEF); and 153 matched serum-negative controls. This cohort was composed of 97 patients with severe CC (CC-Dys). We used Kruskall-Wallis and Spearman’s correlation to test hypothesis of associations, assuming a two-tailed p&lt;0.05 as significant. Results: The Gal-3 level was 12.3 ng/mL for Non-CC-BD, 12.0 ng/mL for CC-Non-Dys-BD, 13.8 ng/mL for controls, and 15.4 ng/mL for CC-Dys. LVEF&lt;50 was associated with higher Gal-3 levels (p=0.0001). In our linear regression adjusted model, we found association between Gal-3 levels and echocardiogram parameters in T. cruzi-seropositive subjects. In CC-Dys patients, we found a significant association of higher Gal-3 levels (≥15.3 ng/mL) and subsequent death or heart transplantation in a 5-year follow-up (Hazard ratio – HR 3.11; 95%CI 1.21–8.04; p=0.019). Conclusions: In ChD patients, higher Gal-3 levels were significantly associated with severe forms of the disease and more long-term mortality, which means it may be a useful means to identify high-risk patients. © 2021, Arquivos Brasileiros de Cardiologia. All rights reserved.</t>
  </si>
  <si>
    <t xml:space="preserve">Arquivos Brasileiros de Cardiologia</t>
  </si>
  <si>
    <t xml:space="preserve">10.36660/abc.20190403</t>
  </si>
  <si>
    <t xml:space="preserve">https://www.scopus.com/inward/record.uri?eid=2-s2.0-85102329873&amp;doi=10.36660%2fabc.20190403&amp;partnerID=40&amp;md5=4a7dc2d2a26006563c70581edcc6bc02</t>
  </si>
  <si>
    <t xml:space="preserve">Universidade de São Paulo Faculdade de Medicina Hospital das Clínicas Instituto do Coração, São Paulo, SP, Brazil; Instituto de Infectologia Emilio Ribas, São Paulo, SP, Brazil; Universidade de São Paulo Faculdade de Medicina, São Paulo, SP, Brazil; Universidade Federal de Minas Gerais-Centro de Telessaúde-Hospital das Clínicas, Belo Horizonte, MG, Brazil; Duke University Hospital, Durham, NC, United States; Blood Systems Research Institute, San Francisco, CA, United States</t>
  </si>
  <si>
    <t xml:space="preserve">Fernandes F., Universidade de São Paulo Faculdade de Medicina Hospital das Clínicas Instituto do Coração, São Paulo, SP, Brazil; Moreira C.H.V., Instituto de Infectologia Emilio Ribas, São Paulo, SP, Brazil; Oliveira L.C., Universidade de São Paulo Faculdade de Medicina, São Paulo, SP, Brazil; Souza-Basqueira M., Universidade de São Paulo Faculdade de Medicina, São Paulo, SP, Brazil; Ianni B.M., Universidade de São Paulo Faculdade de Medicina Hospital das Clínicas Instituto do Coração, São Paulo, SP, Brazil; Di Lorenzo C., Universidade de São Paulo Faculdade de Medicina, São Paulo, SP, Brazil; Ramires F.J.A., Universidade de São Paulo Faculdade de Medicina Hospital das Clínicas Instituto do Coração, São Paulo, SP, Brazil; Nastari L., Universidade de São Paulo Faculdade de Medicina Hospital das Clínicas Instituto do Coração, São Paulo, SP, Brazil; Cunha-Neto E., Universidade de São Paulo Faculdade de Medicina Hospital das Clínicas Instituto do Coração, São Paulo, SP, Brazil; Ribeiro A.L., Universidade Federal de Minas Gerais-Centro de Telessaúde-Hospital das Clínicas, Belo Horizonte, MG, Brazil; Lopes R.D., Duke University Hospital, Durham, NC, United States; Keating S.M., Blood Systems Research Institute, San Francisco, CA, United States; Sabino E.C., Universidade de São Paulo Faculdade de Medicina, São Paulo, SP, Brazil; Mady C., Universidade de São Paulo Faculdade de Medicina Hospital das Clínicas Instituto do Coração, São Paulo, SP, Brazil</t>
  </si>
  <si>
    <t xml:space="preserve">Biomarkers; Chagas Disease; Chagas, Cardiomyopathy; Electrocardiography/methods; Galectin-3; Heart Failure; Mortality</t>
  </si>
  <si>
    <t xml:space="preserve">Biomarkers; Chagas Cardiomyopathy; Chagas Disease; Galectin 3; Humans; Stroke Volume; Ventricular Function, Left; amino terminal pro brain natriuretic peptide; creatinine; edetic acid; galectin 3; gamma interferon; guanidine; interleukin 10; interleukin 6; interleukin 8; oligonucleotide; troponin; tumor necrosis factor; biological marker; galectin 3; adult; area under the curve; Article; blood donor; blood sampling; cardiomyopathy; Chagas cardiomyopathy; Chagas disease; cohort analysis; controlled study; creatinine blood level; cryopreservation; diagnostic test accuracy study; disease severity; echocardiography; electrocardiogram; female; fluorescence analysis; follow up; heart left ventricle ejection fraction; heart transplantation; histopathology; human; human tissue; long term mortality; major clinical study; male; middle aged; mortality; parasite load; phlebotomy; questionnaire; real time polymerase chain reaction; receiver operating characteristic; retrospective study; Trypanosoma cruzi; Chagas cardiomyopathy; Chagas disease; heart left ventricle function; heart stroke volume</t>
  </si>
  <si>
    <t xml:space="preserve">creatinine, 19230-81-0, 60-27-5; edetic acid, 150-43-6, 60-00-4; galectin 3, 208128-56-7; gamma interferon, 82115-62-6; guanidine, 113-00-8, 25215-10-5, 50-01-1; interleukin 8, 114308-91-7; Biomarkers, ; Galectin 3, </t>
  </si>
  <si>
    <t xml:space="preserve">Sequoia 512, Acuson, Canada; mac 1200, GE Healthcare, United States</t>
  </si>
  <si>
    <t xml:space="preserve">Acuson, Canada; GE Healthcare, United States</t>
  </si>
  <si>
    <t xml:space="preserve">Nadruz W, Gioli-Pereira L, Bernardez-Pereira S, Marcondes-Braga FG, Fernandes-Silva MM, Silvestre OM, Et al., Temporal trends in the contribution of Chagas cardiomyopathy to mortality among patients with heart failure, Heart, 104, 18, pp. 1522-1528, (2018); Cunha-Neto E, Coelho V, Guilherme L, Fiorelli A, Stolf N, Kalil J., Autoimmunity in Chagas’ disease. Identification of cardiac myosin-B13 Trypanosoma cruzi protein crossreactive T cell clones in heart lesions of a chronic Chagas’ cardiomyopathy patient, J Clin Invest, 98, 8, pp. 1709-1712, (1996); Filipe MD, Meijers WC, Rogier van der Velde A, de Boer RA., Galectin-3 and heart failure: prognosis, prediction &amp; clinical utility, Clin Chim Acta, 443, pp. 48-56, (2015); Pineda MA, Cuervo H, Fresno M, Soto M, Bonay P., Lack of galectin-3 prevents cardiac fibrosis and effective immune responses in a murine model of Trypanosoma cruzi infection, J Infect Dis, 212, 7, pp. 1160-1171, (2015); Pecoul B, Batista C, Stobbaerts E, Ribeiro I, Vilasanjuan R, Gascon J, Et al., The BENEFIT Trial: Where Do We Go from Here?, PLoS Negl Trop Dis, 10, 2, (2016); Sabino EC, Ribeiro AL, Salemi VM, Di Lorenzo Oliveira C, Antunes AP, Menezes MM, Et al., National Heart, Lung, and Blood Institute Retrovirus Epidemiology Donor Study-II (REDS-II), International Component. Ten-year incidence of Chagas cardiomyopathy among asymptomatic Trypanosoma cruzi-seropositive former blood donors, Circulation, 127, pp. 1105-1115, (2013); Virreira M, Torrico F, Truyens C, Alonso-Vega C, Solano M, Carlier Y, Et al., Comparison of polymerase chain reaction methods for reliable and easy detection of congenital Trypanosoma cruzi infection, Am J Trop Med Hyg, 68, 5, pp. 574-582, (2003); Prineas RJ CR, Blackburn H., The Minnesota Code Manual of Electrocardiographic Findings, (1982); Ribeiro AL, Sabino EC, Marcolino MS, Salemi VM, Ianni BM, Fernandes F, Et al., Electrocardiographic abnormalities in Trypanosoma cruzi seropositive and seronegative former blood donors, PLoS Negl Trop Dis, 7, 2, (2013); Lang RM, Bierig M, Devereux RB, Flachskampf FA, Foster E, Pellikka PA, Et al., Recommendations for chamber quantification: a report from the American Society of Echocardiography’s Guidelines and Standards Committee and the Chamber Quantification Writing Group, developed in conjunction with the European Association of Echocardiography, a branch of the European Society of Cardiology, J Am Soc Echocardiogr, 18, 12, pp. 1440-1463, (2005); Nagueh SF, Appleton CP, Gillebert TC, Marino PN, Oh JK, Smiseth OA, Et al., Recommendations for the evaluation of left ventricular diastolic function by echocardiography, Eur J Echocardiogr, 10, 2, pp. 165-193, (2009); Keating SM, Deng X, Fernandes F, Cunha-Neto E, Ribeiro AL, Adesina B, Et al., Inflammatory and cardiac biomarkers are differentially expressed in clinical stages of Chagas disease, Int J Cardiol, 199, pp. 451-459, (2015); Liu FT, Rabinovich GA., Galectins: regulators of acute and chronic inflammation, Ann N Y Acad Sci, 1183, pp. 158-182, (2010); Jaquenod De Giusti C, Ure AE, Rivadeneyra L, Schattner M, Gomez RM., Macrophages and galectin 3 play critical roles in CVB3-induced murine acute myocarditis and chronic fibrosis, J Mol Cell Cardiol, 85, pp. 58-70, (2015); Ma F, Li Y, Jia L, Han Y, Cheng J, Li H, Et al., Macrophage-stimulated cardiac fibroblast production of IL-6 is essential for TGF/Smad activation and cardiac fibrosis induced by angiotensin II, PLoS One, 7, 5, (2012); de Boer RA, Daniels LB, Maisel AS, Januzzi JL, State of the art: Newer biomarkers in heart failure, Eur J Heart Fail, 17, 6, pp. 559-569, (2015); Sato S, Ouellet M, St-Pierre C, Tremblay MJ., Glycans, galectins, and HIV-1 infection, Ann N Y Acad Sci, 1253, pp. 133-148, (2012); Mishra BB, Li Q, Steichen AL, Binstock BJ, Metzger DW, Teale JM, Et al., Galectin-3 functions as an alarmin: pathogenic role for sepsis development in murine respiratory tularemia, PLoS One, 8, 3, (2013); Acosta-Rodriguez EV, Montes CL, Motran CC, Zuniga EI, Liu FT, Rabinovich GA, Et al., Galectin-3 mediates IL-4-induced survival and differentiation of B cells: functional cross-talk and implications during Trypanosoma cruzi infection, J Immunol, 172, 1, pp. 493-502, (2004); Vray B, Camby I, Vercruysse V, Mijatovic T, Bovin NV, Ricciardi-Castagnoli P, Et al., Up-regulation of galectin-3 and its ligands by Trypanosoma cruzi infection with modulation of adhesion and migration of murine dendritic cells, Glycobiology, 14, 7, pp. 647-657, (2004); Ferrer MF, Pascuale CA, Gomez RM, Leguizamon MS., DTU I isolates of Trypanosoma cruzi induce upregulation of Galectin-3 in murine myocarditis and fibrosis, Parasitology, 141, 6, pp. 849-858, (2014); Nde PN, Lima MF, Johnson CA, Pratap S, Villalta F., Regulation and use of the extracellular matrix by Trypanosoma cruzi during early infection, Front Immunol, 3, (2012); Reignault LC, Barrias ES, Soares Medeiros LC, de Souza W, de Carvalho TM., Structures containing galectin-3 are recruited to the parasitophorous vacuole containing Trypanosoma cruzi in mouse peritoneal macrophages, Parasitol Res, 113, 6, pp. 2323-2333, (2014); Sabino EC, Ribeiro AL, Lee TH, Oliveira CL, Carneiro-Proietti AB, Antunes AP, Et al., Detection of Trypanosoma cruzi DNA in blood by PCR is associated with Chagas cardiomyopathy and disease severity, Eur J Heart Fail, 17, 4, pp. 416-423, (2015); de Boer RA, van der Velde AR, Mueller C, van Veldhuisen DJ, Anker SD, Peacock WF, Et al., Galectin-3: a modifiable risk factor in heart failure, Cardiovasc Drugs Ther, 28, 3, pp. 237-246, (2014); Echeverria LE, Rojas LZ, Calvo LS, Roa ZM, Rueda-Ochoa OL, Morillo CA, Et al., Profiles of cardiovascular biomarkers according to severity stages of Chagas cardiomyopathy, Int J Cardiol, 227, pp. 577-582, (2017); Lewinsohn R., Carlos Chagas (1879-1934): the discovery of Trypanosoma cruzi and of American trypanosomiasis (foot-notes to the history of Chagas’s disease), Trans R Soc Trop Med Hyg, 73, 5, pp. 513-523, (1979); de Boer RA, van Veldhuisen DJ, Gansevoort RT, Muller Kobold AC, van Gilst WH, Hillege HL, Et al., The fibrosis marker galectin-3 and outcome in the general population, J Intern Med, 272, 1, pp. 55-64, (2012); Meijers WC, de Boer RA, van Veldhuisen DJ, Jaarsma T, Hillege HL, Maisel AS, Et al., Biomarkers and low risk in heart failure. Data from COACH and TRIUMPH, Eur J Heart Fail, 17, 12, pp. 1271-1282, (2015); Chen A, Hou W, Zhang Y, Chen Y, He B., Prognostic value of serum galectin-3 in patients with heart failure: a meta-analysis, Int J Cardiol, 182, pp. 168-170, (2015)</t>
  </si>
  <si>
    <t xml:space="preserve">F. Fernandes; Universidade de São Paulo, Faculdade de Medicina Hospital das Clínicas Instituto do Coração, São Paulo, SP, Av. Dr. Eneas C. Aguiar, 44, 05403-000, Brazil; email: fabio.fernandes@incor.usp.br</t>
  </si>
  <si>
    <t xml:space="preserve">0066782X</t>
  </si>
  <si>
    <t xml:space="preserve">ABCAA</t>
  </si>
  <si>
    <t xml:space="preserve">Arq. Bras. Cardiol.</t>
  </si>
  <si>
    <t xml:space="preserve">2-s2.0-85102329873</t>
  </si>
  <si>
    <t xml:space="preserve">Gong Y.-F.; Zhu L.-Q.; Li Y.-L.; Zhang L.-J.; Xue J.-B.; Xia S.; Lv S.; Xu J.; Li S.-Z.</t>
  </si>
  <si>
    <t xml:space="preserve">Gong, Yan-Feng (57222716739); Zhu, Ling-Qian (57216361828); Li, Yin-Long (57208761735); Zhang, Li-Juan (55917753900); Xue, Jing-Bo (57191156611); Xia, Shang (36728593100); Lv, Shan (22938176500); Xu, Jing (57095181500); Li, Shi-Zhu (26641946500)</t>
  </si>
  <si>
    <t xml:space="preserve">57222716739; 57216361828; 57208761735; 55917753900; 57191156611; 36728593100; 22938176500; 57095181500; 26641946500</t>
  </si>
  <si>
    <t xml:space="preserve">Identification of the high-risk area for schistosomiasis transmission in China based on information value and machine learning: a newly data-driven modeling attempt</t>
  </si>
  <si>
    <t xml:space="preserve">Background: Schistosomiasis control is striving forward to transmission interruption and even elimination, evidence-lead control is of vital importance to eliminate the hidden dangers of schistosomiasis. This study attempts to identify high risk areas of schistosomiasis in China by using information value and machine learning. Methods: The local case distribution from schistosomiasis surveillance data in China between 2005 and 2019 was assessed based on 19 variables including climate, geography, and social economy. Seven models were built in three categories including information value (IV), three machine learning models [logistic regression (LR), random forest (RF), generalized boosted model (GBM)], and three coupled models (IV + LR, IV + RF, IV + GBM). Accuracy, area under the curve (AUC), and F1-score were used to evaluate the prediction performance of the models. The optimal model was selected to predict the risk distribution for schistosomiasis. Results: There is a more prone to schistosomiasis epidemic provided that paddy fields, grasslands, less than 2.5 km from the waterway, annual average temperature of 11.5–19.0 °C, annual average rainfall of 1000–1550 mm. IV + GBM had the highest prediction effect (accuracy = 0.878, AUC = 0.902, F1 = 0.920) compared with the other six models. The results of IV + GBM showed that the risk areas are mainly distributed in the coastal regions of the middle and lower reaches of the Yangtze River, the Poyang Lake region, and the Dongting Lake region. High-risk areas are primarily distributed in eastern Changde, western Yueyang, northeastern Yiyang, middle Changsha of Hunan province; southern Jiujiang, northern Nanchang, northeastern Shangrao, eastern Yichun in Jiangxi province; southern Jingzhou, southern Xiantao, middle Wuhan in Hubei province; southern Anqing, northwestern Guichi, eastern Wuhu in Anhui province; middle Meishan, northern Leshan, and the middle of Liangshan in Sichuan province. Conclusions: The risk of schistosomiasis transmission in China still exists, with high-risk areas relatively concentrated in the coastal regions of the middle and lower reaches of the Yangtze River. Coupled models of IV and machine learning provide for effective analysis and prediction, forming a scientific basis for evidence-lead surveillance and control. Graphic Abstract: [Figure not available: see fulltext.] © 2021, The Author(s).</t>
  </si>
  <si>
    <t xml:space="preserve">10.1186/s40249-021-00874-9</t>
  </si>
  <si>
    <t xml:space="preserve">https://www.scopus.com/inward/record.uri?eid=2-s2.0-85109695834&amp;doi=10.1186%2fs40249-021-00874-9&amp;partnerID=40&amp;md5=d1adc82ad1d0ad1464bcc0eaeab5ba1b</t>
  </si>
  <si>
    <t xml:space="preserve">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School of Global Health, Chinese Center for Tropical Diseases Research, Shanghai Jiao Tong University School of Medicine, Shanghai, 200025, China</t>
  </si>
  <si>
    <t xml:space="preserve">Gong Y.-F.,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Zhu L.-Q.,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Li Y.-L.,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Zhang L.-J.,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Xue J.-B.,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Xia S.,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School of Global Health, Chinese Center for Tropical Diseases Research, Shanghai Jiao Tong University School of Medicine, Shanghai, 200025, China; Lv S.,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School of Global Health, Chinese Center for Tropical Diseases Research, Shanghai Jiao Tong University School of Medicine, Shanghai, 200025, China; Xu J.,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Li S.-Z.,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School of Global Health, Chinese Center for Tropical Diseases Research, Shanghai Jiao Tong University School of Medicine, Shanghai, 200025, China</t>
  </si>
  <si>
    <t xml:space="preserve">China; Information value; Machine learning; Risk prediction; Schistosomiasis</t>
  </si>
  <si>
    <t xml:space="preserve">Animals; China; Humans; Lakes; Machine Learning; Rivers; Schistosomiasis; Snails; rain; Article; China; climate change; clinical assessment; disease control; disease risk assessment; disease surveillance; disease transmission; generalized boosted model; geographic distribution; gross national product; human; information processing; information value; logistic regression analysis; machine learning; measurement accuracy; model; Oncomelania hupensis; optimal coupling model; population density; random forest; Schistosoma japonicum; schistosomiasis; scoring system; socioeconomics; temperature; animal; lake; machine learning; river; schistosomiasis; snail</t>
  </si>
  <si>
    <t xml:space="preserve">National Special Science and Technology Project for Major Infection Diseases of China; Three-Year Public Health Action Plan of Shanghai, (GWV-10.1-XK13); National Major Science and Technology Projects of China, (2016ZX10004222-004); National Major Science and Technology Projects of China</t>
  </si>
  <si>
    <t xml:space="preserve">Supported by the National Special Science and Technology Project for Major Infection Diseases of China (No. 2016ZX10004222-004), the Fifth Round of Three-Year Public Health Action Plan of Shanghai (No. GWV-10.1-XK13). The funders had no role in study design, data collection and analysis, decision to publish, or preparation of the manuscript. </t>
  </si>
  <si>
    <t xml:space="preserve">Li E.Y., Gurarie D., Lo N.C., Zhu X., King C.H., Improving public health control of schistosomiasis with a modified WHO strategy: a model-based comparison study, Lancet Glob Health, 7, 10, pp. e1414-e1422, (2019); Xu J., Yu Q., Tchuente L.A., Bergquist R., Sacko M., Utzinger J., Et al., Enhancing collaboration between China and African countries for schistosomiasis control, Lancet Infect Dis, 16, 3, pp. 376-383, (2016); Lv S., Lv C., Li Y.L., Xu J., Hong Q.B., Zhou J., Et al., Expert consensus on the strategy and measures to interrupt the transmission of schistosomiasis in China, Zhongguo Xue Xi Chong Bing Fang Zhi Za Zhi, 33, 1, pp. 10-14, (2021); Xu J., Li S.Z., Chen J.X., Wen L.Y., Zhou X.N., Playing the guiding roles of national criteria and precisely eliminating schistosomiasis in P. R. China, Zhongguo Xue Xi Chong Bing Fang Zhi Za Zhi, 29, 1, pp. 1-4, (2017); Zhang Z.P., Wei Z.H., Landslide susceptibility assessment based on weighted information values model: take Baqiao district as an example, Sci Technol Eng, 20, 9, pp. 3492-3500, (2020); Yang G.J., Vounatsou P., Zhou X.N., Utzinger J., Tanner M., A review of geographic information system and remote sensing with applications to the epidemiology and control of schistosomiasis in China, Acta Trop, 96, 2-3, pp. 117-129, (2005); Ajakaye O.G., Adedeji O.I., Ajayi P.O., Modeling the risk of transmission of schistosomiasis in Akure North Local Government Area of Ondo State, Nigeria using satellite derived environmental data, PLoS Negl Trop Dis, 11, 7, (2017); Yang K., Xu J.F., Zhang J.F., Li W., He J., Liang S., Et al., Establishing and applying a schistosomiasis early warning index (SEWI) in the lower Yangtze River Region of Jiangsu Province, China, PLoS ONE, 9, 4, (2014); Solano-Villarreal E., Valdivia W., Pearcy M., Linard C., Pasapera-Gonzales J., Moreno-Gutierrez D., Et al., Malaria risk assessment and mapping using satellite imagery and boosted regression trees in the Peruvian Amazon, Sci Rep, 9, 1, (2019); Xia C., Hu Y., Ward M.P., Lynn H., Li S., Zhang J., Et al., Identification of high-risk habitats of Oncomelania hupensis, the intermediate host of schistosoma japonium in the Poyang Lake region, China: a spatial and ecological analysis, PLoS Negl Trop Dis, 13, 6, (2019); Tan Y., Guo D., Bo X.A., Geospatial information quantity model for regional landslide risk assessment, Nat Hazard, 79, pp. 1385-1398, (2015); Rai P.K., Nathawat M.S., Rai S., Using the information value method in a geographic information system and remote sensing for malaria mapping: a case study from India, Inform Prim Care, 21, 1, pp. 43-52, (2013); Chen Z., Liu F., Li B., Peng X., Fan L., Luo A., Prediction of hot spot areas of hemorrhagic fever with renal syndrome in Hunan Province based on an information quantity model and logistical regression model, PLoS Negl Trop Dis, 14, 12, (2020); Xu J., Li S.Z., Zhang L.J., Bergquist R., Dang H., Wang Q., Et al., Surveillance-based evidence: elimination of schistosomiasis as a public health problem in the Peoples' Republic of China, Infect Dis Poverty, 9, 1, (2020); Li Y., Dang H., Zhang L., Li G., Shan X., Yuan M., Et al., Schistosomiasis surveillance—China, 2015–2018, China CDC Wkly, 2, 3, pp. 39-43, (2020); Xu J.F., Xu J., Li S.Z., Jia T.W., Huang X.B., Zhang H.M., Et al., Transmission risks of schistosomiasis japonica: extraction from back-propagation artificial neural network and logistic regression model, PLoS Negl Trop Dis, 7, 3, (2013); Liang R., Lu Y., Qu X., Su Q., Li C., Xia S., Et al., Prediction for global African swine fever outbreaks based on a combination of random forest algorithms and meteorological data, Transbound Emerg Dis, 67, 2, pp. 935-946, (2020); Teng Y., Bi D., Xie G., Jin Y., Huang Y., Lin B., Et al., Model-informed risk assessment for Zika virus outbreaks in the Asia-Pacific regions, J Infect, 74, 5, pp. 484-491, (2017); Tan Y., Bacchi S., Casson R.J., Selva D., Chan W., Triaging ophthalmology outpatient referrals with machine learning: a pilot study, Clin Exp Ophthalmol, 48, 2, pp. 169-173, (2020); Kim M., Chae K., Lee S., Jang H.J., Kim S., Automated classification of online sources for infectious disease occurrences using machine-learning-based natural language processing approaches, Int J Environ Res Public Health, 17, 24, (2020); Assaf D., Gutman Y., Neuman Y., Segal G., Amit S., Gefen-Halevi S., Et al., Utilization of machine-learning models to accurately predict the risk for critical COVID-19, Intern Emerg Med, 15, 8, pp. 1435-1443, (2020); Hu X.K., Hao Y.W., Xia S., Guo Y.H., Xue J.B., Zhang Y., Et al., Detection of schistosomiasis transmission risks in Yunnan Province based on ecological niche modeling, Zhongguo Ji Sheng Chong Xue Yu Ji Sheng Chong Bing Za Zhi, 38, 1, pp. 80-86,94, (2020); Cheng G., Li D., Zhuang D., Wang Y., The influence of natural factors on the spatio-temporal distribution of Oncomelania hupensis, Acta Trop, 164, pp. 194-207, (2016); Hembram T., Paul G., Saha S., Spatial prediction of susceptibility to gully erosion in Jainti River basin, Eastern India: a comparison of information value and logistic regression models, Model Earth Syst Environ, 5, pp. 689-708, (2019); Li Z.T., Wang T., Zou Y., Liu J.M., Xin P., Landslide susceptibility assessment based on information value model, logistic regression model and their integrated model: a case in Shatang River Basin, Qinghai Province, Geoscience, 33, 1, pp. 235-245, (2019); Zhang L.J., Xu Z.M., Guo J.Y., Dai S.M., Dang H., Lv S., Et al., Endemic status of schistosomiasis in People's Republic of China in 2018, Zhongguo Xue Xi Chong Bing Fang Zhi Za Zhi, 31, 6, pp. 576-582, (2019); Song L.G., Wu X.Y., Sacko M., Wu Z.D., History of schistosomiasis epidemiology, current status, and challenges in China: on the road to schistosomiasis elimination, Parasitol Res, 115, 11, pp. 4071-4081, (2016); Hu F., Ge J., Lv S.B., Li Y.F., Li Z.J., Yuan M., Et al., Distribution pattern of the snail intermediate host of schistosomiasis japonica in the Poyang Lake region of China, Infect Dis Poverty, 8, 1, (2019); Li F.Y., Hou X.Y., Tan H.Z., Williams G.M., Gray D.J., Gordon C.A., Et al., Current status of schistosomiasis control and prospects for elimination in the Dongting Lake Region of the People's Republic of China, Front Immunol, 11, (2020); Li Y.S., Raso G., Zhao Z.Y., He Y.K., Ellis M.K., McManus D.P., Large water management projects and schistosomiasis control, Dongting Lake region, China, Emerg Infect Dis, 13, 7, pp. 973-979, (2007); Anthonj C., Diekkruger B., Borgemeister C., Thomas K., Health risk perceptions and local knowledge of water-related infectious disease exposure among Kenyan wetland communities, Int J Hyg Environ Health, 222, 1, pp. 34-48, (2019); Stensgaard A.S., Vounatsou P., Sengupta M.E., Utzinger J., Schistosomes, snails and climate change: current trends and future expectations, Acta Trop, 190, pp. 257-268, (2019); Ending the neglect to attain the Sustainable Development Goals: A road map for neglected tropical diseases 2021–2030, World Health Organization, (2020); Hu Y., Ward M.P., Xia C., Li R., Sun L., Lynn H., Et al., Monitoring schistosomiasis risk in East China over space and time using a Bayesian hierarchical modeling approach, Sci Rep, 6, (2016); Olkeba B.K., Boets P., Mereta S.T., Yeshigeta M., Akessa G.M., Ambelu A., Et al., Environmental and biotic factors affecting freshwater snail intermediate hosts in the Ethiopian Rift Valley region, Parasit Vectors, 13, 1, (2020); Yang J., Zhao Z., Li Y., Krewski D., Wen S.W., A multi-level analysis of risk factors for Schistosoma japonicum infection in China, Int J Infect Dis, 13, 6, pp. e407-e412, (2009); Niu Y., Li R., Qiu J., Xu X., Huang D., Qu Y., Geographical clustering and environmental determinants of schistosomiasis from 2007 to 2012 in Jianghan Plain, China, Int J Environ Res Public Health, 15, 7, (2018); Angora E.K., Boissier J., Menan H., Rey O., Tuo K., Toure A.O., Et al., Prevalence and risk factors for schistosomiasis among schoolchildren in two settings of Côte d'Ivoire, Trop Med Infect Dis, 4, 3, (2019); Yang Y., Zhou Y.B., Song X.X., Li S.Z., Zhong B., Wang T.P., Et al., Integrated control strategy of schistosomiasis in the People's Republic of China: projects involving agriculture, water conservancy, forestry, sanitation and environmental modification, Adv Parasitol, 92, pp. 237-268, (2016); Cao C.L., Zhang L.J., Deng W.P., Li Y.L., Lv C., Dai S.M., Et al., Contributions and achievements on schistosomiasis control and elimination in China by NIPD-CTDR, Adv Parasitol, 110, pp. 1-62, (2020); Qiu J., Li R., Zhu H., Xia J., Xiao Y., Huang D., Et al., The effect of ecological environmental changes and mollusciciding on snail intermediate host of Schistosoma in Qianjiang city of China from 1985 to 2015, Parasit Vectors, 13, 1, (2020)</t>
  </si>
  <si>
    <t xml:space="preserve">S.-Z. Li; National Institute of Parasitic Diseases, Chinese Center for Disease Control and Prevention; Chinese Center for Tropical Diseases Research; HC Key Laboratory of Parasite and Vector Biology; WHO Collaborating Centre for Tropical Diseases; National Center for International Research on Tropical Diseases, Shanghai, 200025, China; email: lisz@chinacdc.cn</t>
  </si>
  <si>
    <t xml:space="preserve">2-s2.0-85109695834</t>
  </si>
  <si>
    <t xml:space="preserve">Karimi M.; Naserifar R.; Abbasi N.; Abdi J.; Maspi N.</t>
  </si>
  <si>
    <t xml:space="preserve">Karimi, Mohammad (57302151000); Naserifar, Razi (55790381200); Abbasi, Naser (23977705500); Abdi, Jahangir (36978743000); Maspi, Nahid (57188633590)</t>
  </si>
  <si>
    <t xml:space="preserve">57302151000; 55790381200; 23977705500; 36978743000; 57188633590</t>
  </si>
  <si>
    <t xml:space="preserve">In vitro antileishmanial activity of hydroalcoholic Thymbra spicata extract on Leishmania major promastigotes</t>
  </si>
  <si>
    <t xml:space="preserve">Cutaneous leishmaniosis is a major worldwide public health problem with annual incidence of 1.5 million cases across 98 countries. Treatment still relies on the use of chemical drugs with increasing resistance and side effects. The aim of this study was to investigate the anti-leishmanial effect of the hydroalcoholic Thymbra spicata extract on Leishmania major (L. major) promastigotes. In this study, 1×105 L. major promastigotes were cultured in 96-well plates and treated with different concentrations of hydroalcoholic T. spicata extract (12.5 to 400 μg/ml) then incubated at 25°C for 24, 48 and 72 hours. Lethal percentage of promastigotes in each well was determined. RPMI 1640 medium containing L. major promastigotes with glucantime or without any treatment were used as positive and negative controls respectively. The 50% lethal concentration (LC50) of T. spicata extract and glucantime was calculated by GraphPad Prism software. The results indicated a significant decrease in the number of promastigotes treated with T. spicata extract and glucantime in comparison with negative control (P&lt;0.0001). LC50 values for T. spicata extract were 18.49, 8.58, and 1.64 μg/ml after 24, 48 and 72 hours, respectively. In addition, anti-leishmanial effect of T. spicata extract and glucantime were dependent on concentration (P&lt;0.0001). Our study revealed T. spicata extract as an herbal product against L. major promastigotes. However, more investigations are needed to find its antileishmanial activity in vivo and clinical trial studies.</t>
  </si>
  <si>
    <t xml:space="preserve">drug dicsovery</t>
  </si>
  <si>
    <t xml:space="preserve">Annals of parasitology</t>
  </si>
  <si>
    <t xml:space="preserve">NLM (Medline)</t>
  </si>
  <si>
    <t xml:space="preserve">10.17420/ap6702.334</t>
  </si>
  <si>
    <t xml:space="preserve">https://www.scopus.com/inward/record.uri?eid=2-s2.0-85117474846&amp;doi=10.17420%2fap6702.334&amp;partnerID=40&amp;md5=04bd534a1ecf106f5d8c73f08b83975e</t>
  </si>
  <si>
    <t xml:space="preserve">Zoonotic Diseases Research Center, Ilam University of Medical Sciences, Ilam, Iran; Biotechnology and Medical Plants Research Center, Ilam University of Medical Sciences, Ilam, Iran; Department of Parasitology, School of Paramedicine, Ilam University of Medical Sciences, Ilam, Iran</t>
  </si>
  <si>
    <t xml:space="preserve">Karimi M., Zoonotic Diseases Research Center, Ilam University of Medical Sciences, Ilam, Iran; Naserifar R., Zoonotic Diseases Research Center, Ilam University of Medical Sciences, Ilam, Iran; Abbasi N., Biotechnology and Medical Plants Research Center, Ilam University of Medical Sciences, Ilam, Iran; Abdi J., Zoonotic Diseases Research Center, Ilam University of Medical Sciences, Ilam, Iran, Department of Parasitology, School of Paramedicine, Ilam University of Medical Sciences, Ilam, Iran; Maspi N., Department of Parasitology, School of Paramedicine, Ilam University of Medical Sciences, Ilam, Iran</t>
  </si>
  <si>
    <t xml:space="preserve">Antiprotozoal Agents; Humans; Leishmania major; Leishmaniasis, Cutaneous; Plant Extracts; antiprotozoal agent; plant extract; cutaneous leishmaniasis; human; Leishmania major</t>
  </si>
  <si>
    <t xml:space="preserve">Antiprotozoal Agents, ; Plant Extracts, </t>
  </si>
  <si>
    <t xml:space="preserve">Ann Parasitol</t>
  </si>
  <si>
    <t xml:space="preserve">2-s2.0-85117474846</t>
  </si>
  <si>
    <t xml:space="preserve">Zheng J.-X.; Xia S.; Lv S.; Zhang Y.; Bergquist R.; Zhou X.-N.</t>
  </si>
  <si>
    <t xml:space="preserve">Zheng, Jin-Xin (57194709158); Xia, Shang (36728593100); Lv, Shan (22938176500); Zhang, Yi (35560279500); Bergquist, Robert (6604000489); Zhou, Xiao-Nong (8967873100)</t>
  </si>
  <si>
    <t xml:space="preserve">57194709158; 36728593100; 22938176500; 35560279500; 6604000489; 8967873100</t>
  </si>
  <si>
    <t xml:space="preserve">Infestation risk of the intermediate snail host of Schistosoma japonicum in the Yangtze River Basin: improved results by spatial reassessment and a random forest approach</t>
  </si>
  <si>
    <t xml:space="preserve">Background: Oncomelania hupensis is only intermediate snail host of Schistosoma japonicum, and distribution of O. hupensis is an important indicator for the surveillance of schistosomiasis. This study explored the feasibility of a random forest algorithm weighted by spatial distance for risk prediction of schistosomiasis distribution in the Yangtze River Basin in China, with the aim to produce an improved precision reference for the national schistosomiasis control programme by reducing the number of snail survey sites without losing predictive accuracy. Methods: The snail presence and absence records were collected from Anhui, Hunan, Hubei, Jiangxi and Jiangsu provinces in 2018. A machine learning of random forest algorithm based on a set of environmental and climatic variables was developed to predict the breeding sites of the O. hupensis intermediated snail host of S. japonicum. Different spatial sizes of a hexagonal grid system were compared to estimate the need for required snail sampling sites. The predictive accuracy related to geographic distances between snail sampling sites was estimated by calculating Kappa and the area under the curve (AUC). Results: The highest accuracy (AUC = 0.889 and Kappa = 0.618) was achieved at the 5 km distance weight. The five factors with the strongest correlation to O. hupensis infestation probability were: (1) distance to lake (48.9%), (2) distance to river (36.6%), (3) isothermality (29.5%), (4) mean daily difference in temperature (28.1%), and (5) altitude (26.0%). The risk map showed that areas characterized by snail infestation were mainly located along the Yangtze River, with the highest probability in the dividing, slow-flowing river arms in the middle and lower reaches of the Yangtze River in Anhui, followed by areas near the shores of China’s two main lakes, the Dongting Lake in Hunan and Hubei and the Poyang Lake in Jiangxi. Conclusions: Applying the machine learning of random forest algorithm made it feasible to precisely predict snail infestation probability, an approach that could improve the sensitivity of the Chinese schistosome surveillance system. Redesign of the snail surveillance system by spatial bias correction of O. hupensis infestation in the Yangtze River Basin to reduce the number of sites required to investigate from 2369 to 1747. Graphical abstract: [Figure not available: see fulltext.] © 2021, The Author(s).</t>
  </si>
  <si>
    <t xml:space="preserve">10.1186/s40249-021-00852-1</t>
  </si>
  <si>
    <t xml:space="preserve">https://www.scopus.com/inward/record.uri?eid=2-s2.0-85106664868&amp;doi=10.1186%2fs40249-021-00852-1&amp;partnerID=40&amp;md5=06ce6ff9dee6f7d788695bc83d62fe48</t>
  </si>
  <si>
    <t xml:space="preserve">National Institute of Parasitic Diseases, Chinese Center for Disease Control and Prevention; Chinese Center for Tropical Diseases Research; WHO Collaborating Centre for Tropical Diseases; National Center for International Research on Tropical Diseases, Ministry of Science and Technology; NHC Key Laboratory of Parasite and Vector Biology, Shanghai, 200025, China; School of Global Health, Chinese Center for Tropical Diseases Research, Shanghai Jiao Tong University School of Medicine; One Health Center, The University of Edinburgh, Shanghai Jiao Tong University, Shanghai, 200025, China; Ingerod, Brastad, Sweden/formerly with the UNICEF/UNDP/World Bank/WHO Special Programme for Research and Training in Tropical Diseases (TDR), World Health Organization, Geneva, Switzerland</t>
  </si>
  <si>
    <t xml:space="preserve">Zheng J.-X., National Institute of Parasitic Diseases, Chinese Center for Disease Control and Prevention; Chinese Center for Tropical Diseases Research; WHO Collaborating Centre for Tropical Diseases; National Center for International Research on Tropical Diseases, Ministry of Science and Technology; NHC Key Laboratory of Parasite and Vector Biology, Shanghai, 200025, China; Xia S., National Institute of Parasitic Diseases, Chinese Center for Disease Control and Prevention; Chinese Center for Tropical Diseases Research; WHO Collaborating Centre for Tropical Diseases; National Center for International Research on Tropical Diseases, Ministry of Science and Technology; NHC Key Laboratory of Parasite and Vector Biology, Shanghai, 200025, China, School of Global Health, Chinese Center for Tropical Diseases Research, Shanghai Jiao Tong University School of Medicine; One Health Center, The University of Edinburgh, Shanghai Jiao Tong University, Shanghai, 200025, China; Lv S., National Institute of Parasitic Diseases, Chinese Center for Disease Control and Prevention; Chinese Center for Tropical Diseases Research; WHO Collaborating Centre for Tropical Diseases; National Center for International Research on Tropical Diseases, Ministry of Science and Technology; NHC Key Laboratory of Parasite and Vector Biology, Shanghai, 200025, China, School of Global Health, Chinese Center for Tropical Diseases Research, Shanghai Jiao Tong University School of Medicine; One Health Center, The University of Edinburgh, Shanghai Jiao Tong University, Shanghai, 200025, China; Zhang Y., National Institute of Parasitic Diseases, Chinese Center for Disease Control and Prevention; Chinese Center for Tropical Diseases Research; WHO Collaborating Centre for Tropical Diseases; National Center for International Research on Tropical Diseases, Ministry of Science and Technology; NHC Key Laboratory of Parasite and Vector Biology, Shanghai, 200025, China, School of Global Health, Chinese Center for Tropical Diseases Research, Shanghai Jiao Tong University School of Medicine; One Health Center, The University of Edinburgh, Shanghai Jiao Tong University, Shanghai, 200025, China; Bergquist R., Ingerod, Brastad, Sweden/formerly with the UNICEF/UNDP/World Bank/WHO Special Programme for Research and Training in Tropical Diseases (TDR), World Health Organization, Geneva, Switzerland; Zhou X.-N., National Institute of Parasitic Diseases, Chinese Center for Disease Control and Prevention; Chinese Center for Tropical Diseases Research; WHO Collaborating Centre for Tropical Diseases; National Center for International Research on Tropical Diseases, Ministry of Science and Technology; NHC Key Laboratory of Parasite and Vector Biology, Shanghai, 200025, China, School of Global Health, Chinese Center for Tropical Diseases Research, Shanghai Jiao Tong University School of Medicine; One Health Center, The University of Edinburgh, Shanghai Jiao Tong University, Shanghai, 200025, China</t>
  </si>
  <si>
    <t xml:space="preserve">China; Machine learning; Oncomelania hupensis; Random forest; Schistosomiasis; Snail infestation; Spatial sampling; Yangtze River</t>
  </si>
  <si>
    <t xml:space="preserve">Animals; Breeding; China; Environmental Monitoring; Feasibility Studies; Machine Learning; Models, Theoretical; Population Surveillance; Rivers; Schistosoma japonicum; Snails; Spatial Analysis; algorithm; altitude; area under the curve; Article; calibration; climate change; cross validation; disease surveillance; feasibility study; geographic distribution; geographic information system; infestation; intermediate host; learning algorithm; machine learning; nonhuman; Oncomelania hupensis; prediction; probability; random forest; receiver operating characteristic; river; Schistosoma japonicum; schistosomiasis; sensitivity and specificity; snail; stochastic model; temperature; animal; breeding; China; environmental monitoring; health survey; isolation and purification; parasitology; physiology; Schistosoma japonicum; snail; spatial analysis; theoretical model</t>
  </si>
  <si>
    <t xml:space="preserve">National S &amp; T Key Project, (2016YFC1202000); Strengthen Action Plan for Shanghai Public Health System, (GW-11); International Development Research Centre, IDRC, (108100-001)</t>
  </si>
  <si>
    <t xml:space="preserve">The work was funded by grants from The International Development Research Centre (IDRC), Canada (No. 108100-001), also partially supported by the Strengthen Action Plan for Shanghai Public Health System Construction 2011–2013 (GW-11) and by the National S &amp; T Key Project (No. 2016YFC1202000). </t>
  </si>
  <si>
    <t xml:space="preserve">Colley D.G., Bustinduy A.L., Secor W.E., King C.H., Human schistosomiasis, Lancet, 383, pp. 2253-2264, (2014); Zou L., Ruan S., Schistosomiasis transmission and control in China, Acta Trop, 143, pp. 51-57, (2015); Song L.G., Wu X.Y., Sacko M., Wu Z.D., History of schistosomiasis epidemiology, current status, and challenges in China: on the road to schistosomiasis elimination, Parasitol Res, 115, pp. 4071-4081, (2016); Cao C.L., Zhang L.J., Deng W.P., Li Y.L., Lv C., Dai S.M., Et al., Contributions and achievements on schistosomiasis control and elimination in China by NIPD-CTDR, Adv Parasitol, 110, pp. 1-62, (2020); Zhang L.J., Dai S.M., Xue J.B., Li Y.L., Lv S., Xu J., Et al., The epidemiological status of schistosomiasis in P. R. China after the World Bank Loan Project 2002–2017, Acta Trop, 195, pp. 135-141, (2019); Wang X.Y., Xu J., Zhao S., Li W., Zhang J.F., He J., Et al., Estimating the prevalence of schistosomiasis japonica in China: a serological approach, Infect Dis Poverty, 7, (2018); Sun L.P., Wang W., Hong Q.B., Li S.Z., Liang Y.S., Yang H.T., Et al., Approaches being used in the national schistosomiasis elimination programme in China: a review, Infect Dis Poverty, 6, (2017); Zhang L.J., Xu Z.M., Dan S.M., Dang H., Lv S., Xu J., Et al., Endemic status of schistosomiasis in the People’s Republic of China in 2017, Chin J Schisto Contrl., 30, pp. 481-488, (2018); Xu J., Steinman P., Maybe D., Zhou X.N., Lv S., Li S.Z., Et al., Evolution of the national schistosomiasis control programmes in the People’s Republic of China, Adv Parasitol, 92, pp. 1-38, (2016); Xu J., Li S.Z., Zhang L.J., Bergquist R., Dang H., Et al., Surveillance-based evidence: elimination of schistosomiasis as a public health problem in the Peoples’ Republic of China, Infect Dis Poverty, 9, (2020); Zhang Z.Y., Xu D.Z., Zhou X.N., Zhou Y., Liu S.J., Remote sensing and spatial statistical analysis to predict the distribution of Oncomelania hupensis in the marshlands of China, Acta Trop, 96, pp. 205-212, (2005); Adekiya T.A., Aruleba R.T., Oyinloye B.E., Okosun K.O., Kappo A.P., The effect of climate change and the snail-schistosome cycle in transmission and bio-control of schistosomiasis in Sub-Saharan Africa, Int J Environ Res Public Health, 17, (2019); Xue J.B., Xia S., Zhang L.J., Abe E.M., Zhou J., Li Y.Y., Et al., High-resolution remote sensing-based spatial modelling for the prediction of potential risk areas of schistosomiasis in the Dongting Lake area, China Acta Tropica, 198, (2019); Dallas T.A., Laine A.L., Ovaskainen O., Detecting parasite associations within multi-species host and parasite communities, Proc Biol Sci, 286, (2019); Chavy A., Ferreira Dales Nava A., Luz S.L.B., Ramirez J.D., Herrera G., Vascibcekis Dos Santos T., Et al., Ecological niche modelling for predicting the risk of cutaneous leishmaniasis in the neotropical moist forest biome, PLoS Negl Trop Dis., 13, (2019); Melo-Merino S.M., Reyes-Bonilla H., Lira-Noriega A., Ecological niche models and species distribution models in marine environments: a literature review and spatial analysis of evidence, Ecol Model, 415, (2020); Zhang L., Huettmann F., Zhang X., Liu S., Sun P., Yu Z., Et al., The use of classification and regression algorithms using the random forests method with presence-only data to model species’ distribution, MethodsX, 6, pp. 2281-2292, (2019); Khalilia M., Chakraborty S., Popescu M., Predicting disease risks from highly imbalanced data using random forest, BMC Med Inform Decis Mak, 11, (2011); Ellis M., Taylor J.E., Effects of weather, time of day, and survey effort on estimates of species richness in temperate woodlands, Emu-Austral Ornithology, 118, 2, pp. 183-192, (2018); Zhu H.R., Liu L., Zhou X.N., Yang G.J., Ecological model to predict potential habitats of Oncomelania hupensis, the intermediate host of Schistosoma japonicum in the mountainous regions, China, PLoS Negl Trop Dis, 9, (2015); Guillera-Arroita G., Lahoz-Monfort J., Elith J., Gordon A., Kujala H., Lentini P., Et al., Is my species distribution model fit for purpose? matching data and models to applications, Global Ecol Biogeo, 24, 3, pp. 276-292, (2015); Tulloch A.I.T., Szabo J.K., A behavioural ecology approach to understand volunteer surveying for citizen science datasets, Emu, 112, pp. 313-325, (2012); Sanderson E., Jaiteh M., Levy M., Redford K., Wannebo A., Woolmer G., The human footprint and the last of the wild, Bioscience, 52, pp. 891-904, (2009); Sahr K., Hexagonal discrete global grid systems for geospatial computing, Arch Photogra Cartogra Remote Sensing, 22, pp. 263-376, (2011); Millar C.I., Stephenson N.L., Stephens S.L., Climate change and forests of the future: managing in the face of uncertainty, Ecol Appl, 17, pp. 2145-2151, (2007); Genuer R., Poggi J.-M., Tuleau-Malot C., Variable selection using random forests, Pattern Reco Letters, 31, 14, pp. 2225-2236, (2010); Seeholzer G.F., Claramunt S., Brumfield R.T., Niche evolution and diversification in a Neotropical radiation of birds (Aves: Furnariidae), Evolution, 71, pp. 702-715, (2017); Hanley J.A., McNeil B.J., The meaning and use of the area under a receiver operating characteristic (ROC) curve, Radiology, 143, pp. 29-36, (1982); McHugh M.L., Interrater reliability: the kappa statistic, Biochem Med (Zagreb), 22, pp. 276-282, (2012); Strobl C., Boulesteix A.L., Zeileis A., Hothorn T., Bias in random forest variable importance measures: illustrations, sources and a solution, BMC Bioinformatics, 25, 8, (2007); Han H., Guo X.L., Yu H., Variable selection using mean decrease accuracy and mean decrease gini based on random forest, 7Th IEEE, 2016, pp. 219-224, (2016); Zurell D., Elith J., Schroder B., Predicting to new environments: tools for visualizing model behaviour and impacts on mapped distributions, Divers Distrib, 18, pp. 628-634, (2012); Zhou X.N., Yang G.J., Yang K., Wang X.H., Hong Q.B., Sun L.P., Et al., Potential impact of climate change on schistosomiasis transmission in China, Am J Trop Med Hyg, 78, 2, pp. 188-194, (2008); Ben-David A., About the relationship between ROC curves and Cohen’s kappa, Eng Appl Artif Intell, 21, pp. 874-882, (2008); Fan J., Yuan X., Wang M., Zhu G., Mapping the potential distribution of the schistosomiasis intermediate host Biomphalaria straminea in China, Geospat Health, 13, (2018); de Augusto R.C., Duval D., Grunau C., Effects of the environment on developmental plasticity and infection success of Schistosoma parasites—an epigenetic perspective, Front Microbiol., 10, (2019); Chen Y., Liu J., Xiao Y., Zhong C., Wei F., Liu S., Spatiotemporal pattern analysis of schistosomiasis based on village level in the transmission control stage in lake and marshland areas in China, Parasitology, 147, pp. 199-212, (2020); Chen Y., Liu S., Shan X., Wang H., Li B., Yang J., Et al., Schistosoma japonicum-infected sentinel mice: surveillance and spatial point pattern analysis in Hubei province, China, 2010–2018, Int J Infect Dis, 99, pp. 179-185, (2020); Yang G.J., Bergquist R., Potential impact of climate change on schistosomiasis: a global assessment attempt, Trop Med Infect Dis, 3, (2018); McManus D.P., Dunne D.W., Sacko M., Utzinger J., Vennervald B.J., Zhou X.-N., Schistosomiasis, Nat Rev Dis Primers, 4, (2018); Zhang L.J., Xu Z.M., Guo J.Y., Dai S.M., Dang H., Lu S., Et al., Endemic status of schistosomiasis in People’s Republic of China in 2018, Chin J Schisto Contrl, 31, pp. 576-582, (2019); Wang H., Liu S., Zhang J., Shan X.W., Xiao Y., Chen Y.Y., Et al., Endemic situation of schistosomiasis in national surveillance sites of Hubei Province from 2015 to 2019, Chin J Schisto Contrl, 32, pp. 565-568, (2020); Li L., Zhou Y., Wang T., Zhang S., Chen G., Zhao G., Et al., Elimination of Schistosoma japonicum transmission in China: a case of schistosomiasis control in the severe epidemic area of Anhui Province, Int J Environ Res Public Health, 16, (2019); Jiang T.T., Yang K., Progresses of research on patterns and monitoring approaches of Oncomelania hupensis spread, Chin J Schisto Contrl, 32, pp. 208-212, (2020); Liu M.M., Feng Y., Yang K., Impact of micro-environmental factors on survival, reproduction and distribution of Oncomelania hupensis snails, Infect Dis Poverty, 10, (2021); Fick S.E., Hijmans R.J., WorldClim 2: new 1 km spatial resolution climate surfaces for global land areas, Int J Climatol, 37, 12, pp. 4302-4315, (2017); Chen J., Xu J., Bergquist R., Li S.Z., Zhou X.N., Farewell to the God of Plague”: The importance of political commitment towards the elimination of schistosomiasis, Trop Med Infect Dis, 3, (2018); Bergquist R., Zhou X.N., Rollinson D., Reinhard-Rupp J., Klohe K., Elimination of schistosomiasis: the tools required, Infect Dis Poverty, 6, (2017)</t>
  </si>
  <si>
    <t xml:space="preserve">X.-N. Zhou; National Institute of Parasitic Diseases, Chinese Center for Disease Control and Prevention; Chinese Center for Tropical Diseases Research; WHO Collaborating Centre for Tropical Diseases; National Center for International Research on Tropical Diseases, Ministry of Science and Technology; NHC Key Laboratory of Parasite and Vector Biology, Shanghai, 200025, China; email: zhouxn1@chinacdc.cn</t>
  </si>
  <si>
    <t xml:space="preserve">2-s2.0-85106664868</t>
  </si>
  <si>
    <t xml:space="preserve">Choto E.T.; Mduluza T.; Chimbari M.J.</t>
  </si>
  <si>
    <t xml:space="preserve">Choto, Emilia T. (57208563512); Mduluza, Takafira (6602818648); Chimbari, Moses J. (6603694073)</t>
  </si>
  <si>
    <t xml:space="preserve">57208563512; 6602818648; 6603694073</t>
  </si>
  <si>
    <t xml:space="preserve">Interleukin-13 rs1800925/-1112C/T promoter single nucleotide polymorphism variant linked to anti-schistosomiasis in adult males in Murehwa District, Zimbabwe</t>
  </si>
  <si>
    <t xml:space="preserve">Background Chronic schistosomiasis is predominantly induced through up-regulation of inflammatory cytokines such as interleukin (IL)-13. IL-13 may contribute to the disease outcomes by increasing eosinophil infiltration thereby promoting fibrosis. IL-13 may act as an immunosuppressive inflammatory cytokine that may promote carcinogenesis and also may offer protection against schistosomiasis thereby reducing risk of schistosome infections. Our study evaluated the frequency of the IL-13 rs1800925/-1112 C/ T promoter single nucleotide polymorphisms (SNPs) among schistosomiasis infected individuals and assessed the association of the variants on IL-13 cytokine levels. We also investigated IL-13 rs1800925 polymorphisms on prostate-specific antigen levels as an indicator for risk of prostate cancer development. Methodology The study was cross-sectional and included 50 schistosomiasis infected and 316 uninfected male participants residing in Murehwa District, Zimbabwe. IL-13 rs1800925 SNPs were genotyped by allele amplification refractory mutation system-polymerase chain reaction. Concentrations of serum prostate-specific antigens and plasma IL-13 were measured using enzyme-linked immunosorbent assay. Results Frequencies of the genotypes CC, CT and TT, were 20%, 58% and 22% in schistosomiasis infected, and 18.3%, 62.1% and 19.6% in uninfected participants with no statistical differences. There were significantly (p&lt;0.05) higher IL-13 cytokine levels among both infected and uninfected participants with the genotypes CC and CT; median 92.25 pg/mL and 106.5 pg/mL, respectively, compared to TT variant individuals; 44.78 pg/mL. Within the schistosomiasis uninfected group, CC and CT variants had significantly (p&lt;0.05) higher IL-13 levels; median 135.0 pg/mL and 113.6 pg/mL, respectively compared to TT variant individuals; 47.15 pg/mL. Within the schistosomiasis infected group, CC, CT and TT variant individuals had insignificant differences of IL-13 level. Using logistic regression, no association was observed between prostate-specific antigen levels, IL-13 cytokine levels and IL-13 rs1800925 variants (p&gt;0.05). Conclusion IL-13 rs1800925 C variant individuals had the highest IL-13 cytokine levels among the schistosomiasis uninfected suggesting that they may be protective against Schistosoma infections. There was no association between IL-13 concentrations or IL-13 rs1800925 variants and risk of prostate cancer indicating that IL-13 levels and IL-13 rs10800925 may not be utilised as biomarker for risk of prostate cancer in schistosome infections. Copyright: © 2021 Choto et al. This is an open access article distributed under the terms of the Creative Commons Attribution License, which permits unrestricted use, distribution, and reproduction in any medium, provided the original author and source are credited.</t>
  </si>
  <si>
    <t xml:space="preserve">e0252220</t>
  </si>
  <si>
    <t xml:space="preserve">10.1371/journal.pone.0252220</t>
  </si>
  <si>
    <t xml:space="preserve">https://www.scopus.com/inward/record.uri?eid=2-s2.0-85106764136&amp;doi=10.1371%2fjournal.pone.0252220&amp;partnerID=40&amp;md5=3a172ab5e2ac0c60485e0828755b5018</t>
  </si>
  <si>
    <t xml:space="preserve">School of Public Health Medicine, College of Health Sciences, University of KwaZulu-Natal, Durban, South Africa; School of Laboratory Medicine and Medical Sciences, University of KwaZulu-Natal, Durban, South Africa; Biochemistry Department, University of Zimbabwe, Harare, Zimbabwe</t>
  </si>
  <si>
    <t xml:space="preserve">Choto E.T., School of Public Health Medicine, College of Health Sciences, University of KwaZulu-Natal, Durban, South Africa; Mduluza T., School of Laboratory Medicine and Medical Sciences, University of KwaZulu-Natal, Durban, South Africa, Biochemistry Department, University of Zimbabwe, Harare, Zimbabwe; Chimbari M.J., School of Public Health Medicine, College of Health Sciences, University of KwaZulu-Natal, Durban, South Africa</t>
  </si>
  <si>
    <t xml:space="preserve">Cross-Sectional Studies; Fibrosis; Genotype; Humans; Interleukin-13; Male; Polymorphism, Single Nucleotide; Promoter Regions, Genetic; Schistosomiasis; Zimbabwe; interleukin 13; prostate specific antigen; interleukin 13; adult; Article; cancer risk; controlled study; cross-sectional study; gene frequency; genetic variability; genotype; human; IL 13 gene; major clinical study; male; promoter region; prostate cancer; protein blood level; schistosomiasis; single nucleotide polymorphism; Zimbabwe; fibrosis; genetics; promoter region; schistosomiasis; single nucleotide polymorphism</t>
  </si>
  <si>
    <t xml:space="preserve">interleukin 13, 148157-34-0; Interleukin-13, </t>
  </si>
  <si>
    <t xml:space="preserve">Schistosomiasis, (2020); Gryseels B, Polman K, Clerinx J, Kestens L., Human schistosomiasis, Lancet, 368, 9541, pp. 1106-1118, (2006); King CH, Dickman K, Tisch DJ., Reassessment of the cost of chronic helmintic infection: A meta-analysis of disability-related outcomes in endemic schistosomiasis, Lancet, 365, 9470, pp. 1561-1569, (2005); Epidemiology table of schistosomiasis current estimated total number of individuals with morbidity and mortality due to schistosomiasis haematobium and S. mansoni infection in Sub-Saharan Africa, (2019); Verjee MA., Schistosomiasis: Still a Cause of Significant Morbidity and Mortality, Res Rep Trop Med, 10, pp. 153-163, (2019); de Jesus AR, Silva A, Santana LB, Magalhaes A, de Jesus AA, de Almeida RP, Et al., Clinical and immunologic evaluation of 31 patients with acute schistosomiasis mansoni, J Infect Dis, 185, 1, pp. 98-105, (2002); Gazzinelli G, Colley DG., Human immune responses during schistosomiasis mansoni, Rev Soc Bras Med Trop, 25, 2, pp. 125-134, (1992); Wynn TA., IL-13 effector functions, Annu Rev Immunol, 21, pp. 425-456, (2003); Cooke A, Owen M, Trowsdale J, Champion B., Advanced immunology, (1996); Hofmann SR, Ettinger R, Zhou YJ, Gadina M, Lipsky P, Siegel R, Et al., Cytokines and their role in lymphoid development, differentiation and homeostasis, Curr Opin Allergy Clin Immunol, 2, 6, pp. 495-506, (2002); Stanilova S, Miteva L, Prakova G., IL-12Bpro and GSTP1 polymorphisms in association with silicosis, Tissue Antigens, 71, 2, pp. 169-174, (2008); Doumenge JP., Atlas of global distribution of schistosomiasis, (1987); Fairfax K, Nascimento M, Huang SC, Everts B, Pearce EJ., Th2 responses in schistosomiasis, Semin Immunopathol, 34, 6, pp. 863-871, (2012); Fried B, Reddy A, Mayer D., Helminths in human carcinogenesis, Cancer letters, 305, 2, pp. 239-249, (2011); Chiaramonte M. G., Donaldson D. D., Cheever A. W., Wynn T. A., An IL-13 inhibitor blocks the development of hepatic fibrosis during a T-helper type 2-dominated inflammatory response, J. Clin. Investig, 104, 6, pp. 777-785, (1999); Chiaramonte MG, Cheever AW, Malley JD, Donaldson DD, Wynn TA., Studies of murine schistosomiasis reveal interleukin-13 blockade as a treatment for established and progressive liver fibrosis, Hepatology, 34, 2, pp. 273-282, (2001); Mutengo MM, Mduluza T, Kelly P, Mwansa JC, Kwenda G, Musonda P, Et al., Low IL-6, IL-10, and TNF-a and high IL-13 cytokine levels are associated with severe hepatic fibrosis in Schistosoma mansoni chronically exposed individuals, J Parasitol Res, (2018); Fujisawa T, Joshi BH, Puri RK., IL-13 regulates cancer invasion and metastasis through IL-13Ralpha2 via ERK/AP-1 pathway in mouse model of human ovarian cancer, Int J Cancer, 131, 2, pp. 344-356, (2012); Ko CW, Cuthbert RJ, Orsi NM, Brooke DA, Perry SL, Markham AF, Et al., Lack of interleukin-4 receptor alpha chain-dependent signalling promotes azoxymethane-induced colorectal aberrant crypt focus formation in Balb/c mice, J Pathol, 214, 5, pp. 603-609, (2008); Terabe M, Park JM, Berzofsky JA., Role of IL-13 in regulation of anti-tumor immunity and tumor growth, Cancer Immunol Immunother, 53, 2, pp. 79-85, (2004); Seyfizadeh N, Seyfizadeh N, Gharibi T, Babaloo Z., Interleukin-13 as an important cytokine: A review on its roles in some human diseases, Acta Microbiol Immunol Hung, 62, 4, pp. 341-378, (2015); Ito T, Suzuki S, Kanaji S, Shiraishi H, Ohta S, Arima K, Et al., Distinct structural requirements for interleukin-4 (IL-4) and IL-13 binding to the shared IL-13 receptor facilitate cellular tuning of cytokine responsiveness, J Biol Chem, 284, 36, pp. 24289-24296, (2009); Wills-Karp M, Finkelman FD., Untangling the complex web of IL-4- and IL-13-mediated signaling pathways, Sci Signal, 1, 51, (2008); LaPorte SL, Juo ZS, Vaclavikova J, Colf LA, Qi X, Heller NM, Et al., Molecular and structural basis of cytokine receptor pleiotropy in theinterleukin-4/13 system, Cell, 132, 2, pp. 259-272, (2008); Wright ED, Chiphangwi J, Hutt MS., Schistosomiasis of the female genital tract: a histopathological study of 176 cases from Malawi, Trans R Soc Trop Med Hyg, 76, pp. 822-829, (1982); Elsasser-Beile U, Kolble N, Grussenmeyer T, Schultze-Seemann W, Wetterauer U, Gallati H, Et al., Th1 and Th2 cytokine response patterns in leukocyte cultures of patients with urinary bladder, renal cell and prostate carcinomas, Tumour Biol, 19, 6, pp. 470-476, (1998); Wise GJ, Marella VK, Talluri G, Shirazian D., Cytokine variations in patients with hormone treated prostate cancer, J Urol, 164, 3pt1, pp. 722-725, (2000); Orr N, Chanock S., Common genetic variation and human disease, Genet, 62, pp. 1-32, (2008); Robert F, Pelletier J., Exploring the impact of single-nucleotide polymorphisms on translation, Front. Genet, 9, (2018); Wang MJ, Zhou XD, Zhang H, Liu RP., Correlation between IL-3 and IL-13 gene polymorphisms in Chinese patients and rheumatoid arthritis, Genet Mol Res, 15, 2, (2016); Howard TD, Whittaker PA, Zaiman AL, Koppelman GH, Xu J, Hanley MT, Et al., Identification and association of polymorphisms in the interleukin-13 gene with asthma and atopy in a Dutch population, Am J Respir Cell Mol Biol, 25, 3, pp. 377-384, (2001); Graves PE, Kabesch M, Halonen M, Holberg CJ, Baldini M, Fritzsch C, Et al., A cluster of seven tightly linked polymorphisms in the IL-13 gene is associated with total serum IgE levels in three populations of white children, J Allergy Clin Immunol, 105, 3, pp. 506-513, (2000); He H, Isnard A, Kouriba B, Cabantous S, Dessein A, Doumbo O, Et al., A STAT6 gene polymorphism is associated with high infection levels in urinary schistosomiasis, Genes Immun, 9, 3, pp. 195-206, (2008); Isnard A, Kouriba B, Doumbo O, Chevillard C., Association of rs7719175, located in the IL13 gene promoter, with Schistosoma haematobium infection levels and identification of a susceptibility haplotype, Genes Immun, 12, 1, pp. 31-39, (2011); Gaitlin MR, Black CL, Mwinzi PN, Secor WE, Karanja DM, Colley DG., Association of the gene polymorphisms IFN-gamma +874, IL-13–1055 and IL-4–590 with patterns of reinfection with Schistosoma mansoni, PLoS Negl Trop Dis, 3, (2009); Long X, Chen Q, Zhao J, Rafaels N, Mathias P, Liang H, Et al., An IL-13 promoter polymorphism associated with liver fibrosis in patients with Schistosoma japonicum, PLoS ONE, 10, 8, (2015); Kouriba B, Chevillard C, Bream JH, Argiro L, Dessein H, Arnaud V, Et al., Analysis of the 5q31-q33 locus shows an association between IL13-1055C/T IL-13-591A/G polymorphisms and Schistosoma haematobium infections, J Immunol, 174, 10, pp. 6274-6281, (2005); Adedokun SA, Seamans BN, Cox NT, Liou G, Akindele AA, Li Y, Et al., Interleukin-4 and STAT6 promoter polymorphisms but not interleukin-10 or 13 are essential for schistosomiasis and associated disease burden among Nigerian children, Infect Genet Evol, 65, pp. 28-34, (2018); Cohen RJ, Glezerson G, Taylor LF., The neuroendocrine cell population of the human prostate gland, J Urol, 150, 2pt1, pp. 365-368, (1993); Mukendi AM, Doherty S, Ngobese L., Schistosomiasis on prostate biopsy, adenocarcinoma on transurethral resection of prostate specimens, J Clin Urol, 13, 6, pp. 451-453, (2020); Lodhia J, Mremi A, Pyuz JJ, Bartholomeo N, Herman AM., Schistosomiasis and cancer: Experience from a zonal hospital in Tanzania and opportunities for prevention, Journal of Surgical Case Reports, 2020, 5; Metrogos V, Ramos N, Marialva C, Bastos J., Rare association between prostate adenocarcinoma and schistosomiasis: A case report, ACTA Urológica Portuguesa, 34, 3–4, pp. 41-43, (2017); Profile of Cancer in Zimbabwe 2014; Choto ET, Mduluza T, Mutapi F, Chimbari MJ., Association of schistosomiasis and risk of prostate cancer development in residents of Murehwa rural community, Zimbabwe, Infect Agent Cancer, 15, (2020); De Marzo AM, Platz EA, Sutcliffe S, Xu J, Gronberg H, Drake CG, Et al., Inflammation in prostate carcinogenesis, Nat Rev Cancer, 7, 4, pp. 256-269, (2007); Hodge DR, Hurt EM, Farrar WL., The role of IL-6 and STAT3 in inflammation and cancer, Eur J Cancer, 41, 16, pp. 2502-2512, (2005); Dranoff G., Cytokines in cancer pathogenesis and cancer therapy, Nat Rev Cancer, 4, 1, pp. 11-22, (2004); Ilic D, Neuberger MM, Djulbegovic M, Dahm P., Screening for prostate cancer: a Cochrane systematic review, Cancer Causes Control, 18, 3, pp. 279-288, (2007); Screening for prostate cancer: Recommendations and rationale, Ann Intern Med, 137, 11, pp. 915-916, (2002); Chen SLS, Fann JCY, Sipeky C, Yang TK, Yueh-Hsia Chiu S, Yen AMF, Et al., Risk prediction of prostate cancer with single nucleotide polymorphisms and prostate specific antigen, J. Urol, 2019, 3, pp. 486-495, (2019); Gudmundsson J, Besenbacher S, Sulem P, Gudbjartsson DF, Olafsson I, Arinbjarnarson S, Et al., Genetic correction of PSA values using sequence variants associated with PSA levels, Sci. Transl. Med, 2, 62, (2010); Midzi N, Mduluza T, Chimbari MJ, Tshuma C, Charimari L, Mhlanga G, Et al., Distribution of schistosomiasis and soil transmitted helminthiasis in Zimbabwe: towards a national plan of action for control and elimination, PLOS Negl Trop Dis, 8, 8, (2014); Naing L, Winn T, Rusli BN., Practical issues in calculating the sample size for prevalence studies, Archives of Orofacial Sciences, 1, pp. 9-14, (2006); Mott KE, Baltes R, Bambagha J, Baldassini B., Field studies of a reusable polyamide filter for detection of Schistosoma haematobium eggs by urine filtration, Tropenmed Parasitol, 3, 4, pp. 227-228, (1982); Barbosa CS, Gomes ECS, Marcelino JMR, Cavalcante KRLJ, Nascimento WRC., Quality control of the slides by Kato-Katz method for the parasitological diagnosis of schistosomiasis infection by Schistosoma mansoni, J Bras Patol Med Lab, 53, 2, pp. 110-114, (2017); Montresor A, Crompton DWT, Bundy DAP, Hall A, Savioli L., Guidelines for the evaluation of soil-transmitted helminthiasis and schistosomiasis at community level, (1998); Crompton DWT, World Health Organization, (2006); Wolf AM, Wender RC, Etzioni RB, Thompson IM, D'Amico AV, Volk RJ, Et al., American Cancer Society guideline for the early detection of prostate cancer: update 2010, CA Cancer J Clin, 60, 2, pp. 70-98, (2010); Hummelshoj T, Bodtger U, Datta P, Malling HJ, Oturai A, Poulsen LK, Et al., Association between an interleukin-13 promoter polymorphism and atopy, Eur J Immunogenet, 30, 5, pp. 355-359, (2003); de Moira AP, Fulford AJC, Kabatereine NB, Ouma JH, Booth M, Dunne DW., Analysis of complex patterns of human exposure and immunity to Schistosomiasis mansoni: the influence of age, sex, ethnicity and IgE, Plos Neglect Trop D, 4, 9, (2010); Grant AV, Araujo MI, Ponte EV, Oliveira RR, Gao P, Cruz AA, Et al., Functional polymorphisms in IL-13 are protective against high Schistosoma mansoni infection intensity in a Brazilian population, PLoS ONE, 7, 5, (2012); van der Pouw Kraan TC, van Veen A, Boeije LC, van Tuyl SA, de Groot ER, Stapel SO, Et al., An IL-13 promoter polymorphism associated with increased risk of allergic asthma, Genes Immun, 1, 1, pp. 61-65, (1999); Karan D, Holzbeierlein J, Thrasher JB., Macrophage inhibitory cytokine-1: possible bridge molecule of inflammation and prostate cancer, Cancer Res, 69, 1, pp. 2-5, (2009); Hobisch A, Rogatsch H, Hittmair A, Fuchs D, Bartsch G, Klocker H, Et al., Immunohistochemical localization of interleukin-6 and its receptor in benign, premalignant and malignant prostate tissue, J Pathol, 191, 3, pp. 239-244, (2000); Balkwill F., Tumour necrosis factor and cancer, Nat. Rev. Cancer, 9, 5, pp. 361-371, (2009); Mbanefo EC, Agbo CT, Zhao Y, Lamanna OK, Thai KH, Karinshak SE, Et al., IPSE, an abundant egg-secreted protein of the carcinogenic helminth Schistosoma haematobium, promotes proliferation of bladder cancer cells and angiogenesis, Infect Agent Cancer, 15, (2020); Hoffmann KF, Cheever AW, Wynn TA., IL-10 and the dangers of immune polarization: excessive type 1 and type 2 cytokine responses induce distinct forms of lethal immunopathology in murine schistosomiasis, J Immunol, 164, 12, pp. 6406-6416, (2000); Pearce EJ, MacDonald AS., The immunobiology of schistosomiasis, Nat Rev Immunol, 2, 7, pp. 499-511, (2002); Cheever AW, Hoffmann KF, Wynn TA., Immunopathology of Schistosomiasis mansoni in mice and men, Immunol Today, 21, 9, pp. 465-466, (2000); Zabaleta J, Lin H-Y, Sierra RA, Hall MC, Clark PE, Sartor OA, Et al., Interactions of cytokine gene polymorphisms in prostate cancer risk, Carcinogenesis, 3, pp. 573-578, (2008); Zabaleta J, Su LJ, Lin H-Y, Sierra RA, Hall MC, Sartor AO, Et al., Cytokine genetic polymorphisms and prostate cancer aggressiveness, Carcinogenesis, 30, 8, pp. 1358-1362, (2009); Tindall EA, Severi G, Hoang HN, Ma CS, Fernandez P, Southey MC, Et al., Comprehensive analysis of the cytokine-rich chromosome 5q31. 1 region suggests a role for IL-4 gene variants in prostate cancer risk, Carcinogenesis, 31, 10, pp. 1748-1754, (2010)</t>
  </si>
  <si>
    <t xml:space="preserve">E.T. Choto; School of Public Health Medicine, College of Health Sciences, University of KwaZulu-Natal, Durban, South Africa; email: emiliachoto@gmail.com</t>
  </si>
  <si>
    <t xml:space="preserve">2-s2.0-85106764136</t>
  </si>
  <si>
    <t xml:space="preserve">Kumatia E.K.; Ayertey F.; Appiah-Opong R.; Bagyour G.K.; Asare K.O.; Mbatcho V.C.; Dabo J.</t>
  </si>
  <si>
    <t xml:space="preserve">Kumatia, Emmanuel Kofi (57194181819); Ayertey, Frederick (56664449900); Appiah-Opong, Regina (23481102000); Bagyour, Godfrey Kyaakyile (57219707160); Asare, Kenneth Opare (57219704117); Mbatcho, Valentine Chi (57219707576); Dabo, Jonathan (57219392165)</t>
  </si>
  <si>
    <t xml:space="preserve">57194181819; 56664449900; 23481102000; 57219707160; 57219704117; 57219707576; 57219392165</t>
  </si>
  <si>
    <t xml:space="preserve">Intervention of standardized ethanol leaf extract of Annickia polycarpa, (DC.) Setten and Maas ex I.M. Turner. (Annonaceae), in Plasmodium berghei infested mice produced anti-malaria action and normalized gross hematological indices</t>
  </si>
  <si>
    <t xml:space="preserve">Ethnopharmacological relevance: Malaria is a global public health burden due to large number of annual infections and casualties caused by its hematological complications. The bark of Annickia polycarpa is an effective anti-malaria agent in African traditional medicine. However, there is no standardization parameters for A. polycarpa. The anti-malaria properties of its leaf are also not known. Aim of the study: To standardize the ethanol leaf extract of A. polycarpa (APLE) and investigate its anti-malaria properties and the effect of its treatment on hematological indices in Plasmodium berghei infected mice in the Rane's test. Materials and methods: Malaria was induced by inoculating female ICR mice with 1.0 × 107 P. berghei-infected RBCs in 0.2 mL (i.p.) of blood. Treatment was commenced 3 days later with APLE 50, 200, 400 mg/kg p.o., Quinine 30 mg/kg i.m. (Standard drug) or sterile water (Negative control) once daily per group for 4 successive days. Anti-malarial activity and gross malaria indices such as hyperparasitemia, mean change in body weight and mean survival time (MST) were determined for each group. Changes in white blood cells (WBCs), red blood cells (RBCs), platelets (PLT) counts, hemoglobin (HGB) concentration, hematocrit (HCT) and mean corpuscular volume (MCV) were also measured in the healthy mice before infection as baseline and on day 3 and 8 after inoculation using complete blood count. Standardization was achieved by UHPLC-MS chemical fingerprint analysis and quantitative phytochemical tests. Results: APLE, standardized to its total alkaloids, phenolics and saponin contents, produced significant (P &lt; 0.05) dose-dependent clearance of mean hyperparasitemia of 22.78 ± 0.93% with the minimum parasitemia level of 2.01 ± 0.25% achieved at 400 mg/kg p.o. on day 8. Quinine 30 mg/kg i.m. achieved a minimum parasitemia level of 6.15 ± 0.92%. Moreover, APLE (50–400 mg/kg p.o.) evoked very significant anti-malaria activity of 89.22–95.50%. Anti-malaria activity of Quinine 30 mg/kg i.m. was 86.22%. APLE also inverse dose-dependently promotes weight gain with the effect being significant (P &lt; 0.05) at 50 mg/kg p.o. Moreover, APLE dose-dependently increased the MST of malaria infested mice with 100% survival at 400 mg/kg p.o. Quinine 30 mg/kg i.m. also produce 100% survival rate but did not promote (P &gt; 0.05) weight gain. Hematological studies revealed the development of leukocytopenia, erythrocytosis, microcytic anemia and thrombocytopenia in the malaria infected mice which were reverted with the treatment of APLE 50–400 mg/kg p.o. or Quinine 30 mg/kg i.m. but persisted in the negative control. The UHPLC-MS fingerprint analysis of APLE led to identification of one oxoaporphine and two aporphine alkaloids (1–3). Alkaloids 1 and 3 are being reported in this plant for the first time. Conclusion: These results indicate that APLE possessed significant anti-malaria, immunomodulatory, erythropoietic and hematinic actions against malaria infection. APLE also has the ability to revoke deleterious physiological alteration produced by malaria and hence, promote clinical cure. These properties of APLE are due to its constituents especially, aporphine and oxoaporphine alkaloids. © 2020 Elsevier B.V.</t>
  </si>
  <si>
    <t xml:space="preserve">Journal of Ethnopharmacology</t>
  </si>
  <si>
    <t xml:space="preserve">10.1016/j.jep.2020.113449</t>
  </si>
  <si>
    <t xml:space="preserve">https://www.scopus.com/inward/record.uri?eid=2-s2.0-85094805687&amp;doi=10.1016%2fj.jep.2020.113449&amp;partnerID=40&amp;md5=5dc036a1d16366d71bce7dbba0ac21ba</t>
  </si>
  <si>
    <t xml:space="preserve">Phytochemistry Department, Centre for Plant Medicine Research, Mampong-Akwapim, Ghana; Chemical Pathology Department, Noguchi Memorial Institute for Medical Research, Legon, Accra, Ghana; Chemistry and Applied Biochemistry Department, University of Development Studies, Navrongo-Campus, Tamale, Ghana; Clinical Resaerch Department, Centre for Plant Medicine Research, Mampong-Akwapim, Ghana; Biodiversity Conservation and Ecoservices Division, Forestry Research Institute of Ghana, Kumasi, Ghana</t>
  </si>
  <si>
    <t xml:space="preserve">Kumatia E.K., Phytochemistry Department, Centre for Plant Medicine Research, Mampong-Akwapim, Ghana; Ayertey F., Phytochemistry Department, Centre for Plant Medicine Research, Mampong-Akwapim, Ghana; Appiah-Opong R., Chemical Pathology Department, Noguchi Memorial Institute for Medical Research, Legon, Accra, Ghana; Bagyour G.K., Chemistry and Applied Biochemistry Department, University of Development Studies, Navrongo-Campus, Tamale, Ghana; Asare K.O., Clinical Resaerch Department, Centre for Plant Medicine Research, Mampong-Akwapim, Ghana; Mbatcho V.C., Chemistry and Applied Biochemistry Department, University of Development Studies, Navrongo-Campus, Tamale, Ghana; Dabo J., Biodiversity Conservation and Ecoservices Division, Forestry Research Institute of Ghana, Kumasi, Ghana</t>
  </si>
  <si>
    <t xml:space="preserve">Anemia; Annickia polycarpa leaf; Aporphine alkaloids; Hemoglobin; Hyperparasitemia; Malaria; Oxoaporphine alkalod; UHPLC-MS chemical Fingerprint analysis</t>
  </si>
  <si>
    <t xml:space="preserve">Anemia; Animals; Annonaceae; Antimalarials; Aporphines; Disease Models, Animal; Ethanol; Female; Leukopenia; Malaria; Mice, Inbred ICR; Parasite Load; Parasitemia; Plant Extracts; Plant Leaves; Plasmodium berghei; Polycythemia; Solvents; Thrombocytopenia; alkaloid derivative; Annickia polycarpa extract; antimalarial agent; aporphine derivative; chloroquine; glycoside; hemoglobin; phenol derivative; phytosterol; plant extract; quinine; saponin derivative; sterile water; triterpene derivative; unclassified drug; alcohol; antimalarial agent; aporphine; aporphine derivative; plant extract; solvent; acute toxicity; animal cell; animal experiment; animal model; antimalarial activity; Article; behavior change; blood cell count; body weight; body weight gain; chemical fingerprinting; controlled study; erythrocyte count; erythrocytosis; female; hematocrit; leukocyte count; leukopenia; malaria; mean corpuscular volume; mean survival time; microcytic anemia; mouse; nonhuman; parasitemia; Plasmodium berghei infection; platelet count; standardization; survival rate; thrombocytopenia; ultra performance liquid chromatography; anemia; animal; Annonaceae; blood; chemistry; disease model; drug effect; growth, development and aging; Institute for Cancer Research mouse; isolation and purification; leukopenia; malaria; parasite load; parasitemia; parasitology; plant leaf; Plasmodium berghei; polycythemia; thrombocytopenia</t>
  </si>
  <si>
    <t xml:space="preserve">chloroquine, 132-73-0, 3545-67-3, 50-63-5, 54-05-7; hemoglobin, 9008-02-0; quinine, 130-89-2, 130-95-0, 14358-44-2, 549-48-4, 549-49-5, 60-93-5, 7549-43-1; alcohol, 64-17-5; Antimalarials, ; aporphine, ; Aporphines, ; Ethanol, ; Plant Extracts, ; Solvents, </t>
  </si>
  <si>
    <t xml:space="preserve">CPMR</t>
  </si>
  <si>
    <t xml:space="preserve">The authors wish to express their sincere gratitude to the technical staff of the Phytochemistry Department, Clinical laboratory and Animal Experimentation Units of the CPMR. Mampong-Akwapim, Ghana.</t>
  </si>
  <si>
    <t xml:space="preserve">Adugna M., Feyera T., Taddese W., Admasu P., In vivo anti-malarial activity of crude extract of aerial part of Artemisia abyssinica against Plasmodium berghei in mice, Global J. Pharmacol., 8, 3, pp. 460-468, (2014); Adusi-Poku Y., Sittie A., Mensah M.L.K., Sarpong K., Fleischer T.C., Ankrah T.C., Nsiah D., Effectiveness and safety assessment of Mist Tonica, a herbal hematinic, Afr. J. Tradit., Complementary Altern. Med., 5, 2, pp. 115-119, (2008); Ajali U., Fitoterapia, 71, 3, pp. 315-316, (2000); Anosa G.N., Udegbunam R.I., Okoro J.O., Okoroafor O.N., In vivo anti-malarial activities of Enantia polycarpa stem bark against Plasmodium berghei in mice, J. Ethnopharmacol., 153, pp. 531-534, (2014); Arrey T.P., Okalebo F.A., Ayong L.S., Agbor G.A., Guantai A.N., Anti-malarial activity of a polyherbal product (Nefang) during early and established Plasmodium infection in rodent models, Malar. J., 13, (2014); Ashley E.A., Dhorda M., Fairhurst R.M., Amaratunga C., Lim P., Suon S., Sreng S., Anderson J.M., Mao S., Sam B., Sopha C., Spread of artemisinin resistance in Plasmodium falciparum malaria, N. Engl. J. Med., 371, pp. 411-423, (2014); Atindehou K.K., Schmid C., Brun R., Kone M.W., Traore D., J. Ethnopharmacol., 90, pp. 221-227, (2004); Attwood D., Malaria in South Sudan 2: clinical features and diagnosis, S. Sudan Med. J., 4, pp. 10-12, (2011); Basir R., Rahiman S.S.F., Hasballah K., Chong W.C., Talib H., Yam M.F., Jabbarzare M., Tie T.H., Othman F., Moklas M.A.M., Abdullah W.O., Ahmad Z., Plasmodium berghei ANKA Infection in ICR mice as a model of cerebral malaria, Iran. J. Parasitol., 7, 4, pp. 62-74, (2012); Bolou G.E.K., Bagre I., Ouattara K., Djaman A.J., Trop. J. Pharmaceut. Res., 10, 3, (2011); Briggs C., Bain B.J., Basic hematological techniques, Dacie and Lewis Practical Hematology, pp. 18-49, (2017); Chiu C.C., Chou H.L., Wu P.F., Chen H.L., Wang H.M., Chen C.Y., Bio- functional constituents from the stems of Liriodendron tulipifera, Molecules, 17, pp. 4357-4372, (2012); Collins W.E., Plasmodium knowlesi: a malaria parasite of monkeys and humans, Annu. Rev. Entomol., 57, pp. 107-121, (2012); Cortijo J., Villagrasa V., Pons R., Berto L., Marti-Cabrera M., Martinez-Losa M., Domenech T., Beleta J., Morcillo E.J., Bronchodilator and anti-inflammatory activities of glaucine: in vitro studies in human airway smooth muscle and polymorphonuclear leukocytes, Br. J. Pharmacol., 127, pp. 1641-1651, (1999); Dargan P.I., Button J., Hawkins L., Archer J.R., Ovaska H., Lidder S., Ramsey J., Holt D.W., Wood D.M., Detection of the pharmaceutical agent glaucine as a recreational drug, Eur. J. Clin. Pharmacol., 64, pp. 553-554, (2008); Ejikeme C.M., Ezeonu C.S., Eboatu A.N., Determination of physical and phytochemical constituents of some tropical timbers indigenous to Niger Delta Area of Nigeria, Eur. Sci. J., 10, 18, pp. 247-270, (2014); Ekvall H., Malaria and anemia, Curr. Opin. Hematol., 10, pp. 108-114, (2003); Enechi O.C., Amah C.C., Okagu I.U., Ononiwu C.P., Azidiegwu V.C., Ugwuoke E.O., Onoh A.P., Ndukwe E.E., Methanol extracts of Fagara zanthoxyloides leaves possess anti-malarial effects and normalizes hematological and biochemical status of Plasmodium berghei-passaged mice, Pharm. Biol., 57, 1, pp. 577-585, (2019); Ezike A.C., Okonkwo C.H., Akah P.A., Okoye T.C., Nworu C.S., Mbaoji F.N., Nwabunike I.F., Onyeto C.A., Landolphia owariensis leaf extracts reduce parasitemia in Plasmodium berghei-infected mice, Pharm. Biol., 54, 10, pp. 2017-2025, (2016); Fidock D.A., Rosenthal P.J., Croft S.L., Brun R., Nwaka S., Anti-malarial drug discovery: efficacy models for compound screening, Nat. Rev. Drug Discov., 3, (2004); Govindasamy R., Simon J., Puduriv S., Juliani H.R., Asante-Dartey J., Arthur H., Diawuo B., Acquaye N.H., Issues in New Crops and New Uses: Retailers and Wholesalers of African Herbal and Natural Products: Case Studies from Ghana and Rwanda, (2007); Grau G.E., Mackenzie C.D., Carr R.A., Redard M., Pizzolato G., Allasia C., Cataldo C., Terrie E.T., Molyneux M.E., Platelet accumulation in brain micro vessels in fatal pediatric cerebral malaria, J. Infect. Dis., 187, pp. 461-466, (2003); Graziose R., Rathinasabapathy T., Lategan C., Poulev A., Smith P.J., Grace M., Lila M.A., Raskin I., Antiplasmodial activity of aporphine alkaloids and sesquiterpene lactones from Liriodendron tulipifera L, J. Ethnopharmacol., 133, pp. 26-30, (2011); Guan H., Li K., Wang X., Luo X., Su M., Tan W., Chang X., Shi Y., Identification of metabolites of the cardioprotective alkaloid dehydrocorydaline in rat plasma and bile by liquid chromatography coupled with triple quadrupole linear ion trap mass spectrometry, Molecules, 22, 10, (2017); Harborne J.B., Phytochemical Methods: A Guide to Modern Techniques of Plant Analysis, (1973); Hsieh M.M., Everhart J.E., Byrd-Holt D.D., Tisdal J.F., Rodgers G.P., Prevalence of neutropenia in the U.S. population: age, sex, smoking status, and ethnic differences, Ann. Intern. Med., 146, pp. 486-492, (2007); Irvine F.R., Woody Plants of Ghana, pp. 8-9, (1961); Isaac L.J., Abah G., Akpan B., Ekaette I.U., Hematological properties of different breeds and sexes of rabbits, Proceedings of the 18th Annual Conference of Animal Science Association of Nigeria, pp. 24-27, (2013); Iwu M.M., Handbook of African Medicinal Plants, (2014); Jossang A., Leboeuf M., Cave A., Alkaloids of enantia polycarpa engl. And diels, Planta Med., 32, 7, pp. 249-257, (1977); Kang H., Jang S.-W., Pak J.H., Shim S., Glaucine inhibits breast cancer cell migration and invasion by inhibiting MMP-9 gene expression through the suppression of NF-kB activation, Mol. Cell. Biochem., 403, pp. 85-94, (2015); Khan N., Akhtar M.S., Khan B.A., de Andrade Braga V., Reich A., Anti-obesity, hypolipidemic, antioxidant and hepatoprotective effects of Achyranthes aspera seed saponins in high cholesterol fed albino rats, Arch. Med. Sci., 11, pp. 1261-1271, (2015); Kim J.H., Kang S.A., Han S.M., Shim I., Comparison of the anti-obesity effects of protopanaxadiol- and protopanaxatriol-type saponins of red ginseng, Phytother Res., 23, pp. 78-85, (2009); Koffuor G., Dadzeasah A.P.E., Sam G.H., Haematopoietic effect of an ethanolic leaf extract of Ipomoea involucrata P. Beauv in phlebotomized New Zealand white rabbits, J. Med. Biomed. Sci., 1, 2, pp. 10-16, (2012); Kolaczkowska E., Kubes P., Neutrophil recruitment and function in health and inflammation, Nat. Rev. Immunol., 13, pp. 159-175, (2013); Kotepui M., Piwkham D., Phun P.B., Phiwklam N., Chupeerach C., Duangmano S., Effects of malaria parasite density on blood cell parameters, PLoS ONE, 10, 3, (2015); Kumatia E.K., Annan K., Dickson R.A., Mensah A.Y., Aponsah I.K., Tung N.H., Ocloo A., Habertamariam S., Anti-inflammatory and analgesic activities of Annickia polycarpa stem back and its constituents, Der Pharm. Lett., 8, 13, pp. 42-52, (2016); Langhorne J., Quin S.J., Sanni L.A., Mouse models of blood stage malaria infections: immune responses and cytokines involved in protection and pathology, Malaria Immunology, pp. 204-228, (2002); Lartey N., MPhil. Thesis, (2016); Lee S.J., Stepniewska K., Anstey N., Ashley E., Barnes K., Binh T.Q., D'Alessandro U., Day N.P.J., de Vries P.J., Dorsey G., Guthmann P.J., Mayxay M., Newton P., Nosten F., Olliaro P., Osario L., Pinoges L., Price R., Rowland M., Smithuis F., Taylor R., White N.J., The relationship between the hemoglobin concentration and the haematocrit in Plasmodium falciparum malaria, Malar. J., 7, (2008); Lei Y., Tan J., Wink M., Ma Y., Li N., Su G., An isoquinoline alkaloid from the Chinese herbal plant Corydalis yanhusuo W.T. Wang inhibits P-glycoprotein and multidrug resistance-associate protein 1, Food Chem., 136, pp. 1117-1121, (2013); Levrier C., Balastrier M., Beattie K.D., Carroll A.R., Martin F., Choomuenwai V., Davis R.A., Pyridocoumarin, aristolactam and aporphine alkaloids from the Australian rainforest plant Goniothalamus australis, Phytochemistry, 86, pp. 121-126, (2013); Li J.W., Vederas J.C., Drug discovery and natural products: end of an era or an endless frontier, Sci., 325, pp. 161-165, (2009); Malebo M.H., Wenzler T., Cal M., Swaleh S.M., Omolo O.M., Hassanali A., Sequin U., Haussinger D., Dalsgaard P., Hamburger M., Brun R., Ndiege I.O., Anti- protozoal activity of aporphine and protoberberine alkaloids from Annickia kummeriae (engl and diels) setten and mass (Annonaceae), BMC Compl. Alternative Med., 13, 48, pp. 1473-6882, (2013); Mde Q.P., Barbosa-Filho J.M., Lima E.O., Maia R.F., Barbosa Rde C., Kaplan M.A., Antimicrobial activity of benzylisoquinoline alkaloids from Annona salzmanii D.C, J. Ethnopharmacol., 36, 1, pp. 39-41, (1992); Murthy G.L., Sahay R.K., Srinivasan V.R., Upadhaya A.C., Shantaram V., Gayatri K., Clinical profile of falciparum malaria in a tertiary care hospital, J. Indian Med. Assoc., 98, pp. 60-162, (2000); Nonaka M., Murata Y., Takano R., Han Y., Bin Kabir M.H., Kato K., Screening of a library of traditional Chinese medicines to identify anti-malarial compounds and extracts, Malar. J., 17, (2018); Omar H., Hashim N.H., Zajmi A., Nordin N., Abdelwahab S.I., Azizan A.H.S., Hadi A.H.A., Ali H.M., Aporphine alkaloids from the leaves of Phoebe grandis (Nees) Mer. (Lauraceae) and their cytotoxic and antibacterial activities, Molecules, 18, pp. 8994-9009, (2013); Guidelines for Testing of Chemicals. Acute Oral Toxicity - Acute Toxic Class, (2001); Prasad R., Das B.K., Pengoria R., Mishra O.P., Shukla J., Singh T.B., Coagulation status and platelet functions in children with severe falciparum malaria and their correlation of outcome, J. Trop. Pediatr., 55, pp. 374-378, (2009); Rates S.M.K., Plants as source of drugs, Toxicon, 39, pp. 603-613, (2001); Sarma P.R., Red cell indices, Clinical Methods: the History, Physical, and Laboratory Examinations, pp. 720-723, (1990); Singh A., Bjpai V., Kumar S., Kumar A., Rawat S., Kumar B., Analysis of isoquinoline alkaloids from Mahonia leschenaultia and Mahonia napaulensis roots using UHPLC-Orbitrap-MS&lt;sup&gt;n&lt;/sup&gt; and UHPLC-QqQ&lt;sub&gt;LIT&lt;/sub&gt;-MS/MS, J Pharm. Anal., 7, pp. 77-86, (2017); Singleton V.L., Orthofer R., Lamuela-Raventos R.M., Analysis of total phenols and other oxidation substances and antioxidants by means of folin-ciocalteu reagent, Methods Enzymol., 299, pp. 152-178, (1999); Sowunmi A., Okuboyejo F.M., Gbotosho G.O., Happi C.T., Risk factors for Plasmodium falciparum hyperparasitaemia in malarious children, BMC Infect. Dis., 11, (2011); Tangpukdee N., Yew H.-S., Krudsood S., Punyapradit N., Somwang W., Looareesuwan S., Kano S., Wilairatana P., Dynamic changes in white blood cell counts in uncomplicated P. falciparum and P. vivax malaria, Parasitol. Int., 57, pp. 490-494, (2008); Tecchio C., Cassatella M.A., Neutrophil-derived chemokines on the road to immunity, Semin. Immunol., 28, pp. 119-128, (2016); Tobon-Castano A., Mesa-Echeverry E., Miranda-Arboleda A.F., Leukogram profile and clinical status in vivax and falciparum malaria patients from Colombia, J. Trop. Med., 2015, (2015); Toma A., Deyno S., Fikru A., Eyado A., Beale A., In vivo anti-plasmodial and toxicological effect of crude ethanol extract of Echinops kebericho traditionally used in treatment of malaria in Ethiopia, Malar. J., 14, (2015); Trease G.E., Evans W.C., Pharmacognosy, (1989); Ugwu O.P.C., Nwodo O.F.C., Joshua P.E., Odo C.E., Bawa A., Ossai E.C., Adonu C.C., Anti-malaria and hematological analyses of ethanol leaf extract of Moringa oleifera on malaria infected mice, Int. J. Pharm. Biol. Sci., 3, pp. 360-371, (2013); Wickramasinghe S.N., Abdalla S.H., Blood and bone marrow changes in malaria, Baillieres Best Pract. Res. Clin. Haematol., 13, pp. 277-299, (2000); Wilairatana P., Tangpukdee N., Krudsood S., Definition of hyperparasitemia in severe falciparum malaria should be updated, Asian Pac. J. Trop. Biomed, 13, (2013); World Malaria Report, (2019); Health topics; anemia, (2017); World Health Organization, Guidelines for the Treatment of Malaria, (2010); World Health Organization, Severe and complicated malaria, Trans. R. Soc. Trop. Med. Hyg., 84, (1990)</t>
  </si>
  <si>
    <t xml:space="preserve">E.K. Kumatia; Phytochemistry Department, Centre for Plant Medicine Research, Mampong-Akwapim, Ghana; email: kofi2hyme@yahoo.com</t>
  </si>
  <si>
    <t xml:space="preserve">JOETD</t>
  </si>
  <si>
    <t xml:space="preserve">J. Ethnopharmacol.</t>
  </si>
  <si>
    <t xml:space="preserve">2-s2.0-85094805687</t>
  </si>
  <si>
    <t xml:space="preserve">Samuel B.; Adekunle Y.A.</t>
  </si>
  <si>
    <t xml:space="preserve">Samuel, Babatunde (7004247146); Adekunle, Yemi Adekola (57396796500)</t>
  </si>
  <si>
    <t xml:space="preserve">7004247146; 57396796500</t>
  </si>
  <si>
    <t xml:space="preserve">Isolation and structure elucidation of anti-malarial principles from Terminalia mantaly H. Perrier stem bark</t>
  </si>
  <si>
    <t xml:space="preserve">Emergence of malaria parasite resistance to drugs has raised global public health concerns for a compelling need to develop improved malaria therapy. This study is a bio-guided isolation of triterpenoid antimalarial compounds from Terminalia mantaly. Methanol extract of the plant was subjected to column chromatography, and eluted with a ternary solvent system gradient-wise. Two compounds, 1 and 2, were isolated and characterised by spectroscopic data (IR,1H and13C NMR, COSY, HMQC, HMBC) and by comparison with literature. Isolated compounds were investigated for antimalarial property by spectrophotometric determination of inhibition of β-Hematin formation, absorbance taken at 405 nm. Results were analysed using Graghpad Prism® (6.0) and presented as mean IC50±SEM. Statistical significance, determined using Student’s t-test and one-way ANOVA, set at p-value of 0.05. Quantitative β-Hematin formation inhibitory activities gave IC50±SEM values of (compound 1; 4.434±0.47), (compound 2; 5.140±4.2) with (chloroquine; 0.335±0.1 mg/ml). Compound 1 was identified as 2,3,19,23-tetrahydroxyolean-12-en-28-oic acid glucopyranoside (arjunglucoside I), and compound 2 as its aglycone, 2,3,19,23-tetrahydroxyolean-12-en-28-oic acid (arjungenin). This study provided credence for folkloric use of Terminalia mantaly to treat malaria, and this observed activity was probably due to these isolated triterpenoids. © 2021 International Formulae Group. All rights reserved. © 2021 International Formulae Group. All rights reserved.</t>
  </si>
  <si>
    <t xml:space="preserve">International Journal of Biological and Chemical Sciences</t>
  </si>
  <si>
    <t xml:space="preserve">International Formulae Group (IFG)</t>
  </si>
  <si>
    <t xml:space="preserve">10.4314/ijbcs.v15i1.25</t>
  </si>
  <si>
    <t xml:space="preserve">https://www.scopus.com/inward/record.uri?eid=2-s2.0-85138974702&amp;doi=10.4314%2fijbcs.v15i1.25&amp;partnerID=40&amp;md5=d1fb0a3c4ebd33eff33d132ef401b3e9</t>
  </si>
  <si>
    <t xml:space="preserve">Pharmaceutical Chemistry Department, Faculty of Pharmacy, University of Ibadan, Nigeria</t>
  </si>
  <si>
    <t xml:space="preserve">Samuel B., Pharmaceutical Chemistry Department, Faculty of Pharmacy, University of Ibadan, Nigeria; Adekunle Y.A., Pharmaceutical Chemistry Department, Faculty of Pharmacy, University of Ibadan, Nigeria</t>
  </si>
  <si>
    <t xml:space="preserve">nuclear magnetic resonance spectroscopy; triterpenoids; β-Hematin</t>
  </si>
  <si>
    <t xml:space="preserve">University of Ibadan, UI</t>
  </si>
  <si>
    <t xml:space="preserve">YAA was a recipient of Graduate Assistantship and scholarship from the University of Ibadan, Ibadan. Authors’ acknowledgement goes to Professor Adeboye Adejare of the Philadelphia College of Pharmacy, University of the Sciences, Philadelphia, USA, for the assistance in NMR analysis.</t>
  </si>
  <si>
    <t xml:space="preserve">Abdullahi M, Kolo I, Adebayo O, Amupitan3 O, Majekodumi F, Okogun JI., Isolation and Elucidation of Three Triterpenoids and Its Antimycobacterial Activty of Terminalia Avicennioides, American Journal of Organic Chemistry, 2, 2, pp. 14-20, (2012); Adzu B, Zakariya ST, Auta IK, Katsayal UA., Assessing the potency of Pedilanthus tithymaloides latex against Plasmodium berghei infected mice, Int. J. Biol. Chem. Sci, 2, 2, pp. 216-219, (2008); Ayoola GA, Coker HAB, Adesegun SA, Adepoju-Bello AA, Obaweya K, Ezennia EC, Atangbayila TO., Phytochemical screening and antioxidant activities of some selected medicinal plants used for malaria therapy in Southwest Nigeria, Tropical Journal of Pharmaceutical Research, 7, 3, pp. 1019-1024, (2008); Bharathi A, Yan-Hong W, Mei W, Yun-Heng S, Ikhlas AK., Simultaneous Determination and Characterization of Tannins and Triterpene Saponins from the Fruits of Various Species of Terminalia and Phyllantus emblica Using a UHPLC-UV-MS Method: Application to Triphala, Planta Med, 79, pp. 181-188, (2013); David AE, Michael TM, Dean H, Shuo C, Gina Z, Keith AJ., Four distinct pathways of hemoglobin uptake in the malaria parasite Plasmodium falciparum, PNAS, 105, 7, pp. 2463-2468, (2008); Dawet A, Gregory I, anyanwu GM, Dede PM, Uzoigwe NR, Onyekwelu NA., In vivo antimalarial activity of the ethanolic leaf extract of Hyptis suaveolens poit on Plasmodium berghei in Mice, Int. J. Biol. Chem. Sci, 6, 1, pp. 117-127, (2012); Egan TJ., Structure-function relationship in chloroquine and related 4-aminoquinoline antimalarial, Mini Reviews in Medicinal Chemistry, 1, 1, pp. 113-123, (2001); Egan TJ, Mavuso WW, Ncokazi KK., The mechanism of β-hematin formation in acetate solution. Parallels between hemozoin formation and biomineralization processes, Biochemistry, 40, pp. 204-213, (2001); Fournet A, Munoz V., Natural products as trypanocidal, antileishmanial and antimalarial drugs, Current Topical Medicinal Chemistry, 2, pp. 1215-1238, (2002); Gossan ADPA, Magid AA, Yao-Kouassi PA, Josse J, Gangloff SC, Morjani H, Voutquenne-Nazabadioko L., Antibacterial and cytotoxic triterpenoids from the roots of Combretum racemosum, Fitoterapia, 110, pp. 89-95, (2016); Jainendra KB, Praveen KK, Vasudha B, Narender B., Triterpenoids: A review, International Journal of Research in Pharmacy and Pharmaceutical Sciences, 3, 2, pp. 91-96, (2018); Kayode AA, Godwin EA., Historical assessment of malaria hazard and mortality in Nigeria – cases and deaths: 1955-2015, International Journal of Environment and Bioenergy, 12, 1, pp. 30-46, (2017); Kumar S, Mithu G, Vinay C, Pallab M, Uday B., Antimalarial drugs inhibiting hemozoin (β-hematin) formation: A mechanistic update, Life Sciences, 80, pp. 813-828, (2007); Manosroi A, Pensak J, Eri O, Ayako Y, Makoto F, Ken Y, Harukuni T, Nobutaka S, Jiradei M, Toshihiro A., Biological activities of phenolic compounds and triterpenoids from the galls of Terminalia chebula, Chemistry and Biodiversity, 10, pp. 1448-1463, (2013); Marthe ATT, Kammalac TN, Sebastian G, Rufin MTK, Abdulselam A, Muslum K, Veysel C, Ramazan D, Silvere AN, Etienne T, Norbert S, Bruno NL, Fabrice FB., Compounds from Terminalia mantaly L (Combretaceae) stem bark exhibit potent inhibition against some pathogenic yeasts and enzymes of metabolic significance, Medicines, 4, 6, pp. 1-12, (2017); Mbouna DJC, Rufin MTK, Rodrigue K, Lauve RYT, Patrick VTF, Brice MTT, Dinkar S, Fabrice FB., Potent antiplasmodial extracts from Terminalia mantaly and Terminalia superba, Malaria Journal, 17, (2018); Min HY, Zulfiqar A, Ikhlas A, Shabana IK., Anti-inflammatory Activity of Constituents Isolated from Terminalia chebula, Natural Product Communications, 9, 7, pp. 965-968, (2014); Ngbolua KN, Rakotoarimanana H, Rafatro H, Ratsimamanga US, Mudogo V, Mpiana PT., Comparative antimalarial and cytotoxic activities of two Vernonia species: V. amygdalina from the Democratic Republic of Congo and V. cinerea subsp vialis endemic to Madagascar, Int. J. Biol. Chem. Sci, 5, 1, pp. 345-353, (2011); Ngouana TK, Mbouna CDJ, Kuipou RMT, Tchuenmohne MAT, Zeuko'o EM, Ngouana V, Mallie M, Bertout S, Boyom FF., Potent and synergistic extract combinations from Terminalia catappa, Terminalia mantaly and Monodora tenuifolia against pathogenic yeasts, Medicines, 2, pp. 220-235, (2015); Oluyemi M, Samuel BB., In vitro screening of ten Combretaceae plants for antimalarial activities applying the inhibition of beta-hematin formation, Int. J. Biol. Chem. Sci, 11, 6, pp. 2971-2981, (2017); Petr D, Marian H, David V, Alica H, Miroslav K, David B, Lenka M, Milan U, Jan S., Review: Pharmacological activities of natural triterpenoids and their therapeutic implications, Natural Products Reports, 23, 3, pp. 394-411, (2006); Ronan B, Ademir de Jesus SJ, de Oliveira Alaide Braga, Plant-derived antimalarial agents: New leads and efficient phytomedicines. Part II. Non-alkaloidal natural products, Molecules, 14, pp. 3037-3072, (2009); Rosa MR, Babu LT, Rafael BF., Polyamine transport in parasites: A potential target for new antiparasitic drug development, Comparative Biochemistry and Physiology Part C: Toxicology &amp; Pharmacology, 140, 2, pp. 151-164, (2005); Sanjay K, Mithu G, Vinay C, Pallab M, Uday B., Antimalarial drugs inhibiting hemozoin (β-hematin) formation: A mechanistic update, Life Sciences, 80, 9, pp. 813-828, (2007); Singh DV, Gupta MM, Tripathi AK, Prajapati V, Kumar S., Arjunetin from Terminalia arjuna as an insect feeding-deterrent and growth inhibitor, Phytother. Res, 18, pp. 131-134, (2004); Thomas A, Nicholas F, Richard A, Paul M, Stephen AW, Giancarlo AB., Rapid kill of malaria parasites by artemisinin and semi-synthetic endoperoxides involves ROS-dependent depolarization of the membrane potential, Journal of Antimicrobial Chemotherapy, 69, 4, pp. 1005-1016, (2014); Vargas S, Ndjoko IK, Hay AE, Ioset JR, Wittlin S, Hostettmann K., Screening medicinal plants for the detection of novel antimalarial products applying the inhibition of β-hematin formation, Journal of Pharmaceutical and Biomedical Analysis, 56, pp. 880-886, (2011); World Malaria Report 2017, (2017); Willcox M, Burford G, Bodeker G, Rasoanaivo P., An overview of ethnobotanical studies on plants used for the treatment of malaria, Traditional Medicinal Plants and Malaria, pp. 187-197, (2004); Wongsrichanalai C, Meshnick SR., Declining artesunate/mefloquine efficacy against falciparum malaria on the Cambodia-Thailand border, Emerging Infectious Diseases, 14, pp. 716-719, (2008); Wright AD, Wang H, Gurrath M, Konig GM, Kocak G, Neumann G, Loria P, Foley M, Tilley L., Inhibition of heme detoxification processes underlies the antimalarial activity of terpene isonitrile compounds from marine sponges, Journal of Medicinal Chemistry, 44, 6, pp. 873-885, (2001); Yapi GY, Adou KM, Ackah JAB, Djaman AJ., Evaluation of the antifungal activity and purification test of the active ingredients of extracts of Terminalia mantaly (H. Perrier), Combretaceae, on the in vitro growth of Candida albicans, Bull. Soc. R. sci. Liege, 80, pp. 953-964, (2011); Ziegler J, Linck R, Wright DW., Heme aggregation inhibitors: antimalarial drugs targeting an essential biomineralization process, Current Medicinal Chemistry, 8, 2, pp. 171-189, (2001)</t>
  </si>
  <si>
    <t xml:space="preserve">B. Samuel; Pharmaceutical Chemistry Department, Faculty of Pharmacy, University of Ibadan, Nigeria; email: tundebsamuel@gmail.com</t>
  </si>
  <si>
    <t xml:space="preserve">Int. J. Biol. Chem. Sci.</t>
  </si>
  <si>
    <t xml:space="preserve">2-s2.0-85138974702</t>
  </si>
  <si>
    <t xml:space="preserve">Brito B.O.F.; Attia Z.I.; Martins L.N.A.; Perel P.; Nunes M.C.P.; Sabino E.C.; Cardoso C.S.; Ferreira A.M.; Gomes P.R.; Ribeiro A.L.P.; Lopez-Jimenez F.</t>
  </si>
  <si>
    <t xml:space="preserve">Brito, Bruno Oliveira de Figueiredo (57203727596); Attia, Zachi I. (57035240000); Martins, Larissa Natany A. (57203868538); Perel, Pablo (14631128400); Nunes, Maria Carmo P. (26022029300); Sabino, Ester Cerdeira (57217499362); Cardoso, Clareci Silva (56259543200); Ferreira, Ariela Mota (57189466060); Gomes, Paulo R. (57194532743); Ribeiro, Antonio Luiz Pinho (57204577960); Lopez-Jimenez, Francisco (26643341500)</t>
  </si>
  <si>
    <t xml:space="preserve">57203727596; 57035240000; 57203868538; 14631128400; 26022029300; 57217499362; 56259543200; 57189466060; 57194532743; 57204577960; 26643341500</t>
  </si>
  <si>
    <t xml:space="preserve">Left ventricular systolic dysfunction predicted by artificial intelligence using the electrocardiogram in Chagas disease patients–The SaMi-Trop cohort</t>
  </si>
  <si>
    <t xml:space="preserve">Background Left ventricular systolic dysfunction (LVSD) in Chagas disease (ChD) is relatively common and its treatment using low-cost drugs can improve symptoms and reduce mortality. Recently, an artificial intelligence (AI)-enabled ECG algorithm showed excellent accuracy to detect LVSD in a general population, but its accuracy in ChD has not been tested. Objective To analyze the ability of AI to recognize LVSD in patients with ChD, defined as a left ventricular ejection fraction determined by the Echocardiogram ≤ 40%. Methodology/principal findings This is a cross-sectional study of ECG obtained from a large cohort of patients with ChD named São Paulo-Minas Gerais Tropical Medicine Research Center (SaMi-Trop) Study. The digital ECGs of the participants were submitted to the analysis of the trained machine to detect LVSD. The diagnostic performance of the AI-enabled ECG to detect LVSD was tested using an echocardiogram as the gold standard to detect LVSD, defined as an ejection fraction &lt;40%. The model was enriched with NT-proBNP plasma levels, male sex, and QRS ≥ 120ms. Among the 1,304 participants of this study, 67% were women, median age of 60; there were 93 (7.1%) individuals with LVSD. Most patients had major ECG abnormalities (59.5%). The AI algorithm identified LVSD among ChD patients with an odds ratio of 63.3 (95% CI 32.3–128.9), a sensitivity of 73%, a specificity of 83%, an overall accuracy of 83%, and a negative predictive value of 97%; the AUC was 0.839. The model adjusted for the male sex and QRS ≤ 120ms improved the AUC to 0.859. The model adjusted for the male sex and elevated NT-proBNP had a higher accuracy of 0.89 and an AUC of 0.874. Conclusion The AI analysis of the ECG of Chagas disease patients can be transformed into a powerful tool for the recognition of LVSD. © 2021 Brito et al.</t>
  </si>
  <si>
    <t xml:space="preserve">e0009974</t>
  </si>
  <si>
    <t xml:space="preserve">10.1371/journal.pntd.0009974</t>
  </si>
  <si>
    <t xml:space="preserve">https://www.scopus.com/inward/record.uri?eid=2-s2.0-85122532262&amp;doi=10.1371%2fjournal.pntd.0009974&amp;partnerID=40&amp;md5=cf2f9de1a0044e99e0937af164e27359</t>
  </si>
  <si>
    <t xml:space="preserve">Faculdade de Medicina, Universidade Federal de Minas Gerais, Belo Horizonte, Brazil; Department of Cardiovascular Medicine, Mayo Clinic, Rochester, MN, United States; Telehealth Center, Hospital das Clínicas, Universidade Federal de Minas Gerais, Belo Horizonte, Brazil; Department of Statistics, Instituto de Ciência Exatas, Universidade Federal de Minas Gerais, Belo Horizonte, Brazil; London School of Hygiene and Tropical Medicine, London, United Kingdom; Instituto de Medicina Tropical da Faculdade de Medicina da Universidade de São Paulo, São Paulo, Brazil; Federal University of São João del-Rei, Divinó polis, Brazil; Graduate Program in Health Sciences, State University of Montes Claros, Minas Gerais, Montes Claros, Brazil</t>
  </si>
  <si>
    <t xml:space="preserve">Brito B.O.F., Faculdade de Medicina, Universidade Federal de Minas Gerais, Belo Horizonte, Brazil; Attia Z.I., Department of Cardiovascular Medicine, Mayo Clinic, Rochester, MN, United States; Martins L.N.A., Telehealth Center, Hospital das Clínicas, Universidade Federal de Minas Gerais, Belo Horizonte, Brazil, Department of Statistics, Instituto de Ciência Exatas, Universidade Federal de Minas Gerais, Belo Horizonte, Brazil; Perel P., London School of Hygiene and Tropical Medicine, London, United Kingdom; Nunes M.C.P., Faculdade de Medicina, Universidade Federal de Minas Gerais, Belo Horizonte, Brazil; Sabino E.C., Instituto de Medicina Tropical da Faculdade de Medicina da Universidade de São Paulo, São Paulo, Brazil; Cardoso C.S., Federal University of São João del-Rei, Divinó polis, Brazil; Ferreira A.M., Graduate Program in Health Sciences, State University of Montes Claros, Minas Gerais, Montes Claros, Brazil; Gomes P.R., Faculdade de Medicina, Universidade Federal de Minas Gerais, Belo Horizonte, Brazil, Telehealth Center, Hospital das Clínicas, Universidade Federal de Minas Gerais, Belo Horizonte, Brazil; Ribeiro A.L.P., Faculdade de Medicina, Universidade Federal de Minas Gerais, Belo Horizonte, Brazil, Telehealth Center, Hospital das Clínicas, Universidade Federal de Minas Gerais, Belo Horizonte, Brazil; Lopez-Jimenez F., Department of Cardiovascular Medicine, Mayo Clinic, Rochester, MN, United States</t>
  </si>
  <si>
    <t xml:space="preserve">Aged; Algorithms; Artificial Intelligence; Brazil; Chagas Disease; Cross-Sectional Studies; Electrocardiography; Female; Humans; Male; Middle Aged; Stroke Volume; Ventricular Dysfunction, Left; Ventricular Function, Left; amiodarone; atenolol; benznidazole; propranolol; accuracy; adult; aged; algorithm; area under the curve; Article; artificial intelligence; atrial fibrillation; Chagas disease; clinical evaluation; cohort analysis; controlled study; cross-sectional study; diagnostic accuracy; echocardiography; electrocardiography; electrocardiography monitoring; enzyme immunoassay; female; heart failure; heart left bundle branch block; heart left ventricle ejection fraction; heart rate; heart ventricle extrasystole; human; interview; left ventricular systolic dysfunction; logistic regression analysis; major clinical study; male; middle aged; mortality; predictive value; prevalence; primary health care; probability; prospective study; Q wave; QRS complex; quality of life; questionnaire; receiver operating characteristic; SaoPaulo Minas Gerais Tropical Medicine Research Center; sensitivity and specificity; serology; telehealth; tertiary care center; thromboembolism; transthoracic echocardiography; Trypanosoma cruzi; univariate analysis; Brazil; Chagas disease; complication; devices; diagnosis; etiology; heart left ventricle function; heart stroke volume; pathophysiology; procedures</t>
  </si>
  <si>
    <t xml:space="preserve">amiodarone, 1951-25-3, 19774-82-4, 62067-87-2; atenolol, 29122-68-7, 93379-54-5; benznidazole, 22994-85-0; propranolol, 13013-17-7, 318-98-9, 3506-09-0, 4199-09-1, 525-66-6</t>
  </si>
  <si>
    <t xml:space="preserve">National Institute of Health-NIH, (P50 AI098461-02, U19AI098461-06); National Institute of Allergy and Infectious Diseases, NIAID, (U19AI098461); National Institute of Allergy and Infectious Diseases, NIAID; Conselho Nacional de Desenvolvimento Científico e Tecnológico, CNPq, (310679/2016-8, 465518/2014-1); Conselho Nacional de Desenvolvimento Científico e Tecnológico, CNPq; Fundação de Amparo à Pesquisa do Estado de Minas Gerais, FAPEMIG, (PPM-00428-17, RED-00081-16); Fundação de Amparo à Pesquisa do Estado de Minas Gerais, FAPEMIG</t>
  </si>
  <si>
    <t xml:space="preserve">The SaMi-Trop study is supported by the National Institute of Health-NIH (www.nih.gov) grant numbers: P50 AI098461-02 and U19AI098461-06. Dr ALPR is supported in part by CNPq (310679/2016-8 and 465518/2014-1) and by FAPEMIG (PPM-00428-17 and RED-00081-16). The funders had no role in study design, data collection and analysis, decision to publish, or preparation of the manuscript.</t>
  </si>
  <si>
    <t xml:space="preserve">Nunes MC, Dones W, Morillo CA, Encina JJ, Ribeiro AL., Chagas disease: an overview of clinical and epidemiological aspects, Journal of the American College of Cardiology, 62, 9, pp. 767-776, (2013); Ribeiro AL, Nunes MP, Teixeira MM, Rocha MO., Diagnosis and management of Chagas disease and cardiomyopathy, Nature reviews Cardiology, 9, 10, pp. 576-589, (2012); Chagas C, Villela E., Cardiac form of American Trypanosomiasis, Memorias do Instituto Oswaldo Cruz, 14, 1, pp. 5-61, (1922); Ribeiro AL, Marcolino MS, Prineas RJ, Lima-Costa MF., Electrocardiographic abnormalities in elderly Chagas disease patients: 10-year follow-up of the Bambui Cohort Study of Aging, Journal of the American Heart Association, 3, 1, (2014); Nascimento BR, Araujo CG, Rocha MO, Domingues JD, Rodrigues AB, Barros MV, Et al., The prognostic significance of electrocardiographic changes in Chagas disease, Journal of electrocardiology, 45, 1, pp. 43-48, (2012); Salles G, Xavier S, Sousa A, Hasslocher-Moreno A, Cardoso C., Prognostic value of QT interval parameters for mortality risk stratification in Chagas’ disease: results of a long-term follow-up study, Circulation, 108, 3, pp. 305-312, (2003); Moraes DN, Nascimento BR, Beaton AZ, Soliman EZ, Lima-Costa MF, Dos Reis RCP, Et al., Value of the Electrocardiographic (P Wave, T Wave, QRS) Axis as a Predictor of Mortality in 14 Years in a Population With a High Prevalence of Chagas Disease from the Bambui Cohort Study of Aging, The American journal of cardiology, 121, 3, pp. 364-369, (2018); Brito BOF, Ribeiro ALP., Electrocardiogram in Chagas disease, Revista da Sociedade Brasileira de Medicina Tropical, 51, 5, pp. 570-577, (2018); Minchole A, Rodriguez B., Artificial intelligence for the electrocardiogram, Nature medicine, 25, 1, pp. 22-23, (2019); Attia ZI, Kapa S, Lopez-Jimenez F, McKie PM, Ladewig DJ, Satam G, Et al., Screening for cardiac contractile dysfunction using an artificial intelligence-enabled electrocardiogram, Nature medicine, 25, 1, pp. 70-74, (2019); Yancy CW, Jessup M, Bozkurt B, Butler J, Casey DE, Drazner MH, Et al., 2013 ACCF/AHA guideline for the management of heart failure: a report of the American College of Cardiology Foundation/American Heart Association Task Force on Practice Guidelines, Journal of the American College of Cardiology, 62, 16, pp. e147-e239, (2013); Ponikowski P, Voors AA, Anker SD, Bueno H, Cleland JGF, Coats AJS, Et al., 2016 ESC Guidelines for the diagnosis and treatment of acute and chronic heart failure: The Task Force for the diagnosis and treatment of acute and chronic heart failure of the European Society of Cardiology (ESC)Developed with the special contribution of the Heart Failure Association (HFA) of the ESC, European heart journal, 37, 27, pp. 2129-2200, (2016); Cardoso CS, Sabino EC, Oliveira CD, de Oliveira LC, Ferreira AM, Cunha-Neto E, Et al., Longitudinal study of patients with chronic Chagas cardiomyopathy in Brazil (SaMi-Trop project): a cohort profile, BMJ open, 6, 5, (2016); Maisel A, Mueller C, Adams K, Anker SD, Aspromonte N, Cleland JG, Et al., State of the art: using natriuretic peptide levels in clinical practice, European journal of heart failure, 10, 9, pp. 824-839, (2008); Acquatella H, Asch FM, Barbosa MM, Barros M, Bern C, Cavalcante JL, Et al., Recommendations for Multimodality Cardiac Imaging in Patients with Chagas Disease: A Report from the American Society of Echocardiography in Collaboration With the InterAmerican Association of Echocardiography (ECO-SIAC) and the Cardiovascular Imaging Department of the Brazilian Society of Cardiology (DIC-SBC), Journal of the American Society of Echocardiography: official publication of the American Society of Echocardiography, 31, 1, pp. 3-25, (2018); PRCRB HW., The Minnesota Code Manual of Electrocardiographic Findings: Standards and Procedures for Measurement and Classification, (1982); Di Lorenzo Oliveira C, Nunes MCP, Colosimo EA, de Lima EM, Cardoso CS, Ferreira AM, Et al., Risk Score for Predicting 2-Year Mortality in Patients With Chagas Cardiomyopathy From Endemic Areas: SaMi-Trop Cohort Study, Journal of the American Heart Association, 9, 6, (2020); Nunes MCP, Beaton A, Acquatella H, Bern C, Bolger AF, Echeverria LE, Et al., Chagas Cardiomyopathy: An Update of Current Clinical Knowledge and Management: A Scientific Statement From the American Heart Association, Circulation, 138, 12, pp. e169-e209, (2018); Brito BOdF, Pinto-Filho MM, Cardoso CS, Di Lorenzo Oliveira C, Ferreira AM, de Oliveira LC, Et al., Association between typical electrocardiographic abnormalities and NT-proBNP elevation in a large cohort of patients with Chagas disease from endemic area, Journal of electrocardiology, 51, 6, pp. 1039-1043, (2018); Rassi A, Rassi A, Little WC, Xavier SS, Rassi SG, Rassi AG, Et al., Development and validation of a risk score for predicting death in Chagas’ heart disease, The New England journal of medicine, 355, 8, pp. 799-808, (2006); Ribeiro AL, Rocha MO, Barros MV, Rodrigues AR, Machado FS., A narrow QRS does not predict a normal left ventricular function in Chagas’ disease, Pacing and clinical electrophysiology: PACE, 23, 11, pp. 2014-2017, (2000); Ribeiro AL, dos Reis AM, Barros MV, de Sousa MR, Rocha AL, Perez AA, Et al., Brain natriuretic peptide and left ventricular dysfunction in Chagas’ disease, Lancet, 360, 9331, pp. 461-462, (2002); Ribeiro AL, Teixeira MM, Reis AM, Talvani A, Perez AA, Barros MV, Et al., Brain natriuretic peptide based strategy to detect left ventricular dysfunction in Chagas disease: a comparison with the conventional approach, International journal of cardiology, 109, 1, pp. 34-40, (2006); Ribeiro AL, Sabino EC, Marcolino MS, Salemi VM, Ianni BM, Fernandes F, Et al., Electrocardiographic abnormalities in Trypanosoma cruzi seropositive and seronegative former blood donors, PLoS neglected tropical diseases, 7, 2, (2013); Liu CY, Heckbert SR, Lai S, Ambale-Venkatesh B, Ostovaneh MR, McClelland RL, Et al., Association of Elevated NT-proBNP With Myocardial Fibrosis in the Multi-Ethnic Study of Atherosclerosis (MESA), Journal of the American College of Cardiology, 70, 25, pp. 3102-3109, (2017); Thygesen K, Alpert JS, Jaffe AS, Chaitman BR, Bax JJ, Morrow DA, Et al., Fourth Universal Definition of Myocardial Infarction (2018), Journal of the American College of Cardiology, 72, 18, pp. 2231-2264, (2018); Shen L, Ramires F, Martinez F, Bodanese LC, Echeverria LE, Gomez EA, Et al., Contemporary Characteristics and Outcomes in Chagasic Heart Failure Compared With Other Nonischemic and Ischemic Cardiomyopathy, Circulation Heart failure, 10, 11, (2017); Nadruz W, Gioli-Pereira L, Bernardez-Pereira S, Marcondes-Braga FG, Fernandes-Silva MM, Silvestre OM, Et al., Temporal trends in the contribution of Chagas cardiomyopathy to mortality among patients with heart failure, Heart, 104, 18, pp. 1522-1528, (2018); Botoni FA, Poole-Wilson PA, Ribeiro AL, Okonko DO, Oliveira BM, Pinto AS, Et al., A randomized trial of carvedilol after renin-angiotensin system inhibition in chronic Chagas cardiomyopathy, American heart journal, 153, 4, pp. 544e1-544e8, (2007); Echeverria LE, Marcus R, Novick G, Sosa-Estani S, Ralston K, Zaidel EJ, Et al., WHF IASC Roadmap on Chagas Disease, Global heart, 15, 1, (2020); Diamantino AC, Nascimento BR, Nunes MCP, Sable CA, Oliveira KKB, Rabelo LC, Et al., Impact of incorporating echocardiographic screening into a clinical prediction model to optimise utilisation of echocardiography in primary care, International journal of clinical practice, (2020); Morillo CA, Marin-Neto JA, Avezum A, Sosa-Estani S, Rassi A, Rosas F, Et al., Randomized Trial of Benznidazole for Chronic Chagas’ Cardiomyopathy, The New England journal of medicine, 373, 14, pp. 1295-1306, (2015)</t>
  </si>
  <si>
    <t xml:space="preserve">A.L.P. Ribeiro; Faculdade de Medicina, Universidade Federal de Minas Gerais, Belo Horizonte, Brazil; email: antonio.ribeiro@ebserh.gov.br; F. Lopez-Jimenez; Department of Cardiovascular Medicine, Mayo Clinic, Rochester, United States; email: lopez@mayo.edu</t>
  </si>
  <si>
    <t xml:space="preserve">2-s2.0-85122532262</t>
  </si>
  <si>
    <t xml:space="preserve">Wera E.; Warembourg C.; Bulu P.M.; Siko M.M.; Dürr S.</t>
  </si>
  <si>
    <t xml:space="preserve">Wera, Ewaldus (56028881100); Warembourg, Charlotte (57216280623); Bulu, Petrus M. (56550018900); Siko, Maria M. (57192364812); Dürr, Salome (57206508592)</t>
  </si>
  <si>
    <t xml:space="preserve">56028881100; 57216280623; 56550018900; 57192364812; 57206508592</t>
  </si>
  <si>
    <t xml:space="preserve">Loss of binding antibodies against rabies in a vaccinated dog population in Flores Island, Indonesia</t>
  </si>
  <si>
    <t xml:space="preserve">Effective parenteral vaccines are available to control rabies in dogs. While such vaccines are successfully used worldwide, the period between vaccine boosters required to guarantee protection of the population against rabies varies between vaccines and populations. In Flores Island, Indonesia, internationally and locally produced rabies vaccines are used during annual vaccination campaigns of predominantly free-roaming owned domestic dogs. The study objective was to identify the duration of the presence and factors associated with the loss of adequate level of binding antibodies (≥0.5 EU/ml) following rabies vaccination in a domestic dog population on Flores Island. A total of 171 dogs that developed an antibody titre higher or equal to 0.5 EU/ml 30 days after vaccination (D30), were repeatedly sampled at day 90, 180, 270, and 360 after vaccination. On the day of vaccination (D0), an interview was performed with dog owners to collect information on dog characteristics (age, sex, body condition score (BCS)), history of rabies vaccination, kind of daily food, frequency of feeding, and origin of the dog. Serum samples were collected and the level of antibodies was quantitatively assessed using ELISA tests. Dogs were categorized as having an adequate level of binding antibodies (≥0.5 EU/ml) or inadequate level of binding antibodies (&lt;0.5 EU/ml) at each time points examined. A total of 115, 72, 23, and 31 dogs were sampled at D90, D180, D270, and D360, respectively, with the highest proportion of antibodies ≥ 0.5 EU/ml (58%, 95% CI, 49–67%) at D90, which reduced gradually until D360 (35%, 95% CI, 19–52%). Multivariable logistic regression models showed that loss of adequate level of binding antibodies is significantly associated with dogs having no history of vaccination or vaccination applied more than 12 months before D0, being less than 12 months of age, and having a poor BCS. These results highlight the importance of BCS regarding the immune response duration and provide insights into frequency of vaccination campaigns required for the internationally available vaccine used on Flores Island. For dogs without vaccination history or vaccination being applied more than 12 months before D0, a booster is recommended within 3 months (a largest drop of antibodies was detected within the first 90 days) after the first vaccination to guarantee measurable protection of the population that lasts at least for one year. © 2021 Wera et al.</t>
  </si>
  <si>
    <t xml:space="preserve">e0009688</t>
  </si>
  <si>
    <t xml:space="preserve">10.1371/journal.pntd.0009688</t>
  </si>
  <si>
    <t xml:space="preserve">https://www.scopus.com/inward/record.uri?eid=2-s2.0-85116853639&amp;doi=10.1371%2fjournal.pntd.0009688&amp;partnerID=40&amp;md5=1006df354b1db6942c19574066073073</t>
  </si>
  <si>
    <t xml:space="preserve">Animal Health Study Program, Kupang State Agricultural Polytechnic (Politeknik Pertanian Negeri Kupang), Kupang, Indonesia; Veterinary Public Health Institute, Vetsuisse Faculty, University of Bern, Bern, Switzerland; Animal Health Division, Agricultural Department of Sikka Regency, Maumere, Indonesia</t>
  </si>
  <si>
    <t xml:space="preserve">Wera E., Animal Health Study Program, Kupang State Agricultural Polytechnic (Politeknik Pertanian Negeri Kupang), Kupang, Indonesia; Warembourg C., Veterinary Public Health Institute, Vetsuisse Faculty, University of Bern, Bern, Switzerland; Bulu P.M., Animal Health Study Program, Kupang State Agricultural Polytechnic (Politeknik Pertanian Negeri Kupang), Kupang, Indonesia; Siko M.M., Animal Health Division, Agricultural Department of Sikka Regency, Maumere, Indonesia; Dürr S., Veterinary Public Health Institute, Vetsuisse Faculty, University of Bern, Bern, Switzerland</t>
  </si>
  <si>
    <t xml:space="preserve">Animals; Antibodies, Viral; Antibody Affinity; Dog Diseases; Dogs; Female; Indonesia; Male; Rabies; Rabies Vaccines; Vaccination; antibody; phosphate buffered saline; rabies vaccine; rabies vaccine; virus antibody; animal experiment; animal model; animal tissue; antibody titer; antigen binding; Article; bacterial load; blood sampling; body constitution; cephalic vein; cohort analysis; controlled study; diagnostic test accuracy study; disease surveillance; enzyme linked immunosorbent assay; feeding; female; follow up; food frequency questionnaire; herd immunity; immune response; infection control; interview; laboratory test; male; nonhuman; prevalence; prospective study; quantitative analysis; questionnaire; rabies; Rabies virus; risk factor; sensitivity and specificity; seroprevalence; vaccination; animal; antibody affinity; blood; dog; dog disease; immunology; Indonesia; rabies; vaccination; veterinary medicine</t>
  </si>
  <si>
    <t xml:space="preserve">Kupang State Agricultural Polytechnic; Politeknik Pertanian Negeri Kupang, (1/P2M/DIPA.042.01.2.40.1014/2019); Wolfermann-Nägeli Stiftung, (2018/28); Albert-Heim-Stiftung, AHS, (132)</t>
  </si>
  <si>
    <t xml:space="preserve">The study was funded by the Kupang State Agricultural Polytechnic (Politeknik Pertanian Negeri Kupang) in the form of a grant awarded to EW and PMB (Project Nr. 1/P2M/DIPA.042.01.2.40.1014/2019) and the Albert Heim Stiftung (Project Nr. 132), the Wolfermann-Nägeli Stiftung (Nr. 2018/28) in the form of a grant awarded to CW and SD. The funders had no role in study design, data collection and analysis, decision to publish, or preparation of the manuscript.</t>
  </si>
  <si>
    <t xml:space="preserve">Jackson AC., Rabies in Human, (2007); WHO expert Consultation on Rabies, first report: WHO Technical Report Series 931, (2005); Hampson K, Coudeville L, Lembo T, Sambo M, Kieffer A, Attlan M, Et al., Estimating the Global Burden of Endemic Canine Rabies, PLoS Negl Trop Dis, 9, (2015); Zinsstag J, Durr S, Penny MA, Mindekem R, Roth F, Menendes Gonzales S, Et al., Transmission dynamics and economics of rabies control in dogs and humans in an African city, Proc Natl Acad Sci, 106, pp. 14996-15001, (2009); Tierkel ES., Effective Control of an Outbreak of Rabies in Memphis and Shelby County, Tennessee, American Journal of Public Health and the Nations Health, 40, pp. 1084-1088, (1950); Belotto A, Leanes LF, Schneider MC, Tamayo H, Correa E., Overview of rabies in the Americas, Virus Res, 111, pp. 5-12, (2005); Cleaveland S, Kaare M, Tiringa P, Mlengeya T, Barrat J., A dog rabies vaccination campaign in rural Africa: Impact on the incidence of dog rabies and human dog–bite injuries, Vaccine, 21, pp. 1965-1973, (2003); Zinsstag J, Lechenne M, Laager M, Mindekem R, Naissengar S, Oussiguere A, Et al., Vaccination of dogs in an African city interrupts rabies transmission and reduces human exposure, Sci Transl Med, 9, pp. 1-10, (2017); Putra AAG, Hampson K, Girardi J, Hiby E, Knobel D, Mardiana IW, Et al., Response to a rabies epidemic, Bali, Indonesia, 2008–2011, Emerg Infect Dis, 19, pp. 648-651, (2013); Tenzin Ward MP., Review of Rabies Epidemiology and Control in South, South East and East Asia: Past, Present and Prospects for Elimination, Zoonoses Public Health, 59, pp. 451-467, (2012); Miranda LM, Miranda ME, Hatch B, Deray R, Shwiff S, Roces MC, Et al., Towards Canine Rabies Elimination in Cebu, Philippines: Assessment of Health Economic Data, Transbound Emerg Dis, 64, pp. 121-129, (2017); Morters MK, McKinley TJ, Horton DL, Cleaveland S, Schoeman JP, Restif O, Et al., Achieving Population–Level Immunity to Rabies in Free–Roaming Dogs in Africa and Asia, PLoS Negl Trop Dis, 8, pp. 1-12, (2014); Wera E., Socio–economic modelling of rabies control in Flores Island, Indonesia, (2017); Dodds WJ, Larson LJ, Christine KL, Schultz RD., Duration of immunity after rabies vaccination in dogs: The Rabies Challenge Fund research study, Can J Vet Res, 84, pp. 153-158, (2020); Shimazaki Y, Inoue S, Takahashi C, Gamoh K, Etoh M, Kamiyama T, Et al., Immune Response to Japanese Rabies Vaccine in Domestic Dogs, J Vet Med B Infect Dis Vet Public Health, 50, pp. 95-98, (2003); Tepsumethanon W, Polsuwan C, Lumlertdaecha B, Khawplod P, Hemachudha T, Chutivongse S, Et al., Immune response to rabies vaccine in Thai dogs: A preliminary report, Vaccine, 9, pp. 627-630, (1991); Pimburage RMS, Gunatilake M, Wimalaratne O, Balasuriya A, Perera KADN., Sero–prevalence of virus neutralizing antibodies for rabies in different groups of dogs following vaccination, BMC Vet Res, 13, (2017); Delgado S, Carmenes P., Immune response following a vaccination campaign against rabies in dogs from northwestern Spain, Prev Vet Med, 31, pp. 257-261, (1997); Mansfield KL, Sayers R, Fooks AR, Burr PD, Snodgrass D., Factors affecting the serological response of dogs and cats to rabies vaccination, Vet Rec, 154, pp. 423-426, (2004); Kennedy LJ, Lunt M, Barnes A, McElhinney L, Fooks AR, Baxter DN, Et al., Factors influencing the antibody response of dogs vaccinated against rabies, Vaccine, 25, pp. 8500-8507, (2007); Berndtsson LT, Nyman AK, Rivera E, Klingeborn B., Factors associated with the success of rabies vaccination of dogs in Sweden, Acta Vet Scand, 53, pp. 1-7, (2011); Nodari ER, Alonso S, Mancin M, Nardi MD, Hudson-Cooke S, Veggiato C, Et al., Rabies Vaccination: Higher Failure Rates in Imported Dogs than in those Vaccinated in Italy, Zoonoses Public Health, 64, pp. 146-155, (2017); Wallace RM, Pees A, Blanton JB, Moore SM., Risk factors for inadequate antibody response to primary rabies vaccination in dogs under one year of age, PLoS Negl Trop Dis, 11, (2017); Wera E, Mourits MCM, Hogeveen H., Uptake of rabies control measures by dog owners in Flores Island, Indonesia, PLoS Negl Trop Dis, 9, pp. 1-23, (2015); Bontempo V., Nutrition and Health of Dogs and Cats: Evolution of Petfood, Vet Res Commun, 29, pp. 45-50, (2005); Wera E, Velthuis AGJ, Geong M, Hogeveen H., Costs of Rabies Control: An Economic Calculation Method Applied to Flores Island, Plos One, 8, pp. 1-15, (2013); Warembourg C, Wera E, Odoch T, Bulu PM, Berger-Gonzalez M, Alvarez D, Et al., Comparative Study of Free–Roaming Domestic Dog Management and Roaming Behavior Across Four Countries: Chad, Guatemala, Indonesia, and Uganda, Front Vet Sci, 8, (2021); Warembourg C, Fournie G, Abakar MF, Alvarez D, Berger-Gonzalez M, Odoch T, Et al., Predictors of free–roaming domestic dogs’ contact network centrality and their relevance for rabies control, Sci Rep, 11, (2021); Dartini NL, Mahardika I, Putra A, Scott Orr H., Comparison of Two Elisa Kits for The Detection of Anti–rabies Antibodies in Dog, Buletin Veteriner, XXIV, pp. 1-7, (2012); Noordhuizen JPTM, Frankena K, Thrusfield MV, Graat EAM., Application of quantitative methods in veterinary epidemiology, (2001); Mauti S, Traore A, Hattendorf J, Schelling E, Wasniewski M, Schereffer JL, Et al., Factors associated with dog rabies immunisation status in Bamako, Mali, Acta Trop, 165, pp. 194-202, (2017); Suzuki K, Gonzalez ET, Ascarrunz G, Loza A, Perez M, Ruiz G, Et al., Antibody response to an anti–rabies vaccine in a dog population under field conditions in Bolivia, Zoonoses Public Health, 55, pp. 414-420, (2008); Seghaier C, Cliquet F, Hammami S, Aouina T, Tlatli A, Auber M., Rabies mass vaccination campaigns in Tunisia: Are vaccinated dogs correctly immunized?, Am J Trop Med Hyg, 61, pp. 879-884, (1999); Minke JM, Bouvet J, Cliquet F, Wasniewski M, Guiot AL, Lemaitre L, Et al., Comparison of antibody responses after vaccination with two inactivated rabies vaccines, Vet Microbiol, 133, pp. 283-286, (2009); Nova BV, Cunha E, Sepulveda N, Oliveira M, Braz BS, Tavares L, Et al., Evaluation of the humoral immune response induced by vaccination for canine distemper and parvovirus: A pilot study, BMC Vet Res, 14, pp. 348-348, (2018); Day MJ., Immune System Development in the Dog and Cat, J Comp Pathol, 137, pp. S10-S15, (2007); Park CO, Kupper TS., The emerging role of resident memory T cells in protective immunity and inflammatory disease, Nat Med, 21, pp. 688-697, (2015); Wait LF, Dobson AP, Graham AL., Do parasite infections interfere with immunisation? A review and meta–analysis, Vaccine, 38, pp. 5582-5590, (2020); Franca TGD, Ishikawa LLW, Zorzella-Pezavento SFG, Chiuso-Minicucci F, da Cunha MLRS, Sartori A., Impact of malnutrition on immunity and infection, J Venom Anim Toxins Incl Trop Dis, 15, pp. 374-390, (2009); Massei G, Fooks AR, Horton DL, Callaby R, Sharma K, Dhakal IP, Et al., Free–Roaming Dogs in Nepal: Demographics, Health and Public Knowledge, Attitudes and Practices, Zoonoses Public Health, 64, pp. 29-40, (2017); Cliquet F, Aubert M, Sagne L., Development of a fluorescent antibody virus neutralisation test (FAVN test) for the quantitation of rabies–neutralising antibody, J Immunol Methods, 212, pp. 79-87, (1998); Gold S, Donnelly CA, Nouvellet P, Woodroffe R., Rabies virus–neutralising antibodies in healthy, unvaccinated individuals: What do they mean for rabies epidemiology?, PLoS Negl Trop Dis, 14, pp. 1-20, (2020); Cliquet F, Muller T, Mutinelli F, Geronutti S, Brochier B, Selhorst T, Et al., Standardisation and establishment of a rabies ELISA test in European laboratories for assessing the efficacy of oral fox vaccination campaigns, Vaccine, 21, pp. 2986-2993, (2003); Servat A, Feyssaguet M, Blanchard I, Morize JL, Schereffer JL, Boue F, Et al., A quantitative indirect ELISA to monitor the effectiveness of rabies vaccination in domestic and wild carnivores, J Immunol Methods, 318, pp. 1-10, (2007); Aubert MF., Practical significance of rabies antibodies in cats and dogs, Rev Sci Tech, 11, pp. 735-760, (1992)</t>
  </si>
  <si>
    <t xml:space="preserve">E. Wera; Animal Health Study Program, Kupang State Agricultural Polytechnic (Politeknik Pertanian Negeri Kupang), Kupang, Indonesia; email: ewaldus.wera@yahoo.com</t>
  </si>
  <si>
    <t xml:space="preserve">2-s2.0-85116853639</t>
  </si>
  <si>
    <t xml:space="preserve">Han T.T.; Pham H.Y.; Nguyen D.S.L.; Iwata Y.; Do T.T.; Ishibashi K.; Sun G.</t>
  </si>
  <si>
    <t xml:space="preserve">Han, Trong Thanh (57560466100); Pham, Huong Yen (56038473400); Nguyen, Dang Son Lam (57226112296); Iwata, Yuki (57219007466); Do, Trong Tuan (35108283300); Ishibashi, Koichiro (57214924213); Sun, Guanghao (54409399600)</t>
  </si>
  <si>
    <t xml:space="preserve">57560466100; 56038473400; 57226112296; 57219007466; 35108283300; 57214924213; 54409399600</t>
  </si>
  <si>
    <t xml:space="preserve">Machine learning based classification model for screening of infected patients using vital signs</t>
  </si>
  <si>
    <t xml:space="preserve">Objectives: The classification of healthy versus infected persons, and the early detection of disease sources, plays an important role in preventing spread of disease and in curing the disease. The current traditional quarantine methods using remote body thermometers as well as questionnaires have not been highly effective due environment and subjective human factors. The use of Machine Learning algorithms may be more objective and optimal for this purpose. Methods: In this paper, a non-contact measuring system using medical radar is proposed to acquire data. Then, data captured from this radar is passed through filters to both eliminate interference and to provide vital parameters such as heart and respiration rate. Finally, the classification between healthy and infected people is executed by using five Machine learning algorithms. With the measured dataset, the classification models are built through training and test steps. Results: The classification results of the algorithms are evaluated based on the f1-score parameter with accuracy greater than 80%. In particular, the Deep Learning algorithms gives the highest result of 98%. Conclusion: This study implements patient classification algorithms, which achieved good performance. This might be beneficial for rapid screening of infected patients at public health centers in underdeveloped areas, where people have little access to healthcare. Motivation &amp; significance: The classification of healthy and infected people can help prevent the spread of disease in a community. With such relatively accurate results, in the future, the system can be directly applied in practice. © 2021 The Author(s)</t>
  </si>
  <si>
    <t xml:space="preserve">10.1016/j.imu.2021.100592</t>
  </si>
  <si>
    <t xml:space="preserve">https://www.scopus.com/inward/record.uri?eid=2-s2.0-85110546941&amp;doi=10.1016%2fj.imu.2021.100592&amp;partnerID=40&amp;md5=8dedef041e2875227d3ff17d8a8cc20f</t>
  </si>
  <si>
    <t xml:space="preserve">School of Electronics and Telecommunications, Hanoi University of Science and Technology, Hanoi, 100000, Viet Nam; Graduate School of Informatics and Engineering, The University of Electro-Communications, Tokyo, 182-8585, Japan; Center for Neuroscience and Biomedical Engineering, The University of Electro-Communications, Tokyo, 182-8585, Japan</t>
  </si>
  <si>
    <t xml:space="preserve">Han T.T., School of Electronics and Telecommunications, Hanoi University of Science and Technology, Hanoi, 100000, Viet Nam; Pham H.Y., School of Electronics and Telecommunications, Hanoi University of Science and Technology, Hanoi, 100000, Viet Nam; Nguyen D.S.L., School of Electronics and Telecommunications, Hanoi University of Science and Technology, Hanoi, 100000, Viet Nam; Iwata Y., Graduate School of Informatics and Engineering, The University of Electro-Communications, Tokyo, 182-8585, Japan; Do T.T., School of Electronics and Telecommunications, Hanoi University of Science and Technology, Hanoi, 100000, Viet Nam; Ishibashi K., Graduate School of Informatics and Engineering, The University of Electro-Communications, Tokyo, 182-8585, Japan; Sun G., Graduate School of Informatics and Engineering, The University of Electro-Communications, Tokyo, 182-8585, Japan, Center for Neuroscience and Biomedical Engineering, The University of Electro-Communications, Tokyo, 182-8585, Japan</t>
  </si>
  <si>
    <t xml:space="preserve">Dengue fever; Machine learning; Medical radar; Non-contact measurement</t>
  </si>
  <si>
    <t xml:space="preserve">algorithm; Article; breathing rate; classification algorithm; deep learning; heart rate; human; infection; long short term memory network; machine learning; quarantine; questionnaire; support vector machine; vital sign</t>
  </si>
  <si>
    <t xml:space="preserve">Ultra-Wideband</t>
  </si>
  <si>
    <t xml:space="preserve">The University of Electro-Communications; Japan Society for the Promotion of Science, KAKEN, (19H02385); Japan Society for the Promotion of Science, KAKEN; Anhui University of Science and Technology, AUST</t>
  </si>
  <si>
    <t xml:space="preserve">Funding text 1: The authors appreciate the support from the two universities, Ha Noi University of Science and Technology (Vietnam) and The University of Electro-Communications (Japan).; Funding text 2: This work was supported by the JSPS KAKENHI Grant-in-Aid for Scientific Research (B) under Grant No. 19H02385 . </t>
  </si>
  <si>
    <t xml:space="preserve">WHO, Epidemic and pandemic alert and response (EPR), (2007); Nguyen C.V., A non-contact infection screening system using medical radar and Linux-embedded FPGA: implementation and preliminary validation", Nr, Informatics in medicine unlocked, 16, (2019); Sun G., Et al., Design an easy-to-use infection screening system for non-contact monitoring of vitalsigns to prevent the spread of pandemic diseases, Nr. 36th annual international conference of the IEEE engineering in medicine and biology society,IEEE, pp. 4811-4814, (2014); New L., Japan radio Co., ''NJR4262 series'', available:; Zander S., Nguyen T., Armitage G., Automated traffic classification and application identification using machine learning, pp. 250-257, (2005); Hoi S.C., Et al., Batch mode active learning and its application to medical image classification, Proceedings of the 23rd international conference on Machine learning, Pennsylvania, (2006); Jadhav P.S., Et al., 'Hybrid intelligent techniques for MRI brain images classification, Digit Signal Process, 20, pp. 433-441, (2010); Yang X., Ishibashi K., Negishi T., Kirimoto T., Sun G., Short time and contactless virus infection screening system with discriminate function using Doppler radar, 12th international conference on bio-inspired computing, (2017); Yang X., Et al., Dengue fever screening using vital signs by contactless microwave radar and machine learning, 2019 IEEE sensors applications symposium (SAS), pp. 1-6, (2019); Patil T.R., Sherekar S.S., Performance analysis of Naïve Bayes and J48 classification algorithm for data classification, Int J Comput Sci Appl Nr, 6, 2, pp. 256-261, (2013); Sugumaran V., Muralidharan V., Ramachandran K.I., 21, pp. 930-942; Yu H., Kim S., SVM tutorial — classification, regression and ranking', Handbook of natural computing, (2012); Felicisimo A.M., Cuartero A., Remondo J., Et al., Mapping landslide susceptibility with logistic regression, multiple adaptive regression splines, classification and regression trees, and maximum entropy methods: a comparative study, Landslides, 10, pp. 175-189, (2013); Gers F.A., Jurgen Schmidhuber, Cummins F., Learning to forget: continual prediction with LSTM, pp. 850-855, (1999); Radu I., Wanka G., On strong and total Lagrange duality for convex optimization problems, J Math Anal Appl, 337, 2, pp. 1315-1325, (2008); Mingers J., An empirical comparison of pruning methods for decision tree induction, Mach Learn, 4, 2, pp. 227-243, (1989); Bottou L., Large-scale machine learning with stochastic gradient descent, Proceedings of COMPSTAT’2010, springer, pp. 177-186, (2010); Burges C., Crisp D., Uniqueness of the SVM solution, Advances in neural information processing systems, (2000); Liu W., Et al., Large-margin softmax loss for convolutional neural networks, ICML, 2, No. 3, (2016); Brownlee J., (2018); Sheldon Lin X., Willmot G.E., Steve Drekic, ''The classical risk model with a constant dividend barrier: analysis of the Gerber–Shiu discounted penalty function, Math Econ, 33, Issue 3, pp. 551-566, (2003); Goutte C., Gaussier E., A probabilistic interpretation of precision, recall and F-score, with implication for evaluation, l, European conference on information retrieva, (2005); Lou W., Et al., Sequence based prediction of DNA-binding proteins based on hybrid feature selection using random forest and Gaussian naive Bayes, PloS One, 9, (2014)</t>
  </si>
  <si>
    <t xml:space="preserve">T.T. Han; School of Electronics and Telecommunications, Hanoi University of Science and Technology, Hanoi, Viet Nam; email: thanh.hantrong@hust.edu.vn; </t>
  </si>
  <si>
    <t xml:space="preserve">2-s2.0-85110546941</t>
  </si>
  <si>
    <t xml:space="preserve">Herry C.L.; Soares H.M.F.; Schuler-Faccini L.; Frasch M.G.</t>
  </si>
  <si>
    <t xml:space="preserve">Herry, Christophe L. (56608020800); Soares, Helena M. F. (57219236322); Schuler-Faccini, Lavinia (6603265598); Frasch, Martin G. (7005825402)</t>
  </si>
  <si>
    <t xml:space="preserve">56608020800; 57219236322; 6603265598; 7005825402</t>
  </si>
  <si>
    <t xml:space="preserve">Machine learning model on heart rate variability metrics identifies asymptomatic toddlers exposed to zika virus during pregnancy</t>
  </si>
  <si>
    <t xml:space="preserve">Objective. Although the Zika virus (ZIKV) seems to be prominently neurotropic, there are some reports of involvement of other organs, particularly the heart. Of special concern are those children exposed prenatally to ZIKV and born without microcephaly or other congenital anomalies. Electrocardiogram (ECG) - derived heart rate variability (HRV) metrics represent an attractive, low-cost, widely deployable tool for early identification of developmental functional alterations in exposed children born without such overt clinical symptoms. We hypothesized that HRV in such children would yield a biomarker of fetal ZIKV exposure. Our objective was to test this hypothesis in young children exposed to ZIKV during pregnancy. Approach. We investigated the HRV properties of 21 children aged 4-25 months from Brazil. The infants were divided into two groups, the ZIKV-exposed (n = 13) and controls (n = 8). Single-channel ECG was recorded in each child at ∼15 months of age and HRV was analyzed in 5 min segments to provide a comprehensive characterization of the degree of variability and complexity of the heart rate. Main results. Using a cubic support vector machine classifier we identified babies as Zika cases or controls with a negative predictive value of 92% and a positive predictive value of 86%. Our results show that a machine learning model derived from HRV metrics can help differentiate between ZIKV-affected, yet asymptomatic, and non-ZIKV-exposed babies. We identified the box count as the best HRV metric in this study allowing such differentiation, regardless of the presence of microcephaly. Significance. We show that it is feasible to measure HRV in infants and toddlers using a small non-invasive portable ECG device and that such an approach may uncover the memory of in utero exposure to ZIKV. We discuss putative mechanisms. This approach may be useful for future studies and low-cost screening tools involving this challenging to examine population.  © 2021 Institute of Physics and Engineering in Medicine.</t>
  </si>
  <si>
    <t xml:space="preserve">Physiological Measurement</t>
  </si>
  <si>
    <t xml:space="preserve">10.1088/1361-6579/ac010e</t>
  </si>
  <si>
    <t xml:space="preserve">https://www.scopus.com/inward/record.uri?eid=2-s2.0-85108583313&amp;doi=10.1088%2f1361-6579%2fac010e&amp;partnerID=40&amp;md5=963d5ddd863aa88e0e67d9317240723f</t>
  </si>
  <si>
    <t xml:space="preserve">Ottawa Hospital Research Institute, University of Ottawa, ON, Canada; INAGEMP, Departamento de Genética, Instituto de Biociencias, Universidade Federal Do Rio Grande Do sul, Brazil; Department of Obstetrics and Gynecology, University of Washington, Seattle, WA, United States</t>
  </si>
  <si>
    <t xml:space="preserve">Herry C.L., Ottawa Hospital Research Institute, University of Ottawa, ON, Canada; Soares H.M.F., INAGEMP, Departamento de Genética, Instituto de Biociencias, Universidade Federal Do Rio Grande Do sul, Brazil; Schuler-Faccini L., INAGEMP, Departamento de Genética, Instituto de Biociencias, Universidade Federal Do Rio Grande Do sul, Brazil; Frasch M.G., Department of Obstetrics and Gynecology, University of Washington, Seattle, WA, United States</t>
  </si>
  <si>
    <t xml:space="preserve">ECG; HRV; infection; pediatrics; Zika</t>
  </si>
  <si>
    <t xml:space="preserve">Benchmarking; Brazil; Child, Preschool; Female; Heart Rate; Humans; Infant; Machine Learning; Pregnancy; Pregnancy Complications, Infectious; Zika Virus; Zika Virus Infection; Costs; Heart; Obstetrics; Support vector machines; Viruses; Clinical symptoms; Exposed to; Heart rate variability; Infection; Low-costs; Machine learning models; Property; Single channels; Young children; Zika; benchmarking; Brazil; female; heart rate; human; infant; machine learning; pregnancy; pregnancy complication; preschool child; Zika fever; Zika virus; Electrocardiography</t>
  </si>
  <si>
    <t xml:space="preserve">Agarwal R, Gotman J, Flanagan D, Rosenblatt B, Automatic EEG analysis during long-term monitoring in the ICU Electroencephalogr, Clin. Neurophysiol, 107, pp. 44-58, (1998); Heart rate variability: standards of measurement, physiological interpretation and clinical use, Task force of the European Society of Cardiology and the North American Society of Pacing and Electrophysiology Circulation, 93, pp. 1043-1065, (1996); Protocolo de Vigilância e Resposta a Ocorrência de Microcefalia e/ou Alterações do Sistema Nervoso Central (SNC), (2016); Aragao M F V V, Et al., Nonmicrocephalic Infants with Congenital Zika Syndrome Suspected Only after Neuroimaging Evaluation Compared with Those with Microcephaly at Birth and Postnatally: how Large Is the Zika Virus 'Iceberg'?, AJNR Am. J. Neuroradiol, 38, pp. 1427-1434, (2017); Benjamini Y, Yekutieli D, The control of the false discovery rate in multiple testing under dependency, Ann. Stat, 29, pp. 1165-1188, (2001); Bravi A, Longtin A, Seely A J E, Review and classification of variability analysis techniques with clinical applications, Biomed. Eng. Online, 10, (2011); Brennan M, Palaniswami M, Kamen P, Do existing measures of Poincare plot geometry reflect nonlinear features of heart rate variability?, IEEE Trans. Biomed. Eng, 48, pp. 1342-1347, (2001); Brennan M, Palaniswami M, Kamen P, New insights into the relationship between Poincare plot geometry and linear measures of heart rate variability 2001 Conf, Proc. 23rd Annual Int. Conf. of the IEEE Engineering in Medicine and Biology Society, 1, pp. 526-529, (2001); Costa M D, Peng C-K, Goldberger A L, Multiscale analysis of heart rate dynamics: entropy and time irreversibility measures, Cardiovascular Eng, 8, pp. 88-93, (2008); Del Campo M, Et al., The phenotypic spectrum of congenital Zika syndrome, Am. J. Med. Genet. A, 173, pp. 841-857, (2017); Delignieres D, Ramdani S, Lemoine L, Torre K, Fortes M, Ninot G, Fractal analyses for 'short' time series: a re-assessment of classical methods, J. Math. Psychol, 50, pp. 525-544, (2006); Di Cavalcanti D, Alves L V, Furtado G J, Santos C C, Feitosa F G, Ribeiro M C, Menge P, Lira I M, Alves J G, Echocardiographic findings in infants with presumed congenital Zika syndrome: retrospective case series study, PLoS One, 12, (2017); Doret M, Helgason H, Abry P, Goncalves P, Gharib C, Gaucherand P, Multifractal analysis of fetal heart rate variability in fetuses with and without severe acidosis during labor, Am. J. Perinatol, 28, pp. 259-266, (2011); Durosier L D, Green G, Batkin I, Seely A J, Ross M G, Richardson B S, Frasch M G, Sampling rate of heart rate variability impacts the ability to detect acidemia in ovine fetuses near-term, Front Pediatr, 2, (2014); Durosier L D, Herry C L, Cortes M, Cao M, Burns P, Desrochers A, Fecteau G, Seely A J E, Frasch M G, Does heart rate variability reflect the systemic inflammatory response in a fetal sheep model of lipopolysaccharide-induced sepsis?, Physiol. Meas, 36, pp. 2089-2102, (2015); Elgendi M, Fast QRS detection with an optimized knowledge-based method: evaluation on 11 standard ECG databases, PLoS One, 8, (2013); Frank B, Pompe B, Schneider U, Hoyer D, Permutation entropy improves fetal behavioural state classification based on heart rate analysis from biomagnetic recordings in near term fetuses, Med. Biol. Eng. Comput, 44, pp. 179-187, (2006); Frasch M, martinfrasch/vagus_HRV_code: decoding vagal contributions to fetal heart rate variability, (2019); Frasch M G, Heart rate variability code: does it exist and can we hack it?, (2020); Frasch M G, Giussani D A, Impact of chronic fetal hypoxia and inflammation on cardiac pacemaker cell development, Cells, 9, (2020); Frasch M G, Herry C L, Niu Y, Giussani D A, First evidence of intrinsic fetal heart rate variability affected by chronic fetal hypoxia Reproductive Sciences, 24, (2017); Frasch M G, Herry C L, Niu Y, Giussani D A, First evidence that intrinsic fetal heart rate variability exists and is affected by hypoxic pregnancy, J. Physiol, 598, pp. 249-263, (2020); Gao J B, Hu J, Tung W W, Cao Y H, Distinguishing chaos from noise by scale-dependent Lyapunov exponent, Phys. Rev. E, 74, (2006); Gao J, Gurbaxani B M, Hu J, Heilman K J, Emanuele V A, Lewis G F, Davila M, Unger E R, Lin J-M S, Multiscale analysis of heart rate variability in non-stationary environments, Front. Physiol, 4, (2013); Grassberger P, Procaccia I, Measuring the strangeness of strange attractors, Physica D, 9, pp. 189-208, (1983); Guyon I, Elisseeff A, An introduction to variable and feature selection, J. Mach. Learn. Res, 3, pp. 1157-1182, (2003); Guzzetti S, Et al., Symbolic dynamics of heart rate variability: a probe to investigate cardiac autonomic modulation, Circulation, 112, pp. 465-470, (2005); Herry C L, Burns P, Desrochers A, Fecteau G, Durosier L D, Cao M, Seely A J E, Frasch M G, Vagal contributions to fetal heart rate variability: an omics approach, Physiol. Meas, 40, (2019); Herry C L, Soares H M F, Schuler-Faccini L, Frasch M G, Heart rate variability monitoring identifies asymptomatic toddlers exposed to Zika virus during pregnancy, (2018); Hirsch A J, Et al., Zika virus infection in pregnant rhesus macaques causes placental dysfunction and immunopathology, Nat. Commun, 9, (2018); Hjorth B, EEG analysis based on time domain properties Electroencephalogr, Clin. Neurophysiol, 29, pp. 306-310, (1970); Hjorth B, The physical significance of time domain descriptors in EEG analysis, Electroencephalogr. Clin. Neurophysiol, 34, pp. 321-325, (1973); Huang H-H, Lee Y-H, Chan H-L, Wang Y-P, Huang C-H, Fan S-Z, Using a short-term parameter of heart rate variability to distinguish awake from isoflurane anesthetic states, Med. Biol. Eng. Comput, 46, pp. 977-984, (2008); Hu J, Gao J, Tung W-W, Cao Y, Multiscale analysis of heart rate variability: a comparison of different complexity measures, Ann. Biomed. Eng, 38, pp. 854-864, (2010); Javorka K, Lehotska Z, Kozar M, Uhrikova Z, Kolarovszki B, Javorka M, Zibolen M, Heart rate variability in newborns, Physiol. Res, 66, pp. S203-S214, (2017); Kaiser J F, On a simple algorithm to calculate the 'energy' of a signal, Int. Conf. on Acoustics Speech, and Signal Processing, 1, pp. 381-384, (1990); Kampouraki A, Manis G, Nikou C, Heartbeat time series classification with support vector machines, IEEE Trans. Inf. Technol. Biomed, 13, pp. 512-518, (2009); Lake D E, Moorman J R, Accurate estimation of entropy in very short physiological time series: the problem of atrial fibrillation detection in implanted ventricular devices, Am. J. Physio. Heart. Circ. Physiol, 300, pp. H319-H325, (2010); Lazarou G Y, Baca J, Frost V S, Evans J B, Describing network traffic using the index of variability, IEEE/ACM Trans. Netw, 17, pp. 1672-1683, (2009); Marwan N, Wessel N, Meyerfeldt U, Schirdewan A, Kurths J, Recurrence-plot-based measures of complexity and their application to heart-rate-variability data, Phys. Rev. E, 66, (2002); Moore C A, Et al., Characterizing the Pattern of Anomalies in Congenital Zika Syndrome for Pediatric Clinicians, JAMA Pediatr, 171, pp. 288-295, (2017); Orofino D H G, Et al., Cardiac findings in infants with in utero exposure to Zika virus-a cross sectional study, PLoS Negl. Trop. Dis, 12, (2018); Orofino D H G, Et al., 24 h Holter findings in infants with in-utero exposure to the Zika virus: a series of cases, Rev. Inst. Med. Trop. Sao Paulo, 62, (2020); Peng C K, Havlin S, Stanley H E, Goldberger A L, Quantification of scaling exponents and crossover phenomena in nonstationary heartbeat time series, Chaos, 5, pp. 82-87, (1995); Peng C-K N, Mietus J, Hausdorff J M, Havlin S, Stanley H E, Goldberger A L, Long-range anticorrelations and non-Gaussian behavior of the heartbeat, Phys. Rev. Lett, 70, pp. 1343-1346, (1993); Porta A, Et al., An integrated approach based on uniform quantization for the evaluation of complexity of short-term heart period variability: application to 24 h Holter recordings in healthy and heart failure humans, Chaos, 17, (2007); Porta A, Guzzetti S, Montano N, Furlan R, Pagani M, Malliani A, Cerutti S, Entropy, entropy rate, and pattern classification as tools to typify complexity in short heart period variability series, IEEE Trans. Biomed. Eng, 48, pp. 1282-1291, (2001); Press W H, Rybicki G B, Fast algorithm for spectral analysis of unevenly sampled data, Astrophys. J, 338, (1989); Rasmussen S A, Jamieson D J, Honein M A, Petersen L R, Zika virus and birth defects - mdash;reviewing the evidence for causality, New Engl. J. Med, 374, pp. 1981-1987, (2016); Roopaei M, Boostani R, Sarvestani R R, Taghavi M A, Azimifar Z, Chaotic based reconstructed phase space features for detecting ventricular fibrillation, Biomed. Signal Process. Control, 5, pp. 318-327, (2010); Ruffo M, Cesarelli M, Romano M, Bifulco P, Fratini A, An algorithm for FHR estimation from foetal phonocardiographic signals, Biomed. Signal Process. Control, 5, pp. 131-141, (2010); Russell L J, Weaver D D, Bull M J, Weinbaum M, In utero brain destruction resulting in collapse of the fetal skull, microcephaly, scalp rugae, and neurologic impairment: the fetal brain disruption sequence, Am. J. Med. Genet, 17, pp. 509-521, (1984); Sassi R, Et al., Advances in heart rate variability signal analysis: joint position statement by the e-Cardiology ESC working Group and the European Heart Rhythm Association co-endorsed by the Asia Pacific Heart Rhythm Society EP, Europace, 17, pp. 1341-1353, (2015); Schuler-Faccini L, Sanseverino M, Vianna F, da Silva A A, Larrandaburu M, Marcolongo-Pereira C, Abeche A M, Zika virus: a new human teratogen? Implications for women of reproductive age, Clin. Pharmacol. Ther, 100, pp. 28-30, (2016); Shannon C E, A mathematical theory of communication, Bell Syst. Tech. J, 27, pp. 379-423, (1948); Silva L E V, Silva C A A, Salgado H C, Fazan R, The role of sympathetic and vagal cardiac control on complexity of heart rate dynamics, Am. J. Physiol. Heart. Circ. Physiol, 312, pp. H469-H477, (2017); Toichi M, Sugiura T, Murai T, Sengoku A, A new method of assessing cardiac autonomic function and its comparison with spectral analysis and coefficient of variation of R-R interval, J. Auton. Nerv. Syst, 62, pp. 79-84, (1997); Turcott R G, Teich M C, Fractal character of the electrocardiogram: distinguishing heart-failure and normal patients, Ann. Biomed. Eng, 24, pp. 269-293, (1996); van der Linden V, Et al., Description of 13 infants born during October 2015-January 2016 with congenital Zika virus infection without Microcephaly at birth-Brazil MMWR Morb, Mortal. Wkly. Rep, 65, pp. 1343-1348, (2016); Van Leeuwen P, Lange S, Bettermann H, Gronemeyer D, Hatzmann W, Fetal heart rate variability and complexity in the course of pregnancy Early, Hum. Dev, 54, pp. 259-269, (1999); Voss A, Kurths J, Kleiner H J, Witt A, Wessel N, Saparin P, Osterziel K J, Schurath R, Dietz R, The application of methods of non-linear dynamics for the improved and predictive recognition of patients threatened by sudden cardiac death, Cardiovascular Res, 31, pp. 419-433, (1996); Webber C L, Zbilut J P, Dynamical assessment of physiological systems and states using recurrence plot strategies, J. Appl. Physiol, 76, pp. 965-973, (1994); Weisbrod D, Khun S H, Bueno H, Peretz A, Attali B, Mechanisms underlying the cardiac pacemaker: the role of SK4 calcium-activated potassium channels, Acta Pharmacol. Sin, 37, pp. 82-97, (2016); Wendt H, Abry P, Jaffard S, Bootstrap for Empirical Multifractal Analysis, IEEE Signal Process. Mag, 24, pp. 38-48, (2007); Xu A, Durosier L D, Ross M G, Hammond R, Richardson B S, Frasch M G, Adaptive brain shut-down counteracts neuroinflammation in the near-term ovine fetus, Front. Neurol, 5, (2014); Yaniv Y, Ahmet I, Liu J, Lyashkov A E, Guiriba T R, Okamoto Y, Ziman B D, Lakatta E G, Synchronization of sinoatrial node pacemaker cell clocks and its autonomic modulation impart complexity to heart beating intervals, Heart Rhythm, 11, pp. 1210-1219, (2014); Zin A A, Et al., Screening criteria for ophthalmic manifestations of congenital Zika virus infection, JAMA Pediatr, 171, pp. 847-854, (2017)</t>
  </si>
  <si>
    <t xml:space="preserve">M.G. Frasch; Department of Obstetrics and Gynecology, University of Washington, Seattle, United States; email: mfrasch@uw.edu</t>
  </si>
  <si>
    <t xml:space="preserve">PMEAE</t>
  </si>
  <si>
    <t xml:space="preserve">Physiol. Meas.</t>
  </si>
  <si>
    <t xml:space="preserve">2-s2.0-85108583313</t>
  </si>
  <si>
    <t xml:space="preserve">Bosc N.; Felix E.; Arcila R.; Mendez D.; Saunders M.R.; Green D.V.S.; Ochoada J.; Shelat A.A.; Martin E.J.; Iyer P.; Engkvist O.; Verras A.; Duffy J.; Burrows J.; Gardner J.M.F.; Leach A.R.</t>
  </si>
  <si>
    <t xml:space="preserve">Bosc, Nicolas (57204323387); Felix, Eloy (57205348312); Arcila, Ricardo (57216889772); Mendez, David (57193731923); Saunders, Martin R. (57224802205); Green, Darren V. S. (56231216400); Ochoada, Jason (6506085587); Shelat, Anang A. (6603214807); Martin, Eric J. (55457007600); Iyer, Preeti (57221091385); Engkvist, Ola (7004111889); Verras, Andreas (16314532400); Duffy, James (57196631974); Burrows, Jeremy (57222096910); Gardner, J. Mark F. (57633376800); Leach, Andrew R. (7102097878)</t>
  </si>
  <si>
    <t xml:space="preserve">57204323387; 57205348312; 57216889772; 57193731923; 57224802205; 56231216400; 6506085587; 6603214807; 55457007600; 57221091385; 7004111889; 16314532400; 57196631974; 57222096910; 57633376800; 7102097878</t>
  </si>
  <si>
    <t xml:space="preserve">MAIP: a web service for predicting blood‐stage malaria inhibitors</t>
  </si>
  <si>
    <t xml:space="preserve">Malaria is a disease affecting hundreds of millions of people across the world, mainly in developing countries and especially in sub-Saharan Africa. It is the cause of hundreds of thousands of deaths each year and there is an ever-present need to identify and develop effective new therapies to tackle the disease and overcome increasing drug resistance. Here, we extend a previous study in which a number of partners collaborated to develop a consensus in silico model that can be used to identify novel molecules that may have antimalarial properties. The performance of machine learning methods generally improves with the number of data points available for training. One practical challenge in building large training sets is that the data are often proprietary and cannot be straightforwardly integrated. Here, this was addressed by sharing QSAR models, each built on a private data set. We describe the development of an open-source software platform for creating such models, a comprehensive evaluation of methods to create a single consensus model and a web platform called MAIP available at https://www.ebi.ac.uk/chembl/maip/. MAIP is freely available for the wider community to make large-scale predictions of potential malaria inhibiting compounds. This project also highlights some of the practical challenges in reproducing published computational methods and the opportunities that open-source software can offer to the community.[Figure not available: see fulltext.] © 2021, The Author(s).</t>
  </si>
  <si>
    <t xml:space="preserve">Journal of Cheminformatics</t>
  </si>
  <si>
    <t xml:space="preserve">10.1186/s13321-021-00487-2</t>
  </si>
  <si>
    <t xml:space="preserve">https://www.scopus.com/inward/record.uri?eid=2-s2.0-85101304464&amp;doi=10.1186%2fs13321-021-00487-2&amp;partnerID=40&amp;md5=8ad6e1d8e7ad88e2082962f0109af085</t>
  </si>
  <si>
    <t xml:space="preserve">European Bioinformatics Institute (EMBL-EBI), Wellcome Genome Campus, Hinxton, Cambridge, CB10 1SD, United Kingdom; Department of Molecular Design, Data and Computational Sciences, GlaxoSmithKline, Gunnels Wood Road, Stevenage, SG1 2NY, Hertfordshire, United Kingdom; Department of Chemical Biology and Therapeutics, St. Jude Children’s Research Hospital, 262 Danny Thomas Place, Memphis, 38105, TN, United States; Novartis Institute for Biomedical Research, 5300 Chiron Way, Emeryville, 94608- 2916, CA, United States; Hit Discovery, Discovery Sciences, R&amp;D, AstraZeneca, Gothenburg, Sweden; Schrodinger Inc, 120 West 45th Street, New York, 10036-4041, NY, United States; Medicines for Malaria Ventures Discovery, Geneva, 1215, Switzerland; AMG Consultants Ltd, Discovery Park House, Discovery Park, Ramsgate Road, Sandwich, Kent, CT13 9ND, United Kingdom</t>
  </si>
  <si>
    <t xml:space="preserve">Bosc N., European Bioinformatics Institute (EMBL-EBI), Wellcome Genome Campus, Hinxton, Cambridge, CB10 1SD, United Kingdom; Felix E., European Bioinformatics Institute (EMBL-EBI), Wellcome Genome Campus, Hinxton, Cambridge, CB10 1SD, United Kingdom; Arcila R., European Bioinformatics Institute (EMBL-EBI), Wellcome Genome Campus, Hinxton, Cambridge, CB10 1SD, United Kingdom; Mendez D., European Bioinformatics Institute (EMBL-EBI), Wellcome Genome Campus, Hinxton, Cambridge, CB10 1SD, United Kingdom; Saunders M.R., Department of Molecular Design, Data and Computational Sciences, GlaxoSmithKline, Gunnels Wood Road, Stevenage, SG1 2NY, Hertfordshire, United Kingdom; Green D.V.S., Department of Molecular Design, Data and Computational Sciences, GlaxoSmithKline, Gunnels Wood Road, Stevenage, SG1 2NY, Hertfordshire, United Kingdom; Ochoada J., Department of Chemical Biology and Therapeutics, St. Jude Children’s Research Hospital, 262 Danny Thomas Place, Memphis, 38105, TN, United States; Shelat A.A., Department of Chemical Biology and Therapeutics, St. Jude Children’s Research Hospital, 262 Danny Thomas Place, Memphis, 38105, TN, United States; Martin E.J., Novartis Institute for Biomedical Research, 5300 Chiron Way, Emeryville, 94608- 2916, CA, United States; Iyer P., Hit Discovery, Discovery Sciences, R&amp;D, AstraZeneca, Gothenburg, Sweden; Engkvist O., Hit Discovery, Discovery Sciences, R&amp;D, AstraZeneca, Gothenburg, Sweden; Verras A., Schrodinger Inc, 120 West 45th Street, New York, 10036-4041, NY, United States; Duffy J., Medicines for Malaria Ventures Discovery, Geneva, 1215, Switzerland; Burrows J., Medicines for Malaria Ventures Discovery, Geneva, 1215, Switzerland; Gardner J.M.F., AMG Consultants Ltd, Discovery Park House, Discovery Park, Ramsgate Road, Sandwich, Kent, CT13 9ND, United Kingdom; Leach A.R., European Bioinformatics Institute (EMBL-EBI), Wellcome Genome Campus, Hinxton, Cambridge, CB10 1SD, United Kingdom</t>
  </si>
  <si>
    <t xml:space="preserve">Antimalarial drug discovery; Classification modelling; Data fusion; Machine learning; Malaria; Naïve Bayes; Open‐source software; QSAR</t>
  </si>
  <si>
    <t xml:space="preserve">Bill and Melinda Gates Foundation, BMGF; Novartis; St. Jude Children's Research Hospital; European Molecular Biology Laboratory, EMBL</t>
  </si>
  <si>
    <t xml:space="preserve">Funding text 1: The research leading to these results has received funding from (1) the Bill &amp; Melinda Gates Foundation, (2) Member States of the European Molecular Biology Laboratory (EMBL). ; Funding text 2: The authors would like to acknowledge AstraZeneca, GSK, MMV, Novartis and St Jude Children’s Research Hospital for letting us use their data to train and test models. We thank the Bill &amp; Melinda Gates Foundation for funding and Rich Elliot for his valuable input to discussions concerning the project. Thanks also to Francis Atkinson for developing the compound standardiser used in this project. ; Funding text 3: The authors would like to acknowledge AstraZeneca, GSK, MMV, Novartis and St Jude Children?s Research Hospital for letting us use their data to train and test models. We thank the Bill &amp; Melinda Gates Foundation for funding and Rich Elliot for his valuable input to discussions concerning the project. Thanks also to Francis Atkinson for developing the compound standardiser used in this project.</t>
  </si>
  <si>
    <t xml:space="preserve">Blasco B., Leroy D., Fidock D.A., Antimalarial drug resistance: linking Plasmodium falciparum parasite biology to the clinic, Nat Med, 23, pp. 917-928, (2017); Bruxvoort K., Goodman C., Kachur S.P., Schellenberg D., How patients take malaria treatment: A systematic review of the literature on adherence to antimalarial drugs, PLoS ONE, 9, (2014); Dellicour S., Tatem A.J., Guerra C.A., Et al., Quantifying the Number of Pregnancies at Risk of Malaria in 2007: A Demographic Study, PLoS Medicine, 7, (2010); Plouffe D., Brinker A., McNamara C., Et al., In silico activity profiling reveals the mechanism of action of antimalarials discovered in a high-throughput screen, Proceedings of the National Academy of Sciences, 105, pp. 9059-9064, (2008); Gamo F.-J., Sanz L.M., Vidal J., Et al., Thousands of chemical starting points for antimalarial lead identification, Nature, 465, pp. 305-310, (2010); Guiguemde W.A., Shelat A.A., Bouck D., Et al., Chemical genetics of Plasmodium falciparum, Nature, 465, pp. 311-315, (2010); Phillips M.A., Burrows J.N., Manyando C., Et al., Nature reviews disease primers, Malaria, 3, (2017); LaMonte G.M., Rocamora F., Marapana D.S., Et al., Pan-active imidazolopiperazine antimalarials target the Plasmodium falciparum intracellular secretory pathway, Nat Commun, 11, (2020); Cumming J.G., Davis A.M., Muresan S., Et al., Chemical predictive modelling to improve compound quality, Nat Rev Drug Discovery, 12, pp. 948-962, (2013); Vamathevan J., Clark D., Czodrowski P., Et al., Applications of machine learning in drug discovery and development, Nat Rev Drug Discovery, 18, pp. 463-477, (2019); Cherkasov A., Muratov E.N., Fourches D., Et al., QSAR modeling: where have you been? Where are you going to?, J Med Chem, 57, pp. 4977-5010, (2014); Mendez D., Gaulton A., Bento A.P., Et al., ChEMBL: towards direct deposition of bioassay data, Nucleic Acids Res, 47, pp. D930-D940, (2019); Verras A., Waller C.L., Gedeck P., Et al., Shared consensus machine learning models for predicting blood stage malaria inhibition, J Chem Inf Model, 57, pp. 445-453, (2017); Patel M., Chilton M.L., Sartini A., Et al., Assessment and reproducibility of quantitative structure–activity relationship models by the nonexpert, J Chem Inf Model, 58, pp. 673-682, (2018); Haibe-Kains B., Adam G.A., Hosny A., Et al., The Importance of Transparency and Reproducibility in Artificial Intelligence Research. Arxiv, 2003, (2020); Kim S., Chen J., Cheng T., Et al., PubChem 2019 update: improved access to chemical data, Nucleic Acids Res, 47, pp. D1102-D1109, (2019); Dassault Systemes B.I.O.V.I.A., Pipeline, Pilot, 2017.2.0.1361, (2016); Rdkit: Open-Source Cheminformatics; Wildman S.A., Crippen G.M., Prediction of physicochemical parameters by atomic contributions, J Chem Inf Comput Sci, 39, pp. 868-873, (1999); Nidhi, Glick M., Davies J.W., Jenkins J.L., Prediction of biological targets for compounds using multiple-category Bayesian Models trained on chemogenomics databases, J Chem Inf Model, 46, pp. 1124-1133, (2006); Xia X., Maliski E.G., Gallant P., Rogers D., Classification of kinase inhibitors using a Bayesian Model, J Med Chem, 47, pp. 4463-4470, (2004); Pedregosa F., Varoquaux G., Gramfort A., Et al., Scikit-learn: machine learning in python, J Mach Learn Res, 12, pp. 2825-2830, (2011); Truchon J.-F., Bayly C.I., Evaluating virtual screening methods: good and bad metrics for the “early recognition” problem, J Chem Inf Model, 47, pp. 488-508, (2007); van der Matten L., Hinton G., Visualizing data using t-SNE, J Mach Learn Res, 9, pp. 2579-2605, (2008); Rogers D., Hahn M., Extended-connectivity fingerprints, J Chem Inf Model, 50, pp. 742-754, (2010); Weaver S., Gleeson M.P., The importance of the domain of applicability in QSAR modeling, J Mol Graph Model, 26, pp. 1315-1326, (2008); Sahigara F., Mansouri K., Ballabio D., Et al., Comparison of different approaches to define the applicability domain of QSAR models, Molecules, 17, pp. 4791-4810, (2012); Sheridan R.P., Three useful dimensions for domain applicability in QSAR models using random forest, J Chem Inf Model, 52, pp. 814-823, (2012); Norinder U., Carlsson L., Boyer S., Eklund M., Introducing conformal prediction in predictive modeling. A transparent and flexible alternative to applicability domain determination, J Chem Inf Model, 54, pp. 1596-1603, (2014); Bosc N., Atkinson F., Felix E., Et al., Large scale comparison of QSAR and conformal prediction methods and their applications in drug discovery, J Cheminform, 11, (2019); Cortes-Ciriano I., Bender A., Concepts and applications of conformal prediction in computational drug discovery. ArXiv:190803569 [cs, Q-Bio], (2019); Janssen A.P.A., Grimm S.H., Wijdeven R.H.M., Et al., Drug discovery maps, a machine learning model that visualizes and predicts Kinome–inhibitor interaction landscapes, J Chem Inf Model, 59, pp. 1221-1229, (2019); Karlov D.S., Sosnin S., Tetko I.V., Fedorov M.V., Chemical space exploration guided by deep neural networks, RSC Adv, 9, pp. 5151-5157, (2019); Martin E., Cao E., Euclidean chemical spaces from molecular fingerprints: Hamming distance and Hempel’s ravens, J Comput Aided Mol Des, 29, pp. 387-395, (2015)</t>
  </si>
  <si>
    <t xml:space="preserve">N. Bosc; European Bioinformatics Institute (EMBL-EBI), Hinxton, Cambridge, Wellcome Genome Campus, CB10 1SD, United Kingdom; email: nbosc@ebi.ac.uk; A.R. Leach; European Bioinformatics Institute (EMBL-EBI), Hinxton, Cambridge, Wellcome Genome Campus, CB10 1SD, United Kingdom; email: arl@ebi.ac.uk</t>
  </si>
  <si>
    <t xml:space="preserve">J. Cheminformatics</t>
  </si>
  <si>
    <t xml:space="preserve">2-s2.0-85101304464</t>
  </si>
  <si>
    <t xml:space="preserve">Dehariya A.K.; Shukla P.</t>
  </si>
  <si>
    <t xml:space="preserve">Dehariya, Ashish Kumar (46161056200); Shukla, Pragya (57210538654)</t>
  </si>
  <si>
    <t xml:space="preserve">46161056200; 57210538654</t>
  </si>
  <si>
    <t xml:space="preserve">Medical diagnosis model based on spiking neural network considering normalization of histogram and wavelet transform features of medical images</t>
  </si>
  <si>
    <t xml:space="preserve">Experts diagnose most diseases by interpreting medical images. The same task can be performed with improved accuracy by automating medical diagnosis algorithms. Convolutional Neural Network (CNN) classifies medical images considering continuous features. Sometimes processing of unnecessary features increases computation time also decreases classification accuracy. This research processed extracted medical image features by Spiking Neural Network(SNN). SNN uses time-based input spikes and overlooks the processing of useless input features hence obtain improved classification accuracy. Second level discrete wavelet transform and histogram features utilized in the proposed approach to prepare a normalized vector for the training of spiking neural network. The experiment was done on real medical image datasets. For each 125 image dataset Spiking Neural Based Medical Image Diagnosis (SNMID) gives an accuracy percentage of 91.20 for malaria, 87.67 for breast cancer, and 100 for skin cancer, whereas CNN based medical image diagnosis(CNMID) lacks the accuracy having measures 57.72 for malaria, 78.05 for breast cancer, 69.12 for skin cancer. Precision, recall, and f-measure values also found improved in the case of SNMID. ©2021 Seventh Sense Research Group®.</t>
  </si>
  <si>
    <t xml:space="preserve">International Journal of Engineering Trends and Technology</t>
  </si>
  <si>
    <t xml:space="preserve">Seventh Sense Research Group</t>
  </si>
  <si>
    <t xml:space="preserve">10.14445/22315381/IJETT-V69I7P222</t>
  </si>
  <si>
    <t xml:space="preserve">https://www.scopus.com/inward/record.uri?eid=2-s2.0-85109328351&amp;doi=10.14445%2f22315381%2fIJETT-V69I7P222&amp;partnerID=40&amp;md5=a697e4817b1bb6294eb1820b44233f94</t>
  </si>
  <si>
    <t xml:space="preserve">Dept of Computer Engineering, IET, DAVV, Indore, India</t>
  </si>
  <si>
    <t xml:space="preserve">Dehariya A.K., Dept of Computer Engineering, IET, DAVV, Indore, India; Shukla P., Dept of Computer Engineering, IET, DAVV, Indore, India</t>
  </si>
  <si>
    <t xml:space="preserve">Convolutional Neural Network; Discrete Wavelet Transform; Histogram Features; Medical Image Diagnosis; Spiking Neural Network</t>
  </si>
  <si>
    <t xml:space="preserve">Senthilkumar Gagan, Kumar B, Lasya K R., Artificial Intelligence Augmentation in Blood Transfusion, Biochemistry, and Hematology of Digital Pathology: A Comparative Performance Evaluation on Pathology Labs and Corporate Hospitals located in Bengaluru, International Journal of Engineering Trends and Technology, 68, 12, pp. 132-139, (2020); Razzak Muhammad Imran, Naz Saeeda, Zaib Ahmad, Deep Learning for Medical Image Processing: Overview, Challenges and Future, Deep Learning for Medical Imaging, (2020); Litjens Geert, Kooi Thijs, Bejnordi Babak Ehteshami, Setio Arnaud Arindra Adiyoso, Ciompi Francesco, Ghafoorian Mohsen, van der Laak Jeroen A.W.M., van Ginneken Bram, Sanchez Clara I., A survey on deep learning in medical image analysis, Medical Image Analysis, 42, (2017); Singh Astha, Boaddh Jayshree, Samar Jashwant, A Survey on Digital Image Retrieval Technique and Visual Features Authors, IJSRET, 7, 1; Lundervold Alexander Selvikvag, Lundervold Arvid, An overview of deep learning in medical imaging focusing on MRI, Zeitschrift für Medizinische Physik, 29, 2, (2019); Masud Mehedi, Alhumyani Hesham, Alshamrani Sultan S., Cheikhrouhou Omar, Ibrahim Saleh, Muhammad Ghulam, Shamim Hossain M., Shorfuzzaman Mohammad, Leveraging Deep Learning Techniques for Malaria Parasite Detection Using Mobile Application, Wireless Communications and Mobile Computing, (2020); Fuhad K.M.F., Tuba J.F., Sarker M.R.A., Momen S., Mohammed N., Rahman T., Deep Learning-Based Automatic Malaria Parasite Detection from Blood Smear and Its Smartphone-Based Application, Diagnostics, (2020); Pattanaik P. A., Mittal M., Khan M. Z., Unsupervised Deep Learning CAD Scheme for the Detection of Malaria in Blood Smear Microscopic Images, IEEE Access, 8, pp. 94936-94946, (2020); Sahni P., Mittal N., Breast Cancer Detection Using Image Processing Techniques, Advances in Interdisciplinary Engineering, Lecture Notes in Mechanical Engineering, (2019); Wang Y., Deeply-Supervised Networks With Threshold Loss for Cancer Detection in Automated Breast Ultrasound, IEEE Transactions on Medical Imaging, 39, 4, pp. 866-876, (2020); Zheng J., Lin D., Gao Z., Wang S., He M., Fan J., Deep Learning Assisted Efficient AdaBoost Algorithm for Breast Cancer Detection and Early Diagnosis, IEEE Access, 8, pp. 96946-96954, (2020); Jain Shivangi, jagtap Vandana, Pise Nitin, Computer-Aided Melanoma Skin Cancer Detection Using Image Processing, Procedia Computer Science, 48, (2015); Kalwa U., Legner C., Kong T., Pandey S., Skin Cancer Diagnostics with an All-Inclusive Smartphone Application, Symmetry, 11, (2019); Ottom Mohammad Ashraf, Convolutional Neural Network for Diagnosing Skin Cancer, International Journal of Advanced Computer Science and Applications, 10, 7, (2019); Srivastava Divya, Wadhvani Rajesh, Gyanchandani Manasi, A Review: Color Feature Extraction Methods for Content-Based Image Retrieval, IJCEM International Journal of Computational Engineering &amp; Management, 18, 3, (2015); Sarker Iqbal H., Content-based Image Retrieval Using Haar Wavelet Transform and Color Moment, The Smart Computing Review, 3, 3, (2013); Muramatsu Naoya, Yu Hai-Tao, Combining SNN and ANN for enhanced image classification, Neural and Evolutionary Computing, (2021); Kim Taeyoon, Et al., Spiking Neural Network (SNN) With Memristor Synapses Having Non-linear Weight Update, Frontiers in Computational science, (2021); Schliebs S, Kasabov N., Evolving spiking neural networks: A Survey, (2013); Wysoski S. G., Benuskova L., Kasabov N., Fast and adaptive network of spiking neurons for multi-view visual pattern recognition, Neurocomputing, 71, 13, pp. 2563-2575, (2008); Rafi Taki Hasan, A Brief Review on Spiking Neural Network - A Biological Inspiration; Vijayalakshmi D., Nath M.K., Acharya O.P., A Comprehensive Survey on Image Contrast Enhancement Techniques in Spatial Domain, Sens Imaging, 21, 40, (2020); Srivastava Varun, Purwar Ravindra Kumar, A Five-Level Wavelet Decomposition and Dimensional Reduction Approach for Feature Extraction and Classification of MR and CT Scan Images, Applied Computational Intelligence and Soft Computing, (2017); Tavanaei Amirhossein, Maida Anthony S., A Minimal Spiking Neural Network to Rapidly Train and Classify Handwritten Digits in Binary and 10-Digit Tasks, (IJARAI) International Journal of Advanced Research in Artificial Intelligence, 4, 7, (2015); Bose Pritam, Kasabov Nikola K., Bruzzone Lorenzo, Hartono Reggio N., Spiking Neural Networks for Crop Yield Estimation Based on Spatiotemporal Analysis of Image Time Series, IEEE transactions on geoscience and remote sensing, (2016); Quan Quan, Wang Jianxin, Liu Liangliang, An Effective Convolutional Neural Network for Classifying Red Blood Cells in Malaria Diseases, Interdisciplinary Sciences: Computational Life Sciences, (2020)</t>
  </si>
  <si>
    <t xml:space="preserve">A.K. Dehariya; Dept of Computer Engineering, IET, DAVV, Indore, India; email: ashish.mehra3@gmail.com</t>
  </si>
  <si>
    <t xml:space="preserve">Int. J. Eng. Trends Technol.</t>
  </si>
  <si>
    <t xml:space="preserve">2-s2.0-85109328351</t>
  </si>
  <si>
    <t xml:space="preserve">Nakasi R.; Mwebaze E.; Zawedde A.</t>
  </si>
  <si>
    <t xml:space="preserve">Nakasi, Rose (57211255746); Mwebaze, Ernest (36554742800); Zawedde, Aminah (42862661500)</t>
  </si>
  <si>
    <t xml:space="preserve">57211255746; 36554742800; 42862661500</t>
  </si>
  <si>
    <t xml:space="preserve">Mobile-aware deep learning algorithms for malaria parasites and white blood cells localization in thick blood smears</t>
  </si>
  <si>
    <t xml:space="preserve">Effective determination of malaria parasitemia is paramount in aiding clinicians to accurately estimate the severity of malaria and guide the response for quality treatment. Microscopy by thick smear blood films is the conventional method for malaria parasitemia determination. Despite its edge over other existing methods of malaria parasitemia determination, it has been critiqued for being laborious, time consuming and equally requires expert knowledge for an efficient manual quantification of the parasitemia. This pauses a big challenge to most low developing countries as they are not only highly endemic but equally low resourced in terms of technical personnel in medical laboratories This study presents an end-to-end deep learning approach to automate the localization and count of P.falciparum parasites and White Blood Cells (WBCs) for effective parasitemia determination. The method involved building computer vision models on a dataset of annotated thick blood smear images. These computer vision models were built based on pre-trained deep learning models including Faster Regional Convolutional Neural Network (Faster R-CNN) and Single Shot Multibox Detector (SSD) models that help process the obtained digital images. To improve model performance due to a limited dataset, data augmentation was applied. Results from the evaluation of our approach showed that it reliably detected and returned a count of parasites and WBCs with good precision and recall. A strong correlation was observed between our model-generated counts and the manual counts done by microscopy experts (posting a spear man correlation of ρ = 0.998 for parasites and ρ = 0.987 for WBCs). Additionally, our proposed SSD model was quantized and deployed on a mobile smartphone-based inference app to detect malaria parasites and WBCs in situ. Our proposed method can be applied to support malaria diagnostics in settings with few trained Microscopy Experts yet constrained with large volume of patients to diagnose. © 2021 by the authors. Licensee MDPI, Basel, Switzerland.</t>
  </si>
  <si>
    <t xml:space="preserve">Algorithms</t>
  </si>
  <si>
    <t xml:space="preserve">10.3390/a14010017</t>
  </si>
  <si>
    <t xml:space="preserve">https://www.scopus.com/inward/record.uri?eid=2-s2.0-85099779949&amp;doi=10.3390%2fa14010017&amp;partnerID=40&amp;md5=3c6517ef01041d2c79b1b62d55cc778a</t>
  </si>
  <si>
    <t xml:space="preserve">Department of Computer Science, College of Computing and Infromation Sciences, Makerere University, Kampala P.O. Box 7062, Uganda; Sunbird AI, Kampala P.O. Box 11296, Uganda; Department of Information Technology, College of Computing and Infromation Sciences, Makerere University, Kampala P.O. Box 7062, Uganda</t>
  </si>
  <si>
    <t xml:space="preserve">Nakasi R., Department of Computer Science, College of Computing and Infromation Sciences, Makerere University, Kampala P.O. Box 7062, Uganda; Mwebaze E., Sunbird AI, Kampala P.O. Box 11296, Uganda; Zawedde A., Department of Information Technology, College of Computing and Infromation Sciences, Makerere University, Kampala P.O. Box 7062, Uganda</t>
  </si>
  <si>
    <t xml:space="preserve">Deep learning; Faster R-CNN; Parasite count; Parasitemia determination; Smartphone deployment; SSD MobileNet; Thick blood smear; White blood cell count</t>
  </si>
  <si>
    <t xml:space="preserve">Blood; Cells; Computer vision; Convolutional neural networks; Developing countries; Diagnosis; Diseases; Laboratories; Learning algorithms; mHealth; Smartphones; Conventional methods; Data augmentation; Medical laboratories; Model performance; Precision and recall; Strong correlation; Technical personnel; White blood cells; Deep learning</t>
  </si>
  <si>
    <t xml:space="preserve">Styrelsen för Internationellt Utvecklingssamarbete, Sida; European Commission, EC; European and Developing Countries Clinical Trials Partnership, EDCTP; Makerere University, MAK, (51180060)</t>
  </si>
  <si>
    <t xml:space="preserve">Funding: The first author of this study was funded in part by the Swedish International Development Cooperation Agency (SIDA) and Makerere University under SIDA Contribution No.: 51180060. The grant is part of the European and Developing Countries Clinical Trials Partnership (EDCTP2) programme supported by the European Union.</t>
  </si>
  <si>
    <t xml:space="preserve">World Malaria Report, (2018); Omeara W.P., Mckenzie F.E., Magill A., Forney J., Permpanich B., Lucas C., Gasser R., Wongsrichanalai C., Sources of variability in determing malaria parasite density by microscopy, Am. J. Trop. Med. Hyg, 73, pp. 593-598, (2005); Guidelines for Treatment of Malaria, (2015); Kilian A., Metzger W., Mutschelknauss E., Kabagambe G., Langi P., Korte R., von Sonnenburg F., Reliability of malaria microscopy in epidemiological studies: results of quality control, Trop. Med. Int. Health, 5, pp. 3-8, (2000); Yang F., Poostchi M., Yu H., Zhou Z., Silamut K., Yu J., Maude R.J., Jaeger S., Antani S., Deep Learning for Smartphone-Based Malaria Parasite Detection in Thick Blood Smears, IEEE J. Biomed. Health Inform, 24, pp. 1427-1438, (2020); Goodfellow I., Bengio Y., Courville A., Deep Learning, (2016); Kelly C., Karthikesalingam A., Suleyman M., Corrado G., King D., Key challenges for delivering clinical impact with artificial intelligence, BMC Med, 17, (2019); Lu Y., Transfer Learning for Image Classification, (2017); Razavian A., Azizpour H., Sullivan J., Carlsson S., CNN features off-the-shelf: An astounding baseline for recognition, Proceedings of the 2014 IEEE Conference on Computer Vision and Pattern Recognition Workshops, pp. 806-813; Cheplygina V., de Bruijne M., Pluim J., Not-so-supervised: A survey of semi-supervised, multi-instance, and transfer learning in medical image analysis, (2018); Lin T., Maire M., Belongie S., Hays J., Perona P., Ramanan D., Dollar P., Zitnick C.L., Microsoft coco: Common objects in context, Proceedings of the European Conference on Computer Vision, pp. 740-755; Sio S., Sun W., Kumar S., Bin W., Tan S., Ong S., Kikuchi H., Oshima Y., Tan K., MalariaCount: An image analysis-based program for the accurate determination of parasitemia, J. Microbiol. Methods, 68, pp. 11-18, (2007); Savkare S., Narote S., Automatic Detection of Malaria Parasites for Estimating, Int. J. Comput. Sci. Secur, 5, (2011); Poostchi M., Ersoy I., McMenamin K., Gordon E., Palaniappan N., Pierce S., Maude R., Bansal A., Srinivasan P., Miller L., Et al., Malaria parasite detection and cell counting for human and mouse using thin blood smear microscopy, J. Med. Imaging, 5, (2018); Rosado L., Correia da Costa L., Elias J., Cardoso D., A Review of Automatic Malaria Parasites Detection and Segmentation in Microscopic Images, Anti Infect. Agents, 14, pp. 11-22, (2016); Informal Consultation on Quality Control of Malaria Microscopy, (2006); Bejon P., Andrews L., Hunt-Cooke A., Sanderson F., Gilbert S., Hill A., Thick blood film examination for Plasmodium falciparum malaria has reduced sensitivity and underestimates parasite density, Malar. J, 5, (2006); Frean J., Reliable enumeration of malaria parasites in thick blood films using digital image analysis, Malar. J, 8, (2009); Bengio Y., Vincent P., Courville A., Representation learning: A review and new perspectives, IEEE Trans. Pattern Anal. Mach. Intell, 35, pp. 1798-1828, (2013); Litjens G., Thijs K., Babak E.B., Arnaud A.A.S., Francesco C., Mohsen G., Jeroen A.L., Bram V.G., Clara I.S., A survey on deep learning in medical image analysis, Med. Image Anal, 42, pp. 60-88, (2017); Najafabadi M., Villanustre F., Khoshgoftaar T., Seliya N., Wald R., Muharemagic E., Deep learning applications and challenges in big data analytics, J. Big Data, 2, (2015); Nakasi R., Mwebaze E., Zawedde A., Tusubira F., Akera B., Maiga G., A new approach for microscopic diagnosis of malaria parasites in thick blood smears using pre-trained deep learning models, SN Appl. Sci, 2, (2020); Quinn J., Nakasi R., Mugagga P., Byanyima P., Lubega W., Andama A., Deep Convolutional Neural Metworks for Microscopy-Based Point of Care Diagnosis, Proceedings of the Machine Learning for Healthcare Conference, 50, (2016); Tzutalin D., LabelImg, (2015); Everingham M., Eslami S.M.A., Gool L.V., Williams C.K.I., Winn J., Zisserman A., The pascal visual object classes challenge: A retrospective, Int. J. Comput. Vis, 111, pp. 98-136, (2015); Large-Scale Machine Learning on Heterogeneous Systems; Ren S., He K., Girshick R., Sun J., Faster R-CNN: Towards Real-Time Object Detection with Region Proposal Networks, IEEE Trans. Pattern Anal. Mach. Intell, 39, pp. 1137-1149, (2015); Liu W., Anguelov D., Erhan D., Szegedy C., Reed S., Fu C., Berg A., SSD: Single Shot MultiBox Detector, Proceedings of the European Conference on Computer Vision—ECCV, pp. 21-37; Sa B., Owens W., Wiegand R., Studin M., Capoferri D., Barooha K., Greaux A., Rattray R., Hutton A., Cintineo J., Intervertebral disc detection in x-ray images using faster r-cnn, Proceedings of the 39th Annual International Conference of the IEEE Engineering in Medicine and Biology Society (EMBC), pp. 564-567; Sun X., Wu P., Hoi S., Face detection using deep learning: An improved faster rcnn approach, Neurocomputing, 299, pp. 42-50, (2018); Yang L., Sang N., Gao C., Vehicle parts detection based on faster-rcnn with location constraints of vehicle parts feature point, Pattern Recognition and Computer Vision; International Society for Optics and Photonics, 10609, (2017); Nguyen S., Do T., Ngo T., Le D.D., An Evaluation of Deep Learning Methods for Small Object Detection, J. Electr. Comput. Eng, 2020, (2020); He K., Zhang X., Ren S., Sun J., Deep residual learning for image recognition, Proceedings of the IEEE Conference on Computer Vision and Pattern Recognition, pp. 770-778, (2016); Howard A.G., MobileNets: Efficient Convolutional Neural Networks for Mobile Vision Applications, (2018); Huang J., Rathod V., Sun C., Zhu M., Korattikara A., Fathi A., Fischer I., Wojna Z., Song Y., Guadarrama S., Et al., Speed/accuracy trade-offs for modern convolutional object detectors, Proceedings of the CVPR, (2017); Shin H., Roth H., Gao M., Lu L., Xu Z., Nogues I., Yao J., Mollura D., Summers R.M., Deep convolutional neural net-works for computer-aided detection: Cnn architectures, dataset characteristics and transfer learning, IEEE Trans. Med. Imaging, 35, pp. 1285-1298, (2016); Dogo E., Afolabi O., Twala B., Nwulu N., A Comparative Analysis of Gradient Descent-Based Optimization Algorithms on Convolutional Neural Networks, Proceedings of the 2018 International Conference on Computational Techniques, Electronics and Mechanical Systems (CTEMS); Yadav N., Binay U., Comparative Study of Object Detection Algorithms, Int. Res. J. Eng. Technol, 4, pp. 586-591, (2017); Cartucho J., mAP, (2019); Pascal VOC, (2019); Sanchez S.A., Romero H.J., Morales A.D., A review: Comparison of performance metrics of pre-trained models for object detection using the TensorFlow framework, IOP Conference Series: Materials Science and Engineering, 844, (2020); Soviany P., Ionescu R.T., Optimizing the Trade-off between Single-Stage and Two-Stage Deep Object Detectors using Image Difficulty Prediction, (2018); Malaria Parasite Counting, (2009); Kloub A., Methods of Estimating and Counting Malaria Parasites Density, EC Microbiol, 15, pp. 800-803, (2019); Garcia L., Parasitemia Determined from Conventional Light Microscopy: Clinical Correlation and Interpretation, (2015); Farhoodfar A., Machine Learning for Mobile Developers: Tensorflow Lite Framework, (2019)</t>
  </si>
  <si>
    <t xml:space="preserve">R. Nakasi; Department of Computer Science, College of Computing and Infromation Sciences, Makerere University, Kampala P.O. Box 7062, Uganda; email: g.nakasirose@gmail.com</t>
  </si>
  <si>
    <t xml:space="preserve">2-s2.0-85099779949</t>
  </si>
  <si>
    <t xml:space="preserve">Madugula S.S.; John L.; Nagamani S.; Gaur A.S.; Poroikov V.V.; Sastry G.N.</t>
  </si>
  <si>
    <t xml:space="preserve">Madugula, Sita Sirisha (57190065729); John, Lijo (57213491284); Nagamani, Selvaraman (6507341403); Gaur, Anamika Singh (57194518126); Poroikov, Vladimir V. (7004294720); Sastry, G. Narahari (55664734300)</t>
  </si>
  <si>
    <t xml:space="preserve">57190065729; 57213491284; 6507341403; 57194518126; 7004294720; 55664734300</t>
  </si>
  <si>
    <t xml:space="preserve">Molecular descriptor analysis of approved drugs using unsupervised learning for drug repurposing</t>
  </si>
  <si>
    <t xml:space="preserve">Machine learning and data-driven approaches are currently being widely used in drug discovery and development due to their potential advantages in decision-making based on the data leveraged from existing sources. Applying these approaches to drug repurposing (DR) studies can identify new relationships between drug molecules, therapeutic targets and diseases that will eventually help in generating new insights for developing novel therapeutics. In the current study, a dataset of 1671 approved drugs is analyzed using a combined approach involving unsupervised Machine Learning (ML) techniques (Principal Component Analysis (PCA) followed by k-means clustering) and Structure-Activity Relationships (SAR) predictions for DR. PCA is applied on all the two dimensional (2D) molecular descriptors of the dataset and the first five Principal Components (PC) were subsequently used to cluster the drugs into nine well separated clusters using k-means algorithm. We further predicted the biological activities for the drug-dataset using the PASS (Predicted Activities Spectra of Substances) tool. These predicted activity values are analyzed systematically to identify repurposable drugs for various diseases. Clustering patterns obtained from k-means showed that every cluster contains subgroups of structurally similar drugs that may or may not have similar therapeutic indications. We hypothesized that such structurally similar but therapeutically different drugs can be repurposed for the native indications of other drugs of the same cluster based on their high predicted biological activities obtained from PASS analysis. In line with this, we identified 66 drugs from the nine clusters which are structurally similar but have different therapeutic uses and can therefore be repurposed for one or more native indications of other drugs of the same cluster. Some of these drugs not only share a common substructure but also bind to the same target and may have a similar mechanism of action, further supporting our hypothesis. Furthermore, based on the analysis of predicted biological activities, we identified 1423 drugs that can be repurposed for 366 new indications against several diseases. In this study, an integrated approach of unsupervised ML and SAR analysis have been used to identify new indications for approved drugs and the study provides novel insights into clustering patterns generated through descriptor level analysis of approved drugs. © 2021 Elsevier Ltd</t>
  </si>
  <si>
    <t xml:space="preserve">10.1016/j.compbiomed.2021.104856</t>
  </si>
  <si>
    <t xml:space="preserve">https://www.scopus.com/inward/record.uri?eid=2-s2.0-85115177844&amp;doi=10.1016%2fj.compbiomed.2021.104856&amp;partnerID=40&amp;md5=04b6377b85b82de31774ccf0425b4fe5</t>
  </si>
  <si>
    <t xml:space="preserve">Centre for Molecular Modeling, CSIR-Indian Institute of Chemical Technology, Hyderabad, 500007, India; Academy of Scientific and Innovative Research (AcSIR), Ghaziabad, 201002, India; Advanced Computation and Data Sciences Division, CSIR – North East Institute of Science and Technology, Jorhat, 785 006, Assam, India; Laboratory for Structure-Function Drug Design, Institute of Biomedical Chemistry, Moscow, 119121, Russian Federation</t>
  </si>
  <si>
    <t xml:space="preserve">Madugula S.S., Centre for Molecular Modeling, CSIR-Indian Institute of Chemical Technology, Hyderabad, 500007, India, Academy of Scientific and Innovative Research (AcSIR), Ghaziabad, 201002, India; John L., Centre for Molecular Modeling, CSIR-Indian Institute of Chemical Technology, Hyderabad, 500007, India, Academy of Scientific and Innovative Research (AcSIR), Ghaziabad, 201002, India; Nagamani S., Academy of Scientific and Innovative Research (AcSIR), Ghaziabad, 201002, India, Advanced Computation and Data Sciences Division, CSIR – North East Institute of Science and Technology, Jorhat, 785 006, Assam, India; Gaur A.S., Centre for Molecular Modeling, CSIR-Indian Institute of Chemical Technology, Hyderabad, 500007, India, Academy of Scientific and Innovative Research (AcSIR), Ghaziabad, 201002, India, Advanced Computation and Data Sciences Division, CSIR – North East Institute of Science and Technology, Jorhat, 785 006, Assam, India; Poroikov V.V., Laboratory for Structure-Function Drug Design, Institute of Biomedical Chemistry, Moscow, 119121, Russian Federation; Sastry G.N., Academy of Scientific and Innovative Research (AcSIR), Ghaziabad, 201002, India, Advanced Computation and Data Sciences Division, CSIR – North East Institute of Science and Technology, Jorhat, 785 006, Assam, India</t>
  </si>
  <si>
    <t xml:space="preserve">Approved drugs; Clustering; Dimensionality reduction; Drug repurposing; PASS; Unsupervised learning</t>
  </si>
  <si>
    <t xml:space="preserve">Cluster Analysis; Drug Repositioning; Machine Learning; Pharmaceutical Preparations; Unsupervised Machine Learning; Decision making; K-means clustering; Principal component analysis; Unsupervised learning; aceclofenac; acepromazine; afamelanotide; alclofenac; alfacalcidol; alkylating agent; alvimopan; amantadine; amcinonide; aminocaproic acid; aminoglycoside antibiotic agent; analgesic agent; anesthetic agent; anidulafungin; anileridine; antiallergic agent; anticoagulant agent; anticonvulsive agent; antidiabetic agent; antidiarrheal agent; antidiuretic agent; antihypertensive agent; antiinfective agent; antiinflammatory agent; antileukemic agent; antimutagenic agent; antineoplastic agent; antineoplastic antimetabolite; antiparkinson agent; antiprotozoal agent; antiretrovirus agent; antivirus agent; anxiolytic agent; arbutin; artemether; artemisinin; artemisinin derivative; artesunate; bepotastine; beta lactam antibiotic; beta lactamase; bisacodyl; bromfenac; bromocriptine; bupivacaine; carbinoxamine; carboplatin; caspofungin; cefaclor; cefadroxil; cefalexin; cefaloglycin; cefaloridine; cefalotin; cefamandole; cefapirin; cefazolin; cefdinir; cefditoren; cefepime; cefixime; cefmenoxime; cefmetazole; cefonicid; cefoperazone; ceforanide; cefotaxime; cefotetan; cefotiam; cefoxitin; cefpiramide; cefpodoxime; cefprozil; cefradine; ceftaroline fosamil; ceftazidime; ceftibuten; ceftizoxime; ceftriaxone; cefuroxime; central nervous system agents; central stimulant agent; cephalosporin; ceruletide; chlorothiazide; chlorpheniramine; chlorpromazine; chlorprothixene; cholecystokinin octapeptide; cholic acid; cisplatin; clavulanic acid; clobetasone; clozapine; contraceptive agent; corticosteroid; cyproterone acetate; cytarabine; dalbavancin; daunorubicin; deferiprone; desmopressin; dexbrompheniramine; dexketoprofen; diazoxide; diclofenac; dihydroergotamine; dimetotiazine; disopyramide; diuretic agent; doxylamine; drostanolone; dutasteride; dydrogesterone; ergotamine; ethionamide; everolimus; expectorant agent; felypressin; fenofibric acid; finasteride; floxuridine; fludrocortisone; flumetasone; fluoxymesterone; flupentixol; fluphenazine; gatifloxacin; gemcitabine; glucosamine; glyceryl trinitrate; gonadorelin; goserelin; hydrocortamate; hydrocortisone; hydroxyprogesterone; hydroxyprogesterone caproate; hypocholesterolemic agent; idoxuridine; imidazole; isoniazid; isosorbide dinitrate; isosorbide mononitrate; ketoprofen; levetiracetam; levobupivacaine; lipoglycopeptide; lumiracoxib; macrolide; meclofenamic acid; medrogestone; medrysone; mefenamic acid; megestrol acetate; memantine; mepivacaine; mercaptopurine; metaraminol; methyltestosterone; micafungin; monobactam derivative; moracizine; nandrolone decanoate; nandrolone phenpropionate; narcotic analgesic agent; nedaplatin; neocobefrin; nepafenac; neuroleptic agent; nonsteroid antiinflammatory agent; norethisterone; norgestimate; olanzapine; opiate; oxaliplatin; oxymetholone; penicillin derivative; phenindamine; phenothiazine; phenothiazine derivative; piracetam; pralidoxime; prednisolone; prednisone; progesterone; prostaglandin E1; prostaglandin synthase inhibitor; rapamycin; rifampicin; rifamycin derivative; rifapentine; rifaximin; ropivacaine; sedative agent; stavudine; stepronin; streptozocin; sulbactam; sulfanilamide; sulfonamide; telavancin; telbivudine; temsirolimus; terlipressin; testosterone; testosterone enantate; tetracycline; tioguanine; tiotixene; tixocortol; tolfenamic acid; triazolobenzodiazepine derivative; trifluoperazine; trifluridine; trilostane; triptorelin; tuberculostatic agent; unclassified drug; vancomycin; vasoactive agent; vasodilator agent; zalcitabine; zidovudine; zileuton; zuclopenthixol; drug; Approved drug; Clusterings; Dimensionality reduction; Drug repurposing; Molecular descriptors; Predicted activity spectrum of substance; Principal-component analysis; Repurposing; Spectra's; Unsupervised machine learning; Addison disease; adenomatous polyp; adrenal cortex insufficiency; allergic conjunctivitis; allergic reaction; allergic rhinitis; allergy; alopecia; Alzheimer disease; androgen deficiency; anemia; angina pectoris; antimutagenic activity; anxiety disorder; Article; aseptic meningitis; asthma; atherosclerosis; attention deficit disorder; bile acid synthesis; biological activity; bipolar disorder; bleeding; breast cancer; Chagas disease; chemical structure; chronic obstructive lung disease; common cold; congenital adrenal hyperplasia; congenital heart malformation; conjunctivitis; constipation; Crohn disease; Cushing syndrome; cystic fibrosis; degenerative disease; dementia; depression; dermatitis; dermatomyositis; diarrhea; drug approval; drug repositioning; eczema; encephalitis; endometriosis; endometrium cancer; epilepsy; episcleritis; eye irritation; female infertility; Gaucher disease; graft rejection; headache; heart arrhythmia; heart ventricle tachycardia; Helicobacter infection; hematologic disease; hepatitis A; hepatitis B; hepatitis C; herpes simplex; herpes zoster; human; Human immunodeficiency virus infection; Huntington chorea; hyperammonemia; hypertension; hyperthermia; hypoglycemia; hypogonadism; hypotension; inflammation; influenza A; insomnia; iritis; k means clustering; leishmaniasis; malaria falciparum; malignant neoplasm; melanogenesis; menopausal syndrome; menorrhagia; metabolic disorder; migraine; mood disorder; mucosa inflammation; multiple sclerosis; muscular dystrophy; myasthenia gravis; mycobacteriosis; neurologic disease; non insulin dependent diabetes mellitus; obesity; organophosphate poisoning; osteoarthritis; otitis; pancreas cancer; parasitosis; Parkinson disease; Plasmodium vivax malaria; pollen allergy; postoperative pain; poxvirus infection; premature labor; principal component analysis; prion disease; prostate carcinoma; prostate hypertrophy; psoriasis; psoriatic arthritis; rare disease; rhinitis; rosacea; schizophrenia; sclerosis; seborrheic dermatitis; senile dementia; sickle cell anemia; skin disease; skin infection; structure activity relation; traveller diarrhea; trichomoniasis; tuberculosis; unsupervised machine learning; urticaria; vitamin D deficiency; Wilson disease; yellow fever; cluster analysis; machine learning; unsupervised machine learning; Bioactivity</t>
  </si>
  <si>
    <t xml:space="preserve">aceclofenac, 89796-99-6; acepromazine, 61-00-7; afamelanotide, 75921-69-6, 1566590-77-9; alclofenac, 22131-79-9, 24049-18-1; alfacalcidol, 41294-56-8; alvimopan, 156053-89-3; amantadine, 665-66-7, 768-94-5; amcinonide, 51022-69-6; aminocaproic acid, 1319-82-0, 60-32-2; anidulafungin, 166663-25-8; anileridine, 126-12-5, 144-14-9; arbutin, 497-76-7; artemether, 71963-77-4; artemisinin, 63968-64-9; artesunate, 82864-68-4, 88495-63-0; bepotastine, 125602-71-3, 190786-43-7, 190786-44-8; beta lactamase, 9073-60-3; bisacodyl, 603-50-9; bromfenac, 91714-94-2, 120638-55-3, 91714-93-1; bromocriptine, 25614-03-3; bupivacaine, 18010-40-7, 2180-92-9, 55750-21-5, 38396-39-3, 73360-54-0, 27262-45-9; carbinoxamine, 486-16-8; carboplatin, 41575-94-4; caspofungin, 189768-38-5; cefaclor, 53994-73-3; cefadroxil, 50370-12-2; cefalexin, 15686-71-2, 23325-78-2; cefaloglycin, 22202-75-1, 3577-01-3; cefaloridine, 50-59-9; cefalotin, 153-61-7, 58-71-9; cefamandole, 30034-03-8, 34444-01-4; cefapirin, 21593-23-7, 24356-60-3; cefazolin, 25953-19-9, 27164-46-1; cefdinir, 91832-40-5; cefditoren, 104146-53-4; cefepime, 88040-23-7; cefixime, 79350-37-1; cefmenoxime, 65085-01-0, 75738-58-8; cefmetazole, 56796-20-4, 56796-39-5; cefonicid, 61270-58-4, 61270-78-8; cefoperazone, 62893-19-0, 62893-20-3; ceforanide, 60925-61-3; cefotaxime, 63527-52-6, 64485-93-4; cefotetan, 69712-56-7, 74356-00-6; cefotiam, 61622-34-2, 66309-69-1; cefoxitin, 33564-30-6, 35607-66-0; cefpiramide, 70797-11-4, 74849-93-7; cefpodoxime, 82619-04-3; cefprozil, 92665-29-7; cefradine, 38821-53-3, 57584-26-6; ceftaroline fosamil, 229016-73-3, 400827-79-4, 595568-96-0, 866021-48-9, 1134503-56-2, 1210978-33-8, 400827-46-5, 400827-55-6; ceftazidime, 72558-82-8; ceftibuten, 97519-39-6; ceftizoxime, 68401-81-0, 68401-82-1; ceftriaxone, 73384-59-5, 74578-69-1; cefuroxime, 55268-75-2, 56238-63-2; cephalosporin, 11111-12-9; ceruletide, 17650-98-5; chlorothiazide, 58-94-6, 7085-44-1; chlorpheniramine, 132-22-9; chlorpromazine, 50-53-3, 69-09-0; chlorprothixene, 113-59-7, 6469-93-8; cholecystokinin octapeptide, 25126-32-3; cholic acid, 32500-01-9, 361-09-1, 81-25-4; cisplatin, 15663-27-1, 26035-31-4, 96081-74-2; clavulanic acid, 58001-44-8; clobetasone, 54063-32-0; clozapine, 5786-21-0; cyproterone acetate, 427-51-0; cytarabine, 147-94-4, 69-74-9; dalbavancin, 171500-79-1; daunorubicin, 12707-28-7, 20830-81-3, 23541-50-6, 371770-68-2; deferiprone, 30652-11-0; desmopressin, 16679-58-6, 62288-83-9, 62357-86-2; dexbrompheniramine, 132-21-8, 2391-03-9; dexketoprofen, 22161-81-5; diazoxide, 364-98-7; diclofenac, 15307-79-6, 15307-86-5; dihydroergotamine, 511-12-6; dimetotiazine, 7456-24-8; disopyramide, 3737-09-5; doxylamine, 469-21-6, 562-10-7, 7047-26-9; drostanolone, 3232-69-7, 58-19-5; dutasteride, 164656-23-9; dydrogesterone, 152-62-5; ergotamine, 113-15-5, 52949-35-6; ethionamide, 536-33-4; everolimus, 159351-69-6; felypressin, 56-59-7; fenofibric acid, 26129-32-8, 42017-89-0; finasteride, 98319-26-7; floxuridine, 50-91-9; fludrocortisone, 127-31-1; flumetasone, 2135-17-3; fluoxymesterone, 76-43-7; flupentixol, 2413-38-9, 2709-56-0; fluphenazine, 146-56-5, 69-23-8; gatifloxacin, 112811-59-3, 180200-66-2; gemcitabine, 103882-84-4; glucosamine, 3416-24-8, 4607-22-1; glyceryl trinitrate, 55-63-0, 80738-44-9; gonadorelin, 33515-09-2, 9034-40-6; goserelin, 65807-02-5; hydrocortamate, 76-47-1; hydrocortisone, 50-23-7; hydroxyprogesterone, 68-96-2; hydroxyprogesterone caproate, 630-56-8; idoxuridine, 54-42-2; imidazole, 1467-16-9, 288-32-4; isoniazid, 54-85-3, 62229-51-0, 65979-32-0; isosorbide dinitrate, 87-33-2; isosorbide mononitrate, 1320-91-8, 16051-77-7; ketoprofen, 22071-15-4, 57495-14-4; levetiracetam, 102767-28-2; levobupivacaine, 27262-47-1, 27262-48-2; lumiracoxib, 220991-20-8; meclofenamic acid, 644-62-2; medrogestone, 977-79-7; medrysone, 2668-66-8; mefenamic acid, 61-68-7; megestrol acetate, 595-33-5; memantine, 19982-08-2, 41100-52-1, 51052-62-1; mepivacaine, 1722-62-9, 96-88-8; mercaptopurine, 31441-78-8, 50-44-2, 6112-76-1; metaraminol, 33402-03-8, 54-49-9; methyltestosterone, 58-18-4; micafungin, 208538-73-2; moracizine, 29560-58-5, 31883-05-3; nandrolone decanoate, 360-70-3; nandrolone phenpropionate, 62-90-8; nedaplatin, 95734-82-0; neocobefrin, 829-74-3; nepafenac, 78281-72-8; norethisterone, 68-22-4; norgestimate, 35189-28-7; olanzapine, 132539-06-1; opiate, 53663-61-9, 8002-76-4, 8008-60-4; oxaliplatin, 61825-94-3; oxymetholone, 434-07-1; phenindamine, 82-88-2, 569-59-5; phenothiazine, 92-84-2; piracetam, 7491-74-9; pralidoxime, 6735-59-7; prednisolone, 50-24-8; prednisone, 53-03-2; progesterone, 57-83-0; prostaglandin E1, 745-65-3; rapamycin, 53123-88-9; rifampicin, 13292-46-1; rifapentine, 61379-65-5; rifaximin, 80621-81-4, 88747-56-2; ropivacaine, 84057-95-4; stavudine, 3056-17-5; stepronin, 72324-18-6; streptozocin, 18883-66-4; sulbactam, 68373-14-8; sulfanilamide, 34612-79-8, 6101-31-1, 63-74-1; telavancin, 372151-71-8, 380636-75-9, 560130-42-9; telbivudine, 3424-98-4; temsirolimus, 162635-04-3, 343261-52-9; terlipressin, 14636-12-5; testosterone, 58-22-0; testosterone enantate, 315-37-7; tetracycline, 23843-90-5, 60-54-8, 64-75-5, 8021-86-1; tioguanine, 154-42-7; tiotixene, 5591-45-7; tixocortol, 61951-99-3; tolfenamic acid, 13710-19-5; trifluoperazine, 117-89-5, 440-17-5; trifluridine, 70-00-8; trilostane, 13647-35-3; triptorelin, 57773-63-4, 140194-24-7; vancomycin, 1404-90-6, 1404-93-9; zalcitabine, 7481-89-2; zidovudine, 30516-87-1; zileuton, 111406-87-2, 132880-11-6, 142606-21-1, 143200-94-6; zuclopenthixol, 53772-83-1; Pharmaceutical Preparations, </t>
  </si>
  <si>
    <r>
      <rPr>
        <sz val="11"/>
        <color theme="1"/>
        <rFont val="Aptos Narrow"/>
        <family val="0"/>
        <charset val="1"/>
      </rPr>
      <t xml:space="preserve">Department of Science and Technology, Ministry of Science and Technology, India, </t>
    </r>
    <r>
      <rPr>
        <sz val="11"/>
        <color theme="1"/>
        <rFont val="Arial Unicode MS"/>
        <family val="0"/>
        <charset val="1"/>
      </rPr>
      <t xml:space="preserve">डीएसटी</t>
    </r>
    <r>
      <rPr>
        <sz val="11"/>
        <color theme="1"/>
        <rFont val="Aptos Narrow"/>
        <family val="0"/>
        <charset val="1"/>
      </rPr>
      <t xml:space="preserve">, (16-45-02012, INT/RUS/RSF/12, SR/WOS-A/CS-1091/2014)</t>
    </r>
  </si>
  <si>
    <t xml:space="preserve">The authors thank DST grant (project No: INT/RUS/RSF/12 ) and RSF grant (project No: 16-45-02012 ) for the financial support. GNS thanks DST for the award of J C Bose National fellowship. MSS thanks DST for the grant (project No: SR/WOS-A/CS-1091/2014 ). VVP thanks for the support by the Russian Federation Fundamental Research Program for the long-term period for 2021–2030. </t>
  </si>
  <si>
    <t xml:space="preserve">Ashburn T.T., Thor K.B., Drug repositioning: identifying and developing new uses for existing drugs, Nat. Rev. Drug Discov., 3, pp. 673-683, (2004); Raju T.N., The nobel chronicles. 1988: james whyte black, (b 1924), gertrude elion (1918-99), and george H hitchings (1905-98), Lancet, 355, (2000); Pammolli F., Magazzini L L., Riccaboni M., The productivity crisis in pharmaceutical R&amp;D, Nat. Rev. Drug Discov., 10, pp. 428-438, (2011); Waring M.J., Arrowsmith J., Leach A.R., Leeson P.D., Mandrell S., Owen R.M., Pairaudeau G., Pennie W.D., Pickett S.D., Wang J., Wallace O., Weir A., An analysis of the attrition of drug candidates from four major pharmaceutical companies, Nat. Rev. Drug Discov., 14, pp. 475-486, (2015); Pushpakom S., Iorio F., Eyers P.A., Escott K.J., Hopper S., Wells A., Doig A., Guilliams T., Latimer J., McNamee C., Norris A., Sanseau P., Cavalla D., Pirmohamed M., Drug repurposing: progress, challenges and recommendations, Nat. Rev. Drug Discov., 1, pp. 41-58, (2019); Chong C.R., Sullivan D.J., New uses for old drugs, Nature, 448, pp. 645-646, (2007); Tambuyzer E., Rare diseases, orphan drugs and their regulation: questions and misconceptions, Nat. Rev. Drug Discov., 9, pp. 921-929, (2010); Wei Z., Wei S., Anton S., Drug repurposing screens and synergistic drug-combinations for infectious diseases, Br. J. Pharmacol., 175, pp. 181-191, (2018); Michael S.K., Eric P., Mark P., Denton H., An analysis of FDA-approved drugs for infectious disease: antibacterial agents, Drug Discov. Today, 19, pp. 1283-1287, (2014); Garcia S.R., Rio R.G.D., Villarejo A.S., Sweet G.D., Cunningham F., Barros D., Ballell L., Losana A.M., Bazaga S.F., J Thompson C., Repurposing clinically approved cephalosporins for tuberculosis therapy, Sci. Rep., 6, (2016); Law G.L., Go J.T., Korth M.J., Katze M.G., Drug repurposing: a better approach for infectious disease drug discovery?, Curr. Opin. Immunol., 5, pp. 588-592, (2013); Maitra A., Sade B., Shaik M., Evangelopoulos D., Abubakar I., Timothy D.M., Marc L., Sanjib B., Repurposing drugs for treatment of tuberculsosis: a role for non-steroidal anti-inflammatory drugs, Br. Med. Bull., 118, pp. 145-155, (2016); Guzman J.D., Evangelopoulos D., Gupta A., Birchall K., Mwaigwisya S., Saxty B., MeHugh T.D., Gibbons S., Malkinson J., Bhakta S., Antitubercular specific activity of ibuprofen and the other 2-arylpropanoic acids using the HT-SPOTi whole-cell phenotypic assay, BMJ Open, 3, (2013); Gayatri R., Nagasuma R., Chandrac S., Narayanaswamy S., Recognizing drug targets using evolutionary information: implications for repurposing FDA-approved drugs against Mycobacterium tuberculosis H37Rv, Mol. Biosyst., 11, (2015); Chambers H.F., Moreau D., Yajko D., Miick C., Wagner C., Hackbarth C., Kocagoz S., Rosenberg E., Hadley W.K., Nikaido H., Antimicrob. Agents Chemother. Can penicillins and other beta-lactam antibiotics be used to treat tuberculosis?, 39, pp. 2620-2624, (1995); Andrews K.T., Fisher G., Skinner-Adams T.S., Drug repurposing and human parasitic protozoan diseases, Int. J. Parasitol. Drugs Drug Resist., 4, pp. 95-111, (2014); Kumar N., Sarma H., Sastry G.N., Repurposing of approved drug molecules for viral infectious diseases: a molecular modelling approach, J. Biomol. Struct. Dyn., 2, pp. 1-17, (2021); Carrella D., Manni I., Tumaini B., Dattilo R., Papaccio F., Mutarelli M., Sirci F., Amoreo C.A., Mottolese M., Lezzi M., Ciolli L., Aria V., Bosotti R., Isacchi A., Loreni F., Bardelli A., Avvedimento V.E., Bernardo D., Cardone L., Computational drugs repositioning identifies inhibitors of oncogenic PI3K/AKT/P70S6K-dependent pathways among FDA-approved compounds, Oncotarget, 7, pp. 58743-58758, (2016); Cabana A., Pisarczyka K., Kopacza K., Kapusniaka K., Toumi K., Remuzatc C., Kornfeldc A., Mark J., Filling the gap in CNS drug development: evaluation of the role of drug repurposing, Access, Health Pol., 5, (2017); Grenier L., Hu P., Computational drug repurposing for inflammatory bowel disease using genetic information, Comput. Struct. Biotechnol. J., 17, pp. 127-135, (2019); Final Recommendation Statement. Aspirin Use to Prevent Cardiovascular Disease and Colorectal Cancer: Preventive Medication, (2017); Rena G., Lang C.C., Repurposing metformin for cardiovascular disease, Circulation, 137, pp. 422-424, (2018); Hanqing X., Jie L., Haozhe X., Yadong W., W. Review of drug repositioning approaches and resources, Int. J. Biol. Sci., 14, pp. 1232-1244, (2018); Brehmer D., Greff Z., Godl K., Blencke S., Kurtenbach A., Weber M., Muller S., Klebl B., Cotton M., Keri G., Wissing J., Daub H., Targets of Gefitinib, Cancer Res., 65, pp. 379-382, (2005); Molina D.M., Jafari R., Ignatushchenko M., Seki T., Larsson A., Dan C., Sreekumar L., Cao Y., Nordlund P., Monitoring drug target engagement in cells and tissues using the cellular thermal shift assay, Science, 341, pp. 84-87, (2013); Wilkinson G.F., Pritchard K., In vitro screening for drug repositioning, J. Biomol. Screen, 2, pp. 167-179, (2015); Jin G., Wong S.T.C., Toward better drug repositioning: prioritizing and integrating existing methods into efficient pipelines, Drug Discov. Today, 19, pp. 637-644, (2014); Hurle M.R., Yang L., Xie Q., Rajpal D.K., Sanseau P., Agarwal P., Computational drug repositioning: from data to therapeutics, Clin. Pharmacol. Ther., 93, pp. 335-341, (2013); Hodos R.A., Kidd B.A., Khader S., Readhead B.P., Dudley J.T., In silico methods for drug repurposing and pharmacology, Wiley Interdiscip. Rev. Syst. Biol. Med., 8, pp. 186-210, (2016); Andronis C., Sharma A., Spyros V.V., Persidis D.A., Literature mining, ontologies and information visualization for drug repurposing, Briefings Bioinf., 12, pp. 357-368, (2011); Joseph M., Simon J., Peter W., Anil W., An integrated data driven approach to drug repositioning using gene-disease associations, PloS One, 11, (2016); Vogrinc D., Kunej T., Drug repositioning: computational approaches and research examples classified according to the evidence level, Discoveries, 5, (2017); Reddy A.S., Pati S.P., Kumar P.P., Pradeep H.N., Sastry G.N., Virtual screening in drug discovery - a computational perspective, Curr. Protein Pept. Sci., 8, pp. 329-351, (2007); Srivastava H.K., Sastry G.N., Molecular dynamics investigation on a series of HIV protease inhibitors: assessing the performance of MM-PBSA and MM-GBSA approaches, J. Chem. Inf. Model., 52, pp. 3088-3098, (2012); Badrinarayan P., Sastry G.N., Virtual high throughput screening in new lead identification, Comb. Chem. High Throughput Screen., 14, pp. 840-860, (2011); Ravindra G.K., Achaiah G., Sastry G.N., Molecular modeling studies of phenoxypyrimidinyl imidazoles as p38 kinase inhibitors using QSAR and docking, Eur. J. Med. Chem., 43, pp. 830-838, (2008); Bohari M.H., Sastry G.N., FDA approved drugs complexed to their targets: evaluating pose prediction accuracy of docking protocols, J. Mol. Model., 18, pp. 4263-4274, (2012); Badrinarayan P., Sastry G.N., Virtual screening filters for the design of type II p38 MAP kinase inhibitors: a fragment-based library generation approach, J. Mol. Graph. Model., 34, pp. 89-100, (2012); Choudhury C., Priyakumar U.D., Sastry G.N., Dynamics based pharmacophore models for screening potential inhibitors of mycobacterial cyclopropane synthase, J. Chem. Inf. Model., 55, pp. 848-860, (2015); Gaur A.S., Nagamani S., Tanneeru K., Druzhilovskiy D., Rudik A., Poroikov V.V., Sastry G.N., Molecular property diagnostic suite for diabetes mellitus (MPDS&lt;sup&gt;DM&lt;/sup&gt;): an integrated web portal for drug discovery and drug repurposing, J. Biomed. Inf., 85, pp. 114-125, (2018); Jha V., Rameshwaram N.R., Janardhan S., Raman R., Sastry G.N., Sharma V., Rao J.S., Kumar D., Mukhopadhyay S., Uncovering structural and molecular dynamics of ESAT-6: β2M interaction: asp53 of human β2-microglobulin is critical for the ESAT-6: β2M complexation, J. Immunol., 203, pp. 1918-1929, (2019); Nagamani S., Sahoo R., Muneeswaran G., Sastry G.N., Data science driven drug repurposing for metabolic disorders, Silico Drug Design, pp. 191-227, (2019); Storz U., How approval history is reflected by a corresponding patent filing strategy, mAbs, 6, pp. 820-837, (2014); Iorio F., Rittman T., Ge H., Menden M., Transcriptional data: a new gateway to drug repositioning?, Drug Discov. Today, 18, pp. 350-357, (2013); Dudley J.T., Deshpande T., Butte A.J., Exploiting drug-disease relationships for computational drug repositioning, Briefings Bioinf., 12, pp. 303-311, (2011); Markey K.A., Ottridge R., Mitchell J.L., Rick C., Woolley R., Ives N., Nightingale P., Sinclair A.J., Assessing the efficacy and safety of an 11β-hydroxysteroid dehydrogenase type 1 inhibitor (AZD4017) in the idiopathic intracranial hypertension drug trial, IIH: DT: clinical methods and design for a phase II randomized controlled trial, JMIR. Res. Protoc., 6, (2017); Schein C.H., Repurposing approved drugs on the pathway to novel therapies, Med. Res. Rev., 40, pp. 586-605, (2020); Franco J.L.M., Drug Repurposing for Epigenetic Targets Guided by Computational Methods, Epi-Informatics Discovery and Development of Small Molecule Epigenetic Drugs and Probes, (2016); Wishart D.S., Knox C., Guo A.C., Shrivastava S., Hassanali M.H., Stothard P., Chang Z., Woolsey J., DrugBank: a comprehensive resource for in silico drug discovery and exploration, Nucleic Acids Res., 34, pp. D668-D672, (2006); Ursu O., Holmes J., Knockel J., Bologa C.J., Yang J.J., Mathias S.L., Nelson S.J., Opera T.I., DrugCentral: online drug compendium, Nucleic Acids Res., 45, pp. D932-D939, (2016); Kim S., Chen J., Cheng T., Gindulyte A., He J., He S., Li Q., Shoemaker B.A., Thiessen P.A., Yu B., Zaslavsky L., Zhang J., Bolton E.E., PubChem 2019 update: improved access to chemical data, Nucleic Acids Res., 47, pp. D1102-D1109, (2016); Li Y.H., Yu C.Y., Li X.X., Zhang O.P., Tang J., Yang Q., Fu T., Zhang X., Cui X., Tu G., Zhang Y., Li S., Yang F., Sun Q., Qin C., Zeng X., Chen Z., Chen Y.Z., Zhu F., Therapeutic target database update 2018: enriched resource for facilitating bench-to-clinic research of targeted therapeutics, Nucleic Acids Res., 46, pp. D1121-D1127, (2018); Junshui M., Sheridan R.P., Liaw A., Dahl G.E., Svetnik V., Deep neural nets as a method for quantitative structure-activity relationships, J. Chem. Inf. Model., 55, pp. 263-274, (2015); Chen H., Engkvist O., Wang Y., Olivecrona M., Blaschke T., The rise of deep learning in drug discovery, Drug Discov. Today, 23, pp. 1241-1250, (2018); Lopez C., Tucker S., Salameh T., Tucker C., An unsupervised machine learning method for discovering patient clusters based on genetic signatures, J. Biomed. Inf., 85, pp. 30-39, (2018); Zhao Z., Qin J., Gou Z., Zhang Y., Yang Y., Biomed J., Inform, Multi-task learning models for predicting active compounds, 108, (2020); Winter R., Montanari F., Noe F., Clevert D.A., Learning continuous and data-driven molecular descriptors by translating equivalent chemical representations, Chem. Sci., 10, pp. 1692-1701, (2019); Mayr A., Klambauer G., Unterthiner T., Hochreiter S., Deeptox: toxicity prediction using deep learning, Front. Environ. Sci., 3, (2016); Lagunin A., Stepanchikova A., Filimonov D., Poroikov V.V., PASS: prediction of activity spectra for biologically active substances, Bioinformatics, 16, pp. 747-748, (2000); Filimonov D.A., Lagunin A.A., Gloriozova T.A., Rudik A.V., Druzhilovskiy D.S., Pogodin P.V., Poroikov V.V., Prediction of the biological activity spectra of organic compounds using the pass online web resource, Chem. Heterocycl. Compd., 50, pp. 444-457, (2014); Filimonov D.A., Druzhilovskiy D.S., Lagunin A.A., Gloriozova T.A., Rudik A.V., Dmitriev A.V., Pogodin P.V., Poroikov V.V., Computer-aided prediction of biological activity spectra for chemical compounds: opportunities and limitations, Biomed. Chem. Res. Methods, 1, (2018); Bezhentsev V.M., Druzhilovskiy D.S., Ivanov S.M., Filimonov D.A., Sastry G.N., Poroikov V.V., Web resources for discovery and development of new medicines, Pharm. Chem. J., 51, pp. 91-99, (2017); Yap C.W., PaDEL-descriptor: an open source software to calculate molecular descriptors and fingerprints, J. Comput. Chem., 32, pp. 1466-1474, (2010); R: A Language and Environment for Statistical Computing, (2017); Kunh M.J., Building predictive models in R using the caret package stat, Software, 28, pp. 1-26, (2008); Alboukadel K., Fabian M., Factoextra: Extract and Visualize the Results of Multivariate, (2017); Poroikov V.V., Filimonov D.A., Gloriozova T.A., Lagunin A.A., Druzhilovskiy D.S., Rudik A.V., Stolbov L.A., Dmitriev A.V., Tarasova O.A., Ivanov S.M., Pogodin P.V., Computer-aided prediction of biological activity spectra for organic compounds: the possibilities and limitations, Russ. Chem. Bull., 68, pp. 2143-2154, (2019); Abdi H., Williams L.J., Principal component analysis WIREs, Comput. Stat., 2, pp. 433-459, (2010); Rothstein D.M., Rifamycins, alone and in combination, Cold Spring Harb. Perspect Med., 6, (2016); Devos D., Moreau C., Devedjian J.C., Kluza J., Petrault M., Laloux C., Jonneaux A., Ryckewaert G., Garcon G., Rouaix N., Duhamel A., Jissendi P., Dujardin K., Auger F., Ravasi L., Hopes L., Grolez G., Firdaus W., Sablonniere B., Strubi-Vuillaume I., Zahr N., Destee A., Corvol J.C., Poltl D., Leist M., Rose C., Defebvre L., Marchetti P., Cabantchik I., Bordet R., Targeting chelatable iron as a therapeutic modality in Parkinson's disease, Antioxidants Redox Signal., 21, pp. 195-210, (2014); Rodriguez J.C., Ruiz M., Lopez M., Royo G., In vitro activity of moxifloxacin, levofloxacin, Gatifloxacin and linezolid against Mycobacterium tuberculosis, Int. J. Antimicrob. Agents, 20, pp. 464-467, (2002); Palomino J.C., Anandi M., Is repositioning of drugs a viable alternative in the treatment of tuberculosis?, Antimicrob. Chemother., 68, pp. 275-283, (2013); Rustomjee R., Lienhardt C., Kanyok T., Davies G.R., Levin J., Mthiyane T., Reddy C., Sturm A.W., Srigel F.A., Allen J., Coleman D.J., Fourie B., Mitchison D.A., Gatifloxacin for TB (OFLOTUB) study team. A phase II study of the sterilising activities of ofloxacin, Gatifloxacin and moxifloxacin in pulmonary tuberculosis, Int. J. Tubercul. Lung Dis., 12, pp. 128-138, (2008); Katherine T.A., Gillian F., Tina S., Skinner A., Drug repurposing and human parasitic protozoan diseases, Int. J. Parasitol. Drugs. Drug. Resist., 4, pp. 95-111, (2014); Thomas E., Romero M.R., Dana G.W., Thomas S., Jose J.G.M., Manfred M., The antiviral activities of Artemisinin and artesunate, Clin. Infect. Dis., 47, pp. 804-811, (2008); Kazimierz G., Barbara B., Katarzyna S., Jerzy L., Antimutagenic activity of fluphenazine in short-term tests, Mutagenesis, 16, pp. 31-38, (2001); Chen M.H., Yang W.R., Lin K.T., Liu C.H., Liu Y.W., Haung K.W., Chang P.M.H., Lai J.M., Hsu C.N., Chao K.M., Kao C.Y., Huang C.Y.F., Expression-based chemical genomics identifies potential therapeutic drugs in hepatocellular carcinoma, PloS One, 6, (2011); Gocke E., Review of the genotoxic properties of chlorpromazine and related phenothiazines, Mutat. Res., 366, pp. 9-21, (1996); Joseph D.K., Luz M.C., Paul D.S., The effect of substituted phenothiazines on the mutagenicity of benzo[a]pyrene, Mutat Res-Fund. Mol M., 80, pp. 259-264, (1981); Poroikov V.V., Druzhilovskiy D., Drug repositioning: new opportunities for older drugs, Silico Drug Design, 1st Edition. Repurposing Techniques and Methodologies, Kunal Roy. Elsevier, pp. 3-17, (2019); Geronikaki A., Kartsev V., Petrou A., Akrivou M.G., Vizirianakis I.S., Chatzopoulou F.M., Lichitsky B., Sirakanyan S., Kostic M., Smiljkovic M., Sokovic M., Druzhilovskiy D., Poroikov V.V., Antibacterial activity of griseofulvin analogues as an example of drug repurposing, Int. J. Antimicrob. Agents, 55, pp. 105884-105895, (2020); Goel R.K., Gawande D.Y., Lagunin A.A., Poroikov V.V., Pharmacological repositioning of Achyranthes aspera as an antidepressant using pharmacoinformatic tools PASS and PharmaExpert: a case study with wet lab validation, SAR QSAR Environ. Res., 29, pp. 69-81, (2018); Lloyd K., Papoutsopoulou S., Smith E., Stegmaier P., Bergey F., Morris L., Kittner M., England H., Spiller D., White M.H.R., Duckworth C.A., Campbell B.J., Poroikov V.V., Martins V.A.P., Santos V.A.P., Kel A., Muller W., Pritchard D.M., Probert C., Burkitt M.D., Using systems medicine to identify a therapeutic agent with potential for repurposing in inflammatory bowel disease, Dis. Model. Mech., 13, pp. 1-12, (2020)</t>
  </si>
  <si>
    <t xml:space="preserve">G.N. Sastry; Advanced Computation and Data Sciences Division, CSIR – North East Institute of Science and Technology, Jorhat, 785 006, India; email: gnsastry@gmail.com</t>
  </si>
  <si>
    <t xml:space="preserve">2-s2.0-85115177844</t>
  </si>
  <si>
    <t xml:space="preserve">Nkiruka O.; Prasad R.; Clement O.</t>
  </si>
  <si>
    <t xml:space="preserve">Nkiruka, Odu (57210745974); Prasad, Rajesh (57191422092); Clement, Onime (57221468173)</t>
  </si>
  <si>
    <t xml:space="preserve">57210745974; 57191422092; 57221468173</t>
  </si>
  <si>
    <t xml:space="preserve">Prediction of malaria incidence using climate variability and machine learning</t>
  </si>
  <si>
    <t xml:space="preserve">Malaria remains a serious obstacle to socio-economic development in Africa. It was estimated that about 90% of the deaths occurred in Africa, where various factors such as ecosystem and climate conditions are favorable to species of mosquitoes transmitting the malaria parasite. Some malaria epidemic prediction systems have been built to mitigate the increase of the disease outbreaks in some African countries; however, there is a need for better models with improved prediction ability based on non-seasonal variations in climatic conditions. This research proposes a machine learning-based model for the classification of malaria incidence using climate variability across six countries of Sub-Saharan Africa over a period of twenty-eight years. The work begins with a feature engineering process, which identifies the climate factors that affect the incidence of malaria, followed by the k-means clustering process for outlier detection, and then, XGBoost algorithm for classification. The results suggest that although the exact association between malaria incidence and climate variability varies from one geographic region to another, the non-seasonal changes in three climatic factors (precipitation, temperature, and surface radiation) significantly contribute to the outbreak of malaria. The proposed system was compared with other classification models, and the comparative results showed that the proposed system outperformed other classification models. The malaria incidence classification model is an early detection mechanism that helps to monitor the spread of malaria; it is a unique data-driven knowledge discovery system that will assist public health authorities in learning the effects of climate factors on health and also in developing relevant preventive and adaptive mechanisms to ensure a timelier health service in order to save lives. © 2020 The Author(s)</t>
  </si>
  <si>
    <t xml:space="preserve">10.1016/j.imu.2020.100508</t>
  </si>
  <si>
    <t xml:space="preserve">https://www.scopus.com/inward/record.uri?eid=2-s2.0-85099233220&amp;doi=10.1016%2fj.imu.2020.100508&amp;partnerID=40&amp;md5=069b62fb4c322c363ca4dbe278f67ac3</t>
  </si>
  <si>
    <t xml:space="preserve">Department of Computer Science, African University of Science and Technology, Abuja, Nigeria</t>
  </si>
  <si>
    <t xml:space="preserve">Nkiruka O., Department of Computer Science, African University of Science and Technology, Abuja, Nigeria; Prasad R., Department of Computer Science, African University of Science and Technology, Abuja, Nigeria; Clement O., Department of Computer Science, African University of Science and Technology, Abuja, Nigeria</t>
  </si>
  <si>
    <t xml:space="preserve">Climate variability; Machine learning for healthcare and data mining; Malaria incidence; XGBoost</t>
  </si>
  <si>
    <t xml:space="preserve">air temperature; Article; atmospheric pressure; Bayesian learning; Burkina Faso; Cameroon; classification algorithm; climate; climate change; correlation coefficient; decision support system; Democratic Republic Congo; diagnostic accuracy; diagnostic test accuracy study; disease association; early diagnosis; environmental factor; environmental radioactivity; epidemic; extreme gradient boosting; false positive result; feature engineering; geographic distribution; human; humidity; incidence; intermethod comparison; k means clustering; knowledge discovery; logistic regression analysis; machine learning; malaria; Mali; Niger; Nigeria; outlier detection; precipitation; prediction; sensitivity and specificity; statistical significance; support vector machine</t>
  </si>
  <si>
    <t xml:space="preserve">World malaria report 2019, (2019); Brenas J.H., Strecker M., Echahed R., Shaban-Nejad A., Applied graph transformation and verification with use cases in malaria surveillance, IEEE Access, 6, pp. 64728-64741, (2018); Africa S., Malaria ’ s impact worldwide, pp. 1-3, (2019); World Health Organization, Malaria surveillance, monitoring &amp; evaluation: a reference manual, (2018); Makinde O.S., Abiodun G.J., Ojo O.T., Modelling of malaria incidence in Akure, Nigeria: negative binomial approach, Geojournal, (2020); Orimoloye I.R., Mazinyo S.P., Kalumba A.M., Ekundayo O.Y., Nel W., Implications of climate variability and change on urban and human health: a review, Cities, 91, pp. 213-223, (2019); V Franklinos L.H., Jones K.E., Redding D.W., Abubakar I., The effect of global change on mosquito-borne disease, Lancet Infect Dis, 3099, 19, (2019); El-sappagh S.H., Et al., “Malaria's association with climatic variables and an epidemic early warning system using historical data from Gezira State, Sudan, Malar J, 13, 1, pp. 1-9, (2019); Sadoine M.L., Smargiassi A., Ridde V., Tusting L.S., Zinszer K., The associations between malaria, interventions, and the environment: a systematic review and meta-analysis, Malar J, 17, 1, pp. 1-11, (2018); Mahendran R., Pathirana S., Sashika Piyatilake I.T., Nishantha Perera S.S., Weerasinghe M.C., Assessment of environmental variability on malaria transmission in a malaria-endemic rural dry zone locality of Sri Lanka: the wavelet approach, PloS One, 15, 2, pp. 1-15, (2020); Fischer L., Gultekin N., Kaelin M.B., Fehr J., Schlagenhauf P., Rising temperature and its impact on receptivity to malaria transmission in Europe: a systematic review, Trav Med Infect Dis, (2020); Pandey S., Nanda S., Vutha A., Naresh R., Modeling the impact of biolarvicides on malaria transmission, J Theor Biol, 454, 2, pp. 396-409, (2018); Arab A., Jackson M.C., Kongoli C., Modelling the effects of weather and climate on malaria distributions in West Africa, 1-9, (2014); Sena L., Deressa W., Ali A., Correlation of climate variability and malaria: a retrospective comparative study, southwest Ethiopia, Ethiop. J. Health Sci., 25, 2, pp. 129-138, (2015); Garate-Escamila A.K., Hajjam El Hassani A., Andres E., Classification models for heart disease prediction using feature selection and PCA, Informatics Med. Unlocked, 19, (2020); Domingues R., Filippone M., Michiardi P., Zouaoui J., A comparative evaluation of outlier detection algorithms: experiments and analyses, Pattern Recogn, 74, pp. 406-421, (2018); Ji C., Zou X., Hu Y., Liu S., Lyu L., Zheng X., XG-SF: an XGBoost classifier based on shapelet features for time series classification, Procedia Comput. Sci., 147, pp. 24-28, (2019); Tompkins A.M., Thomson M.C., Uncertainty in malaria simulations in the highlands of Kenya: relative contributions of model parameter setting, driving climate and initial condition errors, PloS One, 13, 9, pp. 1-27, (2018); Balding D.J., Linear models and time-series analysis: regression, (2019); Adeola A.M., Et al., Predicting malaria cases using remotely sensed environmental variables in Nkomazi, South Africa, Geospat. Health, 14, (2019); Mopuri R., Kakarla S.G., Mutheneni S.R., Kadiri M.R., Kumaraswamy S., Climate based malaria forecasting system for Andhra Pradesh, India, J Parasit Dis, (2020); Anwar M.Y., Lewnard J.A., Parikh S., Pitzer V.E., Time series analysis of malaria in Afghanistan: using ARIMA models to predict future trends in incidence, Malar J, 15, 1, (2016); Makinde O.S., Abiodun G.J., Ojo O.T., Modelling of malaria incidence in Akure, Nigeria: negative binomial approach, Geojournal, (2020); V Le P.V., Et al., Malaria epidemics in India: role of climatic condition and control measures, PloS One, 14, 2, pp. 1-15, (2020); Tompkins A.M., Colon-Gonzalez F.J., Di Giuseppe F., Namanya D.B., Dynamical malaria forecasts are skillful at regional and local scales in Uganda up to 4 Months ahead, GeoHealth, 3, 3, pp. 58-66, (2019); V Le P.V., Id P.K., Ruiz M.O., Mbogo C., Muturi J., Predicting the direct and indirect impacts of climate change on malaria in coastal Kenya, pp. 1-18, (2019); Kim Y., Et al., Malaria predictions based on seasonal climate forecasts in South Africa: a time series distributed lag nonlinear model, Sci Rep, 9, 1, pp. 1-10, (2019); Modu B., Polovina N., Lan Y., Konur S., Asyhari A.T., pp. 1-20; Wang M., Et al., A novel model for malaria prediction based on ensemble algorithms, PloS One, 14, 12, (2019); Thakur S., Dharavath R., Artificial neural network based prediction of malaria abundances using big data: a knowledge capturing approach, Clin. Epidemiol. Glob. Heal., 7, 1, pp. 121-126, (2019); WHO, Malaria eradication: benefits, future scenarios and feasibility. Executive summary, WHO Strategic Advisory Group on Malaria Eradication, (2019); Roser M., Ritchie H., Malaria, (2020); National center for atmospheric research, (2019); Alexandropoulos S.A.N., Kotsiantis S.B., Vrahatis M.N., Data preprocessing in predictive data mining, 34, (2019); Zhao H., Lai Z., Leung H., Zhang X., Feature learning and understanding, (2020); Huang J., Ling C.X., Using AUC and accuracy in evaluating learning algorithms, IEEE Trans Knowl Data Eng, 17, 3, pp. 299-310, (2005); Wong T., Yeh P., Reliable accuracy estimates from K-fold cross validation, IEEE Trans Knowl Data Eng, 32, 8, pp. 1586-1594, (2020); Wagenmakers E.J., Farrell S., AIC model selection using Akaike weights, Psychon Bull Rev, 11, 1, pp. 192-196, (2004)</t>
  </si>
  <si>
    <t xml:space="preserve">R. Prasad; Department of Computer Science, African University of Science and Technology, Abuja, Nigeria; email: rprasad@aust.edu.ng</t>
  </si>
  <si>
    <t xml:space="preserve">2-s2.0-85099233220</t>
  </si>
  <si>
    <t xml:space="preserve">Arce-Lopera C.A.; Diaz-Cely J.; Quintero L.</t>
  </si>
  <si>
    <t xml:space="preserve">Arce-Lopera, Carlos Alberto (35387409600); Diaz-Cely, Javier (57195538513); Quintero, Lina (57114654500)</t>
  </si>
  <si>
    <t xml:space="preserve">35387409600; 57195538513; 57114654500</t>
  </si>
  <si>
    <t xml:space="preserve">Presumptive diagnosis of cutaneous leishmaniasis</t>
  </si>
  <si>
    <t xml:space="preserve">Introduction: Cutaneous Leishmaniasis is a neglected tropical disease caused by a parasite. The most common presumptive diagnostic tool for this disease is the visual examination of the associated skin lesions by medical experts. Here, a mobile application was developed to aid this pre-diagnosis using an automatic image recognition software based on a convolutional neural network model. Material and Methods: A total of 2022 images of cutaneous diseases taken from 2012 to 2018 were used for training. Then, in 2019, machine learning techniques were tested to develop an automatic classification model. Also, a mobile application was developed and tested against specialized human experts to compare its performance. Results: Transfer learning using the VGG19 model resulted in a 93% accuracy of the classification model. Moreover, on average, the automatic model performance on a randomly selected skin image sample revealed a 99% accuracy while, the ensemble prediction of seven human medical expert’s accuracy was 83%. Conclusion: Mobile skin monitoring applications are crucial developments for democratizing health access, especially for neglected tropical diseases. Our results revealed that the image recognition software outperforms human medical experts and can alert possible patients. Future developments of the mobile application will focus on health monitoring of Cutaneous Leishmaniasis patients via community leaders and aiming at the promotion of treatment adherence. © 2021, Published by Frontiers in Health Informatics.</t>
  </si>
  <si>
    <t xml:space="preserve">Frontiers in Health Informatics</t>
  </si>
  <si>
    <t xml:space="preserve">Iranian Medical Informatics Association (IrMIA)</t>
  </si>
  <si>
    <t xml:space="preserve">10.30699/fhi.v10i1.278</t>
  </si>
  <si>
    <t xml:space="preserve">https://www.scopus.com/inward/record.uri?eid=2-s2.0-85158160117&amp;doi=10.30699%2ffhi.v10i1.278&amp;partnerID=40&amp;md5=933041a7733fb32d0af93b4d83f2cd16</t>
  </si>
  <si>
    <t xml:space="preserve">Department of Information Technology, Faculty of Engineering, Universidad Icesi, Cali, Colombia</t>
  </si>
  <si>
    <t xml:space="preserve">Arce-Lopera C.A., Department of Information Technology, Faculty of Engineering, Universidad Icesi, Cali, Colombia; Diaz-Cely J., Department of Information Technology, Faculty of Engineering, Universidad Icesi, Cali, Colombia; Quintero L., Department of Information Technology, Faculty of Engineering, Universidad Icesi, Cali, Colombia</t>
  </si>
  <si>
    <t xml:space="preserve">Cutaneous Leishmaniasis; Diagnosis; Infection</t>
  </si>
  <si>
    <t xml:space="preserve">Ramirez JD, Hernandez C, Leon CM, Ayala MS, Florez C, Gonzalez C., Taxonomy, diversity, temporal and geographical distribution of Cutaneous Leishmaniasis in Colombia: A retrospective study, Sci Rep, 6, 1, (2016); Rosales-Chilama M, Gongora RE, Valderrama L, Jojoa J, Alexander N, Rubiano LC, Et al., Parasitological confirmation and analysis of Leishmania diversity in asymptomatic and subclinical infection following resolution of cutaneous Leishmaniasis, PLOS Negl Trop Dis, 9, 12, (2015); Litjens G, Kooi T, Bejnordi BE, Setio AAA, Ciompi F, Ghafoorian M, Et al., A survey on deep learning in medical image analysis, Med Image Anal, 42, pp. 60-88, (2017); Oliveira RB, Papa JP, Pereira AS, Tavares JMRS., Computational methods for pigmented skin lesion classification in images: Review and future trends, Neural Computing and Applications, 29, pp. 613-636, (2018); Rubiano L, Alexander NDE, Castillo RM, Martinez AJ, Luna JAG, Arango JD, Et al., Adaptation and performance of a mobile application for early detection of cutaneous leishmaniasis, PLoS Negl Trop Dis, 15, 2, (2021); Nadri K, Sajedi H, Sayahi A, Shahmoradi L., Designing a mobile-based self-care application for patients with cutaneous Leishmaniasis: An effective step in patients’ self-care and participation, Front Health Inform, 9, 1, (2020); Nadri K, Shahmoradi L, Sajedi H, Salehi A., Content for self-care app for patients with cutaneous leishmaniasis: Designing a mobile-based self-care app for patients with cutaneous leishmaniasis, Health Policy and Technology, 10, 1, pp. 87-94, (2021); Kobets T, Grekov I, Lipoldova M., Leishmaniasis: Prevention, parasite detection and treatment, Curr Med Chem, 19, 10, pp. 1443-1474, (2012); Bourouis A, Zerdazi A, Feham M, Bouchachia A., m-Health: Skin disease analysis system using smartphone’s camera, Procedia Computer Science, 19, pp. 1116-1120, (2013); Kirtava Z, Shulaia T, Kiladze N, Korsantia N, Gogitidze T, Jorjoliani D., e-Health/m-Health services for dermatology outpatients screening for skin cancer and follow-up, International Conference on e-Health Networking, Applications and Services, (2016); Moghaddasi H, Mehdizadeh H., Mobile Health for Diagnosis and Management of Skin Lesions, Journal of Health and Biomedical Informatics, 3, 2, pp. 155-165, (2016); Weiss K, Khoshgoftaar TM, Wang D., A survey of transfer learning, Journal of Big Data, 3, 1, (2016); Simonyan K, Zisserman A., Very deep convolutional networks for large-scale image recognition, Comput Biol Learn Soc, 2015, pp. 1-14, (2015); Mahbod A, Schaefer G, Wang C, Ecker R, Ellinge I., Skin lesion classification using hybrid deep neural networks, International Conference on Acoustics, Speech and Signal Processing, (2019); Sultana NN, Puhan NB., Recent deep learning methods for melanoma detection: A review, International Conference on Mathematics and Computing, (2018); Yu K, Syed MN, Bernardis E, Gelfand JM., Machine learning applications in the evaluation and management of Psoriasis: A systematic review, J Psoriasis Psoriatic Arthritis, 5, 4, pp. 147-159, (2020); Liu Y, Jain A, Eng C, Way DH, Lee K, Bui P, Et al., A deep learning system for differential diagnosis of skin diseases, Nat Med, 26, 6, pp. 900-908, (2020); Thomsen K, Christensen AL, Iversen L, Lomholt HB, Winther O., Deep learning for diagnostic binary classification of multiple-lesion skin diseases, Front Med (Lausanne), 7, (2020)</t>
  </si>
  <si>
    <t xml:space="preserve">C.A. Arce-Lopera; Department of Information Technology, Faculty of Engineering, Universidad Icesi, Cali, Colombia; email: caarce@icesi.edu.co</t>
  </si>
  <si>
    <t xml:space="preserve">Front. Health. Inform.</t>
  </si>
  <si>
    <t xml:space="preserve">2-s2.0-85158160117</t>
  </si>
  <si>
    <t xml:space="preserve">Ephraim R.K.D.; Brenyah R.C.; Adoba P.; Agbodjakey H.; Allotey L.E.; Korang P.; Duah E.; Bogoch I.; Abaka-Yawson A.; Hotorvi C.; Kwadzokpui P.K.</t>
  </si>
  <si>
    <t xml:space="preserve">Ephraim, Richard K. D. (26664509500); Brenyah, Ruth C. (55748883800); Adoba, Prince (56663262500); Agbodjakey, Hope (56663208600); Allotey, Larissa E. (57219938793); Korang, Patrick (57219939523); Duah, Evans (56354673500); Bogoch, Isaac (6506268396); Abaka-Yawson, Albert (57210979446); Hotorvi, Christian (57217676329); Kwadzokpui, Precious Kwablah (57216185092)</t>
  </si>
  <si>
    <t xml:space="preserve">26664509500; 55748883800; 56663262500; 56663208600; 57219938793; 57219939523; 56354673500; 6506268396; 57210979446; 57217676329; 57216185092</t>
  </si>
  <si>
    <t xml:space="preserve">Renal function in children infected with Schistosoma haematobium: a case–control study of an endemic Ghanaian community</t>
  </si>
  <si>
    <t xml:space="preserve">Schistosomiasis has been associated with kidney diseases leading to serious health problems especially in advanced cases. Most studies have used renal biopsy, and ultrasonography in the diagnosis of renal damage among urogenital schistosomiasis affected individuals. This study assessed serum urea, creatinine, and eGFR as biochemical markers of renal abnormalities in children with urogenital schistosomiasis (Schistosoma haematobium) at a resource limited setting in Sorodofo-Abaasa in the Central Region of Ghana. A case–control study was conducted among 116 basic school children aged 9 to 17 years from January 2015 to May 2015 at Sorodofo-Abaasa in the Abura Asebu Kwamankese District of the Central Region of Ghana. A pre-tested questionnaire was used to obtain information on age, sex, guardian’s occupation, water contact activities, history of gross haematuria and history of medication. Participants weight and height were measured using a bathroom scale (Zhongshan Camry Electronic Co. Ltd, Guangdong-China) and a wall-mounted ruler to the nearest 0.1 kg and 0.1 cm respectively. Approximately 4 ml of venous blood sample was collected from the median cubital vein of the study participants and used for the estimation of serum urea and creatinine levels. eGFR (mL/min/1.73 m2) was calculated using the Schwartz equation. The average ages of the cases and the controls recruited in this study were 12.7 ± 1.0 and 12. ± 2.6 years respectively. The median (minimum–maximum) did not differ between cases and controls with regards to eGFR [115.92(62.40–164.98) vs 112.50(51.82–170.36; p = 0.806], serum creatinine [57.20(28.91–84.67) vs 58.19(25.17–90.21); p = 0.876], and urea [9.82(5.80–13.74) vs 10.21(7.29–13.03); p = 0.586]. Hyperfiltration though statistically similar (p = 0.787), was observed among a higher proportion of the controls (20.5%) than observed among the cases (18.4%). This study documented no significant differences between children with light (less than 50 ova per 10 ml urine) and heavy (more than 50 ova per 10 ml urine) infection. This study documented no significant variation in the biochemical markers of renal function between the cases and controls. S. haematobium Infection intensity did not significantly alter the renal physiology of the school children studied. © 2020, Indian Society for Parasitology.</t>
  </si>
  <si>
    <t xml:space="preserve">10.1007/s12639-020-01313-6</t>
  </si>
  <si>
    <t xml:space="preserve">https://www.scopus.com/inward/record.uri?eid=2-s2.0-85096182147&amp;doi=10.1007%2fs12639-020-01313-6&amp;partnerID=40&amp;md5=dc59ec468221cb8783bdeb5bf78c2aca</t>
  </si>
  <si>
    <t xml:space="preserve">Department of Medical Laboratory Technology, University of Cape Coast, Cape Coast, Ghana; Department of Clinical Microbiology, Kwame Nkrumah University of Science and Technology, Kumasi, Ghana; University Health Network, University of Ontario, Oshawa, Canada; Department of Medical Laboratory Technology, University of Health and Allied Sciences, Ho, Ghana</t>
  </si>
  <si>
    <t xml:space="preserve">Ephraim R.K.D., Department of Medical Laboratory Technology, University of Cape Coast, Cape Coast, Ghana; Brenyah R.C., Department of Clinical Microbiology, Kwame Nkrumah University of Science and Technology, Kumasi, Ghana; Adoba P., Department of Medical Laboratory Technology, University of Cape Coast, Cape Coast, Ghana; Agbodjakey H., Department of Medical Laboratory Technology, University of Cape Coast, Cape Coast, Ghana; Allotey L.E., Department of Medical Laboratory Technology, University of Cape Coast, Cape Coast, Ghana; Korang P., Department of Medical Laboratory Technology, University of Cape Coast, Cape Coast, Ghana; Duah E., Department of Medical Laboratory Technology, University of Cape Coast, Cape Coast, Ghana; Bogoch I., University Health Network, University of Ontario, Oshawa, Canada; Abaka-Yawson A., Department of Medical Laboratory Technology, University of Health and Allied Sciences, Ho, Ghana; Hotorvi C., Department of Medical Laboratory Technology, University of Cape Coast, Cape Coast, Ghana; Kwadzokpui P.K., Department of Medical Laboratory Technology, University of Health and Allied Sciences, Ho, Ghana</t>
  </si>
  <si>
    <t xml:space="preserve">Renal abnormalities; Schistosoma haematobium; Urogenital schistosomiasis</t>
  </si>
  <si>
    <t xml:space="preserve">adolescent; anthropometry; Article; blood sampling; body mass; case control study; child; controlled study; creatinine blood level; echography; estimated glomerular filtration rate; female; genetic marker; Ghanaian; human; kidney biopsy; kidney function; major clinical study; male; microscopy; nonhuman; normal human; Schistosoma haematobium; schistosomiasis; ultrafiltration; urea blood level; urinalysis; urinary tract infection</t>
  </si>
  <si>
    <t xml:space="preserve">UVmini-1240, Shimadzu, Japan</t>
  </si>
  <si>
    <t xml:space="preserve">Shimadzu, Japan</t>
  </si>
  <si>
    <t xml:space="preserve">University of Cape Coast</t>
  </si>
  <si>
    <t xml:space="preserve">The authors are grateful to the participants, and the entire laboratory staff of the Departments of Laboratory Technology, University of Cape Coast for their technical support.</t>
  </si>
  <si>
    <t xml:space="preserve">Barsoum R.S., Schistosomiasis and the kidney, Semin Nephrol, 23, 1, pp. 34-41, (2003); Chugh K.S., Harries A.D., Dahniya M.H., Nwosu A.C., Gashau A., Thomas J., Et al., Urinary schistosomiasis in Maiduguri, north east Nigeria, Ann Trop Med Parasitol, 80, 6, pp. 593-599, (1986); Hatz C., Murakami H., Jenkins J.M., A review of the literature on the use of ultrasonography in schistosomiasis with special reference to its use in field studies. 3. Schistosoma japonicum, Acta Trop, 51, 1, pp. 29-36, (1992); Kahn H.S., Imperatore G., Cheng Y.J., A population-based comparison of BMI percentiles and waist-to-height ratio for identifying cardiovascular risk in youth, J Pediatr, 146, 4, pp. 482-488, (2005); Lambertucci J.R., dos Santos Silva L.C., Andrade L.M., de Queiroz L.C., Carvalho V.T., Voieta I., Et al., Imaging techniques in the evaluation of morbidity in schistosomiasis mansoni, Acta Trop, 108, 2-3, pp. 209-217, (2008); Maguire J.H., Trematodes (Schistosomes and Other Fl ukes), Mandell, Douglas, and Bennett’s Principles and Practice of Infectious Diseases, pp. 3595-3605, (2010); Mohammed E.H.A., Eltayeb M., Haematological and biochemical morbidity of Schistosoma Haematobium in school children in Sudan, Sultan Qaboos Univ Med J, 6, 2, pp. 59-64, (2006); Ossai O.P., Dankoli R., Nwodo C., Tukur D., Nsubuga P., Ogbuabor D., Et al., Bacteriuria and urinary schistosomiasis in primary school children in rural communities in Enugu State, Nigeria, 2012, Pan Afr Med J, 18, (2014); Pottel H., Mottaghy F., Zaman Z., Martens F., On the relationship between glomerular filtration rate and serum creatinine in children, Pediatr Nephrol, 25, 5, pp. 927-934, (2010); Richter J., Evolution of schistosomiasis-induced pathology after therapy and interruption of exposure to schistosomes: a review of ultrasonographic studies, Acta Trop, 77, 1, pp. 111-131, (2000); Schwartz G.J., Munoz A., Schneider M.F., Mak R.H., Kaskel F., Warady B.A., Et al., New equations to estimate GFR in children with CKD, J Am Soc Nephrol, 20, 3, pp. 629-637, (2009); Stevens L.A., Schmid C.H., Greene T., Zhang Y.L., Beck G.J., Froissart M., Et al., Comparative performance of the CKD epidemiology collaboration (CKD-EPI) and the Modification of Diet in Renal Disease (MDRD) Study equations for estimating GFR levels above 60 mL/min/1.73 m&lt;sup&gt;2&lt;/sup&gt;, Am J Kidney Dis, 56, 3, pp. 486-495, (2010); Tandon V., Shylla J.A., Ghatani S., Athokpam V.D., Sahu R., Neglected tropical diseases: trematodiases—the Indian scenario, Proc Natl Acad Sci India Sect B Biol Sci, 85, 4, pp. 901-907, (2015); Thetiot-Laurent S.A.L., Boissier J., Robert A., Meunier B., Schistosomiasis chemotherapy, Angew Chem Int Ed, 52, 31, pp. 7936-7956, (2013); Webster B.L., Diaw O.T., Seye M.M., Faye D.S., Stothard J.R., Sousa-Figueiredo J.C., Et al., Praziquantel treatment of school children from single and mixed infection foci of intestinal and urogenital schistosomiasis along the Senegal River Basin: monitoring treatment success and re-infection patterns, Acta Trop, 128, 2, pp. 292-302, (2013); Division of Control of Tropical Disease: Schistosomiasis: WHO Update, (2004)</t>
  </si>
  <si>
    <t xml:space="preserve">A. Abaka-Yawson; Department of Medical Laboratory Technology, University of Health and Allied Sciences, Ho, Ghana; email: albertayawson@ymail.com</t>
  </si>
  <si>
    <t xml:space="preserve">2-s2.0-85096182147</t>
  </si>
  <si>
    <t xml:space="preserve">Vanda K.; Bobbili N.; Matsunaga M.; Chen J.J.; Salanti A.; Leke R.F.G.; Taylor D.W.</t>
  </si>
  <si>
    <t xml:space="preserve">Vanda, Koko (57203729925); Bobbili, Naveen (14026441700); Matsunaga, Masako (55506110500); Chen, John J. (7501902295); Salanti, Ali (6602328173); Leke, Rose F. G. (7004378862); Taylor, Diane Wallace (7406867535)</t>
  </si>
  <si>
    <t xml:space="preserve">57203729925; 14026441700; 55506110500; 7501902295; 6602328173; 7004378862; 7406867535</t>
  </si>
  <si>
    <t xml:space="preserve">The Development, Fine Specificity, and Importance of High-Avidity Antibodies to VAR2CSA in Pregnant Cameroonian Women Living in Yaoundé, an Urban City</t>
  </si>
  <si>
    <t xml:space="preserve">Pregnant women infected with Plasmodium falciparum often produce antibodies (Abs) to VAR2CSA, a ligand that binds to placental chondroitin sulfate A causing placental malaria (PM). Antibodies to VAR2CSA are associated with improved pregnancy outcomes. Antibody avidity is a surrogate marker for the extent of maturation of the humoral immune response. Little is known about high avidity Abs to VAR2CSA for women living in urban African cities. Therefore, this study sought to determine: i) if high avidity Abs to full-length VAR2CSA (FV2) increase with gravidity in women in Yaoundé, Cameroon exposed to ~ 0.3-1.1 infectious mosquito bites per month, ii) if high avidity Abs to FV2 are directed against a specific region of VAR2CSA, and iii) if having high avidity Abs to FV2 improve pregnancy outcomes. Plasma samples collected at delivery from 695 women who had Abs to FV2 were evaluated. Ab levels and the Avidity Index (AI), defined as the percent Abs remaining bound to FV2 after incubation with 3M NH4SCN, were determined. Similar Ab levels to FV2 were present in women of all gravidities (G1 through 6+; p=0.80), except significantly lower levels were detected in PM−negative (PM−) primigravidae (p &lt;0.001). Median Ab avidities increased between gravidity 1 and 2 (p&lt;0.001) and remained stable thereafter (G3-G6+: p=0.51). These results suggest that B cell clonal expansion began during the first pregnancy, with clonal selection primarily occurring during the second. However, the majority of women (84%) had AI &lt;35, a level of high avidity Abs previously reported to be associated with improved pregnancy outcomes. When plasma from 107 Cameroonian women was tested against 8 different regions of FV2, high avidity Abs were predominately restricted to DBL5 with median AI of 50 compared to AI &lt;25 for the other domains. The only significance influence of high avidity Abs on pregnancy outcome was that babies born to mothers with AI above the median were 104 g heavier than babies born to women with AI below the median (p=0.045). These results suggest that a vaccine that boosts maturation of the immune response to VAR2CSA may be beneficial for women residing in urban areas. © Copyright © 2021 Vanda, Bobbili, Matsunaga, Chen, Salanti, Leke and Taylor.</t>
  </si>
  <si>
    <t xml:space="preserve">10.3389/fimmu.2021.610108</t>
  </si>
  <si>
    <t xml:space="preserve">https://www.scopus.com/inward/record.uri?eid=2-s2.0-85102443934&amp;doi=10.3389%2ffimmu.2021.610108&amp;partnerID=40&amp;md5=8df9d98eb78eca507aef530cac7d7d2f</t>
  </si>
  <si>
    <t xml:space="preserve">Department of Tropical Medicine, Medical Microbiology and Pharmacology, John A. Burns School of Medicine, University of Hawaii, Honolulu, HI, United States; Department of Quantitative Health Sciences, John A. Burns School of Medicine, University of Hawaii, Honolulu, HI, United States; Centre for Medical Parasitology, Department for Immunology and Microbiology, Faculty of Health and Medical Sciences, University of Copenhagen, Department of Infectious Disease, Copenhagen University Hospital, Copenhagen, Denmark; Faculty of Medicine and Biomedical Research, The Biotechnology Center, University of Yaoundé 1, Yaoundé, Cameroon</t>
  </si>
  <si>
    <t xml:space="preserve">Vanda K., Department of Tropical Medicine, Medical Microbiology and Pharmacology, John A. Burns School of Medicine, University of Hawaii, Honolulu, HI, United States; Bobbili N., Department of Tropical Medicine, Medical Microbiology and Pharmacology, John A. Burns School of Medicine, University of Hawaii, Honolulu, HI, United States; Matsunaga M., Department of Quantitative Health Sciences, John A. Burns School of Medicine, University of Hawaii, Honolulu, HI, United States; Chen J.J., Department of Quantitative Health Sciences, John A. Burns School of Medicine, University of Hawaii, Honolulu, HI, United States; Salanti A., Centre for Medical Parasitology, Department for Immunology and Microbiology, Faculty of Health and Medical Sciences, University of Copenhagen, Department of Infectious Disease, Copenhagen University Hospital, Copenhagen, Denmark; Leke R.F.G., Faculty of Medicine and Biomedical Research, The Biotechnology Center, University of Yaoundé 1, Yaoundé, Cameroon; Taylor D.W., Department of Tropical Medicine, Medical Microbiology and Pharmacology, John A. Burns School of Medicine, University of Hawaii, Honolulu, HI, United States</t>
  </si>
  <si>
    <t xml:space="preserve">antibody avidity; placental malaria; Plasmodium falciparum; pregnant women; urban cities; VAR2CSA</t>
  </si>
  <si>
    <t xml:space="preserve">Antibodies, Protozoan; Antibody Affinity; Antigens, Protozoan; Cameroon; Cities; Female; Humans; Malaria, Falciparum; Plasmodium falciparum; Pregnancy; Pregnancy Complications, Parasitic; Pregnancy Outcome; Protein Interaction Domains and Motifs; Public Health Surveillance; parasite antigen; protozoon antibody; VAR2CSA protein, Plasmodium falciparum; adult; anemia; antibody affinity; Article; birth weight; Cameroonian; female; gene; gestational age; hematocrit; histology; human; human tissue; immune response; immunoassay; low birth weight; major clinical study; mosquito bite; nonhuman; parasitemia; placenta malaria; Plasmodium falciparum; pregnancy; pregnancy outcome; pregnant woman; premature labor; prevalence; primigravida; VAR2CSA gene; antibody affinity; blood; Cameroon; chemistry; city; health survey; immunology; malaria falciparum; pregnancy complication; protein domain</t>
  </si>
  <si>
    <t xml:space="preserve">Antibodies, Protozoan, ; Antigens, Protozoan, ; VAR2CSA protein, Plasmodium falciparum, </t>
  </si>
  <si>
    <t xml:space="preserve">National Institutes of Health, NIH, (UO1AI35839); National Institute of Allergy and Infectious Diseases, NIAID; National Institute on Minority Health and Health Disparities, NIMHD, (U54MD007601)</t>
  </si>
  <si>
    <t xml:space="preserve">The study was funded by NIAID, NIH UO1AI35839 (sample, clinical information, and laboratory data collection) (DT). Laboratory studies by NIAID, 1R21AI105286 (JC and DT). KV</t>
  </si>
  <si>
    <t xml:space="preserve">Desai M., ter Kuile F., Nosten F., McGready R., Asamoa K., Brabin B., Et al., Epidemiology and burden of malaria in pregnancy, Lancet Infect Dis, 7, pp. 93-104, (2007); Brabin B.J., Romagosa C., Abdelgalil S., Menendez C., Verhoeff F.H., McGready R., Et al., The sick placenta - The role of malaria, Placenta, 25, (2004); Moore K.A., Simpson J.A., Scoullar M.J.L., McGready R., Fowkes F.J.I., Quantification of the association between malaria in pregnancy and stillbirth: a systematic review and meta-analysis, Lancet Glob Heal, 5, (2017); Rogerson S.J., Hviid L., Duffy P.E., Leke R.F., Taylor D.W., Malaria in pregnancy: pathogenesis and immunity, Lancet Infect Dis, 7, (2007); Fried M., Duffy P.E., Adherence of Plasmodium falciparum to chondroitin sulfate A in the human placenta, Science, 272, (1996); Salanti A., Dahlback M., Turner L., Nielsen M.A., Barfod L., Magistrado P., Et al., Evidence for the involvement of VAR2CSA in pregnancy-associated malaria, J Exp Med, 200, (2004); Duffy P., Fried M., Antibodies that inhibit Plasmodium falciparum adhesion to chondroitin sulfate A are asociated with increased birth weight and gestational age of newborns, Infect Immun, 71, (2003); Lloyd Y.M., Fang R., Bobbili N., Vanda K., Ngati E., Sanchez-Quintero M.J., Et al., Association of antibodies to VAR2CSA and merozoite antigens with pregnancy outcomes in women living in Yaoundé, Cameroon, Infect Immun, 86, 9, (2018); Staalsoe T., Shulman C., Bulmer J., Kawuondo K., Marsh M., Hviid L., Variant surface antigen-specific IgG and protection against clinical consequences of pregnancy-associated Plasmodium falciparum malaria, Lancet, 363, (2004); Tuikue Ndam N., Denoeud-Ndam L., Doritchamou J., Viwami F., Salanti A., Nielsen M.A., Et al., Protective antibodies against placental malaria and poor outcomes during pregnancy, Benin, Emerg Infect Dis, 21, (2015); Cutts J.C., Agius P.A., Zaw L., Powell R., Moore K., Draper B., Et al., Pregnancy-specific malarial immunity and risk of malaria in pregnancy and adverse birth outcomes: A systematic review, BMC Med BMC Med, 18, pp. 1-21, (2020); Hedman K., Lappalainen M., Soderlund M., Hedman L., Avidity of IgG in serodiagnosis of infectious diseases, Rev Med Microbiol, 4, (1993); Tutterrow Y.L., Salanti A., Avril M., Smith J.D., Pagano I.S., Ako S., Et al., High avidity antibodies to full-length VAR2CSA correlate with absence of placental malaria, PloS One, 7, (2012); Babakhanyan A., Fang R., Wey A., Salanti A., Sama G., Efundem C., Et al., Comparison of the specificity of antibodies to VAR2CSA in Cameroonian multigravidae with and without placental malaria: A retrospective case-control study, Malar J BioMed Cent, 14, pp. 1-10, (2015); Manga L., Robert V., Messi J., Desfontaine M., Carnevale P., Le pludisme urbain a Yaoundé, Cameroun. 1. Etude entomologique dans deux quartiers centraux, Mem Soc r belge Ent, 35, (1992); Fondjo E., Robert V., Le Goff G., Toto J., Carnevale P., Le paludisme urbain a Yaoundé (Cameroun) 2. Etude entomologique dans deux quartiers per urbanises, Bull La Soc Pathol Exot, 85, pp. 57-63, (1992); Tutterrow Y.L., Avril M., Singh K., Long C.A., Leke R.J., Sama G., Et al., High levels of antibodies to multiple domains and strains of VAR2CSA correlate with the absence of placental malaria in Cameroonian women living in an area of high Plasmodium falciparum transmission, Infect Immun, 80, (2012); Siriwardhana C., Fang R., Salanti A., Leke R.G.F., Bobbili N., Taylor D.W., Et al., Statistical prediction of immunity to placental malaria based on multi-assay antibody data for malarial antigens, Malar J, 16, (2017); Tako E.A., Zhou A., Lohoue J., Leke R., Taylor D.W., Leke R.F.G., Risk factors for placental malaria and its effect on pregnancy outcome in Yaoundé, Cameroon, Am J Trop Med Hyg, 72, (2005); Cameroon: epidemiological fact sheets on HIV/AIDS and sexually transmitted infections – 2004 update, (2004); Khunrae P., Dahlback M., Nielsen M.A., Andersen G., Ditlev S.B., Resende M., Et al., Full-length recombinant Plasmodium falciparum VAR2CSA binds specifically to CSPG and induces potent parasite adhesion-blocking antibodies, J Mol Biol, 397, 3, (2010); Taylor D.W., Bobbili N., Kayatani A., Tassi Yunga S., Kidima W., Leke R.F.G., Measuring antibody avidity to Plasmodium falciparum merozoite antigens using a multiplex immunoassay approach, Malar J, 19, 1, (2020); Nielsen M.A., Pinto V.V., Resende M., Dahlback M., Ditlev S.B., Theander T.G., Et al., Induction of adhesion-inhibitory antibodies against placental Plasmodium falciparum parasites by using single domains of VAR2CSA, Infect Immun, 77, (2009); Clausen T.M., Christoffersen S., Dahlback M., Langkilde A.E., Jensen K.E., Resende M., Et al., Structural and functional insight into how the Plasmodium falciparum VAR2CSA protein mediates binding to chondroitin sulfate A in placental malaria, J Biol Chem, 287, (2012); Andersen P., Nielsen M.A., Resende M., Rask T.S., Dahlback M., Theander T., Et al., Structural insight into epitopes in the pregnancy-associated malaria protein VAR2CSA, PloS Pathog, 44, 2, (2008); Leke R.F.G., Bioga J.D., Zhou J., Fouda G.G., Leke R.J.I., Tchinda V., Et al., Longitudinal studies of Plasmodium falciparum malaria in pregnant women living in a rural Cameroonian village with high perennial transmission, Am J Trop Med Hyg, 83, pp. 996-1004, (2010); Avril M., Cartwright M.M., Hathaway M.J., Hommel M., Elliott S.R., Williamson K., Et al., Immunization with VAR2CSA-DBL5 recombinant protein elicits broadly cross-reactive antibodies to placental Plasmodium falciparum-infected erythrocytes, Infect Immun, 78, 5, (2010); Ataide R., Hasang W., Wilson D.W., Beeson J.G., Mwapasa V., Molyneux M.E., Et al., Using an improved phagocytosis assay to evaluate the effect of HIV on specific antibodies to pregnancy- associated malaria, PloS One, 5, 5, (2010); Ataide R., Mwapasa V., Molyneux M.E., Meshnick S.R., Rogerson S.J., Antibodies that induce phagocytosis of malaria infected erythrocytes: Effect of HIV infection and correlation with clinical outcomes, PloS One, 6, pp. 1-6, (2011); Feng G., Aitken E., Yosaatmadja Y., Kalilani L., Meshnick S., Jaworowski A., Et al., Antibodies to variant surface antigens of Plasmodium falciparum-infected erythrocytes are associated with protection from treatment failure and the development of anemia in pregnancy, J Infect Dis, 200, 2, pp. 299-306, (2009); Hommel M., Chan J.A., Umbers A.J., Langer C., Rogerson S.J., Smith J.D., Et al., Evaluating antibody functional activity and strain-specificity of vaccine candidates for malaria in pregnancy using in vitro phagocytosis assays, Parasites Vectors Parasites Vectors, 11, pp. 1-7, (2018); Khattab A., Reinhardt C., Staalsoe T., Fievet N., Kremsner P.G., Deloron P., Et al., Analysis of IgG with specificity for variant surface antigens expressed by placental Plasmodium falciparum isolates, Mala J, 3, 3, (2004); Mayor A., Rovira-Vallbona E., Machevo S., Bassat Q., Aguilar R., Quinto L., Et al., Parity and placental infection affect antibody responses against Plasmodium falciparum during pregnancy, Infect Immun, 79, 4, (2011); Mayor A., Kumar U., Bardaji A.P.G., Jimenez A., Hamad A., Et al., Improved pregnancy outcomes in women exposed to malaria with high antibody levels against Plasmodium falciparum, J Infect Dis, 207, 11, (2013); Serra-Casas E., Menendez C., Bardaji A., Quinto L., Dobano C., Sigauque B., Et al., The effect of intermittent preventive treatment during pregnancy on malarial antibodies depends on HIV status and is not associated with poor delivery outcomes, J Infect Dis, 201, 1, (2010); Hommel M., Elliott S.R., Soma V., Kelly G., Fowkes F.J.I., Chesson J.M., Et al., Evaluation of the antigenic diversity of placenta-binding Plasmodium falciparum variants and the antibody repertoire among pregnant women, Infect Immun, 78, 5, (2010); Beeson J.G., Mann E.J., Elliott S.R., Lema V.M., Tadesse E., Molyneux M.E., Et al., Antibodies to variant surface antigens of Plasmodium falciparum-infected erythrocytes and adhesion inhibitory antibodies are associated with placental malaria and have overlapping and distinct targets, J Infect Dis, 189, 3, (2004); The World Health Organization, ISBN: 978-92-4-156572-1, (2019)</t>
  </si>
  <si>
    <t xml:space="preserve">2-s2.0-85102443934</t>
  </si>
  <si>
    <t xml:space="preserve">Amat A.L.S.; Ilmi H.; Tumewu L.; Notopuro H.; Tantular I.S.; Hafid A.F.; Widyawaruyanti A.</t>
  </si>
  <si>
    <t xml:space="preserve">Amat, Anita Lidesna Shinta (57416407600); Ilmi, Hilkatul (57195282002); Tumewu, Lidya (55515061000); Notopuro, Harianto (6507372396); Tantular, Indah Setyawati (6603308132); Hafid, Achmad Fuad (36501889800); Widyawaruyanti, Aty (21835200700)</t>
  </si>
  <si>
    <t xml:space="preserve">57416407600; 57195282002; 55515061000; 6507372396; 6603308132; 36501889800; 21835200700</t>
  </si>
  <si>
    <t xml:space="preserve">The Effect of Andrographis paniculata Nees on Oxidative Stress and Parasitemia Levels of Plasmodium berghei Infected Rats</t>
  </si>
  <si>
    <t xml:space="preserve">Background: During malaria infection, oxidative stress arises due to the high metabolic rate of the multiplying parasite within the erythrocyte. Malondialdehyde (MDA), a product of lipid peroxidation and glutathione (GSH) has been suggested as a biomarker of oxidative stress. The Ethyl acetate (EA) fraction from the ethanol extract of Andrographis paniculata was shown to inhibit Plasmodium berghei in vivo. However, the antimalarial mechanism of the EA fraction, specifically on oxidative stress has not been investigated previously. Therefore, this study aimed to investigate the effects of the EA fraction on parasitemia levels, GSH and MDA levels of P. berghei infected rats. Methods: Female Wistar rats infected with P. berghei were divided into three groups. Group one received no treatment (negative control), group two was treated with 1.4 mg/200 g body weight of chloroquine diphosphate as positive control, and group three was treated with the EA fraction at a dose equal to andrographolide 3.5 mg/200 g body weight. The treatments lasted for four days (day 0 to day 3) and parasitemia was observed from day 0 to day 4. Rats were sacrificed and blood taken intracardially on day 4 after parasitemia observation. GSH was measured using an ELISA reader at a wavelength of 415 nm. MDA was observed via spectrophotometry at a wavelength of 532 nm. Results: The EA fraction at a dose equal to andrographolide 3.5 mg/200 g body weight was able to inhibit parasite growth by 81.97±9.14%. The GSH levels of the negative control, positive control and EA fraction treated group were 139.30±75.93 μMol/mL, 81.06±53.26 μMol/mL and 105.71±76.00 μMol/mL, respectively. Furthermore, the MDA level of negative control, positive control and EA fraction treated group were 11.18±0.70 nMol mL, 8.81±1.26 nMol/mL and 9.40±0.74 nMol/mL, respectively. No significant differences were detected between treatment groups regarding their GSH levels. Additionally, there was a significant difference in MDA levels between the negative control and positive control groups; as well as a significant difference between the negative control and the EA treated group. However, no significant difference in MDA levels between the EA fraction treated group and positive control group. Interestingly, a correlation was found between parasite growth inhibition and MDA levels among groups (p&lt;0.05). Conclusion: The EA fraction of A. paniculata significantly decreased MDA levels which correlated significantly with parasitemia levels of P. berghei infected rats. The antimalarial activity of the EA fraction may have been correlated with oxidative stress mechanisms and this correlation could be explained in part by the decreased production of MDA. © RJPT All right reserved.</t>
  </si>
  <si>
    <t xml:space="preserve">Research Journal of Pharmacy and Technology</t>
  </si>
  <si>
    <t xml:space="preserve">10.52711/0974-360X.2021.01153</t>
  </si>
  <si>
    <t xml:space="preserve">https://www.scopus.com/inward/record.uri?eid=2-s2.0-85123006962&amp;doi=10.52711%2f0974-360X.2021.01153&amp;partnerID=40&amp;md5=baa04f8cc66d50cb3e8400483915cfde</t>
  </si>
  <si>
    <t xml:space="preserve">Faculty of Medicine, University of Nusa Cendana, East Nusa Tenggara, 85228, Indonesia; Natural Product Medicine Research and Development, Institute of Tropical Disease, Universitas Airlangga, Surabaya, 60115, Indonesia; Department of Parasitology, Faculty of Medicine, Universitas Airlangga, Surabaya, 60286, Indonesia; Department of Pharmaceutical Sciences, Faculty of Pharmacy, Universitas Airlangga, Surabaya, 60115, Indonesia</t>
  </si>
  <si>
    <t xml:space="preserve">Amat A.L.S., Faculty of Medicine, University of Nusa Cendana, East Nusa Tenggara, 85228, Indonesia; Ilmi H., Natural Product Medicine Research and Development, Institute of Tropical Disease, Universitas Airlangga, Surabaya, 60115, Indonesia; Tumewu L., Natural Product Medicine Research and Development, Institute of Tropical Disease, Universitas Airlangga, Surabaya, 60115, Indonesia; Notopuro H., Department of Parasitology, Faculty of Medicine, Universitas Airlangga, Surabaya, 60286, Indonesia; Tantular I.S., Department of Parasitology, Faculty of Medicine, Universitas Airlangga, Surabaya, 60286, Indonesia; Hafid A.F., Natural Product Medicine Research and Development, Institute of Tropical Disease, Universitas Airlangga, Surabaya, 60115, Indonesia, Department of Pharmaceutical Sciences, Faculty of Pharmacy, Universitas Airlangga, Surabaya, 60115, Indonesia; Widyawaruyanti A., Natural Product Medicine Research and Development, Institute of Tropical Disease, Universitas Airlangga, Surabaya, 60115, Indonesia, Department of Pharmaceutical Sciences, Faculty of Pharmacy, Universitas Airlangga, Surabaya, 60115, Indonesia</t>
  </si>
  <si>
    <t xml:space="preserve">Andrographis paniculata; Ethyl acetate fraction; Oxidative stress; Plasmodium berghei; Rattus novergicus</t>
  </si>
  <si>
    <t xml:space="preserve">acetic acid ethyl ester; andrographolide; biological marker; chloroquine; glutathione; malonaldehyde; Andrographis paniculata; animal experiment; animal model; antimalarial activity; Article; blood analysis; body weight; controlled study; enzyme activity; enzyme linked immunosorbent assay; female; growth inhibition; nonhuman; oxidative stress; parasitemia; Plasmodium berghei; rat; spectrophotometry</t>
  </si>
  <si>
    <t xml:space="preserve">acetic acid ethyl ester, 141-78-6; andrographolide, 5508-58-7; chloroquine, 132-73-0, 3545-67-3, 50-63-5, 54-05-7; glutathione, 70-18-8; malonaldehyde, 542-78-9</t>
  </si>
  <si>
    <t xml:space="preserve">Directorate General of Research Technology and Higher Education, (266/UN3.14/LT/2015); Institute of Tropical Disease; Natural Product Medicine Research and Development; Universitas Airlangga, UNAIR</t>
  </si>
  <si>
    <t xml:space="preserve">This research was funding in part of Natural Product Medicine Research and Development (NPMRD), Institute of Tropical Disease, Universitas Airlangga and Directorate General of Research Technology and Higher Education through Penelitian Unggulan Strategis Nasional contract No.266/UN3.14/LT/2015.</t>
  </si>
  <si>
    <t xml:space="preserve">Niranjan A., Tewari S.K., Lehri A., Biological activities of Kalmegh (Andrographis paniculata Nees) and its active principles-A review, Indian Journal of Natural Products and Resources, 1, 2, pp. 125-135, (2010); Madhavi S., Prakash Rao S., Review literature: Andrographis paniculata, J Pharmacology and Pharmacodynamics, 10, 4, pp. 166-170, (2018); Chauhan E.S., Sharma K., Bist R., Andrographis paniculata: A review of its phytochemistry and pharmacological activities, Research J Pharm and Tech, 12, 2, pp. 891-900, (2019); Firdous J., Latif N.A., Mona R., Mansor R., Muhamad N., Andrographis paniculata and its endophytes: A review on their pharmacological activities, Research J Pharm and Tech, 13, 4, pp. 2027-2030, (2020); Tajuddin S.A., Tariq M., Antiinflammatory activity of Andrographis paniculata Nees (Chirayata), Nagarjun, 27, pp. 13-14, (1983); Iwari R., Pandey R., Shukla S.S., Tiwari P., Shah T., Antibacterial activity of aerial part of Andrographis paniculata, Res J Pharmacognosy and Phytochem, 6, 3, pp. 122-125, (2014); Mary R.N.I., Banu N., Inhibition of antibiofilm mediated virulence factors in Pseudomonas aeruginosa by Andrographis paniculata, Research J Pharm and Tech, 10, 1, pp. 141-144, (2017); Geetha S., Rajeswari S., A preliminary study on Phytochemical screening, proximate and antibacterial activities of Andrographis paniculata seed extract, Research J Pharm and Tech, 12, 5, pp. 2083-2088, (2019); Mary R.N.I., Banu N., Antiquorum sensing potential of andrographolide from Andrographis paniculata in Vibrio harveyi, Research J Pharm and Tech, 10, 2, pp. 449-452, (2017); Verma N., Vinayak M., Antioxidant action of Andrographis paniculata on lymphoma, Mol Biol Rep, 35, pp. 535-540, (2008); Kaur N., Gupta J., Comparison of phytochemical extraction solvents for Andrographis paniculata, Research J Pharm and Tech, 10, 5, pp. 1271-1276, (2017); Rahman N.N.N.A., Furuta T., Kojima S., Takane K., Ali Mohd M., Antimalarial Activity of extracts of Malaysian medicinal plants, J Ethnopharmacol, 64, 3, pp. 249-254, (1999); Mishra K., Dash A.P., Swain B.K., Dey N., Antimalarial activities of Andrographis paniculata and Hedyotis corymbosa extracts and their combination with curcumin, Malaria J, 8, 26, pp. 1-9, (2009); Mamatha A., Brine shrimp lethality test of Andrographis paniculata, Research J Pharm and Tech, 7, 7, pp. 743-745, (2014); Mishra K., Dash A.P., Dey N., Andrographolide: A novel antimalarial diterpene lactone compound from Andrographis paniculata and its interaction with curcumin and artesunate, J Trop Med, pp. 1-6, (2011); Widyawaruyanti A., Astrianto D., Ilmi H., Tumewu L., Setyawan D., Widiastuti E., Et al., Antimalarial activity and survival time of Andrographis paniculata fraction (AS202-01) on Plasmodium berghei infected mice, Research Journal of Pharmaceutical, Biological and Chemical Sciences, 8, 1S, pp. 49-54, (2017); Kavishe R.A., Koenderink J.B., Alifrangis M., Oxidative stress in malaria and artemisinin combination therapy: Pros and Cons, FEBS J, 284, pp. 2579-2591, (2017); Bilgin R., Yalcin M.S., Yucebilgic G., Koltas I.S., Yazar S., Oxidative stress in vivax malaria, Korean J Parasitol, 50, 4, pp. 375-377, (2012); Zhang Z., Chan G.K., Li J., Fong W.F., Cheung H.Y., Molecular Interaction between Andrographolide and Glutathione Follows Second Order Kinetics, Chem Pharm Bull, 56, 9, pp. 1229-1233, (2008); Pandey A.V., Chauhan V.S., Heme polymerization by malarial parasite: A potential target for antimalarial drug development, Current Science, 75, 9, pp. 911-918, (1998); Duran-Bedolla J., Rodriguez M.H., Saldana-Navor V., Cerbon M., Oxidative Stress: Production in Several Processes and Organelles During Plasmodium sp Development, Oxidants and Antioxidants in Medical Science, 2, 2, pp. 93-100, (2013); Zhang Z., Reactions and Computational Studies of Andrographolide Analogues with Glutathione and Biological Nucleophiles, (2007); Meierjohann S., Walter R.D., Muller S., Regulation of Intracellular Glutathione Levels in Erythrocytes Infected with Chloroquine-sensitive and Chloroquine-resistant Plasmodium falciparum, Biochem J, 368, pp. 761-768, (2002); Ngaha E.O., Some biochemical changes in the rat during repeated chloroquine administration, Toxicology Letters, 10, pp. 145-149, (1982)</t>
  </si>
  <si>
    <t xml:space="preserve">A. Widyawaruyanti; Natural Product Medicine Research and Development, Institute of Tropical Disease, Universitas Airlangga, Surabaya, 60115, Indonesia; email: aty-w@ff.unair.ac.id</t>
  </si>
  <si>
    <t xml:space="preserve">Res. J. Pharm. Technol.</t>
  </si>
  <si>
    <t xml:space="preserve">2-s2.0-85123006962</t>
  </si>
  <si>
    <t xml:space="preserve">Pandey M.K.; Srivastava P.K.</t>
  </si>
  <si>
    <t xml:space="preserve">Pandey, Manish Kumar (57212154057); Srivastava, Prashant K. (23490592400)</t>
  </si>
  <si>
    <t xml:space="preserve">57212154057; 23490592400</t>
  </si>
  <si>
    <t xml:space="preserve">A probe into performance analysis of real-time forecasting of endemic infectious diseases using machine learning and deep learning algorithms</t>
  </si>
  <si>
    <t xml:space="preserve">The current work aims at probing the performance of real-time forecasting of endemic infectious diseases by means of machine learning and deep learning techniques. An LSTM-based time series forecasting framework and machine learning-based framework are proposed for forecasting the endemic infectious diseases in real time. With recent outbreaks of Ebola, Zika, cholera, and COVID 2019, a question is being raised on our alertness as well as preparedness toward controlling the spread of these pandemics. Accurate and reliable prediction occurrences of these diseases are compulsory for the health personals to enable timely response in handling these outbreaks. The diversities of the communities make it more complex along with the humongous data generated due to the convergence of SMAC technologies. The data generated due to this complex network is nonlinear and non-stationary. Processing of this data requires an effort from a multidimensional perspective. The current work proposed the utilization of machine learning and deep learning-based long short-term memory (LSTM) techniques for the assessment of time series forecasting of casualties in case of cholera outbreak that happened recently in Yemen. The feasibility of these two techniques is probed using performance evaluation metrics. The core objective of using these two techniques is in considering nonlinear and non-stationary behavior. © The Author(s), under exclusive license to Springer Nature Singapore Pte Ltd. 2021.</t>
  </si>
  <si>
    <t xml:space="preserve">10.1007/978-981-16-0538-3_12</t>
  </si>
  <si>
    <t xml:space="preserve">https://www.scopus.com/inward/record.uri?eid=2-s2.0-85105085458&amp;doi=10.1007%2f978-981-16-0538-3_12&amp;partnerID=40&amp;md5=9f4fba89279e5f4dcded1766e4b438f4</t>
  </si>
  <si>
    <t xml:space="preserve">Remote Sensing Laboratory, Institute of Environment and Sustainable Development, Banaras Hindu University, Varanasi, 221005, India</t>
  </si>
  <si>
    <t xml:space="preserve">Pandey M.K., Remote Sensing Laboratory, Institute of Environment and Sustainable Development, Banaras Hindu University, Varanasi, 221005, India; Srivastava P.K., Remote Sensing Laboratory, Institute of Environment and Sustainable Development, Banaras Hindu University, Varanasi, 221005, India</t>
  </si>
  <si>
    <t xml:space="preserve">Big data computational epidemiology; Epidemic forecasting; LSTM; SMAC; Time series forecasting; Yemen cholera outbreak</t>
  </si>
  <si>
    <t xml:space="preserve">Complex networks; Data handling; Deep learning; Diseases; Forecasting; Learning systems; Long short-term memory; Time series; Infectious disease; Learning techniques; Non-stationary behaviors; Nonstationary; Performance analysis; Performance evaluation metrics; Real-time forecasting; Time series forecasting; Learning algorithms</t>
  </si>
  <si>
    <t xml:space="preserve">Last J., A Dictionary of Epidemiology, (2001); Brauer F., van den Driessche P., Wu J., Mathematical Epidemiology. Lecture Notes in Mathematics 1945, (2008); Pandey M.K., Subbiah K., Performance analysis of time series forecasting using machine learning algorithms for prediction of ebola casualties, Commun Comput Inform Sci, 899, pp. 320-334, (2019); Pandey M.K., Subbiah K., Social networking and big data analytics assisted reliable recommendation system model for internet of vehicles, Internet of vehicles—technologies and Services. IOV 2016. Lecture Notes in Computer Science, 10036, (2016); Pandey M.K., Subbiah K., A novel storage architecture for facilitating efficient analytics of health informatics big data in cloud, 2016 IEEE International Conference on Computer and Information Technology (CIT), pp. 578-585, (2016); Kumar S., Kumar M., Article: Comparison of dynamic load balancing policies in data centers, Int J Comput Appl, 104, 17, pp. 9-13, (2014); Kumar S., Pandey M.K., Nath A., Subbiah K., Singh M.K., Comparative study on machine learning techniques in predicting the QoS-values for web-services recommendations, International Conference on Computing, Communication and Automation, Noida, pp. 161-167, (2015); Kumar S., Pandey M.K., Nath A., Subbiah K., Missing QoS-values predictions using neural networks for cloud computing environments, 2015 International Conference on Computing and Network Communications (Coconet), Trivandrum, pp. 414-419, (2015); Kumar S., Pandey M.K., Nath A., Subbiah K., Performance analysis of ensemble supervised machine learning algorithms for missing value imputation, 2016 2Nd International Conference on Computational Intelligence and Networks (CINE), Bhubaneswar, pp. 160-165, (2016); Singh V.P., Pandey M.K., Singh P.S., Karthikeyan S., An empirical mode decomposition (EMD) enabled long sort term memory (LSTM) based time series forecasting framework for web services recommendation, Frontiers in Artificial Intelligence and Applications, 320, pp. 715-723, (2019); Singh V.P., Pandey M.K., Singh P.S., Karthikeyan S., An econometric time series forecasting framework for web services recommendation, Procedia Computer Science, 167, pp. 1615-1625, (2020); Singh V.P., Pandey M.K., Singh P.S., Karthikeyan S., Neural net time series forecasting framework for time-aware web services recommendation, Proc Comput Sci, 171, pp. 1313-1322, (2020); Singh V.P., Pandey M.K., Singh P.S., Karthikeyan S., An LSTM based time series forecasting framework for web services recommendation, Computación Y Sistemas, 24, 2, (2020); Singh A., Mittal M., Kapoor N., Data processing framework using apache and spark technologies in big data, Big Data Processing Using Spark in Cloud. Studies in Big Data, 43, (2019); Mittal A., Kumar D., Mittal M., Saba T., Abunadi I., Rehman A., Roy S., Detecting pneumonia using convolutions and dynamic capsule routing for chest x-ray images, Sensors, 20, (2020); Mittal M., Arora M., Pandey T., Goyal L.M., Image Segmentation Using Deep Learning Techniques in Medical Images, (2020); Kaur B., Sharma M., Mittal M., Verma A., Mohan Goyal L., Jude Hemanth D., An improved salient object detection algorithm combining background and foreground connectivity for brain image analysis, Comput Electr Eng, 71, pp. 692-703, (2018); Bisset K., Chen J., Feng X., Vullikanti A., Marathe M., EpiFast: A fast algorithm for large scale realistic epidemic simulations on distributed memory systems, The Proceeding of 23Rd ACM International Conference on Supercomputing (ICS-09), (2009); Salathe M., Et al., Digital epidemiology, Plos Comput Biol, 8, 7, (2012); Nsoesie E.O., Brownstein J.S., Ramakrishnan N., Marathe M., A systematic review of studies on forecasting the dynamics of influenza outbreaks, Influenza Other Respir Viruses, 8, 3, pp. 309-316, (2013); Nishiura H., Real-time forecasting of an epidemic using a discrete time stochastic model: A case study of pandemic influenza (H1N1-2009), Biomed Eng Online, 10, 1, (2011); Ohkusa Y., Sugawara T., Taniguchi K., Okabe N., Real-time estimation and prediction for pandemic A/H1N1(2009) in Japan, J Infect Chemother, 17, 4, pp. 468-472, (2011); Hall I.M., Gani R., Hughes H.E., Leach S., Real-time epidemic forecasting for pandemic influenza, Epidemiol Infect, 135, 3, pp. 372-385, (2007); Shaman J., Karspeck A., Forecasting seasonal outbreaks of influenza, Proc Natl Acad Sci USA, 109, 50, pp. 20425-20430, (2012); Shaman J., Goldstein E., Lipsitch M., Absolute humidity and pandemic versus epidemic influenza, Am J Epidemiol, 173, 2, pp. 127-135, (2010); Shaman J., Pitzer V.E., Viboud C., Grenfell B.T., Lipsitch M., Absolute humidity and the seasonal onset of influenza in the continental United States, Plos Biol, 8, 2, (2010); Chakraborty P., Khadivi P., Lewis B., Mahendiran A., Chen J., Butler P., Nsoesie E.O., Mekaru S.R., Brownstein J.S., Marathe M.V., Ramakrishnan N., Forecasting a moving target: Ensemble models for ILI case count predictions, Proceedings of the 2014 SIAM International Conference on Data Mining, pp. 262-270, (2014); Ramadona A.L., Lazuardi L., Hii Y.L., Holmner A., Kusnanto H., Rocklov J., Prediction of dengue outbreaks based on disease surveillance and meteorological data, Plos ONE, 11, 3, (2016); Liao Y., Et al., A new method for assessing the risk of infectious disease outbreak, Sci Rep, 7, (2017); Sharma S., Mangat V., Relevance vector machine classification for big data on Ebola outbreak, 2015 1St International Conference on Next Generation Computing Technologies (NGCT), Dehradun, pp. 639-643, (2015); Marathe M., Assisting H1N1 and Ebola outbreak response through high performance networked epidemiology, 2015 IEEE International Parallel and Distributed Processing Symposium, pp. 831-831, (2015); Ristic B., Dawson P., Real-time forecasting of an epidemic outbreak: Ebola 2014/2015 case study, 2016 19Th International Conference on Information Fusion (FUSION), pp. 1983-1990, (2016); Wang Y., Gu J., A hybrid prediction model applied to diarrhea time series, 2015 12Th International Conference on Fuzzy Systems and Knowledge Discovery (FSKD), Zhangjiajie, pp. 1096-1102, (2015); Bishop C.M., Pattern Recognition and Machine Learning, (2006); Kingma D., Ba J., Adam: A Method for Stochastic Optimization., (2014); Hochreiter S., Schmidhuber J., Long short-term memory, Neural Comput, 9, 8, pp. 1735-1780, (1997); Glorot X., Bengio Y., Understanding the difficulty of training deep feedforward neural networks, Proceedings of the Thirteenth International Conference on Artificial Intelligence and Statistics, pp. 249-256, (2010); He K., Zhang X., Ren S., Sun J., Delving deep into rectifiers: Surpassing human-level performance on imagenet classification, Proceedings of the IEEE International Conference on Computer Vision, pp. 1026-1034, (2015); Saxe A.M., McClelland J.L., Ganguli S., Exact Solutions to the Nonlinear Dynamics of Learning in Deep Linear Neural Networks, (2013); Murphy K.P., Machine Learning: A Probabilistic Perspective, (2012); Pascanu R., Mikolov T., Bengio Y., On the difficulty of training recurrent neural networks, Proceedings of the 30Th International Conference on Machine Learning, 28, 3, pp. 1310-1318, (2013); Hall M., Frank E., Holmes G., Pfahringer B., Reutemann P., Witten I.H., The WEKA data mining software: An update, SIGKDD Explor Newsl, 11, pp. 10-18, (2009); Shevade S.K., Keerthi S.S., Bhattacharyya C., Murthy K.R.K., Improvements to the SMO algorithm for SVM regression, IEEE Transactions on Neural Networks, (1999); Smola A.J., Schoelkopf B., A Tutorial on Support Vector Regression, (1998); Breiman L., Bagging predictors, Mach Learn, 24, 2, pp. 123-140, (1996); Breiman L., Random forests, Mach Learn, 45, 1, pp. 5-32, (2001)</t>
  </si>
  <si>
    <t xml:space="preserve">M.K. Pandey; Remote Sensing Laboratory, Institute of Environment and Sustainable Development, Banaras Hindu University, Varanasi, 221005, India; email: pandey.manish@live.com</t>
  </si>
  <si>
    <t xml:space="preserve">2-s2.0-85105085458</t>
  </si>
  <si>
    <t xml:space="preserve">Agrawal R.; Gupta N.</t>
  </si>
  <si>
    <t xml:space="preserve">Agrawal, Rashmi (55791754000); Gupta, Neha (57189757459)</t>
  </si>
  <si>
    <t xml:space="preserve">55791754000; 57189757459</t>
  </si>
  <si>
    <t xml:space="preserve">Analysis of COVID-19 data using machine learning techniques</t>
  </si>
  <si>
    <t xml:space="preserve">Coronovirus (COVID-19) has impacted the entire world and researchers across the globe are working day and night to identify and predict the patterns related to it. Hundreds of clinical trials are underway to generate the possible cure of the disease. The devastating and uncontrolled worldwide spread of COVID-19 triggered unprecedented global lock-downs and a massive burden on healthcare systems. WHO has recommended an immediate research study of the existing data to understand the care and measures required for COVID-19. In this paper we have listed various machine learning approaches that have been used in the past for the formulation of pandemics e.g., Ebola, H1N1 influenza, Zika, norovirus. Paper also discusses the analysis of COVID-19 patients’ data to classify and predict people based on their vulnerability or resistance to potential COVID-19 infection. Recommendation of various machine learning models to predict the pattern of the COVID-19 related parameters has also been presented. We have also analyzed real-time COVID-19 dataset having data from countries across the globe to understand the pattern of the outbreak of coronavirus. © The Author(s), under exclusive license to Springer Nature Singapore Pte Ltd. 2021.</t>
  </si>
  <si>
    <t xml:space="preserve">surveillaance</t>
  </si>
  <si>
    <t xml:space="preserve">10.1007/978-981-15-8335-3_45</t>
  </si>
  <si>
    <t xml:space="preserve">https://www.scopus.com/inward/record.uri?eid=2-s2.0-85116959196&amp;doi=10.1007%2f978-981-15-8335-3_45&amp;partnerID=40&amp;md5=d86707a3077faa79ff125c9265509077</t>
  </si>
  <si>
    <t xml:space="preserve">Manav Rachna International Institute of Research and Studies, Faridabad, India</t>
  </si>
  <si>
    <t xml:space="preserve">Agrawal R., Manav Rachna International Institute of Research and Studies, Faridabad, India; Gupta N., Manav Rachna International Institute of Research and Studies, Faridabad, India</t>
  </si>
  <si>
    <t xml:space="preserve">Artificial intelligence; Classification; Clustering; COVID-19; Machine learning; Pattern identification</t>
  </si>
  <si>
    <t xml:space="preserve">Diseases; Forecasting; Clinical trial; Coronaviruses; Health-care system; Machine learning approaches; Machine learning models; Machine learning techniques; Norovirus; Research studies; Machine learning</t>
  </si>
  <si>
    <t xml:space="preserve">Huang C., Wang Y., Li X., Et al., Clinical features of patients infected with 2019 novel coronavirus in Wuhan, China, Lancet, (2020); Guan W., Ni Z., Hu Y., Et al., Clinical characteristics of coronavirus disease 2019 in China, New Engl J Med, (2020); Shao Y., Wu J., IDM editorial statement on the 2019nCoV, Infect Dis Model, 5, pp. 233-234, (2020); Liang R., Lu Y., Qu X., Su Q., Li C., Xia S., Liu Y., Zhang Q., Cao X., Chen Q., Et al., Prediction for global African swine fever outbreaks based on a combination of random forest algorithms and meteorological data, Transboundary Emerg Dis, 67, pp. 935-946, (2020); Tapak L., Hamidi O., Fathian M., Karami M., Comparative evaluation of time series models for predicting influenza outbreaks: Application of influenzalike illness data from sentinel sites of healthcare centers in Iran, BMC Res Notes, (2019); Raja D.B., Mallol R., Ting C.Y., Kamaludin F., Ahmad R., Ismail S., Jayaraj V.J., Sundram B.M., Artificial intelligence model as predictor for dengue outbreaks, Malays J Public Health Med, 19, pp. 103-108, (2019); Iqbal N., Islam M., Machine learning for dengue outbreak prediction: A performance evaluation of different prominent classifiers, Informatica, 43, pp. 363-371, (2019); Koike F., Morimoto N., Supervised forecasting of the range expansion of novel non-indigenous organisms: Alien pest organisms and the 2009 H1N1 flu pandemic, Global Ecol Biogeogr, 27, pp. 991-1000, (2018); Chenar S.S., Deng Z., Development of artificial intelligence approach to forecasting oyster norovirus outbreaks along Gulf of Mexico coast, Environ Int, 111, pp. 212-223, (2018); Chenar S.S., Deng Z., Development of genetic programmingbased model for predicting oyster norovirus outbreak risks, Water Res, 128, pp. 20-37, (2018); Riou J., Althaus C.L., Pattern of early humantohuman transmission of Wuhan 2019 novel coronavirus (2019nCoV), December 2019 to January 2020, Euro Surveillance, 25, 4, (2020)</t>
  </si>
  <si>
    <t xml:space="preserve">N. Gupta; Manav Rachna International Institute of Research and Studies, Faridabad, India; email: neha.fca@mriu.edu.in</t>
  </si>
  <si>
    <t xml:space="preserve">2-s2.0-85116959196</t>
  </si>
  <si>
    <t xml:space="preserve">Vandana; Sethi K.; Gupta A.</t>
  </si>
  <si>
    <t xml:space="preserve">Vandana (57225202278); Sethi, Kapil (57210106186); Gupta, Ankit (57197874356)</t>
  </si>
  <si>
    <t xml:space="preserve">57225202278; 57210106186; 57197874356</t>
  </si>
  <si>
    <t xml:space="preserve">Computational approaches for malaria diagnosis using machine learning: A review</t>
  </si>
  <si>
    <t xml:space="preserve">Computational assistance is reducing human intervention in almost every domain. Machine learning techniques are kind of computational assistance which deals with the ability to automatically learn and enhance with the experience, without being explicitly programmed. Machine learning is pivotal in terms of delivering high output, competence, reduction in cost and time necessity in approximately all fields such as electrical, medical, bioinformatics, chemistry and information technology. Malaria is a life-threatening disease and causes a huge burden on humans. There were 212 million cases of malaria in 2015and 429 000 deaths were reported due to it. It is a widespread disease found in Asia, Europe, and America. But there is no vaccines available for malaria parasites which can be used widely despite of several efforts to develop it. The condition has become worst as all available drugs have shown resistance in some cases. Lots of research has been carried out and genomes of different pathogenic 'Plasmodium' species are now available. Image analysis software and machine learning methods are used to diagnose 'parasitemia' in microscopic blood slides. According to the literature, special techniques are used for image preprocessing, parasite detection, cell segmentation, feature computation and automatic cell classification. Molecular-biological techniques are used to classify the growth of drug-resistance, species identification and enumerating parasite density with low parasitemia. Finally, the stage of malaria endemicity, the insistence of analysis, the incident of the physician, the efficiency of health framework workers and resources are all the factors which influence the choice of malaria-diagnostic method. © 2021 Nova Science Publishers, Inc.</t>
  </si>
  <si>
    <t xml:space="preserve">Mobile Health: Advances in Research and Applications</t>
  </si>
  <si>
    <t xml:space="preserve">https://www.scopus.com/inward/record.uri?eid=2-s2.0-85109468526&amp;partnerID=40&amp;md5=65b5936b40b3375b2e66d8c1af58bd4c</t>
  </si>
  <si>
    <t xml:space="preserve">School of Electrical and Computer Science, Shoolini University of Biotechnology and Management Sciences, Solan, Himachal Pradesh, India; Interactive Technologies Institute (ITI/LARSyS) and M-ITI, Funchal, Portugal</t>
  </si>
  <si>
    <t xml:space="preserve">Vandana, School of Electrical and Computer Science, Shoolini University of Biotechnology and Management Sciences, Solan, Himachal Pradesh, India; Sethi K., School of Electrical and Computer Science, Shoolini University of Biotechnology and Management Sciences, Solan, Himachal Pradesh, India; Gupta A., Interactive Technologies Institute (ITI/LARSyS) and M-ITI, Funchal, Portugal</t>
  </si>
  <si>
    <t xml:space="preserve">Adeoye G., Nga I., Comparison of Quantitative Buffy Coat technique (QBC) with Giemsa-stained Thick Film (GTF) for diagnosis of malaria, Parasitology international, 56, 4, pp. 308-312, (2007); Ahmad M.A., Eckert C., Et al., Interpretable machine learning in healthcare, Proceedings of the 2018 ACM international conference on bioinformatics, computational biology, and health informatics, (2018); Banerjee I., Ling Y., Et al., Comparative effectiveness of convolutional neural network (CNN) and recurrent neural network (RNN) architectures for radiology text report classification, Artificial intelligence in medicine, 97, pp. 79-88, (2019); Bhandari P., Raghuveer C., Et al., Comparative study of peripheral blood smear, quantitative buffy coat and modified centrifuged blood smear in malaria diagnosis, Indian Journal of Pathology and Microbiology, 51, 1, (2008); Bousema T., Drakeley C., Epidemiology and infectivity of Plasmodium falciparum and Plasmodium vivax gametocytes in relation to malaria control and elimination, Clinical microbiology reviews, 24, 2, pp. 377-410, (2011); Chaurasia V., Pal S., Data mining approach to detect heart diseases, International Journal of Advanced Computer Science and Information Technology (IJACSIT), 2, pp. 56-66, (2014); Das D.K., Ghosh M., Et al., Machine learning approach for automated screening of malaria parasite using light microscopic images, Micron, 45, pp. 97-106, (2013); Deng L., A tutorial survey of architectures, algorithms, and applications for deep learning, APSIPA Transactions on Signal and Information Processing 3, (2014); Diaspro A., Chirico G., Et al., Photobleaching, Handbook of biological confocal microscopy, pp. 690-702, (2006); Dowling M., Shute G., A comparative study of thick and thin blood films in the diagnosis of scanty malaria parasitaemia, Bulletin of the world health organization, 34, 2, (1966); Grewal R., Pharmacology of 8-aminoquinolines, Bulletin of the world health organization, 59, 3, (1981); Gaba D.M., Anaesthesiology as a model for patient safety in health care, BMJ, 320, 7237, pp. 785-788, (2000); Gayathri B., Sumathi C., Comparative study of relevance vector machine with various machine learning techniques used for detecting breast cancer, 2016 IEEE International Conference on Computational Intelligence and Computing Research (ICCIC), (2016); Giger M.L., Machine learning in medical imaging, Journal of the American College of Radiology, 15, 3, pp. 512-520, (2018); Houwen B., Blood film preparation and staining procedures, Clinics in laboratory medicine, 22, 1, pp. 1-14, (2002); Jan Z., Khan A., Et al., A review on automated diagnosis of malaria parasite in microscopic blood smears images, Multimedia Tools and Applications, 77, 8, pp. 9801-9826, (2018); Janse C.J., Van Vianen P.H., Flow cytometry in malaria detection, Methods in cell biology, 42, pp. 295-318, (1994); Kawamoto F., Rapid diagnosis of malaria by fluorescence microscopy with light microscope and interference filter, The Lancet, 337, 8735, pp. 200-202, (1991); Kayalibay B., Jensen G., Et al., "CNN-based segmentation of medical imaging data. ", (2017); Keiser J., Utzinger J., Et al., Acridine Orange for malaria diagnosis: Its diagnostic performance, its promotion and implementation in Tanzania, and the implications for malaria control, Annals of Tropical Medicine &amp; Parasitology, 96, 7, pp. 643-654, (2002); Khan S., Yairi T., A review on the application of deep learning in system health management, Mechanical Systems and Signal Processing, 107, pp. 241-265, (2018); Kosek M., Bern C., Et al., The global burden of diarrhoeal disease, as estimated from studies published between 1992 and 2000, Bulletin of the world health organization, 81, pp. 197-204, (2003); Kousarrizi M.N., Seiti F., Et al., An experimental comparative study on thyroid disease diagnosis based on feature subset selection and classification, International Journal of Electrical &amp; Computer Sciences IJECS-IJENS, 12, 1, pp. 13-20, (2012); Kumari V.A., Chitra R., Classification of diabetes disease using support vector machine, International Journal of Engineering Research and Applications, 3, 2, pp. 1797-1801, (2013); Laishram D.D., Sutton P.L., Et al., The complexities of malaria disease manifestations with a focus on asymptomatic malaria, Malaria journal, 11, 1, pp. 1-15, (2012); Lee S.A., Leitao R., Et al., Color capable sub-pixel resolving optofluidic microscope and its application to blood cell imaging for malaria diagnosis, PloS one, 6, 10, (2011); Libbrecht M.W., Noble W.S., Machine learning applications in genetics and genomics, Nature Reviews Genetics, 16, 6, pp. 321-332, (2015); Loftus T.J., Tighe P.J., Et al., Opportunities for machine learning to improve surgical ward safety, The American Journal of Surgery, (2020); Low Y., Gonzalez J., Et al., "Distributed graphlab: A framework for machine learning in the cloud. ", (2012); Lv H., Tang H., Machine learning methods and their application research, 2011 2nd International Symposium on Intelligence Information Processing and Trusted Computing, (2011); Manogaran G., Lopez D., A survey of big data architectures and machine learning algorithms in healthcare, International Journal of Biomedical Engineering and Technology, 25, 2-4, pp. 182-211, (2017); Michie D., Spiegelhalter D.J., Et al., Machine learning, Neural and Statistical Classification, 13, 1994, pp. 1-298, (1994); Mitchell T.M., Machine learning and data mining, Communications of the ACM, 42, 11, pp. 30-36, (1999); Mosavi A., Ozturk P., Et al., Flood prediction using machine learning models: Literature review, Water, 10, 11, (2018); Murray H.W., Pepin J., Et al., Tropical medicine, BMJ, 320, 7233, pp. 490-494, (2000); Mwangi T.W., Mohammed M., Et al., Clinical algorithms for malaria diagnosis lack utility among people of different age groups, Tropical Medicine &amp; International Health, 10, 6, pp. 530-536, (2005); Nadjm B., Behrens R.H., Malaria: An update for physicians, Infectious Disease Clinics, 26, 2, pp. 243-259, (2012); Nakaura T., Higaki T., Et al., A primer for understanding radiology articles about machine learning and deep learning, Diagnostic and Interventional Imaging, (2020); Ngasala B., Mubi M., Et al., Impact of training in clinical and microscopy diagnosis of childhood malaria on antimalarial drug prescription and health outcome at primary health care level in Tanzania: A randomized controlled trial, Malaria journal, 7, 1, pp. 1-11, (2008); Organization W.H., Global health risks: Mortality and burden of disease attributable to selected major risks, (2009); Organization W.H., Guidelines for the treatment of malaria, (2015); Organization W.H., Malaria microscopy quality assurance manual-version 2, (2016); Organization W.H., World malaria report 2015, (2016); Pentland A., Healthwear: Medical technology becomes wearable, Computer, 37, 5, pp. 42-49, (2004); Pirnstill C.W., Cote G.L., Malaria diagnosis using a mobile phone polarized microscope, Scientific reports, 5, (2015); Plewes K., Leopold S.J., Et al., Malaria: What's new in the management of malaria?, Infectious Disease Clinics, 33, 1, pp. 39-60, (2019); Pluta M., Maksymilian P., Advanced light microscopy, (1988); Quinn J.A., Andama A., Et al., Automated blood smear analysis for mobile malaria diagnosis, Mobile Point-of-Care Monitors and Diagnostic Device Design, 31, pp. 115-132, (2014); Reiners A.A.O., de Souza Azevedo R.C., Et al., Adesâo E Reaçôes De Usuarios Ao Tratamento Da Malària: Implicaçôes Para A Educaçâo Em Saúde. , Texto &amp; Contexto Enfermagem, 19, 3, (2010); Reyburn H., Mbatia R., Et al., Overdiagnosis of malaria in patients with severe febrile illness in Tanzania: A prospective study, BMJ, 329, 7476, (2004); Roberts D., Matthews G., Risk factors of malaria in children under the age of five years old in Uganda, Malaria journal, 15, 1, (2016); Rosado L., Da Costa J.M.C., Et al., Automated detection of malaria parasites on thick blood smears via mobile devices, Procedia Computer Science, 90, pp. 138-144, (2016); Salehi A.W., Baglat P., Et al., A CNN Model: Earlier Diagnosis and Classification of Alzheimer Disease using MRI, 2020 International Conference on Smart Electronics and Communication (ICOSEC), (2020); Samba E., The burden of malaria in Africa, Africa health, 19, 2, (1997); Sethi K., Gupta A., Et al., Comparative Analysis of Machine Learning Algorithms on Different Datasets, Circulation in Computer Science International Conference on Innovations in Computing (ICIC 2017), (2019); Sethi K., Jaiswal V., Et al., Machine learning based support system for students to select stream (subject), Recent Advances in Computer Science and Communications (Formerly: Recent Patents on Computer Science, 13, 3, pp. 336-344, (2020); Shah K., Patel H., Et al., A comparative analysis of logistic regression, random Forest and KNN models for the text classification, Augmented Human Research, 5, 1, pp. 1-16, (2020); Shailaja K., Seetharamulu B., Et al., Machine Learning in Healthcare: A Review, 2018 Second International Conference on Electronics, Communication and Aerospace Technology (ICECA), IEEE, (2018); Shajahaan S.S., Shanthi S., Et al., Application of data mining techniques to model breast cancer data, International Journal of Emerging Technology and Advanced Engineering, 3, 11, pp. 362-369, (2013); Shrivastavat S.S., Sant A., Et al., An overview on data mining approach on breast cancer data, International Journal of Advanced Computer Research, 3, 4, (2013); Shute G., Sodeman T., Identification of malaria parasites by fluorescence microscopy and acridine orange staining, Bulletin of the world health organization, 48, 5, (1973); Singh S., Kiran V., Et al., Application of Proline and Mannitol On Lepidium Sativum L. Under Abiotic Stress Condition (Heavy Metal Stress); Sivakami K., Saraswathi N., Mining big data: Breast cancer prediction using DT-SVM hybrid model, International Journal of Scientific Engineering and Applied Science, 1, 5, pp. 418-429, (2015); Skandarajah A., Reber C.D., Et al., Quantitative imaging with a mobile phone microscope, PloSone, 9, 5, (2014); Suwalka I., Sanadhya A., Et al., Identify malaria parasite using pattern recognition technique, 2012 International Conference on Computing, Communication and Applications, IEEE, (2012); Suzuki K., Overview of deep learning in medical imaging, Radiological physics and technology, 10, 3, pp. 257-273, (2017); Tangpukdee N., Duangdee C., Et al., Malaria diagnosis: A brief review, The Korean journal ofparasitology, 47, 2, (2009); Tauil P.L., Perspectivas de controle de doenças transmitidas por vetores no Brasil. , Revista da sociedade brasileira de medicina tropical, 39, 3, pp. 275-277, (2006); Vembandasamy K., Sasipriya R., Et al., Heart diseases detection using Naive Bayes algorithm, International Journal of Innovative Science, Engineering &amp; Technology, 2, 9, pp. 441-444, (2015); Vink J., Laubscher M., Et al., An automatic vision-based malaria diagnosis system, Journal of microscopy, 250, 3, pp. 166-178, (2013); Wang S., Summers R.M., Machine learning and radiology, Medical image analysis, 16, 5, pp. 933-951, (2012); Williams D., Hill J., Machine learning, (2005); Wongsrichanalai C., Barcus M.J., Et al., A review of malaria diagnostic tools: Microscopy and rapid diagnostic test (RDT), The American journal of tropical medicine and hygiene, 77, (2007); Wongsrichanalai C., Kawamoto F., Fluorescent microscopy and fluorescent labelling for malaria diagnosis, Encyclopedia of Malaria, (2014); Wu C.-J., Brooks D., Et al., Machine learning at facebook: Understanding inference at the edge, 2019 IEEE International Symposium on High Performance Computer Architecture (HPCA), (2019); Zhang L., Tan J., Et al., From machine learning to deep learning: Progress in machine intelligence for rational drug discovery, Drug discovery today, 22, 11, pp. 1680-1685, (2017); Zofou D., Nyasa R.B., Et al., Control Of Malaria And Other Vector-Borne Protozoan Diseases In The Tropics: Enduring Challenges Despite Considerable Progress And Achievements, Infectious Diseases of Poverty, 3, 1, (2014)</t>
  </si>
  <si>
    <t xml:space="preserve">K. Sethi; School of Electrical and Computer Science, Shoolini University of Biotechnology and Management Sciences, Solan, Himachal Pradesh, India; email: kapil.7sethi@gmail.com</t>
  </si>
  <si>
    <t xml:space="preserve">978-153619468-5; 978-153619420-3</t>
  </si>
  <si>
    <t xml:space="preserve">Mob. Health: Adv. in Res. and Appl.</t>
  </si>
  <si>
    <t xml:space="preserve">2-s2.0-85109468526</t>
  </si>
  <si>
    <t xml:space="preserve">Ghosh A.; Parui S.; Samanta D.; Mukhopadhyay J.; Chakravorty N.</t>
  </si>
  <si>
    <t xml:space="preserve">Ghosh, Archita (57226361429); Parui, Sricheta (57202688893); Samanta, Debasis (24069596900); Mukhopadhyay, Jayanta (58722066100); Chakravorty, Nishant (55232957100)</t>
  </si>
  <si>
    <t xml:space="preserve">57226361429; 57202688893; 24069596900; 58722066100; 55232957100</t>
  </si>
  <si>
    <t xml:space="preserve">Computer Aided Diagnosis: Approaches to Automate Hematological Tests: Approaches to Automate Hematological Tests</t>
  </si>
  <si>
    <t xml:space="preserve">Hematological disorders are disorders pertaining to blood cell anomalies. Diseases varying from anemia, malaria to leukemia are diagnosed via careful scrutiny of peripheral blood smears (PBS) prepared on glass slides. Usually, the tests are performed in laboratory settings by skilled professionals and clinicians to reach a diagnosis. However, human error due to fatigue and observational oversights might lead to a misdiagnosis. Automated systems are therefore developed to assist the diagnostic procedure of clinicians and provide them with meaningful insights. Computer aided diagnosis is mostly concerned with the evaluation of medical images by employing various image processing techniques. The chapter gives an overview of the stages in developing a computer aided diagnosis system. It concentrates toward the common approaches in designing and developing an assisting system to detect abnormalities in blood samples using image processing tools alongside tools like machine learning and deep learning. The chapter addresses steps like pre-processing, image segmentation, feature extraction, pattern recognition and classification while focusing on specific studies on blood disorders. © 2021, The Author(s), under exclusive license to Springer Nature Singapore Pte Ltd.</t>
  </si>
  <si>
    <t xml:space="preserve">Studies in Systems, Decision and Control</t>
  </si>
  <si>
    <t xml:space="preserve">10.1007/978-981-15-9612-4_5</t>
  </si>
  <si>
    <t xml:space="preserve">https://www.scopus.com/inward/record.uri?eid=2-s2.0-85101043968&amp;doi=10.1007%2f978-981-15-9612-4_5&amp;partnerID=40&amp;md5=52a788017ba76bb0c779a5071ccb4c2c</t>
  </si>
  <si>
    <t xml:space="preserve">School of Medical Science &amp; Technology, Indian Institute of Technology Kharagpur, Kharagpur, West Bengal, 721302, India; Advanced Technology Development Centre, Indian Institute of Technology Kharagpur, Kharagpur, West Bengal, 721302, India; Department of Computer Science &amp; Engineering, Indian Institute of Technology Kharagpur, Kharagpur, West Bengal, 721302, India</t>
  </si>
  <si>
    <t xml:space="preserve">Ghosh A., School of Medical Science &amp; Technology, Indian Institute of Technology Kharagpur, Kharagpur, West Bengal, 721302, India; Parui S., Advanced Technology Development Centre, Indian Institute of Technology Kharagpur, Kharagpur, West Bengal, 721302, India; Samanta D., Department of Computer Science &amp; Engineering, Indian Institute of Technology Kharagpur, Kharagpur, West Bengal, 721302, India; Mukhopadhyay J., Department of Computer Science &amp; Engineering, Indian Institute of Technology Kharagpur, Kharagpur, West Bengal, 721302, India; Chakravorty N., School of Medical Science &amp; Technology, Indian Institute of Technology Kharagpur, Kharagpur, West Bengal, 721302, India</t>
  </si>
  <si>
    <t xml:space="preserve">Blood cell images; Classification; Computer aided diagnosis; Hematological disorders; Image processing; Segmentation</t>
  </si>
  <si>
    <t xml:space="preserve">IMPRINT-India, (5968); Ministry of Human Resource Development, MHRD; Ministry of Health and Family Welfare, MOHFW</t>
  </si>
  <si>
    <t xml:space="preserve">Acknowledgements The authors are thankful to Indian Institute of Technology, Kharagpur for providing the infrastructural support. We are thankful to Mr. Motiur Rahaman for his help with the rudimentary representative blood cell images. Special thanks to Ministry of Human Resource Development, Government of India and Ministry of Health and Family Welfare, Government of India for providing financial assistance through the IMPRINT-India initiative for project no. 5968, titled “Development of a portable decision support tool for screening high risk antenatal cases at household level by community health workers”.</t>
  </si>
  <si>
    <t xml:space="preserve">Doi K., Computer-aided diagnosis in medical imaging: Historical review, current status and future potential, Comput. Med. Imaging Graph., 31, 4-5, pp. 198-211, (2007); Li Q., Nishikawa R.M., Computer-Aided Detection and Diagnosis in Medical Imaging, (2015); Jalalian A., Et al., Foundation and methodologies in computer-aided diagnosis systems for breast cancer detection, EXCLI J, 16, (2017); Balogh E.P., Et al., The Path to Improve Diagnosis and Reduce Diagnostic Error. In: Improving Diagnosis in Health Care; Dubey R.B., Hanmandlu M., Integration of CAD into PACS, 2012 2Nd International Conference on Power, Control and Embedded Systems, Pp. 1–6. IEEE, (2012); Castellino R.A., Computer aided detection (CAD): An overview, Cancer Imaging, 5, 1, (2005); Rogers W., Ryack B., Moeller G., Computer-aided medical diagnosis: Literature review, Int. J. Bio-Med. Comput., 10, 4, pp. 267-289, (1979); Foran D.J., Chen W., Yang L., Automated image interpretation and computer-assisted diagnostics, Stud Health Technol Inform, 185, pp. 77-108, (2013); Kiszka K., Haduch J., Pasowicz M., Application of computer aided diagnosis (CAD) in clinical imaging. Presentation of the value and current directions in CAD development in various imaging techniques based on literature review, Przeglad Lekarski, 66, 8, pp. 437-447, (2009); Fleming K.A., Et al., The International Bank for Reconstruction and Development/The World Bank, Disease Control Priorities: Improving Health and Reducing Poverty, (2017); de la Salle B., Pre-and postanalytical errors in haematology, Int. J. Lab. Hematol., 41, pp. 170-176, (2019); Rodak B.F., Keohane E.M., Fritsma G.A., Hematology-E-Book: Clinical Principles and Applications, (2013); Cahan A., Cimino J.J., A learning health care system using computer-aided diagnosis, J. Med. Internet Res., 19, 3, (2017); Mar C.D., Doust C.D., Glasziou P., Clinical Thinking, (2007); Kahneman D., Klein G., Conditions for intuitive expertise: A failure to disagree, Am. Psychol., 64, 6, (2009); Hegde R.B., Et al., Peripheral blood smear analysis using image processing approach for diagnostic purposes: A review, Biocybernetics Biomed. Eng., 38, 3, pp. 467-480, (2018); Shattil S.J., A (Blood) Smear Campaign, (2003); Bain B.J., Diagnosis from the blood smear, N. Engl. J. Med., 353, 5, pp. 498-507, (2005); Nilsson B., Heyden A., Segmentation of dense leukocyte clusters, Proceedings IEEE Workshop on Mathematical Methods in Biomedical Image Analysis (MMBIA 2001), Pp. 221–227. IEEE, (2001); Tomari R., Et al., Computer aided system for red blood cell classification in blood smear image, Proced. Comput. Sci., 42, pp. 206-213, (2014); Ross N.E., Et al., Automated image processing method for the diagnosis and classification of malaria on thin blood smears, Med. Biol. Eng. Comput., 44, 5, pp. 427-436, (2006); Dave I.R., Kishor P., Upla.: Computer aided diagnosis of Malaria disease for thin and thick blood smear microscopic images, 4Th International Conference on Signal Processing and Integrated Networks (SPIN), Vol. 2017, Pp. 561–565. IEEE, (2017); Adatrao S., Mittal M., An analysis of different image preprocessing techniques for determining the centroids of circular marks using hough transform, 2016 2Nd International Conference on Frontiers of Signal Processing (ICFSP), pp. 110-115, (2016); Gonzalez R.C., Woods R.E., Eddins S.L., Digital Image Processing Using MATLAB, (2004); Kaur R., Kaur S., Comparison of contrast enhancement techniques for medical image, 2016 Conference on Emerging Devices and Smart Systems (ICEDSS), Pp. 155–159. IEEE, (2016); Victor Haryanto S.E., Et al., Malaria parasite detection with histogram color space method in Giemsa-stained blood cell images, 2017 5Th International Conference on Cyber and IT Service Management (CITSM), pp. 1-4, (2017); Sheeba F., Et al., Detection of poor quality peripheral blood smear images used in detection of leukocytes and erythrocytes, 2017 Fourth International Conference on Image Information Processing (ICIIP), pp. 1-4, (2017); Micheli-Tzanakou E., Sheikh H., Zhu B., Neural networks and blood cell identification, J. Med. Syst., 21, 4, pp. 201-210, (1997); Poon S.S.S., Ward R.K., Palcic B., Automated image detection and segmentation in blood smears, Cytometry: J. Int. Soc. Anal. Cytol., 13, 7, pp. 766-774, (1992); Harms H., Et al., Segmentation of stained blood cell images measured at high scanning density with high magnification and high numerical aperture optics, Cytom.: J. Int. Soc. Anal. Cytol., 7, 6, pp. 522-531, (1986); Otsu N., A threshold selection method from gray-level histograms, IEEE Trans. Syst. Man, Cybern., 9, 1, pp. 62-66, (1979); Done S., Breast Cancer: Recent Advances in Biology, (2011); Humaimi Mahmood N., Asraf Mansor M., Red blood cells estimation using Hough transform technique, Sig. Image Proc., 3, 2, (2012); Ma Y.-D., Dai R.-L., Li L., A counting and segmentation method of blood cell image with logical and morphological feature of cell, Chin. J. Electron., 11, 1, pp. 53-55, (2002); Beucher S., Meyer F., The morphological approach to segmentation: The watershed transformation, Math. Morphol. Image Proc., 34, pp. 433-481, (1993); Soille P., Morphological Image Analysis: Principles and Applications, (2013); Dorini L.B., Minetto R., Leite N.J., White blood cell segmentation using morphological operators and scale-space analysis, XX Brazilian Symposium on Computer Graphics and Image Processing (SIBGRAPI 2007), Pp. 294–304. IEEE, (2007); Wu J., Et al., A novel color image segmentation method and its application to white blood cell image analysis, 2006 8Th International Conference on Signal Processing, Vol. 2. IEEE, (2006); Diaz G., Manzanera A., Automatic analysis of microscopic images in hematological cytology applications, Clinical Technologies: Concepts, Methodologies, Tools and Applications, pp. 325-352, (2011); Mohamed M., Far B., Guaily A., An efficient technique for white blood cells nuclei automatic segmentation, 2012 IEEE International Conference on Systems, Man, and Cybernetics (SMC), Pp. 220–225. IEEE, (2012); Tosta T.A.A., Unsupervised segmentation of leukocytes images using thresholding neighborhood valley-emphasis, IEEE 28Th International Symposium on Computer-Based Medical Systems, Vol. 2015, Pp. 93–94. IEEE, (2015); Liao Q., Deng Y., An accurate segmentation method for white blood cell images, Proceedings IEEE International Symposium on Biomedical Imaging, Pp. 245-248. IEEE, (2002); Ongun G., Et al., Feature extraction and classification of blood cells for an automated differential blood count system, IJCNN’01. International Joint Conference on Neural Networks. Proceedings (Cat. No. 01CH37222), 4, pp. 2461-2466, (2001); Sadeghian F., Et al., A framework for white blood cell segmentation in microscopic blood images using digital image processing, Biol. Proced. Online, 11, 1, (2009); Xing F., Yang L., Robust nucleus/cell detection and segmentation in digital pathology and microscopy images: A comprehensive review, IEEE Rev. Biomed. Eng., 9, pp. 234-263, (2016); Bala A., An improved watershed image segmentation technique using MATLAB, Int. J. Sci. Eng. Res., 3, 6, pp. 1-4, (2012); Di Ruberto C., Et al., Analysis of infected blood cell images using morphological operators, Image Vis. Comput., 20, 2, pp. 133-146, (2002); Imroze Khan M., Et al., Content based image retrieval approaches for detection of malarial parasite in blood images, Int. J. Biomet. Bioinf. (IJBB), 5, 2, (2011); Sio S.W.S., Et al., MalariaCount: An image analysis-based program for the accurate determination of parasitemia, J. Microbiol. Methods, 68, 1, pp. 11-18, (2007); Arslan S., Ozyurek E., Gunduz-Demir C., A color and shape based algorithm for segmentation of white blood cells in peripheral blood and bone marrow images, Cytometry Part A, 85, 6, pp. 480-490, (2014); Vicar T., Et al., Cell segmentation methods for label-free contrast microscopy: Review and comprehensive comparison, BMC Bioinf, 20, 1, (2019); Rezatofighi S.H., Et al., A new approach to white blood cell nucleus segmentation based on gram-schmidt orthogonalization, 2009 International Conference on Digital Image Processing, Pp. 107–111. IEEE, (2009); Scotti F., Automatic morphological analysis for acute leukemia identification in peripheral blood microscope images, CIMSA. 2005 IEEE International Conference on Computational Intelligence for Measurement Systems and Applications, 2005, Pp. 96–101 IEEE, (2005); Ravi Kumar B., Joseph D.K., Sreenivas T.V., Teager energy based blood cell segmentation, 2002 14Th International Conference on Digital Signal Processing Proceedings. DSP 2002 (Cat. No. 02TH8628), Vol. 2,, Pp. 619–622. IEEE, (2002); Chassery J.-M., Garbay C., An iterative segmentation method based on a contextual color and shape criterion, IEEE Trans. Pattern Anal. Mach. Intell., 6, pp. 794-800, (1984); Ongun G., An automated differential blood count system, Conference Proceedings of the 23Rd Annual International Conference of the IEEE Engineering in Medicine and Biology Society, Vol. 3, Pp. 2583–2586. IEEE, (2001); Madhloom H.T., Kareem S.A., Ariffin H., An image processing application for the localization and segmentation of lymphoblast cell using peripheral blood images, J. Med. Syst., 36, 4, pp. 2149-2158, (2012); Piuri V., Scotti F., Morphological classification of blood leucocytes by microscope images, 2004 IEEE International Conference Oncomputational Intelligence for Measurement Systems and Applications, 2004. CIMSA, Pp. 103–108. IEEE, (2004); Abdul Nasir A.S., Mashor M.Y., Rosline H., Unsupervised colour segmentation of white blood cell for acute leukaemia images, 2011 IEEE International Conference on Imaging Systems and Techniques, pp. 142-145, (2011); Nor Hazlyna H., Et al., Comparison of acute leukemia Image segmentation using HSI and RGB color space, 10Th International Conference on Information Science, Signal Processing and Their Applications (ISSPA 2010), Pp. 749–752. IEEE, (2010); Mohapatra S., Patra D., Automated cell nucleus segmentation and acute leukemia detection in blood microscopic images, 2010 International Conference on Systems in Medicine and Biology, Pp. 49–54. IEEE, (2010); Yang X., Li H., Zhou X., Nuclei segmentation using marker-controlled watershed, tracking using mean-shift, and Kalman filter in time-lapse microscopy, IEEE Trans. Circ. Syst. I: Regular Papers, 53, 11, pp. 2405-2414, (2006); Cheng J., Rajapakse J.C., Et al., Segmentation of clustered nuclei with shape markers and marking function, IEEE Trans. Biomed. Eng., 56, 3, pp. 741-748, (2008); Maitra M., Gupta R.K., Mukherjee M., Detection and counting of red blood cells in blood cell images using hough transform, Int. J. Comput. Appl., 53, 16, (2012); Nasreen N., Kumar C., Nabeel A.P., Counting of RBC using circular hough transform with median filtering, Proceeding of Third National Conference on Emerging Trends in Engineering, pp. 150-153, (2015); Mazalan S.M., Humaimi Mahmood N., Abdul Razak M.A., Automated red blood cells counting in peripheral blood smear image using circular hough transform, 2013 1St International Conference on Artificial Intelligence, Modelling and Simulation, Pp. 320–324. IEEE, (2013); Bala S., Doegar A., Automatic detection of sickle cell in red blood cell using watershed segmentation, Int. J. Adv. Res. Comput. and Commun. Eng, 4, 6, pp. 488-491, (2015); Elsalamony H.A., Sickle anemia and distorted blood cells detection using hough transform based on neural network and decision tree, Proceedings of the International Conference on Image Processing, Computer Vision, and Pattern Recognition (IPCV). the Steering Committee of the World Congress in Computer Science, Computer, P. 1, (2014); Hariharan S., Parvathy H.B., Aruna S.N., An overview of sickle cell anemia special emphasis on image processing on SEM images, Int. J. Appl. Eng Res, 11, 1, pp. 201-208, (2016); Aruna N.S., Hariharan S., Edge detection of sickle cells in red blood cells, Int. J. Comput. Sci. Inf. Technol. (IJCSIT), 5, 3, pp. 4140-4144, (2014); Punitha S., Et al., Detection of malarial parasite in blood using image processing, Asian J. Appl. Sci. Technol. (AJAST), 1, 2, pp. 211-213, (2017); Dara S., Et al., Feature extraction in medical images by using deep learning approach, Int. J. Pure Appl. Math., 120, 6, pp. 305-312, (2018); Umbaugh S.E., Wei Y.-S., Zuke M., Feature extraction in image analysis. A program for facilitating data reduction in medical image classification, IEEE Eng. Med. Biol. Mag., 16, 4, pp. 62-73, (1997); Merino A., Et al., Optimizing morphology through blood cell image analysis, Int. J. Lab. Hematol., 40, pp. 54-61, (2018); Bonilla L.L., Et al., Progress in Industrial Mathematics at ECMI 2006, 12, (2007); Eldar S., Et al., Computer-assisted image analysis of small cell lymphoma of the thyroid gland, Comparison of Nuclear Parameters of Small Lymphocytes in Lymphomas and Hashimoto’s Thyroiditis. Comput. Med. Imaging Graphics, 22, 6, pp. 479-488, (1998); Jahanmehr S.A.H., Et al., Quantitation of cytological parameters of malignant lymphocytes using computerized image analysis, Int. J. Lab. Hematol., 30, 4, pp. 278-285, (2008); Kono K., Et al., Quantitative distinction of the morphological characteristic of erythrocyte precursor cells with texture analysis using gray level co-occurrence matrix, J. Clin. Lab. Anal., 32, 1, (2018); Patel N., Mishra A., Automated leukaemia detection using microscopic images, Proced. Comput. Sci., 58, pp. 635-642, (2015); Puigvi L., Et al., New quantitative features for the morphological differentiation of abnormal lymphoid cell images from peripheral blood, J. Clinic. Pathol., 70, 12, pp. 1038-1048, (2017); Zhou X., Et al., Feature selection for image classification based on a new ranking criterion, J. Comput. Commun., 3, 3, (2015); Vogado L.H.S., Et al., Leukemia diagnosis in blood slides using transfer learning in CNNs and SVM for classification, Eng. Appl. Artif. Intell., 72, pp. 415-422, (2018); Andrew Hall M., Correlation-Based Feature Selection for Machine Learning, (1999); Sun Y., Lou X., Bao B., A novel relief feature selection algorithm based on mean-variance model, J. Inf. Comput. Sci., 8, 16, pp. 3921-3929, (2011); Uguz H., A two-stage feature selection method for text categorization by using information gain, principal component analysis and genetic algorithm, Knowl. Based Syst., 24, 7, pp. 1024-1032, (2011); Kezhi Z.M., Orthogonal forward selection and backward elimination algorithms for feature subset selection, IEEE Trans. Syst. Man, Cybern. Part B (Cybern.), 34, 1, pp. 629-634, (2004); Zhou J., Et al., Streamwise feature selection, J. Mach. Learn. Res, 7, Sep, pp. 1861-1885, (2006); Leardi R., Application of genetic algorithm-PLS for feature selection in spectral data sets, J. Chemometr., 14, 5-6, pp. 643-655, (2000); David B.S., Prototype and feature selection by sampling and random mutation hill climbing algorithms, Machine Learning Proceedings 1994, pp. 293-301, (1994); Ahmad Ubaidillah S.H.S., Grey Relational Analysis Feature Selection for Cancer Classification Using Support Vector Machine, (2014); Jovic A., Brkic K., Bogunovic N., A review of feature selection methods with applications, 38Th International Convention on Information and Communication Technology, Electronics and Microelectronics (MIPRO), Vol. 2015, Pp. 1200–1205. IEEE, (2015); Farmer M.E., Bapna S., Jain A.K., Large scale feature selection using modified random mutation hill climbing, Proceedings of the 17Th International Conference on Pattern Recognition, 2004. ICPR 2004. Vol. 2, Pp. 287–290, IEEE, (2004); Cintra M.E., Et al., Feature subset selection using a fuzzy method, 2009 International Conference on Intelligent Human-Machine Systems and Cybernetics, Vol. 2, Pp. 214–217. IEEE, (2009); Kohavi R., Sommerfield D., Feature subset selection using the wrapper method: Over-fitting and dynamic search space topology, KDD, pp. 192-197, (1995); Estevez P.A., Et al., Normalized mutual information feature selection, IEEE Trans. Neural Networks, 20, 2, pp. 189-201, (2009); Hong Y., Et al., Unsupervised feature selection using clustering ensembles and population based incremental learning algorithm, Pattern Recogn, 41, 9, pp. 2742-2756, (2008); Rish I., Et al., An empirical study of the naive Bayes classifier, IJCAI 2001 Workshop on Empirical Methods in Artificial Intelligence, 3, pp. 41-46, (2001); Ma Y., Guo G., Support Vector Machines Applications, (2014); Kramer O., K-nearest neighbors, Dimensionality Reduction with Unsupervised Nearest Neighbors, pp. 13-23, (2013); Zhang D., Chen S., Zhou Z.-H., Learning the kernel parameters in kernel minimum distance classifier, Pattern Recognit, 39, 1, pp. 133-135, (2006); Hu Y.H., Hwang J.-N., Handbook of Neural Network Signal Processing, (2002); Safavian S.R., Landgrebe D., A survey of decision tree classifier methodology, IEEE Trans. Syst. Man Cybern., 21, 3, pp. 660-674, (1991); Tsuboka E., Nakahashi J., On the fuzzy vector quantization based hidden Markov model, Proceedings of ICASSP’94. IEEE International Conference on Acoustics, Speech and Signal Processing, Vol. 1, Pp. I–637. IEEE, (1994); Wu J., Cluster analysis and K-means clustering: An introduction, Advances in K-Means Clustering, pp. 1-16, (2012); Manjula K., Vijayarekha K., Vimaladevi P., Review on classification algorithms in image Processing, Int. J. Innovat. Trends Eng. Res., 2, 11, (2017); Parui S., Emotion recognition from EEG signal using XGBoost algorithm, IEEE 16Th India Council International Conference (INDICON). IEEE. 2019, Pp. 1–4, (2019); Shah T., About train, validation and test sets in machine learning, Towards Data Science, 6, (2017); Li Q., Medical image classification with convolutional neural network, 13Th International Conference on Control Automation Robotics &amp; Vision (ICARCV), Vol. 2014, Pp. 844–848. IEEE, (2014); Ge J., Et al., Computer aided detection of clusters of microcalcifications on full field digital mammograms, Med. Phys., 33, 8, pp. 2975-2988, (2006); Lo S.-C.B., Et al., Artificial convolution neural network for medical image pattern recognition, Neural Networks, 8, 7-8, pp. 1201-1214, (1995); Nagel R.H., Et al., Analysis of methods for reducing false positives in the automated detection of clustered microcalcifications in mammograms, Med. Phys., 25, 8, pp. 1502-1506, (1998); Dehmeshki J., Et al., Classification of lung data by sampling and support vector machine, The 26Th Annual International Conference of the IEEE Engineering in Medicine and Biology Society, 2, pp. 3194-3197, (2004); Erickson B.J., Et al., Machine learning for medical imaging, Radiographics, 37, 2, pp. 505-515, (2017); Giger M.L., Machine learning in medical imaging, J. Am. Coll. Radiol., 15, 3, pp. 512-520, (2018); Li C., Et al., Using the K-nearest neighbor algorithm for the classification of lymph node metastasis in gastric cancer, Computational and Mathematical Methods in Medicine, 2012, (2012); Korn F., Et al., Fast nearest neighbor search in medical image databases, Tech. Rep., (1998); Paredes R., Et al., Classification of medical images using local representations, Bildver-Arbeitung für Die Medizin 2002, Pp. 171–174 . Springer, (2002); Ramteke R.J., Khachane Monali Y., Automatic medical image classification and abnormality detection using k-nearest neighbour, Int. J. Adv. Comput. Res., 2, 4, pp. 190-196, (2012); Wernick M.N., Et al., Machine learning in medical imaging, IEEE Sig. Proc. Mag., 27, 4, pp. 25-38, (2010); Lee H., Et al., Face image retrieval using sparse representation classifier with gabor-lbp histogram, International Workshop on Information Security Applications, pp. 273-280, (2010); Suzuki K., Overview of deep learning in medical imaging, Radiol. Phys. Technol., 10, 3, pp. 257-273, (2017); Litjens G., Et al., A survey on deep learning in medical image analysis, Med. Image Anal., 42, pp. 60-88, (2017); O'Mahony N., Et al., Deep learning versus traditional computer vision, Science and Information Conference, pp. 128-144, (2019); Koehn P., Combining Genetic Algorithms and Neural Networks: The Encoding Problem, (1994); Khan A., Et al., A survey of the recent architectures of deep convolutional neural networks, Arxiv Preprint Arxiv:1901.06032, (2019)</t>
  </si>
  <si>
    <t xml:space="preserve">N. Chakravorty; School of Medical Science &amp; Technology, Indian Institute of Technology Kharagpur, Kharagpur, West Bengal, 721302, India; email: nishant@smst.iitkgp.ac.in</t>
  </si>
  <si>
    <t xml:space="preserve">Stud. Syst. Decis. Control</t>
  </si>
  <si>
    <t xml:space="preserve">2-s2.0-85101043968</t>
  </si>
  <si>
    <t xml:space="preserve">Madhu G.; Lalith Bharadwaj B.; Rohit B.; Sai Vardhan K.; Kautish S.; Pradeep N.</t>
  </si>
  <si>
    <t xml:space="preserve">Madhu, G. (56730500400); Lalith Bharadwaj, B. (57226105611); Rohit, B. (57195601560); Sai Vardhan, K. (57215209327); Kautish, Sandeep (57205618903); Pradeep, N. (57213262436)</t>
  </si>
  <si>
    <t xml:space="preserve">56730500400; 57226105611; 57195601560; 57215209327; 57205618903; 57213262436</t>
  </si>
  <si>
    <t xml:space="preserve">Convolutional Siamese networks for one-shot malaria parasite recognition in microscopic images</t>
  </si>
  <si>
    <t xml:space="preserve">Malaria is a life-threatening, mosquito-borne disease caused by a Plasmodium parasite that is commonly spread to humans from the bite of Anopheles mosquitoes. It is widespread across the world, particularly in tropical regions, and if not treated in time, it can be deadly. Thus, early and effective treatment and diagnosis of malaria will save lives. Modern machine learning and image analysis methods are practiced on microscopic images of blood smears by using hand-crafted features that need expertise in interpreting these features. In contrast, convolutional neural networks (CNNs) have proved to be adequate in feature extraction and classification of parasite detection toward malaria diagnosis. CNNs’ techniques can extract highly influenced features, determine filters to serve as an effective prediction that provides an accurate detection to aid malaria diagnosis. The motivation of the research is to state the significance of deep learning techniques in the diagnosis of malaria. This research proposes the convolution Siamese network (CSN) for a one-shot recognition method for parasite recognition in microscopic images. In this study, microscopic images were used to examine the performance of the CSN model, and it will assist in diagnosing various infectious diseases rapidly. CSN is implemented in a two-phase criteria to detect similarity or dissimilarity. The first phase consists of extracting detailed features using a fully connected convolutional block and the second phase consists of a similarity check where inputs are discriminated with similarity measures (L1, L2). This discriminated feature is fed forward to the final layer with a sigmoid function that depicts whether it is similar to the given input. Further, the proposed model is evaluated to attain optimum generalization, and its performance is captured by splitting data into identical divisions (50-50). As the model is trained only on half the malaria blood samples, it gives precisive generalization and attains malaria test accuracy scores of 87.10% and 87.38% with L 1 and L 2, respectively. We also depicted the mean square error (MSE) rate and confusion matrix for each to incorporate the performance for similar and dissimilar identification individually. The evolution of these metrics described the stability of the proposed network. Experiments and results have proven that the proposed CSN can leverage performance and build comprehensive models with fewer samples. The obtained result shows the potential of the Siamese network in the field of medical diagnostic tools. This research is the first study to construct and assess the Siamese network diagnostic model toward malaria diagnosis. © 2021 Elsevier Inc. All rights reserved.</t>
  </si>
  <si>
    <t xml:space="preserve">Demystifying Big Data, Machine Learning, and Deep Learning for Healthcare Analytics</t>
  </si>
  <si>
    <t xml:space="preserve">Elsevier</t>
  </si>
  <si>
    <t xml:space="preserve">10.1016/B978-0-12-821633-0.00007-6</t>
  </si>
  <si>
    <t xml:space="preserve">https://www.scopus.com/inward/record.uri?eid=2-s2.0-85123668954&amp;doi=10.1016%2fB978-0-12-821633-0.00007-6&amp;partnerID=40&amp;md5=083e4bad9835e7f6c369ecf3a5bcce0f</t>
  </si>
  <si>
    <t xml:space="preserve">Department of Information Technology, VNR Vignana Jyothi Institute of Engineering and Technology, Telangana, Hyderabad, India; Department of Computer Science, VNR Vignana Jyothi Institute of Engineering and Technology, Telangana, Hyderabad, India; LBEF Campus, Asia Pacific University, Kathmandu, Nepal; Department of Computer Science and Engineering, Bapuji Institute of Engineering and Technology, Karnataka, Davangere, India; Visvesvaraya Technological University, Karnataka, Belagavi, India</t>
  </si>
  <si>
    <t xml:space="preserve">Madhu G., Department of Information Technology, VNR Vignana Jyothi Institute of Engineering and Technology, Telangana, Hyderabad, India; Lalith Bharadwaj B., Department of Information Technology, VNR Vignana Jyothi Institute of Engineering and Technology, Telangana, Hyderabad, India; Rohit B., Department of Computer Science, VNR Vignana Jyothi Institute of Engineering and Technology, Telangana, Hyderabad, India; Sai Vardhan K., Department of Information Technology, VNR Vignana Jyothi Institute of Engineering and Technology, Telangana, Hyderabad, India; Kautish S., LBEF Campus, Asia Pacific University, Kathmandu, Nepal; Pradeep N., Department of Computer Science and Engineering, Bapuji Institute of Engineering and Technology, Karnataka, Davangere, India, Visvesvaraya Technological University, Karnataka, Belagavi, India</t>
  </si>
  <si>
    <t xml:space="preserve">Convolution siamese network; Convolutional neural networks; Diagnostic model; Malaria; Microscopic images; One-shot recognition</t>
  </si>
  <si>
    <t xml:space="preserve">Agarap A.F., Deep learning using rectified linear units (ReLU), (2018); Azadmanesh M., Siamese neural networks for biometric hashing, (2014); Baraldi L., Grana C., Cucchiara R., A deep Siamese network for scene detection in broadcast videos, MM 2015-Proceedings of the 2015 ACM multimedia conference, pp. 1199-1202, (2015); Berlemont S., Lefebvre G., Duffner S., Garcia C., Siamese neural network-based similarity metric for inertial gesture classification and rejection, 11th IEEE international conference and workshops on automatic face and gesture recognition (FG) (Vol. 1), pp. 1-6, (2015); Bertinetto L., Valmadre J., Henriques J.F., Vedaldi A., Torr P.H.S., Fully-convolutional Siamese networks for object tracking, Lecture notes in computer science (including subseries Lecture notes in artificial intelligence and Lecture notes in bioinformatics), 9914, pp. 850-865, (2016); Bromley J., Guyon I., LeCun Y., Sackinger E., Shah R., Signature verification using a Siamese time-delay neural network, NIPS’93: Proceedings of the 6th International Conference on Neural Information Processing Systems, November, pp. 737-744, (1993); Caffo B., Albert M., Miller M.I., Bernal A., Shi L., Vaillant M., Faria A.V., Using deep Siamese neural networks for detection of brain asymmetries associated with Alzheimer’s disease and mild cognitive impairment, Magnetic Resonance Imaging, 64, pp. 190-199, (2019); Cano F., Cruz-Roa A., An exploratory study of one-shot learning using Siamese convolutional neural network for histopathology image classification in breast cancer from few data examples, Proceedings of SPIE-The International Society for Optical Engineering (Vol. 11330), (2020); Chakraborty N., Dan A., Chakraborty A., Neogy S., Effect of dropout and batch normalization in Siamese network for face recognition, Advances in intelligent systems and computing, 1059, pp. 21-37, (2020); Chen K., Salman A., Extracting speaker-specific information with a regularized Siamese deep network, Advances in neural information processing systems 24: 25th annual conference on neural information processing systems 2011, NIPS 2011, (2011); Chopra S., Hadsell R., LeCun Y., Learning a similarity metric discriminatively, with application to face verification, Proceedings-2005 IEEE Computer Society conference on computer vision and pattern recognition, CVPR 2005 (Vol. I), pp. 539-546, (2005); Chung D., Tahboub K., Delp E.J., A two stream Siamese convolutional neural network for person re-identification, Proceedings of the IEEE international conference on computer vision, pp. 1983-1991, (2017); Cuomo M.J., Noel L.B., White D.B., Diagnosing medical parasites: A public health officers guide to assisting laboratory and medical officers, (2009); Devi S.S., Roy A., Singha J., Sheikh S.A., Laskar R.H., Malaria infected erythrocyte classification based on a hybrid classifier using microscopic images of thin blood smear, Multimedia Tools and Applications, 77, pp. 631-660, (2018); Dhiman S., Baruah I., Singh L., Military malaria in northeast region of India, Defence Science Journal, 60, 2, pp. 213-218, (2010); Du W., Fang M., Shen M., Siamese convolutional neural networks for authorship verification, Tech. Rep., (2017); Eun S.J., Kim H., Park J.W., Whangbo T.K., Effective object segmentation based on physical theory in an MR image, Multimedia Tools and Applications, 74, 16, pp. 6273-6286, (2015); Fan D., Wei L., Cao M., Extraction of target region in lung immunohistochemical image based on artificial neural network, Multimedia Tools and Applications, 75, 19, pp. 12227-12244, (2016); Fe-Fei L., A Bayesian approach to unsupervised one-shot learning of object categories, Proceedings ninth IEEE international conference on computer vision, pp. 1134-1141, (2003); Glorot X., Bengio Y., Understanding the difficulty of training deep feedforward neural networks, J. Mach. Learn. Res., 9, pp. 249-256, (2010); Goncharov P., Uzhinskiy A., Ososkov G., Nechaevskiy A., Zudikhina J., Deep Siamese networks for plant disease detection, EPJ web of conferences, mathematical modeling and computational physics 2019 (MMCP 2019), 226, (2020); Hayale W., Negi P., Mahoor M., Facial expression recognition using deep siamese neural networks with a supervised loss function, Proceedings-14th IEEE international conference on automatic face and gesture recognition, FG 2019, (2019); He A., Luo C., Tian X., Zeng W., A twofold Siamese network for real-time object tracking, Proceedings of the IEEE conference on computer vision and pattern recognition, pp. 4834-4843, (2018); He K., Zhang X., Ren S., Sun J., Deep residual learning for image recognition, 2016 IEEE Conference on Computer Vision and Pattern Recognition (CVPR), Las Vegas, NV, USA, pp. 770-778, (2016); Hradel D., Hudec L., Benesova W., Interpretable diagnosis of breast cancer from histological images using Siamese neural networks, Twelfth international conference on machine vision, 2019, Amsterdam, Netherlands, 11433, 21, (2020); Jindal S., Gupta G., Yadav M., Sharma M., Vig L., Siamese networks for chromosome classification, Proceedings of the IEEE international conference on computer vision workshops, pp. 71-81, (2017); Juan W., Zhiyuan F., Ning L., Huishu Y., Min-Ying S., Pierre B., A multi-resolution approach for spinal metastasis detection using deep Siamese neural networks, Computers in Biology and Medicine, pp. 137-146, (2017); Khalil-Hani M., Sung L.S., A convolutional neural network approach for face verification, Proceedings of the 2014 international conference on high performance computing and simulation, HPCS 2014, pp. 707-714, (2014); Kingma D.P., Ba J., Adam: A method for stochastic optimization, (2014); Koch G., Zemel R., Salakhutdinov R., Siamese neural networks for one-shot image recognition, ICML deep learning workshop, 2, (2015); Krizhevsky A., Sutskever I., Hinton G.E., ImageNet classification with deep convolutional neural networks, Advances in neural information processing systems, 2, pp. 1097-1105, (2012); Leal-Taixe L., Canton-Ferrer C., Schindler K., Learning by tracking: Siamese CNN for Robust Target Association, IEEE Computer Society conference on computer vision and pattern recognition workshops, pp. 418-425, (2016); Lei E., Castaneda O., Tirkkonen O., Goldstein T., Studer C., Siamese neural networks for wireless positioning and channel charting, 2019 57th annual Allerton conference on communication, control, and computing, Allerton 2019, pp. 200-207, (2019); Li B., Yan J., Wu W., Zhu Z., Hu X., High performance visual tracking with Siamese region proposal network, Proceedings of the IEEE Computer Society conference on computer vision and pattern recognition, pp. 8971-8980, (2018); Lin T., Cui Y., Belongie S., Hays J., Learning deep representations for ground-to-aerial geolocalization, 2015 IEEE Conference on Computer Vision and Pattern Recognition (CVPR), Boston, MA, USA, pp. 5007-5015, (2015); Liu C., Probabilistic Siamese networks for learning representations, (2013); Liu X., Zhou Y., Zhao J., Yao R., Liu B., Zheng Y., Siamese convolutional neural networks for remote sensing scene classification, IEEE Geoscience and Remote Sensing Letters, 16, 8, pp. 1200-1204, (2019); Mahajan A., Dormer J., Li Q., Chen D., Zhang Z., Fei B., Siamese neural networks for the classification of high-dimensional radiomic features, Medical imaging 2020: Computer-aided diagnosis, 11314, (2020); Manocha P., Badlani R., Kumar A., Shah A., Elizalde B., Raj B., Content-based representations of audio using Siamese neural networks, 2018 IEEE International Conference on Acoustics, Speech and Signal Processing (ICASSP), pp. 3136-3140, (2018); Ostertag C., Beurton-Aimar M., Matching ostraca fragments using a Siamese neural network, Pattern Recognition Letters, 131, pp. 336-340, (2020); Rafael-Palou X., Aubanell A., Bonavita I., Ceresa M., Piella G., Ribas V., Ballester M.A.G., Re-identification and growth detection of pulmonary nodules without image registration using 3D Siamese neural networks, Medical Image Analysis, 67, (2021); Rajaraman S., Antani S.K., Poostchi M., Silamut K., Hossain M.A., Maude R.J., Thoma G.R., Pre-trained convolutional neural networks as feature extractors toward improved malaria parasite detection in thin blood smear images, PeerJ, 2018, 4, (2018); Ranasinghe T., Orasan C., Mitkov R., Semantic textual similarity with Siamese neural networks, RANLP, 2019, (2019); Ren S., He K., Girshick R., Sun J., Faster R-CNN: Towards real-time object detection with region proposal networks, IEEE Trans. Pattern Anal. Mach. Intell., 39, 6, pp. 1137-1149, (2016); Ronneberger O., Fischer P., Brox T., U-net: Convolutional networks for biomedical image segmentation, Lecture notes in computer science (including subseries Lecture notes in artificial intelligence and Lecture notes in bioinformatics), 9351, pp. 234-241, (2015); Ruiz V., Linares I., Sanchez A., Velez J.F., Off-line handwritten signature verification using compositional synthetic generation of signatures and Siamese neural networks, Neurocomputing, 374, pp. 30-41, (2020); Sampathkumar A., Rastogi R., Arukonda S., Shankar A., Kautish S., Sivaram M., An efficient hybrid methodology for detection of cancer-causing gene using CSC for micro array data, Journal of Ambient Intelligence and Humanized Computing, pp. 1-9, (2020); Sertel O., Dogdas B., Chiu C.S., Gurcan M.N., Microscopic image analysis for quantitative characterization of muscle fiber type composition, Computerized Medical Imaging and Graphics, 35, 7-8, pp. 616-628, (2011); Shen C., Jin Z., Zhao Y., Fu Z., Jiang R., Chen Y., Hua X.S., Deep siamese network with multi-level similarity perception for person re-identification, MM 2017-Proceedings of the 2017 ACM multimedia conference, pp. 1942-1950, (2017); Simonyan K., Zisserman A., Very deep convolutional networks for large-scale image recognition, 3rd international conference on learning representations, {ICLR} 2015, San Diego, CA, USA, May 7-9, 2015, conference track proceedings, pp. 1409-1556, (2015); Sivaramakrishnan R., Stefan J., Antani S.K., Performance evaluation of deep neural ensembles toward malaria parasite detection in thin-blood smear images, PeerJ, (2019); Srivastava N., Hinton G., Krizhevsky A., Sutskever I., Salakhutdinov R., Dropout: A simple way to prevent neural networks from overfitting, Journal of Machine Learning Research, 15, pp. 1929-1958, (2014); Sun Z., He Y., Gritsenko A., Lendasse A., Baek S., Deep spectral descriptors: Learning the point-wise correspondence metric via Siamese deep neural networks, (2017); Taigman Y., Yang M., Ranzato M., Wolf L., DeepFace: Closing the gap to human-level performance in face verification, Proceedings of the IEEE computer society conference on computer vision and pattern recognition, pp. 1701-1708, (2014); Tao R., Gavves E., Smeulders A.W.M., Siamese instance search for tracking, Proceedings of the IEEE Computer Society conference on computer vision and pattern recognition, pp. 1420-1429, (2016); Varior R.R., Haloi M., Wang G., Gated Siamese convolutional neural network architecture for human re-identification, Lecture notes in computer science (including subseries Lecture notes in artificial intelligence and Lecture notes in bioinformatics), 9912, pp. 791-808, (2016); Vinayakumar R., Soman K.P., Siamese neural network architecture for homoglyph attacks detection, ICT Express, 6, 1, pp. 16-19, (2020); World malaria report, (2019); Fact sheet about malaria, (2020); Xu B., Wang N., Chen T., Li M., Empirical evaluation of rectified activations in convolutional network, (2015); Yuanyuan Q., Yuewei W., Fan D., Wenhui L., Jie Y., Siamese neural networks for user identity linkage through web browsing, IEEE Transactions on Neural Networks and Learning Systems, pp. 1-11, (2019); Zeng X., Chen H., Luo Y., Ye W., Automated diabetic retinopathy detection based on binocular Siamese-like convolutional neural network, IEEE Access, 7, pp. 30744-30753, (2019); Zhang C., Liu W., Ma H., Fu H., Siamese neural network based gait recognition for human identification, 2016 IEEE International Conference on Acoustics, Speech and Signal Processing (ICASSP), pp. 2832-2836, (2016); Zhong D., Yang Y., Du X., Palmprint recognition using Siamese network, Lecture notes in computer science (including subseries Lecture notes in artificial intelligence and Lecture notes in bioinformatics), 10996, pp. 48-55, (2018)</t>
  </si>
  <si>
    <t xml:space="preserve">978-012821633-0</t>
  </si>
  <si>
    <t xml:space="preserve">Demystifying Big Data, Machine Learning, and Deep Learning for Healthc. Analytics</t>
  </si>
  <si>
    <t xml:space="preserve">2-s2.0-85123668954</t>
  </si>
  <si>
    <t xml:space="preserve">Negi A.; Kumar K.; Chauhan P.</t>
  </si>
  <si>
    <t xml:space="preserve">Negi, Alok (57217667963); Kumar, Krishan (57221002735); Chauhan, Prachi (57222373215)</t>
  </si>
  <si>
    <t xml:space="preserve">57217667963; 57221002735; 57222373215</t>
  </si>
  <si>
    <t xml:space="preserve">Deep Learning-Based Image Classifier for Malaria Cell Detection</t>
  </si>
  <si>
    <t xml:space="preserve">Malaria is now a lethal, contagious, mosquito-borne critical disease spawn by Anopheles mosquito bitten spread through Plasmodium parasites. Modern information technology, along with biomedical research and political efforts, plays an important role in many attempts to combat the disease. Automating the diagnostic process would allow for precise diagnosis of the infection and therefore holding the potential of providing quality healthcare to resource-scarce areas. Combined to open access resources, artificial intelligence (AI) will boost malaria treatment and a strong mix to improve society. Throughout this chapter, we also explore whether AI can be able to leverage for low-cost, reliable, and precise open sourced deep learning solutions to predict lethal malaria. We outline a few of the findings regarding the reasonably precise malaria-infected cells classification leveraging deep neural convolution (CNN) networks. We will discuss the strategies for assembling a pathologist-cured visual dataset to train deep neural networks, and also some data augmentation approaches used to significantly increase the dimensionality of the data, given the overfitting problem especially in deep CNN training. © 2021 Scrivener Publishing LLC.</t>
  </si>
  <si>
    <t xml:space="preserve">Machine Learning for Healthcare Applications</t>
  </si>
  <si>
    <t xml:space="preserve">wiley</t>
  </si>
  <si>
    <t xml:space="preserve">10.1002/9781119792611.ch12</t>
  </si>
  <si>
    <t xml:space="preserve">https://www.scopus.com/inward/record.uri?eid=2-s2.0-85122319189&amp;doi=10.1002%2f9781119792611.ch12&amp;partnerID=40&amp;md5=164c8323c705fded24ace233d6da2898</t>
  </si>
  <si>
    <t xml:space="preserve">Department of Computer Science and Engineering, National Institute of Technology, Srinagar, India; College of Technology, G.B. Pant University of Agriculture and Technology, Pantnagar, India</t>
  </si>
  <si>
    <t xml:space="preserve">Negi A., Department of Computer Science and Engineering, National Institute of Technology, Srinagar, India; Kumar K., Department of Computer Science and Engineering, National Institute of Technology, Srinagar, India; Chauhan P., College of Technology, G.B. Pant University of Agriculture and Technology, Pantnagar, India</t>
  </si>
  <si>
    <t xml:space="preserve">CNN; data augmentation; deep learning (dl); malaria; precision; recall; WHO</t>
  </si>
  <si>
    <t xml:space="preserve">Tek F.B., Dempster A.G., Kale I., Computer vision for microscopy diagnosis of malaria, Malar. J., 8, 1, (2009); Poostchi M., Silamut K., Maude R.J., Jaeger S., Thoma G., Image analysis and machine learning for detecting malaria, Transl. Res., 194, pp. 36-55, (2018); Cheng W.C., Saleheen F., Badano A., Assessing color performance of whole-slide imaging scanners for digital pathology, Color Res. Appl., 44, 3, pp. 322-334, (2019); Yue T., Wang H., Deep learning for genomics: A concise overview, CoRR, (2018); Leung M.K., Delong A., Alipanahi B., Frey B.J., Machine learning in genomic medicine: A review of computational problems and datasets, Proc. IEEE, 104, 1, pp. 176-197, (2015); Greenspan H., Van Ginneken B., Summers R.M., Guest editorial deep learning in medical imaging: Overview and future promise of an exciting new technique, IEEE Trans. Med. Imaging, 35, 5, pp. 1153-1159, (2016); Yang D., Subramanian G., Duan J., Gao S., Bai L., Chandramohanadas R., Ai Y., A portable image-based cytometer for rapid malaria detection and quantification, PLoS One, 12, 6, (2017); Mohanty I., Pattanaik P.A., Swarnkar T., Automatic detection of malaria parasites using unsupervised techniques, International Conference on ISMAC in Computational Vision and Bio-Engineering, pp. 41-49, (2018); Hung J., Carpenter A., Applying faster R-CNN for object detection on malaria images, Proceedings of the IEEE Conference on Computer Vision and Pattern Recognition Workshops, pp. 56-61, (2017); Makanjuola R.O., Taylor-Robinson A.W., Improving Accuracy of Malaria Diagnosis in Underserved Rural and Remote Endemic Areas of Sub-Saharan Africa: A Call to Develop Multiplexing Rapid Diagnostic Tests, Scientifica, (2020); Obeagu E.I., Chijioke U.O., Ekelozie I.S., Malaria rapid diagnostic test (RDTs), Ann. Clin. Lab. Res., 6, 4, (2018); Masud M., Alhumyani H., Alshamrani S.S., Cheikhrouhou O., Ibrahim S., Muhammad G., Shorfuzzaman M., Leveraging Deep Learning Techniques for Malaria Parasite Detection Using Mobile Application, Wireless Commun. Mobile Comput., (2020); Fuhad K.M., Tuba J.F., Sarker M., Ali R., Momen S., Mohammed N., Rahman T., Deep Learning Based Automatic Malaria Parasite Detection from Blood Smear and Its Smartphone Based Application, Diagnostics, 10, 5, (2020); Vijayalakshmi A., Deep learning approach to detect malaria from microscopic images, Multimed. Tools Appl., 79, 21, pp. 15297-15317, (2020); Rajaraman S., Jaeger S., Antani S.K., Performance evaluation of deep neural ensembles toward malaria parasite detection in thin-blood smear images, PeerJ, 7, (2019); Var E., Tek F.B., Malaria Parasite Detection with Deep Transfer Learning, 2018 3rd International Conference on Computer Science and Engineering (UBMK), pp. 298-302, (2018)</t>
  </si>
  <si>
    <t xml:space="preserve">K. Kumar; Department of Computer Science and Engineering, National Institute of Technology, Srinagar, India; email: kkberwal@nituk.ac.in</t>
  </si>
  <si>
    <t xml:space="preserve">978-111979261-1; 978-111979181-2</t>
  </si>
  <si>
    <t xml:space="preserve">Machine Learning for Healthc. Applications</t>
  </si>
  <si>
    <t xml:space="preserve">2-s2.0-85122319189</t>
  </si>
  <si>
    <t xml:space="preserve">Shinde S.; Kulkarni U.; Mane D.; Sapkal A.</t>
  </si>
  <si>
    <t xml:space="preserve">Shinde, Swati (56046141200); Kulkarni, Uday (57192095069); Mane, Deepak (57195542654); Sapkal, Ashwini (57205026114)</t>
  </si>
  <si>
    <t xml:space="preserve">56046141200; 57192095069; 57195542654; 57205026114</t>
  </si>
  <si>
    <t xml:space="preserve">Deep Learning-Based Medical Image Analysis Using Transfer Learning</t>
  </si>
  <si>
    <t xml:space="preserve">There is a wide spectrum of different deep learning (DL) architectures available for medical image analysis. Among this convolution networks (CNN) found to be more efficient for variety of medical imaging task including segmentation, object detection, disease classification, severity grading, etc. In medical image analysis, accuracy of prediction is of utmost importance. In machine learning or deep learning, quantity and quality of medical image dataset plays a important role for ensuring the accuracy of future prediction. Otherwise because of less number of poor quality images, machine or deep learning models fail to predict accurately. This limitation of less quantity and less quality medical image dataset is almost removed to major extent by the transfer learning concept of deep learning. Transfer learning concept of deep learning makes the pertained models available for customization to specific application needs. Either pre-trained models are fine-tuned on the underlying data or used as feature extractors. As these pertained models are already trained on large datasets, the accurate set of generic features can be extracted to improve the overall performance and computational complexity. Because of transfer learning, limitation of large dataset requirement is removed to a greater extent and also the training cost in terms of number of parameters to be learned, training time, hardware computing cost is reduced. Plenty of pre-trained models are available including AlexNet, LeNet, MobileNet, GoogleNet, etc. Currently, many researchers are applying DL to obtain promising results in a wide variety of medical image analysis for almost all diseases including all types of cancers, pathological diseases, orthopedic diseases, etc. The proposed chapter covers introduction to deep learning, transfer learning, different award winning architectures for transfer learning, different resources for medical imaging research. This is followed by a brief case study of use of transfer learning for malaria diagnosis. The chapter also highlights on the future research directions in the domain of medical image analysis. © 2021, The Author(s), under exclusive license to Springer Nature Singapore Pte Ltd.</t>
  </si>
  <si>
    <t xml:space="preserve">10.1007/978-981-15-9735-0_2</t>
  </si>
  <si>
    <t xml:space="preserve">https://www.scopus.com/inward/record.uri?eid=2-s2.0-85101144337&amp;doi=10.1007%2f978-981-15-9735-0_2&amp;partnerID=40&amp;md5=e2a4e977c73cd58d38d2c3035bb466d2</t>
  </si>
  <si>
    <t xml:space="preserve">Pimpri Chinchwad College of Engineering, Pune, India; SGGS Institute of Engineering &amp; Technology, Nanded, India; Rajershi Shahu College of Engineering, Tathawade, India; Army Institute of Technology, Pune, India</t>
  </si>
  <si>
    <t xml:space="preserve">Shinde S., Pimpri Chinchwad College of Engineering, Pune, India; Kulkarni U., SGGS Institute of Engineering &amp; Technology, Nanded, India; Mane D., Rajershi Shahu College of Engineering, Tathawade, India; Sapkal A., Army Institute of Technology, Pune, India</t>
  </si>
  <si>
    <t xml:space="preserve">Deep learning; Medical image analysis; Transfer learning</t>
  </si>
  <si>
    <t xml:space="preserve">Suzuki K., Overview of deep learning in medical imaging, Radiological Physics and Technology, 10, pp. 257-273, (2017); Swati S., UdayKulkarni: Extracting classification rules from modified fuzzy min– max neural network for data with mixed attributes, Applied Soft Computing, 40, pp. 364-378, (2016); Swati S., Uday K., Extended fuzzy hyperline-segment neural network with classification rule extraction, Neurocomputing, 260, pp. 79-91, (2017); Pan S.J., Yang Q., A survey on transfer learning, IEEE Transactions on Knowledge and Data Engineering, 22, pp. 1345-1359, (2010); Alexander S., Lundervold A.L., An overview of deep learning in medical imaging focusing on MRI, Zeitschrift für Medizinische Physik, 29, pp. 102-127, (2019); Papandrianos N., Papageorgiou E., Anagnostis A., Feleki A., A deep-learning approach for diagnosis of metastatic breast cancer in bones from whole-body scans, Applied Science, 10, (2020); Kim H., Choi Y., Ro Y., Modality-Bridge Transfer Learning for Medical Image Classification, (2017); Geert L., Thijs K., A survey on deep learning in medical image analysis, Medical Image Analysis, 42, pp. 60-88, (2017)</t>
  </si>
  <si>
    <t xml:space="preserve">S. Shinde; Pimpri Chinchwad College of Engineering, Pune, India; email: swati.shinde@pccoepune.org</t>
  </si>
  <si>
    <t xml:space="preserve">2-s2.0-85101144337</t>
  </si>
  <si>
    <t xml:space="preserve">da Silva A.C.G.; de Lima C.L.; da Silva C.C.; Magalhães Moreno G.M.; Silva E.L.; Marques G.S.; de Araújo L.J.B.; Albuquerque Júnior L.A.; de Souza S.B.J.; de Santana M.A.; Gomes J.C.; de Freitas Barbosa V.A.; Musah A.; Kostkova P.; da Silva Filho A.G.; Dos Santos W.P.</t>
  </si>
  <si>
    <t xml:space="preserve">da Silva, Ana Clara Gomes (57220187896); de Lima, Clarisse Lins (57220180472); da Silva, Cecilia Cordeiro (56740007700); Magalhães Moreno, Giselle Machado (58244351500); Silva, Eduardo Luiz (57221512539); Marques, Gabriel Souza (57220182903); de Araújo, Lucas Job Brito (57220176452); Albuquerque Júnior, Luiz Antônio (57220179021); de Souza, Samuel Barbosa Jatobá (57220188898); de Santana, Maíra Araújo (57211919598); Gomes, Juliana Carneiro (57208103924); de Freitas Barbosa, Valter Augusto (57201760368); Musah, Anwar (57210998260); Kostkova, Patty (6506790018); da Silva Filho, Abel Guilhermino (23490645400); Dos Santos, Wellington P. (57193746428)</t>
  </si>
  <si>
    <t xml:space="preserve">57220187896; 57220180472; 56740007700; 58244351500; 57221512539; 57220182903; 57220176452; 57220179021; 57220188898; 57211919598; 57208103924; 57201760368; 57210998260; 6506790018; 23490645400; 57193746428</t>
  </si>
  <si>
    <t xml:space="preserve">Machine Learning Approaches for Temporal and Spatio-Temporal Covid-19 Forecasting: A Brief Review and a Contribution</t>
  </si>
  <si>
    <t xml:space="preserve">In December 2019 an outbreak of a new disease happened, in Wuhan city, China, in which the symptoms were very similar to pneumonia. The disease was attributed to SARS-CoV-2 as the infectious agent and it was called the new coronavirus or Covid-19. In March 2020, the World Health Organization declared a worldwide pandemic of the new coronavirus. We have already counted more than 110 million cases and almost 2.5 million deaths worldwide. In order to assist in decision-making to contain the disease, several scientists around the world have engaged in various efforts, and they have proposed a lot of systems and solutions for tracking, monitoring, and predicting confirmed cases and deaths from Covid-19. Mathematical models help to analyze and understand the evolution of the disease, but understanding the disease was not enough, it was necessary to understand the problem in a quantitative way to lead the decision-making during the pandemic. Several initiatives have made use of Artificial Intelligence, and models were designed using machine learning algorithms with features for temporal and spatio-temporal investigation and prediction of cases of Covid-19. Among the algorithms used are Support Vector Machine (SVM), Random Forest, Multilayer Perceptron (MLP), Graph Neural Networks (GNNs), Ecological Niche Models (ENMs), Long-Short Term Memory Networks (LSTM), linear regression, and others. And these had good results, and to analyze them, the Root Mean Squared Error (RMSE), Log Root Mean Squared Error (RMSLE), correlation coefficient, and others were used as metrics. Covid-19 presents a huge problem to public health worldwide, so it is of utmost importance to investigate it, and with these two approaches it is possible to track not only how the disease evolves but also to know which areas are at risk. And these solutions can help in supporting decision-making by health managers to make the best decisions for the disease that is in the outbreak. This chapter aims to present a literature review and a brief contribution to the use of machine learning methods for temporal and spatio-temporal prediction of Covid-19, using Brazil and its federative units as a case study. From canonical methods to deep networks and hybrid committee-based, approaches will be investigated. © The Editor(s) (if applicable) and The Author(s), under exclusive license to Springer Nature Switzerland AG 2022.</t>
  </si>
  <si>
    <t xml:space="preserve">Assessing COVID-19 and Other Pandemics and Epidemics using Computational Modelling and Data Analysis</t>
  </si>
  <si>
    <t xml:space="preserve">10.1007/978-3-030-79753-9_18</t>
  </si>
  <si>
    <t xml:space="preserve">https://www.scopus.com/inward/record.uri?eid=2-s2.0-85158929967&amp;doi=10.1007%2f978-3-030-79753-9_18&amp;partnerID=40&amp;md5=d1c2a3e7166a55dfe1016388b0906620</t>
  </si>
  <si>
    <t xml:space="preserve">Department of Biomedical Engineering, Federal University of Pernambuco, Pernambuco, Recife, Brazil; Polytechnique School of the University of Pernambuco, Recife, Brazil; Federal University of Pernambuco, CIn-UFPE, Recife, Brazil; Department of Atmospheric Sciences, IAG, University of São Paulo, USP, Brazil; Federal University of Pernambuco, CIn-UFPE, Recife, Brazil; Federal University of Pernambuco, CIn-UFPE, Recife, Brazil; Federal University of Pernambuco, CIn-UFPE, Recife, Brazil; Federal University of Pernambuco, CIn-UFPE, Recife, Brazil; Federal University of Pernambuco, CIn-UFPE, Recife, Brazil; Polytechnique School of the University of Pernambuco, Recife, Brazil; Polytechnique School of the University of Pernambuco, Recife, Brazil; Academic Unit of Serra Talhada, Rural Federal University of Pernambuco, Serra Talhada, Brazil; Institute for Risk and Disaster Reduction, University College London, UCL-IRDR, London, United Kingdom; Department of Atmospheric Sciences, IAG, University of São Paulo, USP, Brazil; Federal University of Pernambuco, CIn-UFPE, Recife, Brazil; Department of Biomedical Engineering, Federal University of Pernambuco, Pernambuco, Recife, Brazil</t>
  </si>
  <si>
    <t xml:space="preserve">da Silva A.C.G., Department of Biomedical Engineering, Federal University of Pernambuco, Pernambuco, Recife, Brazil; de Lima C.L., Polytechnique School of the University of Pernambuco, Recife, Brazil; da Silva C.C., Federal University of Pernambuco, CIn-UFPE, Recife, Brazil; Magalhães Moreno G.M., Department of Atmospheric Sciences, IAG, University of São Paulo, USP, Brazil; Silva E.L., Federal University of Pernambuco, CIn-UFPE, Recife, Brazil; Marques G.S., Federal University of Pernambuco, CIn-UFPE, Recife, Brazil; de Araújo L.J.B., Federal University of Pernambuco, CIn-UFPE, Recife, Brazil; Albuquerque Júnior L.A., Federal University of Pernambuco, CIn-UFPE, Recife, Brazil; de Souza S.B.J., Federal University of Pernambuco, CIn-UFPE, Recife, Brazil; de Santana M.A., Polytechnique School of the University of Pernambuco, Recife, Brazil; Gomes J.C., Polytechnique School of the University of Pernambuco, Recife, Brazil; de Freitas Barbosa V.A., Academic Unit of Serra Talhada, Rural Federal University of Pernambuco, Serra Talhada, Brazil; Musah A., Institute for Risk and Disaster Reduction, University College London, UCL-IRDR, London, United Kingdom; Kostkova P., Department of Atmospheric Sciences, IAG, University of São Paulo, USP, Brazil; da Silva Filho A.G., Federal University of Pernambuco, CIn-UFPE, Recife, Brazil; Dos Santos W.P., Department of Biomedical Engineering, Federal University of Pernambuco, Pernambuco, Recife, Brazil</t>
  </si>
  <si>
    <t xml:space="preserve">Covid-19; Covid-19 forecasting; Digital epidemiology; Infectious diseases forecasting; Neglected tropical diseases; Spatio-temporal forecasting</t>
  </si>
  <si>
    <t xml:space="preserve">Abou-Ismail A., Compartmental models of the COVID-19 pandemic for physicians and physician-scientists, SN Comprehensive Clinical Medicine, 2, pp. 852-858, (2020); Ahmar A.S., Del Val E.B., SutteARIMA: Short-term forecasting method, a case: Covid-19 and stock market in Spain, Science of the Total Environment, (2020); Ahmed A., Salam B., Mohammad M., Akgul A., Khoshnaw S., Analysis coronavirus disease (covid-19) model using numerical approaches and logistic model, Aims Bioengineering, 7, 3, pp. 130-146, (2020); Almeshal A.M., Almazrouee A.I., Alenizi M.R., Alhajeri S.N., Forecasting the spread of COVID-19 in Kuwait using compartmental and logistic regression models, Applied Sciences, 10, 10, (2020); Alzahrani S.I., Aljamaan I.A., Al-Fakih E.A., Forecasting the spread of the COVID-19 pandemic in Saudi Arabia using ARIMA prediction model under current public health interventions, Journal of Infection and Public Health, 13, 7, pp. 914-919, (2020); Ambikapathy B., Krishnamurthy K., Mathematical modelling to assess the impact of lockdown on covid-19 transmission in India: Model development and validation, JMIR Public Health and Surveillance, 6, 2, (2020); Apostolopoulos I., Aznaouridis S., Tzani M., (2020). Extracting possibly representative covid-19 biomarkers from X-ray images with deep learning approach and image data related to pulmonary diseases, Preprint; Apostolopoulos I.D., Mpesiana T.A., Covid-19: Automatic detection from Xray images utilizing transfer learning with convolutional neural networks, Physical and Engineering Sciences in Medicine, 43, 2, pp. 635-640, (2020); Ayyoubzadeh S.M., Ayyoubzadeh S.M., Zahedi H., Ahmadi M., Kalhori S.R.N., Predicting COVID-19 incidence through analysis of google trends data in Iran: Data mining and deep learning pilot study, JMIR Public Health and Surveillance, 6, 2, (2020); Barbosa V.A.D.F., Gomes J.C., de Santana M.A., Jeniffer E.D.A., de Souza R.G., de Souza R.E., Dos Santos W.P., Heg.IA: An intelligent system to support diagnosis of Covid-19 based on blood tests, Research on Biomedical Engineering, 2021, pp. 1-18, (2021); Bastos S.B., Cajueiro D.O., Modeling and forecasting the early evolution of the covid-19 pandemic in Brazil, Scientific Reports, 10, 1, pp. 1-10, (2020); Basu S., Mitra S., Saha N., Deep learning for screening covid-19 using chest X-ray images, In 2020 IEEE Symposium Series on Computational Intelligence, pp. 2521-2527, (2020); Bengio Y., Courville A., Vincent P., Representation learning: A review and new perspectives, IEEE Transactions on Pattern Analysis and Machine Intelligence, 35, 8, pp. 1798-1828, (2013); Capasso V., Serio G., A generalization of the Kermack-McKendrick deterministic epidemic model, Mathematical Biosciences, 42, 1-2, pp. 43-61, (1978); Castilho C., Gondim J.A.M., Marchesin M., Sabeti M., Assessing the Efficiency of Different Control Strategies for the Coronavirus (COVID-19) Epidemic, Preprint, (2020); Chaudhry R.M., Hanif A., Chaudhary M., Minhas S., Coronavirus Disease 2019 (COVID-19): Forecast of an emerging urgency in Pakistan, Cureus, 12, 5, (2020); Chen D.-G., Chen X., Chen J.K., Reconstructing and forecasting the COVID-19 epidemic in the United States using a 5-parameter logistic growth model, Global Health Research and Policy, 5, pp. 1-7, (2020); Chimmula V.K.R., Zhang L., Time series forecasting of COVID-19 transmission in Canada using LSTM networks. Chaos, Solitons &amp; Fractals, 135, (2020); Civit-Masot J., Luna-Perejon F., Dominguez Morales M., Civit A., Applied Sciences, 10, 13, (2020); Computer Software Manual, (2020); de Lima C.L., da Silva C.C., da Silva A.C.G., Silva E.L., Marques G.S., de Araujo L.J.B., da Silva-Filho A.G., COVID-SGIS: A smart tool for dynamic monitoring and temporal forecasting of Covid-19, Frontiers in Public Health, 8, (2020); Din A., Shah K., Seadawy A., Alrabaiah H., Baleanu D., On a new conceptual mathematical model dealing the current novel coronavirus-19 infectious disease, Results in Physics, (2020); Distante C., Pereira I.G., Goncalves L.M.G., Piscitelli P., Forecasting Covid-19 outbreak progression in Italian regions: A model based on neural network training from Chinese data, Medrxiv, (2020); Dohla M., Boesecke C., Schulte B., Diegmann C., Sib E., Richter E., Et al., Rapid point-of-care testing for SARS-CoV-2 in a community screening setting shows low sensitivity, Public Health, 182, pp. 170-172, (2020); Dong E., Du H., Gardner L., An interactive web-based dashboard to track COVID-19 in real time, The Lancet Infectious Diseases, 20, 5, pp. 533-534, (2020); Feng C., Huang Z., Wang L., Chen X., Zhai Y., Zhu F., Li T., A novel triage tool of artificial intelligence assisted diagnosis aid system for suspected COVID-19 pneumonia in fever clinics, Medrxiv, pp. 1-68, (2020); Fong S.J., Li G., Dey N., Crespo R.G., Herrera-Viedma E., Finding an accurate early forecasting model from small dataset: A case of 2019-nCoV novel coronavirus outbreak, Preprint, (2020); Gomes J.C., de Freitas Barbosa V.A., de Santana M.A., Bandeira J., Valenca M.J.S., de Souza R.E., Dos Santos W.P., Ikonos: An intelligent tool to support diagnosis of covid-19 by texture analysis of X-ray images, Research on Biomedical Engineering, 2020, pp. 1-14, (2020); Gondim J.A.M., Machado L., Optimal quarantine strategies for the COVID-19 pandemic in a population with a discrete age structure, Preprint, (2020); Hajrajabi A., Maleki M., Nonlinear semiparametric autoregressive model with finite mixtures of scale mixtures of skew normal innovations, Journal of Applied Statistics, 2019, pp. 2010-2029, (2019); Hamzah F.B., Lau C., Nazri H., Ligot D.V., Lee G., Tan C.L., Et al., Coronatracker: Worldwide covid-19 outbreak data analysis and prediction, Bull World Health Organ, 1, 32, pp. 1-32, (2020); Huang C.-J., Chen Y.-H., Ma Y., Kuo P.-H., Multiple-input deep convolutional neural network model for Covid-19 forecasting in China, Medrxiv, 2020, pp. 1-16, (2020); Ismael A.M., Deep learning approaches for covid-19 detection based on chest X-ray images, Expert Systems with Applications, (2021); Ivorra B., Ferrandez M.R., Vela-Perez M., Ramos A., Mathematical modeling of the spread of the coronavirus disease 2019 (covid-19) taking into account the undetected infections. The case of China, Communications in Nonlinear Science and Numerical Simulation, (2020); Jain G., Mittal D., Thakur D., Mittal M.K., A deep learning approach to detect covid-19 coronavirus with X-ray images, Biocybernetics and Biomedical Engineering, 40, 4, pp. 1391-1405, (2020); Ji D., Zhang D., Xu J., Chen Z., Yang T., Zhao P., Prediction for progression risk in patients with COVID-19 pneumonia: The CALL score, Clinical Infectious Diseases, 71, 6, pp. 1393-1399, (2020); Jiang N., Liu Y., Yang B., Li Z., Si D., Ma P., Yu Q., Analysis of the factors associated with negative conversion of severe acute respiratory syndrome coronavirus 2 rna of coronavirus disease 2019, Open Access Macedonian Journal of Medical Sciences, 8, 1, pp. 436-442, (2020); Jin C., Chen W., Cao Y., Xu Z., Zhang X., Deng L., Feng J., Development and evaluation of an AI system for COVID-19 diagnosis, Medrxiv, (2020); Kapoor A., Ben X., Liu L., Perozzi B., Barnes M., Blais M., O'Banion S., Examining COVID-19 forecasting using spatio-temporal graph neural networks, Arxiv Preprint, (2020); Kapoor A., Ben X., Liu L., Perozzi B., Barnes M., Blais M., O'Banion S., Examining covid-19 forecasting using spatio-temporal graph neural networks, Preprint, (2020); Kermack W.O., McKendrick A.G., Contributions to the mathematical theory of epidemics. II.—The problem of endemicity. Proceedings of the Royal Society of London. Series A, Containing Papers of a Mathematical and Physical Character, 138, 834, pp. 55-83, (1932); Khajanchi S., Bera S., Roy T.K., Mathematical analysis of the global dynamics of a HTLV-I infection model, considering the role of cytotoxic t-lymphocytes, Mathematics and Computers in Simulation, 180, pp. 354-378, (2021); Khajanchi S., Sarkar K., Forecasting the daily and cumulative number of cases for the covid-19 pandemic in India, Chaos: An Interdisciplinary Journal of Nonlinear Science, 30, 7, (2020); Khajanchi S., Sarkar K., Mondal J., Perc M., Dynamics of the covid-19 pandemic in India, Preprint, (2020); Khan A.I., Shah J.L., Bhat M.M., Coronet: A deep neural network for detection and diagnosis of covid-19 from chest X-ray images, Computer Methods and Programs in Biomedicine, (2020); Khoshnaw S.H., Salih R.H., Sulaimany S., Mathematical modelling for coronavirus disease (covid-19) in predicting future behaviours and sensitivity analysis, Mathematical Modelling of Natural Phenomena, 15, (2020); Khoshnaw S.H., Shahzad M., Ali M., Sultan F., A quantitative and qualitative analysis of the covid-19 pandemic model. Chaos, Solitons &amp; Fractals, (2020); Khrapov P., Loginova A., Comparative analysis of the mathematical models of the dynamics of the coronavirus covid-19 epidemic development in the different countries, International Journal of Open Information Technologies, 8, 5, pp. 17-22, (2020); Kirbas I., Sozen A., Tuncer A.D., Kazancioglu F.S., Comparative analysis and forecasting of COVID-19 cases in various European countries with ARIMA, NARNN and LSTM approaches, Chaos, Solitons &amp; Fractals, (2020); Kufel T., ARIMA-based forecasting of the dynamics of confirmed Covid-19 cases for selected European countries. Equilibrium, Quarterly Journal of Economics and Economic Policy, 15, 2, pp. 181-204, (2020); Lecun Y., Bengio Y., Hinton G., Deep Learning. Nature, 521, 7553, pp. 436-444, (2015); Li Q., Feng W., Quan Y.-H., Trend and forecasting of the COVID-19 outbreak in China, Journal of Infection, 80, 4, pp. 469-496, (2020); Luz E., Silva P.L., Silva R., Moreira G., Towards an efficient deep learning model for covid-19 patterns detection in X-ray images, Preprint, (2020); Maghdid H.S., Asaad A.T., Ghafoor K.Z., Sadiq A.S., Khan M.K., Diagnosing covid-19 pneumonia from x-ray and ct images using deep learning and transfer learning algorithms, Preprint, (2020); Maleki M., Arellano-Valle R.B., Maximum a-posteriori estimation of autoregressive processes based on finite mixtures of scale-mixtures of skew-normal distributions, Journal of Statistical Computation and Simulation, 87, 6, pp. 1061-1083, (2017); Maleki M., Arellano-Valle R.B., Dey D.K., Mahmoudi M.R., Jalali S.M.J., A Bayesian approach to robust skewed autoregressive processes, Calcutta Statistical Association Bulletin, 69, 2, pp. 165-182, (2017); Maleki M., Mahmoudi M.R., Wraith D., Pho K.-H., Time series modelling to forecast the confirmed and recovered cases of COVID-19, Travel Medicine and Infectious Disease, (2020); Maleki M., Nematollahi A., Autoregressive models with mixture of scale mixtures of gaussian innovations. Iranian Journal of Science and Technology, Transactions A: Science, 41, 4, pp. 1099-1107, (2017); Mandal M., Jana S., Nandi S.K., Khatua A., Adak S., Kar T., A model based study on the dynamics of covid-19: Prediction and control, Chaos, Solitons &amp; Fractals, (2020); Massonis G., Banga J.R., Villaverde A.F., Structural identifiability and observability of compartmental models of the covid-19 pandemic, Annual Reviews in Control, 51, pp. 441-459, (2020); Mbuvha R.R., Marwala T., On data-driven management of the Covid-19 outbreak in South Africa, Medrxiv, (2020); Meng Z., Wang M., Song H., Guo S., Zhou Y., Li W., Ying B., Development and utilization of an intelligent application for aiding COVID-19 diagnosis, Medrxiv, 2020, 37, pp. 1-21, (2020); Minaee S., Kafieh R., Sonka M., Yazdani S., Soufi G.J., Deep-covid: Predicting covid-19 from chest X-ray images using deep transfer learning, Medical Image Analysis, (2020); Moftakhar L., Mozhgan S., Safe M.S., Exponentially increasing trend of infected patients with COVID-19 in Iran: A comparison of neural network and ARIMA forecasting models, Iranian Journal of Public Health, (2020); Nabi K.N., Abboubakar H., Kumar P., Forecasting of covid-19 pandemic: From integer derivatives to fractional derivatives. Chaos, Solitons &amp; Fractals, (2020); Narin A., Kaya C., Pamuk Z., Automatic detection of coronavirus disease (covid-19) using X-ray images and deep convolutional neural networks, Preprint, (2020); Ndairou F., Area I., Nieto J.J., Torres D.F., Mathematical modeling of covid-19 transmission dynamics with a case study ofWuhan. Chaos, Solitons &amp; Fractals, (2020); Pal R., Sekh A.A., Kar S., Prasad D.K., Neural network based country wise risk prediction of COVID-19, Applied Sciences, 10, 18, (2020); Peng L., Yang W., Zhang D., Zhuge C., Hong L., Epidemic analysis of COVID-19 in China by dynamical modeling, Preprint, (2020); Pourghasemi H.R., Pouyan S., Heidari B., Farajzadeh Z., Fallah Shamsi S.R., Babaei S., Sadeghian F., Spatial modeling, risk mapping, change detection, and outbreak trend analysis of coronavirus (COVID-19) in Iran (days between February 19 and June 14, 2020), International Journal of Infectious Diseases, 98, pp. 90-108, (2020); Putra S., Khozin Mu'Tamar Z., Estimation of parameters in the SIR epidemic model using particle swarm optimization, American Journal of Mathematical and Computer Modelling, 4, 4, pp. 83-93, (2019); Qeadan F., Honda T., Gren L.H., Dailey-Provost J., Benson L.S., Vanderslice J.A., Shoaf K., Naive forecast for COVID-19 in Utah based on the South Korea and Italy models-the fluctuation between two extremes, International Journal of Environmental Research and Public Health, 17, 8, (2020); Qi H., Xiao S., Shi R., Ward M.P., Chen Y., Tu W., COVID-19 transmission in Mainland China is associated with temperature and humidity: A time-series analysis, Science of the Total Environment, (2020); Rahimi I., Chen F., Gandomi A.H., A review on COVID-19 forecasting models, Neural Computing and Applications, 2020, pp. 1-11, (2021); Rajagopal K., Hasanzadeh N., Parastesh F., Hamarash I.I., Jafari S., Hussain I., A fractional-order model for the novel coronavirus (covid-19) outbreak, Nonlinear Dynamics, 101, 1, pp. 711-718, (2020); Ren H., Zhao L., Zhang A., Song L., Liao Y., Lu W., Cui C., Early forecasting of the potential risk zones of COVID-19 in China’s megacities, Science of the Total Environment, (2020); Ribeiro M.H.D.M., da Silva R.G., Mariani V.C., Dos Santos Coelho L., Short-term forecasting COVID-19 cumulative confirmed cases: Perspectives for Brazil. Chaos, Solitons &amp; Fractals, (2020); Roda W.C., Varughese M.B., Han D., Li M.Y., Why is it difficult to accurately predict the covid-19 epidemic?, Infectious Disease Modelling, 5, pp. 271-281, (2020); Roy S., Bhunia G.S., Shit P.K., Spatial prediction of COVID-19 epidemic using ARIMA techniques in India, Modeling Earth Systems and Environment, (2020); Roy S., Bhunia G.S., Shit P.K., Spatial prediction of covid-19 epidemic using arima techniques in India, Modeling Earth Systems and Environment, 2020, pp. 1-7, (2020); Sadun L., Effects of latency on estimates of the covid-19 replication number, Bulletin of Mathematical Biology, 82, 9, pp. 1-14, (2020); Salgotra R., Gandomi M., Gandomi A.H., Evolutionary modelling of the COVID-19 pandemic in fifteen most affected countries. Chaos, Solitons &amp; Fractals, (2020); Salgotra R., Gandomi M., Gandomi A.H., Time series analysis and forecast of the covid-19 pandemic in India using genetic programming. Chaos, Solitons &amp; Fractals, (2020); Samui P., Mondal J., Khajanchi S., A mathematical model for covid-19 transmission dynamics with a case study of India. Chaos, Solitons &amp; Fractals, (2020); Sarkar K., Khajanchi S., Nieto J.J., Modeling and forecasting the covid-19 pandemic in India, Chaos, Solitons &amp; Fractals, (2020); Schmidhuber J., Deep learning in neural networks: An overview, Neural Networks, 61, pp. 85-117, (2015); Shao N., Zhong M., Yan Y., Pan H., Cheng J., Chen W., Dynamic models for coronavirus disease 2019 and data analysis, Mathematical Methods in the Applied Sciences, 43, 7, pp. 4943-4949, (2020); Singh S., Parmar K.S., Kumar J., Makkhan S.J.S., Development of new hybrid model of discrete wavelet decomposition and autoregressive integrated moving average (ARIMA) models in application to one month forecast the casualties cases of COVID-19. Chaos, Solitons &amp; Fractals, (2020); Suba M., Shanmugapriya R., Balamuralitharan S., Joseph G.A., Current mathematical models and numerical simulation of sir model for coronavirus disease-2019 (covid-19), European Journal of Molecular &amp; Clinical Medicine, 7, 5, (2020); Sujath R., Chatterjee J.M., Hassanien A.E., A machine learning forecasting model for COVID-19 pandemic in India, Stochastic Environmental Research and Risk Assessment, 34, pp. 959-972, (2020); Tamang S., Singh P., Datta B., Forecasting of Covid-19 cases based on prediction using artificial neural network curve fitting technique, Global Journal of Environmental Science and Management, 6, pp. 53-64, (2020); Tomar A., Gupta N., Prediction for the spread of COVID-19 in India and effectiveness of preventive measures, Science of the Total Environment, (2020); Varotsos C.A., Krapivin V.F., A new model for the spread of covid-19 and the improvement of safety, Safety Science, 132, (2020); Velasquez R.M.A., Lara J.V.M., Forecast and evaluation of COVID-19 spreading in USA with reduced-space Gaussian process regression. Chaos, Solitons &amp; Fractals, 136, (2020); Viguerie A., Veneziani A., Lorenzo G., Baroli D., Aretz-Nellesen N., Patton A., Auricchio F., Diffusion–reaction compartmental models formulated in a continuum mechanics framework: Application to covid-19, mathematical analysis, and numerical study, Computational Mechanics, 66, 5, pp. 1131-1152, (2020); Wang L., Lin Z.Q., Wong A., Covid-net: A tailored deep convolutional neural network design for detection of covid-19 cases from chest X-ray images, Scientific Reports, 10, 1, pp. 1-12, (2020); Wang L., Wang G., Gao L., Li X., Yu S., Kim M., Gu Z., Spatiotemporal dynamics, nowcasting and forecasting of COVID-19 in the United States, Arxiv, pp. 1-26, (2020); WHO Coronavirus (COVID-19) Dashboard, Computer Software Manual, (2021); Wieczorek M., Silka J., Wozniak M., Neural network powered COVID-19 spread forecasting model, Chaos, Solitons &amp; Fractals, 140, (2020); Xie J., Hungerford D., Chen H., Abrams S.T., Li S., Wang G., Toh C.-H., Development and external validation of a prognostic multivariable model on admission for hospitalized patients with COVID-19, The Lancet, pp. 1-29, (2020); Yang Z., Zeng Z., Wang K., Wong S.-S., Liang W., Zanin M., Et al., Modified SEIR and AI prediction of the epidemics trend of COVID-19 in China under public health interventions, Journal of Thoracic Disease, 12, 3, (2020); Yesilkanat C.M., Spatio-temporal estimation of the daily cases of COVID-19 in worldwide using random forest machine learning algorithm, Chaos, Solitons and Fractals, 140, (2020); Zarrin P., Maleki M., Khodadai Z., Arellano-Valle R.B., Time series models based on the unrestricted skew-normal process, Journal of Statistical Computation and Simulation, 89, 1, pp. 38-51, (2019); Zeroual A., Harrou F., Dairi A., Sun Y., Deep learning methods for forecasting covid-19 time-series data: A comparative study, Chaos, Solitons &amp; Fractals, 140, (2020); Zhong L., Mu L., Li J., Wang J., Yin Z., Liu D., Early prediction of the 2019 novel coronavirus outbreak in the mainland China based on simple mathematical model, IEEE Access, 8, pp. 51761-51769, (2020)</t>
  </si>
  <si>
    <t xml:space="preserve">W.P. Dos Santos; Department of Biomedical Engineering, Federal University of Pernambuco, Recife, Pernambuco, Brazil; email: wellington.santos@ufpe.br</t>
  </si>
  <si>
    <t xml:space="preserve">978-303079753-9; 978-303079752-2</t>
  </si>
  <si>
    <t xml:space="preserve">Assess. COVID-19 and Other Pandemics and Epidemics using Computational Modelling and Data Analysis</t>
  </si>
  <si>
    <t xml:space="preserve">2-s2.0-85158929967</t>
  </si>
  <si>
    <t xml:space="preserve">Mbaye O.; Ba M.L.; Sy A.</t>
  </si>
  <si>
    <t xml:space="preserve">Mbaye, Ousseynou (57212561205); Ba, Mouhamadou Lamine (54584822500); Sy, Alassane (35176647200)</t>
  </si>
  <si>
    <t xml:space="preserve">57212561205; 54584822500; 35176647200</t>
  </si>
  <si>
    <t xml:space="preserve">On the efficiency of machine learning models in Malaria prediction</t>
  </si>
  <si>
    <t xml:space="preserve">Malaria is still a real public health concern in Sub-Saharan African countries such as Senegal where it represents approximately 35% of the consultation activities in the hospitals. This is mainly due to the lack of appropriate medical care support and often late and error-prone diagnosis of the disease. For instance, largely used tools like Rapid Diagnosis Test are not fully reliable. This study proposes an extensive study of the efficiency of the most popular machine learning models for the task of Malaria occurrence prediction. We have considered patients from Senegal and have evaluated the overall accuracy of each considered algorithm based on sign and symptom information. Our main result is that machine learning algorithms are promising, in particular Naive Bayesian presents a recall very close to that of a rapid diagnostic test while improving highly its precision by 9%. © 2021 European Federation for Medical Informatics (EFMI) and IOS Press. © 2021 European Federation for Medical Informatics (EFMI) and IOS Press. All rights reserved.</t>
  </si>
  <si>
    <t xml:space="preserve">Public Health and Informatics: Proceedings of MIE 2021</t>
  </si>
  <si>
    <t xml:space="preserve">IOS Press</t>
  </si>
  <si>
    <t xml:space="preserve">10.3233/SHTI210196</t>
  </si>
  <si>
    <t xml:space="preserve">https://www.scopus.com/inward/record.uri?eid=2-s2.0-85107238380&amp;doi=10.3233%2fSHTI210196&amp;partnerID=40&amp;md5=b0ba8837d217d7762cd23ac8a33b28ea</t>
  </si>
  <si>
    <t xml:space="preserve">Université Alioune Diop de Bambey, Bambey, Senegal</t>
  </si>
  <si>
    <t xml:space="preserve">Mbaye O., Université Alioune Diop de Bambey, Bambey, Senegal; Ba M.L., Université Alioune Diop de Bambey, Bambey, Senegal; Sy A., Université Alioune Diop de Bambey, Bambey, Senegal</t>
  </si>
  <si>
    <t xml:space="preserve">Evaluation; Malaria; ML; Performance; Prediction; Sign; Symptom</t>
  </si>
  <si>
    <t xml:space="preserve">Algorithms; Bayes Theorem; Humans; Machine Learning; Malaria; Senegal; algorithm; Bayes theorem; human; machine learning; malaria; Senegal</t>
  </si>
  <si>
    <t xml:space="preserve">2019 World Malaria Report, (2020); Garrido-Cardenas J.A., Cebrian-Carmona J., Gonzalez-Ceron L., Manzano-Agugliaro F., Mesa-Valle C., Analysis of Global Research on Malaria and Plasmodium vivax, Int J Environ Res Public Health, 16, 11, (2019); Lepes T., Review of Research on Malaria, Bulletin of the World Health Organization, 50, 3-4, pp. 151-157, (1974); Ermert V., Fink A.H., Jones A.E., Morse A.P., Development of a new version of the Liverpool Malaria Model. I. Refining the parameter settings and mathematical formulation of basic processes based on a literature review, Malar J, 10, (2011); Houze S., Les tests de diagnostic rapide pour le paludisme [Rapid diagnostic test for malaria], Bull Soc Pathol Exot, 110, 1, pp. 49-54, (2017); Mitchell T.M., Et al., Machine learning, (1997); Yadav A., Arpitha M.S., Mithun K.A., Better Healthcare using Machine Learning, International Journal of Advanced Research in Computer Science, 9, 1, (2010); Sokhna C., Mboup B.M., Sow P.G., Camara G., Dieng M., Sylla M., Et al., Communicable and non-communicable disease risks at the Grand Magal of Touba: The largest mass gathering in Senegal, Travel Medicine and Infectious Disease, 19, pp. 56-60, (2017); Mbaye O., Ba M.L., Camara G., Sy A., Mboup B.M., Diallo A., Towards an Efficient Prediction Model of Malaria Cases in Senegal. International Conference on Innovations and Interdisciplinary Solutions for Underserved Areas, pp. 173-188, (2019); Lemaitre G., Nogueira F., Aridas C.K., Imbalanced-learn: A python toolbox to tackle the curse of imbalanced datasets in machine learning, The Journal of Machine Learning Research, 18, 1, pp. 559-563, (2017); Wang J., Xu M., Wang H., Zhang J., Classification of imbalanced data by using the SMOTE algorithm and locally linear embedding, IEEE Proceedings of 8th international Conference on Signal Processing, 3, (2006); de Oliveira H., Prodel M., Augusto V., Binary Classification on French Hospital Data: Benchmark of 7 Machine Learning Algorithms, Proceedings of IEEE International Conference on Systems, pp. 1743-1748, (2018); Tomar D., Agarwal S., A survey on Data Mining approaches for Healthcare, International Journal of Bio-Science and Bio-Technology, 5, 5, pp. 241-266, (2013); Rokach L., Maimon O., Decision Trees, Springer, 6, pp. 65-92, (2006); Breiman L., Random Forests, Machine Learning, 45, 1, pp. 5-32, (2001); Kaviani P., Dhotre S., Short Survey on Naive Bayes Algorithms International Journal of Advance Engineering and Research Development, 4, 11, pp. 607-611, (2017); Morgan S.P., Teachman J.D., Logistic Regression: Description, Examples, and Comparisons, Journal of Marriage and Family, 50, 4, pp. 929-936, (1988); Evgeniou T., Pontil M., Support Vector Machines: Theory and Applications, Studies in Fuzziness and Soft Computing, 2049, pp. 249-257, (2001); Mehlig B., Artificial Neural Networks, (2020)</t>
  </si>
  <si>
    <t xml:space="preserve">M.L. Ba; Université Alioune Diop de Bambey, Bambey, Senegal; email: mouhamadoulamine.ba@uadb.edu.sn</t>
  </si>
  <si>
    <t xml:space="preserve">978-164368185-6; 978-164368184-9</t>
  </si>
  <si>
    <t xml:space="preserve">Public Health and Inform.: Proc. of MIE 2021</t>
  </si>
  <si>
    <t xml:space="preserve">2-s2.0-85107238380</t>
  </si>
  <si>
    <t xml:space="preserve">Kalra M.; Bouguila N.</t>
  </si>
  <si>
    <t xml:space="preserve">Kalra, Meeta (57211276449); Bouguila, Nizar (6603545988)</t>
  </si>
  <si>
    <t xml:space="preserve">57211276449; 6603545988</t>
  </si>
  <si>
    <t xml:space="preserve">Online Variational Learning Using Finite Generalized Inverted Dirichlet Mixture Model with Feature Selection on Medical Data Sets</t>
  </si>
  <si>
    <t xml:space="preserve">At present, wide applications of clustering algorithms in biomedical research can be witnessed on high-dimensional data. Few examples include gene expression profiling using micro-array data, morphological feature extraction from cellular images, and medical imaging analysis on MRI data. Henceforth, it is of utmost importance to have the right match between the biomedical data and the applied algorithm. For such diverse goals, specialized clustering algorithms are developed in association with the biomedical information, terminologies, and requirements captured in the snapshot of the image. For this, clustering models are developed from the domains of machine learning, data mining, and image processing which focus on extracting features from the data sets and analyzing these models by using diverse approaches. In this chapter, we propose a statistical framework for online variational learning of finite generalized inverted Dirichlet (GID) mixture model for clustering medical images data by simultaneously using feature selection and image segmentation. The model allows one to adjust the mixture model parameters, number of components and features weights to tackle the challenge of over-fitting. The algorithm in this study has been evaluated on synthetic data as well as three medical applications for brain tumor detection, skin melanoma detection, and computer-aided detection (CAD) of malaria. © Springer Nature Switzerland AG 2021.</t>
  </si>
  <si>
    <t xml:space="preserve">Artificial Intelligence and Data Mining in Healthcare</t>
  </si>
  <si>
    <t xml:space="preserve">10.1007/978-3-030-45240-7_8</t>
  </si>
  <si>
    <t xml:space="preserve">https://www.scopus.com/inward/record.uri?eid=2-s2.0-85150116779&amp;doi=10.1007%2f978-3-030-45240-7_8&amp;partnerID=40&amp;md5=f3de998390e0014cb16422e6571a05c3</t>
  </si>
  <si>
    <t xml:space="preserve">Concordia Institute for Information Systems Engineering, Concordia University, Montreal, QC, Canada</t>
  </si>
  <si>
    <t xml:space="preserve">Kalra M., Concordia Institute for Information Systems Engineering, Concordia University, Montreal, QC, Canada; Bouguila N., Concordia Institute for Information Systems Engineering, Concordia University, Montreal, QC, Canada</t>
  </si>
  <si>
    <t xml:space="preserve">Ng H.P., Ong S., Foong K., Goh P.-S., Nowinski W., Medical image segmentation using k-means clustering and improved watershed algorithm, Proceedings of the IEEE Southwest Symposium on Image Analysis and Interpretation, pp. 61-65, (2006); Chen Z., Qi Z., Meng F., Cui L., Shi Y., Image segmentation via improving clustering algorithms with density and distance, Procedia Computer Science, 55, pp. 1015-1022, (2015); Funmilola A.A., Oke O.A., Adedeji T.O., Alade O.M., Adewusi E.A., Fuzzy kc-means clustering algorithm for medical image segmentation, Journal of Information Engineering and Applications, ISSN, (2012); Atienza N., Garcia-Heras J., Munoz-Pichardo J.M., Villa R., An application of mixture distributions in modelization of length of hospital stay, Statistics in Medicine, 27, 9, pp. 1403-1420, (2008); Kalra M., Osadebey M., Bouguila N., Pedersen M., Fan W., Online Variational Learning for Medical Image Data Clustering, pp. 235-269, (2020); Chen W., Fan W., Bouguila N., Zhong B., Medical Image Segmentation Based on Spatially Constrained Inverted Beta-Liouville Mixture Models, pp. 307-324, (2020); Xu R., Wunsch D.C., Clustering algorithms in biomedical research: A review, IEEE Reviews in Biomedical Engineering, 3, pp. 120-154, (2010); Hastie T., Tibshirani R., Discriminant analysis by Gaussian mixtures, Journal of the Royal Statistical Society, Series B, 58, pp. 155-176, (1996); Dixit M., Rasiwasia N., Vasconcelos N., Adapted Gaussian models for image classification, CVPR 2011, pp. 937-943, (2011); Bdiri T., Bouguila N., Bayesian learning of inverted Dirichlet mixtures for svm kernels generation, Neural Computing and Applications, 23, 5, pp. 1443-1458, (2013); Elgammal A., Harwood D., Davis L., Non-parametric model for background subtraction, European conference on computer vision, pp. 751-767, (2000); Kuyuk H.S., Yildirim E., Dogan E., Horasan G., Application of k-means and Gaussian mixture model for classification of seismic activities in Istanbul, Nonlinear Processes in Geophysics, 19, 4, pp. 411-419, (2012); Elguebaly T., Bouguila N., A Bayesian approach for sar images segmentation and changes detection, 2010 25th Biennial Symposium on Communications, pp. 24-27, (2010); Boutemedjet S., Bouguila N., Ziou D., A hybrid feature extraction selection approach for high-dimensional non-Gaussian data clustering, IEEE Transactions on Pattern Analysis and Machine Intelligence, 31, 8, pp. 1429-1443, (2009); Fan W., Bouguila N., Online variational learning of generalized Dirichlet mixture models with feature selection, Neurocomputing, 126, pp. 166-179, (2014); Bdiri T., Bouguila N., Learning inverted Dirichlet mixtures for positive data clustering, International Workshop on Rough Sets, Fuzzy Sets, Data Mining, and Granular-Soft Computing, pp. 265-272, (2011); Bdiri T., Bouguila N., Ziou D., Variational Bayesian inference for infinite generalized inverted Dirichlet mixtures with feature selection and its application to clustering, Applied Intelligence, 44, 3, pp. 507-525, (2016); Bourouis S., Mashrgy M.A., Bouguila N., Bayesian learning of finite generalized inverted Dirichlet mixtures: Application to object classification and forgery detection, Expert Systems with Applications, 41, 5, pp. 2329-2336, (2014); Fan W., Bouguila N., Ziou D., Variational learning of finite Dirichlet mixture models using component splitting, Neurocomputing, 129, pp. 3-16, (2014); Christian R., Casella G., Monte Carlo statistical methods (book review), Technometrics, 42, 4, (1999); Jordan M.I., Ghahramani Z., Jaakkola T.S., Saul L.K., An introduction to variational methods for graphical models, learning in graphical models, (1999); Ghahramani Z., Beal M.J., Variational inference for Bayesian mixtures of factor analysers, Advances in neural information processing systems, pp. 449-455, (2000); Archambeau C., Opper M., Approximate inference for continuous-time Markov processes, Bayesian Time Series Models, pp. 125-140, (2011); Opper M., Sanguinetti G., Variational inference for Markov jump processes, Advances in neural information processing systems, pp. 1105-1112, (2008); Fan W., Bouguila N., Online variational learning of finite Dirichlet mixture models, Evolving Systems, 3, 3, pp. 153-165, (2012); Bdiri T., Bouguila N., Positive vectors clustering using inverted Dirichlet finite mixture models, Expert Systems with Applications, 39, 2, pp. 1869-1882, (2012); Liu H., Setiono R., Some issues on scalable feature selection1this is an extended version of the paper presented at the fourth world congress of expert systems: Application of advanced information technologies held in Mexico City in March 1998.1, Expert Systems with Applications, 15, 3, pp. 333-339, (1998); Zhou J., Foster D.P., Stine R.A., Ungar L.H., Streamwise feature selection, J.Mach. Learn. Res., 7, pp. 1861-1885, (2006); Ungar L.H., Zhou J., Foster D.P., Stine B.A., Streaming feature selection using iic, aistats05, pp. 357-364, (2005); Dilts D., Khamalah J., Plotkin A., Using cluster analysis for medical resource decision making, Medical Decision Making, 15, 4, pp. 333-346, (1995); McLachlan G.J., Cluster analysis and related techniques in medical research, StatisticalMethods in Medical Research, 1, 1, pp. 27-48, (1992); Romesburg C., Marshall K., User’s manual for cluster/clustid computer programs for hierarchical cluster analysis, (1984); Clatworthy J., Buick D., Hankins M., Weinman J., Horne R., The use and reporting of cluster analysis in health psychology: A review, British journal of health psychology, 10, 3, pp. 329-358, (2005); Weir M.R., Maibach E.W., Bakris G.L., Black H.R., Chawla P., Messerli F.H., Neutel J.M., Weber M.A., Implications of a health lifestyle and medication analysis for improving hypertension control, Archives of internal medicine, 160, 4, pp. 481-490, (2000); Liao M., Li Y., Kianifard F., Obi E., Arcona S., Cluster analysis and its application to healthcare claims data: A study of end-stage renal disease patients who initiated hemodialysis, BMC nephrology, 17, 1, (2016); Eisen M.B., Spellman P.T., Brown P.O., Botstein D., Cluster analysis and display of genome-wide expression patterns, Proceedings of the National Academy of Sciences, 95, 25, pp. 14863-14868, (1998); Abdel-Maksoud E., Elmogy M., Al-Awadi R., Brain tumor segmentation based on a hybrid clustering technique, Egyptian Informatics Journal, 16, 1, pp. 71-81, (2015); Kong Y., Deng Y., Dai Q., Discriminative clustering and feature selection for brain mri segmentation, IEEE Signal Processing Letters, 22, 5, pp. 573-577, (2014); Yao J., Chen J., Chow C., Breast tumor analysis in dynamic contrast enhanced mri using texture features and wavelet transform, IEEE Journal of selected topics in signal processing, 3, 1, pp. 94-100, (2009); Juneau P., Analyzing pregnancy costs with finite mixture models: An opportunity to more adequately accommodate the presence of patient data heterogeneity, Gynecology and Obstetrics Research -Open Journal, 2, pp. 69-76, (2015); Mashrgy M.A., Bdiri T., Bouguila N., Robust simultaneous positive data clustering and unsupervised feature selection using generalized inverted Dirichlet mixture models, Knowledge-Based Systems, 59, pp. 182-195, (2014); McLachlan G., Peel D., Finite mixture models, John Wiley and Sons, (2004); Ma Z., Leijon A., Bayesian estimation of beta mixture models with variational inference, IEEE Transactions on Pattern Analysis and Machine Intelligence, 33, 11, pp. 2160-2173, (2011); Bishop C., Winn J., Structured variational distributions in vibes, (2003); Chandler D., Introduction to Modern Statistical Mechanics, (1987); Celeux G., Forbes F., Peyrard N., Em procedures using mean field-like approximations for Markov model-based image segmentation, Pattern recognition, 36, 1, pp. 131-144, (2003); Corduneanu A., Bishop C.M., Variational Bayesian model selection for mixture distributions, Artificial intelligence and Statistics, 2001, pp. 27-34, (2001); Sato M.-A., Online model selection based on the variational Bayes, Neural computation, 13, 7, pp. 1649-1681, (2001); Amari S.-I., Natural gradient works efficiently in learning, Neural computation, 10, 2, pp. 251-276, (1998); Hoffman M., Bach F.R., Blei D.M., Online learning for latent Dirichlet allocation, advances in neural information processing systems, pp. 856-864, (2010); Kushner H., Yin G.G., Stochastic approximation and recursive algorithms and applications, 35, (2003); Demirhan A., Toru M., Guler I., Segmentation of tumor and edema along with healthy tissues of brain using wavelets and neural networks, IEEE journal of biomedical and health informatics, 19, 4, pp. 1451-1458, (2014); Roy K., Mukherjee J., Image similarity measure using color histogram, color coherence vector, and Sobel method, International Journal of Science and Research, 2, pp. 538-543, (2013); Sharma K., Kaur A., Gujral S., Brain tumor detection based on machine learning algorithms, International Journal of Computer Applications, 103, 1, (2014); Bahadure N.B., Ray A.K., Thethi H.P., Image analysis for mri based brain tumor detection and feature extraction using biologically inspired bwt and svm, International journal of biomedical imaging, (2017); Bandhyopadhyay S.K., Paul T.U., Automatic segmentation of brain tumour from multiple images of brain mri, Int J Appl Innovat EngManage (IJAIEM), 2, 1, pp. 240-248, (2013); Meena A., Raja R., Spatial fuzzy c means pet image segmentation of neurodegenerative disorder, ArXiv, (2013); Cernazanu-Glavan C., Holban S., Segmentation of bone structure in x-ray images using convolutional neural network, Adv. Electr. Comput. Eng, 13, 1, pp. 87-94, (2013); Yerpude A., Dubey S., Colour image segmentation using k-medoids clustering, Int J Comput Technol Appl, 3, 1, pp. 152-154, (2012); Sarker M.D.M.K., Rashwan H.A., Abdel-Nasser M., Singh V.K., Banu S.F., Akram F., Chowdhury F.U.H., Choudhury K.A., Chambon S., Radeva P., Puig D., Mobilegan: Skin lesion segmentation using a lightweight generative adversarial network, (2019); Das D.K., Ghosh M., Pal M., Maiti A.K., Chakraborty C., Machine learning approach for automated screening of malaria parasite using light microscopic images, Micron, 45, pp. 97-106, (2013); Constantinopoulos C., Likas A., Unsupervised learning of Gaussian mixtures based on variational component splitting, IEEE Transactions on Neural Networks, 18, 3, pp. 745-755, (2007)</t>
  </si>
  <si>
    <t xml:space="preserve">M. Kalra; Concordia Institute for Information Systems Engineering, Concordia University, Montreal, Canada; email: m_lra@encs.concordia.ca</t>
  </si>
  <si>
    <t xml:space="preserve">978-303045240-7; 978-303045239-1</t>
  </si>
  <si>
    <t xml:space="preserve">Artificial Intelligence and Data Min. in Healthc.</t>
  </si>
  <si>
    <t xml:space="preserve">2-s2.0-85150116779</t>
  </si>
  <si>
    <t xml:space="preserve">Haque K.F.; Abdelgawad A.</t>
  </si>
  <si>
    <t xml:space="preserve">Haque, Khandaker Foysal (57207855073); Abdelgawad, Ahmed (21833863800)</t>
  </si>
  <si>
    <t xml:space="preserve">57207855073; 21833863800</t>
  </si>
  <si>
    <t xml:space="preserve">Prospects of Internet of Things (IoT) and Machine Learning to Fight Against COVID-19</t>
  </si>
  <si>
    <t xml:space="preserve">IoT and Machine Learning has improved multi-fold in recent years and they have been playing a great role in healthcare systems which includes detecting, screening and monitoring of the patients. IoT has been successfully detecting different heart diseases, Alzheimer disease, helping autism patients and monitoring patients’ health condition with much lesser cost but providing better efficiency, reliability and accuracy. IoT also has a great prospect in fighting against COVID-19. This chapter discusses different aspects of IoT in aiding healthcare systems for detecting and monitoring Coronavirus patients. Two such IoT based models are also designed for automatic thermal monitoring and for measuring and real-time monitoring of heart rate with wearable IoT devices. Convolutional Neural Networks (CNN) is a Machine Learning algorithm that has been performing well in detecting many diseases including Coronary Artery Disease, Malaria, Alzheimer’s disease, different dental diseases, and Parkinson’s disease. Like other cases, CNN has a substantial prospect in detecting COVID-19 patients with medical images like chest X-rays and CTs. Detecting Corona positive patients is very important in preventing the spread of this virus. On this conquest, a CNN model is proposed to detect COVID-19 patients from chest X-ray images. Two CNN models with different number of convolution layers and three other models based on ResNet50, VGG-16 and VGG-19 are evaluated with comparative analytical analysis. The proposed model performs with an accuracy of 97.5% and a precision of 97.5%. This model gives the Receiver Operating Characteristic (ROC) curve area of 0.975 and F1-score of 97.5. It can be improved further by increasing the dataset for training the model. © 2021, The Author(s), under exclusive license to Springer Nature Switzerland AG.</t>
  </si>
  <si>
    <t xml:space="preserve">Smart Sensors, Measurement and Instrumentation</t>
  </si>
  <si>
    <t xml:space="preserve">10.1007/978-3-030-71221-1_5</t>
  </si>
  <si>
    <t xml:space="preserve">https://www.scopus.com/inward/record.uri?eid=2-s2.0-85111451174&amp;doi=10.1007%2f978-3-030-71221-1_5&amp;partnerID=40&amp;md5=91ac1ad437bdc17892c03e6bfcc03476</t>
  </si>
  <si>
    <t xml:space="preserve">Central Michigan University, Mount Pleasant, MI, United States</t>
  </si>
  <si>
    <t xml:space="preserve">Haque K.F., Central Michigan University, Mount Pleasant, MI, United States; Abdelgawad A., Central Michigan University, Mount Pleasant, MI, United States</t>
  </si>
  <si>
    <t xml:space="preserve">Convolutional Neural Networks (CNN); Coronavirus; COVID-19; Deep learning; Detection of COVID-19; Internet of Things (IoT); Sensors</t>
  </si>
  <si>
    <t xml:space="preserve">Convolution; Convolutional neural networks; Diagnosis; Diseases; Health care; Learning algorithms; Machine learning; Medical imaging; Patient monitoring; Turing machines; Viruses; Alzheimer disease; Analytical analysis; Automatic thermal monitoring; Coronary artery disease; Health-care system; Internet of Things (IOT); Real time monitoring; Receiver operating characteristic curves; Internet of things</t>
  </si>
  <si>
    <t xml:space="preserve">Abdelgawad A., Yelamarthi K., Internet of things (IoT) platform for structure health monitoring, Wireless Communications and Mobile Computing, (2017); Catarinucci L., de Donno D., Mainetti L., Palano L., Patrono S., M. L., &amp; Tarricone, L, An Iot-Aware Architecture for Smart Healthcare Systems. IEEE Internet of Things Journal, 2, 6, pp. 515-526, (2015); Cohen J.P., Morrison P., Dao L., Covid-19 Image Data Collection. Arxiv, 2003, (2020); Gu J., Wang Z., Kuen J., Ma L., Shahroudy A., Shuai B., Et al., Recent advances in convolutional neural networks, Pattern Recognition, 77, pp. 354-377, (2018); Gunawan T.S., Gani M.H.H., Rahman F.D.A., Kartiwi M., Development of face recognition on raspberry pi for security enhancement of smart home system, Indonesian Journal of Electrical Engineering and Informatics (IJEEI), 5, 4, pp. 317-325, (2017); Hall L.O., Paul R., Goldgof D.B., Goldgof G.M., Finding Covid-19 from Chest X-Rays Using Deep Learning on a Small Dataset. Arxiv Preprint Arxiv, 2004, (2020); Haque K.F., Zabin R., Yelamarthi K., Yanambaka P., Abdelgawad A., An IoT based efficient waste collection system with smart bins, IEEE 6Th World Forum on Internet of Things (Wf-Iot), (2020); Haque K.F., Abdelgawad A., Yanambaka P., Yelamarthi K., An energy-efficient and reliable RPL for IoT, 2020 IEEE 6Th World Forum on Internet of Things (Wf-Iot), (2020); Haque K.F., Kabir K.H., Abdelgawad A., Advancement of routing protocols and applications of underwater wireless sensor network (UWSN)-a survey, Journal of Sensor and Actuator Networks, 9, 2, (2020); He K., Zhang X., Ren S., Sun J., Deep residual learning for image recognition, Proceedings of the IEEE Conference on Computer Vision and Pattern Recognition, pp. 770-778, (2016); Huang C.-H., Cheng K.-W., (2014). RFID technology combined with IoT application in medical nursing system. Bulletin of Networking, Computing, Systems, and Software, 3, 1, pp. 20-24, (2014); Joyia G.J., Liaqat R.M., Farooq A., Rehman S., Internet of medical things (IOMT): Applications, benefits and future challenges in healthcare domain, Journal of Communication, 12, 4, pp. 240-247, (2017); Kumar K.S., Bairavi K., IoT based health monitoring system for autistic patients, Proceedings of the 3Rd International Symposium on Big Data and Cloud Computing Challenges (ISBCC–16’), pp. 371-376, (2016); Kumar P.M., Gandhi U.D., A novel three-tier internet of things architecture with machine learning algorithm for early detection of heart diseases, Computers &amp; Electrical Engineering, 65, pp. 222-235, (2018); Krishna K.D., Akkala V., Bharath R., Rajalakshmi P., Mohammed A., Merchant S., Et al., Computer aided abnormality detection for kidney on FPGA based IoT enabled portable ultrasound imaging system, IRBM, 37, 4, pp. 189-197, (2016); McCulloch W.S., Pitts W., A logical calculus of the ideas immanent in nervous activity, The Bulletin of Mathematical Biophysics, 5, 4, pp. 115-133, (1943); Mohammed M., Syamsudin H., Al-Zubaidi S., Aks R.R., Yusuf E., Novel covid-19 detection and diagnosis system using IoT based smart helmet, International Journal of Psychosocial Rehabilitation, 7, (2020); Mooney P., Chest X-Ray Images (Pneumonia, (2020); Narin A., Kaya C., Pamuk Z., Automatic Detection of Coronavirus Disease (Covid-19) Using X-Ray Images and Deep Convolutional Neural Networks. Arxiv Preprint Arxiv, 2003, (2020); Sethy P.K., Behera S.K., Detection of Coronavirus Disease (Covid-19) Based on Deep Features. Preprints, pp. 2020-030300, (2020); Singh R.P., Javaid M., Haleem A., Suman R., Internet of things (IoT) applications to fight against covid-19 pandemic, Diabetes &amp; Metabolic Syndrome, (2020); Simonyan K., Zisserman A., Very Deep Convolutional Networks for Large-Scale Image Recognition. Arxiv Preprint Arxiv, 1409, (2014); Vaishya R., Javaid M., Khan I., Haleem A., Artificial intelligence (AI) applications for covid-19 pandemic, Diabetes &amp; Metabolic Syndrome, (2020); WHO Organization Coronavirus Disease (Covid-19), (2019); Modes of Transmission of Virus Causing Covid-19: Implications for IPC Precaution Recommendations: Scientific Brief, 27 March, (2020); COVID-19) Dashboard. (2020). Geneva world health organization, WHO Coronavirus Disease; Geneva world health organization, WHO Coronavirus Disease (COVID-19) Newsroom, (2020); Wu Y.-C., Chen C.-S., Chan Y.-J., The outbreak of covid-19: An overview, Journal of the Chinese Medical Association, 83, 3, (2020); Yelamarthi K., Aman M.S., Abdelgawad A., An application-driven modular IoT architecture, Wireless Communications and Mobile Computing, 2017, 20, (2017); Yu L., Lu Y., Zhu X., Smart hospital based on internet of things, Journal of Networks, 7, 10, (2012); Zhang H., Li J., Wen B., Xun Y., Liu J., Connecting intelligent things in smart hospitals using NB-IoT, IEEE Internet of Things Journal, 5, 3, pp. 1550-1560, (2018); Zhang J., Xie Y., Li Y., Shen C., Xia Y., Covid-19 Screening on Chest X-Ray Images Using Deep Learning Based Anomaly Detection. Arxiv Preprint Arxiv, 2003, (2020)</t>
  </si>
  <si>
    <t xml:space="preserve">K.F. Haque; Central Michigan University, Mount Pleasant, United States; email: haque1k@cmich.edu</t>
  </si>
  <si>
    <t xml:space="preserve">Smart Sens. Meas. Instrum.</t>
  </si>
  <si>
    <t xml:space="preserve">2-s2.0-85111451174</t>
  </si>
  <si>
    <t xml:space="preserve">Sharma M.; Singh P.</t>
  </si>
  <si>
    <t xml:space="preserve">Sharma, Mukul (57197817911); Singh, Pushpendra (56524845300)</t>
  </si>
  <si>
    <t xml:space="preserve">57197817911; 56524845300</t>
  </si>
  <si>
    <t xml:space="preserve">Use of Artificial Intelligence in Research and Clinical Decision Making for Combating Mycobacterial Diseases</t>
  </si>
  <si>
    <t xml:space="preserve">Tuberculosis (TB) and leprosy (caused by mycobacterial pathogens) are two age-old infections, which we are facing even today. India is a major contributor to the global burden of leprosy and tuberculosis, which adversely affects the diverse communities as well as having a prevalence in different parts of the country. Timely diagnostics and effective treatment are very challenging, and the emergence of drug resistance has further complicated the management of these mycobacterial diseases. Various lineages of these mycobacterial pathogens show varying phenotypes in terms of clinical presentations and treatment outcomes. Altogether these factors make it further difficult to understand the full genetic diversity and pathogenicity of these pathogens using the conventional genomic and proteomic approaches. However, thanks to the recent technological advances in the genomics and proteomics field, many of these constraints have been suitably addressed. While it is relatively simpler to produce the omics data in a high-throughput manner, the bottleneck now is the pace to assimilate this large data into some useful information to reach a relevant, meaningful conclusion in a timely manner to assist the clinician in making a judgment. In India, genetic diversity of different strains has been widely studied using approaches based on Next-generation sequencing (NGS), metagenomics, spoligotyping, and PCR. But there are still gaps in predicting phenotypes accurately from genotypic data, in particular for certain drugs. Recently, Machine learning (ML) methods were successfully used to develop predictive classification models and to identify compounds based on their biological activities. Artificial Intelligence- (AI) based ML learns from known data characteristics and makes predictions. Machine learning approaches can find statistical dependencies in the data and also take into account the non-linear and feature-interaction effects. In this way, new knowledge can be unleashed and data has been proven to be useful that can provide clinically actionable recommendations and high priority features like mutation/variant/polymorphism profile and its association with the drug as well as drug resistance profile, genotype information regarding clustering and molecular epidemiology of mycobacteria. Moreover, the data utilized by the model for prediction can also be implied in rapid diagnostics and transmission dynamics studies. In this chapter, we gathered the current information about the use of Genome-wide Association Study (GWAS) and NGS in mycobacterial disease and a machine learning literature supporting applications for identification and antimicrobial susceptibility testing in mycobacteria. We have attempted to provide a comprehensive introduction about the technological advancements in high throughput data and explain how NGS with ML can be used in clinical decision-making, genomics, proteomics, docking, simulations, drug screening, and drug-repurposing. © The Editor(s) (if applicable) and The Author(s), under exclusive license to Springer Nature Singapore Pte Ltd. 2021.</t>
  </si>
  <si>
    <t xml:space="preserve">Artificial Intelligence and Machine Learning in Healthcare</t>
  </si>
  <si>
    <t xml:space="preserve">Springer Singapore</t>
  </si>
  <si>
    <t xml:space="preserve">10.1007/978-981-16-0811-7_9</t>
  </si>
  <si>
    <t xml:space="preserve">https://www.scopus.com/inward/record.uri?eid=2-s2.0-85150561934&amp;doi=10.1007%2f978-981-16-0811-7_9&amp;partnerID=40&amp;md5=c32bc1d236eefd61e06ab9dccf7e22cf</t>
  </si>
  <si>
    <t xml:space="preserve">Indian Council of Medical Research-National Institute of Research in Tribal Health, Madhya Pradesh, Jabalpur, India</t>
  </si>
  <si>
    <t xml:space="preserve">Sharma M., Indian Council of Medical Research-National Institute of Research in Tribal Health, Madhya Pradesh, Jabalpur, India; Singh P., Indian Council of Medical Research-National Institute of Research in Tribal Health, Madhya Pradesh, Jabalpur, India</t>
  </si>
  <si>
    <t xml:space="preserve">Artificial intelligence (AI); Genome-wide association study (GWAS); Leprosy; Machine learning (ML); Next generation sequencing (NGS); Tuberculosis (TB)</t>
  </si>
  <si>
    <t xml:space="preserve">Advani J., Et al., Whole genome sequencing of Mycobacterium tuberculosis clinical isolates from India reveals genetic heterogeneity and region-specific variations that might affect drug susceptibility, Front Microbiol, 10, (2019); Akama T., Et al., Whole-genome tiling array analysis of Mycobacterium leprae RNA reveals high expression of pseudogenes and noncoding regions, J Bacteriol, 191, 10, pp. 3321-3327, (2009); Alenezi N.S.A., Method A., Of skin disease detection using image processing and machine learning, Procedia Comput Sci, 163, pp. 85-92, (2019); Alimadadi A., Et al., Artificial Intelligence and Machine Learning to Fight COVID-19, (2020); Allam Z., The triple B: Big data, biotechnology, and biomimicry, In: Biotechnology and Future Cities, pp. 17-33, (2020); Arenas N.E., Et al., Molecular modeling and in silico characterization of Mycobacterium tuberculosis TlyA: Possible misannotation of this tubercle bacilli-hemolysin, BMC Struct Biol, 11, 1, (2011); Azar A.T., Et al., Linguistic hedges fuzzy feature selection for differential diagnosis of Erythemato-squamous diseases, In: Soft Computing Applications, pp. 487-500, (2013); Bacher U., Et al., Challenges in the introduction of next-generation sequencing (NGS) for diagnostics of myeloid malignancies into clinical routine use, Blood Cancer J, 8, 11, pp. 1-10, (2018); Bapat P.M., Wangikar P.P., Optimization of rifamycin B fermentation in shake flasks via a machine-learning-based approach, Biotechnol Bioeng, 86, 2, pp. 201-208, (2004); Baweja H.S., Parhar T., Leprosy lesion recognition using convolutional neural networks, In: 2016 International Conference on Machine Learning and Cybernetics (ICMLC), (2016); Belone A., Et al., Genome-wide screening of mRNA expression in leprosy patients, Front Genet, 6, (2015); Benjak A., Et al., Phylogenomics and antimicrobial resistance of the leprosy bacillus Mycobacterium leprae, Nat Commun, 9, 1, (2018); Bhandari J., Awais M., Gupta V., Leprosy (Hansen Disease), In: Statpearls [Internet], (2020); Bleharski J.R., Et al., Use of genetic profiling in leprosy to discriminate clinical forms of the disease, Science, 301, 5639, pp. 1527-1530, (2003); Burns T., Et al., Rook’s Textbook of Dermatology, (2008); Buyuksimsek M., Et al., Results of liquid biopsy studies by next generation sequencing in patients with advanced stage non-small cell lung cancer: Single center experience from Turkey, Balkan J Med Genet, 22, 2, pp. 17-24, (2019); Camacho D.M., Et al., Next-generation machine learning for biological networks, Cell, 173, 7, pp. 1581-1592, (2018); Chakrabarty S., Et al., Host and MTB genome encoded miRNA markers for diagnosis of tuberculosis, Tuberculosis, 116, pp. 37-43, (2019); Chance M.R., Et al., High-throughput computational and experimental techniques in structural genomics, Genome Res, 14, 10b, pp. 2145-2154, (2004); Chatterjee A., Et al., Whole genome sequencing of clinical strains of Mycobacterium tuberculosis from Mumbai, India: A potential tool for determining drug-resistance and strain lineage, Tuberculosis, 107, pp. 63-72, (2017); Chatterjee S., Poonawala H., Jain Y., Drug-resistant tuberculosis: Is India ready for the challenge?, BMJ Glob Health, 3, 4, (2018); Chen I.Y., Szolovits P., Ghassemi M., Can AI help reduce disparities in general medical and mental health care?, AMA J Ethics, 21, 2, pp. 167-179, (2019); Chetty S., Et al., Recent advancements in the development of anti-tuberculosis drugs, Bioorg Med Chem Lett, 27, 3, pp. 370-386, (2017); Cole S.T., Supply P., Honore N., Repetitive sequences in Mycobacterium leprae and their impact on genome plasticity, Lepr Rev, 72, 4, pp. 449-461, (2001); da Silva Y.E.D., Et al., Application of clustering technique with Kohonen self-organizing maps for the epidemiological analysis of leprosy, In: Proceedings of SAI Intelligent Systems Conference, (2018); Dagiasis A.P., Et al., A high performance biomarker detection Method for exhaled breath mass spectrometry data, In: Topics in Nonparametric Statistics, pp. 207-216, (2014); de Souza G.A., Et al., Validating divergent ORF annotation of the Mycobacterium leprae genome through a full translation data set and peptide identification by tandem mass spectrometry, Proteomics, 9, 12, pp. 3233-3243, (2009); Deepika K., Seema S., Predictive analytics to prevent and control chronic diseases, In: 2016 2Nd International Conference on Applied and Theoretical Computing and Communication Technology (Icatcct), (2016); Denton J.F., Et al., Extensive error in the number of genes inferred from draft genome assemblies, Plos Comput Biol, 10, 12, (2014); Di Resta C., Et al., Next-generation sequencing approach for the diagnosis of human diseases: Open challenges and new opportunities, Ejifcc, 29, 1, (2018); Dias R., Torkamani A., Artificial intelligence in clinical and genomic diagnostics, Genome Med, 11, 1, pp. 1-12, (2019); Djaout K., Et al., Predictive modeling targets thymidylate synthase ThyX in Mycobacterium tuberculosis, Sci Rep, 6, 1, pp. 1-11, (2016); Dorhoi A., Et al., MicroRNA-223 controls susceptibility to tuberculosis by regulating lung neutrophil recruitment, J Clin Invest, 123, 11, pp. 4836-4848, (2013); Ekins S., Et al., Bayesian models for screening and TB Mobile for target inference with Mycobacterium tuberculosis, Tuberculosis, 94, 2, pp. 162-169, (2014); Eloit M., The diagnosis of infectious diseases by whole genome next generation sequencing: A new era is opening, Front Cell Infect Microbiol, 4, (2014); Esfandyarpour R., Et al., Simulation and fabrication of a new novel 3D injectable biosensor for high throughput genomics and proteomics in a lab-on-a-chip device, Nanotechnology, 24, 46, (2013); Esteva A., Et al., Dermatologist-level classification of skin cancer with deep neural networks, Nature, 542, 7639, pp. 115-118, (2017); Fauci A.S., Lane H.C., Redfield R.R., Covid-19—navigating the uncharted, N Engl J Med, 382, 13, pp. 1268-1269, (2020); Fleming N., How artificial intelligence is changing drug discovery, Nature, 557, 7706, pp. S55-S55, (2018); Frankish K., Ramsey W.M., The Cambridge Handbook of Artificial Intelligence, (2014); Gama R.S., Et al., A novel integrated molecular and serological analysis method to predict new cases of leprosy amongst household contacts, Plos Negl Trop Dis, 13, 6, (2019); Gimeno A., Et al., The light and dark sides of virtual screening: What is there to know?, Int J Mol Sci, 20, 6, (2019); Grossman S.R., Et al., Identifying recent adaptations in large-scale genomic data, Cell, 152, 4, pp. 703-713, (2013); Guigo R., Et al., EGASP: The human ENCODE genome annotation assessment project, Genome Biol, 7, (2006); Gupta A.K., Gupta U., Next generation sequencing and its applications, Animal Biotechnology, pp. 345-367, (2014); Harrow J., Et al., Identifying protein-coding genes in genomic sequences, Genome Biol, 10, 1, (2009); Hay R., Et al., Skin Diseases. In: Disease Control Priorities in Developing Countries, (2006); Hodgson D.R., Wellings R., Harbron C., Practical perspectives of personalized healthcare in oncology, New Biotechnol, 29, 6, pp. 656-664, (2012); Hodkinson B.P., Grice E.A., Next-generation sequencing: A review of technologies and tools for wound microbiome research, Adv Wound Care, 4, 1, pp. 50-58, (2015); Hu X., Et al., LncRNA and predictive model to improve the diagnosis of clinically diagnosed pulmonary tuberculosis, J Clin Microbiol, 58, pp. e01973-19, (2020); Ioerger T.R., Et al., Identification of new drug targets and resistance mechanisms in Mycobacterium tuberculosis, Plos One, 8, 9, (2013); Islam M.M., Et al., Drug resistance mechanisms and novel drug targets for tuberculosis therapy, J Genet Genomics, 44, 1, pp. 21-37, (2017); Covid Spit Test, (2020); Jackson N., Czaplewski L., Piddock L.J., Discovery and development of new antibacterial drugs: Learning from experience?, J Antimicrob Chemother, 73, 6, pp. 1452-1459, (2018); Jamal S., Et al., Artificial intelligence and machine learning based prediction of resistant and susceptible mutations in Mycobacterium tuberculosis, Sci Rep, 10, 1, pp. 1-16, (2020); Jiang H., He K., Statistics in the Genomic Era, (2020); Joshi R.S., Et al., Resistome analysis of Mycobacterium tuberculosis: Identification of aminoglycoside 2'-Nacetyltransferase (AAC) as co-target for drug desigining, Bioinformation, 9, 4, (2013); Kalo D., Et al., Pattern of drug resistance of Mycobacterium tuberculosis clinical isolates to first-line antituberculosis drugs in pulmonary cases, Lung India, 32, 4, (2015); Kim K., Et al., Predicting clinical benefit of immunotherapy by antigenic or functional mutations affecting tumour immunogenicity, Nat Commun, 11, 1, pp. 1-11, (2020); Kinnings S.L., Et al., A machine learning-based method to improve docking scoring functions and its application to drug repurposing, J Chem Inf Model, 51, 2, pp. 408-419, (2011); Kouchaki S., Et al., Application of machine learning techniques to tuberculosis drug resistance analysis, Bioinformatics, 35, 13, pp. 2276-2282, (2019); Koumakis L., Deep learning models in genomics; are we there yet?, Comput Struct Biotechnol J, 18, pp. 1466-1473, (2020); Kumar K., Abubakar I., Clinical implications of the global multidrug-resistant tuberculosis epidemic, Clin Med, 15, pp. s37-s42, (2015); Kwan P.K.W., Et al., Gene expression responses to anti-tuberculous drugs in a whole blood model, BMC Microbiol, 20, pp. 1-9, (2020); Lane T., Et al., Comparing and validating machine learning models for mycobacterium tuberculosis drug discovery, Mol Pharm, 15, 10, pp. 4346-4360, (2018); Lavania M., Et al., Genotyping of Mycobacterium leprae strains from a region of high endemic leprosy prevalence in India, Infect Genet Evol, 36, pp. 256-261, (2015); Lavania M., Et al., Molecular detection of multidrug-resistant Mycobacterium leprae from Indian leprosy patients, J Glob Antimicrob Resist, 12, pp. 214-219, (2018); Lebrigand K., Et al., High throughput error corrected Nanopore single cell transcriptome sequencing, Nat Commun, 11, 1, pp. 1-8, (2020); Li L., Et al., Artificial intelligence distinguishes COVID-19 from community acquired pneumonia on chest CT, Radiology, 296, 2, (2020); Libbrecht M.W., Noble W.S., Machine learning applications in genetics and genomics, Nat Rev Genet, 16, 6, pp. 321-332, (2015); Liu C., Et al., Applications of machine learning in genomics and systems biology, Comput Math Methods Med 2013, (2013); Liu H., Et al., A panel of circRNAs in the serum serves as biomarkers for mycobacterium tuberculosis infection, Front Microbiol, 11, (2020); Liu Y., Et al., A deep learning system for differential diagnosis of skin diseases, Nat Med, 26, pp. 900-908, (2020); Lohiya A., Et al., Prevalence and patterns of drug resistant pulmonary tuberculosis in India—a systematic review and meta-analysis, J Glob Antimicrob Resist, 22, pp. 308-316, (2020); Lumaka A., Et al., Facial dysmorphism is influenced by ethnic background of the patient and of the evaluator, Clin Genet, 92, 2, pp. 166-171, (2017); Lv W., Et al., Discovery and validation of biomarkers for Zhongning goji berries using liquid chromatography mass spectrometry, J Chromatogr B, (2020); Lyko K., Nitzschke M., Ngomo A.C.N., Big data acquisition, New Horizons for a Datadriven Economy, pp. 39-61, (2016); Mak K.-K., Pichika M.R., Artificial intelligence in drug development: Present status and future prospects, Drug Discov Today, 24, 3, pp. 773-780, (2019); Manson A.L., Et al., Mycobacterium tuberculosis whole genome sequences from southern India suggest novel resistance mechanisms and the need for region-specific diagnostics, Clin Infect Dis, 64, 11, pp. 1494-1501, (2017); Manzoni C., Et al., Genome, transcriptome and proteome: The rise of omics data and their integration in biomedical sciences, Brief Bioinform, 19, 2, pp. 286-302, (2018); Marques M.A.M., Et al., Deciphering the proteomic profile of Mycobacterium leprae cell envelope, Proteomics, 8, 12, pp. 2477-2491, (2008); Martin A.R., Clinical use of current polygenic risk scores may exacerbate health disparities, Nat Genet, 51, 4, pp. 584-591, (2019); Matsuoka M., Drug resistance in leprosy, Jpn J Infect Dis, 63, 1, pp. 1-7, (2010); Matsuoka M., Et al., The frequency of drug resistance mutations in Mycobacterium leprae isolates in untreated and relapsed leprosy patients from Myanmar, Indonesia and the Philippines, Lepr Rev, 78, 4, pp. 343-352, (2007); McNerney R., Zignol M., Clark T.G., Use of whole genome sequencing in surveillance of drug resistant tuberculosis, Expert Rev Anti-Infect Ther, 16, 5, pp. 433-442, (2018); Mehaffy C., Et al., Biochemical characterization of isoniazid-resistant Mycobacterium tuberculosis: Can the analysis of clonal strains reveal novel targetable pathways?, Mol Cell Proteomics, 17, 9, pp. 1685-1701, (2018); Mehta M.D., Liu P.T., microRNAs in mycobacterial disease: Friend or foe?, Front Genet, 5, (2014); Mertz L., AI-driven COVID-19 tools to interpret, quantify lung images, IEEE Pulse, 11, 4, pp. 2-7, (2020); Miller D.D., Brown E.W., Artificial intelligence in medical practice: the question to the answer?, Am J Med, 131, 2, pp. 129-133, (2018); Mishra R., Et al., Potential role of adjuvant drugs on efficacy of first line oral antitubercular therapy: Drug repurposing, Tuberculosis, (2020); Mohanty S., Et al., Application of artificial intelligence in COVID-19 drug repurposing, Diabetes Metab Syndr Clin Res Rev, 14, 5, pp. 1027-1031, (2020); Mokrousov I., Et al., Next-generation sequencing of Mycobacterium tuberculosis, Emerg Infect Dis, 22, 6, (2016); Monot M., Et al., Comparative genomic and phylogeographic analysis of Mycobacterium leprae, Nat Genet, 41, 12, pp. 1282-1289, (2009); Munir K., Et al., Cancer diagnosis using deep learning: A bibliographic review, Cancers, 11, 9, (2019); Nagpal P., Et al., Long-range replica exchange molecular dynamics guided drug repurposing against tyrosine kinase PtkA of Mycobacterium tuberculosis, Sci Rep, 10, 1, pp. 1-11, (2020); Nobre T., Et al., Misannotation awareness: A tale of two gene-groups, Front Plant Sci, 7, (2016); Ai-Powered Diagnostic Tool to Aid in the Early Detection of Leprosy, (2020); Oliveira A.L., Biotechnology, big data and artificial intelligence, Biotechnol J, 14, 8, (2019); Oprea R., AI versus the Human Brain, (2020); Oprea T., Mestres J., Drug repurposing: Far beyond new targets for old drugs, AAPS J, 14, 4, pp. 759-763, (2012); Pan S.-Y., Et al., Historical perspective of traditional indigenous medical practices: The current renaissance and conservation of herbal resources, Evid Based Complement Alternat Med 2014, (2014); Papadopoulou E., Et al., Clinical feasibility of NGS liquid biopsy analysis in NSCLC patients, Plos One, 14, 12, (2019); Paranjpe M.D., Taubes A., Sirota M., Insights into computational drug repurposing for neurodegenerative disease, Trends Pharmacol Sci, 40, 8, pp. 565-576, (2019); Parkash O., Singh B., Advances in proteomics of Mycobacterium leprae, Scand J Immunol, 75, 4, pp. 369-378, (2012); Parvathaneni V., Et al., Drug repurposing: A promising tool to accelerate the drug discovery process, Drug Discov Today, 24, 10, pp. 2076-2085, (2019); Passi A., Et al., RepTB: A gene ontology based drug repurposing approach for tuberculosis, J Chem, 10, 1, (2018); Pauli I., Et al., Discovery of new inhibitors of Mycobacterium tuberculosis InhA enzyme using virtual screening and a 3D-pharmacophore-based approach, J Chem Inf Model, 53, 9, pp. 2390-2401, (2013); Pedlar C.R., Newell J., Lewis N.A., Blood biomarker profiling and monitoring for highperformance physiology and nutrition: Current perspectives, limitations and recommendations, Sports Med, 49, 2, pp. 185-198, (2019); Peng Z., Chen L., Zhang H., Serum proteomic analysis of Mycobacterium tuberculosis antigens for discriminating active tuberculosis from latent infection, J Int Med Res, 48, 3, (2020); Pinto S.M., Et al., Integrated multi-omic analysis of Mycobacterium tuberculosis H37Ra redefines virulence attributes, Front Microbiol, 9, (2018); Prada C.F., Boore J.L., Gene annotation errors are common in the mammalian mitochondrial genomes database, BMC Genomics, 20, 1, (2019); Prathipati P., Ma N.L., Keller T.H., Global Bayesian models for the prioritization of antitubercular agents, J Chem Inf Model, 48, 12, pp. 2362-2370, (2008); Priya Doss C.G., Et al., Integrating in silico prediction methods, molecular docking, and molecular dynamics simulation to predict the impact of ALK missense mutations in structural perspective, Biomed Res Int 2014, (2014); Pushkaran A.C., Et al., Combination of repurposed drug diosmin with amoxicillin-clavulanic acid causes synergistic inhibition of mycobacterial growth, Sci Rep, 9, 1, pp. 1-14, (2019); Pushpakom S., Et al., Drug repurposing: Progress, challenges and recommendations, Nat Rev Drug Discov, 18, 1, pp. 41-58, (2019); Qi Y., Et al., Altered serum microRNAs as biomarkers for the early diagnosis of pulmonary tuberculosis infection, BMC Infect Dis, 12, 1, (2012); Qin D., Next-generation sequencing and its clinical application, Cancer Biol Med, 16, 1, (2019); Rajkomar A., Dean J., Kohane I., Machine learning in medicine, N Engl J Med, 380, 14, pp. 1347-1358, (2019); Rani J., Et al., Repurposing of FDA-approved drugs to target MurB and MurE enzymes in Mycobacterium tuberculosis, J Biomol Struct Dyn, 38, 9, pp. 2521-2532, (2020); Rao P.N., Suneetha S., Current situation of leprosy in India and its future implications, Indian Dermatol Online J, 9, 2, (2018); Rao A.S.S., Vazquez J.A., Identification of COVID-19 can be quicker through artificial intelligence framework using a mobile phone–based survey when cities and towns are under quarantine, Infect Control Hosp Epidemiol, 41, 7, pp. 826-830, (2020); Romanowski K., Et al., Using Whole Genome Sequencing to Determine the Timing of Secondary Tuberculosis in British Columbia, Canada, (2020); Rufai S.B., Singh S., Whole-genome sequencing of two extensively drug-resistant Mycobacterium tuberculosis isolates from India, Microbiol Resour Announc, 8, 7, pp. e00007-e00019, (2019); Sarnaik A., Et al., High-throughput screening for efficient microbial biotechnology, Curr Opin Biotechnol, 64, pp. 141-150, (2020); Schneider G., Automating drug discovery, Nat Rev Drug Discov, 17, 2, (2018); Schuenemann V.J., Et al., Genome-wide comparison of medieval and modern Mycobacterium leprae, Science, 341, 6142, pp. 179-183, (2013); Scollard D.M., Et al., The continuing challenges of leprosy, Clin Microbiol Rev, 19, 2, pp. 338-381, (2006); Sellwood M.A., Et al., Artificial intelligence in drug discovery, Future Med Chem, 10, 17, pp. 2025-2028, (2018); Shi F., Et al., Review of artificial intelligence techniques in imaging data acquisition, segmentation and diagnosis for covid-19, IEEE Rev Biomed Eng, 14, pp. 4-15, (2020); Signorelli C.M., Can computers overcome humans? Consciousness interaction and its implications, In: 2018 IEEE 17Th International Conference on Cognitive Informatics &amp; Cognitive Computing (ICCI* CC), (2018); Silva D.R., Et al., New and repurposed drugs to treat multidrug-and extensively drug-resistant tuberculosis, J Bras Pneumol, 44, 2, pp. 153-160, (2018); Singh P., Cole S.T., Mycobacterium leprae: Genes, pseudogenes and genetic diversity, Future Microbiol, 6, 1, pp. 57-71, (2011); Singh P., Et al., Insight into the evolution and origin of leprosy bacilli from the genome sequence of Mycobacterium lepromatosis, Proc Natl Acad Sci, 112, 14, pp. 4459-4464, (2015); Singh A., Somvanshi P., Grover A., Drug repurposing against arabinosyl transferase (EmbC) of Mycobacterium tuberculosis: Essential dynamics and free energy minima based binding mechanics analysis, Gene, 693, pp. 114-126, (2019); Singh R., Et al., Recent updates on drug resistance in Mycobacterium tuberculosis, J Appl Microbiol, 128, 6, pp. 1547-1567, (2020); Spinelli S.V., Et al., Altered microRNA expression levels in mononuclear cells of patients with pulmonary and pleural tuberculosis and their relation with components of the immune response, Mol Immunol, 53, 3, pp. 265-269, (2013); Steinegger M., Salzberg S.L., Terminating contamination: Large-scale search identifies more than 2,000,000 contaminated entries in GenBank, Genome Biol, 21, 1, pp. 1-12, (2020); Strukov D., Et al., Building brain-inspired computing, Nat Commun, 10, 1, (2019); Stular T., Et al., Discovery of mycobacterium tuberculosis InhA inhibitors by binding sites comparison and ligands prediction, J Med Chem, 59, 24, pp. 11069-11078, (2016); Sun W., Et al., Rapid antimicrobial susceptibility test for identification of new therapeutics and drug combinations against multidrug-resistant bacteria, Emerg Microb Infect, 5, 1, pp. 1-11, (2016); Swayamsiddha S., Mohanty C., Application of cognitive internet of medical things for COVID-19 pandemic, Diabetes Metab Syndr Clin Res Rev, 14, 5, pp. 911-915, (2020); Tagliani E., Et al., Use of a whole genome sequencing-based approach for Mycobacterium tuberculosis surveillance in Europe in 2017–2019: An ECDC pilot study, Eur Respir J, (2021); Thakur V., Varshney R., Challenges and strategies for next generation sequencing (NGS) data analysis, J Comput Sci Syst Biol, 3, pp. 40-42, (2010); Ting D.S.W., Et al., Digital technology and COVID-19, Nat Med, 26, 4, pp. 459-461, (2020); Tio-Coma M., Et al., Detection of New Mycobacterium Leprae Subtype in Bangladesh by Genomic Characterization to Explore Transmission Patterns, (2020); Topol E.J., High-performance medicine: The convergence of human and artificial intelligence, Nat Med, 25, 1, pp. 44-56, (2019); Truman R.W., Et al., Probable zoonotic leprosy in the southern United States, N Engl J Med, 364, 17, pp. 1626-1633, (2011); Turing A.M., Computing machinery and intelligence, In: Parsing the Turing Test, pp. 23-65, (2009); Uddin R., Et al., Computational identification of potential drug targets against Mycobacterium leprae, Med Chem Res, 25, 3, pp. 473-481, (2016); Vaishya R., Et al., Artificial intelligence (AI) applications for COVID-19 pandemic, Diabetes Metab Syndr Clin Res Rev, 14, 4, pp. 337-339, (2020); Vayena E., Blasimme A., Cohen I.G., Machine learning in medicine: Addressing ethical challenges, Plos Med, 15, 11, (2018); Wadapurkar R.M., Vyas R., Computational analysis of next generation sequencing data and its applications in clinical oncology, Inform Med Unlocked, 11, pp. 75-82, (2018); Wakeling M.N., Et al., Misannotation of multiple-nucleotide variants risks misdiagnosis, Wellcome Open Res, 4, (2019); Waman V.P., Et al., Mycobacterial genomics and structural bioinformatics: Opportunities and challenges in drug discovery, Emerg Microb Infect, 8, 1, pp. 109-118, (2019); Wan L., Et al., Genomic analysis identifies mutations concerning drug-resistance and Beijing genotype in multidrug-resistant Mycobacterium tuberculosis isolated from China, Front Microbiol, 11, (2020); Wanichthanarak K., Fahrmann J.F., Grapov D., Genomic, proteomic, and metabolomic data integration strategies, Biomark Insights, 10, pp. 1-6, (2015); Williams D.L., Et al., Implications of high level pseudogene transcription in Mycobacterium leprae, BMC Genomics, 10, (2009); Wilsey C., Et al., A large scale virtual screen of DprE1, Comput Biol Chem, 47, pp. 121-125, (2013); Global Health TB Report, (2018); Wu J., Et al., Analysis of microRNA expression profiling identifies miR-155 and miR-155* as potential diagnostic markers for active tuberculosis: A preliminary study, Hum Immunol, 73, 1, pp. 31-37, (2012); Xia J., Benner M.J., Hancock R.E., NetworkAnalyst-integrative approaches for protein–protein interaction network analysis and visual exploration, Nucleic Acids Res, 42, W1, pp. W167-W174, (2014); Xiong Y., Et al., Automatic detection of mycobacterium tuberculosis using artificial intelligence, J Thorac Dis, 10, 3, (2018); Yang X., Et al., Concepts of artificial intelligence for computer-assisted drug discovery, Chem Rev, 119, 18, pp. 10520-10594, (2019); Yi Z., Et al., Altered microRNA signatures in sputum of patients with active pulmonary tuberculosis, Plos One, 7, 8, (2012); Yohe S., Thyagarajan B., Review of clinical next-generation sequencing, Arch Pathol Lab Med, 141, 11, pp. 1544-1557, (2017); Zak D.E., Et al., A blood RNA signature for tuberculosis disease risk: A prospective cohort study, Lancet, 387, 10035, pp. 2312-2322, (2016); Zhang W., Cheng B., Bingying X., Application of next-generation sequencing technology in forensic science, Chin J Forensic Med, 32, 1, pp. 40-43, (2017); Zhang G., Et al., Virtual screening of small molecular inhibitors against DprE1, Molecules, 23, 3, (2018); Zhang X., Et al., Towards improving diagnosis of skin diseases by combining deep neural network and human knowledge, BMC Med Inform Decis Mak, 18, 2, (2018); Zhang H., Et al., NCNet: Deep learning network models for predicting function of non-coding DNA, Front Genet, 10, (2019); Zhong F., Et al., Artificial intelligence in drug design, Sci China Life Sci, 61, 10, pp. 1191-1204, (2018); Zhu H., Big data and artificial intelligence modeling for drug discovery, Annu Rev Pharmacol Toxicol, 60, pp. 573-589, (2020); Zou J., Et al., A primer on deep learning in genomics, Nat Genet, 51, 1, pp. 12-18, (2019); Zuniga E.S., Early J., Parish T., The future for early-stage tuberculosis drug discovery, Future Microbiol, 10, 2, pp. 217-229, (2015)</t>
  </si>
  <si>
    <t xml:space="preserve">P. Singh; Indian Council of Medical Research-National Institute of Research in Tribal Health, Jabalpur, Madhya Pradesh, India; email: Pushpendra.S@icmr.gov.in</t>
  </si>
  <si>
    <t xml:space="preserve">978-981160811-7; 978-981160810-0</t>
  </si>
  <si>
    <t xml:space="preserve">Artificial Intelligence and Machine Learning in Healthc.</t>
  </si>
  <si>
    <t xml:space="preserve">2-s2.0-85150561934</t>
  </si>
  <si>
    <t xml:space="preserve">Raizada S.; Mala S.; Shankar A.</t>
  </si>
  <si>
    <t xml:space="preserve">Raizada, Sandali (57221553717); Mala, Shuchi (57194570398); Shankar, Achyut (7005442649)</t>
  </si>
  <si>
    <t xml:space="preserve">57221553717; 57194570398; 7005442649</t>
  </si>
  <si>
    <t xml:space="preserve">Vector-Borne Disease Outbreak Prediction Using Machine Learning Techniques</t>
  </si>
  <si>
    <t xml:space="preserve">Vector-borne disease is a form of illness which is caused by parasites, viruses and bacteria. The infection is transferred through blood-feeding arthropods such as mosquitoes, fleas, ticks etc. Every year more than 700,000 deaths occur due to diseases such as yellow fever and malaria. These diseases are most common in tropical and subtropical areas and affect the underprivileged populations. Deep learning is an essential part of artificial intelligence that provides an uncanny power to systems to construct a complex network using layers of perceptrons which mimic the human neurons. This network combined with algorithms of machine learning may serve as one of the most powerful tools in healthcare to classify and analyse huge amount of medical data and predict future trends through supervised learning. This paper focused on effective prediction of vector-borne disease outbreak (multiclass classification) of three diseases (chikungunya, malaria, dengue) across the Indian subcontinent. We have examined and refined our model over data collected across India in 2013–2017. We have put forward an artificial neural network outbreak risk prediction algorithm using contrasting data. To our finest understanding, none of the previous works have centred on contrasting data in area of analysis of medical data. The prediction accuracy of our suggested ANN algorithm is 86%. © 2021, The Author(s), under exclusive license to Springer Nature Switzerland AG.</t>
  </si>
  <si>
    <t xml:space="preserve">outbreak montoring</t>
  </si>
  <si>
    <t xml:space="preserve">EAI/Springer Innovations in Communication and Computing</t>
  </si>
  <si>
    <t xml:space="preserve">10.1007/978-3-030-66519-7_9</t>
  </si>
  <si>
    <t xml:space="preserve">https://www.scopus.com/inward/record.uri?eid=2-s2.0-85111642801&amp;doi=10.1007%2f978-3-030-66519-7_9&amp;partnerID=40&amp;md5=f1e5902e31c8440a616420cccf30f6ba</t>
  </si>
  <si>
    <t xml:space="preserve">Department of Computer Science and Engineering, ASET, Amity University Uttar Pradesh, Noida, Uttar Pradesh, India</t>
  </si>
  <si>
    <t xml:space="preserve">Raizada S., Department of Computer Science and Engineering, ASET, Amity University Uttar Pradesh, Noida, Uttar Pradesh, India; Mala S., Department of Computer Science and Engineering, ASET, Amity University Uttar Pradesh, Noida, Uttar Pradesh, India; Shankar A., Department of Computer Science and Engineering, ASET, Amity University Uttar Pradesh, Noida, Uttar Pradesh, India</t>
  </si>
  <si>
    <t xml:space="preserve">ANN; Healthcare; Machine learning; Outbreak</t>
  </si>
  <si>
    <t xml:space="preserve">Complex networks; Deep learning; Diseases; Forecasting; Network layers; Neural networks; Predictive analytics; Tropics; Viruses; ANN algorithm; Indian subcontinents; Machine learning techniques; Multi-class classification; Prediction accuracy; Risk predictions; Subtropical area; Vector-borne disease; Learning systems</t>
  </si>
  <si>
    <t xml:space="preserve">Usha Rani K., Analysis Of Heart Diseases Dataset Using Neural Network Approach, International Journal of Data Mining &amp; Knowledge Management Process (IJDKP) Vol, 5, (2011); Nayeem M.O.G., Wan M.N., Et al., Prediction of Disease Level Using Multilayer Perceptron of Artificial Neural Network for Patient Monitoring International Journal of Soft Computing and Engineering (IJSCE) ISSN: 2231-2307, Volume-5 Issue-4, (2015); Sivaranjani R., Artificial Intelligence Model for Earlier Prediction of Cardiac Functionalities Using Multilayer Perceptron. International Conference on Physics and Photonics Processes in Nano Sciences, Journal of Physics: Conference Series, 1362, (2019); Stergios Christodoulidis M.A., Et al., Lung Pattern Classification for Interstitial Lung Diseases Using a Deep Convolutional Neural Network, IEEE Transactions on Medical Imaging, 35, 5, (2016); Abiyev R.H., Mohammad Khaleel Sallam Ma’aitah: Deep Convolutional Neural Networks for Chest Diseases Detection, Journal of Healthcare Engineering, (2018); Munir A.Q., Winarko E., Classification Model Disease Risk Areas Endemicity Dengue Fever Outbreak Based Prediction of Patients, (2015); Scavuzzoa J.M., Truccoa F., Et al., Modeling Dengue Vector Population Using Remotely Sensed Data and Machine Learning (Preprint submitted to, Acta Tropica, (2018); Mahalakshmi B., Suseendran G., Prediction of Zika Virus by Multilayer Perceptron Neural Network (MLPNN) Using Cloud. International Journal of Recent Technology and Engineering (IJRTE), Volume-8, (2019); Mudele O., Bayer F.M., Et al., Modeling The Temporal Population Distribution Of Ae, Aegypti Mosquito Using Big Earth Observation Data (Pre-Print), (2019); Ajai Kumar V.S., Et al., Malaria Outbreak Prediction Model Using Machine Learning, International Journal of Advanced Research in Computer Engineering &amp; Technology (IJARCET), 4, 12, (2015)</t>
  </si>
  <si>
    <t xml:space="preserve">A. Shankar; Department of Computer Science and Engineering, ASET, Amity University Uttar Pradesh, Noida, Uttar Pradesh, India; email: ashankar2711@gmail.com</t>
  </si>
  <si>
    <t xml:space="preserve">EAI/Springer Inno. Comm. Comp.</t>
  </si>
  <si>
    <t xml:space="preserve">2-s2.0-85111642801</t>
  </si>
  <si>
    <t xml:space="preserve">Sushma D.; Thirupathi Rao N.; Bhattacharyya D.</t>
  </si>
  <si>
    <t xml:space="preserve">Sushma, D. (57199585899); Thirupathi Rao, N. (57195593290); Bhattacharyya, Debnath (57216142572)</t>
  </si>
  <si>
    <t xml:space="preserve">57199585899; 57195593290; 57216142572</t>
  </si>
  <si>
    <t xml:space="preserve">A Comparative Study on Automated Detection of Malaria by Using Blood Smear Images</t>
  </si>
  <si>
    <t xml:space="preserve">Malaria is a parasitic disease or mosquito-borne blood disease. When the mosquito bites a human being, that particular parasite is freed into the human being bloodstream and infects the red blood cells which cause the malaria. We need to understand if the blood-related illness is malaria or not before we provide the right therapy. For this purpose, we must diagnose red blood cells by recognizing or counting red blood cells (erythrocytes). It is very difficult to manually count and recognize infected red blood cells while testing under a microscope by pathologists because maybe it leads to different variations. The current paper gives an overview of the comparison of three different papers with three different techniques used to identify that the red blood cells are infected or not with great accuracy and also to identify which methods are giving best result while performing the diagnosis automatically. With different techniques and methods like Otsu threshold method, global threshold method and classifiers like artificial neural network and support vector machines. All these techniques and methods are related to the diagnosis of the malaria automatically which will reduce the time taken for performing the diagnosis and also it improves the consistency and gives the accurate, rapid result in diagnosis. From the above three methods used, an attempt has been made to finalize the best method from the above three methods. © 2021, The Author(s), under exclusive license to Springer Nature Singapore Pte Ltd.</t>
  </si>
  <si>
    <t xml:space="preserve">Advances in Intelligent Systems and Computing</t>
  </si>
  <si>
    <t xml:space="preserve">10.1007/978-981-15-9516-5_1</t>
  </si>
  <si>
    <t xml:space="preserve">https://www.scopus.com/inward/record.uri?eid=2-s2.0-85104899775&amp;doi=10.1007%2f978-981-15-9516-5_1&amp;partnerID=40&amp;md5=617d0d8a5e3d0eb03fcc0c24887e0b0f</t>
  </si>
  <si>
    <t xml:space="preserve">Department of Computer Science and Engineering, Vignan’s Institute of Information Technology (A), Visakhapatnam, AP, 530049, India; Department of Computer Science and Engineering, K L Deemed to be University, KLEF, Guntur, 522502, India</t>
  </si>
  <si>
    <t xml:space="preserve">Sushma D., Department of Computer Science and Engineering, Vignan’s Institute of Information Technology (A), Visakhapatnam, AP, 530049, India; Thirupathi Rao N., Department of Computer Science and Engineering, Vignan’s Institute of Information Technology (A), Visakhapatnam, AP, 530049, India; Bhattacharyya D., Department of Computer Science and Engineering, K L Deemed to be University, KLEF, Guntur, 522502, India</t>
  </si>
  <si>
    <t xml:space="preserve">Artificial neural networks; Automation; Blood smear cells; Feature extraction; Global threshold; Malaria; Otsu threshold method; Parasites; Plasmodium malaria; Support vector machines; Water threshold transform</t>
  </si>
  <si>
    <t xml:space="preserve">Cells; Cytology; Diagnosis; Diseases; Neural networks; Soft computing; Support vector machines; Automated detection; Blood smears; Comparative studies; Global threshold; Human being; Red blood cell; Three different techniques; Threshold methods; Blood</t>
  </si>
  <si>
    <t xml:space="preserve">Bashir A.M., Mustafa Z.A., Hameid I.A., Ibrahem R., Detection of malaria parasites using digital image processing, In International Conference on Communication, Control, Computing and Electronics Engineering (ICCCCEE), Khartoum (IEEE, Sudan, (2017); Computing &amp; Security (ICCCS), (2012); Tomari R., Zakaria W.N.W., Jamil M.M.A., Nor F.M., Fuad N.F.N., Computer aided system for red blood cell classification in blood smear image, International Conference on Robot Pride 2013–2014—Medical and Rehabilitation Robotics and Instrumentation, Confpride, pp. 2013-2014; Bunn H.F., Approach to the anemias, Cecil Medicine, 24Th Edn., Chap. 161, Ed. by L. Goldman, A.I. Schafer; Habibzadeh M., Krzyzak A., Fevens T., Comparative study of shape, intensity and texture features and support vector machine for white blood cell classification, J. Theor. Appl. Comput. Sci., 7, 1, pp. 20-35, (2013); Mohammed E.A., Mohamed M.M., Far B.H., Naugler C., Peripheral blood smear image analysis: A comprehensive review, J. Pathol. Inf., 5, (2014); Lavanya, N. Thirupathi Rao, D. Bhattacharyya, Automatic Identification of Colloid Cyst in Brain through MRI/CT Scan Images, in Third International Conference on SMARTDSC-2019, LNNS, Visakhapatnam, 105, pp. 45-52, (2019); Kim K., Et al., Automatic cell classification in human’s peripheral blood images based on morphological image processing, AI 2001: Advances in Artificial Intelligence, pp. 225-236, (2001); Venkatalakshmi B., Thilagavathi K., Automatic red blood cell counting using Hough transforms, In, 2013, (2013)</t>
  </si>
  <si>
    <t xml:space="preserve">D. Sushma; Department of Computer Science and Engineering, Vignan’s Institute of Information Technology (A), Visakhapatnam, AP, 530049, India; email: sushmadasari25@gmail.com</t>
  </si>
  <si>
    <t xml:space="preserve">Bhattacharyya D.; Thirupathi Rao N.</t>
  </si>
  <si>
    <t xml:space="preserve">International Conference on Machine Intelligence and Soft Computing, ICMISC 2020</t>
  </si>
  <si>
    <t xml:space="preserve">3 September 2020 through 4 September 2020</t>
  </si>
  <si>
    <t xml:space="preserve">Guntur</t>
  </si>
  <si>
    <t xml:space="preserve">978-981159515-8</t>
  </si>
  <si>
    <t xml:space="preserve">Adv. Intell. Sys. Comput.</t>
  </si>
  <si>
    <t xml:space="preserve">2-s2.0-85104899775</t>
  </si>
  <si>
    <t xml:space="preserve">Raj M.; Sharma R.; Sain D.</t>
  </si>
  <si>
    <t xml:space="preserve">Raj, Milind (57454729600); Sharma, Rohan (57219308540); Sain, Deepak (56229989400)</t>
  </si>
  <si>
    <t xml:space="preserve">57454729600; 57219308540; 56229989400</t>
  </si>
  <si>
    <t xml:space="preserve">A deep convolutional neural network for detection of malaria parasite in thin blood smear images</t>
  </si>
  <si>
    <t xml:space="preserve">The Malaria disease parasite detection in laboratories has evolved drastically with advent of Medical Imaging and Artificial Intelligence. This new technologically advance method has proved to be great for medical practitioners because of its independence from external factors such as human intervention and manufacturing defects which may have adverse effects over the results. This paper describes a Deep Learning based image classification approach for the detection of malarial parasite existing in thin blood smear images, using Convolutional Neural Network (CNN) for effective feature extraction and accurate classification. The proposed CNN model can automatically extract intrinsic and discriminative features from images provided. The CNN performs perfectly with image data. This paper annotates a comparison of the observed accuracy of proposed model using three different optimizers on training and validation data. Our custom Deep CNN model can classify the parasitized an uninfected with 93.47 percent accuracy. © 2021 IEEE.</t>
  </si>
  <si>
    <t xml:space="preserve">Proceedings - 2021 IEEE 10th International Conference on Communication Systems and Network Technologies, CSNT 2021</t>
  </si>
  <si>
    <t xml:space="preserve">10.1109/CSNT51715.2021.9509619</t>
  </si>
  <si>
    <t xml:space="preserve">https://www.scopus.com/inward/record.uri?eid=2-s2.0-85124698705&amp;doi=10.1109%2fCSNT51715.2021.9509619&amp;partnerID=40&amp;md5=8291a1bf3c17a02541bd7ec88dd04715</t>
  </si>
  <si>
    <t xml:space="preserve">Department of Computer Science Engineering, Indian Institute of Information Technology Bhopal, Bhopal, India; Department of Computer Science Engineering, Samrat Ashok Technological Institute (SATI), Vidisha, India</t>
  </si>
  <si>
    <t xml:space="preserve">Raj M., Department of Computer Science Engineering, Indian Institute of Information Technology Bhopal, Bhopal, India; Sharma R., Department of Computer Science Engineering, Indian Institute of Information Technology Bhopal, Bhopal, India; Sain D., Department of Computer Science Engineering, Samrat Ashok Technological Institute (SATI), Vidisha, India</t>
  </si>
  <si>
    <t xml:space="preserve">Artificial neural networks; Computer vision; Convolutional neural networks; Deep learning; Image recognition; Malaria parasite detection</t>
  </si>
  <si>
    <t xml:space="preserve">Blood; Computer vision; Convolution; Convolutional neural networks; Deep neural networks; Diseases; Feature extraction; Medical imaging; Blood smears; Convolutional neural network; Deep learning; External factors; Human intervention; Malaria parasite; Malaria parasite detection; Medical practitioner; Neural network model; Parasite-; Image recognition</t>
  </si>
  <si>
    <t xml:space="preserve">Masci J., Meier U., Ciresan D., Schmidhuber J., Fricout G., Steel defect classification with max-pooling convolutional neural networks, The 2012 International Joint Conference on Neural Networks (IJCNN), pp. 1-6, (2012); Li Q., Cai W., Wang X., Zhou Y., Feng D.D., Chen M., Medical image classification with convolutional neural network, 2014 13th International Conference on Control Automation Robotics &amp; Vision (ICARCV), pp. 844-848, (2014); Bera S., Shrivastava V.K., Analysis of various optimizers on deep convolutional neural network model in the application of hyperspectral remote sensing image classification, International Journal of Remote Sensing, 41, 7, pp. 2664-2683, (2020); Shen D., Wu G., Suk H.I., Deep learning in medical image analysis, Annual Review of Biomedical Engineering, 19, pp. 221-248, (2017); Kingma D.P., Ba J., Adam: A Method for Stochastic Optimization, (2014); Das D.K., Ghosh M., Pal M., Maiti A.K., Chakraborty C., Machine learning approach for automated screening of malaria parasite using light microscopic images, Micron, 45, pp. 97-106, (2013); Tek F.B., Dempster A.G., Kale I., Parasite detection and identification for automated thin blood film malaria diagnosis, Journal of Computer Vision and Image Understanding, 114, 1, pp. 21-32, (2010); Dong Y., Jiang Z., Shen H., Pan W.D., Williams L.A., Reddy V.V., Benjamin W.H., Bryan A.W., Evaluations of deep convolutional neural networks for automatic identification of malaria infected cells, 2017 IEEE EMBS International Conference on Biomedical &amp; Health Informatics (BHI), pp. 101-104, (2017); LeCun Y., Bottou L., Bengio Y., Haffner P., Gradient-based learning applied to document recognition, Proceedings of The IEEE, 86, 11, pp. 2278-2324, (1998); LeCun Y., Kavukvuoglu K., Farabet C., Convolutional networks and applications in vision, Proc. International Symposium on Circuits and Systems (ISCAS’10), (2010); Krizhevsky A., Sutskever I., Hinton G.E., Imagenet classification with deep convolutional neural networks, Advances in Neural Information Processing Systems, pp. 1097-1105, (2012); Szegedy C., Liu W., Jia Y., Sermanet P., Reed S., Anguelov D., Erhan D., Vanhoucke V., Rabinovich A., Going deeper with convolutions, IEEE Conference on Computer Vision and Pattern Recognition, pp. 1-9, (2015); Umer M., Sadiq S., Ahmad M., Ullah S., Choi G.S., Mehmood A., A novel stacked cnn for malarial parasite detection in thin blood smear images, IEEE Access, 8, pp. 93782-93792, (2020); Shekar G., Revathy S., Goud E.K., Malaria Detection using Deep Learning, 2020 4th International Conference on Trends in Electronics and Informatics (ICOEI), 48184, pp. 746-750, (2020); Poostchi M., Silamut K., Maude R.J., Jaeger S., Thoma G., Image analysis and machine learning for detecting malaria, Translational Research, 194, pp. 36-55, (2018); Sunarko B., Bottema M., Iksan N., Hudaya K.A., Hanif M.S., Red blood cell classification on thin blood smear images for malaria diagnosis, Journal of Physics: Conference Series, 1444, 1, (2020); Fatima T., Farid M.S., Automatic detection of Plasmodium parasites from microscopic blood images, Journal of Parasitic Diseases, 44, 1, pp. 69-78, (2020)</t>
  </si>
  <si>
    <t xml:space="preserve">Tomar G.S.</t>
  </si>
  <si>
    <t xml:space="preserve">AICTE; Machine Intelligence Research Labs (MIR); Prince Mohammad Bin Fahd University Kingdom of Saudi Arabia (PMU); RGPV</t>
  </si>
  <si>
    <t xml:space="preserve">10th IEEE International Conference on Communication Systems and Network Technologies, CSNT 2021</t>
  </si>
  <si>
    <t xml:space="preserve">18 June 2021 through 19 June 2021</t>
  </si>
  <si>
    <t xml:space="preserve">Bhopal</t>
  </si>
  <si>
    <t xml:space="preserve">978-073810523-9</t>
  </si>
  <si>
    <t xml:space="preserve">Proc. - IEEE Int. Conf. Commun. Syst. Netw. Technol., CSNT</t>
  </si>
  <si>
    <t xml:space="preserve">2-s2.0-85124698705</t>
  </si>
  <si>
    <t xml:space="preserve">Bharambe A.; Chandorkar A.A.; Kalbande D.</t>
  </si>
  <si>
    <t xml:space="preserve">Bharambe, Asha (56826184500); Chandorkar, Akshaya Arun (57291735600); Kalbande, Dhanajay (36600660500)</t>
  </si>
  <si>
    <t xml:space="preserve">56826184500; 57291735600; 36600660500</t>
  </si>
  <si>
    <t xml:space="preserve">A Deep Learning Approach for Dengue Tweet Classification</t>
  </si>
  <si>
    <t xml:space="preserve">Dengue is one amongst the foremost widespread vector borne diseases best-known these days. According to National Institute of Allergy and Infectious Disease (NIAID), Dengue fever has been identified as a threat to public health [1]. More than 33% of the total world population is under risk, together with several cities of Asian nation. In recent years, the utilization of social media (from tweets to Facebook posts) in healthcare has risen tremendously because social media is the platform to point out growing want of patients who are suffering, to attach with one another. Tweets are too short to supply sufficient word occurrences for traditional classification methods to give results reliably. Also, natural language is extremely complicated creating classification of health connected problems difficult. The performance of most conventional classification systems depends on acceptable information illustration and tremendous effort in feature engineering. Deep Learning is new space of machine learning that do automatic feature extraction. In this study, Convolutional Neural Network (CNN) has been used to classify dengue related tweets extracted from twitter into seven multiple classes such as 'Infected', 'Informative', 'Vaccination', 'News', 'Awareness', 'Concern' and 'Others'. From Experimental results, Deep Learning algorithm shows increased accuracy when put next to Machine Learning algorithms such as Support Vector Machine (SVM), Naïve Bayes(NB) and Decision Tree Classifier(DT).  © 2021 IEEE.</t>
  </si>
  <si>
    <t xml:space="preserve">Proceedings of the 3rd International Conference on Inventive Research in Computing Applications, ICIRCA 2021</t>
  </si>
  <si>
    <t xml:space="preserve">10.1109/ICIRCA51532.2021.9544862</t>
  </si>
  <si>
    <t xml:space="preserve">https://www.scopus.com/inward/record.uri?eid=2-s2.0-85116942156&amp;doi=10.1109%2fICIRCA51532.2021.9544862&amp;partnerID=40&amp;md5=25377e7cdad87d4e0d570226ac375f33</t>
  </si>
  <si>
    <t xml:space="preserve">Vesit, Department of Information Technology, Mumbai, India; Sadar Patel Institute of Technology, Department of Computer Engineering, Mumbai, India</t>
  </si>
  <si>
    <t xml:space="preserve">Bharambe A., Vesit, Department of Information Technology, Mumbai, India; Chandorkar A.A., Vesit, Department of Information Technology, Mumbai, India; Kalbande D., Sadar Patel Institute of Technology, Department of Computer Engineering, Mumbai, India</t>
  </si>
  <si>
    <t xml:space="preserve">Classification; Convolutional Neural Network; Deep Learning; Machine Learning; Natural Language Processing</t>
  </si>
  <si>
    <t xml:space="preserve">Barium compounds; Convolution; Convolutional neural networks; Decision trees; Deep learning; Health risks; Learning algorithms; Natural language processing systems; Social networking (online); Support vector machines; Convolutional neural network; Deep learning; Dengue fevers; Facebook; Learning approach; Machine-learning; National institute of allergy and infectious disease; Social media; Vector-borne disease; World population; Classification (of information)</t>
  </si>
  <si>
    <t xml:space="preserve">Shakil K.A., Et al., Dengue Disease Prediction Using Weka Data Mining Tool, (2015); Zou B., Et al., On infectious intestinal disease surveillance using social media content, International World Wide Web Conference Committee (IW3C2), (2016); Charles-Smith L.E., Et al., Using social media for actionable disease surveillance and outbreak management: A systematic literature review, PLOS ONE, (2015); Xie Y., Et al., Detecting and tracking disease outbreaks by mining social media data, Proceedings of the Twenty-Third International Joint Conference on Artificial Intelligence, (2013); Liu G., Et al., Hybrid method for bilingual text sentiment classification based on deep learning, IEEE SNPD 2016, (2016); Guimaraes Et Al R.G., Age Groups Classification in Social Network Using Deep Learning, (2017); Li Z., Et al., LSTM-based deep learning models for answer ranking, IEEE First International Conference on Data Science in Cyberspace, (2016); Lamb A., Et al., Separating fact from fear: Tracking flu infections on twitter, Proceedings of NAACL-HLT, pp. 789-795, (2013); Chen L., Et al., Flu gone viral: Syndromic surveillance of flu on twitter using temporal topic models, IEEE International Conference on Data Mining, (2014); Missier P., Et al., Tracking Dengue Epidemics Using Twitter Content Classification and Topic Modelling, (2016); Farooqi W., Et al., A Critical study of selected classification algorithms for dengue fever and dengue haemraghic fever, 11th International Conference on Frontiers of Information Technology, (2013); Arun Kumar P.M., Et al., Dengue disease prediction using decision tree and support vector machine, SSRG International Journal of Computer Science and Engineering-(ICET'17), (2017); Dai X., Et al., Hybrid classification for tweets related to infection with influenza, Proceedings of the IEEE SoutheastCon, (2015); Gull R., Et al., Pre processing of twitter's data for opinion mining in political context, International Conference on Knowledge Based and Intelligent Information and Engineering Systems, (2016); Bush M., Et al., NLP-based Approach to Twitter User Classification; Wang B., Et al., X-ray scattering image classification using deep learning, 2017 IEEE Winter Conference on Applications of Computer Vision, (2017); Kumar S., Et al., A deep learning approach for motor imagery EEG signal classification, 3rd Asia-Pacific World Congress on Computer Science and Engineering, 2016, (2016); Cao Y., Et al., Improving tuberculosis diagnostics using deep learning and mobile health technologies among resource-poor and marginalized communities, IEEE First Conference on Connected Health: Applications, Systems and Engineering Technologies, (2016); Spanhol F.A., Et al., Breast Cancer Histopathological Image Classification Using Convolutional Neural Networks, (2016); Amara J., Et al., A deep learning-based approach for banana leaf diseases classification, BTW 2017-Workshopband, Lecture Notes in Informatics (LNI), (2017); Yousfi S., Et al., Deep learning and recurrent connectionist-based approaches for Arabic text recognition in videos, 13th International Conference on Document Analysis and Recognition (ICDAR), (2015); Majumdar N., Et al., Deep learning-based document modeling for personality detection from text, IEEE Telligent Systems, (2017); Choi E., Et al., Using recurrent neural network models for early detection of heart failure onset, Journal of American Medical Informatics Association, (2016); Conneau A., Et al., Very deep convolutional networks for text classification, Proceedings of the 15th Conference of the European Chapter of the Association for Computational Linguistics, 1, pp. 1107-1116, (2017); Sainath T.N., Et al., Multichannel signal processing with deep neural networks for automatic speech recognition, IEEE/ACM Transactions on Audio, Speech, and Language Processing, 25, 5, (2017); Ensslin A., Et al., Deep learning for speech accent detection in videogames, The AIIDE-17 Workshop on Experimental AI in Games WS-17-19; Lai S., Et al., Recurrent convolutional neural networks for text classification, Proceedings of the Twenty-Ninth AAAI Conference on Artificial Intelligence, (2015); Guo Y., Et al., CNN-RNN: A large-scale hierarchical image classification framework, Multimed Tools Appl, 77, pp. 10251-10271, (2018); Zhou C., Et al., A C-LSTM Neural Network for Text Classification, (2015)</t>
  </si>
  <si>
    <t xml:space="preserve">3rd International Conference on Inventive Research in Computing Applications, ICIRCA 2021</t>
  </si>
  <si>
    <t xml:space="preserve">2 September 2021 through 4 September 2021</t>
  </si>
  <si>
    <t xml:space="preserve">978-073814627-0</t>
  </si>
  <si>
    <t xml:space="preserve">Proc. Int. Conf. Inven. Res. Comput. Appl., ICIRCA</t>
  </si>
  <si>
    <t xml:space="preserve">2-s2.0-85116942156</t>
  </si>
  <si>
    <t xml:space="preserve">Oladele T.O.; Ogundokun R.O.; Misra S.; Adeniyi J.K.; Jaglan V.</t>
  </si>
  <si>
    <t xml:space="preserve">Oladele, Tinuke Omolewa (57201388617); Ogundokun, Roseline Oluwaseun (57203967424); Misra, Sanjay (56962766700); Adeniyi, Jide Kehinde (57219422316); Jaglan, Vivek (57217603496)</t>
  </si>
  <si>
    <t xml:space="preserve">57201388617; 57203967424; 56962766700; 57219422316; 57217603496</t>
  </si>
  <si>
    <t xml:space="preserve">A joint neuro-fuzzy malaria diagnosis system</t>
  </si>
  <si>
    <t xml:space="preserve">Diagnosis takes a definitive role in the course of determining about clarifying patients as either having or not having the disorder. This method is relatively sluggish and tedious. Various fact-finding and data-mining methods are part of the approach of this article. In the development of the Collaborative Neuro-Fuzzy Expert System diagnosis platform, Neural Networks and Fuzzy Logic, which are artificial intelligence methods, have been merged together. Oral interviews were conducted with medical professionals whose experience was caught in the Expertise Developed Fuzzy Proficient Scheme. With Microsoft Visual C # (C Sharp) Programming Language and Microsoft SQL (Structured Query Language) Server 2012 to handle the database, the Neuro-Fuzzy Expert Framework diagnostic software was introduced. To capture the predominant signs, questionnaires were administered to the patients and filled out by the doctors on behalf of the patients. © Published under licence by IOP Publishing Ltd.</t>
  </si>
  <si>
    <t xml:space="preserve">10.1088/1742-6596/1767/1/012038</t>
  </si>
  <si>
    <t xml:space="preserve">https://www.scopus.com/inward/record.uri?eid=2-s2.0-85101746583&amp;doi=10.1088%2f1742-6596%2f1767%2f1%2f012038&amp;partnerID=40&amp;md5=74e827627f8d45640b91fe655973c3b8</t>
  </si>
  <si>
    <t xml:space="preserve">Department of Computer Science, University of Ilorin, Kwara State, Ilorin, Nigeria; Department of Computer Science, Landmark University Omu Aran, Kwara State, Nigeria; Department of Electrical and Information Engineering, Covenant University, Ota, Nigeria; Graphic Era Hill University, Dehradun, India</t>
  </si>
  <si>
    <t xml:space="preserve">Oladele T.O., Department of Computer Science, University of Ilorin, Kwara State, Ilorin, Nigeria; Ogundokun R.O., Department of Computer Science, Landmark University Omu Aran, Kwara State, Nigeria; Misra S., Department of Electrical and Information Engineering, Covenant University, Ota, Nigeria; Adeniyi J.K., Department of Computer Science, Landmark University Omu Aran, Kwara State, Nigeria; Jaglan V., Graphic Era Hill University, Dehradun, India</t>
  </si>
  <si>
    <t xml:space="preserve">Data mining; Diagnosis; Expert systems; Fuzzy inference; Fuzzy logic; Intelligent systems; Program diagnostics; Query languages; Query processing; Security of data; Surveys; Visual languages; Windows operating system; Artificial intelligence methods; Data mining methods; Diagnostic software; Fact-finding; Malaria diagnosis; Medical professionals; Neuro-Fuzzy; Structured Query Language; Fuzzy neural networks</t>
  </si>
  <si>
    <t xml:space="preserve">Carter R., Mendes K. N., Evolutionary and historical aspects of the burden of malaria, Clinical Microbiology Reviews, 15, pp. 564-594, (2002); Adebiyi M., Famuyiwa B., Mosaku A., Ogundokun R., Arowolo O., Akande N., Adebiyi E., Computational Investigation of Consistency and Performance of the Biochemical Network of the Malaria Parasite, Plasmodium falciparum, Lecture Notes in Computer Science, pp. 231-241, (2019); Adebiyi M. O., Falola D., Olatunji O., Ogundokun R. O., Adeniyi E. A., Computational Prediction of Corynebacterium matruchotii Protein's 3D Structure Reveals its Capacity to bind to DNA domain site in the Malaria Vector Anopheles; White N. J., Antimalarial drug resistance, Journal of Clinical Investigation, 113, pp. 1084-1092, (2004); Kettelhut M. M., Chiodini P. L., Edwards H., Moody A., External quality assessment schemes raise standards: evidence from UKNEQAS parasitology subschemes, Journal of Clinical Pathology, 56, pp. 927-932, (2003); Coleman R. E., Maneechai N., Rachaphaew N., Kumpitek C., Miller R., Soysen V., Thimasarn K., Sattabongkot J., Comparison of field and expert laboratory microscopy for active surveillance for asymptomatic Plasmodium falciparum and plasmodium vivax in western Thailand, American Journal of Tropical Medical Hygiene, 67, pp. 144-154, (2002); Bates I., Bekoe V., Asamoa-Adu A., Improving the accuracy of malaria-related laboratory tests in Ghana Malaria, Journal, 3, (2004); Mitiku K., Mengistu G., Gelaw B., The reliability of blood film examination for malaria at the peripheral health unit, Ethiopian Journal of Health Development, 17, pp. 197-204, (2003); Ayo F. E., Awotunde J. B., Ogundokun R. O., Folorunso S. O., Adekunle A. O., A decision support system for multi-target disease diagnosis: A bioinformatics approach Heliyon, 6, (2020); Ayo F. E., Awotunde J. B., Folorunso S. O., Ogundokun R. O., Idoko P. S., Adekunle J. I., Dauda O. I., A Fuzzy Based Method for Diagnosis of Acne Skin Disease Severity i-manager's, Journal on Pattern Recognition, 5, (2018); Omotosho A., Oluwatobi A. E., Oluwaseun O. R., Chukwuka A. E., Adekanmi A., A Neuro-Fuzzy Based System for the Classification of Cells as Cancerous or Non-Cancerous, International Journal of Medical Research &amp; Health Sciences, 7, pp. 155-166, (2018); Ajala F. A., Akande N. O., Adeyemo I. A., Ogundokun R. O., Smallest Univalue Segment Assimilating Nucleus approach to Brain MRI Image Segmentation using Fuzzy C-Means and Fuzzy K-Means Algorithms, International journal of C computers and technology, 16, pp. 7065-7076, (2017); Djam X. Y., Wajiga G. M., Kimbi Y. H., Blamah N. V., A Fuzzy Expert System for the Management of Malaria, International Journal of Pure and Applied Sciences and Technology, 5, pp. 84-108, (2011); Kandel A, Fuzzy Expert Systems, (1992); Sugeno M., Kang E. T., Structure Identification of Fuzzy model, Fuzzy Sets and Systems, 28, pp. 15-33, (1988); Takagi T., Sugeno M., Fuzzy Identification of Systems and its Application in Modeling and Control, IEEE Transactions on Systems, Man and Cybernetics, 15, pp. 116-132, (1985); Kosko B, Neural networks and fuzzy systems: a dynamical systems approach, (1991); Mamdani E. H., Assilian S., An experiment in linguistic synthesis with a fuzzy logic controller, International Journal of Man-Machine Studies, 7, pp. 1-13, (1975); Lee C.-C, Fuzzy logic in Control Systems: Fuzzy Logic Controller-Part I IEEE Transactions on Systems, Man and Cybernetics, 20, pp. 404-418, (1990); Lee C.-C, Fuzzy logic in Control Systems: Fuzzy Logic Controller-Part 2 IEEE Transactions on Systems, Man, and Cybernetics, 20, pp. 419-435, (1990); Jang J-S. R., Fuzzy modelling using generalized neural networks and Kalman filter algorithm, Proceedings National Conference on Artificial Intelligence (AAAI-91), pp. 762-767, (1991); Jang J-S. R., A self-learning fuzzy controller with application to automobile b, (1991); Jang J-S.R, ANFIS: Adaptive network-based fuzzy inference systems, IEEE Transaction on Systems, Man, and Cybernetics, 23, pp. 665-685, (1993); Agboizebeta I. A., Chukwuyeni O.J., Cognitive Neuro-Fuzzy Expert System for Hypotension Control, Computer Engineering and Intelligent Systems, 3, pp. 21-31, (2012); Mamdani E. H., Assilian S., An experiment in linguistic synthesis with a fuzzy logic controller, International Journal of Man-Machine Studies, 7, pp. 1-13, (1975); Kandel A, Fuzzy Expert Systems, (1992); Sugeno M., Kang E. T., Structure Identification of Fuzzy model, Fuzzy Sets and Systems, 28, pp. 15-33, (1988); Oladele T. O., Sadiku J. S., Oladele R. O., Coactive Neuro-Fuzzy Expert System: A Framework for Diagnosis of Malaria, (2014); Donfack A. F., Abdullahi M., Ezugwu A. E., Alkali S. A., Online system for Diagnosis and Treatment of Malaria, (2009); Adekoya A. F., Akinwale A. T., Oke O. E., A Medical Expert System for Managing Tropical Diseases Proceedings of the Third Conference on Science and National Development, pp. 74-86, (2008); Obot O. U., Uzoka F. M. E., Fuzzy Rule-Based Framework for the Management of Tropical Diseases, International Journal of Engineering and Informatics, 1, pp. 7-17, (2008); Djam X. Y., Kimbi Y. H., Fuzzy Expert System for the Management of Hypertension, The Pacific Journal of Science and Technology, 12, pp. 390-402, (2011); Alade O. M., Sowunmi O. Y., Misra S., Maskeliunas R., Damasevicius R., In International Conference on Information Technology Science (Cham.: Springer) A neural network based expert system for the diagnosis of diabetes mellitus 14-22 December, (2017); Thompson T., Sowunmi O., Misra S., Fernandez-Sanz L., Crawford B., Soto R., An expert system for the diagnosis of sexually transmitted diseases-ESSTD, Journal of Intelligent &amp; Fuzzy Systems, 33, pp. 2007-2017, (2017); Oladele T.O., Ogundokun R.O., Awotunde J.B., Adebiyi M.O., Adeniyi J.K., Diagmal: A Malaria Coactive Neuro-Fuzzy Expert System, Lecture Notes in Computer Science (including subseries Lecture Notes in Artificial Intelligence and Lecture Notes in Bioinformatics) 12254 LNCS, pp. 428-441, (2020); Ayo F.E., Ogundokun R.O., Awotunde J.B., Adebiyi M.O., Adeniyi A.E., Severe Acne Skin Disease: A Fuzzy-Based Method for Diagnosis Lecture Notes in Computer Science (including subseries Lecture Notes in Artificial Intelligence and Lecture Notes in Bioinformatics), pp. 320-334, (2020); Azeez N. A., Towolawi T., Van der Vyver C., Misra S., Adewumi A., Damasevicius R., Ahuja R., In International Conference on Innovations in Bio-Inspired Computing and Applications (Cham.: Springer) A fuzzy expert system for diagnosing and analyzing human diseases, pp. 474-484, (2018); Adebiyi M.O., Falola D., Olatunji O., Ogundokun R.O., Adeniyi EA., Computational prediction of corynebacterium matruchotii Protein's 3D structure reveals its capacity to bind to DNA domain site in the Malaria Vector, Anopheles International Journal of Engineering Research and Technology, 12, pp. 1935-1940, (2019); Iheme P., Omoregbe N., Misra S., Ayeni F., Adeloye D., Innovation and Interdisciplinary Solutions for Under served Areas (Cham.: Springer) A decision support system for pediatric diagnosis, pp. 177-185, (2017)</t>
  </si>
  <si>
    <t xml:space="preserve">Rathinavelu A.; Ramakrishnan S.; Anupriya G.</t>
  </si>
  <si>
    <t xml:space="preserve">AICTE</t>
  </si>
  <si>
    <t xml:space="preserve">2020 International E- Conference on Data Analytics, Intelligent Systems and Information Security, ICDIIS 2020</t>
  </si>
  <si>
    <t xml:space="preserve">11 December 2020 through 12 December 2020</t>
  </si>
  <si>
    <t xml:space="preserve">Pollachi, Tamilnadu, Virtual</t>
  </si>
  <si>
    <t xml:space="preserve">2-s2.0-85101746583</t>
  </si>
  <si>
    <t xml:space="preserve">Yin M.S.; Haddawy P.; Nirandmongkol B.; Kongthaworn T.; Chaisumritchoke C.; Supratak A.; Sa-Ngamuang C.; Sriwichai P.</t>
  </si>
  <si>
    <t xml:space="preserve">Yin, Myat Su (56347534100); Haddawy, Peter (6701739890); Nirandmongkol, Borvorntat (57268259300); Kongthaworn, Tup (57267841400); Chaisumritchoke, Chanaporn (57268259400); Supratak, Akara (56461348400); Sa-Ngamuang, Chaitawat (57202788649); Sriwichai, Patchara (6507162750)</t>
  </si>
  <si>
    <t xml:space="preserve">56347534100; 6701739890; 57268259300; 57267841400; 57268259400; 56461348400; 57202788649; 6507162750</t>
  </si>
  <si>
    <t xml:space="preserve">A lightweight deep learning approach to mosquito classification from wingbeat sounds</t>
  </si>
  <si>
    <t xml:space="preserve">Diseases transmitted by mosquito vectors such as malaria, dengue, and Zika virus are amongst the largest healthcare concerns across the globe today. To tackle such life-threatening diseases, it is vital to evaluate the risk of transmission. Of critical importance in this task is the estimation of vector species populations in an area of interest. Traditional approaches to estimating vector populations involve physically collecting vector samples in traps and manually classifying species, which is highly labor intensive. A promising alternative approach is to classify mosquito species based on the audio signal from their wingbeats. Various traditional machine learning and deep learning models have been developed for such automated acoustic mosquito species classification. But they require data preprocessing and significant computation, limiting their suitability to be deployed on low-cost sensor devices. This paper presents two lightweight deep learning models for mosquito species and sex classification from wingbeat audio signals which are suitable to be deployed on small IoT sensor devices. One model is a 1D CNN and the other combines the 1D CNN with an LSTM model. The models operate directly on a low-sample-rate raw audio signal and thus require no signal preprocessing. Both models achieve a classification accuracy of over 93% on a dataset of recordings of males and females of five species. In addition, we explore the relation between model size and classification accuracy. Through model tuning, we are able to reduce the sizes of both models by approx. 60% while losing only 3% in classification accuracy. © 2021 ACM.</t>
  </si>
  <si>
    <t xml:space="preserve">GoodIT 2021 - Proceedings of the 2021 Conference on Information Technology for Social Good</t>
  </si>
  <si>
    <t xml:space="preserve">Association for Computing Machinery, Inc</t>
  </si>
  <si>
    <t xml:space="preserve">10.1145/3462203.3475908</t>
  </si>
  <si>
    <t xml:space="preserve">https://www.scopus.com/inward/record.uri?eid=2-s2.0-85115426679&amp;doi=10.1145%2f3462203.3475908&amp;partnerID=40&amp;md5=dd91fbb237462130649a01bb4e8938bb</t>
  </si>
  <si>
    <t xml:space="preserve">Faculty of ICT, Mahidol University, Nakhon Pathom, Thailand; University of Bremen, Bremen, Germany; Faculty of Tropical Medicine, Mahidol University, Ratchathewi, Thailand</t>
  </si>
  <si>
    <t xml:space="preserve">Yin M.S., Faculty of ICT, Mahidol University, Nakhon Pathom, Thailand; Haddawy P., Faculty of ICT, Mahidol University, Nakhon Pathom, Thailand, University of Bremen, Bremen, Germany; Nirandmongkol B., Faculty of ICT, Mahidol University, Nakhon Pathom, Thailand; Kongthaworn T., Faculty of ICT, Mahidol University, Nakhon Pathom, Thailand; Chaisumritchoke C., Faculty of ICT, Mahidol University, Nakhon Pathom, Thailand; Supratak A., Faculty of ICT, Mahidol University, Nakhon Pathom, Thailand; Sa-Ngamuang C., Faculty of ICT, Mahidol University, Nakhon Pathom, Thailand; Sriwichai P., Faculty of Tropical Medicine, Mahidol University, Ratchathewi, Thailand</t>
  </si>
  <si>
    <t xml:space="preserve">Classification; Deep learning; IoT; Machine learning; Model size; Model tuning; Mosquito vectors; Signal analysis</t>
  </si>
  <si>
    <t xml:space="preserve">Classification (of information); Deep learning; Internet of things; Vectors; Viruses; Audio signal; Classification accuracy; Deep learning; Learning models; Model size; Model tuning; Mosquito species; Mosquito vectors; Sensor device; Signals analysis; Signal analysis</t>
  </si>
  <si>
    <t xml:space="preserve">Hanse-Wissenschaftskolleg Institute for Advanced Study; MIRU; Mahidol-Bremen Medical Informatics Research Unit; Mahidol University, MU</t>
  </si>
  <si>
    <t xml:space="preserve">This work was partially supported by a grant from the Mahidol University Office of International Relations to Haddawy in support of the Mahidol-Bremen Medical Informatics Research Unit (MIRU), by a fellowship from the Hanse-Wissenschaftskolleg Institute for Advanced Study, and by a Young Researcher grant from Mahidol University to Su Yin.</t>
  </si>
  <si>
    <t xml:space="preserve">Arthur B.J., Emr K.S., Wyttenbach R.A., Hoy R.R., Mosquito (Aedes aegypti) flight tones: Frequency, harmonicity, spherical spreading, and phase relationships, The Journal of the Acoustical Society of America, 135, 2, pp. 933-941, (2014); Chen Y., Why A., Batista G., Mafra-Neto A., Keogh E., Flying insect classification with inexpensive sensors, Journal of Insect Behavior, 27, 5, pp. 657-677, (2014); Kiskin I., Orozco B.P., Windebank T., Zilli D., Sinka M., Willis K., Roberts S., Mosquito Detection with Neural Networks: The Buzz of Deep Learning, (2017); Kittichai V., Pengsakul T., Chumchuen K., Samung Y., Sriwichai P., Phatthamolrat N., Tongloy T., Jaksukam K., Chuwongin S., Boonsang S., Deep learning approaches for challenging species and gender identification of mosquito vectors, Scientific Reports, 11, 1, pp. 1-14, (2021); Lemon S.M., Sparling P.F., Hamburg M.A., Relman D.A., Choffnes E.R., Mack A., Et al., Vector-borne diseases: Understanding the environmental, human health, and ecological connections, Workshop Summary. In Vector-borne Diseases: Understanding the Environmental, Human Health, and Ecological Connections, (2008); Luna-Gonzalez J.A., Robles-Camarillo D., Nakano-Miyatake M., Lanz-Mendoza H., Perez-Meana H., A cnn-based mosquito classification using image transformation of wingbeat features, Knowledge Innovation through Intelligent Software Methodologies, Tools and Techniques: Proceedings of the 19th International Conference on New Trends in Intelligent Software Methodologies, Tools and Techniques (SoMeT20), 327, (2020); Mauch M., Dixon S., PYIN: A fundamental frequency estimator using probabilistic threshold distributions, 2014 IEEE International Conference on Acoustics, Speech and Signal Processing (ICASSP), pp. 659-663, (2014); Motta D., Santos A.A.B., MacHado B.A.S., Ribeiro-Filho O.G.V., Camargo L.O.A., Valdenegro-Toro M.A., Kirchner F., Badaro R., Optimization of convolutional neural network hyperparameters for automatic classification of adult mosquitoes, Plos One, 15, 7, (2020); Motta D., Santos A.A.B., Winkler I., MacHado B.A.S., Pereira D.A.D.I., Cavalcanti A.M., Fonseca E.O.L., Kirchner F., Badaro R., Application of convolutional neural networks for classification of adult mosquitoes in the field, PloS One, 14, 1, (2019); Nanni L., Maguolo G., Paci M., Data augmentation approaches for improving animal audio classification, Ecological Informatics, 57, (2020); Offenhauser W.H., Kahn M.C., The sounds of disease-carrying mosquitoes, The Journal of the Acoustical Society of America, 21, 3, pp. 259-263, (1949); Okayasu K., Yoshida K., Fuchida M., Nakamura A., Vision-based classification of mosquito species: Comparison of conventional and deep learning methods, Applied Sciences, 9, 18, (2019); Ouyang T.-H., Yang E.-C., Jiang J.-A., Lin T.-T., Mosquito vector monitoring system based on optical wingbeat classification, Computers and Electronics in Agriculture, 118, pp. 47-55, (2015); Potamitis I., Classifying insects on the fly, Ecological Informatics, 21, pp. 40-49, (2014); Salamon J., Bello J.P., Deep convolutional neural networks and data augmentation for environmental sound classification, IEEE Signal Processing Letters, 24, 3, pp. 279-283, (2017); Vasconcelos D., Nunes N., Ribeiro M., Prandi C., Rogers A., Locomobis: A low-cost acoustic-based sensing system to monitor and classify mosquitoes, 2019 16th IEEE Annual Consumer Communications &amp;Networking Conference (CCNC), pp. 1-6, (2019)</t>
  </si>
  <si>
    <t xml:space="preserve">ACM SIGCAS</t>
  </si>
  <si>
    <t xml:space="preserve">1st Conference on Information Technology for Social Good, GoodIT 2021</t>
  </si>
  <si>
    <t xml:space="preserve">9 September 2021 through 11 September 2021</t>
  </si>
  <si>
    <t xml:space="preserve">978-145038478-0</t>
  </si>
  <si>
    <t xml:space="preserve">GoodIT - Proc. Conf. Inf. Technol. Soc. Good</t>
  </si>
  <si>
    <t xml:space="preserve">2-s2.0-85115426679</t>
  </si>
  <si>
    <t xml:space="preserve">Kaur L.; Bhatia R.; Nagpal S.</t>
  </si>
  <si>
    <t xml:space="preserve">Kaur, Lovjot (58434491300); Bhatia, Rajesh (13406562100); Nagpal, Shweta (57546741100)</t>
  </si>
  <si>
    <t xml:space="preserve">58434491300; 13406562100; 57546741100</t>
  </si>
  <si>
    <t xml:space="preserve">A Machine Learning Approach for Predicting Dengue Outbreak</t>
  </si>
  <si>
    <t xml:space="preserve">Dengue, well known as a deadly mosquito disease, is speedily spreading around the globe. The transmission cycle of Dengue virus is highly supported by the Temperature, Relative Humidity and Rainfall conditions as these factors promote its growth and habitat. Till date, there is no vaccination or medication available for Dengue fever. In lack of medical support, the only way to prevent Dengue is by controlling the spread of its vector. In this study, a Hidden Markov Model (HMM) is proposed for Dengue outbreak prediction taking into account the data set of previous 10 years. It elaborates the firm relationship of the Dengue outbreak and meteorological factors. The results obtained from the model predicts the outbreak with accuracy of approx- imately 93.38%.This model can be successfully implemented for control and prevention of dengue outbreak.  © 2021 IEEE.</t>
  </si>
  <si>
    <t xml:space="preserve">Proceedings - 2021 3rd International Conference on Advances in Computing, Communication Control and Networking, ICAC3N 2021</t>
  </si>
  <si>
    <t xml:space="preserve">10.1109/ICAC3N53548.2021.9725539</t>
  </si>
  <si>
    <t xml:space="preserve">https://www.scopus.com/inward/record.uri?eid=2-s2.0-85126949184&amp;doi=10.1109%2fICAC3N53548.2021.9725539&amp;partnerID=40&amp;md5=0c0c117073b598f828a185bebef126c2</t>
  </si>
  <si>
    <t xml:space="preserve">PEC University of Technology, Department of Computer Science and Engineering, Chandigarh, India</t>
  </si>
  <si>
    <t xml:space="preserve">Kaur L., PEC University of Technology, Department of Computer Science and Engineering, Chandigarh, India; Bhatia R., PEC University of Technology, Department of Computer Science and Engineering, Chandigarh, India; Nagpal S., PEC University of Technology, Department of Computer Science and Engineering, Chandigarh, India</t>
  </si>
  <si>
    <t xml:space="preserve">Dengue; Epidemio logical; HMM; Meteorological; Outbreak; Vector</t>
  </si>
  <si>
    <t xml:space="preserve">Machine learning; Viruses; Dengue; Dengue virus; Epidemio logical; Hidden-Markov models; Humidity conditions; Machine learning approaches; Meteorological; Outbreak; Temperature-relative humidity; Transmission cycles; Hidden Markov models</t>
  </si>
  <si>
    <t xml:space="preserve">Afshin M., Application of Least Squares Support Vector Ma-chines in Medium-term Load Forecasting, (2007); Abu Bakar A., Kefli Z., Abdullah S., Sahani M., Predictive models for dengue outbreak using multiple rulebase classifiers, Electrical Engineering and Informatics (ICEEI), 2011 International Conference on, pp. 1-6, (2011); Buczak A.L., Koshute P.T., Babin S.M., Feighner B.H., Lewis S.H., A data-driven epidemiological prediction method for dengue outbreaks using local and remote sensing data, BMC Medical Informatics and Decision Making, 12, 1, (2012); Juan Cao L., Sathiya Keerthi S., Jin Ong C., Qiu Zhang J., Periyathamby U., Ju Fu X., Lee H.P., Parallel sequential minimal optimization for the training of support vector machines, IEEE Trans. Neural Networks, 17, 4, pp. 1039-1049, (2006); Choi Y., Siang Tang C., McIver L., Hashizume M., Chan V., Romauld Abeyasinghe R., Id-Dings S., Huy R., Effects of weather factors on dengue fever incidence and implications for interventions in Cambodia, BMC Public Health, 16, 1, (2016); Mah Choudhury Z., Banu S., Islam A.M., Fore-casting Dengue Incidence in Dhaka, Bangladesh: A Time Series Analysis, (2008); Shameem Fathima A., Manimegalai D., Hundewale N., A review of data mining classification techniques applied for diagnosis and prognosis of the arbovirus-dengue, IJCSI International Journal of Computer Science Issues, 8, 6, (2011); David Forney G., The viterbi algorithm, Proceedings of the IEEE, 61, 3, pp. 268-278, (1973); Fuller D.O., Troyo A., Beier J.C., El nino southern oscillation and vegetation dynamics as predictors of dengue fever cases in Costa Rica, Environmental Research Letters, 4, 1, (2009); Gardner M.W., Dorling S.R., Artificial neural networks (the mul-tilayer perceptron)a review of applications in the atmospheric sciences, Atmospheric Environment, 32, 14, pp. 2627-2636, (1998); Gibbons R.V., Vaughn D.W., Dengue: An escalating problem, BMJ: British Medical Journal, 324, 7353, (2002); Giudici P., Applied Data Mining: Statistical Methods for Business and Industry, (2005); Ana Lisa G.V., Wee L.J.K., Khan A.M., Gil L.H.V.G., Marques E.T.A., Calzavara-Silva C.E., Wee Tan T., Classification of dengue fever patients based on gene expression data using support vector machines, PloS One, 5, 6, (2010); Guzman G., Kouri G., Et al., Dengue and dengue hemorrhagic fever in the americas: Lessons and challenges, Journal of Clinical Virology, 27, 1, pp. 1-13, (2003); Ling Hii Y., Zhu H., Ng N., Ching Ng L., Rocklov J., Forecast of dengue incidence using temperature and rainfall, PLoS Negl Trop Dis, 6, 11, (2012); Azura Husin N., Salim N., Et al., Modeling of dengue outbreak prediction in Malaysia: A comparison of neural network and nonlinear regression model, Information Technology, 2008. ITSim 2008. International Symposium on, 3, pp. 1-4, (2008); Hwang S., Clarite D.S., Elijorde F.I., Gerardo B.D., Byun Y., A Web-based Analysis for Dengue Tracking and Prediction Using Artificial Neural Network, (2016); Kavinga H.W.B., Jayasundara D.D.M., Jayakody D.N.K., A new dengue outbreak statistical model using the time series analysis, European International Journal of Science and Technology, 2, 10, pp. 35-52, (2013); Khormi H.M., Kumar L., Elzahrany R.A., Modeling spatio-temporal risk changes in the incidence of dengue fever in Saudi Arabia: A geographical information system case study, Geospatial Health, 6, 1, pp. 77-84, (2011); Krishnapuram B., Carin L., Figueiredo M.A.T., Hartemink A.J., Sparse multinomial logistic regression: Fast algorithms and generalization bounds, IEEE Transactions on Pattern Analysis and Machine Intelligence, 27, 6, pp. 957-968, (2005); Lee H., Lee J., Kim H., Ha J., Lee K., Snoring detection using a piezo snoring sensor based on hidden markov models, Physiological Measurement, 34, 5, (2013); Murphy K.P., Naive Bayes Classifiers, (2006); Raju K.P.B.P., Sokhi B., Application of gis modeling for dengue fever prone area based on socio-cultural and environmental factors-a case study of Delhi city zone, Int Arch Photogramm Remote Sens Spat Inf Sci, 37, pp. 165-170, (2008); Lia Ramadona A., Lazuardi L., Ling Hii Y., Asa Holmer, 11, 3, (2016); Sree Hari Rao V., Naresh Kumar M., A new intelligence-based approach for computer-aided diagnosis of dengue fever, IEEE Transactions on Information Technology in Biomedicine, 16, 1, pp. 112-118; Tanner L., Schreiber M., Low J.G.H., Ong A., Tolfvenstam T., Ling Lai Y., Ching Ng L., Sin Leo Y., Thi Puong L., Vasudevan S.G., Et al., Decision tree algorithms predict the diagnosis and outcome of dengue fever in the early phase of illness, PLoS Negl Trop Dis, 2, 3, (2008); Thomas S.J., Strickman D., Vaughn D.W., Dengue epidemiology: Virus epidemiology, ecology, and emergence, Advances in Virus Research, 61, (2003); Ungchusak K., Burke D.S., Travelling waves in the occurrence of dengue hemorrhagic fever in Thailand, Nature, 427, (2004); Vimala K., Stress causing arrhythmia detection from ECG signal using hmm, Stress. IJARCCE, 2, 10, pp. 6079-6085, (2014); Wongkoon S., Pollar M., Jaroensutasinee M., Jaroensutasinee K., Predicting dhf incidence in northern Thailand using time series analysis technique, International Journal of Biological and Medical Sciences, 4, 3, pp. 117-121, (2009); Wu H., Kim S., Bae K., Hidden markov model with heart sound signals for identification of heart diseases, Proceedings of 20th International Congress on Acoustics (ICA), pp. 23-27, (2010); Yusof Y., Mustaffa Z., Dengue outbreak prediction: A least squares support vector machines approach, International Journal of Computer Theory and Engineering, 3, 4, (2011)</t>
  </si>
  <si>
    <t xml:space="preserve">Sharma V.; Srivastava R.; Singh M.</t>
  </si>
  <si>
    <t xml:space="preserve">3rd International Conference on Advances in Computing, Communication Control and Networking, ICAC3N 2021</t>
  </si>
  <si>
    <t xml:space="preserve">17 December 2021 through 18 December 2021</t>
  </si>
  <si>
    <t xml:space="preserve">978-166543811-7</t>
  </si>
  <si>
    <t xml:space="preserve">Proc. - Int. Conf. Adv. Comput., Commun. Control Netw., ICAC3N</t>
  </si>
  <si>
    <t xml:space="preserve">2-s2.0-85126949184</t>
  </si>
  <si>
    <t xml:space="preserve">Pervin M.T.; Huq A.</t>
  </si>
  <si>
    <t xml:space="preserve">Pervin, Mst. Tasnim (57203127356); Huq, Aminul (57203135342)</t>
  </si>
  <si>
    <t xml:space="preserve">57203127356; 57203135342</t>
  </si>
  <si>
    <t xml:space="preserve">A Study of Adversarial Attacks on Malaria Cell Image Classification</t>
  </si>
  <si>
    <t xml:space="preserve">In all mosquito borne diseases in the world no other disease is as dangerous Malaria. According to the WHO 409,000 people died of this disease in 2020. Early detection and diagnosis can aid in saving precious human lives. In order to identify Malaria infected cells properly, expertise is needed from people. Deep learning approaches can aid in such tasks since they can accurately identify these cell images in large-scale scenarios without any fatigue. In recent studies, it has been shown that, in spite of the success that deep learning has achieved in varying applications, it is unreliable. Adversarial perturbations when added to the input data forces the model to provide wrong answers. We used VGG16, ResNet18 and Wide-ResNet-28-10 model to correctly classify infected Malaria cells from normal images. We also performed Fast Gradient Sign Method (FGSM) attack to evaluate the robustness of these models. FGSM adversarial training was performed on these models to defend it from such attacks as well. We studied in depth the effects of this attack against these models by varying maximum allowed perturbations. We achieved 95.74%, 95.94% and 95.30% accuracy on clean data and 92.71%, 90.64%, and 88.73% accuracy on adversarial images after performing adversarial training for VGG16, ResNet and Wide-ResNet respectively.  © 2021 IEEE.</t>
  </si>
  <si>
    <t xml:space="preserve">Proceedings of 2021 IEEE International Women in Engineering (WIE) Conference on Electrical and Computer Engineering, WIECON-ECE 2021</t>
  </si>
  <si>
    <t xml:space="preserve">10.1109/WIECON-ECE54711.2021.9829560</t>
  </si>
  <si>
    <t xml:space="preserve">https://www.scopus.com/inward/record.uri?eid=2-s2.0-85136203208&amp;doi=10.1109%2fWIECON-ECE54711.2021.9829560&amp;partnerID=40&amp;md5=c5c30ae3d2a5d0d5f217616ef727c954</t>
  </si>
  <si>
    <t xml:space="preserve">American International University-Bangladesh, Dept. of Computer Science, Dhaka, Bangladesh; Brac University, Dept. of Computer Science &amp; Engineering, Dhaka, Bangladesh</t>
  </si>
  <si>
    <t xml:space="preserve">Pervin M.T., American International University-Bangladesh, Dept. of Computer Science, Dhaka, Bangladesh; Huq A., Brac University, Dept. of Computer Science &amp; Engineering, Dhaka, Bangladesh</t>
  </si>
  <si>
    <t xml:space="preserve">Adversarial Training; CNN.; FGSM; Image Classification; Malaria Cell Image</t>
  </si>
  <si>
    <t xml:space="preserve">Cells; Computer vision; Cytology; Deep learning; Diagnosis; Diseases; Adversarial training; Cell images; CNN.; Detection and diagnosis; Fast gradient sign method; Human lives; Images classification; Infected cells; Malaria cell image; Mosquito-borne disease; Image classification</t>
  </si>
  <si>
    <t xml:space="preserve">Druzhkov P.N., Kustikova V.D., A survey of deep learning methods and software tools for image classification and object detection, Pattern Recognition and Image Analysis, 26, 1, pp. 9-15, (2016); Minaee S., Et al., Image segmentation using deep learning: A survey, IEEE Transactions on Pattern Analysis and Machine Intelligence, (2021); Basmatkar P., Et al., Survey on Neural Machine Translation for multilingual translation system, 3rd International Conference on Computing Methodologies and Communication (ICCMC), pp. 443-448, (2020); Malik M., Et al., Automatic speech recognition: A survey, Multimedia Tools and Applications, 80, 6, pp. 9411-9457, (2021); Pervin M.T., Afroge S., Huq A., A feature fusion based optical character recognition of Bangla characters using support vector machine, 2017 3rd International Conference on Electrical Information and Communication Technology (EICT), pp. 1-6, (2017); Huq A., Pervin M.T., Analysis of Adversarial Attacks on Skin Cancer Recognition, 2020 International Conference on Data Science and Its Applications (ICoDSA), pp. 1-4, (2020); Szegedy C., Et al., Intriguing properties of neural networks, 2nd International Conference on Learning Representations (ICLR), (2014); Goodfellow I., Shlens J., Szegedy C., Explaining and harnessing adversarial examples, 3rd International Conference on Learning Representations (ICLR), (2015); Su J., Et al., One pixel attack for fooling deep neural networks, IEEE Transactions on Evolutionary Computation, 23, 5, pp. 828-841, (2019); Madry A., Et al., Towards Deep Learning Models Resistant to Adversarial Attacks, 6th International Conference on Learning Representations (ICLR), (2018); Zhang H., Wang J., Defense Against Adversarial Attacks Using Feature Scattering-based Adversarial Training, 32nd Annual Conference on Neural Information Processing Systems, pp. 1829-1839, (2019); Kurakin A., Et al., Adversarial Machine Learning at Scale, 5th International Conference on Learning Representations (ICLR), (2017); Reddy A.S.B., Juliet D.S., Transfer learning with ResNet-50 for malaria cell-image classification, International Conference on Communication and Signal Processing (ICCSP), pp. 945-949, (2019); Kalkan S.C., Sahingoz O.K., Deep learning based classification of malaria from slide images, Scientific Meeting on Electrical-Electronics &amp; Biomedical Engineering and Computer Science (EBBT), pp. 1-4, (2019); Zhang Z., Et al., Image classification of unlabeled malaria parasites in red blood cells, 38th Annual International Conference of the IEEE Engineering in Medicine and Biology Society (EMBC), pp. 3981-3984, (2016); Liang Z., Et al., CNN-based image analysis for malaria diagnosis, IEEE International Conference on Bioinformatics and Biomedicine (BIBM), pp. 493-496, (2016); Rajaraman S., Et al., Pre-trained convolutional neural networks as feature extractors toward improved Malaria parasite detection in thin blood smear images, PeerJ, 6, (2018)</t>
  </si>
  <si>
    <t xml:space="preserve">7th IEEE International Women in Engineering (WIE) Conference on Electrical and Computer Engineering, WIECON-ECE 2021</t>
  </si>
  <si>
    <t xml:space="preserve">4 December 2021 through 5 December 2021</t>
  </si>
  <si>
    <t xml:space="preserve">978-166547849-6</t>
  </si>
  <si>
    <t xml:space="preserve">Proc. IEEE Int. Women Eng. (WIE) Conf. Electr. Comput. Eng., WIECON-ECE</t>
  </si>
  <si>
    <t xml:space="preserve">2-s2.0-85136203208</t>
  </si>
  <si>
    <t xml:space="preserve">Muhammad B.; Varol A.</t>
  </si>
  <si>
    <t xml:space="preserve">Muhammad, Bilyaminu (57254135800); Varol, Asaf (15058298400)</t>
  </si>
  <si>
    <t xml:space="preserve">57254135800; 15058298400</t>
  </si>
  <si>
    <t xml:space="preserve">A Symptom-Based Machine Learning Model for Malaria Diagnosis in Nigeria</t>
  </si>
  <si>
    <t xml:space="preserve">Malaria, with around 200 million cases worldwide, tends to kill more people than war and crises. With efforts to reduce mortality rates being futile, an inadequate malaria diagnosis is one of the barriers to a successful reduction in mortality. Machine learning methods were used to classify the stages of malaria in patients to improve diagnosis. To predict the stages of malaria, this research used knowledge of an algorithm of machine learning for a predictive model. A 77% accurate decision algorithm was developed using the symptoms of patients to identify their malaria stages. This research also discovered that malaria does not kill only children (between 0-5 years), in contrast to what has been pointed out in many research studies. This study shows that older women are more likely to experience severe stages of malaria. Therefore, adequate care should be considered for these women once they show some of the significant symptoms as described in the model. This approach applies to everyone with the symptoms set out in the model. This system will provide a preliminary test before conducting a confirmatory diagnosis in the laboratories. © 2021 IEEE.</t>
  </si>
  <si>
    <t xml:space="preserve">9th International Symposium on Digital Forensics and Security, ISDFS 2021</t>
  </si>
  <si>
    <t xml:space="preserve">10.1109/ISDFS52919.2021.9486315</t>
  </si>
  <si>
    <t xml:space="preserve">https://www.scopus.com/inward/record.uri?eid=2-s2.0-85114668140&amp;doi=10.1109%2fISDFS52919.2021.9486315&amp;partnerID=40&amp;md5=84dfba65c1a0f785cc393cedeadcbb20</t>
  </si>
  <si>
    <t xml:space="preserve">Usmanu Danfodiyo University, Department of Computer Science, Sokoto, 2346, Nigeria; Maltepe University, College of Engineering and Natural Sciences, Department of Computer Engineering, Maltepe/Istanbul, 34857, Turkey</t>
  </si>
  <si>
    <t xml:space="preserve">Muhammad B., Usmanu Danfodiyo University, Department of Computer Science, Sokoto, 2346, Nigeria; Varol A., Maltepe University, College of Engineering and Natural Sciences, Department of Computer Engineering, Maltepe/Istanbul, 34857, Turkey</t>
  </si>
  <si>
    <t xml:space="preserve">Decision tree; Machine Learning; Malaria; Sokoto</t>
  </si>
  <si>
    <t xml:space="preserve">Diagnosis; Digital forensics; Diseases; Electronic crime countermeasures; Predictive analytics; Decision algorithms; Machine learning methods; Machine learning models; Malaria diagnosis; Mortality rate; Nigeria; Predictive modeling; Research studies; Machine learning</t>
  </si>
  <si>
    <t xml:space="preserve">Malaria Microscopy Quality Assurance Manual-second Edition, (2016); Malaria Microscopy Quality Assurance Manual-second Edition, (2017); World Malaria Report, (2016); Kigozi R., Charland K., Dorsey G., Kamya M., Buckeridge D., Predicting malaria in a highly endemic country using environmental and clinical data, Online Journal of Public Health Informatics, 6, 1, (2013); Gul S., Ucar M.K., Cetinel G., Bergil E., Bozkurt M.R., Automated pre-seizure detection for epileptic patients using machine learning methods, International Journal of Image, Graphics &amp; Signal Processing, 9, 7, (2017); Kourou K., Exarchos T.P., Exarchos K.P., Karamouzis M.V., Fotiadis D.I., Machine learning applications in cancer prognosis and prediction, Computational and Structural Biotechnology Journal, 13, pp. 8-17, (2015); Urquiza J.M., Rojas I., Pomares H., Herrera J., Florido J.P., Valenzuela O., Cepero M., Computers in biology and medicine, Using Machine Learning Techniques and Genomic/proteomic Information from Known Databases for Defining Relevant Features for Ppi Classification, 42, 6, pp. 639-650, (2012); Worner S.P., Gevrey M., Modeling global insect pest species assemblages to determine risk of invasion, Journal of Applied Ecology, (2006); Patel J., Shah S., Thakkar P., Kotecha K., Predicting stock and stock price index movement using trend deterministic data preparation and machine learning, Expert Systems with Applications, (2015); Zinszer K., Kigozi R., Charland K., Dorsey G., Kamya M., Buckeridge D., Predicting malaria in a highly endemic country using environmental and clinical data sources, Online Journal of Public Health Informatics, 6, 1, (2013); Shruti S.S., Shirgan A., Automatic diagnosis of malaria parasites using neural network and support vector machine, International Journal of Advanced Foundation in Computer (IJAFRC), 2, pp. 62-65, (2015); Sharma V., Kumar A., Lakshmi Panat D., Karajkhede G., Malaria outbreak prediction model using machine learning, International Journal of Advanced Research in Computer Engineering &amp; Technology (IJARCET), 4, 12, (2015); Abisoye O.A., Jimoh G.R., Symptomatic and climatic based malaria threat detection using multilevel thresholding feedforward neural network, I.J. Information Technology and Computer Science, pp. 840-846, (2017); Abisoye O.A., Jimoh R.G., Comparative study on the prediction of symptomatic and climatic based malaria parasite counts using machine learning models, International Journal of Modern Education and Computer Science (IJMECS), pp. 18-25, (2018)</t>
  </si>
  <si>
    <t xml:space="preserve">28 June 2021 through 29 June 2021</t>
  </si>
  <si>
    <t xml:space="preserve">Elazig</t>
  </si>
  <si>
    <t xml:space="preserve">978-166544481-1</t>
  </si>
  <si>
    <t xml:space="preserve">2-s2.0-85114668140</t>
  </si>
  <si>
    <t xml:space="preserve">Ma M.</t>
  </si>
  <si>
    <t xml:space="preserve">Ma, Mingyong (57446231600)</t>
  </si>
  <si>
    <t xml:space="preserve">Active Machine Learning-driven Experiments on Malaria Cell Classification</t>
  </si>
  <si>
    <t xml:space="preserve">Malaria is a life-threatening disease caused by Plasmodium parasites that infect the red blood cells. Computer-aided diagnostic(CADx) tools are implemented for identifying Malaria disease. However, it is not satisfying due to limited data. Therefore, in this literature, a pool-based active learning strategy is implemented to solve the problem. Logistic Regression and SVM are used to find out if active learning(AL) do makes the AL smarter and a Pre-trained resnet 50 is used to see if AL is a time-efficient way of training. It is observed that with 26% of the entire dataset, the accuracy reaches 93%. AL using uncertainty sampling has a better performance than random sampling. The time cost ratio determines the performance of three sampling methods under the same time cost. © 2021 IEEE.</t>
  </si>
  <si>
    <t xml:space="preserve">2021 IEEE 3rd International Conference on Frontiers Technology of Information and Computer, ICFTIC 2021</t>
  </si>
  <si>
    <t xml:space="preserve">10.1109/ICFTIC54370.2021.9647411</t>
  </si>
  <si>
    <t xml:space="preserve">https://www.scopus.com/inward/record.uri?eid=2-s2.0-85124373382&amp;doi=10.1109%2fICFTIC54370.2021.9647411&amp;partnerID=40&amp;md5=8f9c6ba59125c283fd9359c814ecb89e</t>
  </si>
  <si>
    <t xml:space="preserve">WuHan University, Remote Sensing Department, Wuha, China</t>
  </si>
  <si>
    <t xml:space="preserve">Ma M., WuHan University, Remote Sensing Department, Wuha, China</t>
  </si>
  <si>
    <t xml:space="preserve">active learning; Malaria; sampling</t>
  </si>
  <si>
    <t xml:space="preserve">Blood; Diagnosis; Support vector machines; Active Learning; Active machine learning; Cell classification; Computer aided diagnostics; Limited data; Performance; Plasmodium parasites; Pool-based; Red blood cell; Time cost; Diseases</t>
  </si>
  <si>
    <t xml:space="preserve">World Malaria Report, (2020); Bharti A.R., Et al., Polymerase chain reaction detection of plasmodium vivax and plasmodium falciparum DNA from stored serum samples: Implications for retrospective diagnosis of malaria, The American Journal of Tropical Medicine and Hygiene, 77, 3, pp. 444-446, (2007); Mitiku K., Mengistu G., Gelaw B., The reliability of blood film examination for malaria at the peripheral health unit, Ethiopian Journal of Health Development, 17, 3, pp. 197-204, (2003); Maximilian H.C., Et al., PCR amplification of repetitive DNA: A limitation to genome editing technologies and many other applications, Scientific Reports, 4, 1, pp. 1-13, (2014); Hawkes M., Paul Katsuva J., Masumbuko C.K., Use and limitations of malaria rapid diagnostic testing by community health workers in war-torn democratic republic of congo, Malaria Journal, 8, 1, pp. 1-8, (2009); Murphy R.F., An active role for machine learning in drug development, Nature Chemical Biology, 7, 6, pp. 327-330, (2011); King R., Whelan K., Jones F., Et al., Functional genomic hypothesis generation and experimentation by a robot scientist, Nature, 427, pp. 247-252, (2004); Naik A.W., Kangas J.D., Sullivan D.P., Murphy R.F., Active machine learning-driven experimentation to determine compound effects on protein patterns, Elife, 5, (2016); Reker D., Et al., Active learning for computational chemogenomics, Future Medicinal Chemistry, 9, 4, pp. 381-402, (2017); Giguere S., Et al., Machine learning assisted design of highly active peptides for drug discovery, PLoS Computational Biology, 11, 4, (2015); Lookman T., Et al., Active learning in materials science with emphasis on adaptive sampling using uncertainties for targeted design, Npj Computational Materials, 5, 1, pp. 1-17, (2019); Rajaraman S., Et al., Pre-trained convolutional neural networks as feature extractors toward improved malaria parasite detection in thin blood smear images, PeerJ, 6, 2018; Lewis D.D., Gale W.A., A sequential algorithm for training text classifiers, SIGIR'94, (1994); Rajaraman S., Jaeger S., Antani S.K., Performance evaluation of deep neural ensembles toward malaria parasite detection in thin-blood smear images, PeerJ, 7, (2019); Donmez P., Carbonell J.G., Proactive learning: Costsensitive active learning with multiple imperfect oracles, Proceedings of the 17th ACM Conference on Information and Knowledge Management, (2008)</t>
  </si>
  <si>
    <t xml:space="preserve">3rd IEEE International Conference on Frontiers Technology of Information and Computer, ICFTIC 2021</t>
  </si>
  <si>
    <t xml:space="preserve">12 November 2021 through 14 November 2021</t>
  </si>
  <si>
    <t xml:space="preserve">978-166540605-5</t>
  </si>
  <si>
    <t xml:space="preserve">IEEE Int. Conf. Front. Technol. Inf. Comput., ICFTIC</t>
  </si>
  <si>
    <t xml:space="preserve">2-s2.0-85124373382</t>
  </si>
  <si>
    <t xml:space="preserve">Liang Z.; Huang J.X.</t>
  </si>
  <si>
    <t xml:space="preserve">Liang, Zhaohui (7402177895); Huang, Jimmy Xiangji (57189975304)</t>
  </si>
  <si>
    <t xml:space="preserve">7402177895; 57189975304</t>
  </si>
  <si>
    <t xml:space="preserve">Adaptive Cycle-consistent Adversarial Network for Malaria Blood Cell Image Synthetization</t>
  </si>
  <si>
    <t xml:space="preserve">Malaria is a tropical infectious disease that causes massive global deaths. The convolution neural network (CNN) models can theoretically classify the malaria infected blood cells from normal cells, but they are vulnerable to network attacks even with simple uniform noise. A typical drawback of CNN is that the algorithm cannot properly capture the meaningful patterns with clinical significance. We propose a novel adaptive cycle-consistent adversarial network (Ad Cycle GAN) to synthesize malaria significant patterns based on a homogeneous image template with randomness. The Ad Cycle GAN model consists of a pretrained convolutional variational autoencoder (CVAE) and conventional cycle-consistent adversarial network (Cycle GAN). The CVAE model is trained by a large, segmented blood cell dataset with 27,578 images. The model is optimized for 120 epochs. The CVAE is pipelined to a conventional Cycle GAN model with two generator-discriminator combinations. The real malaria positive images are at first sent to the pretrained CVAE to generate template images for the adversarial optimization with the real images. Therefore, the optimization process is to use generator G to convert the CVAE generated images from the synthetic domain (X) to the real malaria positive image domain (Y), then use generator F to convert the real malaria positive images from the real positive image domain (Y) to the CVAE synthetic image domain (X). The total generator loss is composed of adversarial loss, cycle loss, and identity loss, all loss terms are computed by least squared loss. The Ad Cycle GAN architecture is optimized by 150 epochs. When using a pretrained classifier to differentiate the real and synthetic malaria positive image, 99.61% of the real images from the real image set are accurately recognized, compared to 86.6% of the synthetic images are accurately classified. The average score of Frechet Inception Distance (FID) of the generated images by the Ad Cycle GAN is 0.0053 (Std=0.0004). By human eye observation, the Ad Cycle GAN generated images have reasonable fidelity as real blood cells with meaningful pathological patterns that properly mimics real malaria infected blood cells. The proposed Ad Cycle model can generate synthetic malaria infected blood cell images to successfully optimize the deep neural network model for high classification accuracy. We conclude that the new Ad Cycle GAN model can generate high quality malaria infected blood cell images with good diversity.  © 2021 IEEE.</t>
  </si>
  <si>
    <t xml:space="preserve">Proceedings - Applied Imagery Pattern Recognition Workshop</t>
  </si>
  <si>
    <t xml:space="preserve">10.1109/AIPR52630.2021.9762068</t>
  </si>
  <si>
    <t xml:space="preserve">https://www.scopus.com/inward/record.uri?eid=2-s2.0-85129581656&amp;doi=10.1109%2fAIPR52630.2021.9762068&amp;partnerID=40&amp;md5=09869461c01afe50cb0d492073f24e69</t>
  </si>
  <si>
    <t xml:space="preserve">York University, Dept. of Electrical Engineering Computer Science, Toronto, ON, Canada; School of Information Technology, York University, Toronto, ON, Canada</t>
  </si>
  <si>
    <t xml:space="preserve">Liang Z., York University, Dept. of Electrical Engineering Computer Science, Toronto, ON, Canada; Huang J.X., School of Information Technology, York University, Toronto, ON, Canada</t>
  </si>
  <si>
    <t xml:space="preserve">Ad Cycle GAN; deep neural network; image augmentation; image synthesis; malaria</t>
  </si>
  <si>
    <t xml:space="preserve">Blood; Cells; Computer vision; Convolution; Convolutional neural networks; Cytology; Diseases; Large dataset; Medical imaging; Ad cycle GAN; Adaptive cycles; Adversarial networks; Auto encoders; Blood cell images; Blood cells; Image augmentation; Image domain; Images synthesis; Real images; Deep neural networks</t>
  </si>
  <si>
    <t xml:space="preserve">National Institutes of Health, NIH; U.S. National Library of Medicine, NLM; Lister Hill National Center for Biomedical Communications, LHNCBC; Natural Sciences and Engineering Research Council of Canada, NSERC</t>
  </si>
  <si>
    <t xml:space="preserve">Funding text 1: It is supported by the Natural Sciences and Engineering Research Council (NSERC) of Canada and York Research Chair (YRC) program.; Funding text 2: We would like to thank Dr. Stefan Jaeger from Lister Hill National Center for Biomedical Communications (LHNCBC), National Library of Medicine (NLM), National Institutes of Health (NIH) in Bethesda, MD, USA for his support for this research work.</t>
  </si>
  <si>
    <t xml:space="preserve">World Malaria Report 2020, (2021); Tokumasu F., Fairhurst R.M., Ostera G.R., Band 3 modifications in Plasmodium falciparum-infected AA and CC erythrocytes assayed by autocorrelation analysis using quantum dots, J Cell Sci., 118, pp. 1091-1098, (2005); Liang Z., Powell A., Ersoy I., Poostchi M., Silamut K., Palaniappan K., Et al., CNN-based image analysis for malaria diagnosis, 2016 IEEE international conference on bioinformatics and biomedicine (BIBM), pp. 493-496, (2016); Yang F.M.F., Poostchi, Yu H., Zhou Z., Silamut K., Yu J., Et al., Deep learning for smartphone-based malaria parasite detection in thick blood smears, IEEE J Biomed Health Inform., 24, pp. 1427-1438, (2020); Yu H., Yang F., Rajaraman S., Ersoy I., Moallem G., Poostchi M., Et al., Malaria Screener: a smartphone application for automated malaria screening, BMC Infect Dis., 20, pp. 1-8, (2020); Hirano H., Koga K., Takemoto K., Vulnerability of deep neural networks for detecting COVID-19 cases from chest X-ray images to universal adversarial attacks, PLoS One, 15, (2020); Kingma D.P., Welling M., Auto-Encoding Variational Bayes, Stat., 1050, (2014); Li M., Huang H., Ma L., Liu W., Zhang T., Jiang Y., Unsupervised image-to-image translation with stacked cycle-consistent adversarial networks, The European Conference on Computer Vision (ECCV), pp. 184-199, (2018); Arjovsky M., Chintala S., Bottou L., Wasserstein generative adversarial networks, International conference on machine learning, pp. 214-223, (2017); Mao X., Li Q., Xie H., Lau R.Y., Wang Z., Paul Smolley S., Least squares generative adversarial networks, IEEE international conference on computer vision, pp. 2794-2802, (2017); Yu H., Yang F., Rajaraman S., Ersoy I., Moallem G., Poostchi M., Et al., Malaria Screener: a smartphone application for automated malaria screening, BMC Infectious Diseases, 20, pp. 1-8, (2020); Kingma D.P., Ba J., Adam. A method for stochastic optimization, (2014); Heusel M., Ramsauer H., Unterthiner T., Nessler B., Hochreiter S., GANs trained by a two time-scale update rule converge to a local nash equilibrium, Advances in neural information processing systems, (2017); Mali S., Arguin S.P., Arguin P.M., Malaria Surveillance - United States, MMWR Surveillance Summ., 67, pp. 1-28, (2015); Tokumasu F., Fairhurst R.M., Ostera G.R., Band 3 modifications in Plasmodium falciparum-infected AA and CC erythrocytes assayed by autocorrelation analysis using quantum dots, Journal of Cell Science, 118, pp. 1091-1098, (2005); LeCun Y., Bengio Y., Hinton G., Deep learning, Nature, 521, pp. 436-444, (2015); Goodfellow I., Pouget-Abadie J., Mirza M., Xu B., Warde-Farley D., Ozair S., Courville A., Bengio Y., Generative adversarial nets, Proceedings of the 27th International Conference on Neural Information Processing Systems, pp. 2672-2680, (2014); Liang Z., Huang J.X., Li J., Chan S., Enhancing Automated COVID-19 Chest X-ray Diagnosis by Image-to-Image GAN Translation, 2020 IEEE International Conference on Bioinformatics and Biomedicine (BIBM), pp. 1068-1071, (2020); Liang Z., Huang J.X., Cycle-Consistent Adversarial network with criterion for COVID-19 Chest X-ray Generation, AMIA 2021 Annual Symposium</t>
  </si>
  <si>
    <t xml:space="preserve">2021 IEEE Applied Imagery Pattern Recognition Workshop, AIPR 2021</t>
  </si>
  <si>
    <t xml:space="preserve">12 October 2021 through 14 October 2021</t>
  </si>
  <si>
    <t xml:space="preserve">Washington</t>
  </si>
  <si>
    <t xml:space="preserve">978-166542471-4</t>
  </si>
  <si>
    <t xml:space="preserve">Proc. Appl. Imagery Pattern. Recogn. Workshop</t>
  </si>
  <si>
    <t xml:space="preserve">2-s2.0-85129581656</t>
  </si>
  <si>
    <t xml:space="preserve">Jaikishore C.N.; Udutalapally V.; Das D.</t>
  </si>
  <si>
    <t xml:space="preserve">Jaikishore, Chathura.N. (57488993900); Udutalapally, Venkanna (55233652300); Das, Debanjan (57191917086)</t>
  </si>
  <si>
    <t xml:space="preserve">57488993900; 55233652300; 57191917086</t>
  </si>
  <si>
    <t xml:space="preserve">AI Driven Edge Device for Screening Skin Lesion and Its Severity in Peripheral Communities</t>
  </si>
  <si>
    <t xml:space="preserve">It is vital to treat any skin disorder as early as possible. Neglecting the rudimentary skin disease may lead to acute skin cancer. Skin diseases are mostly neglected in peripheral regions because of a lack of awareness and accessibility to dermatologists. Therefore, it is important to diagnose skin diseases promptly and take countermeasures to treat them effectively. The paper presents a novel method to detect skin disease and its severity using a mobile application. A dataset consisting of four classes- Eczema, Measles, Leprosy, and Healthy Normal Skin is chosen in this proposed work. The images are passed through two modified CNN architectures. The first layer is a modified Mobile Net V2 architecture that aids in predicting the type of skin disease, which is referred to as SkinLesion Net. The next layer that predicts the severity of the disease is named SeverityNet. Observant comparison on four different CNN architectures - VGGl6,Inception V3, Xception and the proposed SkinLesion Net, is performed using this image dataset. Skin Lesion Net outperforms the other networks with 94.32% accuracy, 93.02% F1-Score, 93.53% Precision and 92.76% Recall. The model is lightweight, about 14 MB in size, which is appropriate for deployment into an Android application. © 2021 IEEE.</t>
  </si>
  <si>
    <t xml:space="preserve">Proceedings of the 2021 IEEE 18th India Council International Conference, INDICON 2021</t>
  </si>
  <si>
    <t xml:space="preserve">10.1109/INDICON52576.2021.9691666</t>
  </si>
  <si>
    <t xml:space="preserve">https://www.scopus.com/inward/record.uri?eid=2-s2.0-85126391952&amp;doi=10.1109%2fINDICON52576.2021.9691666&amp;partnerID=40&amp;md5=27a221444711e26312ed7e787f3c0d76</t>
  </si>
  <si>
    <t xml:space="preserve">VIT, Dept of ECE, Vellore, India; IIIT, Dept. of CSE, Naya Raipur, India</t>
  </si>
  <si>
    <t xml:space="preserve">Jaikishore C.N., VIT, Dept of ECE, Vellore, India; Udutalapally V., IIIT, Dept. of CSE, Naya Raipur, India; Das D., IIIT, Dept. of CSE, Naya Raipur, India</t>
  </si>
  <si>
    <t xml:space="preserve">AI driven edge based device; Convolutional Neural Networks; Mobile Net V2; Skin Lesion Classification</t>
  </si>
  <si>
    <t xml:space="preserve">Convolutional neural networks; Diagnosis; Diseases; Network architecture; AI driven edge based device; Convolutional neural network; Edge-based; Lesion classification; Mobile net v2; Mobile nets; Skin disease; Skin disorders; Skin lesion; Skin lesion classification; Dermatology</t>
  </si>
  <si>
    <t xml:space="preserve">Singhal R.R., Talati K.N., Gandhi B.P., Shinde M.K., Nair P.A., Phatak A.G., Prevalence and pattern of skin diseases in tribal villages of gujarat: A teledermatology approach, Indian Journal of Community Medicine: Official Publication of Indian Association of Preventive &amp; Social Medicine, 45, 2, (2020); Shrivastava S.R., Shrivastava P.S., Ramasamy J., Measles in india: Challenges &amp; recent developments, Infection Ecology &amp; Epidemiology, 5, 1, (2015); McLean H.Q., Fiebelkorn A.P., Temte J.L., Wallace G.S., Prevention of measles, rubella, congenital rubella syndrome, and mumps, 2013: Summary recommendations of the advisory committee on immunization practices (acip), Morbidity and Mortality Weekly Report: Recommendations and Reports, 62, 4, pp. 1-34, (2013); Kumar S., Nayak C.S., Padhi T., Rao G., Rao A., Sharma V., Srinivas C., Epidemiological pattern of psoriasis, vitiligo and atopic dermatitis in india: Hospital-based point prevalence, Indian Dermatology Online Journal, 5, (2014); Rao P.N., Suneetha S., Current situation of leprosy in india and its future implications, Indian Dermatology Online Journal, 9, 2, (2018); Esteva A., Kuprel B., Novoa R.A., Ko J., Swetter S.M., Blau H.M., Thrun S., Dermatologist-level classification of skin cancer with deep neural networks, Nature, 542, 7639, pp. 115-118, (2017); Amelard R., Glaister J., Wong A., Clausi D.A., High-level intuitive features (hlifs) for intuitive skin lesion description, Ieee Transactions on Biomedical Engineering, 62, 3, pp. 820-831, (2014); Tajbakhsh N., Shin J.Y., Gurudu S.R., Hurst R.T., Kendall C.B., Gotway M.B., Liang J., Convolutional neural networks for medical image analysis: Full training or fine tuning?, Ieee Transactions on Medical Imaging, 35, 5, pp. 1299-1312, (2016); Ahmad B., Usama M., Huang C.-M., Hwang K., Hossain M.S., Muhammad G., Discriminative feature learning for skin disease classification using deep convolutional neural network, Ieee Access, 8, pp. 39025-39033, (2020); Wei L.-S., Gan Q., Ji T., Skin disease recognition method based on image color and texture features, Computational and Mathematical Methods in Medicine, 2018, (2018); Chollet F., Xception: Deep learning with depthwise separable convolutions, Proceedings of the Ieee Conference on Computer Vision and Pattern Recognition, pp. 1251-1258, (2017); Olivas E.S., Guerrero J.D.M., Martinez-Sober M., Magdalena-Benedito J.R., Serrano L., Et al., Handbook of research on machine learning applications and trends: Algorithms, methods, and techniques: Algorithms, methods, and techniques, Igi Global, (2009); Junayed M.S., Sakib A.N.M., Anjum N., Islam M.B., Jeny A.A., Eczemanet: A deep cnn-based eczema diseases classification, 2020 Ieee 4th International Conference on Image Processing, Applications and Systems (IPAS). Ieee, pp. 174-179, (2020); Buiu C., Danaila V.-R., Raduta C.N., Mobilenetv2 ensemble for cervical precancerous lesions classification, Processes, 8, 5, (2020); Chollet F., Keras, (2015)</t>
  </si>
  <si>
    <t xml:space="preserve">CESC; Ericsson</t>
  </si>
  <si>
    <t xml:space="preserve">18th IEEE India Council International Conference, INDICON 2021</t>
  </si>
  <si>
    <t xml:space="preserve">19 December 2021 through 21 December 2021</t>
  </si>
  <si>
    <t xml:space="preserve">Guwahati</t>
  </si>
  <si>
    <t xml:space="preserve">978-166544175-9</t>
  </si>
  <si>
    <t xml:space="preserve">Proc. IEEE India Counc. Int. Conf., INDICON</t>
  </si>
  <si>
    <t xml:space="preserve">2-s2.0-85126391952</t>
  </si>
  <si>
    <t xml:space="preserve">Subhashini; Sushma M.; Goud B.Y.; Nikhil M.; Reddy G.S.K.</t>
  </si>
  <si>
    <t xml:space="preserve">Subhashini (57191614224); Sushma, Mareddy (57216653301); Goud, Basampally Yeshwanth (57224453808); Nikhil, Merugu (57224450000); Reddy, Gantla Sai Kumar (57224441838)</t>
  </si>
  <si>
    <t xml:space="preserve">57191614224; 57216653301; 57224453808; 57224450000; 57224441838</t>
  </si>
  <si>
    <t xml:space="preserve">AI medical diagnosis application</t>
  </si>
  <si>
    <t xml:space="preserve">Artificial Intelligence aims to mimic the human cognitive powers. AI is also into healthcare where it's been used for automating the diagnosis processes powered by increased availability of healthcare data. This research work develops an application, which can be used in diagnostic centers for multiple diseases diagnosis like Arrhythmia classification using ECG Image analysis, Malaria using Cell images, Brain tumor detection using MRI Scans and many more. At Present, this research work attempts to develop an Arrhythmia classification using ECG Image analysis and would add other diagnosis later on. Basically, ECG signals are used for analysis of Arrhythmia. The irregularities of heart beat are commonly called Arrhythmia. Here, a Convolutional Neural Network model is proposed for the classification of signals from ECG images to different classes. There are many different classes which are normal beat, Premature ventricular contraction beat, paced beat, atrial bundle branch block beat, left bundle branch block beat, atrial premature contraction beat, ventricular flutter wave beat, and ventricular escape beat, etc.  © 2021 IEEE.</t>
  </si>
  <si>
    <t xml:space="preserve">Proceedings - 5th International Conference on Intelligent Computing and Control Systems, ICICCS 2021</t>
  </si>
  <si>
    <t xml:space="preserve">10.1109/ICICCS51141.2021.9432301</t>
  </si>
  <si>
    <t xml:space="preserve">https://www.scopus.com/inward/record.uri?eid=2-s2.0-85107524721&amp;doi=10.1109%2fICICCS51141.2021.9432301&amp;partnerID=40&amp;md5=293f2e530393bd266838c61fe0629b7a</t>
  </si>
  <si>
    <t xml:space="preserve">MLR Institute of Technology, Department of Computer Science and Engineering, Hyderabad, India</t>
  </si>
  <si>
    <t xml:space="preserve">Subhashini, MLR Institute of Technology, Department of Computer Science and Engineering, Hyderabad, India; Sushma M., MLR Institute of Technology, Department of Computer Science and Engineering, Hyderabad, India; Goud B.Y., MLR Institute of Technology, Department of Computer Science and Engineering, Hyderabad, India; Nikhil M., MLR Institute of Technology, Department of Computer Science and Engineering, Hyderabad, India; Reddy G.S.K., MLR Institute of Technology, Department of Computer Science and Engineering, Hyderabad, India</t>
  </si>
  <si>
    <t xml:space="preserve">Arrhythmia; Classification; Convolutional Neural Networks; Deep Learning; Diagnosis; ECG signals; Web Application</t>
  </si>
  <si>
    <t xml:space="preserve">Computer aided diagnosis; Control systems; Convolutional neural networks; Diseases; Electrocardiography; Health care; Image analysis; Image classification; Intelligent computing; Magnetic resonance imaging; Man machine systems; Arrhythmia classification; Atrial premature contraction; Brain tumors; Cell images; Different class; ECG signals; Heart beats; Premature ventricular contraction; Biomedical signal processing</t>
  </si>
  <si>
    <t xml:space="preserve">Ullah A., Anwar S.M., Bilal M., Mehmood R.M., Classification of arrhythmia by using deep learning with 2-d ECG spectral image representation, Remote Sens, 12, (2020); De Chazal P., Reilly R.B., A patient-adapting heartbeat classifier using ECG morphology and heartbeat interval features, Ieee Transactions on Biomedical Engineering, 53, 12, pp. 2535-2543, (2006); Mustaqeem A., Anwar S.M., Majid M., Khan A.R., Wrapper method for feature selection to classify cardiac arrhythmia, Proceedings of 39th Annual International Conference of the Ieee Engineering in Medicine and Biology Society (EMBC), pp. 3656-3659, (2017); Ebrahimzadeh A., Shakiba B., Khazaee A., Detection of electrocardiogram signals using an efficient method, Applied Soft Computing, 22, pp. 108-117, (2014); De Lannoy G., Francois D., Delbeke J., Verleysen M., Weighted conditional random fields for supervised interpatient heartbeat classification, Ieee Transactions on Biomedical Engineering, 59, 1, pp. 241-247, (2012); Poungponsri S., Yu X.-H., An adaptive filtering approach for electrocardiogram (ECG) signal noise reduction using neural networks, Neurocomputing, 117, pp. 206-213, (2013); Luz E.J.D.S., Menotti D., Schwartz W.R., Evaluating the use of ECG signal in low frequencies as a biometry, Expert Systems with Applications, 41, 5, pp. 2309-2315, (2014); Zidelmal Z., Amirou A., Ould-Abdeslam D., Merckle J., ECG beat classification using a cost sensitive classifier, Computer Methods and Programs in Biomedicine, 111, 3, pp. 570-577, (2013); Martis R.J., Acharya U.R., Min L.C., ECG beat classification using PCA, LDA, ICA and discrete wavelet transform, Biomedical Signal Processing and Control, 8, 5, pp. 437-448, (2013); Mustaqeem A., Anwar S.M., Majid M., Multiclass classification of cardiac arrhythmia using improved feature selection and SVM invariants, Computational and Mathematical Methods in Medicine, 2018, (2018); Ye C., Kumar B.V., Coimbra M.T., Heartbeat classification using morphological and dynamic features of ECG signals, Ieee Transactions on Biomedical Engineering, 59, 10, pp. 2930-2941, (2012); Ceylan R., Zbay Y., Comparison of FCM, PCA and WT techniques for classification ECG arrhythmias using artificial neural network, Expert Systems with Applications, 33, 2, pp. 286-295, (2007); Melgani F., Bazi Y., Classification of electrocardiogram signals with support vector machines and particle swarm optimization, Ieee Transactions on Information Technology in Biomedicine, 12, 5, pp. 667-677, (2008); Beyli E.D., Combining recurrent neural networks with eigenvector methods for classification of ECG beats, Digital Signal Processing, 19, 2, pp. 320-329, (2009); Rajpurkar P., Hannun A.Y., Haghpanahi M., Bourn C., Ng A.Y., Cardiologist-level Arrhythmia Detection with Convolutional Neural Networks, (2017); Acharya U.R., Oh S.L., Hagiwara Y., Tan J.H., Adam M., Gertych A., Tan S.R., A deep convolutional neural network model to classify heartbeats, Comput. Biol. Med., 89, pp. 389-396, (2017); Minami K.I., Nakajima H., Toyoshima T., Real-time discrimination of ventricular tachyarrhythmia with Fouriertransform neural network, Ieee Trans. Biomed. Eng., 46, pp. 179-185, (1999); Osowski S., Hoai L.T., Markiewicz T., Support vector machine based expert system for reliable heartbeat recognition, Ieee Trans. Biomed. Eng., 51, pp. 582-589, (2004); Coast D.A., Stern R.M., Cano G.G., Briller S.A., An approach to cardiac arrhythmia analysis using hidden markov models, Ieee Trans. Biomed. Eng., 37, pp. 826-836, (1990); Mustaqeem A., Anwar S.M., Majid M., Multiclass classification of cardiac arrhythmia using improved feature selection and SVM invariants, Comput. Math. Methods Med., (2018); Willems J.L., Lesaffre E., Comparison of multigroup logistic and linear discriminant ECG and vcg classification, J. Electrocardiol., 20, pp. 83-92, (1987); Hu Y.H., Tompkins W.J., Urrusti J.L., Afonso V.X., Applications of artificial neural networks for ECG signal detection and classification, J. Electrocardiol, 26, pp. 66-73, (1993); Hu Y.H., Palreddy S., Tompkins W.J., A patientadaptable ECG beat classifier using a mixture of experts approach, Ieee Trans. Biomed. Eng., 44, pp. 891-900, (1997); SusmithaValli G., An Approach to Detect Bone Tumor Using Segmentation Technique, (2018); Prasad K.S., Reddy N.C., Puneeth B.N., A framework for diagnosing kidney disease in diabetes patients using classification algorithms, Sn COMPUT. SCI., 1; Ranganathan G., Real life human movement realization in multimodal group communication using depth map information and machine learning, Journal of Innovative Image Processing (JIIP), 2, 2, pp. 93-101, (2020); Smys S., Chen J.I.Z., Shakya S., Survey on neural network architectures with deep learning, Journal of Soft Computing Paradigm (JSCP), 2, 3, pp. 186-194, (2020)</t>
  </si>
  <si>
    <t xml:space="preserve">5th International Conference on Intelligent Computing and Control Systems, ICICCS 2021</t>
  </si>
  <si>
    <t xml:space="preserve">6 May 2021 through 8 May 2021</t>
  </si>
  <si>
    <t xml:space="preserve">978-166541272-8</t>
  </si>
  <si>
    <t xml:space="preserve">Proc. - Int. Conf. Intell. Comput. Control Syst., ICICCS</t>
  </si>
  <si>
    <t xml:space="preserve">2-s2.0-85107524721</t>
  </si>
  <si>
    <t xml:space="preserve">Bilyaminu M.; Varol A.</t>
  </si>
  <si>
    <t xml:space="preserve">Bilyaminu, Muhammad (57254135800); Varol, Asaf (15058298400)</t>
  </si>
  <si>
    <t xml:space="preserve">An Improved Transfer Learning-Based Model for Malaria Detection using Blood Smear of Microscopic Cell Images</t>
  </si>
  <si>
    <t xml:space="preserve">Because of insufficient medical specialists in some parts of the African and Asian continents, malaria patients' mortality rates have increased over the years. Since the people of regions generally suffer from malaria diseases, computer-aided detection (CAD) technology is required to decrease the number of casualties and reduce the waiting time for consulting by a Malaria specialist. This study shows the potential of transfer learning, a method of Deep Learning (DL) to classify the smeared blood of microscopic malaria cell images to determine whether it is parasitized or uninfected. This classification of malaria cell images will enhance the workflow of health practitioners at the frontline, especially microscopists, and provides them with a valuable alternative for malaria detection based on microscopic cell images. Although many technological advancements and evaluation techniques for identifying the infection exist, a microscopist at regions with limited resources faces challenges in improving diagnostic accuracy. We compared and evaluated a type of pre-trained CNN models, such as ResNet-50 and our appended Resnet-50+KNN. The experiment shows that our new model has the excellent capability and can perform better on malarial microscopic cell image classification with a higher accuracy rate of 98%. © 2021 IEEE.</t>
  </si>
  <si>
    <t xml:space="preserve">2nd International Informatics and Software Engineering Conference, IISEC 2021</t>
  </si>
  <si>
    <t xml:space="preserve">10.1109/IISEC54230.2021.9672447</t>
  </si>
  <si>
    <t xml:space="preserve">https://www.scopus.com/inward/record.uri?eid=2-s2.0-85125336957&amp;doi=10.1109%2fIISEC54230.2021.9672447&amp;partnerID=40&amp;md5=438c6ee7312176530d024b8f37845f6f</t>
  </si>
  <si>
    <t xml:space="preserve">Firat University, Department of Software Engineering, Elazig, Turkey; College of Engineering and Natural Sciences, Maltepe University, Department of Computer Engineering, Maltepe, Istanbul, Turkey</t>
  </si>
  <si>
    <t xml:space="preserve">Bilyaminu M., Firat University, Department of Software Engineering, Elazig, Turkey; Varol A., College of Engineering and Natural Sciences, Maltepe University, Department of Computer Engineering, Maltepe, Istanbul, Turkey</t>
  </si>
  <si>
    <t xml:space="preserve">Deep learning; Malaria; Microscopic cell images; Resnet-50; Transfer learning</t>
  </si>
  <si>
    <t xml:space="preserve">Blood; Cells; Computer aided diagnosis; Computer aided instruction; Cytology; Deep learning; Image classification; Image enhancement; Asian continent; Blood smears; Cell images; Computer aided detection; Deep learning; Learning Based Models; Microscopic cell image; Mortality rate; Resnet-50; Transfer learning; Diseases</t>
  </si>
  <si>
    <t xml:space="preserve">Malaria.; Wilson M.L., Malaria rapid diagnostic tests, Clin. Infect. Dis., 54, 11, pp. 1637-1641, (2012); (2021); Schellenberg J.R.M.A., Smith T., Alonso P.L., Hayes R.J., What is clinical malaria? Finding case definitions for field research in highly endemic areas, Parasitol. Today, 10, 11, pp. 439-442, (1994); Tangpukdee N., Duangdee C., Wilairatana P., Krudsood S., Malaria diagnosis: A brief review, Korean Journal of Parasitology, 47, 2, pp. 93-102, (2009); Mehrjou A., Abbasian T., Izadi M., Automatic malaria diagnosis system, International Conference on Robotics and Mechatronics, ICRoM 2013, pp. 205-211, (2013); Anggraini D., Nugroho A.S., Pratama C., Rozi I.E., Pragesjvara V., Gunawan M., Automated status identification of microscopic images obtained from malaria thin blood smears using Bayes decision: A study case in Plasmodium falciparum, ICACSIS 2011-2011 Int. Conf. Adv. Comput. Sci. Inf. Syst. Proc., pp. 347-352, (2011); Di Ruberto C., Dempster A., Khan S., Jarra B., Segmentation of Blood Images Using Morphological Operators, Proc. - Int. Conf. Pattern Recognit., 15, 3, pp. 397-399, (2000); Ohrt C., Purnomo P., Sutamihardja M.A., Tang D., Kain K.C., Impact of microscopy error on estimates of protective efficacy in malaria-prevention trials, J. Infect. Dis., 186, 4, pp. 540-546, (2002); Di Ruberto C., Dempster A., Khan S., Jarra B., Morphological image processing for evaluating malaria disease, Lecture Notes in Computer Science (Including Subseries Lecture Notes in Artificial Intelligence and Lecture Notes in Bioinformatics), 2059, pp. 739-748, (2001); Diaz G., Gonzalez F.A., Romero E., A semi-automatic method for quantification and classification of erythrocytes infected with malaria parasites in microscopic images, J. Biomed. Inform., 42, 2, pp. 296-307, (2009); Ramakers C., Ruijter J.M., Lekanne Deprez R.H., Moorman A.F.M., Assumption-free analysis of quantitative real-time polymerase chain reaction (PCR) data, Neurosci. Lett., 339, 1, pp. 62-66, (2003); Snounou G., Et al., High sensitivity of detection of human malaria parasites by the use of nested polymerase chain reaction, Mol. Biochem. Parasitol., 61, 2, pp. 315-320, (1993); Alam M.S., Et al., Real-time PCR assay and rapid diagnostic tests for diagnosing clinically suspected malaria patients in Bangladesh, Malar. J., 10, (2011); Wernsdorfer W.H., Muth S., Wongsrichanalai C., Sutamihardja A., Barcus M.J., A Review of Malaria Diagnostic Tools: Microscopy and Rapid Diagnostic Test (RDT), Am. J. Trop. Med. Hyg., 77, 6, pp. 119-127, (2007); Endeshaw T., Et al., Malaria Journal Evaluation of Light Microscopy and Rapid Diagnostic Test for the Detection of Malaria under Operational Field Conditions: A Household Survey in Ethiopia, (2008); Vijayalakshmi A., Rajesh Kanna B., Deep learning approach to detect malaria from microscopic images, Multimed. Tools Appl., 79, 21-22, pp. 15297-15317, (2020); Rajaraman S., Et al., Pre-trained convolutional neural networks as feature extractors toward improved malaria parasite detection in thin blood smear images, PeerJ, 2018, 4, pp. 1-17, (2018); Shortage of pathologists inhibits progress on UHC, The Daily Star; Dong, Et al., Evaluations of Deep Convolutional Neural Networks for Automatic Identification of Malaria Infected Cells.; Krizhevsky A., Sutskever I., Hinton G.E., ImageNet Classification with Deep Convolutional Neural Networks.; Szegedy C., Et al., Going Deeper with Convolutions.; Liu S., Deng W., Very deep convolutional neural network-based image classification using small training sample size, Proceedings - 3rd IAPR Asian Conference on Pattern Recognition, ACPR 2015, pp. 730-734, (2016); Liang Z., Et al., CNN-based image analysis for malaria diagnosis, Proc. - 2016 IEEE Int. Conf. Bioinforma. Biomed. BIBM 2016, pp. 493-496, (2017); Rajaraman S., Et al., Pre-trained convolutional neural networks as feature extractors toward improved malaria parasite detection in thin blood smear images, PeerJ, 2018, 4, (2018); Simonyan K., Zisserman A., Very Deep Convolutional Networks for Large-scale Image Recognition, (2015); He K., Zhang X., Ren S., Sun J., Deep Residual Learning for Image Recognition.; Chollet F., Xception: Deep learning with depthwise separable convolutions, Proceedings - 30th IEEE Conference on Computer Vision and Pattern Recognition, CVPR, pp. 1800-1807, (2017); Homage to John McCarthy, the Father of Artificial Intelligence (AI) | Artificial Solutions.</t>
  </si>
  <si>
    <t xml:space="preserve">Varol A.; Yazici A.; Varol C.; Eryilmaz M.</t>
  </si>
  <si>
    <t xml:space="preserve">16 December 2021 through 17 December 2021</t>
  </si>
  <si>
    <t xml:space="preserve">Ankara</t>
  </si>
  <si>
    <t xml:space="preserve">978-166540759-5</t>
  </si>
  <si>
    <t xml:space="preserve">Int. Informatics Softw. Eng. Conf., IISEC</t>
  </si>
  <si>
    <t xml:space="preserve">2-s2.0-85125336957</t>
  </si>
  <si>
    <t xml:space="preserve">Chatterjee S.; Majumder P.</t>
  </si>
  <si>
    <t xml:space="preserve">Chatterjee, Subhrasankar (57211139002); Majumder, Pritha (57220783162)</t>
  </si>
  <si>
    <t xml:space="preserve">57211139002; 57220783162</t>
  </si>
  <si>
    <t xml:space="preserve">Automated Classification and Detection of Malaria Cell Using Computer Vision</t>
  </si>
  <si>
    <t xml:space="preserve">With the advancement of technology, its involvement in medical science is inevitable. Rapid progress has been made in the fields of automated disease detection and diagnosis. The same concept has been extended to the field of malaria cell analysis in this research. From the image of a cell, this model is capable of determining whether it is uninfected or parasitized with malaria infection. The method discussed here is lightweighted and easily implementable in terms of time and space complexity. Also, it has a training accuracy of 97.98% and a validation accuracy of 97.6%. A new method called “Information Padding” has been used and discussed in the methodology section. © 2021, Springer Nature Singapore Pte Ltd.</t>
  </si>
  <si>
    <t xml:space="preserve">10.1007/978-981-15-7834-2_45</t>
  </si>
  <si>
    <t xml:space="preserve">https://www.scopus.com/inward/record.uri?eid=2-s2.0-85097593189&amp;doi=10.1007%2f978-981-15-7834-2_45&amp;partnerID=40&amp;md5=ef72f4bfad0cbef0905a1e6fb29f6a59</t>
  </si>
  <si>
    <t xml:space="preserve">Computer Science Engineering Department, Indian Institute of Technology, Kharagpur, 721302, West Bengal, India; Department of Information Technology, Jalpaiguri Government Engineering College, Jalpaiguri, 735102, West Bengal, India</t>
  </si>
  <si>
    <t xml:space="preserve">Chatterjee S., Computer Science Engineering Department, Indian Institute of Technology, Kharagpur, 721302, West Bengal, India; Majumder P., Department of Information Technology, Jalpaiguri Government Engineering College, Jalpaiguri, 735102, West Bengal, India</t>
  </si>
  <si>
    <t xml:space="preserve">Convolutional neural network; Deep learning; Information paddin; Malaria; Parasites</t>
  </si>
  <si>
    <t xml:space="preserve">Computer vision; Diagnosis; Automated classification; Cell analysis; Disease detection; Medical science; Time and space complexity; Training accuracy; Diseases</t>
  </si>
  <si>
    <t xml:space="preserve">World Health Organization (Official Website); Centers for Disease Control and Prevention; Loddo A., Di Ruberto C., Kocher M., Prod'Hom G., MP-IDB: The Malaria Parasite Image Database for Image Processing and Analysis, (2019); Mohanty I., Pattanaik P.A., Swarnkar T., Automatic detection of malaria parasites using unsupervised techniques, Proceedings of the International Conference on ISMAC in Computational Vision and Bio-Engineering 2018 (ISMAC-CVB). ISMAC 2018. Lecture Notes in Computational Vision and Biomechanics, 30, (2018); Rode K.B., Bharkad S.D., Automatic segmentation of malaria affected erythrocyte in thin blood films, Proceedings of the International Conference on ISMAC in Computational Vision and Bio-Engineering 2018 (ISMAC-CVB). ISMAC 2018. Lecture Notes in Computational Vision and Biomechanics, 30, (2018); Aggarwal P., Khatter A., Vyas G., An intensity threshold based image segmentation of malaria-infected cells, 2018 Second International Conference on Computing Methodologies and Communication (ICCMC), (2018); Penas K.D., Rivera P.T., Naval, P.C.Jr.: Analysis of convolutional neural networks and shape features for detection and identification of malaria parasites on thin blood smears In: Nguyen, N., Hoang, D., Hong, TP., Pham, H., Trawiński, B. (eds.) Intelligent Information and Database Systems. ACIIDS 2018, Lecture Notes in Computer Science, 10752, (2018); Oliveira A.D., Carvalho B.M., Prats C., Espasa M., Gomez I Prat J., Codina D.L., Albuquerque J., An automatic system for computing malaria parasite density in thin blood films, Progress in Pattern Recognition, Image Analysis, Computer Vision, and Applications. CIARP 2017. Lecture Notes in Computer Science, Vol, (2017); Roy K., Sharmin S., Mufiz Mukta R.B., Sen A., Detection of malaria parasite in giemsa blood sample using image processing, Int. J. Comput. Sci. Inf. Technol. (IJCSIT), 10, 1, (2018); The Malaria Dataset from U.S. National Library of Medicine</t>
  </si>
  <si>
    <t xml:space="preserve">S. Chatterjee; Computer Science Engineering Department, Indian Institute of Technology, Kharagpur, 721302, India; email: sc1933@cse.jgec.ac.in</t>
  </si>
  <si>
    <t xml:space="preserve">Bhattacharjee D.; Kole D.K.; Dey N.; Basu S.; Plewczynski D.</t>
  </si>
  <si>
    <t xml:space="preserve">International Conference on Frontiers in Computing and Systems, COMSYS 2020</t>
  </si>
  <si>
    <t xml:space="preserve">13 January 2019 through 15 January 2019</t>
  </si>
  <si>
    <t xml:space="preserve">Jalpaiguri</t>
  </si>
  <si>
    <t xml:space="preserve">978-981157833-5</t>
  </si>
  <si>
    <t xml:space="preserve">2-s2.0-85097593189</t>
  </si>
  <si>
    <t xml:space="preserve">Krishnadas P.; Sampathila N.</t>
  </si>
  <si>
    <t xml:space="preserve">Krishnadas, Padmini (57424091600); Sampathila, Niranjana (56584740000)</t>
  </si>
  <si>
    <t xml:space="preserve">57424091600; 56584740000</t>
  </si>
  <si>
    <t xml:space="preserve">Automated Detection of Malaria implemented by Deep Learning in Pytorch</t>
  </si>
  <si>
    <t xml:space="preserve">The diagnoses of diseases as widespread as malaria has proven to be tough in rural areas. This is because of the lack of resources and professionals working in these places. In such cases, and for urban areas as well, the automation of diagnoses can play a vital role in detecting, diagnosing, treating, and preventing malaria in such areas of the world. The automation procedure uses a computerised approach for the diagnosis of malaria from the acquired microscopic images of PBC (Peripheral Blood Smear) images. In this paper, we focus on deep learning algorithms implemented in Pytorch through transfer learning to detect malaria in segmented red blood cell images. The process involved using pre-trained ImageNet models (Namely ResNet and DenseNet) and fine-tuning them to the dataset at hand to classify cell images as either parasitized or uninfected. Reported here the results obtained. The ResNet50 model achieved an accuracy of 91.72%. The DenseNet121 model achieved the highest accuracy of 94.43%. The ResNet50 model performance parameters measured, and the specificity and sensitivity are respectively 89.03% and 88.91%. This branch of digital telepathology can enable the healthcare industry to distribute quality services even to unreachable and rural areas of the world. © 2021 IEEE.</t>
  </si>
  <si>
    <t xml:space="preserve">Proceedings of CONECCT 2021: 7th IEEE International Conference on Electronics, Computing and Communication Technologies</t>
  </si>
  <si>
    <t xml:space="preserve">10.1109/CONECCT52877.2021.9622608</t>
  </si>
  <si>
    <t xml:space="preserve">https://www.scopus.com/inward/record.uri?eid=2-s2.0-85123345485&amp;doi=10.1109%2fCONECCT52877.2021.9622608&amp;partnerID=40&amp;md5=72147c83864ebc90f1548cc946aecadd</t>
  </si>
  <si>
    <t xml:space="preserve">Manipal Institute of Technology MAHE, Department of Biomedical Engineering, Manipal, India</t>
  </si>
  <si>
    <t xml:space="preserve">Krishnadas P., Manipal Institute of Technology MAHE, Department of Biomedical Engineering, Manipal, India; Sampathila N., Manipal Institute of Technology MAHE, Department of Biomedical Engineering, Manipal, India</t>
  </si>
  <si>
    <t xml:space="preserve">Deep Learning; DenseNet; Image classification; Malaria; ResNet</t>
  </si>
  <si>
    <t xml:space="preserve">Automation; Blood; Cells; Classification (of information); Deep learning; Diagnosis; Image classification; Learning algorithms; Rural areas; Automated detection; Deep learning; Densenet; Diagnoses of disease; Images classification; Microscopic image; Peripheral blood smears; Resnet; Transfer learning; Urban areas; Diseases</t>
  </si>
  <si>
    <t xml:space="preserve">Del Prado G.R.L., Garcia C.H., Cea L.M., Espinilla V.F., Moreno M.F.M., Marquez A.D., Polo M.J.P., Garcia I.A., Malaria in developing countries, The Journal of Infection in Developing Countries, 8, 1, pp. 001-004, (2014); Murray C.K., Bennett J.W., Rapid diagnosis of malaria, Interdisciplinary Perspectives on Infectious Diseases 2009, (2009); Niranjana S., Shet N., Basu A.A., Computational approach for diagnosis of malaria through classification of malaria parasite from microscopic image of blood smear, Biomedical Research, 29, 18, pp. 3464-3468, (2018); Chowdhury A.B., Roberson J., Hukkoo A., Bodapati S., Cappelleri D.J., Automated complete blood cell count and malaria pathogen detection using convolution neural network, IEEE Robotics and Automation Letters, 5, 2, pp. 1047-1054, (2020); Shet N., Sampathila N., Detection of plasmodium vivax from leishman stained malarial thin blood microscopic images, 2015 International Conference on Communications and Signal Processing (ICCSP), Melmaruvathur, India, pp. 1268-1272, (2015); Shekar G., Revathy S., Goud E.K., Malaria Detection using Deep Learning, 2020 4th International Conference on Trends in Electronics and Informatics (ICOEI) (48184), Tirunelveli, India, pp. 746-750, (2020); Sifat M.M.H., Islam M.M., A fully automated system to detect malaria parasites and their stages from the blood smear, 2020 IEEE Region 10 Symposium (TENSYMP), Dhaka, Bangladesh, pp. 1351-1354, (2020); Nayak S., Kumar S., Jangid M., Malaria detection using multiple deep learning approaches, 2019 2nd International Conference on Intelligent Communication and Computational Techniques (ICCT), Jaipur, India, pp. 292-297, (2019); Malaria Cell Images Dataset, (2021); Lionbridge A.I., Pytorch Transfer Learning for End to End Multiclass Image Classification, (2021); Future C., DenseNet Architecture Explained with PyTorch Implementation from TorchVision. [Online] Committed Towards Better Future, (2021); PyTorch, (2021); Bock S., Weiss M., A proof of local convergence for the adam optimizer, 2019 International Joint Conference on Neural Networks (IJCNN), pp. 1-8, (2019); Rajaraman S., Antani S., Poostchi M., Silamut K., Hossain M., Maude R., Jaeger S., Thoma G., Pre-trained convolutional neural networks as feature extractors toward improved malaria parasite detection in thin blood smear images, PeerJ, 6, (2018)</t>
  </si>
  <si>
    <t xml:space="preserve">Huawei; Qualcomm; Radisys</t>
  </si>
  <si>
    <t xml:space="preserve">7th IEEE International Conference on Electronics, Computing and Communication Technologies, CONECCT 2021</t>
  </si>
  <si>
    <t xml:space="preserve">9 July 2021 through 11 July 2021</t>
  </si>
  <si>
    <t xml:space="preserve">978-166542849-1</t>
  </si>
  <si>
    <t xml:space="preserve">Proc. CONECCT: IEEE Int. Conf. Electron., Comput. Commun. Technol.</t>
  </si>
  <si>
    <t xml:space="preserve">2-s2.0-85123345485</t>
  </si>
  <si>
    <t xml:space="preserve">Özbilge E.; Güler E.; Güvenir M.; Şanlıdağ T.; Özbilgin A.; Süer K.</t>
  </si>
  <si>
    <t xml:space="preserve">Özbilge, Emre (57140492100); Güler, Emrah (56196360200); Güvenir, Meryem (56196467800); Şanlıdağ, Tamer (6507989968); Özbilgin, Ahmet (6602284943); Süer, Kaya (54954524800)</t>
  </si>
  <si>
    <t xml:space="preserve">57140492100; 56196360200; 56196467800; 6507989968; 6602284943; 54954524800</t>
  </si>
  <si>
    <t xml:space="preserve">Automated Malaria Parasite Detection Using Artificial Neural Network</t>
  </si>
  <si>
    <t xml:space="preserve">Malaria is still an infectious disease that causes high mortality in endemic regions. It is thought that it will maintain importance in the future, especially due to people travelling from African countries where malaria is endemic to its eradicated regions. Therefore, rapid and accurate diagnosis is a critical step in the effective treatment of malaria and reducing mortality rates. This paper provides a malaria diagnosis system using an artificial neural network approach with SURF (Speeded Up Robust Features) method that helps the clinicians to predict and locate infected cell with malaria on the sample thin blood smear image. The performance of the proposed neural network and local image feature extraction technique SURF were analyzed statistically and presented in this paper. The network was trained using only 45 infected thin blood smear images and was then tested with 200 (100 infected and 100 non-infected) unseen images. The experimental results showed that the proposed system identified the malaria parasite with 93% accuracy, 86% sensitivity and 100% specificity. © 2021, The Author(s), under exclusive license to Springer Nature Switzerland AG.</t>
  </si>
  <si>
    <t xml:space="preserve">10.1007/978-3-030-64058-3_78</t>
  </si>
  <si>
    <t xml:space="preserve">https://www.scopus.com/inward/record.uri?eid=2-s2.0-85124431927&amp;doi=10.1007%2f978-3-030-64058-3_78&amp;partnerID=40&amp;md5=fb90253fef06404e1d516651673529f0</t>
  </si>
  <si>
    <t xml:space="preserve">GenBiomics R&amp;D, Gazi Mağusa Teknoloji Geliştirme Bölgesi (GMTGB), Famagusta, Northern Cyprus, Mersin 10, Turkey; Faculty of Medicine, Department of Medical Microbiology and Clinical Microbiology, Near East University, Nicosia, Cyprus; Near East University, DESAM Institute, Nicosia, Cyprus; Vocational School of Health Services, Near East University, Nicosia, Cyprus; Faculty of Medicine, Department of Parasitology, Manisa Celal Bayar University, Manisa, Turkey; Faculty of Medicine, Department of Infectious Diseases and Clinical Microbiology, Near East University, Nicosia, Cyprus; Faculty of Medicine, Department of Medical Microbiology, Manisa Celal Bayar University, Manisa, Turkey</t>
  </si>
  <si>
    <t xml:space="preserve">Özbilge E., GenBiomics R&amp;D, Gazi Mağusa Teknoloji Geliştirme Bölgesi (GMTGB), Famagusta, Northern Cyprus, Mersin 10, Turkey; Güler E., Faculty of Medicine, Department of Medical Microbiology and Clinical Microbiology, Near East University, Nicosia, Cyprus, Near East University, DESAM Institute, Nicosia, Cyprus; Güvenir M., Vocational School of Health Services, Near East University, Nicosia, Cyprus; Şanlıdağ T., Near East University, DESAM Institute, Nicosia, Cyprus, Faculty of Medicine, Department of Medical Microbiology, Manisa Celal Bayar University, Manisa, Turkey; Özbilgin A., Faculty of Medicine, Department of Parasitology, Manisa Celal Bayar University, Manisa, Turkey; Süer K., Faculty of Medicine, Department of Infectious Diseases and Clinical Microbiology, Near East University, Nicosia, Cyprus</t>
  </si>
  <si>
    <t xml:space="preserve">Image processing; Machine learning; Malaria; Neural network; Plasmodium</t>
  </si>
  <si>
    <t xml:space="preserve">Blood; Computation theory; Diagnosis; Diseases; Fuzzy systems; Soft computing; Artificial neural network approach; Infected cells; Infectious disease; Local image features; Malaria diagnosis; Malaria parasite; Mortality rate; Speeded up robust features; Neural networks</t>
  </si>
  <si>
    <t xml:space="preserve">Vijayalakshmi A., Et al., Deep learning approach to detect malaria from microscopic images, Multimedia Tools Appl, pp. 1-21, (2019); Rajaraman S., Jaeger S., Antani S.K., Performance evaluation of deep neural ensembles toward malaria parasite detection in thin-blood smear images, Peerj, 7, 69-77, (2019); Malaria Case Management Guide, (2019); Salman O., Erbaydar T., Drug resistant malaria, TAF Prev. Med. Bull., 15, 4, (2016); Ardic N., Koru O., Rapid diagnostic tests in malaria, Nobel Medicus J, 8, 2, (2012); Capin Ozmen B.B., Sonmezer M.C., Tortop S., Unalan T., Bolek H., Altintop S.E., Inkaya A.C., Metan G., Erguven S., The importance of awareness for malaria regarding prophylaxis and early diagnosis: Two imported malaria cases in Turkey, Mikrobiyoloji Bulteni, 53, 4, pp. 472-479, (2019); Poostchi M., Silamut K., Maude R.J., Jaeger S., Thoma G., Image analysis and machine learning for detecting malaria, Transl. Res., 194, pp. 36-55, (2018); Otsu N., A threshold selection method from gray-level histograms, IEEE Trans. Syst. Man Cybern., 9, 1, pp. 62-66, (1979); Korkmaz M., Ok U.Z., Parazitolojide Laboratuvar. Türkiye Parazitoloji Dernegi, (2011); Bay H., Tuytelaars T., van Gool L., SURF: Speeded up robust features, ECCV 2006. LNCS, Vol. 3951, pp. 404-417, (2006); Bishop C.M., Pattern Recognition and Machine Learning, (2006); Haykin S., Neural Networks and Learning Machines, (2009); Lecun Y., Et al., Generalization and network design strategies, Connect. Perspect., 19, pp. 143-155, (1989)</t>
  </si>
  <si>
    <t xml:space="preserve">E. Özbilge; GenBiomics R&amp;D, Gazi Mağusa Teknoloji Geliştirme Bölgesi (GMTGB), Mersin 10, Famagusta, Northern Cyprus, Turkey; email: emreozbilge@gmail.com</t>
  </si>
  <si>
    <t xml:space="preserve">14th International Conference on Applications of Fuzzy Systems, Soft Computing, and Artificial Intelligence Tools, ICAFS 2020</t>
  </si>
  <si>
    <t xml:space="preserve">27 August 2020 through 28 August 2020</t>
  </si>
  <si>
    <t xml:space="preserve">Budva</t>
  </si>
  <si>
    <t xml:space="preserve">978-303064057-6</t>
  </si>
  <si>
    <t xml:space="preserve">2-s2.0-85124431927</t>
  </si>
  <si>
    <t xml:space="preserve">Taha B.; Liza F.R.</t>
  </si>
  <si>
    <t xml:space="preserve">Taha, Bahauddin (57461608800); Liza, Fahmida Rahman (57461319700)</t>
  </si>
  <si>
    <t xml:space="preserve">57461608800; 57461319700</t>
  </si>
  <si>
    <t xml:space="preserve">Automatic identification of malaria-infected cells using deep convolutional neural network</t>
  </si>
  <si>
    <t xml:space="preserve">Malaria has been a severe ailment spread by the plasmodium parasite, which is conveyed by the bite of an infected Anopheles mosquito. The conventional method of diagnosing malaria is to look for parasite-infected erythrocytes in human blood smears under a microscope by trained personnel. The outcome of this approach depends on the expertise of the persons performing the tests and sometimes they cannot maintain optimal proficiency. Deep learning can be a highly advantageous option as a means of clinical diagnostics. This paper presents two unique deep learning models for identifying malaria from blood cell images based on convolutional neural networks. Accuracy, recall and Matthews correlation coefficient were used to evaluate these models. Proposed method is more effective than the conventional approach of malaria detection which is time-consuming and will help physicians detect the disease more quickly and effortlessly.  © 2021 IEEE.</t>
  </si>
  <si>
    <t xml:space="preserve">24th International Conference on Computer and Information Technology, ICCIT 2021</t>
  </si>
  <si>
    <t xml:space="preserve">10.1109/ICCIT54785.2021.9689816</t>
  </si>
  <si>
    <t xml:space="preserve">https://www.scopus.com/inward/record.uri?eid=2-s2.0-85125013678&amp;doi=10.1109%2fICCIT54785.2021.9689816&amp;partnerID=40&amp;md5=5a25840922c45ffd471b9035d6adef59</t>
  </si>
  <si>
    <t xml:space="preserve">Patuakhali Science and Technology University, Computer Science and Engineering, Patuakhali, Bangladesh</t>
  </si>
  <si>
    <t xml:space="preserve">Taha B., Patuakhali Science and Technology University, Computer Science and Engineering, Patuakhali, Bangladesh; Liza F.R., Patuakhali Science and Technology University, Computer Science and Engineering, Patuakhali, Bangladesh</t>
  </si>
  <si>
    <t xml:space="preserve">convolutional neural network; deep learning; InceptionResNetV2; Malaria; Matthews correlation</t>
  </si>
  <si>
    <t xml:space="preserve">Automation; Blood; Convolution; Convolutional neural networks; Deep neural networks; Diagnosis; Anopheles mosquitoes; Conventional methods; Convolutional neural network; Deep learning; Inceptionresnetv2; Infected cells; Matthew correlation; Method of diagnosing; Parasite-; Plasmodium parasites; Diseases</t>
  </si>
  <si>
    <t xml:space="preserve">Nayak S., Kumar S., Jangid M., Malaria detection using multiple deep learning approaches, 2019 2nd International Conference on Intelligent Communication and Computational Techniques (ICCT), pp. 292-297, (2019); Shekar G., Revathy S., Goud E.K., Malaria detection using deep learning, 2020 4th International Conference on Trends in Electronics and Informatics (ICOEI)(48184), pp. 746-750, (2020); Shah D., Kawale K., Shah M., Randive S., Mapari R., Malaria parasite detection using deep learning:(beneficial to humankind), 2020 4th International Conference on Intelligent Computing and Control Systems (ICICCS), 2020, pp. 984-988; Militante S.V., Malaria disease recognition through adaptive deep learning models of convolutional neural network, 2019 IEEE 6th International Conference on Engineering Technologies and Applied Sciences (ICETAS), pp. 1-6, (2019); Simonyan K., Zisserman A., Very Deep Convolutional Networks for Large-Scale Image Recognition, (2014); Krizhevsky A., Sutskever I., Hinton G.E., Imagenet classification with deep convolutional neural networks, Advances in Neural Information Processing Systems, 25, pp. 1097-1105, (2012); Szegedy C., Liu W., Jia Y., Sermanet P., Reed S., Anguelov D., Erhan D., Vanhoucke V., Rabinovich A., Going deeper with convolutions, Proceedings of The IEEE Conference on Computer Vision and Pattern Recognition, pp. 1-9, (2015); Makkapati V.V., Rao R.M., Segmentation of malaria parasites in peripheral blood smear images, 2009 IEEE International Conference on Acoustics, Speech and Signal Processing, pp. 1361-1364, (2009); Liu S., Deng W., Very deep convolutional neural network based image classification using small training sample size, 2015 3rd IAPR Asian Conference on Pattern Recognition (ACPR), pp. 730-734, (2015); Ross N.E., Pritchard C.J., Rubin D.M., Duse A.G., Automated image processing method for the diagnosis and classification of malaria on thin blood smears, Medical and Biological Engineering and Computing, 44, 5, pp. 427-436, (2006); Narayanan B.N., Ali R., Hardie R.C., Performance analysis of machine learning and deep learning architectures for malaria detection on cell images, Applications of Machine Learning, 11139, (2019); Dong Y., Jiang Z., Shen H., Pan W.D., Williams L.A., Reddy V.V., Benjamin W.H., Bryan A.W., Evaluations of deep convolutional neural networks for automatic identification of malaria infected cells, 2017 IEEE EMBS International Conference on Biomedical &amp; Health Informatics (BHI), pp. 101-104, (2017); Kalkan S.C., Sahingoz O.K., Deep learning based classification of malaria from slide images, 2019 Scientific Meeting on Electrical-Electronics &amp; Biomedical Engineering and Computer Science (EBBT), pp. 1-4, (2019); Banerjee T., Jain A., Sethuraman S.C., Satapathy S.C., Karthikeyan S., Jubilson A., Deep convolutional neural network (falcon) and transfer learning-based approach to detect malarial parasite, Multimedia Tools and Applications, pp. 1-15; Rajaraman S., Jaeger S., Antani S.K., Performance evaluation of deep neural ensembles toward malaria parasite detection in thin-blood smear images, PeerJ, 7, (2019)</t>
  </si>
  <si>
    <t xml:space="preserve">18 December 2021 through 20 December 2021</t>
  </si>
  <si>
    <t xml:space="preserve">978-166549435-9</t>
  </si>
  <si>
    <t xml:space="preserve">Int. Conf. Comput. Inf. Technol., ICCIT</t>
  </si>
  <si>
    <t xml:space="preserve">2-s2.0-85125013678</t>
  </si>
  <si>
    <t xml:space="preserve">Singh A.; Sivakkumar M.</t>
  </si>
  <si>
    <t xml:space="preserve">Singh, Anoop (57580483900); Sivakkumar, M. (57221111423)</t>
  </si>
  <si>
    <t xml:space="preserve">57580483900; 57221111423</t>
  </si>
  <si>
    <t xml:space="preserve">Breast Cancer Detection Based on Feature Optimization and Pulse Coupled Neural Network Model</t>
  </si>
  <si>
    <t xml:space="preserve">Breast cancer is a leading disease worldwide for the cause of women's death, among other conditions such as tuberculosis and malaria. The early stage of breast cancer saves the life of millions of women's worldwide. The computer-aided diagnosis (CAD) of breast cancer detection is better effective tools. The performance of CAD based on the process of feature selection of breast imagery and applied algorithm for the detection and classification of symptoms. This paper proposed feature optimization-based breast cancer detection using a glowworm optimization algorithm. For the classification of cancer cell applied pulse coupled neural network model. The pulse coupled neural network model is an excellent advantage over the conventional neural network model. The proposed algorithm test on MATLAB environments with the reputed dataset of breast cancer, CBIS-DDSM.  © 2021 IEEE.</t>
  </si>
  <si>
    <t xml:space="preserve">Proceedings of International Conference on Advances in Technology, Management and Education, ICATME 2021</t>
  </si>
  <si>
    <t xml:space="preserve">10.1109/ICATME50232.2021.9732705</t>
  </si>
  <si>
    <t xml:space="preserve">https://www.scopus.com/inward/record.uri?eid=2-s2.0-85128392730&amp;doi=10.1109%2fICATME50232.2021.9732705&amp;partnerID=40&amp;md5=d0fa007a72edd911dd51716820466968</t>
  </si>
  <si>
    <t xml:space="preserve">SRK University, Bhopal, India</t>
  </si>
  <si>
    <t xml:space="preserve">Singh A., SRK University, Bhopal, India; Sivakkumar M., SRK University, Bhopal, India</t>
  </si>
  <si>
    <t xml:space="preserve">Breast Cancer; CAD; GSO; MATLAB; Neural Network; PCNN</t>
  </si>
  <si>
    <t xml:space="preserve">Diseases; Feature extraction; MATLAB; Medical imaging; Neural networks; Optimization; Statistical tests; Breast Cancer; Breast cancer detection; Condition; Effective tool; Features optimizations; GSO; Neural-networks; PCNN; Performance; Pulse coupled neural network models; Computer aided diagnosis</t>
  </si>
  <si>
    <t xml:space="preserve">Ragab D.A., Sharkas M., Attallah O., Breast cancer diagnosis using an efficient CAD system based on multiple classifiers, Diagnostics, 9, 4, (2019); Bisarya A., Kumar S., El Maouaki W., Mukhopadhyay S., Behera B.K., Panigrahi P.K., Breast Cancer Detection Using Quantum Convolutional Neural Networks: A Demonstration on a Quantum Computer., (2020); Ramadan S.Z., Methods Used in Computer-Aided Diagnosis for Breast Cancer Detection Using Mammograms: A Review, Journal of Healthcare Engineering, 2020, (2020); Fass L., Imaging and cancer: A review, Molecular Oncology, 2, 2, pp. 115-152, (2008); Hassan A.M., El-Shenawee M., Review of electromagnetic techniques for breast cancer detection, Ieee Reviews in Biomedical Engineering, 4, pp. 103-118, (2011); Subashini M.M., Sahoo S.K., Pulse coupled neural networks and its applications, Expert Systems with Applications, 41, 8, pp. 3965-3974, (2014); Aldhaeebi M.A., Alzoubi K., Almoneef T.S., Bamatraf S.M., Attia H., Ramahi O.M., Review of Microwaves Techniques for Breast Cancer Detection, Sensors, 20, 8, (2020); Kumar M., Kumar Khatri S., Mohammadian M., Review on Breast Cancer Disease Predictive Modelling using Swarm Intelligence, 2020 International Conference on Computational Performance Evaluation (ComPE, pp. 523-530, (2020); Lopez-Garcia G., Jerez J.M., Franco L., Veredas F.J., Transfer learning with convolutional neural networks for cancer survival prediction using gene-expression data, PloS One, 15, 3, (2020); Chhetri A., Li X., Rispoli J.V., Current and Emerging Magnetic Resonance-Based Techniques for Breast Cancer, Frontiers in Medicine, 7, (2020); Feng Y., Lighter D., Zhang L., Wang Y., Dehghani H., Application of deep neural networks to improve diagnostic accuracy of rheumatoid arthritis using diffuse optical tomography, Quantum Electronics, 50, 1, (2020); Lizzi F., Laruina F., Oliva P., Retico A., Fantacci M.E., Residual Convolutional Neural Networks to Automatically Extract Significant Breast Density Features, International Conference on Computer Analysis of Images and Patterns, pp. 28-35, (2019); Lazaro-Pacheco D., Shaaban A.M., Rehman S., Rehman I., Raman spectroscopy of breast cancer, Applied Spectroscopy Reviews, 55, 6, pp. 439-475, (2020); Majeed H., Huu Nguyen T., Eugene Kandel M., Kajdacsy-Balla A., Popescu G., Label-free quantitative evaluation of breast tissue using Spatial Light Interference Microscopy (SLIM), Scientific Reports, 8, 1, pp. 1-9, (2018); Lin X., Quan Z., Wang Z., Huang H., Zeng X., A novel molecular representation with BiGRU neural networks for learning atom, Briefings in Bioinformatics, (2019); Yousef W.A., Abouelkahire A.A., Almahallawi D., Marzouk O.S., Mohamed S.K., Mustafa W.A., Osama O.M., Saleh A.A., Abdelrazek N.M., Method and System for Image Analysis to Detect Cancer., (2019); Mishra N., Bisarya A., Kumar S., Behera B.K., Mukhopadhyay S., Panigrahi P.K., Cancer Detection Using Quantum Neural Networks: A Demonstration on a Quantum Computer., (2019); Moss D., Kerr Microcombs Based on Soliton Crystals for High-speed, Scalable Optical Neural Networks., (2020); Selvanambi R., Natarajan J., Karuppiah M., Islam S.K.H., Mehedi Hassan M., Fortino G., Lung cancer prediction using higher-order recurrent neural network based on glowworm swarm optimization, Neural Computing and Applications, 32, 9, pp. 4373-4386, (2020)</t>
  </si>
  <si>
    <t xml:space="preserve">Institute of Electrical and Electronics Engineers (IEEE)</t>
  </si>
  <si>
    <t xml:space="preserve">2021 International Conference on Advances in Technology, Management and Education, ICATME 2021</t>
  </si>
  <si>
    <t xml:space="preserve">8 January 2021 through 9 January 2021</t>
  </si>
  <si>
    <t xml:space="preserve">978-172818586-6</t>
  </si>
  <si>
    <t xml:space="preserve">Proc. Int. Conf. Adv. Technol., Manag. Educ., ICATME</t>
  </si>
  <si>
    <t xml:space="preserve">2-s2.0-85128392730</t>
  </si>
  <si>
    <t xml:space="preserve">Ramarolahy R.T.C.; Gyasi E.O.; Crimi A.</t>
  </si>
  <si>
    <t xml:space="preserve">Ramarolahy, Rija Tonny Christian (57222395290); Gyasi, Esther Opoku (57218477480); Crimi, Alessandro (57224770866)</t>
  </si>
  <si>
    <t xml:space="preserve">57222395290; 57218477480; 57224770866</t>
  </si>
  <si>
    <t xml:space="preserve">Classification and Generation of Microscopy Images with Plasmodium Falciparum via Artificial Neural Networks Using Low Cost Settings</t>
  </si>
  <si>
    <t xml:space="preserve">Recent studies use machine-learning techniques to automatically detect parasites in microscopy images. However, these tools are trained and tested in specific datasets. Indeed, even if over-fitting is avoided during the improvements of computer vision applications, large differences are expected. Differences might be related to settings of camera (exposure, white balance settings, etc.) and different blood film slides preparation. Generative adversial networks offer new opportunities in microscopy: data homogenization, and increase of images in case of imbalanced or small sample size. Taking into consideration all those aspects, in this paper, we describe a more complete view including both detection and generating synthetic images: i) an automated detection used to detect malaria parasites on stained blood smear images using machine learning techniques testing several datasets. ii) a generative approach to create synthetic images which can deceive experts, and provide new data for data transfer or augmentation. The tested architecture achieved 0.98 and 0.95 area under the ROC curve in classifying images with respectively thin and thick smear, in leave-one-out cross-validation settings. The generated images proved to be very similar to the original and difficult to be distinguished by an expert microscopist, which identified correctly the real data for one dataset but had 50% misclassification for another dataset of images. Moveover, the trained model was also tested on a low cost device as RaspberryPI 4 with display. © 2021, Springer Nature Switzerland AG.</t>
  </si>
  <si>
    <t xml:space="preserve">12968 LNCS</t>
  </si>
  <si>
    <t xml:space="preserve">10.1007/978-3-030-87722-4_14</t>
  </si>
  <si>
    <t xml:space="preserve">https://www.scopus.com/inward/record.uri?eid=2-s2.0-85116419681&amp;doi=10.1007%2f978-3-030-87722-4_14&amp;partnerID=40&amp;md5=6904b3c40dddbfa242379c1521fe8cd3</t>
  </si>
  <si>
    <t xml:space="preserve">African Institute for Mathematical Sciences - Ghana, Accra, Ghana</t>
  </si>
  <si>
    <t xml:space="preserve">Ramarolahy R.T.C., African Institute for Mathematical Sciences - Ghana, Accra, Ghana; Gyasi E.O., African Institute for Mathematical Sciences - Ghana, Accra, Ghana; Crimi A., African Institute for Mathematical Sciences - Ghana, Accra, Ghana</t>
  </si>
  <si>
    <t xml:space="preserve">Costs; Data transfer; Display devices; Image classification; Learning algorithms; Medical imaging; Neural networks; Statistical methods; Computer vision applications; Data homogenisation; Low-costs; Machine learning techniques; Microscopy images; Overfitting; Parasite-; Plasmodium falciparum; Synthetic images; White balance; Blood</t>
  </si>
  <si>
    <t xml:space="preserve">Bates I., Bekoe V., Asamoa-Adu A., Improving the accuracy of malaria-related laboratory tests in Ghana, Malaria J, 3, 1, (2004); Das D., Et al., Machine learning approach for automated screening of malaria parasite using light microscopic images, Micron, 45, pp. 97-106, (2013); Dong Y., Et al., Evaluations of deep convolutional neural networks for automatic identification of malaria infected cells, 2017 IEEE EMBS International Conference on Biomedical and Health Informatics (BHI), pp. 101-104, (2017); Goodfellow I., Et al., Generative adversarial nets, Advances in Neural Information Processing Systems, pp. 2672-2680, (2014); Lecun Y., Et al., Gradient-based learning applied to document recognition, Proc. IEEE, 86, 11, pp. 2278-2324, (1998); Mehanian C., Et al., Computer-automated malaria diagnosis and quantitation using convolutional neural networks, Proceedings of the IEEE International Conference on Computer Vision Workshops, pp. 116-125, (2017); Park H.S., Et al., Automated detection of p. Falciparum using machine learning algorithms with quantitative phase images of unstained cells, Plos One, 11, 9, (2016); Poostchi M., Et al., Image analysis and machine learning for detecting malaria, Translational Res, 194, pp. 36-55, (2018); Quinn J.A., Et al., Deep convolutional neural networks for microscopy-based point of care diagnostics, Machine Learning for Healthcare, pp. 271-281, (2016); Rajaraman S., Et al., Pre-trained convolutional neural networks as feature extractors toward improved malaria parasite detection in thin blood smear images, Peerj, 6, (2018); Redmon J., Farhadi A., Yolov3: An Incremental Improvement. Arxiv Preprint Arxiv, 1804, (2018); Tek F.B., Et al., Parasite detection and identification for automated thin blood film malaria diagnosis, Comput. Vis. Image Understand., 114, 1, pp. 21-32, (2010); World malaria report 2019. World health organization 2019, Geneva, (2020); Yang F., Et al., Deep learning for smartphone-based malaria parasite detection in thick blood smears, IEEE J. Biomed. Health Inform., 24, (2019); Zanjani F.G., Et al., Stain normalization of histopathology images using generative adversarial networks, 2018 IEEE 15Th International Symposium on Biomedical Imaging (ISBI 2018), Pp. 573–577. IEEE, (2018); Zimmerman P.A., Howes R.E., Malaria diagnosis for malaria elimination, Curr. Opinion Infect. Diseases, 28, 5, pp. 446-454, (2015)</t>
  </si>
  <si>
    <t xml:space="preserve">A. Crimi; African Institute for Mathematical Sciences - Ghana, Accra, Ghana; email: alessandro@aims.edu.gh</t>
  </si>
  <si>
    <t xml:space="preserve">Albarqouni S.; Cardoso M.J.; Dou Q.; Kamnitsas K.; Khanal B.; Rekik I.; Rieke N.; Sheet D.; Tsaftaris S.; Xu D.; Xu Z.</t>
  </si>
  <si>
    <t xml:space="preserve">3rd MICCAI Workshop on Domain Adaptation and Representation Transfer, DART 2021, and the 1st MICCAI Workshop on Affordable Healthcare and AI for Resource Diverse Global Health, FAIR 2021, held in conjunction with 24th International Conference on Medical Image Computing and Computer Assisted Intervention, MICCAI 2021</t>
  </si>
  <si>
    <t xml:space="preserve">27 September 2021 through 1 October 2021</t>
  </si>
  <si>
    <t xml:space="preserve">978-303087721-7</t>
  </si>
  <si>
    <t xml:space="preserve">2-s2.0-85116419681</t>
  </si>
  <si>
    <t xml:space="preserve">Jena K.K.; Kumar Bhoi S.; Mallick C.; Mohapatra D.; Swain P.</t>
  </si>
  <si>
    <t xml:space="preserve">Jena, Kalyan Kumar (57210749910); Kumar Bhoi, Sourav (55532081600); Mallick, Chittaranjan (54395710300); Mohapatra, Debasis (35146472800); Swain, Prachi (57443879700)</t>
  </si>
  <si>
    <t xml:space="preserve">57210749910; 55532081600; 54395710300; 35146472800; 57443879700</t>
  </si>
  <si>
    <t xml:space="preserve">Classification of Malaria Parasitized and Uninfected Images Using Machine Learning Approach</t>
  </si>
  <si>
    <t xml:space="preserve">Human health is an important concern in the current scenario. Different diseases have adverse effect on human society. Malaria parasite is one of them. So, it is very much essential for the classification of malaria parasitized and uninfected cases at the earliest so that preventive measures can be taken accordingly. Machine Learning (ML) plays an important role for the identification, classification as well as analysis of different medical images which can help in accelerating the diagnosis process. In this work, an attempt has been made for the classification of malaria parasitized and uninfected cases from the analysis of different images using ML based methods. In this paper, the ML based methods such as k-Nearest Neighbor (k-NN), Neural Network (NN), Support Vector Machine (SVM), Decision Tree (DT), Random Forest (RF), Logistic Regression (LR), AdaBoost (AB) and Naïve Bayes (NB) are used for such classification. The methods are evaluated using Classification Accuracy (CA) performance parameter. This work is carried out using Orange 3.26.0.  © 2021 IEEE.</t>
  </si>
  <si>
    <t xml:space="preserve">Proceedings of the 5th International Conference on I-SMAC (IoT in Social, Mobile, Analytics and Cloud), I-SMAC 2021</t>
  </si>
  <si>
    <t xml:space="preserve">10.1109/I-SMAC52330.2021.9640905</t>
  </si>
  <si>
    <t xml:space="preserve">https://www.scopus.com/inward/record.uri?eid=2-s2.0-85124175820&amp;doi=10.1109%2fI-SMAC52330.2021.9640905&amp;partnerID=40&amp;md5=eba1be8770c7017698a18def2918beb8</t>
  </si>
  <si>
    <t xml:space="preserve">Parala Maharaja Engineering College, Department of Computer Science and Engineering, Berhampur, India; Parala Maharaja Engineering College, Department of Mathematics, Berhampur, India; C.V. Raman Global University, Department of Mathematics, Bhubaneswar, India</t>
  </si>
  <si>
    <t xml:space="preserve">Jena K.K., Parala Maharaja Engineering College, Department of Computer Science and Engineering, Berhampur, India; Kumar Bhoi S., Parala Maharaja Engineering College, Department of Computer Science and Engineering, Berhampur, India; Mallick C., Parala Maharaja Engineering College, Department of Mathematics, Berhampur, India; Mohapatra D., Parala Maharaja Engineering College, Department of Computer Science and Engineering, Berhampur, India; Swain P., C.V. Raman Global University, Department of Mathematics, Bhubaneswar, India</t>
  </si>
  <si>
    <t xml:space="preserve">AB; DT; k-NN; LR; Malaria Parasite; ML; NB; NN; RF; SVM</t>
  </si>
  <si>
    <t xml:space="preserve">Barium compounds; Computer aided diagnosis; Decision trees; Diseases; Image analysis; Image classification; Logistic regression; Medical imaging; Nearest neighbor search; Random forests; Support vector regression; Human health; Learning-based methods; Logistics regressions; Machine learning approaches; Machine-learning; Malaria parasite; Naive bayes; Neural-networks; Random forests; Support vectors machine; Adaptive boosting</t>
  </si>
  <si>
    <t xml:space="preserve">Prakash S.S., Kovoor B.C., Visakha K., Convolutional neural network based malaria parasite infection detection using thin microscopic blood smear samples, 2020 Second International Conference on Inventive Research in Computing Applications (ICIRCA, pp. 308-313, (2020); Pattanaik P.A., Mittal M., Khan M.Z., Panda S.N., Malaria detection using deep residual networks with mobile microscopy, Journal of King Saud University-Computer and Information Sciences, (2020); Shah D., Kawale K., Shah M., Randive S., Mapari R., Malaria parasite detection using deep learning:(beneficial to humankind), 2020 4th International Conference on Intelligent Computing and Control Systems (ICICCS, pp. 984-988, (2020); Maqsood A., Farid M.S., Khan M.H., Grzegorzek M., Deep malaria parasite detectionin thin blood smear microscopic images, Applied Sciences, 11, 5, (2021); Fuhad K.M., Tuba J.F., Sarker M., Ali R., Momen S., Mohammed N., Rahman T., Deep learning based automatic malaria parasite detection from blood smear and its smartphone based application, Diagnostics, 10, 5, (2020); Masud M., Alhumyani H., Alshamrani S.S., Cheikhrouhou O., Ibrahim S., Muhammad G., Shorfuzzaman M., Leveraging deep learning techniques for malaria parasite detection using mobile application, Wireless Communications and Mobile Computing 2020, (2020); Chaudhary V.S., Kumar D., Kumara S., Gold-immobilized photonic crystal fiber-based spr biosensor for detection of malaria disease in human body, IEEE Sensors Journal, (2021); Figueroa-Miranda G., Wu C., Zhang Y., Norbel L., Lo Y., Tanner J.A., Mayer D., Polyethylene glycol-mediated blocking and monolayer morphology of an electrochemical aptasensor for malaria biomarker detectionin human serum, Bioelectrochemistry, 136, (2020); Yoon J., Jang W.S., Nam J., Mihn D.C., Lim C.S., An automated microscopic malaria parasite detection system using digital image analysis, Diagnostics, 11, 3, (2021); Elangovan P., Nath M.K., A novel shallow convnet-18 for malaria parasite detectionin thin blood smear images, SN Computer Science, 2, 5, pp. 1-11, (2021); Deelder W., Benavente E.D., Phelan J., Manko E., Campino S., Palla L., Clark T.G., Using deep learning to identify recent positive selectionin malaria parasite sequence data, Malaria Journal, 20, 1, pp. 1-9, (2021); Li Y., Zuo S., Thompson J., Ranford-Cartwright L., Mirzai N., Heidari H., Magnetoresistance sensor with analog frontend for lab-on-chip malaria parasite detection, 2021 IEEE International Symposium on Circuits and Systems (ISCAS, pp. 1-5, (2021); Rahman A., Zunair H., Reme T.R., Rahman M.S., Mahdy M.R.C., A comparative analysis of deep learning architectures on high variation malaria parasite classification dataset, Tissue and Cell, 69, (2021); Khatkar M., Atal D.K., Singh S., Detection and classification of malaria parasite using python software, 2021 International Conference on Intelligent Technologies (CONIT, pp. 1-7, (2021); Paul S., Singh L., Sparsely connected densenet for malaria parasite detection, Advances in Systems Engineering, pp. 801-807, (2021); Huh H.J., Chung J.W., Park S.Y., Chae S.L., Vivax malaria detection using a parasitic red blood cell flag generated by the Sysmex XN9000 hematology analyzer, International Journal of Laboratory Hematology, (2021); Cruz J.N., Da S.S.F.A.P., Oliveira M.E.C., Pereira D.S., De Oliveira M.S., Nanosensor for the detection of malaria parasite, Applications of Nanobiotechnology for Neglected Tropical Diseases, pp. 107-116, (2021); Oriero E.C., Amenga-Etego L., Ishengoma D.S., Amambua-Ngwa A., Plasmodium malariae, current knowledge and future research opportunities on a neglected malaria parasite species, Critical Reviews in Microbiology, 47, 1, pp. 44-56, (2021); Priya R.M., Hema L.K., Vanitha V., Karthikeyan R., Classification and detection of malarial parasite in blood samples using k-means clustering algorithm and support vector machine classifier, Micro-Electronics and Telecommunication Engineering, pp. 423-428, (2021); Sazed S.A., Kibria M.G., Alam M.S., An optimized real-time qpcr method for the effective detection of human malaria infections, Diagnostics, 11, 5, (2021); Obulesu O., Mahendra M., ThrilokReddy M., Machine learning techniques and tools: A survey, 2018 International Conference on Inventive Research in Computing Applications (ICIRCA, pp. 605-611, (2018); Sen P.C., Hajra M., Ghosh M., Supervised classification algorithms in machine learning: A survey and review, Emerging Technology in Modelling and Graphics, pp. 99-111, (2020); Pasumpon P.A., Review of machine learning techniques for voluminous information management, Journal of Soft Computing Paradigm (JSCP), 1, 2, pp. 103-112, (2019); Smitha T.V., A study on various mesh generation techniques used for engineering applications, Journal of Innovative Image Processing, 3, 2, pp. 75-84, (2021); Akey S., Sharma R., A comparative machine learning study on it sector edge nearer to working from home (wfh) contract category for improving productivity, Journal of Artificial Intelligence, 2, 4, pp. 217-225, (2020)</t>
  </si>
  <si>
    <t xml:space="preserve">5th International Conference on I-SMAC (IoT in Social, Mobile, Analytics and Cloud), I-SMAC 2021</t>
  </si>
  <si>
    <t xml:space="preserve">11 November 2021 through 13 November 2021</t>
  </si>
  <si>
    <t xml:space="preserve">Palladam</t>
  </si>
  <si>
    <t xml:space="preserve">978-166542642-8</t>
  </si>
  <si>
    <t xml:space="preserve">Proc. Int. Conf. I-SMAC (IoT Soc., Mob., Anal. Cloud), I-SMAC</t>
  </si>
  <si>
    <t xml:space="preserve">2-s2.0-85124175820</t>
  </si>
  <si>
    <t xml:space="preserve">Mitrovic K.; Milosevic D.</t>
  </si>
  <si>
    <t xml:space="preserve">Mitrovic, Katarina (57211800288); Milosevic, Danijela (16031885300)</t>
  </si>
  <si>
    <t xml:space="preserve">57211800288; 16031885300</t>
  </si>
  <si>
    <t xml:space="preserve">Classification of Malaria-Infected Cells using Convolutional Neural Networks</t>
  </si>
  <si>
    <t xml:space="preserve">Malaria is a disease which, despite being present for over a century, still claims a significant number of lives every year. The advancement of artificial intelligence have opened the door to developing innovative methods in malaria treatment. Introducing machine learning approaches to this field can be beneficial in the disease prevention, detection, and therapy. In this work, convolutional neural networks for malaria detection are developed, based on the classification of thin blood smear images of the potentially infected cells. Input data was preprocessed using the image segmentation, file organization, image size standardization, color channel adjustment, and data splitting. Further, the proposed methodology included image conversion, network architecture defining, parameter tuning and network training. Various architectures of convolutional neural networks were developed and evaluated. In addition, multiple values of different network layer parameters were assessed. This study was implemented in Clojure programming language. Proposed network architecture includes two convolutional and pooling layers followed by activation functions, batch normalization and two linear layers. This convolutional neural network provided the best results and achieved an 82.7% accuracy. Furthermore, this paper proposes another network model with lightweight configuration and a slight accuracy decrease. © 2021 IEEE.</t>
  </si>
  <si>
    <t xml:space="preserve">SACI 2021 - IEEE 15th International Symposium on Applied Computational Intelligence and Informatics, Proceedings</t>
  </si>
  <si>
    <t xml:space="preserve">10.1109/SACI51354.2021.9465636</t>
  </si>
  <si>
    <t xml:space="preserve">https://www.scopus.com/inward/record.uri?eid=2-s2.0-85113871918&amp;doi=10.1109%2fSACI51354.2021.9465636&amp;partnerID=40&amp;md5=0eaafb686fd26f70f78109ffda1de87b</t>
  </si>
  <si>
    <t xml:space="preserve">University of Kragujevac, Faculty of Technical Sciences Čačak, Department of Information Technologies, Serbia</t>
  </si>
  <si>
    <t xml:space="preserve">Mitrovic K., University of Kragujevac, Faculty of Technical Sciences Čačak, Department of Information Technologies, Serbia; Milosevic D., University of Kragujevac, Faculty of Technical Sciences Čačak, Department of Information Technologies, Serbia</t>
  </si>
  <si>
    <t xml:space="preserve">Classification; Computer Vision; Convolutional Neural Networks; Deep Learning; Diagnosis; Machine Learning; Malaria</t>
  </si>
  <si>
    <t xml:space="preserve">Convolution; Convolutional neural networks; Disease control; Diseases; Image segmentation; Intelligent computing; Network layers; Activation functions; Disease prevention; Image conversion; Innovative method; Layer parameters; Machine learning approaches; Network training; Parameter-tuning; Network architecture</t>
  </si>
  <si>
    <t xml:space="preserve">Ministarstvo Prosvete, Nauke i Tehnološkog Razvoja, MPNTR, (III-47003)</t>
  </si>
  <si>
    <t xml:space="preserve">The research presented in this paper is supported by Serbian Ministry of Education, Science and Technological Development through national project “Infrastructure for electronically assisted learning”, III-47003.</t>
  </si>
  <si>
    <t xml:space="preserve">Ashley E.A., Phyo A.P., Woodrow C.J., Malaria, The Lancet, 391, pp. 1608-1621, (2018); World Malaria Report 2020, (2020); Jackovich J., Richards R., Machine learning with aws, Packt, (2018); Ardabili S., Mosavi A., Varkonyi-Koczy A.R., Advances in machine learning modeling reviewing hybrid and ensemble methods, International Conference on Global Research and Education, pp. 215-227, (2019); Mosavi A., Ardabili S., Varkonyi-Koczy A.R., List of deep learning models, International Conference on Global Research and Education, pp. 202-214, (2019); O'Shea K., Nash R., An Introduction to Convolutional Neural Networks, (2015); Ardabili S., Mosavi A., Dehghani M., Varkonyi-Koczy A.R., Deep learning and machine learning in hydrological processes climate change and earth systems a systematic review, International Conference on Global Research and Education, pp. 52-62, (2019); Claywell R., Nadai L., Felde I., Ardabili S., Mosavi A., Adaptive neuro-fuzzy inference system and a multilayer perceptron model trained with grey Wolf optimizer for predicting solar diffuse fraction, Entropy, 22, 11, (2020); Ardabili S., Mosavi A., Varkonyi-Koczy A.R., Systematic review of deep learning and machine learning models in biofuels research, International Conference on Global Research and Education, pp. 19-32, (2019); Mosavi A., Salimi M., Faizollahzadeh Ardabili S., Rabczuk T., Shamshirband S., Varkonyi-Koczy A.R., State of the art of machine learning models in energy systems, a systematic review, Energies, 12, 7, (2019); Choubin B., Abdolshahnejad M., Moradi E., Querol X., Mosavi A., Shamshirband S., Ghamisi P., Spatial hazard assessment of the pm10 using machine learning models in Barcelona, Spain, Science of the Total Environment, 701, (2020); Choubin B., Mosavi A., Alamdarloo E.H., Hosseini F.S., Shamshirband S., Dashtekian K., Ghamisi P., Earth fissure hazard prediction using machine learning models, Environmental Research, 179, (2019); Nosratabadi S., Mosavi A., Keivani R., Ardabili S., Aram F., State of the art survey of deep learning and machine learning models for smart cities and urban sustainability, International Conference on Global Research and Education, pp. 228-238, (2019); Pinter G., Mosavi A., Felde I., Artificial intelligence for modeling real estate price using call detail records and hybrid machine learning approach, Entropy, 22, 12, (2020); Nosratabadi S., Mosavi A., Duan P., Ghamisi P., Filip F., Band S.S., Reuter U., Gama J., Gandomi A.H., Data science in economics: Comprehensive review of advanced machine learning and deep learning methods, Mathematics, 8, 10, (2020); Mosavi A., Faghan Y., Ghamisi P., Duan P., Ardabili S.F., Salwana E., Band S.S., Comprehensive review of deep reinforcement learning methods and applications in economics, Mathematics, 8, 10, (2020); Ardabili S., Mosavi A., Band S.S., Varkonyi-Koczy A.R., Coronavirus disease (covid-19) global prediction using hybrid artificial intelligence method of ann trained with grey Wolf optimizer, MedRxiv, (2020); Reddy A.S.B., Juliet D.S., Transfer learning with resnet-50 for malaria cell-image classification, 2019 International Conference on Communication and Signal Processing (ICCSP), IEEE, pp. 945-949, (2019); Narayanan B.N., Ali R., Hardie R.C., Performance analysis of machine learning and deep learning architectures for malaria detection on cell images, Applications of Machine Learning, (2019); Molina A., Alferez S., Boldu L., Acevedo A., Rodellar J., Merino A., Sequential classification system for recognition of malaria infection using peripheral blood cell images, Journal of Clinical Pathology, 73, 10, pp. 665-670, (2020); Okagbue H.I., Oguntunde P.E., Obasi E.C., Adamu P.I., Opanuga A.A., Diagnosing malaria from some symptoms: A machine learning approach and public health implications, Health and Technology, 11, 1, pp. 23-37, (2021); Lee Y.W., Choi J.W., Shin E.H., Machine learning model for predicting malaria using clinical information, Computers in Biology AndMedicine, 129, (2021); Poostchi M., Silamut K., Maude R.J., Jaeger S., Thoma G., Image analysis and machine learning for detecting malaria, Translational Research, 194, pp. 36-55, (2018); Lister Hill National Center for Biomedical Communications; Sivaramakrishnan R., Antani S.K., Poostchi M., Silamut K., Hossain M.A., Maude R.J., Jaeger S., Thoma G.R., Pre-trained convolutional neural networks as feature extractors toward improved malaria parasite detection in thin blood smear images, PeerJ, 6, (2018); Ersoy I., Bunyak F., Higgins J.M., Palaniappan K., Coupled edge profile active contours for red blood cell flow analysis, 2012 9th IEEE International Symposium on Biomedical Imaging (ISBI), IEEE, pp. 748-751, (2012); Sivaramakrishnan R., Jaeger S., Antani S.K., Performance evaluation of deep neural ensembles toward malaria parasite detection in thin-blood smear images, PeerJ, 7, (2019); Hickey R., Clojure; GNU Emacs; Nuernberger C., Cortex; Roche A., Nuernberger C., Think. Image; Anderson M., Mikera; Lyra M., Ploussi A., Georgantzoglou A., Ionescu P.C., Matlab as a tool in nuclear medicine image processing, MATLAB-A Ubiquitous Tool for the Practical Engineer, InTech, pp. 477-500, (2011); Zhou S.K., Greenspan H., Shen D., Deep Learning for Medical Image Analysis, (2017); Smith S.W., 13. Convolution, the Scientist and Engineer's Guide to Digital Signal Processing, (1997); Albawi S., Mohammed T.A., Al-Zawi S., Understanding of a convolutional neural network, 2017 International Conference on Engineering and Technology (ICET), IEEE, pp. 1-6, (2017); Nielsen M.A., Neural Networks and Deep Learning, 25, (2015); Hahnloser R.H.R., Sarpeshkar R., Mahowald M.A., Douglas R.J., Seung H.S., Digital selection and analogue amplification coexist in a cortex-inspired silicon circuit, Nature, 405, 6789, pp. 947-951, (2000); Ioffe S., Szegedy C., Batch Normalization: Accelerating Deep Network Training by Reducing Internal Covariate Shift, (2015); Hinton G.E., Osindero S., Teh Y., A fast learning algorithm for deep belief nets, Neural Computation, 18, pp. 1527-1554, (2006); Baldi P., Sadowski P., The dropout learning algorithm, Artificial Intelligence, 210, pp. 78-122, (2014)</t>
  </si>
  <si>
    <t xml:space="preserve">15th IEEE International Symposium on Applied Computational Intelligence and Informatics, SACI 2021</t>
  </si>
  <si>
    <t xml:space="preserve">19 May 2021 through 21 May 2021</t>
  </si>
  <si>
    <t xml:space="preserve">Timisoara</t>
  </si>
  <si>
    <t xml:space="preserve">978-172819544-5</t>
  </si>
  <si>
    <t xml:space="preserve">SACI - IEEE Int. Symp. Appl. Comput. Intell. Informatics, Proc.</t>
  </si>
  <si>
    <t xml:space="preserve">2-s2.0-85113871918</t>
  </si>
  <si>
    <t xml:space="preserve">Lin L.; Bermejo-Pelaez D.; Capellan-Martin D.; Cuadrado D.; Rodriguez C.; Garcia L.; Diez N.; Tome R.; Postigo M.; Ledesma-Carbayo M.J.; Luengo-Oroz M.</t>
  </si>
  <si>
    <t xml:space="preserve">Lin, Lin (57217028237); Bermejo-Pelaez, David (57194832148); Capellan-Martin, Daniel (57405172200); Cuadrado, Daniel (57200417904); Rodriguez, Cristina (57405172300); Garcia, Lydia (57650308600); Diez, Nuria (57404855400); Tome, Rocio (36905848900); Postigo, Maria (57200413728); Ledesma-Carbayo, Maria Jesus (7801546083); Luengo-Oroz, Miguel (19639024000)</t>
  </si>
  <si>
    <t xml:space="preserve">57217028237; 57194832148; 57405172200; 57200417904; 57405172300; 57650308600; 57404855400; 36905848900; 57200413728; 7801546083; 19639024000</t>
  </si>
  <si>
    <t xml:space="preserve">Combining collective and artificial intelligence for global health diseases diagnosis using crowdsourced annotated medical images</t>
  </si>
  <si>
    <t xml:space="preserve">Visual inspection of microscopic samples is still the gold standard diagnostic methodology for many global health diseases. Soil-transmitted helminth infection affects 1.5 billion people worldwide, and is the most prevalent disease among the Neglected Tropical Diseases. It is diagnosed by manual examination of stool samples by microscopy, which is a time-consuming task and requires trained personnel and high specialization. Artificial intelligence could automate this task making the diagnosis more accessible. Still, it needs a large amount of annotated training data coming from experts.In this work, we proposed the use of crowdsourced annotated medical images to train AI models (neural networks) for the detection of soil-transmitted helminthiasis in microscopy images from stool samples leveraging non-expert knowledge collected through playing a video game. We collected annotations made by both school-age children and adults, and we showed that, although the quality of crowdsourced annotations made by school-age children are sightly inferior than the ones made by adults, AI models trained on these crowdsourced annotations perform similarly (AUC of 0.928 and 0.939 respectively), and reach similar performance to the AI model trained on expert annotations (AUC of 0.932). We also showed the impact of the training sample size and continuous training on the performance of the AI models.In conclusion, the workflow proposed in this work combined collective and artificial intelligence for detecting soil-transmitted helminthiasis. Embedded within a digital health platform can be applied to any other medical image analysis task and contribute to reduce the burden of disease. © 2021 IEEE.</t>
  </si>
  <si>
    <t xml:space="preserve">Proceedings of the Annual International Conference of the IEEE Engineering in Medicine and Biology Society, EMBS</t>
  </si>
  <si>
    <t xml:space="preserve">10.1109/EMBC46164.2021.9630868</t>
  </si>
  <si>
    <t xml:space="preserve">https://www.scopus.com/inward/record.uri?eid=2-s2.0-85122543947&amp;doi=10.1109%2fEMBC46164.2021.9630868&amp;partnerID=40&amp;md5=c2687b12950cf6f936a9fa6be832f4af</t>
  </si>
  <si>
    <t xml:space="preserve">Spotlab SL, Madrid, Spain; Biomedical Image Technologies, ETSI Telecomunicacion, Universidad Politécnica de Madrid and CIBER-BBN, Madrid, Spain</t>
  </si>
  <si>
    <t xml:space="preserve">Lin L., Spotlab SL, Madrid, Spain, Biomedical Image Technologies, ETSI Telecomunicacion, Universidad Politécnica de Madrid and CIBER-BBN, Madrid, Spain; Bermejo-Pelaez D., Spotlab SL, Madrid, Spain; Capellan-Martin D., Spotlab SL, Madrid, Spain; Cuadrado D., Spotlab SL, Madrid, Spain; Rodriguez C., Spotlab SL, Madrid, Spain; Garcia L., Spotlab SL, Madrid, Spain; Diez N., Spotlab SL, Madrid, Spain; Tome R., Spotlab SL, Madrid, Spain; Postigo M., Spotlab SL, Madrid, Spain; Ledesma-Carbayo M.J., Biomedical Image Technologies, ETSI Telecomunicacion, Universidad Politécnica de Madrid and CIBER-BBN, Madrid, Spain; Luengo-Oroz M., Spotlab SL, Madrid, Spain</t>
  </si>
  <si>
    <t xml:space="preserve">Artificial Intelligence; Child; Crowdsourcing; Global Health; Humans; Microscopy; Neural Networks, Computer; Artificial intelligence; Diagnosis; Image annotation; Knowledge management; Medical imaging; Soils; Diagnostic methodology; Disease diagnosis; Global health; Gold standards; Manual examination; Neglected tropical disease; Performance; Specialisation; Time-consuming tasks; Visual inspection; artificial intelligence; child; crowdsourcing; global health; human; microscopy; Crowdsourcing</t>
  </si>
  <si>
    <t xml:space="preserve">Nations U., Transforming Our World: The 2030 Agenda for Sustainable Development-Department of Economic and Social Affairs, (2015); Muehlematter U.J., Et al., Approval of artificial intelligence and machine learning-based medical devices in the USA and Europe 2015-20): A comparative analysis, The Lancet Digital Health, (2021); Yang F., Et al., Deep learning for smartphone-based malaria parasite detection in thick blood smears, IEEE Journal of Biomedical and Health Informatics, 24, 5, pp. 1427-1438, (2020); Vijayalakshmi A., Rajesh K.B., Deep learning approach to detect malaria from microscopic images, Multimedia Tools and Applications, 79, 21-22, pp. 15297-15317, (2020); Holmstrom O., Et al., Point-of-care mobile digital microscopy and deep learning for the detection of soil-transmitted helminths and Schistosoma haematobium, Global Health Action, 10, 3, (2017); Yang A., Et al., KankaNet: An artificial neural network-based object detection smartphone application and mobile microscope as a point-ofcare diagnostic aid for soil-transmitted helminthiases, PLoS Neglected Tropical Diseases, 13, 8, (2019); Mathison B.A., Et al., Detection of intestinal protozoa in trichromestained stool specimens by use of a deep convolutional neural network, Journal of Clinical Microbiology, 58, 6, pp. 1-13, (2020); Ending the Neglect to Attain the Sustainable Development Goals-A Road Map for Neglected Tropical Diseases 2021-2030 (Geneva: World Health Organization), (2020); Katz N., Et al., A simple device for quantitative stool thick-smear technique in Schistosomiasis mansoni, Revista Do Instituto de Medicina Tropical de Sao Paulo, 14, 6, pp. 397-400, (1972); Luengo-Oroz M.A., Et al., Crowdsourcing malaria parasite quantification: An online game for analyzing images of infected thick blood smears, Journal of Medical Internet Research, 14, 6, pp. 1-14, (2012); Linares M., Et al., Collaborative intelligence and gamification for online malaria species differentiation, Malaria Journal, 18, 1, (2019); Keshavan A., Et al., Combining citizen science and deep learning to amplify expertise in neuroimaging, Frontiers in Neuroinformatics, 13, (2019); Sandler M., Et al., Mobilenetv2: Inverted residuals and linear bottlenecks, Technical Report, (2018); Simonyan K., Zisserman A., Very deep convolutional networks for large-scale image recognition, Technical Report, (2015); Russakovsky O., Et al., Best of both worlds: Human-machine collaboration for object annotation, Technical Report, (2015); Reed S.E., Et al., Training deep neural networks on noisy labels with bootstrapping, 3rd International Conference on Learning Representations, ICLR 2015-Workshop Track Proceedings, pp. 1-11, (2015); Selvaraju R.R., Et al., Grad-CAM: Visual explanations from deep networks via gradient-based localization, International Journal of Computer Vision, 128, 2, pp. 336-359, (2016); Lacoste A., Et al., Quantifying the Carbon Emissions of Machine Learning, (2019)</t>
  </si>
  <si>
    <t xml:space="preserve">Elsevier; The Institution of Engineering and Technology (IET)</t>
  </si>
  <si>
    <t xml:space="preserve">43rd Annual International Conference of the IEEE Engineering in Medicine and Biology Society, EMBC 2021</t>
  </si>
  <si>
    <t xml:space="preserve">1 November 2021 through 5 November 2021</t>
  </si>
  <si>
    <t xml:space="preserve">1557170X</t>
  </si>
  <si>
    <t xml:space="preserve">978-172811179-7</t>
  </si>
  <si>
    <t xml:space="preserve">Proc. Annu. Int. Conf. IEEE Eng. Med. Biol. Soc. EMBS</t>
  </si>
  <si>
    <t xml:space="preserve">2-s2.0-85122543947</t>
  </si>
  <si>
    <t xml:space="preserve">Smith J.; Xu H.; Li X.; Yang L.; Gutierrez J.M.</t>
  </si>
  <si>
    <t xml:space="preserve">Smith, Jonathan (59042281300); Xu, Hao (57217124698); Li, Xinran (56624269000); Yang, Laurence (55732944400); Gutierrez, Jahir M. (57348576700)</t>
  </si>
  <si>
    <t xml:space="preserve">59042281300; 57217124698; 56624269000; 55732944400; 57348576700</t>
  </si>
  <si>
    <t xml:space="preserve">COMPOUND SCREENING WITH DEEP LEARNING FOR NEGLECTED DISEASES: LEISHMANIASIS</t>
  </si>
  <si>
    <t xml:space="preserve">Deep learning provides a tool for improving screening of candidates for drug repurposing to treat neglected diseases. We show how a new pipeline can be developed to address the needs of repurposing for Leishmaniasis. In combination with traditional molecular docking techniques, this allows top candidates to be selected and analyzed, including for molecular descriptor similarity. © 2021 Proceedings of Machine Learning Research. All rights reserved.</t>
  </si>
  <si>
    <t xml:space="preserve">Proceedings of Machine Learning Research</t>
  </si>
  <si>
    <t xml:space="preserve">ML Research Press</t>
  </si>
  <si>
    <t xml:space="preserve">https://www.scopus.com/inward/record.uri?eid=2-s2.0-85164027341&amp;partnerID=40&amp;md5=ebcb972ce5b5b6ab23e70d2d053a8c8e</t>
  </si>
  <si>
    <t xml:space="preserve">Layer 6 AI; Queen’s University, Canada</t>
  </si>
  <si>
    <t xml:space="preserve">Smith J., Layer 6 AI; Xu H., Queen’s University, Canada; Li X., Queen’s University, Canada; Yang L., Queen’s University, Canada; Gutierrez J.M., Layer 6 AI</t>
  </si>
  <si>
    <t xml:space="preserve">Deep learning; Compound screenings; Molecular descriptors; Molecular docking; Neglected disease; Repurposing; Diagnosis</t>
  </si>
  <si>
    <t xml:space="preserve">Natural Sciences and Engineering Research Council of Canada, NSERC, (RGPIN-2020-06325); Natural Sciences and Engineering Research Council of Canada, NSERC; Queen's University</t>
  </si>
  <si>
    <t xml:space="preserve">This work was supported by Queen’s University and the Natural Sciences and Engineering Research Council of Canada (NSERC) [RGPIN-2020-06325].</t>
  </si>
  <si>
    <t xml:space="preserve">Charlton Rebecca L., Rossi-Bergmann Bartira, Denny Paul W., Steel Patrick G., Repurposing as a strategy for the discovery of new anti-leishmanials: the-state-of-the-art, Parasitology, 145, 2, pp. 219-236, (2017); Chaudhury Sidhartha, Lyskov Sergey, Gray Jeffrey J., Pyrosetta: a script-based interface for implementing molecular modeling algorithms using rosetta, Bioinformatics, 26, 5, pp. 689-691, (2010); Cheng Yung-Chi, William Prusoff H., Relationship between the inhibition constant (ki) and the concentration of inhibitor which causes 50 per cent inhibition (i50) of an enzymatic reaction, Biochemical Pharmacology, 22, 23, pp. 3099-3108, (1973); Cock Peter J. A., Antao Tiago, Chang Jeffrey T., Chapman Brad A., Cox Cymon J., Dalke Andrew, Friedberg Iddo, Hamelryck Thomas, Kauff Frank, Wilczynski Bartek, de Hoon Michiel J. L., Biopython: freely available Python tools for computational molecular biology and bioinformatics, Bioinformatics, 25, 11, pp. 1422-1423, (2009); Dassi Loic, Kane Hassan, Nkwate Ebenezer, Computationally accelerating protein-ligand docking for neglected tropical diseases: A case study on drug repurposing for leishmaniasis, ICLR 2021 Workshop: Machine Learning for Preventing and Combating Pandemics, (2021); Dickson M., Gagnon J. P., The cost of new drug discovery and development, Discov Med, 4, 22, pp. 172-179, (2004); The full correlation matrix is; Gilmer Justin, Schoenholz Samuel S, Riley Patrick F, Vinyals Oriol, Dahl George E, Neural message passing for quantum chemistry, International conference on machine learning, pp. 1263-1272, (2017); Gilson Michael K, Liu Tiqing, Baitaluk Michael, Nicola George, Hwang Linda, Chong Jenny, Bindingdb in 2015: a public database for medicinal chemistry, computational chemistry and systems pharmacology, Nucleic acids research, 44, D1, pp. D1045-D1053, (2016); Michael Gromiha M., Chapter 2 - protein sequence analysis, Protein Bioinformatics, pp. 29-62, (2010); Head Michael G, Brown Rebecca J, Newell Marie-Louise, Anthony J, Scott G, Batchelor James, Atun Rifat, The allocation of us 105 billion in global funding for infectious disease research between 2000 and 2017: An analysis of investments from funders in the g20 countries, (2020); Huang Kexin, Fu Tianfan, Glass Lucas M, Zitnik Marinka, Xiao Cao, Sun Jimeng, Deeppurpose: a deep learning library for drug–target interaction prediction, Bioinformatics, 36, 22-23, pp. 5545-5547, (2020); Hughes J. P., Rees S., Kalindjian S. B., Philpott K. L., Principles of early drug discovery, British Journal of Pharmacology, 162, 6, pp. 1239-1249, (2011); Krizhevsky Alex, Sutskever Ilya, Hinton Geoffrey E, ImageNet classification with deep convolutional neural networks, Advances in Neural Information Processing Systems, 25, (2012); Landrum G, Rdkit: Open-source cheminformatics; Li Jiao, Zheng Si, Chen Bin, Butte Atul J., Joshua Swamidass S., Lu Zhiyong, A survey of current trends in computational drug repositioning, Briefings in bioinformatics, 17, 1, pp. 2-12, (2016); Li Shuya, Wan Fangping, Shu Hantao, Jiang Tao, Zhao Dan, Zeng Jianyang, Monn: a multi-objective neural network for predicting compound-protein interactions and affinities, Cell Systems, 10, 4, pp. 308-322, (2020); Moriwaki Hirotomo, Tian Yu-Shi, Kawashita Norihito, Takagi Tatsuya, Mordred: a molecular descriptor calculator, Journal of cheminformatics, 10, 1, pp. 1-14, (2018); Robinson Ralph P, Bartlett Jeremy A, Bertinato Peter, Bessire Andrew J, Cosgrove Judith, Foley Patrick M, Manion Tara B, Minich Martha L, Ramos Brenda, Reese Matthew R, Et al., Discovery of microsomal triglyceride transfer protein (mtp) inhibitors with potential for decreased active metabolite load compared to dirlotapide, Bioorganic &amp; medicinal chemistry letters, 21, 14, pp. 4150-4154, (2011); Rogers David, Hahn Mathew, Extended-connectivity fingerprints, 50, 5, pp. 742-754, (2010); Sunyoto Temmy, Potet Julien, Boelaert Marleen, Why miltefosine—a life-saving drug for leishmaniasis—is unavailable to people who need it the most, BMJ Global Health, 3, 3, (2018); Trott Oleg, Olson Arthur J., Trott o, olson aj. autodock vina: improving the speed and accuracy of docking with a new scoring function, efficient optimization, and multithreading, J Comput Chem, 31, 2, pp. 455-461, (2010); Wang Renxiao, Fang Xueliang, Lu Yipin, Yang Chao-Yie, Wang Shaomeng, The pdbbind database: methodologies and updates, Journal of medicinal chemistry, 48, 12, pp. 4111-4119, (2005)</t>
  </si>
  <si>
    <t xml:space="preserve">Knowles D.A.; Mostafavi S.; Lee S.-I.</t>
  </si>
  <si>
    <t xml:space="preserve">16th Machine Learning in Computational Biology Meeting, MLCB 2021</t>
  </si>
  <si>
    <t xml:space="preserve">22 November 2021 through 23 November 2021</t>
  </si>
  <si>
    <t xml:space="preserve">Proc. Mach. Learn. Res.</t>
  </si>
  <si>
    <t xml:space="preserve">2-s2.0-85164027341</t>
  </si>
  <si>
    <t xml:space="preserve">Sanchez-Patino N.; Toriz-Vazquez A.; Hevia-Montiel N.; Perez-Gonzalez J.</t>
  </si>
  <si>
    <t xml:space="preserve">Sanchez-Patino, N. (57405066100); Toriz-Vazquez, A. (57405066200); Hevia-Montiel, N. (56000866700); Perez-Gonzalez, J. (56198041400)</t>
  </si>
  <si>
    <t xml:space="preserve">57405066100; 57405066200; 56000866700; 56198041400</t>
  </si>
  <si>
    <t xml:space="preserve">Convolutional Neural Networks for Chagas' Parasite Detection in Histopathological Images</t>
  </si>
  <si>
    <t xml:space="preserve">Chagas disease is a widely spreaded illness caused by the parasite Trypanosoma cruzi (T. cruzi). Most cases go unnoticed until the accumulated myocardial damage affect the patient. The endomyocardium biopsy is a tool to evaluate sustained myocardial damage, but analyzing histopathological images takes a lot of time and its prone to human error, given its subjective nature. The following work presents a deep learning method to detect T. cruzi amastigotes on histopathological images taken from a endomyocardium biopsy during an experimental murine model. A U-Net convolutional neural network architecture was implemented and trained from the ground up. An accuracy of 99.19% and Jaccard index of 49.43% were achieved. The obtained results suggest that the proposed approach can be useful for amastigotes detection in histopathological images.Clinical relevance - The proposed method can be incorporated as automatic detection tool of amastigotes nests, it can be useful for the Chagas disease analysis and diagnosis. © 2021 IEEE.</t>
  </si>
  <si>
    <t xml:space="preserve">10.1109/EMBC46164.2021.9629563</t>
  </si>
  <si>
    <t xml:space="preserve">https://www.scopus.com/inward/record.uri?eid=2-s2.0-85122530870&amp;doi=10.1109%2fEMBC46164.2021.9629563&amp;partnerID=40&amp;md5=b1cd578e6a691ef2640d30c1a75606e8</t>
  </si>
  <si>
    <t xml:space="preserve">Centro de Fisica Aplicada y Tecnologia Avanzada, Universidad Nacional, Autonoma de Mexico 3001, Qro., Juriquilla, 76230, Mexico; Faculty of Engineering, Universidad del Valle de Mexico, Naranjos Punta Juriquilla 1000 Santa Rosa Jauregui, Santiago de Queretaro, 76230, Mexico; Instituto de Investigaciones en Matematicas Aplicadas y en Sistemas, Universidad Nacional Autonoma de Mexico, Km 5.5 Carretera Sierra Papacal - Chuburna, Merida Yucatan, 97302, Mexico</t>
  </si>
  <si>
    <t xml:space="preserve">Sanchez-Patino N., Centro de Fisica Aplicada y Tecnologia Avanzada, Universidad Nacional, Autonoma de Mexico 3001, Qro., Juriquilla, 76230, Mexico; Toriz-Vazquez A., Faculty of Engineering, Universidad del Valle de Mexico, Naranjos Punta Juriquilla 1000 Santa Rosa Jauregui, Santiago de Queretaro, 76230, Mexico; Hevia-Montiel N., Instituto de Investigaciones en Matematicas Aplicadas y en Sistemas, Universidad Nacional Autonoma de Mexico, Km 5.5 Carretera Sierra Papacal - Chuburna, Merida Yucatan, 97302, Mexico; Perez-Gonzalez J., Instituto de Investigaciones en Matematicas Aplicadas y en Sistemas, Universidad Nacional Autonoma de Mexico, Km 5.5 Carretera Sierra Papacal - Chuburna, Merida Yucatan, 97302, Mexico</t>
  </si>
  <si>
    <t xml:space="preserve">Animals; Chagas Disease; Humans; Mice; Myocardium; Neural Networks, Computer; Parasites; Trypanosoma cruzi; Convolution; Convolutional neural networks; Deep learning; Network architecture; Chagas disease; Convolutional neural network; Histopathological images; Human errors; Jaccard index; Learning methods; Murine model; Neural network architecture; Parasite-; Trypanosoma cruzi; animal; cardiac muscle; Chagas disease; human; mouse; parasite; Trypanosoma cruzi; Biopsy</t>
  </si>
  <si>
    <t xml:space="preserve">Consejo Nacional de Ciencia y Tecnología, CONACYT, (PDCPN-2015-102)</t>
  </si>
  <si>
    <t xml:space="preserve">This work was supported by UNAM-PAPIIT programs: IT100220, IA102920 and CONACYT PDCPN-2015-102.</t>
  </si>
  <si>
    <t xml:space="preserve">Maria Salazar Schettino P., Et al., Enfermedad de chagas en méxico, Revista de la Facultad de Medicina de la, 59, 3, pp. 6-16, (2016); Arnal A., Et al., Estimating the current burden of chagas disease in Mexico: A systematic review and meta-analysis of epidemiological surveys from 2006 to 2017, PLoS Neglected Tropical Diseases, 13, 4, (2019); Claudia Freitas Lidani K., Et al., Chagas disease: From discovery to a worldwide health problem, Journal of Physical Oceanography, 49, 6, (2019); Fuentes-Vicente De J.A., Et al., Trypanosoma cruzi: A review of biological and methodological factors in mexican strains, Acta Tropica, 195, pp. 51-57, (2019); MacEdo A.M., Et al., Trypanosoma cruzi: Genetic structure of populations and relevance of genetic variability to the pathogenesis of chagas disease, Memorias Do Instituto Oswaldo Cruz, 99, 1, pp. 1-12, (2004); De Salud S., Prevención y Control de la Enfermedad de Chagas, (2014); Carmo Pereira Nunes M., Et al., Chagas Cardiomyopathy: An Update of Current Clinical Knowledge and Management: A Scientific Statement from the American Heart Association, (2018); Jimenez-Del-Toro O., Et al., Analysis of histopathology images: From traditional machine learning to deep learning, Biomedical Texture Analysis: Fundamentals, Tools and Challenges, pp. 281-314, (2017); Uc Cetina V., Brito Loeza C., Ruiz Pina H., Chagas parasites detection through Gaussian discriminant analysis, Abstraction &amp; Application, 8, pp. 6-17, (2013); Mehanian C., Et al., Computer-automated malaria diagnosis and quantitation using convolutional neural networks, Proceedings-2017 IEEE International Conference on Computer Vision Workshops, Iccvw 2017 2018-Janua, pp. 116-125, (2017); Gorriz M., Et al., Leishmaniasis parasite segmentation and classification using deep learning, Lecture Notes in Computer Science (Including Subseries Lecture Notes in Artificial Intelligence and Lecture Notes in Bioinformatics) 10945 Lncs, pp. 53-62, (2018); Ojeda-Pat A., Martin-Gonzalez A., Soberanis-Mukul R., Convolutional neural network unet for trypanosoma cruzi segmentation, Communications in Computer and Information Science 1187 Ccis, pp. 118-131, (2020); Shorten C., Khoshgoftaar T.M., A survey on image data augmentation for deep learning, Journal of Big Data, 6, 1, (2019); Ronneberger O., Fischer P., Brox T., U-net: Convolutional networks for biomedical image segmentation, Lecture Notes in Computer Science (Including Subseries Lecture Notes in Artificial Intelligence and Lecture Notes in Bioinformatics, 9351, pp. 234-241, (2015); Siddique N., Et al., U-Net and Its Variants for Medical Image Segmentation: Theory and Applications, (2020); Reinhard E., Et al., Color transfer between images, IEEE Computer Graphics and Applications, 21, 5, pp. 34-41, (2001); Tellez D., Et al., Quantifying the effects of data augmentation and stain color normalization in convolutional neural networks for computational pathology, Medical Image Analysis, 58, (2019)</t>
  </si>
  <si>
    <t xml:space="preserve">2-s2.0-85122530870</t>
  </si>
  <si>
    <t xml:space="preserve">Efaz E.T.; Alam F.; Kamal M.S.</t>
  </si>
  <si>
    <t xml:space="preserve">Efaz, Erteza Tawsif (57216692076); Alam, Fakhrul (57221528695); Kamal, Md. Shah (57221116096)</t>
  </si>
  <si>
    <t xml:space="preserve">57216692076; 57221528695; 57221116096</t>
  </si>
  <si>
    <t xml:space="preserve">Deep cnn-supported ensemble cadx architecture to diagnose malaria by medical image</t>
  </si>
  <si>
    <t xml:space="preserve">Identifying patients, infected with the virulent disease, malaria requires a reliable and quick diagnosis of blood cells. This paper presents a computer-aided diagnosing (CADx) method supported by a deep convolutional neural network (CNN) for assisting clinicians to detect malaria by medical image. We employed the VGG-19 and ResNet-50 architectures to create several models for two types of study (parasitized and uninfected erythrocytes). To enhance the model’s performance, an ensemble technique was applied, followed by which, the best model selected by performance measuring metrics. Our proposed model was qualified and examined upon a standard microscopic set of images collected from the National Institute of Health (NIH). The final result was analogized with other techniques, where the accuracy of this model was 96.7% for patient-level detection. To resolute the limitations and minimizing errors regarding automated malaria detection, the proposed model proved to be an appropriate strategy for distant regions and emergencies. © 2021, The Author(s), under exclusive license to Springer Nature Singapore Pte Ltd.</t>
  </si>
  <si>
    <t xml:space="preserve">10.1007/978-981-33-4673-4_20</t>
  </si>
  <si>
    <t xml:space="preserve">https://www.scopus.com/inward/record.uri?eid=2-s2.0-85098254913&amp;doi=10.1007%2f978-981-33-4673-4_20&amp;partnerID=40&amp;md5=c4c8dc5281c32d2762719db5d51089e6</t>
  </si>
  <si>
    <t xml:space="preserve">Department of Electrical and Electronic Engineering, Ahsanullah University of Science and Technology, Dhaka, 1208, Bangladesh; Department of Electrical, Electronic and Communication Engineering, Military Institute of Science and Technology, Dhaka, 1216, Bangladesh; Department of Electrical and Electronic Engineering, University of Dhaka, Dhaka, 1000, Bangladesh</t>
  </si>
  <si>
    <t xml:space="preserve">Efaz E.T., Department of Electrical and Electronic Engineering, Ahsanullah University of Science and Technology, Dhaka, 1208, Bangladesh; Alam F., Department of Electrical, Electronic and Communication Engineering, Military Institute of Science and Technology, Dhaka, 1216, Bangladesh; Kamal M.S., Department of Electrical and Electronic Engineering, University of Dhaka, Dhaka, 1000, Bangladesh</t>
  </si>
  <si>
    <t xml:space="preserve">Deep learning; Ensemble; Image processing; ResNet-50; VGG-19</t>
  </si>
  <si>
    <t xml:space="preserve">Blood; Computer aided diagnosis; Convolutional neural networks; Deep neural networks; Diseases; Network architecture; Best model; Blood cells; Computer aided; Ensemble techniques; Level detections; National institute of healths; Performance measuring; Medical imaging</t>
  </si>
  <si>
    <t xml:space="preserve">Ahsanullah University of Science and Technology; Department of Electrical and Electronic Engineering</t>
  </si>
  <si>
    <t xml:space="preserve">This paper would not have been possible without the exceptional support of the Assistant Professor Khandaker Lubaba Bashar from the Department of Electrical and Electronic Engineering, Ahsanullah University of Science and Technology, Dhaka, Bangladesh, because her expertise has improved the research in innumerable ways and saved us from many errors; those that inevitably remain are entirely our responsibility.</t>
  </si>
  <si>
    <t xml:space="preserve">Phillips M.A., Burrows J.N., Manyando C., van Huijsduijnen R.H., van Voorhis W.C., Wells T.N.C., Malaria, Nat. Rev. Dis. Primers, 3, (2017); Rajaraman S., Antani S.K., Poostchi M., Silamut K., Hossain M.A., Maude R.J., Jaeger S., Thoma G.R., Pre-trained convolutional neural networks as feature extractors toward improved malaria parasite detection in thin blood smear images, Peerj, (2018); World Malaria Report 2016, WHO, (2018); Malaria Hero: A Web App for Faster Malaria Diagnosis; Deep Learning and Medical Image Analysis with Keras—PyImageSearch; (2020); (2015); Hommelsheim C.M., Frantzeskakis L., Huang M., Ulker B., PCR amplification of repetitive DNA: A limitation to genome editing technologies and many other applications, Sci. Rep., 4, pp. 1-13, (2014); Kido S., Hirano Y., Hashimoto N., Detection and classification of lung abnormalities by use of convolutional neural network (CNN) and regions with CNN features (R-CNN), 2018 International Workshop on Advanced Image Technology, IWAIT 2018, pp. 1-4, (2018); Ross N.E., Pritchard C.J., Rubin D.M., Duse A.G., Automated image processing method for the diagnosis and classification of malaria on thin blood smears, Med. Biol. Eng. Comput., 44, pp. 427-436, (2006); Das D.K., Ghosh M., Pal M., Maiti A.K., Chakraborty C., Machine learning approach for automated screening of malaria parasite using light microscopic images, Micron, 45, pp. 97-106, (2013); Poostchi M., Silamut K., Maude R.J., Jaeger S., Thoma G., Image Analysis and Machine Learning for Detecting Malaria, (2018); Lecun Y., Bengio Y., Hinton G., Deep Learning, (2015); Malaria Datasets: National Library of Medicine; Rajaraman S., Jaeger S., Antani S.K., Performance evaluation of deep neural ensembles toward malaria parasite detection in thin-blood smear images, Peerj, 7, (2019); Fuhad K.M.F., Tuba J.F., Sarker M.R.A., Momen S., Mohammed N., Rahman T., Deep learning based automatic malaria parasite detection from blood smear and its smartphone based application, Diagnostics, 10, (2020); Bibin D., Nair M.S., Punitha P., Malaria parasite detection from peripheral blood smear images using deep belief networks, IEEE Access, 5, pp. 9099-9108, (2017); Devi S.S., Roy A., Singha J., Sheikh S.A., Laskar R.H., Malaria infected erythrocyte classification based on a hybrid classifier using microscopic images of thin blood smear, Multimed. Tools Appl., 77, pp. 631-660, (2018); Gopakumar G.P., Swetha M., Sai Siva G., Sai Subrahmanyam G.R.K., Convolutional neural network-based malaria diagnosis from focus stack of blood smear images acquired using custom-built slide scanner, J. Biophotonics, 11, (2018); Efaz E.T., Ava A.A., Khan M.T.A., Islam M.M., Sultana A., Parametric analysis of CdTe/CdS thin film solar cell, IJARCCE, 5, pp. 401-404, (2016); Efaz E.T., Mamun A.A., Salman K., Kabir F., Sakib S.N., Khan I., Design of an indicative featured and speed controlled obstacle avoiding robot, 2019 International Conference on Sustainable Technologies for Industry 4.0, STI 2019. Institute of Electrical and Electronics Engineers Inc, (2019); Krizhevsky A., Sutskever I., Hinton G.E., Imagenet Classification with Deep Convolutional Neural Networks; Deng J., Deng J., Dong W., Socher R., Li L., Li K., Fei-Fei L., Imagenet: A large-scale hierarchical image database, CVPR, (2009); Mondol T.C., Iqbal H., Hashem M.M.A., Deep CNN-based ensemble CADx model for musculoskeletal abnormality detection from radiographs, 2019 5Th International Conference on Advances in Electrical Engineering, ICAEE 2019, pp. 392-397, (2019); Common Architectures in Convolutional Neural Networks</t>
  </si>
  <si>
    <t xml:space="preserve">E.T. Efaz; Department of Electrical and Electronic Engineering, Ahsanullah University of Science and Technology, Dhaka, 1208, Bangladesh; email: ertezatawsif@gmail.com</t>
  </si>
  <si>
    <t xml:space="preserve">Kaiser M.S.; Bandyopadhyay A.; Mahmud M.; Ray K.</t>
  </si>
  <si>
    <t xml:space="preserve">2nd International Conference on Trends in Computational and Cognitive Engineering, TCCE 2020</t>
  </si>
  <si>
    <t xml:space="preserve">17 December 2020 through 18 December 2020</t>
  </si>
  <si>
    <t xml:space="preserve">Savar</t>
  </si>
  <si>
    <t xml:space="preserve">978-981334672-7</t>
  </si>
  <si>
    <t xml:space="preserve">2-s2.0-85098254913</t>
  </si>
  <si>
    <t xml:space="preserve">Nugroho H.A.; Nurfauzi R.</t>
  </si>
  <si>
    <t xml:space="preserve">Nugroho, Hanung Adi (57210591699); Nurfauzi, Rizki (57195617597)</t>
  </si>
  <si>
    <t xml:space="preserve">57210591699; 57195617597</t>
  </si>
  <si>
    <t xml:space="preserve">Deep Learning Approach for Malaria Parasite Detection in Thick Blood Smear Images</t>
  </si>
  <si>
    <t xml:space="preserve">Malaria is caused by a bite of female anopheles mosquitos transmitting the parasite Plasmodium into human bodies. Malaria is a common disease in tropical and subtropical regions and is also a severe public health problem due to its risk. Early diagnosis is required to avoid the hazard of death from malaria. Microscopic analysis of blood smears remains a standard method for malaria analysis. However, manual microscopic observation is laborious, and the results have a heavy dependence on the examiner's skill. To alleviate this problem, this study proposed a deep learning method for detecting malaria automatically malaria parasite on thick blood smear microscopic images. The proposed approach achieved the fastest examination at 0.25 sec/image or more than 20 times faster compared to that of previous with mAP, sensitivity, and a precision score of 72, 78.4, and 83.2 %, respectively. These performances indicated that the proposed approach can be a promising alternative to CAD systems for fast parasite detection. ©2021 IEEE</t>
  </si>
  <si>
    <t xml:space="preserve">17th International Conference on Quality in Research, QIR 2021: International Symposium on Electrical and Computer Engineering</t>
  </si>
  <si>
    <t xml:space="preserve">10.1109/QIR54354.2021.9716198</t>
  </si>
  <si>
    <t xml:space="preserve">https://www.scopus.com/inward/record.uri?eid=2-s2.0-85127001821&amp;doi=10.1109%2fQIR54354.2021.9716198&amp;partnerID=40&amp;md5=4a1ecbcf73ed091727fb8ce8d0be6f17</t>
  </si>
  <si>
    <t xml:space="preserve">Department of Electrical and Information Engineering, Faculty of Engineering, Universitas Gadjah Mada, Yogyakarta, Indonesia</t>
  </si>
  <si>
    <t xml:space="preserve">Nugroho H.A., Department of Electrical and Information Engineering, Faculty of Engineering, Universitas Gadjah Mada, Yogyakarta, Indonesia; Nurfauzi R., Department of Electrical and Information Engineering, Faculty of Engineering, Universitas Gadjah Mada, Yogyakarta, Indonesia</t>
  </si>
  <si>
    <t xml:space="preserve">deep learning; detection; faster-RCNN; malaria parasite; microscopic image; thick</t>
  </si>
  <si>
    <t xml:space="preserve">Blood; Deep learning; Diagnosis; Health risks; Tropics; Anopheles mosquitoes; Blood smears; Deep learning; Detection; Fast-RCNN; Learning approach; Malaria parasite; Microscopic image; Thick; Diseases</t>
  </si>
  <si>
    <t xml:space="preserve">National Research and Innovation Agency Republic of Indonesia</t>
  </si>
  <si>
    <t xml:space="preserve">ACKNOWLEDGMENT This research work is supported by The Deputy of Research and Development, National Research and Innovation Agency Republic of Indonesia through the Research Grant of “Penelitian Dasar Unggulan Perguruan Tinggi”.</t>
  </si>
  <si>
    <t xml:space="preserve">world malaria report 2019, (2019); White N.J., Ho M., The pathophysiology of malaria, Adv. Parasitol., 31, pp. 83-173, (1992); Kwiatkowski D., Et al., TNF concentration in fatal cerebral, nonfatal cerebral, and uncomplicated Plasmodium falciparum malaria, Lancet, 336, 8725, pp. 1201-1204, (1990); O'Meara W.P., Et al., Reader technique as a source of variability in determining malaria parasite density by microscopy, Malar. J., 5, 1, (2006); Malaria Microscopy Quality Assurance Manual - Version 2, (2016); Petti C.A., Polage C.R., Quinn T.C., Ronald A.R., Sande M.A., Laboratory medicine in Africa: a barrier to effective health care, Clin. Infect. Dis. an Off. Publ. Infect. Dis. Soc. Am., 42, 3, pp. 377-382, (2006); Rosado L., da Costa J.M.C., Elias D., Cardoso J.S., Automated Detection of Malaria Parasites on Thick Blood Smears via Mobile Devices, Procedia Comput. Sci., 90, pp. 138-144, (2016); Tek F.B., Dempster A.G., Kale I., Parasite detection and identification for automated thin blood film malaria diagnosis, Comput. Vis. Image Underst., 114, 1, pp. 21-32, (2010); Devi S.S., Laskar R.H., Sheikh S.A., Hybrid classifier based life cycle stages analysis for malaria-infected erythrocyte using thin blood smear images, Neural Comput. Appl., 29, 8, pp. 217-235, (2018); Devi S.S., Herojit Singh N., Hussain Laskar R., Performance Analysis of Various Feature Sets for Malaria-Infected Erythrocyte Detection, Adv. Intell. Syst. Comput., 1057, pp. 275-283, (2020); Loddo A., Di Ruberto C., Kocher M., Recent Advances of Malaria Parasites Detection Systems Based on Mathematical Morphology, Sensors (Basel), 18, 2, (2018); Park H.S., Rinehart M.T., Walzer K.A., Chi J.-T.A., Wax A., Automated Detection of P. falciparum Using Machine Learning Algorithms with Quantitative Phase Images of Unstained Cells, PLoS One, 11, 9, (2016); Das D.K., Ghosh M., Pal M., Maiti A.K., Chakraborty C., Machine learning approach for automated screening of malaria parasite using light microscopic images, Micron, 45, pp. 97-106, (2013); Purwar Y., Shah S.L., Clarke G., Almugairi A., Muehlenbachs A., Automated and unsupervised detection of malarial parasites in microscopic images, Malar. J., 10, 1, (2011); Abdul Nasir A.S., Mashor M.Y., Mohamed Z., Segmentation based approach for detection of malaria parasites using moving k-means clustering, 2012 IEEE-EMBS Conference on Biomedical Engineering and Sciences, pp. 653-658, (2012); Bibin D., Nair M.S., Punitha P., Malaria Parasite Detection From Peripheral Blood Smear Images Using Deep Belief Networks, IEEE Access, 5, pp. 9099-9108, (2017); Rajaraman S., Et al., Pre-trained convolutional neural networks as feature extractors toward improved malaria parasite detection in thin blood smear images, PeerJ, 6, (2018); Dong Y., Et al., Evaluations of deep convolutional neural networks for automatic identification of malaria infected cells, 2017 IEEE EMBS International Conference on Biomedical Health Informatics (BHI), pp. 101-104, (2017); Vijayalakshmi A., Deep learning approach to detect malaria from microscopic images, Multimed. Tools Appl., 79, 21, pp. 15297-15317, (2020); Gopakumar G.P., Swetha M., Sai Siva G., Sai Subrahmanyam G.R.K., Convolutional neural network-based malaria diagnosis from focus stack of blood smear images acquired using custom-built slide scanner, J. Biophotonics, 11, 3, (2018); Torres K., Et al., Automated microscopy for routine malaria diagnosis: a field comparison on Giemsa-stained blood films in Peru, Malar. J., 17, 1, (2018); Yang F., Et al., Deep Learning for Smartphone-Based Malaria Parasite Detection in Thick Blood Smears, IEEE J. Biomed. Heal. Informatics, 24, 5, pp. 1427-1438, (2020); Quinn J.A., Andama A., Munabi I., Kiwanuka F.N., Automated Blood Smear Analysis for Mobile Malaria Diagnosis, Mob. Point-of-Care Monit. Diagnostic Device Des., 31, pp. 115-132, (2014); Liang Z., Et al., CNN-based image analysis for malaria diagnosis, 2016 IEEE International Conference on Bioinformatics and Biomedicine (BIBM), pp. 493-496, (2016); Rahman A., Et al., Improving Malaria Parasite Detection from Red Blood Cell using Deep Convolutional Neural Networks, (2019); Liu M., Jiang J., Wang Z., Colonic Polyp Detection in Endoscopic Videos With Single Shot Detection Based Deep Convolutional Neural Network, IEEE Access, 7, pp. 75058-75066, (2019); Unver H.M., Ayan E., Skin Lesion Segmentation in Dermoscopic Images with Combination of YOLO and GrabCut Algorithm, Diagnostics (Basel, Switzerland), 9, 3, (2019); Kaldera H.N.T.K., Gunasekara S.R., Dissanayake M.B., Brain tumor Classification and Segmentation using Faster RCNN, 2019 Advances in Science and Engineering Technology International Conferences (ASET), pp. 1-6, (2019); Panicker R.O., Kalmady K.S., Rajan J., Sabu M., Automatic detection of tuberculosis bacilli from microscopic sputum smear images using deep learning methods, Biocybern. Biomed. Eng., 38, pp. 691-699, (2018); Liu W., Cheng L., Meng D., Brain slices microscopic detection using simplified SSD with cycle-GAN data augmentation, Lecture Notes in Computer Science (including subseries Lecture Notes in Artificial Intelligence and Lecture Notes in Bioinformatics), 11304 LNCS, pp. 454-463, (2018); Azif F.M., Nugroho H.A., Wibirama S., Adaptive Threshold Determination Based on Entropy in Active Contour without Edge Method for Malaria Parasite Candidate Detection, 2018 4th International Conference on Science and Technology (ICST), pp. 1-6, (2018); Quinn J., Nakasi R., Mugagga P.K.B., Byanyima P., Lubega W., Andama A., Deep Convolutional Neural Networks for Microscopy-Based Point of Care Diagnostics, (2016); Ren S., He K., Girshick R., Sun J., Faster R-CNN: Towards Real-Time Object Detection with Region Proposal Networks, IEEE Trans. Pattern Anal. Mach. Intell., 39, 6, pp. 1137-1149, (2017); Zhao Y., Han R., Rao Y., A New Feature Pyramid Network for Object Detection, 2019 International Conference on Virtual Reality and Intelligent Systems (ICVRIS), pp. 428-431, (2019); Chibuta S., Acar A.C., Real-time Malaria Parasite Screening in Thick Blood Smears for Low-Resource Setting, J. Digit. Imaging, 33, 3, pp. 763-775, (2020); Abdurahman F., Fante K.A., Aliy M., Malaria parasite detection in thick blood smear microscopic images using modified YOLOV3 and YOLOV4 models, BMC Bioinformatics, 22, 1, (2021)</t>
  </si>
  <si>
    <t xml:space="preserve">H.A. Nugroho; Department of Electrical and Information Engineering, Faculty of Engineering, Universitas Gadjah Mada, Yogyakarta, Indonesia; email: adinugroho@ugm.ac.id</t>
  </si>
  <si>
    <t xml:space="preserve">IEEE Indonesia Section; IEEE Student Branch Universitas Indonesia</t>
  </si>
  <si>
    <t xml:space="preserve">13 October 2021 through 15 October 2021</t>
  </si>
  <si>
    <t xml:space="preserve">978-166549696-4</t>
  </si>
  <si>
    <t xml:space="preserve">Int. Conf. Qual. Res., QIR : Int. Symp. Electr. Comput. Eng.</t>
  </si>
  <si>
    <t xml:space="preserve">2-s2.0-85127001821</t>
  </si>
  <si>
    <t xml:space="preserve">Eze P.; Parampalli U.</t>
  </si>
  <si>
    <t xml:space="preserve">Eze, Peter (57338456600); Parampalli, Udaya (24470604200)</t>
  </si>
  <si>
    <t xml:space="preserve">57338456600; 24470604200</t>
  </si>
  <si>
    <t xml:space="preserve">Deep Learning Evaluation of a Steganographic Algorithm</t>
  </si>
  <si>
    <t xml:space="preserve">The embedding and transmission of secret information through multimedia such as images can be used to achieve privacy in medical and military applications. This form of covert communication is called steganography. As images are also used for training machine learning algorithms for medical diagnosis, it is important to evaluate if embedded data within images have adverse effects on the performance of medical machine learning models. This paper evaluates the effect of a previously developed steganographic algorithm called the C_{4}S algorithm on deep machine learning models for malaria diagnosis. The steganographic algorithm is used to hide patient data in malaria blood smear images. Both original and watermarked images are used to train different models using deep learning algorithms. The goal is to determine the effect of steganography on deep machine learning algorithms. The deep learning models are used to predict if a blood smear image has a malaria parasite or not. The results show that the basic Convolutional Neural Network (CNN) model trained with combined watermarked and non-watermarked images has the best prediction accuracy of 97.85%. Basic CNN trained with only non-watermarked medical images performed better on the watermarked test set with an accuracy of 97.65% as opposed to lower performance on a non-watermarked test set at 94.50%accuracy. We conclude that it is a false generalisation to assume that medical image steganography reduces the classification accuracy of machine learning algorithms. Instead, medical image steganography algorithms should be subjected to clinical trials and approved on a case-by-case basis for use in digital health applications  © 2021 APSIPA.</t>
  </si>
  <si>
    <t xml:space="preserve">2021 Asia-Pacific Signal and Information Processing Association Annual Summit and Conference, APSIPA ASC 2021 - Proceedings</t>
  </si>
  <si>
    <t xml:space="preserve">https://www.scopus.com/inward/record.uri?eid=2-s2.0-85126714092&amp;partnerID=40&amp;md5=07790976c0367b46fcb084aa28a45d79</t>
  </si>
  <si>
    <t xml:space="preserve">University of Melbourne, Australia</t>
  </si>
  <si>
    <t xml:space="preserve">Eze P., University of Melbourne, Australia; Parampalli U., University of Melbourne, Australia</t>
  </si>
  <si>
    <t xml:space="preserve">Blood; Convolutional neural networks; Diagnosis; Diseases; Hospital data processing; Learning algorithms; Medical imaging; Military applications; Blood smears; Convolutional neural network; Image steganography; Learning evaluations; Machine learning algorithms; Machine learning models; Performance; Steganographic algorithms; Test sets; Watermarked images; Deep learning</t>
  </si>
  <si>
    <t xml:space="preserve">Al-Quershi O.M., Khoo B.E., Authentication and Data Hiding using a hybrid ROI-based watermarking schemes for DICOM images, Journal of Digital Imaging, 24, 1, pp. 114-125, (2011); Eze P.U., A Robust and Reliable Tele-medical Data Security and Authentication System Using Spread Spectrum Steganography, pp. 133-160, (2020); Hedieh Sajedi H., Applications of data hiding techniques in medical and healthcare systems: A survey, Network Modeling Analysis in Health Informatics and Bioinformatics, 7, (2018); Hassan B., Ahmed R., Hassan O., An Imperceptible Medical Image Watermarking Framework for Automated Diagnosis of Retinal Pathologies in An E-Health Arrangement, 7, pp. 69758-69775, (2019); Hassan B., Ahmed R., Li B., Computer aided diagnosis of idiopathic central serous chorioretinopathy, Proceedings of 2nd IEEE Advanced Management, Communication, Automation Control (IMCEC)., pp. 824-828, (2018); Hassan B., Ahmed R., Li B., Hassan O., Hassan T., Automated retinal edema detection from fundus andoptical coherence tomography scans, Proceedings of 5th ICCAR, pp. 1-6, (2019); Eze P.U., A Robust and Reliable Tele-medical Data Security and Authentication System Using Spread Spectrum Steganography, pp. 76-88, (2020); Garcia-Hernandez J.J., Gomez-Flores W., Rubio-Loyola J., Analysis of the impact of digital watermarking oncomputer-aided diagnosis in medical imaging, Computers in Biology and Medicine, 68, pp. 37-48, (2016); Eze P.U., Parampalli U., Evans R.J., Liu D., Evaluation of the Effect of Steganography on Medical Image Classification Accuracy, Journal of Bioinformatics and Computational Biology, (2020); Fakhredanesh M., Safabakhsh R., Rahmati M., A Model-Based ImageSteganography Method Using Watsons Visual Model, ETRI Journal36, 3, pp. 479-489, (2014); Huynh-Thu Q., Ghanbari M., Scope of validity of PSNR in im-age/video quality assessment, Electronics Letters, 44, 13, pp. 800-801, (2008); Malaria Parasite Detection: Parasite Detection in Thin Blood Smear Image, (2020); Eze P.U., A Robust and Reliable Tele-medical Data Security and Authentication System Using Spread Spectrum Steganography, pp. 161-197, (2020); Eze P., Parampalli U., Evans R.J., Liu D., Spread Spectrum Steganographic Capacity Improvement for Medical Image Security in Teleradiology, Proceedings of 40th Annual International Conference of the IEEE Engineering in Medicine and Biology Society, pp. 766-769, (2018); Karen S., Zisserman A., Very Deep Convolutional Networks for Large-Scale Image Recognition, (2015); Bengio Y., Deep Learning of Representations for Unsupervised and Transfer Learning, Workshop on Unsupervised and Transfer Learning. JMLR: Workshop and Conference Proceedings, 27, pp. 17-37, (2012); Sandler M., Howard A., Zhu M., Zhmoginov A., Chen L., MobileNetV2: Inverted Residuals and Linear Bottlenecks, 2018 IEEE/CVF Conference on Computer Vision and Pattern Recognition, pp. 4510-4520, (2018); Chen Y.-P., Fan T.-Y., Chao H.-C., WMNet: A Lossless Watermarking Technique Using Deep Learning for Medical Image Authentication, Electronics, 10, (2021); Eze P.U., Parampalli U., Evans R., Liu D., A New Evaluation Method for Medical Image Information Hiding Techniques, 42nd Annual International Conference of the IEEE Engineering in Medicine &amp; Biology Society (EMBC), pp. 6119-6122, (2020)</t>
  </si>
  <si>
    <t xml:space="preserve">2021 Asia-Pacific Signal and Information Processing Association Annual Summit and Conference, APSIPA ASC 2021</t>
  </si>
  <si>
    <t xml:space="preserve">14 December 2021 through 17 December 2021</t>
  </si>
  <si>
    <t xml:space="preserve">Tokyo</t>
  </si>
  <si>
    <t xml:space="preserve">978-988147689-0</t>
  </si>
  <si>
    <t xml:space="preserve">Asia-Pacific Signal Inf. Process. Assoc. Annu. Summit Conf., APSIPA ASC - Proc.</t>
  </si>
  <si>
    <t xml:space="preserve">2-s2.0-85126714092</t>
  </si>
  <si>
    <t xml:space="preserve">Ufuktepe D.K.; Yang F.; Kassim Y.M.; Yu H.; Maude R.J.; Palaniappan K.; Jaeger S.</t>
  </si>
  <si>
    <t xml:space="preserve">Ufuktepe, Deniz Kavzak (57221255205); Yang, Feng (56408792200); Kassim, Yasmin M. (57192917205); Yu, Hang (57214397334); Maude, Richard J. (25625222500); Palaniappan, Kannappan (6701784534); Jaeger, Stefan (55516608100)</t>
  </si>
  <si>
    <t xml:space="preserve">57221255205; 56408792200; 57192917205; 57214397334; 25625222500; 6701784534; 55516608100</t>
  </si>
  <si>
    <t xml:space="preserve">Deep Learning-Based Cell Detection and Extraction in Thin Blood Smears for Malaria Diagnosis</t>
  </si>
  <si>
    <t xml:space="preserve">Malaria is a major health threat caused by Plasmod-ium parasites that infect the red blood cells. Two predominant types of Plasmodium parasites are Plasmodium vivax (P. vivax) and Plasmodium falciparum (P. falciparum). Diagnosis of malaria typically involves visual microscopy examination of blood smears for malaria parasites. This is a tedious, error-prone visual inspection task requiring microscopy expertise which is often lacking in resource-poor settings. To address these problems, attempts have been made in recent years to automate malaria diagnosis using machine learning approaches. Several challenges need to be met for a machine learning approach to be successful in malaria diagnosis. Microscopy images acquired at different sites often vary in color, contrast, and consistency caused by different smear preparation and staining methods. Moreover, touching and overlapping cells complicate the red blood cell detection process, which can lead to inaccurate blood cell counts and thus incorrect parasitemia calculations. In this work, we propose a red blood cell detection and extraction framework to enable processing and analysis of single cells for follow-up processes like counting infected cells or identifying parasite species in thin blood smears. This framework consists of two modules: a cell detection module and a cell extraction module. The cell detection module trains a modified Channel-wise Feature Pyramid Network for Medicine (CFPNet-M) deep learning network that takes the green channel of the image and the color-deconvolution processed image as inputs, and learns a truncated distance transform image of cell annotations. CFPNet-M is chosen due to its low resource requirements, while the distance transform allows achieving more accurate cell counts for dense cells. Once the cells are detected by the network, the cell extraction module is used to extract single cells from the original image and count the number of cells. Our preliminary results based on 193 patients (including 148 P. Falciparum infected patients, and 45 uninfected patients) show that our framework achieves cell count accuracy of 92.2%.  © 2021 IEEE.</t>
  </si>
  <si>
    <t xml:space="preserve">10.1109/AIPR52630.2021.9762109</t>
  </si>
  <si>
    <t xml:space="preserve">https://www.scopus.com/inward/record.uri?eid=2-s2.0-85129653208&amp;doi=10.1109%2fAIPR52630.2021.9762109&amp;partnerID=40&amp;md5=a4e27bbfc7fca47e855d38ddf0ce0f0e</t>
  </si>
  <si>
    <t xml:space="preserve">National Library of Medicine, National Institutes of Health, Bethesda, MD, United States; Mahidol University, Mahidol Oxford Tropical Medicine Research Unit, Bangkok, Thailand</t>
  </si>
  <si>
    <t xml:space="preserve">Ufuktepe D.K.; Yang F., National Library of Medicine, National Institutes of Health, Bethesda, MD, United States; Kassim Y.M., National Library of Medicine, National Institutes of Health, Bethesda, MD, United States; Yu H., National Library of Medicine, National Institutes of Health, Bethesda, MD, United States; Maude R.J., National Library of Medicine, National Institutes of Health, Bethesda, MD, United States, Mahidol University, Mahidol Oxford Tropical Medicine Research Unit, Bangkok, Thailand; Palaniappan K.; Jaeger S., National Library of Medicine, National Institutes of Health, Bethesda, MD, United States</t>
  </si>
  <si>
    <t xml:space="preserve">image analysis; machine learning; Malaria diagnosis; microscopy; Plas-modium vivax; Plasmodium falciparum; thin blood smear</t>
  </si>
  <si>
    <t xml:space="preserve">Blood; Cells; Chemical detection; Cytology; Deep learning; Diagnosis; Extraction; Health risks; Blood smears; Cell count; Cell detection; Cell extraction; Image-analysis; Malaria diagnosis; Pla-modium vivax; Plasmodium falciparum; Red blood cell; Thin blood smear; Diseases</t>
  </si>
  <si>
    <t xml:space="preserve">National Institutes of Health, NIH; U.S. National Library of Medicine, NLM; Wellcome Trust, WT</t>
  </si>
  <si>
    <t xml:space="preserve">This research was supported by the Intramural Research Program of the National Library of Medicine, National Institutes of Health. Mahidol-Oxford Tropical Medicine Research Unit is funded by the Wellcome Trust of Great Britain.</t>
  </si>
  <si>
    <t xml:space="preserve">Smith K., Kirby J., Image analysis and artificial intelligence in infectious disease diagnostics, Clinical Microbiology and Infection, (2020); Varo R., Balanza N., Mayor A., Bassat Q., Diagnosis of clinical malaria in endemic settings, Expert Review of Anti-infective Therapy, 19, 1, pp. 79-92, (2021); Lou A., Guan S., Loew M., Cfpnet-m: A light-weight encoderdecoder based network for multimodal biomedical image real-time segmentation, (2021); Ruifrok A.C., Johnston D.A., Quantification of histochemical staining by color deconvolution, Analytical and quantitative cytology and histology, 23, 4, pp. 291-299, (2001); Landini G., Martinelli G., Piccinini F., Colour deconvolution: stain unmixing in histological imaging, Bioinformatics, 37, 10, pp. 1485-1487, (2021); Poostchi M., Silamut K., Maude R.J., Jaeger S., Thoma G., Image analysis and machine learning for detecting malaria, Translational Research, 194, pp. 36-55, (2018); Rahman A., Zunair H., Reme T.R., Rahman M.S., Mahdy M.R.C., A comparative analysis of deep learning architectures on high variation malaria parasite classification dataset, Tissue and Cell, 69, (2021); Liang Z., Powell A., Ersoy I., Poostchi M., Silamut K., Palaniappan K., Guo P., Hossain M.A., Sameer A., Maude R.J., Huang J.X., Jaeger S., Thoma G., Cnn-based image analysis for malaria diagnosis, IEEE international conference on bioinformatics and biomedicine (BIBM), pp. 493-496, (2016); Rosado L., Da Costa J.M.C., Elias D., Cardoso J.S., Mobilebased analysis of malaria-infected thin blood smears: automated species and life cycle stage determination, Sensors, 17, 10, (2017); Abbas N., Saba T., Mohamad D., Rehman A., Almazyad A.S., Al-Ghamdi J.S., Machine aided malaria parasitemia detection in giemsastained thin blood smears, Neural Computing and Applications, 29, 3, pp. 803-818, (2018); Devi S.S., Laskar R.H., Sheikh S.A., Hybrid classifier based life cycle stages analysis for malaria-infected erythrocyte using thin blood smear images, Neural Computing and Applications, 29, 8, pp. 217-235, (2018); Vijayalakshmi A., Rajesh Kanna B., Deep learning approach to detect malaria from microscopic images, Multimedia Tools and Applications, 79, 21, pp. 15297-15317, (2020); Molina A., Rodellar J., Boldu L., Acevedo A., Alferez S., Merino A., Automatic identification of malaria and other red blood cell inclusions using convolutional neural networks, Computers in Biology and Medicine, 136, (2021); Sunarko B., Bottema M., Iksan N., Hudaya K.A., Hanif M.S., Red blood cell classification on thin blood smear images for malaria diagnosis, Journal of Physics: Conference Series, 1444, 1, (2020); Khatkar M., Atal D.K., Singh S., Detection and classification of malaria parasite using python software, IEEE International Conference on Intelligent Technologies (CONIT), pp. 1-7, (2021); Kassim Y.M., Palaniappan K., Yang F., Poostchi M., Palaniappan N., Maude R.J., Antani S., Jaeger S., Clustering-based dual deep learning architecture for detecting red blood cells in malaria diagnostic smears, IEEE Journal of Biomedical and Health Informatics, 25, 5, pp. 1735-1746, (2020); Yang F., Quizon N., Yu H., Silamut K., Maude R.J., Jaeger S., Antani S., Cascading yolo: automated malaria parasite detection for plasmodium vivax in thin blood smears, Medical Imaging 2020: Computer-Aided Diagnosis, vol. 11314. International Society for Optics and Photonics, (2020); Sinha S., Srivastava U., Dhiman V., Akhilan P., Mishra S., Performance assessment of deep learning procedures on malaria dataset, Journal of Robotics and Control (JRC), 2, 1, pp. 12-18, (2021); Poostchi M., Ersoy I., McMenamin K., Gordon E., Palaniappan N., Pierce S., Maude R.J., Bansal A., Srinivasan P., Miller L., Palaniappan K., Thoma G., Jaeger S., Malaria parasite detection and cell counting for human and mouse using thin blood smear microscopy, Journal of Medical Imaging, 5, 4, (2018); Sriporn K., Tsai C.-F., Tsai C.-E., Wang P., Analyzing malaria disease using effective deep learning approach, Diagnostics, 10, 10, (2020); Horning M.P., Delahunt C.B., Bachman C.M., Luchavez J., Luna C., Hu L., Jaiswal M.S., Thompson C.M., Kulhare S., Janko S., Wilson B.K., Ostbye T., Mehanian M., Gebrehiwot R., Yun G., Bell D., Proux S., Carter J.Y., Oyibo W., Gamboa D., Dhorda M., Vongpromek R., Chiodini P.L., Ogutu B., Long E.G., Tun K., Burkot T.R., Lilley K., Mehanian C., Performance of a fully-automated system on a who malaria microscopy evaluation slide set, Malaria journal, 20, 1, pp. 1-11, (2021); Yang Z., Benhabiles H., Hammoudi K., Windal F., He R., Collard D., A generalized deep learning-based framework for assistance to the human malaria diagnosis from microscopic images, Neural Computing and Applications, pp. 1-16, (2021); Yang F., Yu H., Silamut K., Maude R.J., Jaeger S., Antani S., Smartphone-supported malaria diagnosis based on deep learning, International workshop on machine learning in medical imaging, pp. 73-80, (2019); Yu H., Yang F., Rajaraman S., Ersoy I., Moallem G., Poostchi M., Palaniappan K., Antani S., Maude R.J., Jaeger S., Malaria screener: a smartphone application for automated malaria screening, BMC Infectious Diseases, 20, 1, pp. 1-8, (2020); Fuhad K., Tuba J.F., Sarker M., Ali R., Momen S., Mohammed N., Rahman T., Deep learning based automatic malaria parasite detection from blood smear and its smartphone based application, Diagnostics, 10, 5, (2020); Masud M., Alhumyani H., Alshamrani S.S., Cheikhrouhou O., Ibrahim S., Muhammad G., Hossain M.S., Shorfuzzaman M., Leveraging deep learning techniques for malaria parasite detection using mobile application, Wireless Communications and Mobile Computing, 2020, (2020); Bao R., Al-Shakarji N.M., Bunyak F., Palaniappan K., Dmnet: Dual-stream marker guided deep network for dense cell segmentation and lineage tracking, IEEE/CVF International Conference on Computer Vision, pp. 3361-3370, (2021); Hamad A., Ersoy I., Bunyak F., Improving nuclei classification performance in h&amp;e stained tissue images using fully convolutional regression network and convolutional neural network, IEEE Applied Imagery Pattern Recognition Workshop (AIPR), pp. 1-6, (2018); Ma J., Wei Z., Zhang Y., Wang Y., Lv R., Zhu C., Gaoxiang C., Liu J., Peng C., Wang L., Wang Y., Chen J., How distance transform maps boost segmentation cnns: an empirical study, Medical Imaging with Deep Learning. PMLR, pp. 479-492, (2020); Nguyen N.P., Ersoy I., Gotberg J., Bunyak F., White T.A., DRPnet: automated particle picking in cryo-electron micrographs using deep regression, BMC Bioinformatics, 22, 1, pp. 1-28, (2021); Otsu N., A threshold selection method from gray-level histograms, IEEE transactions on systems, man, and cybernetics, 9, 1, pp. 62-66, (1979); Ronneberger O., Fischer P., Brox T., U-net: Convolutional networks for biomedical image segmentation, International Conference on Medical image computing and computer-assisted intervention, pp. 234-241, (2015); Soille P., Morphological image analysis: principles and applications, (2013); Dice L.R., Measures of the amount of ecologic association between species, Ecology, 26, 3, pp. 297-302, (1945)</t>
  </si>
  <si>
    <t xml:space="preserve">D.K. Ufuktepe; University of Missouri, Department of Computer Science, Columbia, United States; email: deniz.kavzakufuktepe@mail.missouri.edu; K. Palaniappan; University of Missouri, Department of Computer Science, Columbia, United States; email: pal@missouri.edu</t>
  </si>
  <si>
    <t xml:space="preserve">2-s2.0-85129653208</t>
  </si>
  <si>
    <t xml:space="preserve">Shukla A.; Goyal V.</t>
  </si>
  <si>
    <t xml:space="preserve">Shukla, Aasheesh (35767086300); Goyal, Vishal (57196964308)</t>
  </si>
  <si>
    <t xml:space="preserve">35767086300; 57196964308</t>
  </si>
  <si>
    <t xml:space="preserve">Deep Learning-Based Severe Dengue Prognosis Using Human Genome Data with Novel Feature Selection Method</t>
  </si>
  <si>
    <t xml:space="preserve">In recent years, patients affected by dengue fever are getting increased. Outbreaks of dengue fever can be prevented by taking measures in the initial stages. In countries with high disease incidence, it requires early diagnosis of dengue. In order to develop a model for predicting, outbreak mechanism should be clarified and appropriate precautions must be taken. Increase in temperature, sea surface temperature, rapid urbanization and increase of rainfall due to global warming is the interplay factors which influences the outbreaks. Human travel and displacement due to increase in urbanization and temperature, causes dengue virus-infected mosquitoes to be spread. High accurate classification can be achieved by deep learning methods. It is a versatile and regressive method. Small amount of tuning is required by this and highly interpretable outputs are produced. Healthy subjects and dengue patients are differentiated by the factors determined by this and they are used to visualize them also. These factors increase the stability and accuracy of the boosting process in construction of dengue disease survivability prediction model. Problems in overfitting can also be reduced. Applications like decision support systems in healthcare, tailored health communication and risk management are incorporated with the proposed method. © 2021, Springer Nature Singapore Pte Ltd.</t>
  </si>
  <si>
    <t xml:space="preserve">10.1007/978-981-15-4409-5_43</t>
  </si>
  <si>
    <t xml:space="preserve">https://www.scopus.com/inward/record.uri?eid=2-s2.0-85096467069&amp;doi=10.1007%2f978-981-15-4409-5_43&amp;partnerID=40&amp;md5=378632aff189517a985f428f4f21b29d</t>
  </si>
  <si>
    <t xml:space="preserve">Department of Electronics &amp; Communication Engineering, GLA University, Mathura, 281406, India</t>
  </si>
  <si>
    <t xml:space="preserve">Shukla A., Department of Electronics &amp; Communication Engineering, GLA University, Mathura, 281406, India; Goyal V., Department of Electronics &amp; Communication Engineering, GLA University, Mathura, 281406, India</t>
  </si>
  <si>
    <t xml:space="preserve">Data mining; Deep learning; Dengue virus; Feature selection; Machine learning; Particle swarm optimization</t>
  </si>
  <si>
    <t xml:space="preserve">Decision support systems; Diagnosis; Genes; Global warming; Health risks; Learning systems; Oceanography; Predictive analytics; Risk management; Surface waters; Disease incidence; Feature selection methods; Health communication; Healthy subjects; Learning methods; Prediction model; Rapid urbanizations; Sea surface temperature (SST); Deep learning</t>
  </si>
  <si>
    <t xml:space="preserve">Carvalho, Et al., Host genetics and dengue fever, Infect. Gen. Evol, (2017); Nandini V., Sriranjitha R., Yazhini T.P., Dengue detection and prediction system using data mining with frequency analysis, Comput. Sci. Inf. Technol, (2016); Siriyasatien P., Phumee A., Ongruk P., Jampachaisri K., Kesorn K., Analysis of significant factors for dengue fever incidence prediction, BMC Bioinf, (2016); Chan T.C., Hu T.H., Hwang J.S., Daily forecast of dengue fever incidents for urban villages in a city, Int. J. Health Geograph., (2015); Kameswara Rao N.K., Saradhivarma G.P., Nagabhushana Rao M., Classification rules using decision tree for dengue disease, Int. J. Res. Comput. Commun. Technol., 3, 3, (2014); Gomes A.L.V., Wee L.J.K., Khan A.M., Et al., Classification of dengue fever patients based on gene expression data using support vector machines, Plos One, 5, 6, (2010); Guo P., Liu T., Zhang Q., Et al., Developing a dengue forecast model using machine learning: A case study in China, Plos Neglect. Trop. Dis., 11, 10, (2017); Carvajal T.M., Viacrusis K.M., Hernandez L.F.T., Ho H.T., Amalin D.M., Watanabe K., Machine learning methods reveal the temporal pattern of dengue incidence using meteorological factors in Metropolitan Manila, Philippines, BMC Infect. Dis., 18, 1, (2018); Shameemfathima A., Manimeglai D., Analysis of significant factors for dengue infection prognosis using the random forest classifier, Int. J. Adv. Comput. Sci. Appl. (IJACSA), 6, 2, (2015); Khan M.I.H., Et al., Factors predicting severe dengue in patients with dengue fever, Mediterr. J. Hematol. Infect. Dis., 5, 1, (2013); Potts J.A., Et al., Prediction of dengue disease severity among pediatric Thai patients using early clinical laboratory indicators, Plos Negl. Trop. Dis., 4, 8, (2010); Caicedotorres W., Paternina A., Pinzon H., Machine learning models for early dengue severity prediction, IBERAMIA 2016. LNCS (LNAI), 10022, pp. 247-258; Lee V.J., Et al., Simple clinical and laboratory predictors of chikungunya versus dengue infections in adults, Plos Negl. Trop. Dis., 6, 9, (2012); Laoprasopwattana K., Kaewjungwad L., Jarumanokul R., Geater A., Differential diagnosis of chikungunya, dengue viral infection and other acute febrile illnesses in children, Pediatr. Infect. Disease J., 31, 5, (2012); Paterninacaicedo A., Et al., Features of dengue and chikungunya infections of Colombian children under 24 months of age admitted to the emergency department, J. Trop. Pediatr., (2017); Keogh M., Curse of dimensionality, Encyclopedia of Machine Learning, pp. 257-258, (2011); Andersson V.O., Birck M.A.F., Araujo R.M., Towards predicting dengue fever rates using convolutional neural networks and streetlevel images, International Joint Conference on Neural Networks (IJCNN) (IEEE, 20, pp. 1-8, (2018); Lecun Y., Bengio Y., Hinton G., Deep learning, Nature, 521, 7553, pp. 436-444, (2015); Wijnhoven R.G.J., de With P.H.N., Fast training of object detection using stochastic gradient descent, Proceedings of International Conference on Pattern Recognition (ICPR), pp. 424-427, (2010)</t>
  </si>
  <si>
    <t xml:space="preserve">A. Shukla; Department of Electronics &amp; Communication Engineering, GLA University, Mathura, 281406, India; email: aasheesh.shukla@gla.ac.in</t>
  </si>
  <si>
    <t xml:space="preserve">Bhatia S.K.; Tiwari S.; Ruidan S.; Trivedi M.C.; Mishra K.K.</t>
  </si>
  <si>
    <t xml:space="preserve">International Conference on Computer, Communication and Computational Sciences, IC4S 2019</t>
  </si>
  <si>
    <t xml:space="preserve">11 October 2019 through 12 October 2019</t>
  </si>
  <si>
    <t xml:space="preserve">Bangkok</t>
  </si>
  <si>
    <t xml:space="preserve">978-981154408-8</t>
  </si>
  <si>
    <t xml:space="preserve">2-s2.0-85096467069</t>
  </si>
  <si>
    <t xml:space="preserve">Kumar R.; Gupta A.; Mishra A.</t>
  </si>
  <si>
    <t xml:space="preserve">Kumar, Raghavendra (57223428793); Gupta, Akhil (57218597623); Mishra, Ashish (57214672331)</t>
  </si>
  <si>
    <t xml:space="preserve">57223428793; 57218597623; 57214672331</t>
  </si>
  <si>
    <t xml:space="preserve">Design of Ensemble Learning Model to Diagnose Malaria Disease Using Convolutional Neural Network</t>
  </si>
  <si>
    <t xml:space="preserve">Malaria is one of the most fatal infectious diseases caused by the Plasmodium parasite. It often goes undiagnosed due to human error. Machine learning and many other computational algorithms of soft computing can be used as a novelty approach which can be effectively applied on diagnosing malaria. In this paper, a novel deep neural network model is identified as optical microscopy. An ensemble model emerged the concept of convolutional neural network as LeNet, AlexNet and ResNet to obtain the accurate result. The accuracy of input modified ResNet comes 90.50% after training for four epochs; accuracy of modified AlexNet with input size of 64 * 64 * 3 is 93.50% with just three epochs, and finally, we applied modified LeNet which gives accuracy of 95.50% with 10 epochs from UCI dataset. The obtained result shows that deep neural network models have potential effect in healthcare domain especially in malaria diagnosis. © 2021, Springer Nature Singapore Pte Ltd.</t>
  </si>
  <si>
    <t xml:space="preserve">10.1007/978-981-15-5113-0_98</t>
  </si>
  <si>
    <t xml:space="preserve">https://www.scopus.com/inward/record.uri?eid=2-s2.0-85089722189&amp;doi=10.1007%2f978-981-15-5113-0_98&amp;partnerID=40&amp;md5=737446bcbe0d06f9f0fffb77c7df6857</t>
  </si>
  <si>
    <t xml:space="preserve">Department of Information Technology, KIET Group of Institutions, Ghaziabad, India</t>
  </si>
  <si>
    <t xml:space="preserve">Kumar R., Department of Information Technology, KIET Group of Institutions, Ghaziabad, India; Gupta A., Department of Information Technology, KIET Group of Institutions, Ghaziabad, India; Mishra A., Department of Information Technology, KIET Group of Institutions, Ghaziabad, India</t>
  </si>
  <si>
    <t xml:space="preserve">AlexNet; CNN; Ensemble learning; LeNet; ResNet</t>
  </si>
  <si>
    <t xml:space="preserve">Convolution; Deep learning; Deep neural networks; Diagnosis; Diseases; Learning systems; Soft computing; Computational algorithm; Ensemble modeling; Healthcare domains; Infectious disease; Malaria diagnosis; Neural network model; Plasmodium parasites; Potential effects; Convolutional neural networks</t>
  </si>
  <si>
    <t xml:space="preserve">World Malaria Report, (2015); May Z., Aziz S.S.A.M., Automated quantification and classification of malaria parasites in thin blood smears, IEEE International Conference on Signal and Image Processing Application, pp. 369-373, (2013); Chavan S.N., Sutkar A.M., Malaria disease identification and analysis using image processing, Int. J. Comput. Tech. (IJCAT), 1, 6, (2014); Ross N.E., Pritchard C.J., Rubin D.M., Duse A.G., Automated image processing method for the diagnosis and classification of malaria on thin blood smears, Med. Biol. Eng. Comput, 44, 5, pp. 427-436, (2006); Tek F.B., Dempster A.G., Kale I., Parasite detection and identification for automated thin blood film malaria diagnosis, Comput. Vision Image Understanding, 114, 1, pp. 21-32, (2010); Tek F.B., Dempster A.G., Kale I., Malaria parasite detection in peripheral blood images, BMVA, (2006); Anggraini D., Nugroho A.S., Pratama C., Rozi I.E., Iskandar A.A., Hartono R.N., Automated status identification of microscopic images obtained from malaria thin blood smears, Proceedings of the 2011 International Conference on Electrical Engineering and Informatics, IEEE, pp. 1-6, (2011); Basic Malaria Microscopy: Tutor’s guide, (2010); Rosado L., Da Costa J.M.C., Elias D., Cardoso J.S., Automated detection of malaria parasites on thick blood smears via mobile devices, Proc. Comput. Sci, 90, pp. 138-144, (2016); Liang Z., Powell A., Ersoy I., Poostchi M., Silamut K., Palaniappan K., Et al., CNN-based image analysis for malaria diagnosis, 2016 IEEE International Conference on Bioinformatics and Biomedicine (BIBM). IEEE, pp. 493-496, (2016); Razzak M.I., Malarial parasite classification using recurrent neural network, Int. J. Image Process, 9, (2015); Diaz G., Gonzalez F.A., Romero E., A semi-automatic method for quantification and classification of erythrocytes infected with malaria parasites in microscopic images, J. Biomed. Inform, 42, 2, pp. 296-307, (2009); Bibin D., Nair M.S., Punitha P., Malaria parasite detection from peripheral blood smear images using deep belief networks, IEEE Access, 5, pp. 9099-9108, (2017); Raghavendra K., Ashish M., Himanshu R., Empirical analysis of cardiovascular diseases using machine learning and soft computing techniques, Int. J. Eng. Adv. Tech. (IJEAT), 1, (2019); Ashish M., Raghavendra K., Himanshu R., Feature selection in cardiovascular diseases parameters using machine learning and Boruta algorithm, International Conference on Artificial Intelligence and Speech Technology(AIST 2019); Krizhevsky A., Sutskever I., Hinton G.E., Imagenet classification with deep convolutional neural networks, Advances in neural information processing systems, pp. 1097-1105, (2012); He K., Zhang X., Ren S., Sun J., Deep residual learning for image recognition, Proceedings of the IEEE Conference on Computer Vision and Pattern Recognition, pp. 770-778, (2016); Zadeh M.R., Amin S., Khalili D., Singh V.P., Daily outflow prediction by multi layer perceptron with logistic sigmoid and tangent sigmoid activation functions, Water Resources Management, 24, 11, pp. 2673-2688, (2010); LeCun Y., Bottou L., Bengio Y., Haffner P., Gradient-based learning applied to document recognition, Proc. IEEE, 86, 11, pp. 2278-2324, (1998)</t>
  </si>
  <si>
    <t xml:space="preserve">R. Kumar; Department of Information Technology, KIET Group of Institutions, Ghaziabad, India; email: raghavendra.dwivedi@gmail.com</t>
  </si>
  <si>
    <t xml:space="preserve">Gupta D.; Khanna A.; Bhattacharyya S.; Hassanien A.E.; Anand S.; Jaiswal A.</t>
  </si>
  <si>
    <t xml:space="preserve">3rd International Conference on Innovative Computing and Communication, ICICC 2020</t>
  </si>
  <si>
    <t xml:space="preserve">21 February 2020 through 23 February 2020</t>
  </si>
  <si>
    <t xml:space="preserve">978-981155112-3</t>
  </si>
  <si>
    <t xml:space="preserve">2-s2.0-85089722189</t>
  </si>
  <si>
    <t xml:space="preserve">Abdulhay E.W.; Allow A.G.; Al-Jalouly M.E.</t>
  </si>
  <si>
    <t xml:space="preserve">Abdulhay, Enas Walid (23388143900); Allow, Ahmad Ghaith (57782344600); Al-Jalouly, Mohammad Eyad (57781028000)</t>
  </si>
  <si>
    <t xml:space="preserve">23388143900; 57782344600; 57781028000</t>
  </si>
  <si>
    <t xml:space="preserve">Detection of Sickle Cell, Megaloblastic Anemia, Thalassemia and Malaria through Convolutional Neural Network</t>
  </si>
  <si>
    <t xml:space="preserve">This paper presents an alternative method to diagnose Malaria and Anemia (Sickle Cell Anemia, Megaloblastic Anemia and Thalassemia) as well as to differentiate between them. First, different related high resolution images of blood samples are taken from multiple datasets. Second, Convolutional Neural Networks (CNN) technique is implemented and applied in order to process the images without the need of the standard protocol of Complete Blood Count (CBC) test. The implemented convolutional Neural Network has been designed using Python to train on a number of microscopic images. After completing the training phase, the built model has been tested on other images to classify them into normal blood cells, Malaria, Sickle cell anemia, Megaloblastic anemia or Thalassemia. Third, the diagnosis is made based on the outcomes. Finally, the accuracy of results is assessed. The total accuracy of the test is 93.4%. The suggested approach yields promising outcomes that help diagnose blood samples faster, with low cost as well as without the need of an analysis laboratory.  © 2021 IEEE.</t>
  </si>
  <si>
    <t xml:space="preserve">Proceedings of 2021 Global Congress on Electrical Engineering, GC-ElecEng 2021</t>
  </si>
  <si>
    <t xml:space="preserve">10.1109/GC-ElecEng52322.2021.9788131</t>
  </si>
  <si>
    <t xml:space="preserve">https://www.scopus.com/inward/record.uri?eid=2-s2.0-85133487272&amp;doi=10.1109%2fGC-ElecEng52322.2021.9788131&amp;partnerID=40&amp;md5=6e50ddc4bb8ba9de4afdb4ad7385210a</t>
  </si>
  <si>
    <t xml:space="preserve">Jordan University of Science and Technology, Biomedical Engineering Department, Irbid, Jordan</t>
  </si>
  <si>
    <t xml:space="preserve">Abdulhay E.W., Jordan University of Science and Technology, Biomedical Engineering Department, Irbid, Jordan; Allow A.G., Jordan University of Science and Technology, Biomedical Engineering Department, Irbid, Jordan; Al-Jalouly M.E., Jordan University of Science and Technology, Biomedical Engineering Department, Irbid, Jordan</t>
  </si>
  <si>
    <t xml:space="preserve">Anemia; Artificial Intelligence; Convolutional Neural Network; Machine Learning; Malaria; Neural Network</t>
  </si>
  <si>
    <t xml:space="preserve">Blood; Cells; Convolution; Diseases; Machine learning; Anemia; Blood samples; Convolutional neural network; High-resolution images; Machine-learning; Malaria; Neural-networks; Sickle cell; Sickle-cell anemia; Thalassaemia; Convolutional neural networks</t>
  </si>
  <si>
    <t xml:space="preserve">Global prevalence of anemia, (2011); White J.C., Screening programs for sickle cell disease, Social Work, 19, 3, pp. 273-278, (1974); Weatherall D.J., Clegg J.B., Inherited hemoglobin disorders: An increasing global health problem, Bulletin of the World Health Organization, 79, 8, pp. 704-712, (2001); Khanduri U., Sharma A., Megaloblastic anemia: prevalence and causative factors, Natl Med J India, 20, 4, pp. 172-175, (2007); Abdo N., Et al., The prevalence and determinants of anemia in Jordan, East. Mediterr. Heal. J, 25, 5, pp. 341-349, (2019); Kuhlman D., A Python Book: Beginning Python, Advanced Python, and Python Exercises, pp. 1-227, (2013); Python Programming Tutorials; Python Core Developers, Python Insider: Python 2. 7. 18, the last release of Python 2; Barpanda S.S., Use of Image Processing Techniques to Automatically Diagnose Sickle-Cell Anemia Present in Red Blood Cells Smear, pp. 1-44, (2013); Malek E., Sacher R.A., Megaloblastic Anemia, Pathobiology of Human Disease: A Dynamic Encyclopedia of Disease Mechanisms, pp. 1499-1505, (2014); Raje C., Rangole J., Detection of Leukemia in microscopic images using image processing, Int. Conf. Commun. Signal Process ICCSP 2014, pp. 255-259, (2014); Albawi S., Mohammed T.A., Al-Zawi S., Understanding of a convolutional neural network, Proc Int. Conf. Eng. Technol ICET, pp. 1-6, (2017); Codecademy, What is Scikit-Learn; The glob Module-Python Standard Library; Clark A., Pillow-Pillow (PIL Fork) 8. 1. 1 documentation; Mader K.S., Vivax P., (malaria) infacted human blood smears; Teng B., Zhao H., Jia P., Yuan J., Tian C., Research on Ceramic Sanitary Ware Defect Detection Method, Based on Improved VGG Network, Journal of Physics: Conference Series, (2020); De Rong L., Xin Yong W., Yapeter J., Subburaj K., Chandramohanadas R., A deep learning approach to the screening of malaria infection: Automated and rapid cell counting, object detection and instance segmentation using Mask R-CNN, Computerized Medical Imaging and Graphics, (2021); Kilicarslan S., Celik M., Sahin A., Hybrid models based on genetic algorithm and deep learning algorithms for nutritional Anemia disease classification, Biomedical Signal Processing and Control, (2021); Rizzuto V., Mencattini A., Alvarez-Gonzalez B., Et al., Combining microfluidics with machine learning algorithms for RBC classification in rare hereditary hemolytic anemia, Sci Rep, 11, (2021); Hao X., Zhang M., Zhou T., Guo X., Tomasetto F., Tong Y., Wang M., An Automatic Light Stress Grading Architecture Based on Feature Optimization and Convolutional Neural Network, Agriculture, 11, (2021); Sadafi A., Et al., Sickle Cell Disease Severity Prediction from Percoll Grad Ient Images Using Graph Convolutional Networks, Domain Adaptation and Representation Transfer, and Affordable Healthcare and AI for Resource Diverse Global Health. DART 2021, (2021)</t>
  </si>
  <si>
    <t xml:space="preserve">Mahasneh J.</t>
  </si>
  <si>
    <t xml:space="preserve">IEEE Seccion Espana; IGIC; Universitat Politecnica de Valencia</t>
  </si>
  <si>
    <t xml:space="preserve">2021 Global Congress on Electrical Engineering, GC-ElecEng 2021</t>
  </si>
  <si>
    <t xml:space="preserve">10 December 2021 through 12 December 2021</t>
  </si>
  <si>
    <t xml:space="preserve">Valencia</t>
  </si>
  <si>
    <t xml:space="preserve">978-166542038-9</t>
  </si>
  <si>
    <t xml:space="preserve">Proc. Glob. Congr. Electr. Eng., GC-ElecEng</t>
  </si>
  <si>
    <t xml:space="preserve">2-s2.0-85133487272</t>
  </si>
  <si>
    <t xml:space="preserve">Cieszko P.; Kulawiak M.; Kulawiak N.; Sikorska K.; Stojanowski A.; Golawski P.</t>
  </si>
  <si>
    <t xml:space="preserve">Cieszko, Pawel (57279341300); Kulawiak, Marcin (57202995868); Kulawiak, Natalia (57191581254); Sikorska, Katarzyna (6602482534); Stojanowski, Aleksander (57279988000); Golawski, Piotr (57278696500)</t>
  </si>
  <si>
    <t xml:space="preserve">57279341300; 57202995868; 57191581254; 6602482534; 57279988000; 57278696500</t>
  </si>
  <si>
    <t xml:space="preserve">Development of a tropical disease diagnosis system using artificial neural network and GIS</t>
  </si>
  <si>
    <t xml:space="preserve">Expert systems for diagnosis of tropical diseases have been developed and implemented for over a decade with varying degrees of success. While the recent introduction of artificial neural networks has helped to improve the diagnosis accuracy of such systems, this aspect is still negatively affected by the number of supported diseases. A large number of supported diseases usually corresponds to a high number of overlapping symptoms, which results in a considerable drop in diagnosis accuracy. This is particularly important when diagnosing patients returning from holiday or business trips which took them through a number of different tropical regions. The paper presents a system dedicated to diagnosis of patients returning from various tropical countries. The system integrates an artificial neural network with a Geographic Information System (GIS) in order to enhance the diagnostic process. As a result, the system provides several layers of diagnosis support, depending on the types and number of provided patient characteristics. The system has been developed in cooperation with the University Center of Maritime and Tropical Medicine located in the city of Gdynia in northern Poland and applied to diagnosis of patients with malaria, dengue and stechiostomasis with promising results.  © 2021 IEEE.</t>
  </si>
  <si>
    <t xml:space="preserve">International Conference on Human System Interaction, HSI</t>
  </si>
  <si>
    <t xml:space="preserve">10.1109/HSI52170.2021.9538688</t>
  </si>
  <si>
    <t xml:space="preserve">https://www.scopus.com/inward/record.uri?eid=2-s2.0-85116044566&amp;doi=10.1109%2fHSI52170.2021.9538688&amp;partnerID=40&amp;md5=13e5670eb50567ba0e040b56f349b99e</t>
  </si>
  <si>
    <t xml:space="preserve">Gdansk University of Technology, Faculty of Electronics, Telecommunications and Informatics, Department of Geoinformatics, Gdansk, Poland; University Center of Maritime and Tropical Medicine, Department of Tropical and Parasitic Diseases, Gdynia, Poland</t>
  </si>
  <si>
    <t xml:space="preserve">Cieszko P., Gdansk University of Technology, Faculty of Electronics, Telecommunications and Informatics, Department of Geoinformatics, Gdansk, Poland; Kulawiak M., Gdansk University of Technology, Faculty of Electronics, Telecommunications and Informatics, Department of Geoinformatics, Gdansk, Poland; Kulawiak N., University Center of Maritime and Tropical Medicine, Department of Tropical and Parasitic Diseases, Gdynia, Poland; Sikorska K., University Center of Maritime and Tropical Medicine, Department of Tropical and Parasitic Diseases, Gdynia, Poland; Stojanowski A., Gdansk University of Technology, Faculty of Electronics, Telecommunications and Informatics, Department of Geoinformatics, Gdansk, Poland; Golawski P., Gdansk University of Technology, Faculty of Electronics, Telecommunications and Informatics, Department of Geoinformatics, Gdansk, Poland</t>
  </si>
  <si>
    <t xml:space="preserve">artificial neural network; diagnosis; expert system; GIS; machine learning</t>
  </si>
  <si>
    <t xml:space="preserve">Diagnosis; Expert systems; Machine learning; Neural networks; Tropics; Diagnose system; Diagnosis support; Diagnostic process; Disease diagnosis; Network information; Tropical countries; Tropical disease; Tropical regions; Geographic information systems</t>
  </si>
  <si>
    <t xml:space="preserve">Adekoya A.F., Akinwale A.T., Oke O.E., A medical expert system for managing tropical diseases, Proceedings of the Third Conference on Science and National Development, pp. 74-86, (2008); Putra I.K.G.D., Prihatini P.M., Fuzzy expert system for tropical infectious disease by certainty factor, Telkomnika, 10, 4, (2012); Yanti N., Kurniawan R., Abdullah S.N.H.S., Nazri M.Z.A., Hunafa W., Kharismayanda M., Tropical diseases web-based expert system using certainty factor, 2018 2nd International Conference on Electrical Engineering and Informatics (ICon EEI), pp. 62-66, (2018); Fathima A., Manimegla D., Predictive Analysis for the Arbovirus-Dengue Using SVM Classification, (2012); Guo P., Liu T., Zhang Q., Wang L., Xiao J., Zhang Q., Et al., Developing a dengue forecast model using machine learning: A case study in China, PLoS Negl Trop Dis, 11, 10, (2017); Ibrahim F., Ismail N., Taib M., Abas W.A.B.W., Modeling of hemoglobin in dengue fever and dengue hemorrhagic fever using bioelectrical impedance, Physiol. Meas, 2004, (2004); Faisal T., Ibrahim F., Taib M.N., Analysis of Significant Factors for Dengue Infection Prognosis Using the Self Organizing Map, (2008); Oladele T.O., Ogundokun R.O., Misra S., Adeniyi J.K., Jaglan V., A joint neuro-fuzzy malaria diagnosis system, Journal of Physics: Conference Series, 1767, 1, (2021); Rosnelly R., Wahyuni L., Tropical Diseases Identification Using Neural Network Adaptive Resonance Theory 2, 2018 6th International Conference on Cyber and IT Service Management (CITSM), pp. 1-4, (2018); Won Lee Y., Woo Choi J., Shin E., Machine Learning Model for Predicting Malaria Using Clinical Information, (2018); Dawidowicz A., Kulawiak M., The potential of Web-GIS and geovisual analytics in the context of marine cadastre, Survey Review, 50, 363, pp. 501-512, (2018); Chybicki A., Kulawiak M., Lubniewski Z., Dabrowski J., Luba M., Moszynski M., Stepnowski A., GIS for remote sensing, analysis and visualisation of marine pollution and other marine ecosystem components, 2008 1st International Conference on Information Technology, pp. 1-4, (2008); Kulawiak M., Kulawiak M., Application of Web-GIS for dissemination and 3D visualization of large-volume LIDAR data, The Rise of Big Spatial Data, pp. 1-12, (2017); Agrawal S., Gupta R.D., Development of SOA-based WebGIS framework for education sector, Arabian Journal of Geosciences, 13, 13, pp. 1-20, (2020); Kulawiak M., Lubniewski Z., Bikonis K., Stepnowski A., Geographical information system for analysis of critical infrastructures and their hazards due to terrorism, man-originated catastrophes and natural disasters for the city of Gdansk, Information Fusion and Geographic Information Systems, pp. 251-262, (2009)</t>
  </si>
  <si>
    <t xml:space="preserve">Bujnowski A.; Kaczmarek M.; Ruminski J.</t>
  </si>
  <si>
    <t xml:space="preserve">14th International Conference on Human System Interaction, HSI 2021</t>
  </si>
  <si>
    <t xml:space="preserve">8 July 2021 through 10 July 2021</t>
  </si>
  <si>
    <t xml:space="preserve">Virtual, Gdansk</t>
  </si>
  <si>
    <t xml:space="preserve">978-166544112-4</t>
  </si>
  <si>
    <t xml:space="preserve">Int. Conf. Hum. Syst. Interact., HSI</t>
  </si>
  <si>
    <t xml:space="preserve">2-s2.0-85116044566</t>
  </si>
  <si>
    <t xml:space="preserve">Bhatia G.; Bhat S.; Choudhary V.; Deopurkar A.; Talreja S.</t>
  </si>
  <si>
    <t xml:space="preserve">Bhatia, Gresha (36069137300); Bhat, Shravan (57228228300); Choudhary, Vivek (57228043400); Deopurkar, Aditya (57226948700); Talreja, Sahil (57227681800)</t>
  </si>
  <si>
    <t xml:space="preserve">36069137300; 57228228300; 57228043400; 57226948700; 57227681800</t>
  </si>
  <si>
    <t xml:space="preserve">Disease prediction using deep learning</t>
  </si>
  <si>
    <t xml:space="preserve">In our times, mosquito-borne diseases represent numerous public health challenges. Common sorts of mosquito-borne illnesses consist of malaria, dengue, West Nile virus, chikungunya, Zika and yellow jack. Nearly 700 million people get a mosquito-borne illness annually leading to over a million deaths. Predicting the spread of mosquito-borne disease can aid early decision support for when and the way to use public health interventions within a community. These diseases are weather-sensitive particularly depending on the temperature and precipitation. Meteorological variables and land cover influence mosquito-borne illnesses through numerous pathways. In this study a time series analysis is used for mosquito borne disease prediction from effects due to environmental factors. © 2021 IEEE.</t>
  </si>
  <si>
    <t xml:space="preserve">2021 2nd International Conference for Emerging Technology, INCET 2021</t>
  </si>
  <si>
    <t xml:space="preserve">10.1109/INCET51464.2021.9456172</t>
  </si>
  <si>
    <t xml:space="preserve">https://www.scopus.com/inward/record.uri?eid=2-s2.0-85113329314&amp;doi=10.1109%2fINCET51464.2021.9456172&amp;partnerID=40&amp;md5=19406733c9e7ce5770fccdcbe77fa181</t>
  </si>
  <si>
    <t xml:space="preserve">Institute of Technology, Vivekanand Education Society's, Department of Computer Engineering, Maharashtra, Mumbai, India</t>
  </si>
  <si>
    <t xml:space="preserve">Bhatia G., Institute of Technology, Vivekanand Education Society's, Department of Computer Engineering, Maharashtra, Mumbai, India; Bhat S., Institute of Technology, Vivekanand Education Society's, Department of Computer Engineering, Maharashtra, Mumbai, India; Choudhary V., Institute of Technology, Vivekanand Education Society's, Department of Computer Engineering, Maharashtra, Mumbai, India; Deopurkar A., Institute of Technology, Vivekanand Education Society's, Department of Computer Engineering, Maharashtra, Mumbai, India; Talreja S., Institute of Technology, Vivekanand Education Society's, Department of Computer Engineering, Maharashtra, Mumbai, India</t>
  </si>
  <si>
    <t xml:space="preserve">Disease prediction; Mosquito-borne diseases; Time series analysis; Weather-sensitive</t>
  </si>
  <si>
    <t xml:space="preserve">Decision support systems; Diseases; Forecasting; Public health; Time series analysis; Viruses; Chikungunya; Early decision; Environmental factors; Health interventions; Land cover; Meteorological variables; Mosquito-borne disease; West Nile Virus; Deep learning</t>
  </si>
  <si>
    <t xml:space="preserve">Mitchell T.M., Machine Learning WCB, (1997); Castro M.C., Malaria transmission and prospects for malaria eradication: The role of the environment, Cold Spring Harb Perspect Med, 7, 10, (2017); Alemu A., Abebe G., Tsegaye W., Golassa L., Climatic variables and malaria transmission dynamics in Jimma town, South West Ethiopia, Parasit Vectors, 2, 4, (2011); Anusha R., Dengue Fever Prediction Using Datamining Classification Technique International Journal of Recent Technology and Engineering (IJRTE), 8, 4, (2019); Manivannan P., Devi P.I., Dengue fever prediction using Kmeans clustering algorithm, 2017 IEEE International Conference on Intelligent Techniques in Control, Optimization and Signal Processing (INCOS), pp. 1-5, (2017); Vijeta S., Malaria outbreak prediction model using machine learning, International Journal of Advanced Research in Computer Engineering &amp; Technology., (2016); Octave I., Haiying C., Josiane U., Jean B., Muhammad B.-I., Niyonzima I., Malaria Disease Prediction Based on Machine Learning, pp. 1-7, (2019); Shobhit V., Nonita S., Statistical Models for Predicting Chikungunya Incidences in India, pp. 139-142, (2018); Khalid K., Machine Learning Systems in Epidemics: In the AI of the Storm., (2020); AIP Conference Proceedings, 1891, (2017); Bull P., Slavitt I., Lipstein G., Harnessing the Power of the Crowd to Increase Capacity for Data Science in the Social Sector, (2016)</t>
  </si>
  <si>
    <t xml:space="preserve">2nd International Conference for Emerging Technology, INCET 2021</t>
  </si>
  <si>
    <t xml:space="preserve">21 May 2021 through 23 May 2021</t>
  </si>
  <si>
    <t xml:space="preserve">978-172817029-9</t>
  </si>
  <si>
    <t xml:space="preserve">2-s2.0-85113329314</t>
  </si>
  <si>
    <t xml:space="preserve">Baker Q.B.; Faraj D.; Alguzo A.</t>
  </si>
  <si>
    <t xml:space="preserve">Baker, Qanita Bani (57040978600); Faraj, Dalya (57238835600); Alguzo, Alanoud (57238426500)</t>
  </si>
  <si>
    <t xml:space="preserve">57040978600; 57238835600; 57238426500</t>
  </si>
  <si>
    <t xml:space="preserve">Forecasting Dengue Fever Using Machine Learning Regression Techniques</t>
  </si>
  <si>
    <t xml:space="preserve">With the increase in life-threatening viral diseases, the need for extensive research on its causes, recovery, and methods of prevention becomes crucial. Some of these diseases are dangerous and sometimes they might cause death. Dengue Fever remains one of the important public health issues expanded several areas all around the world. Dengue Fever spread could be affected by several factors such as climate conditions. In this paper, we analyze a weather-related dataset to predict the number of illness cases per week in the cities of San Juan and Iquitos by using several machine learning regression algorithms. To achieve this, we utilized and compared different machine learning regression techniques, the performance is evaluated using the Mean Absolute Error (MAE). As a result, the Poisson Regression Model achieved the best ratios and the lowest mean absolute error ratio of 25.6%. © 2021 IEEE.</t>
  </si>
  <si>
    <t xml:space="preserve">2021 12th International Conference on Information and Communication Systems, ICICS 2021</t>
  </si>
  <si>
    <t xml:space="preserve">10.1109/ICICS52457.2021.9464619</t>
  </si>
  <si>
    <t xml:space="preserve">https://www.scopus.com/inward/record.uri?eid=2-s2.0-85113828603&amp;doi=10.1109%2fICICS52457.2021.9464619&amp;partnerID=40&amp;md5=d30b65e2442e86b3487276be46054488</t>
  </si>
  <si>
    <t xml:space="preserve">Jordan University of Science and Technology, Computer Science Department, Irbid, Jordan</t>
  </si>
  <si>
    <t xml:space="preserve">Baker Q.B., Jordan University of Science and Technology, Computer Science Department, Irbid, Jordan; Faraj D., Jordan University of Science and Technology, Computer Science Department, Irbid, Jordan; Alguzo A., Jordan University of Science and Technology, Computer Science Department, Irbid, Jordan</t>
  </si>
  <si>
    <t xml:space="preserve">Dengue Fever; Ensemble Regression; epidemic; Machine Learning; Regression; Viral Diseases</t>
  </si>
  <si>
    <t xml:space="preserve">Data communication systems; Learning algorithms; Pathology; Regression analysis; Climate condition; Dengue fevers; Mean absolute error; Poisson regression models; Public health issues; Regression algorithms; Regression techniques; Viral disease; Machine learning</t>
  </si>
  <si>
    <t xml:space="preserve">Wan Y., Roy S., Saberi A., Designing spatially heterogeneous strategies for control of virus spread, IET Systems Biology, 2, 4, pp. 184-201, (2008); Guzman A., Isturiz R.E., Update on the global spread of dengue, International Journal of Antimicrobial Agents, 36, pp. S40-S42, (2010); Gubler D.J., Dengue and dengue hemorrhagic fever, Clinical Microbiology Reviews, 11, 3, pp. 480-496, (1998); Wu P.-C., Guo H.-R., Lung S.-C., Lin C.-Y., Su H.-J., Weather as an effective predictor for occurrence of dengue fever in Taiwan, Acta Tropica, 103, 1, pp. 50-57, (2007); Chien L.-C., Yu H.-L., Impact of meteorological factors on the spatiotemporal patterns of dengue fever incidence, Environment International, 73, pp. 46-56, (2014); Baker Q.B., Shatnawi F., Rawashdeh S., Al-Smadi M., Jararweh Y., Detecting epidemic diseases using sentiment analysis of Arabic tweets, J. UCS, 26, 1, pp. 50-70, (2020); Obeidat R., Alsmadi I., Bakr Q.B., Obeidat L., Can users search trends predict people scares or disease breakout? an examination of infectious skin diseases in the United States, Infectious Diseases: Research and Treatment, 13, (2020); Salim N.A.M., Wah Y.B., Reeves C., Smith M., Yaacob W.F.W., Mudin R.N., Dapari R., Sapri N.N.F.F., Haque U., Prediction of dengue outbreak in selangor Malaysia using machine learning techniques, Scientific Reports, 11, 1, pp. 1-9, (2021); Carvalho T., Tenorio G., Vellasco M., Figueiredo K., Caarls W., Comparac ao de modelos de machine learning aplicados a previsao de casos totais de dengue, Anais Do XVI Encontro Nacional de Inteliĝencia Artificial e Computacional. SBC, pp. 658-669, (2020); Tang S.L., Subramanian P., Review on nowcasting using least absolute shrinkage selector operator (lasso) to predict dengue occurrence in san juan and iquitos as part of disease surveillance system, Periodicals of Engineering and Natural Sciences, 7, 2, pp. 608-617, (2019); Chovatiya M., Dhameliya A., Deokar J., Gonsalves J., Mathur A., Prediction of dengue using recurrent neural network, 2019 3rd International Conference on Trends in Electronics and Informatics (ICOEI). IEEE, pp. 926-929, (2019); Tanner L., Schreiber M., Low J.G., Ong A., Tolfvenstam T., Lai Y.L., Ng L.C., Leo Y.S., Puong L.T., Vasudevan S.G., Et al., Decision tree algorithms predict the diagnosis and outcome of dengue fever in the early phase of illness, PLoS Neglected Tropical Diseases, 2, 3, (2008); Muhilthini P., Meenakshi B., Lekha S., Santhanalakshmi S., Dengue possibility forecasting model using machine learning algorithms, International Research Journal of Engineering and Technology, 5, 3, pp. 1661-1665, (2018); Sathler C., Luciano J., Predictive Modeling of Dengue Fever Epidemics: A Neural Network Approach, (2017); Guo P., Liu T., Zhang Q., Wang L., Xiao J., Zhang Q., Luo G., Li Z., He J., Zhang Y., Et al., Developing a dengue forecast model using machine learning: A case study in China, PLoS Neglected Tropical Diseases, 11, 10, (2017); Shi Y., Liu X., Kok S.-Y., Rajarethinam J., Liang S., Yap G., Chong C.-S., Lee K.-S., Tan S.S., Chin C.K.Y., Et al., Three-month realtime dengue forecast models: An early warning system for outbreak alerts and policy decision support in Singapore, Environmental Health Perspectives, 124, 9, pp. 1369-1375, (2016); Rahman M.M., Dengue Epidemic Prediction with Regression Model."; Gomes A.L.V., Wee L.J., Khan A.M., Gil L.H., Marques E.T., Calzavara-Silva C.E., Tan T.W., Classification of dengue fever patients based on gene expression data using support vector machines, PloS One, 5, 6, (2010); Panda S.K., Bhoi S.K., Singh M., A collaborative filtering recommendation algorithm based on normalization approach, Journal of Ambient Intelligence and Humanized Computing, pp. 1-23, (2020); Aiken L.S., West S.G., Pitts S.C., Baraldi A.N., Wurpts I.C., Multiple linear regression, Handbook of Psychology, Second Edition, 2, (2012); Specht D.F., Et al., A general regression neural network, IEEE Transactions on Neural Networks, 2, 6, pp. 568-576, (1991); Segal M.R., Machine Learning Benchmarks and Random Forest Regression, (2004); Liaw A., Wiener M., Et al., Classification and regression by randomforest, R News, 2, 3, pp. 18-22, (2002); Pal M., Random forest classifier for remote sensing classification, International Journal of Remote Sensing, 26, 1, pp. 217-222, (2005); Allison P.D., Waterman R.P., Fixed-effects negative binomial regression models, Sociological Methodology, 32, 1, pp. 247-265, (2002); Consul P., Famoye F., Generalized poisson regression model, Communications in Statistics-Theory and Methods, 21, 1, pp. 89-109, (1992); Magerman D.M., Statistical decision-tree models for parsing, Proceedings of the 33rd Annual Meeting on Association for Computational Linguistics, pp. 276-283, (1995); Frank E., Trigg L., Holmes G., Witten I.H., Naive bayes for regression, Machine Learning, 41, 1, pp. 5-25, (2000); Balabin R.M., Lomakina E.I., Support vector machine regression (ls-SVM)-an alternative to artificial neural networks (anns) for the analysis of quantum chemistry data?, Physical Chemistry Chemical Physics, 13, 24, pp. 11710-11718, (2011); Stringhini G., Kruegel C., Vigna G., Detecting spammers on social networks, Proceedings of the 26th Annual Computer Security Applications Conference, pp. 1-9, (2010); Tsoumakas G., Katakis I., Multi-label classification: An overview, International Journal of Data Warehousing and Mining (IJDWM), 3, 3, pp. 1-13, (2007); Mack Y.-P., Local properties of k-nn regression estimates, SIAM Journal on Algebraic Discrete Methods, 2, 3, pp. 311-323, (1981); Kanj S., Abdallah F., Denoeux T., Tout K., Editing training data for multi-label classification with the k-nearest neighbor rule, Pattern Analysis and Applications, 19, 1, pp. 145-161, (2016); Solomatine D.P., Shrestha D.L., Adaboost. rt: A boosting algorithm for regression problems, 2004 IEEE International Joint Conference on Neural Networks (IEEE Cat. No. 04CH37541), 2, pp. 1163-1168, (2004); Hothorn T., Lausen B., Double-bagging: Combining classifiers by bootstrap aggregation, Pattern Recognition, 36, 6, pp. 1303-1309, (2003)</t>
  </si>
  <si>
    <t xml:space="preserve">Alsmirat M.; Almaaitah A.; Jararweh Y.; Mauri J.L.</t>
  </si>
  <si>
    <t xml:space="preserve">12th International Conference on Information and Communication Systems, ICICS 2021</t>
  </si>
  <si>
    <t xml:space="preserve">24 May 2021 through 26 May 2021</t>
  </si>
  <si>
    <t xml:space="preserve">Virtual, Valencia</t>
  </si>
  <si>
    <t xml:space="preserve">978-166543351-8</t>
  </si>
  <si>
    <t xml:space="preserve">Int. Conf. Inf. Commun. Syst., ICICS</t>
  </si>
  <si>
    <t xml:space="preserve">2-s2.0-85113828603</t>
  </si>
  <si>
    <t xml:space="preserve">Habte</t>
  </si>
  <si>
    <t xml:space="preserve">Prabha P.A.; Priya M.D.; Jeba Malar A.C.; Karthik S.; Dakshin G.; Kumar S.D.</t>
  </si>
  <si>
    <t xml:space="preserve">Prabha, P. Anantha (57223639469); Priya, M. Deva (37070321800); Jeba Malar, A. Christy (57223186190); Karthik, S. (57223610534); Dakshin, G. (57223621840); Kumar, S. Dinesh (59050980400)</t>
  </si>
  <si>
    <t xml:space="preserve">57223639469; 37070321800; 57223186190; 57223610534; 57223621840; 59050980400</t>
  </si>
  <si>
    <t xml:space="preserve">Improved ResNet-Based Image Classification Technique for Malaria Detection</t>
  </si>
  <si>
    <t xml:space="preserve">Malaria is a communicable disease instigated by mosquitoes and is life-threatening. As per the World Health Organization (WHO), there are 216 million cases of malaria spread across 91 countries. According to the report dated December 2019, there are 228 million people affected by malaria in 2018 in contrast to 231 million ones in 2017. The traditional way of diagnosing malaria is by visually inspecting blood samples of Red Blood Cells (RBCs) infected by the parasite under a microscope. However, this method is time-consuming as the diagnosis is entirely manual and is based on the expertise of the examiner. Other alternate diagnostic methods include Automatic Image Recognition (AIR) technologies based on Machine Learning (ML). These methods when applied to blood smear yield non-optimal results. To overcome the drawbacks associated with these techniques, the proposed system uses a Residual Neural Network (ResNet) architecture for detecting malaria from blood sample images. Classification is performed on the augmented image dataset to achieve more accuracy. The model offers 93.25% diagnostic accuracy on the training data and 87.35% accuracy on the validation data. © 2021, Springer Nature Singapore Pte Ltd.</t>
  </si>
  <si>
    <t xml:space="preserve">177 LNNS</t>
  </si>
  <si>
    <t xml:space="preserve">10.1007/978-981-33-4501-0_73</t>
  </si>
  <si>
    <t xml:space="preserve">https://www.scopus.com/inward/record.uri?eid=2-s2.0-85105930264&amp;doi=10.1007%2f978-981-33-4501-0_73&amp;partnerID=40&amp;md5=ae882a82a2f41af2a29550ab77d111e3</t>
  </si>
  <si>
    <t xml:space="preserve">Department of Computer Science and Engineering, Sri Krishna College of Technology, Coimbatore, Tamilnadu, India; Department of Information Technology, Sri Krishna College of Technology, Coimbatore, Tamilnadu, India; SRM Institute of Science and Technology, Delhi-NCR Campus, Ghaziabad, India</t>
  </si>
  <si>
    <t xml:space="preserve">Prabha P.A., Department of Computer Science and Engineering, Sri Krishna College of Technology, Coimbatore, Tamilnadu, India; Priya M.D., Department of Computer Science and Engineering, Sri Krishna College of Technology, Coimbatore, Tamilnadu, India; Jeba Malar A.C., Department of Information Technology, Sri Krishna College of Technology, Coimbatore, Tamilnadu, India; Karthik S., SRM Institute of Science and Technology, Delhi-NCR Campus, Ghaziabad, India; Dakshin G., Department of Computer Science and Engineering, Sri Krishna College of Technology, Coimbatore, Tamilnadu, India; Kumar S.D., Department of Computer Science and Engineering, Sri Krishna College of Technology, Coimbatore, Tamilnadu, India</t>
  </si>
  <si>
    <t xml:space="preserve">Deep learning; Image dataset; Infectious disease; Malaria; ResNet</t>
  </si>
  <si>
    <t xml:space="preserve">Anggraini D., Nugroho A.S., Pratama C., Rozi I.E., Pragesjvara V., Gunawan M., Automated status identification of microscopic images obtained from malaria thin blood smears using Bayes decision: A study case in Plasmodium falciparum, Proceedings of the IEEE International Conference on Advanced Computer Science and Information Systems, pp. 347-352, (2011); Purwar Y., Shah S.L., Clarke G., Almugairi A., Muehlenbachs A., Automated and unsupervised detection of malarial parasites in microscopic images, Malaria J, 10, 1, (2011); He K., Zhang X., Ren S., Sun J., Deep residual learning for image recognition, Proceedings of the IEEE Conference on Computer Vision and Pattern Recognition, pp. 770-778, (2016); Zhang Z., Ong L.S., Fang K., Matthew A., Dauwels J., Dao M., Asada H., Image classification of unlabeled malaria parasites in red blood cells, Proceedings of the 38Th Annual IEEE International Conference of the IEEE Engineering in Medicine and Biology Society, pp. 3981-3984, (2016); Mishra S., Sharma L., Majhi B., Sa P.K., Microscopic image classification using DCT for the detection of acute lymphoblastic leukemia (All), Proceedings of the International Conference on Computer Vision and Image Processing, pp. 171-180, (2017); Ran Q., Chang L., Li W., Xu X., Spatial-spectral blood cell classification with microscopic hyperspectral imagery, AOPC 2017: Optical Spectroscopy and Imaging International Society for Optics and Photonics, 10461, (2017); Chollet F., Xception: Deep learning with depthwise separable convolutions, Proceedings of the IEEE Conference on Computer Vision and Pattern Recognition, pp. 1251-1258, (2017); Yang D., Subramanian G., Duan J., Gao S., Bai L., Chandramohanadas R., Ai Y., A portable image-based cytometer for rapid malaria detection and quantification, Plos One, 12, 6, (2017); Poostchi M., Silamut K., Maude R.J., Jaeger S., Thoma G., Image analysis and machine learning for detecting malaria, Transl Res, 194, pp. 36-55, (2018); Liang G., Hong H., Xie W., Zheng L., Combining convolutional neural network with recursive neural network for blood cell image classification, IEEE Access, 6, pp. 36188-36197, (2018); Huang Q., Li W., Xie X., Convolutional neural network for medical hyperspectral image classification with kernel fusion, Proceedings of the International Conference on Biological Information and Biomedical Engineering, pp. 1-4, (2018); Wang Y., Liu S., Cui F., Sun H., Ru M., Yang W., Wang G., Wang Z., Examination of medical microscopic image classification algorithm and its application in the evaluation of coronary artery atherosclerosis plaque, Acta Microsc, 28, 6, (2018); Reddy A.S.B., Juliet D.S., Transfer learning with ResNet-50 for malaria cell-image classification, Proceedings of the IEEE International Conference on Communication and Signal Processing, pp. 0945-0949, (2019); Qin B., Wu Y., Wang Z., Zheng H., Malaria cell detection using evolutionary convolutional deep networks, Proceedings of the IEEE International Conference on Computing, Communications and Iot Applications, pp. 333-336, (2019); Ma L., Shuai R., Ran X., Liu W., Ye C., Combining DC-GAN with ResNet for blood cell image classification, Med Biol Eng Comput, pp. 1-14, (2020)</t>
  </si>
  <si>
    <t xml:space="preserve">M.D. Priya; Department of Computer Science and Engineering, Sri Krishna College of Technology, Coimbatore, Tamilnadu, India; email: m.devapriya@skct.edu.in</t>
  </si>
  <si>
    <t xml:space="preserve">Mahapatra R.P.; Panigrahi B.K.; Kaushik B.K.; Roy S.</t>
  </si>
  <si>
    <t xml:space="preserve">6th International Conference on Recent Trends in Computing, ICRTC 2020</t>
  </si>
  <si>
    <t xml:space="preserve">3 July 2020 through 4 July 2020</t>
  </si>
  <si>
    <t xml:space="preserve">978-981334500-3</t>
  </si>
  <si>
    <t xml:space="preserve">2-s2.0-85105930264</t>
  </si>
  <si>
    <t xml:space="preserve">Sultana Z.; Nahar L.; Basnin N.; Hossain M.S.</t>
  </si>
  <si>
    <t xml:space="preserve">Sultana, Zinnia (55490548600); Nahar, Lutfun (57213768382); Basnin, Nanziba (57221115950); Hossain, Mohammad Shahadat (55871122455)</t>
  </si>
  <si>
    <t xml:space="preserve">55490548600; 57213768382; 57221115950; 55871122455</t>
  </si>
  <si>
    <t xml:space="preserve">Inference and Learning Methodology of Belief Rule Based Expert System to Assess Chikungunya</t>
  </si>
  <si>
    <t xml:space="preserve">Chikungunya virus (CHIKV) causes Chikungunya disease in human, transmitted by the Aedes species of mosquito. To this date, no vaccines are available to cure this disease as a result doctors rely on symptomatic treatment. This treatment is significantly based on recording the observation of signs and symptoms related to CHIKV in patients before prescribing medication. However, this disease can be misdiagnosed as its signs are similar to diseases like dengue or zika. This, in turn, gives rise to an uncertain diagnosis of Chikungunya. In addition, it is necessary to develop a system that will not only ensure the accurate assessment of Chikungunya but diagnose it within its early stages of infection. Since expert systems are adequate for handling uncertain data as well as generating more precise and accurate inferences, it is applied to this research. A Belief Rule Base Expert System (BRBES) is proposed in this research for performing the assessment of Chikungunya in its early stages of infection in patients. BRBES is reckoned to obliterate human labor and is computationally faster and less expensive in implementation and inferencing the assessment of CHIKV. This research is carried out using real-world data and inference of Chikungunya has been made by using Receiver Operating Characteristics Curves (ROC). In order to increase the accuracy of assessment, an optimal learning model of BRBES is developed with respect to various combinations of sets of training perimeters. In order to prove trained BRBES is an optimal learning model, it’s performance is differentiated with the initial BRBES. Further, this trained BRBES is also compared with a deep learning model such as Convolutional Neural networks (CNN) and machine learning models such as Support Vector Machine (SVM), Random Forest (RF) and Artificial Neural Network (ANN). © 2021, Springer Nature Switzerland AG.</t>
  </si>
  <si>
    <t xml:space="preserve">10.1007/978-3-030-82269-9_1</t>
  </si>
  <si>
    <t xml:space="preserve">https://www.scopus.com/inward/record.uri?eid=2-s2.0-85113583182&amp;doi=10.1007%2f978-3-030-82269-9_1&amp;partnerID=40&amp;md5=c15d61c9f4640ba73e78ff7a883c9348</t>
  </si>
  <si>
    <t xml:space="preserve">International Islamic University Chittagong, Chattogram, Bangladesh; University of Chittagong, Chittagong, Bangladesh</t>
  </si>
  <si>
    <t xml:space="preserve">Sultana Z., International Islamic University Chittagong, Chattogram, Bangladesh; Nahar L., International Islamic University Chittagong, Chattogram, Bangladesh; Basnin N., International Islamic University Chittagong, Chattogram, Bangladesh; Hossain M.S., University of Chittagong, Chittagong, Bangladesh</t>
  </si>
  <si>
    <t xml:space="preserve">Belief Rule Base; Chikungunya; Convolutional neural network; Optimizations; Random Forest</t>
  </si>
  <si>
    <t xml:space="preserve">Convolutional neural networks; Data handling; Decision trees; Deep learning; Diagnosis; Expert systems; Patient treatment; Support vector machines; Viruses; Accurate inference; Belief rule base; Belief rules; Human labor; Learning models; Machine learning models; Receiver operating characteristics curves (ROC); Uncertain datas; Learning systems</t>
  </si>
  <si>
    <t xml:space="preserve">Adams J., Bruckner H., Wikipedia, sociology, and the promise and pitfalls of big data, Big Data Soc, 2, 2, (2015); Ahmed T.U., Jamil M.N., Hossain M.S., Andersson K., Hossain M.S., An integrated real-time deep learning and belief rule base intelligent system to assess facial expression under uncertainty, 2020 Joint 9Th International Conference on Informatics, Electronics &amp; Vision (ICIEV) and 2020 4Th International Conference on Imaging, Vision &amp; Pattern Recognition (Icivpr), Pp. 1–6. IEEE, (2020); Hossain M.S., Akter S., Analyzing the repercussions of climate change on the outbreak of chikungunya in Bangladesh, J. Earth Sci. Geotech. Eng., 9, 1, pp. 15-31, (2019); Hossain M.S., Ahmed F., Andersson K., Et al., A belief rule based expert system to assess tuberculosis under uncertainty, J. Med. Syst., 41, 3, (2017); Hossain M.S., Al Hasan A., Guha S., Andersson K., A belief rule based expert system to predict earthquake under uncertainty, J. Wirel. Mob. Netw. Ubiquit. Comput. Dependable Appl., 9, 2, pp. 26-41, (2018); Hossain M.S., Habib I.B., Andersson K., A belief rule based expert system to diagnose dengue fever under uncertainty, 2017 Computing Conference, Pp. 179– 186. IEEE, (2017); Hossain M.S., Khalid M.S., Akter S., Dey S., A belief rule-based expert system to diagnose influenza, 2014 9Th International Forum on Strategic Technology (IFOST), pp. 113-116, (2014); Hossain M.S., Monrat A.A., Hasan M., Karim R., Bhuiyan T.A., Khalid M.S., A belief rule-based expert system to assess mental disorder under uncertainty, 2016 5Th International Conference on Informatics, Electronics and Vision (ICIEV), Pp. 1089–1094. IEEE, (2016); Hossain M.S., Rahaman S., Kor A.L., Andersson K., Pattinson C., A belief rule based expert system for datacenter PUE prediction under uncertainty, IEEE Trans. Sustain. Comput., 2, 2, pp. 140-153, (2017); Hossain M.S., Rahaman S., Mustafa R., Andersson K., A belief rule-based expert system to assess suspicion of acute coronary syndrome (ACS) under uncertainty, Soft. Comput., 22, 22, pp. 7571-7586, (2018); Hossain M.S., Sultana Z., Nahar L., Andersson K., An intelligent system to diagnose chikungunya under uncertainty, J. Wirel. Mob. Netw. Ubiquit. Comput. Dependable Appl., 10, 2, pp. 37-54, (2019); Jamil M.N., Hossain M.S., Ul Islam R., Andersson K., A belief rule based expert system for evaluating technological innovation capability of high-tech firms under uncertainty, 2019 Joint 8Th International Conference on Informatics, Electronics &amp; Vision (ICIEV) and 2019 3Rd International Conference on Imaging, Vision &amp; Pattern Recognition (Icivpr), Pp. 330–335. IEEE, (2019); Kabir S., Islam R.U., Hossain M.S., Andersson K., An integrated approach of belief rule base and deep learning to predict air pollution, Sensors, 20, 7, (2020); Kaiser M.S., Et al., IWorksafe: Towards healthy workplaces during Covid-19 with an intelligent pHealth app for industrial settings, IEEE Access, 9, pp. 13814-13828, (2021); Lee C.S., Wang M.H., A fuzzy expert system for diabetes decision support application, IEEE Trans. Syst. Man Cybern. Part B (Cybern.), 41, 1, pp. 139-153, (2010); Mahmud M., Kaiser M.S., McGinnity T.M., Hussain A., Deep learning in mining biological data, Cogn. Comput., 13, 1, pp. 1-33, (2021); Mahmud M., Kaiser M.S., Hussain A., Vassanelli S., Applications of deep learning and reinforcement learning to biological data, IEEE Trans. Neural Netw. Learn. Syst., 29, 6, pp. 2063-2079, (2018); Mazumder S.H., Hossain M.S., Andersson K., A belief rule-based expert system to assess multiple human reaction in the context of Facebook posts under uncertainty, 2021 International Conference on Information and Communication Technology for Sustainable Development (ICICT4SD), pp. 389-394, (2021); Nisha S.S., Sathik M.M., Meeral M.N., Application, algorithm, tools directly related to deep learning, Handbook of Deep Learning in Biomedical Engineering, pp. 61-84, (2021); Rahaman S., Hossain M.S., A belief rule based clinical decision support system to assess suspicion of heart failure from signs, symptoms and risk factors, 2013 International Conference on Informatics, Electronics and Vision (ICIEV), Pp. 1–6. IEEE, (2013); Rahaman S., Hossain M.S., A belief rule based (BRB) system to assess asthma suspicion, 16Th International Conference on Computer and Information Technology, Pp. 432–437. IEEE, (2014); Rahaman S., Islam M.M., Hossain M.S., A belief rule based clinical decision support system framework, 2014 17Th International Conference on Computer and Information Technology (ICCIT), pp. 165-169, (2014); Ul Islam R., Andersson K., Hossain M.S., A web based belief rule based expert system to predict flood, Proceedings of the 17Th International Conference on Information Integration and Web-Based Applications &amp; Services, pp. 1-8, (2015); Vincent P., Larochelle H., Bengio Y., Manzagol P.A., Extracting and composing robust features with denoising autoencoders, Proceedings of the 25Th International Conference on Machine Learning, pp. 1096-1103, (2008); Yang J.B., Liu J., Wang J., Sii H.S., Wang H.W., Belief rule-base inference methodology using the evidential reasoning approach-RIMER, IEEE Trans. Syst. Man Cybern.-Part A: Syst. Hum., 36, 2, pp. 266-285, (2006); Yang J.B., Liu J., Xu D.L., Wang J., Wang H., Optimization models for training belief-rule-based systems, IEEE Trans. Syst. Man Cybern.-Part A: Syst. Hum., 37, 4, pp. 569-585, (2007)</t>
  </si>
  <si>
    <t xml:space="preserve">M.S. Hossain; University of Chittagong, Chittagong, Bangladesh; email: hossain_ms@cu.ac.bd</t>
  </si>
  <si>
    <t xml:space="preserve">Mahmud M.; Kaiser M.S.; Kasabov N.; Iftekharuddin K.; Zhong N.</t>
  </si>
  <si>
    <t xml:space="preserve">1st International Conference on Applied Intelligence and Informatics, AII 2021</t>
  </si>
  <si>
    <t xml:space="preserve">30 July 2021 through 31 July 2021</t>
  </si>
  <si>
    <t xml:space="preserve">978-303082268-2</t>
  </si>
  <si>
    <t xml:space="preserve">2-s2.0-85113583182</t>
  </si>
  <si>
    <t xml:space="preserve">Yadav S.S.; Kadam V.J.; Jadhav S.M.; Jagtap S.; Pathak P.R.</t>
  </si>
  <si>
    <t xml:space="preserve">Yadav, Samir S. (57208663733); Kadam, Vinod J (57203944202); Jadhav, Shivajirao M. (36988053400); Jagtap, Sagar (59276448000); Pathak, Prasad R. (57223039661)</t>
  </si>
  <si>
    <t xml:space="preserve">57208663733; 57203944202; 36988053400; 59276448000; 57223039661</t>
  </si>
  <si>
    <t xml:space="preserve">Machine learning based malaria prediction using clinical findings</t>
  </si>
  <si>
    <t xml:space="preserve">Even today, Malaria is the most deadly disease in Asia and sub-Saharan Africa and particularly in Senegal. This is mainly due to inadequate medical care support with frequent late and error-diagnoses by medical professionals. Besides, mostly used diagnostic standards such as the rapid diagnostic test is not fully reliable. With the development and widespread acceptance of automated systems in the healthcare system, machine learning algorithms can support medical professionals in their decision-making procedure. An experimental analysis of different machine learning techniques to predict Malaria is proposed in this work. These techniques attempt to determine whether or not a patient suffersfrom Malaria using various clinical findings like signs and symptoms. The algorithms' efficiency has been thoroughly validated and analysed over two actual data sets of malaria patients' taken from Senegal. The results obtained show that Random Forest, Support Vector Machine with Gaussian Kernel and Artificial Neural Networks are promising and offer the best overall accuracy to predict the appearance or not of the disease with precision, recall and F1-score at least equal to 92%, 85% and 89% respectively on both datasets on which they outperform the Rapid Diagnostic Test. © 2021 IEEE.</t>
  </si>
  <si>
    <t xml:space="preserve">2021 International Conference on Emerging Smart Computing and Informatics, ESCI 2021</t>
  </si>
  <si>
    <t xml:space="preserve">10.1109/ESCI50559.2021.9396850</t>
  </si>
  <si>
    <t xml:space="preserve">https://www.scopus.com/inward/record.uri?eid=2-s2.0-85104595218&amp;doi=10.1109%2fESCI50559.2021.9396850&amp;partnerID=40&amp;md5=f3a903585dff8602e86843b5c6f21435</t>
  </si>
  <si>
    <t xml:space="preserve">Dr. Babasaheb Ambedkar Technological University, Department of Information Technology, Lonere Raigad, India; Dr. Babasaheb Ambedkar Technological University, Department of Information Technology, Lonere, India</t>
  </si>
  <si>
    <t xml:space="preserve">Yadav S.S., Dr. Babasaheb Ambedkar Technological University, Department of Information Technology, Lonere Raigad, India; Kadam V.J., Dr. Babasaheb Ambedkar Technological University, Department of Information Technology, Lonere Raigad, India; Jadhav S.M., Dr. Babasaheb Ambedkar Technological University, Department of Information Technology, Lonere Raigad, India; Jagtap S., Dr. Babasaheb Ambedkar Technological University, Department of Information Technology, Lonere, India; Pathak P.R., Dr. Babasaheb Ambedkar Technological University, Department of Information Technology, Lonere Raigad, India</t>
  </si>
  <si>
    <t xml:space="preserve">ANN; Machine learning; Malaria; Random Forest; SVM</t>
  </si>
  <si>
    <t xml:space="preserve">Automation; Decision making; Decision trees; Diagnosis; Diseases; Forecasting; Learning systems; Neural networks; Predictive analytics; Support vector machines; Decision making procedure; Diagnostic standard; Experimental analysis; Health-care system; Machine learning techniques; Medical care support; Medical professionals; Overall accuracies; Learning algorithms</t>
  </si>
  <si>
    <t xml:space="preserve">2019 World Malaria Report, (2019); Lepes T., Review of research on malaria, Bulletin of the World Health Organization, 50, 3-4, pp. 151-157, (1974); Ermert V., Fink A., Jones A., Morse A., Development of a new version of the Liverpool malaria model, Malaria Journal, 10, 2, (2011); Houz S., Rapid diagnostic test for malaria, Bull. Soc. Pathol. Exot; Garrido-Crdenas J., Cebrian-Carmona J., Gonzalez-Ceron L., Manzano-Agugliaro F., Mesa-Valle C., Analysis of global research on malaria and plasmodium vivax, International Journal of Environmental Research and Public Health, 16, (2019); Mitchell T.M., Et al., Machine Learning, (1997); Yadav A.M.S.M.K.A.E.A., Abhishek, Better healthcare using machine learning, International Journal of Advanced Research in Computer Science, 9, 1, (2010); Mbaye O., Ba M.L., Camara G., Sy A., Mboup B.M., Diallo A., Towards an efficient prediction model of malaria cases in Senegal, International Conference on Innovations and Interdisciplinary Solutions for Underserved Areas, pp. 173-188, (2019); Gholami R., Fakhari N., Support vector machine: Principles, parameters, and applications, Handbook of Neural Computation, pp. 515-535, (2017); Kaviani P., Dhotre S., Short survey on naive bayes algorithm, International Journal of Advance Research in Computer Science and Management, 4, (2017); Morgan S.P., Teachman J.D., Logistic regression: Description, examples, and comparisons, Journal of Marriage and Family, 50, 4, pp. 929-936, (1988); Rokach L., Maimon O., Decision Trees, 6, pp. 165-192, (2005); Evgeniou T., Pontil M., Support vector machines: Theory and applications, Studies in Fuzziness and Soft Computing, 2049, 1, pp. 249-257, (2001); Breiman L., Random forests, Machine Learning, 45, 1, pp. 5-32, (2001); Mehlig B., Artificial Neural Networks, (2019); De Oliveira H., Prodel M., Augusto V., Binary classification on French hospital data: Benchmark of 7 machine learning algorithms, 2018 IEEE International Conference on Systems, Man, and Cybernetics (SMC). IEEE, pp. 1743-1748, (2018); Tomar D., Agarwal S., A survey on data mining approaches for healthcare, International Journal of Bio-Science and Bio-Technology, 5, 5, pp. 241-266, (2013); Yadav S.S., Jadhav S.M., Deep convolutional neural network based medical image classification for disease diagnosis, Journal of Big Data, 6, 1, (2019); Kadam V.J., Yadav S.S., Jadhav S.M., Soft-margin SVM incorporating feature selection using improved elitist ga for arrhythmia classification, International Conference on Intelligent Systems Design and Applications, pp. 965-976, (2018); Yadav S.S., Jadhav S.M., Machine learning algorithms for disease prediction using IoT environment, International Journal of Engineering and Advanced Technology, 8, 6, pp. 4303-4307, (2019); Kadam V., Jadhav S., Yadav S., Bagging based ensemble of support vector machines with improved elitist ga-SVM features selection for cardiac arrhythmia classification, International Journal of Hybrid Intelligent Systems, 16, 1, pp. 25-33, (2020); Yadav S.S., Kadam V.J., Jadhav S.M., Comparative analysis of ensemble classifier and single base classifier in medical disease diagnosis, International Conference on Communication and Intelligent Systems, pp. 475-489, (2019); Yadav S.S., Jadhav S.M., Bonde R.G., Chaudhari S.T., Automated cardiac disease diagnosis using support vector machine, 2020 3rd International Conference on Communication System, Computing and IT Applications (CSCITA). IEEE, pp. 56-61, (2020); Yadav S.S., Jadhav S.M., Nagrale S., Patil N., Application of machine learning for the detection of heart disease, 2020 2nd International Conference on Innovative Mechanisms for Industry Applications (ICIMIA). IEEE, pp. 165-172, (2020); Yadav S.S., Jadhav S.M., Detection of common risk factors for diagnosis of cardiac arrhythmia using machine learning algorithm, Expert Systems with Applications, (2020); Uddin S., Khan A., Hossain M.E., Moni M.A., Comparing different supervised machine learning algorithms for disease prediction, BMC Medical Informatics and Decision Making, 19, 1, pp. 1-16, (2019); Wang P.-W., Lin C.-J., Support Vector Machines., (2014); Velusamy D., Ramasamy K., Ensemble of heterogeneous classifiers for diagnosis and prediction of coronary artery disease with reduced feature subset, Computer Methods and Programs in Biomedicine, 198, (2020); Ghiasi M.M., Zendehboudi S., Mohsenipour A.A., Decision tree-based diagnosis of coronary artery disease: Cart model, Computer Methods and Programs in Biomedicine, 192, (2020); Anderson J.A., A simple neural network generating an interactive memory, Mathematical Biosciences, 14, 3-4, pp. 197-220, (1972); Raschka S., Python Machine Learning, (2015); Sokhna C., Mboup B.M., Sow P.G., Camara G., Dieng M., Sylla M., Gueye L., Sow D., Diallo A., Parola P., Raoult D., Gautret P., Communicable and non-communicable disease risks at the grand magal of touba: The largest mass gathering in Senegal, Travel Medicine and Infectious Disease, 19, pp. 56-60, (2017)</t>
  </si>
  <si>
    <t xml:space="preserve">2021 IEEE International Conference on Emerging Smart Computing and Informatics, ESCI 2021</t>
  </si>
  <si>
    <t xml:space="preserve">5 March 2021 through 7 March 2021</t>
  </si>
  <si>
    <t xml:space="preserve">978-172818519-4</t>
  </si>
  <si>
    <t xml:space="preserve">Int. Conf. Emerg. Smart Comput. Informatics, ESCI</t>
  </si>
  <si>
    <t xml:space="preserve">2-s2.0-85104595218</t>
  </si>
  <si>
    <t xml:space="preserve">Bauxell J.; Vall-Llossera M.; Gurgel H.</t>
  </si>
  <si>
    <t xml:space="preserve">Bauxell, Joaquim (57678238000); Vall-Llossera, Mercè (6602926234); Gurgel, Hellen (58491877900)</t>
  </si>
  <si>
    <t xml:space="preserve">57678238000; 6602926234; 58491877900</t>
  </si>
  <si>
    <t xml:space="preserve">MACHINE LEARNING TECHNIQUES USING ENVIROMENTAL DATA FROM REMOTE SENSING APPLIED TO MODELING DENGUE RISK IN BRAZIL</t>
  </si>
  <si>
    <t xml:space="preserve">Mosquitoes are the most important vectors of human diseases in tropical countries. In particular, Aedes aegypti is the main vector for Chikungunya, Dengue and Zika in South America and Asia. In recent years, transmission of these diseases has increased predominantly in urban areas and has become a major public health problem. This study presents an algorithm for dengue risk prediction in Brazil. It is based in machine learning techniques and uses environmental and socioeconomic variables to predict the risk of dengue propagation all over Brazil, at municipality level. Data from 2010 to 2013 of monthly dengue episodes distribution have been obtained from the Notifiable Diseases Information System (SINAN), developed by the Brazil ministry of health. In addition, environmental data had been obtained from the distributed products of earth observation satellite missions that acquire globally and periodically data. Three types of machine learning algorithms have been applied and compared. The best results have been obtained when using random forests. © 2021 IEEE</t>
  </si>
  <si>
    <t xml:space="preserve">International Geoscience and Remote Sensing Symposium (IGARSS)</t>
  </si>
  <si>
    <t xml:space="preserve">10.1109/IGARSS47720.2021.9554704</t>
  </si>
  <si>
    <t xml:space="preserve">https://www.scopus.com/inward/record.uri?eid=2-s2.0-85129858458&amp;doi=10.1109%2fIGARSS47720.2021.9554704&amp;partnerID=40&amp;md5=89205d3b6639adb403147779fbbf4c73</t>
  </si>
  <si>
    <t xml:space="preserve">CommSensLab – UPC Unidad de Excelencia María de Maeztu, Department of Signal Theory and Communications, Universitat Politècnica de Catalunya (UPC), IEEC-UPC, Jordi Girona 1-3, Barcelona, 08034, Spain; Barcelona Expert Center (BEC), Passeig Marítim de la Barceloneta 37-47, Barcelona, 08003, Spain; Departament of Geography (GEA), University of Brasilia (UnB), Brazil</t>
  </si>
  <si>
    <t xml:space="preserve">Bauxell J., CommSensLab – UPC Unidad de Excelencia María de Maeztu, Department of Signal Theory and Communications, Universitat Politècnica de Catalunya (UPC), IEEC-UPC, Jordi Girona 1-3, Barcelona, 08034, Spain, Barcelona Expert Center (BEC), Passeig Marítim de la Barceloneta 37-47, Barcelona, 08003, Spain; Vall-Llossera M., CommSensLab – UPC Unidad de Excelencia María de Maeztu, Department of Signal Theory and Communications, Universitat Politècnica de Catalunya (UPC), IEEC-UPC, Jordi Girona 1-3, Barcelona, 08034, Spain, Barcelona Expert Center (BEC), Passeig Marítim de la Barceloneta 37-47, Barcelona, 08003, Spain; Gurgel H., Departament of Geography (GEA), University of Brasilia (UnB), Brazil</t>
  </si>
  <si>
    <t xml:space="preserve">Dengue propagation; Machine Learning; Remote Sensing data</t>
  </si>
  <si>
    <t xml:space="preserve">Learning algorithms; Machine learning; Remote sensing; Aedes aegypti; Chikungunya; Dengue propagation; Human disease; Machine learning techniques; Machine-learning; Remote sensing data; Remote-sensing; South America; Tropical countries; Decision trees</t>
  </si>
  <si>
    <t xml:space="preserve">Ministerio de Ciencia, Innovación y Universidades, MCIU, (ESP2017-89463-C3-R-2, MDM-2016-0600)</t>
  </si>
  <si>
    <t xml:space="preserve">This research was funded by the Spanish Ministry of Science, Innovation and Universities, through the coordinated project L-Band (MCIU/AEI/FEDER, UE): ESP2017-89463-C3-R-2, and the Unidad de Excelencia María de Maeztu MDM-2016-0600.</t>
  </si>
  <si>
    <t xml:space="preserve">Nguyen, Liou, An approach for risk maps of vector‐borne infectious diseases: Ecological and adaptive capacity indicators, IGARSS 2018 ‐ 2018 IEEE International Geoscience and Remote Sensing Symposium, (2018); Lowe R., Barcellos C., Coelho C.A.S., Bailey T., Coelho G.E., Graham R., Jupp T., Ramalho W.M., Carvalho M.S., Stephenson D.B., Rodo X., Dengue outlook for the World Cup in Brazil: An early warning model framework driven by real-time seasonal climate forecasts, Lancet Infect Dis, 14, pp. 619-626, (2014); MODIS: Moderate Resolution Imaging Spectroradiometer; LP DAAC: The Land Processes Distributed Active Archive Center; A Collection of 79 Attributes from Brazilian Citie; Human Development Reports</t>
  </si>
  <si>
    <t xml:space="preserve">M. Vall-Llossera; CommSensLab – UPC Unidad de Excelencia María de Maeztu, Department of Signal Theory and Communications, Universitat Politècnica de Catalunya (UPC), IEEC-UPC, Barcelona, Jordi Girona 1-3, 08034, Spain; email: merce.vall-llosera@upc.edu</t>
  </si>
  <si>
    <t xml:space="preserve">The Institute of Electrical and Electronics Engineers Geoscience and Remote Sensing Society (GRSS)</t>
  </si>
  <si>
    <t xml:space="preserve">2021 IEEE International Geoscience and Remote Sensing Symposium, IGARSS 2021</t>
  </si>
  <si>
    <t xml:space="preserve">12 July 2021 through 16 July 2021</t>
  </si>
  <si>
    <t xml:space="preserve">Brussels</t>
  </si>
  <si>
    <t xml:space="preserve">IGRSE</t>
  </si>
  <si>
    <t xml:space="preserve">Dig Int Geosci Remote Sens Symp (IGARSS)</t>
  </si>
  <si>
    <t xml:space="preserve">2-s2.0-85129858458</t>
  </si>
  <si>
    <t xml:space="preserve">Setyawan D.; Wardoyo R.; Wibowo M.E.; Herdiana Murhandarwati E.E.; Jamilah J.</t>
  </si>
  <si>
    <t xml:space="preserve">Setyawan, Doni (57431824200); Wardoyo, Retantyo (36057614100); Wibowo, Moh Edi (54975678100); Herdiana Murhandarwati, E.Elsa (17135727300); Jamilah, Joharotul (57209855802)</t>
  </si>
  <si>
    <t xml:space="preserve">57431824200; 36057614100; 54975678100; 17135727300; 57209855802</t>
  </si>
  <si>
    <t xml:space="preserve">Malaria Classification Using Convolutional Neural Network: A Review</t>
  </si>
  <si>
    <t xml:space="preserve">The Convolutional Neural Networks (CNNs) have been used to classify malaria parasites from blood smear images automatically and successfully gave a good result, thus enabling fast diagnoses and saving the patient. This study presents a review of the existing CNN techniques used for malaria diagnosis, focusing on the architectures, data preparation, preprocessing, and classification. Furthermore, this study discusses why the comparability of the presented methods becomes difficult and which challenges must be overcome in the future. First, we review the current CNN approaches used for malaria classification from existing research articles. Next, the performance and properties of proposed CNN approaches are summarized and discussed. The use of CNN as a feature extractor shows better performance than transfer learning and learning from scratch approaches. Unfortunately, some research uses private datasets for training and testing the proposed model. Thus it is not easy to compare with the other methods. The use of CNN in malaria diagnosis is also still limited to binary classification, namely the normal and malaria-infected erythrocyte class. Future research should use available benchmark public datasets to allow the proposed CNN method comparability and proposed a CNN model for multi-class classification such as species and life stages of malaria-causing plasmodium.  © 2021 IEEE.</t>
  </si>
  <si>
    <t xml:space="preserve">2021 6th International Conference on Informatics and Computing, ICIC 2021</t>
  </si>
  <si>
    <t xml:space="preserve">10.1109/ICIC54025.2021.9632998</t>
  </si>
  <si>
    <t xml:space="preserve">https://www.scopus.com/inward/record.uri?eid=2-s2.0-85123680199&amp;doi=10.1109%2fICIC54025.2021.9632998&amp;partnerID=40&amp;md5=cfaa2b95913116517a7ecc90e1476f7d</t>
  </si>
  <si>
    <t xml:space="preserve">Universitas Gadjah Mada, Department of Computer Sciences and Electronics, Yogyakarta, Indonesia; Universitas Gadjah Mada, Department of Parasitology, Yogyakarta, Indonesia; Faculty of Social and Political Sciences UIN Syarif Hidayatullah, Jakarta, Indonesia</t>
  </si>
  <si>
    <t xml:space="preserve">Setyawan D., Universitas Gadjah Mada, Department of Computer Sciences and Electronics, Yogyakarta, Indonesia; Wardoyo R., Universitas Gadjah Mada, Department of Computer Sciences and Electronics, Yogyakarta, Indonesia; Wibowo M.E., Universitas Gadjah Mada, Department of Computer Sciences and Electronics, Yogyakarta, Indonesia; Herdiana Murhandarwati E.E., Universitas Gadjah Mada, Department of Parasitology, Yogyakarta, Indonesia; Jamilah J., Faculty of Social and Political Sciences UIN Syarif Hidayatullah, Jakarta, Indonesia</t>
  </si>
  <si>
    <t xml:space="preserve">CNN; feature extractor; learning from scratch; malaria detection; transfer learning</t>
  </si>
  <si>
    <t xml:space="preserve">Blood; Classification (of information); Computer aided diagnosis; Convolution; Convolutional neural networks; Transfer learning; Blood smears; Convolutional neural network; Feature extractor; Learning from scratch; Malaria detection; Malaria diagnosis; Malaria parasite; Neural network techniques; Performance; Transfer learning; Diseases</t>
  </si>
  <si>
    <t xml:space="preserve">About Malaria, CDC, (2019); World Malaria Report 2019, WHO, (2019); Tangpukdee N., Duangdee C., Wilairatana P., Krudsood S., Malaria diagnosis: A brief review, Korean Journal of Parasitology, 47, 2, pp. 93-102, (2009); CDC 2016 Blood Specimens-Microscopic Examination; Das D.K., Mukherjee R., Chakraborty C., Computational microscopic imaging for malaria parasite detection: A systematic review, Journal of Microscopy, 260, pp. 1-19, (2015); Mitiku K., Mengistu G., Gelaw B., The reliability of blood film examination for malaria at the peripheral health unit, Ethiopian Journal of Health Development, 17, 3, pp. 197-204, (2003); McKenzie F.E., Sirichaisinthop J., Miller R.S., Gasser R.A., Wongsrichanalai C., Dependence of malaria detection and species diagnosis by microscopy on parasite density, The American Journal of Tropical Medicine and Hygiene, 69, 4, pp. 372-376, (2003); Hawkes M., Katsuva J.P., Masumbuko C.K., Use and limitations of malaria rapid diagnostic testing by community health workers in war-Torn Democratic Republic of Congo, Malaria Journal, 8, 1, (2009); Hommelsheim C.M., Frantzeskakis L., Huang M., Ulker B., PCR amplification of repetitive DNA: A limitation to genome editing technologies and many other applications, Scientific Reports, 4, 1, pp. 1-13, (2015); Diaz G., Gonzalez F.A., Romero E., A semi-Automatic method for quantification and classification of erythrocytes infected with malaria parasites in microscopic images, Journal of Biomedical Informatics, 42, 2, pp. 296-307, (2009); Savkare S.S., Narote S.P., Automatic system for classification of erythrocytes infected with malaria and identification of parasites life stage, Procedia Technology, 6, pp. 405-410, (2012); Das D.K., Ghosh M., Pal M., Maiti A.K., Chakraborty C., Machine learning approach for automated screening of malaria parasite using light microscopic images, Micron, 45, pp. 97-106, (2013); Das D.K., Maiti A.K., Chakraborty C., Automated system for characterization and classification of malaria?infected stages using light microscopic images of thin blood smears, Journal of Microscopy, 257, 3, pp. 238-252, (2015); Devi S.S., Sheikh S.A., Talukdar A., Laskar R.H., Malaria infected erythrocyte classification based on the histogram features using microscopic images of thin blood smear, Indian Journal of Science and Technology, 9, 45, pp. 1-10, (2016); Lecun Y., Bengio Y., Hinton G., Deep learning, Nature, 521, 7553, pp. 436-444, (2015); Brinker T.J., Hekler A., Utikal J.S., Grabe N., Schadendorf D., Klode J., Berking C., Steeb T., Enk A.H., Von Kalle C., Skin cancer classification using convolutional neural networks: Systematic review, Journal of Medical Internet Research, 20, 10, (2018); Liang Z., Powell A., Ersoy I., Poostchi M., Silamut K., Palaniappan K., Guo P., Hossain M.A., Sameer A., Maude R.J., Huang J.X., CNNbased image analysis for malaria diagnosis, 2016 IEEE International Conference on Bioinformatics and Biomedicine (BIBM, pp. 493-496, (2016); Gopakumar G.P., Swetha M., Sai Siva G., Sai Subrahmanyam G.R.K., Convolutional neural network ? based malaria diagnosis from focus stack of blood smear images acquired using custom?built slide scanner, Journal of Biophotonics, 11, (2018); Dong Y., Jiang Z., Shen H., Pan W.D., Williams L.A., Reddy V.V., Benjamin W.H., Bryan A.W., Evaluations of deep convolutional neural networks for automatic identification of malaria infected cells", in, IEEE EMBS International Conference on Biomedical &amp; Health Informatics (BHI, 2017, pp. 101-104, (2017); Tek F.B., Dempster A.G., Kale I., Computer vision for microscopy diagnosis of malaria, Malaria Journal, 8, 1, (2009); Jan Z., Khan A., Sajjad M., Muhammad K., Rho S., Mehmood I., A review on automated diagnosis of malaria parasite in microscopic blood smears images, Multimedia Tools and Applications, 77, 8, pp. 9801-9826, (2018); Poostchi M., Silamut K., Maude R.J., Jaeger S., Thoma G., Image analysis and machine learning for detecting malaria, Translational Research, 194, pp. 36-55, (2018); Albelwi S., Mahmood A., A Framework for Designing the Architectures of Deep Convolutional Neural Networks, Entropy, 19, 6, (2017); Bernal J., Kushibar K., Asfaw D.S., Valverde S., Oliver A., Marti R., Llado X., Deep convolutional neural networks for brain image analysis on magnetic resonance imaging: A review, Artificial Intelligence in Medicine, 95, pp. 64-81, (2019); Kumar A., Sarkar S., Pradhan C., Malaria Disease Detection Using CNN Technique with SGD, RMSprop and ADAM Optimizers, in Deep Learning Techniques for Biomedical and Health Informatics, 68, pp. 211-230, (2020); Altaf F., Islam S.M.S., Akhtar N., Janjua N.K., Going Deep in Medical Image Analysis: Concepts, Methods, Challenges, and Future Directions, IEEE Access, 7, pp. 99540-99572, (2019); Gu J., Wang Z., Kuen J., Ma L., Shahroudy A., Shuai B., Liu T., Wang X., Wang G., Cai J., Chen T., Recent advances in convolutional neural networks, Pattern Recognition, 77, pp. 354-377, (2018); Krizhevsky A., Sutskever I., Hinton G.E., Imagenet classification with deep convolutional neural networks, Advances in Neural Information Processing Systems, 60, pp. 1097-1105, (2012); Razavian A.S., Azizpour H., Sullivan J., Carlsson S.S., CNN features off-The-shelf: An astounding baseline for recognition, Proceedings of the IEEE Conference on Computer Vision and Pattern Recognition Workshops, pp. 806-813, (2014); Fuhad K.M., Tuba J.F., Sarker M., Ali R., Momen S., Mohammed N., Rahman T., Deep Learning Based Automatic Malaria Parasite Detection from Blood Smear and Its Smartphone Based Application, Diagnostics, 10, 5, (2020); Dang N., Saraf V., Khanna A., Gupta D., Sheikh T.H., Malaria Detection on Giemsa-Stained Blood Smears Using Deep Learning and Feature Extraction, International Conference on Innovative Computing and Communications, pp. 789-803, (2020); Simonyan K., Zisserman A., Very deep convolutional networks for large-scale image recognition, ArXiv Preprint ArXiv 1409.1556, (2014); Szegedy C., Liu W., Jia Y., Sermanet P., Reed S., Anguelov D., Erhan D., Vanhoucke V., Rabinovich A., Going deeper with convolutions, Proceedings of the IEEE Conference on Computer Vision and Pattern Recognition, pp. 1-9, (2015); He K., Zhang X., Ren S., Sun J., Deep residual learning for image recognition", in, Proceedings of the IEEE Conference on Computer Vision and Pattern Recognition, pp. 770-778, (2016); Penas K.E.D., Rivera P.T., Naval P.C., Malaria parasite detection and species identification on thin blood smears using a convolutional neural network", in, 2017 IEEE/ACM International Conference on Connected Health: Applications, Systems and Engineering Technologies (CHASE), Jul 2017, pp. 1-6; Hung J., Carpenter A., Applying faster R-CNN for object detection on malaria images", in, Proceedings of the IEEE Conference on Computer Vision and Pattern Recognition Workshops, pp. 56-61, (2017); Penas K.D., Rivera P.T., Naval P.C., Analysis of Convolutional Neural Networks and Shape Features for Detection and Identification of Malaria Parasites on Thin Blood Smears, Asian Conference on Intelligent Information and Database Systems, pp. 472-481, (2018); Rajaraman S., Antani S.K., Poostchi M., Silamut K., Hossain M.A., Maude R.J., Jaeger S., Thoma G.R., Pre-Trained convolutional neural networks as feature extractors toward improved malaria parasite detection in thin blood smear images, PeerJ, 6, (2018); Rajaraman S., Silamut K., Hossain M.A., Ersoy I., Maude R.J., Jaeger S., Thoma G.R., Antani S.K., Understanding the learned behavior of customized convolutional neural networks toward malaria parasite detection in thin blood smear images, Journal of Medical Imaging, 5, 3, (2018); Nayak S., Kumar S., Jangid M., Malaria Detection Using Multiple Deep Learning Approaches 2019 2nd, International Conference on Intelligent Communication and Computational Techniques (ICCT, 2019, pp. 292-297; Nugroho H.A., Abraham J.B., Azzira A.H., Frannita E.L., Nurfauzi R., Azif F.M., Murhandarwati E.E.H., Performance of Convolutional Neural Network in Detecting Plasmodium Parasites", in, IEEE 9th International Conference on System Engineering and Technology (ICSET, 2019, pp. 331-336, (2019); Qin B., Wu Y., Wang Z., Zheng H., Malaria Cell Detection Using Evolutionary Convolutional Deep Networks", in, 2019 Computing, Communications and IoT Applications (ComComAp, 2019, pp. 333-336; Rajaraman S., Jaeger S., Antani S.K., Performance evaluation of deep neural ensembles toward malaria parasite detection in thin-blood smear images, PeerJ, 7, (2019); Reddy A.S.B., Juliet D.S., Transfer Learning with ResNet-50 for Malaria Cell-Image Classification", in, 2019 International Conference on Communication and Signal Processing (ICCSP, 2019, pp. 0945-0949; Suriya M., Chandran V., Sumithra M.G., Enhanced deep convolutional neural network for malarial parasite classification, International Journal of Computers and Applications, pp. 1-10, (2019); Vijayalakshmi A., Rajesh K.B., Deep learning approach to detect malaria from microscopic images, Multimedia Tools and Applications, 79, 21, pp. 15297-15317, (2020); Cinar A., Yildirim M., Classification of malaria cell images with deep learning architectures, Ingenierie des Systèmes DInformation, 25, 1, pp. 35-39, (2020); Kudisthalert W., Pasupa K., Tongsima S., Counting and Classification of Malarial Parasite from Giemsa-Stained Thin Film Images, IEEE Access, 8, pp. 78663-78682, (2020); Quan Q., Wang J., Liu L., An Effective Convolutional Neural Network for Classifying Red Blood Cells in Malaria Diseases, Interdisciplinary Sciences, Computational Life Sciences, 12, pp. 217-225, (2020); Kumar A., Sarkar S., Pradhan C., Malaria Disease Detection Using CNN Technique with SGD, RMSprop and ADAM Optimizers, in Deep Learning Techniques for Biomedical and Health Informatics, 68, pp. 211-230, (2020); Jeager S., Malaria Datasets, (2019); Loddo A., Di Ruberto C., Kocher M., Prod Hom G., MP-IDB: The Malaria Parasite Image Database for Image Processing and Analysis, Ser. Lecture Notes in Sipaim-Miccai Biomedical Workshop, 1379, pp. 57-65, (2018)</t>
  </si>
  <si>
    <t xml:space="preserve">6th International Conference on Informatics and Computing, ICIC 2021</t>
  </si>
  <si>
    <t xml:space="preserve">3 November 2021 through 4 November 2021</t>
  </si>
  <si>
    <t xml:space="preserve">Virtual, Jakarta</t>
  </si>
  <si>
    <t xml:space="preserve">978-166542155-3</t>
  </si>
  <si>
    <t xml:space="preserve">Int. Conf. Informatics Comput., ICIC</t>
  </si>
  <si>
    <t xml:space="preserve">2-s2.0-85123680199</t>
  </si>
  <si>
    <t xml:space="preserve">Pundir P.; Aggarwal S.; Deshmukh M.</t>
  </si>
  <si>
    <t xml:space="preserve">Pundir, Pankaj (57191983776); Aggarwal, Shivam (59435672700); Deshmukh, Maroti (57191096641)</t>
  </si>
  <si>
    <t xml:space="preserve">57191983776; 59435672700; 57191096641</t>
  </si>
  <si>
    <t xml:space="preserve">Malaria detection using convolutional neural network</t>
  </si>
  <si>
    <t xml:space="preserve">In the tropical and subtropical countries, malaria has been a challenge, which really needs a quick and precise diagnosis to stop or control the disease. It is a serious and sometimes fatal disease caused by a parasite that commonly infects a certain type of mosquito which feeds on humans. The traditional microscopy technique has a few weaknesses which incorporate time utilization and reproducibility of the results. This paper deals with the automatic identification of malaria-infected cells using deep learning methods. Deep learning methods have the advantage of being able to automatically learn the features from the input data, thereby requiring minimal inputs from human experts for automated malaria diagnosis. An automated diagnostic system can significantly improve the efficiency of the pathologists and also reduce the need for dedicated pathologists in rural villages. © Springer Nature Singapore Pte Ltd 2021.</t>
  </si>
  <si>
    <t xml:space="preserve">10.1007/978-981-15-3383-9_17</t>
  </si>
  <si>
    <t xml:space="preserve">https://www.scopus.com/inward/record.uri?eid=2-s2.0-85087005403&amp;doi=10.1007%2f978-981-15-3383-9_17&amp;partnerID=40&amp;md5=8b0d2905601b7853bdcb8e6bf94fd39e</t>
  </si>
  <si>
    <t xml:space="preserve">Department of Computer Science and Engineering, National Institute of Technology Uttarakhand, Srinagar, India</t>
  </si>
  <si>
    <t xml:space="preserve">Pundir P., Department of Computer Science and Engineering, National Institute of Technology Uttarakhand, Srinagar, India; Aggarwal S., Department of Computer Science and Engineering, National Institute of Technology Uttarakhand, Srinagar, India; Deshmukh M., Department of Computer Science and Engineering, National Institute of Technology Uttarakhand, Srinagar, India</t>
  </si>
  <si>
    <t xml:space="preserve">Binary classification; Convolutions; Image preprocessing; Malaria; Neural network</t>
  </si>
  <si>
    <t xml:space="preserve">Automation; Convolutional neural networks; Deep learning; Diagnosis; Diseases; Malaria control; Tropics; Automated diagnostic systems; Infected cells; Learning methods; Malaria diagnosis; Microscopy technique; Reproducibilities; Rural villages; Subtropical countries; Learning systems</t>
  </si>
  <si>
    <t xml:space="preserve">Disease burden of malaria; Das D.K., Et al., Machine learning approach for automated screening of malaria parasite using light microscopic images, J. Micron, 45, pp. 97-106, (2013); Shawe-Taylor J., Cristianini N., Support vector machines, An Introduction to Support Vector Machines and Other Kernel-Based Learning Methods, pp. 93-112, (2000); Rish I., An empirical study of the naive Bayes classifier, IJCAI 2001 Workshop on Empirical Methods in Artificial Intelligence, 3, 22, (2001); Tek F.B., Dempster A.G., Kale I., Parasite detection and identification for automated thin blood film malaria diagnosis, J. Comput. Vis. Image Underst, 114, 1, pp. 21-32, (2010); Poostchi M., Silamut K., Maude R.J., Jaeger S., Thoma G., Image analysis and machine learning for detecting malaria, Transl. Res, 194, pp. 36-55, (2018); Kose M., Incel O.D., Ersoy C., Online human activity recognition on smart phones, Workshop on Mobile Sensing: From Smartphones and Wearables to Big Data, 16, pp. 11-15, (2012); Pan S.J., Yang Q., A survey on transfer learning, IEEE Trans. Knowl. Data Eng, 22, 10, pp. 1345-1359, (2010); Sharif Razavian A., Azizpour H., Sullivan J., Carlsson S., CNN features off-the-shelf: an astounding baseline for recognition, Proceedings of the IEEE Conference on Computer Vision and Pattern Recognition Workshops, pp. 806-813, (2014); Deng J., Et al., Imagenet: a large-scale hierarchical image database, 2009 IEEE Conference on Computer Vision and Pattern Recognition. IEEE, (2009); Gulli A., Pal S., Deep Learning with Keras, (2017); Mohammed H.A., Abdelrahman I.A.M., Detection and classification of malaria in thin blood slide images, 2017 International Conference on Communication, Control, Computing and Electronics Engineering (ICCCCEE), pp. 1-5; Wang L., Support Vector Machines: Theory and Applications, 177, (2005); Powers D.M., Evaluation: from precision, recall and F-measure to ROC, informedness, markedness and correlation, (2011); Vijayalakshmi A., Deep learning approach to detect malaria from microscopic images, Multimed. Tools Appl, pp. 1-21, (2019)</t>
  </si>
  <si>
    <t xml:space="preserve">M. Deshmukh; Department of Computer Science and Engineering, National Institute of Technology Uttarakhand, Srinagar, India; email: marotideshmukh@nituk.ac.in</t>
  </si>
  <si>
    <t xml:space="preserve">Hassanien A.E.; Bhatnagar R.; Darwish A.</t>
  </si>
  <si>
    <t xml:space="preserve">5th International Conference on Advanced Machine Learning Technologies and Applications, AMLTA 2020</t>
  </si>
  <si>
    <t xml:space="preserve">13 February 2020 through 15 February 2020</t>
  </si>
  <si>
    <t xml:space="preserve">978-981153382-2</t>
  </si>
  <si>
    <t xml:space="preserve">2-s2.0-85087005403</t>
  </si>
  <si>
    <t xml:space="preserve">Maduri P.K.; Shalu; Agrawal S.; Rai A.; Chaubey S.</t>
  </si>
  <si>
    <t xml:space="preserve">Maduri, Praveen Kumar (57215428003); Shalu (57940179000); Agrawal, Shobhit (57545593400); Rai, Alok (57547904200); Chaubey, Shubham (57541457600)</t>
  </si>
  <si>
    <t xml:space="preserve">57215428003; 57940179000; 57545593400; 57547904200; 57541457600</t>
  </si>
  <si>
    <t xml:space="preserve">Malaria Detection Using Image Processing and Machine Learning</t>
  </si>
  <si>
    <t xml:space="preserve">Malaria which has now become a common human disease is diagnosed in the present scenario starting with a clinical screening and then by medical treatment. Automated classification of malaria parasites using images is a bit challenging task due to the large amount of variability found in the display of skin abrasion. Many deep convolution neural networks show possibility for general highly variable tasks across many fine-grained object categories. Here we are working by using CNN network and datasets. CNN which is known as convolutional neural network is used to differentiate images on the basis of image pixel patterns. Our model mostly focusses on image processing using keras image generator for creating real time images. We basically train our model to easily differentiate between positive and negative images from the given datasets. Detecting malaria by image processing is very fast and reliable method as it does not require any experience. The main aim of using image processing is that our model can detect cells from multiple images taken from microscope via thin blood smear and detect them as positive and negative human blood cell and also it performs classification on human blood cell by using deep learning.  © 2021 IEEE.</t>
  </si>
  <si>
    <t xml:space="preserve">10.1109/ICAC3N53548.2021.9725557</t>
  </si>
  <si>
    <t xml:space="preserve">https://www.scopus.com/inward/record.uri?eid=2-s2.0-85126914274&amp;doi=10.1109%2fICAC3N53548.2021.9725557&amp;partnerID=40&amp;md5=b76861af18a5160820fe5507ef426120</t>
  </si>
  <si>
    <t xml:space="preserve">Galgotias College of Engineering and Technology (AKTU), Department of Electronics and Instrumentation Engineering, Knowledge Park 2, Greater Noida, India</t>
  </si>
  <si>
    <t xml:space="preserve">Maduri P.K., Galgotias College of Engineering and Technology (AKTU), Department of Electronics and Instrumentation Engineering, Knowledge Park 2, Greater Noida, India; Shalu, Galgotias College of Engineering and Technology (AKTU), Department of Electronics and Instrumentation Engineering, Knowledge Park 2, Greater Noida, India; Agrawal S., Galgotias College of Engineering and Technology (AKTU), Department of Electronics and Instrumentation Engineering, Knowledge Park 2, Greater Noida, India; Rai A., Galgotias College of Engineering and Technology (AKTU), Department of Electronics and Instrumentation Engineering, Knowledge Park 2, Greater Noida, India; Chaubey S., Galgotias College of Engineering and Technology (AKTU), Department of Electronics and Instrumentation Engineering, Knowledge Park 2, Greater Noida, India</t>
  </si>
  <si>
    <t xml:space="preserve">CNN; Human Blood cell; Image processing; Keras</t>
  </si>
  <si>
    <t xml:space="preserve">Blood; Cells; Convolution; Convolutional neural networks; Cytology; Deep neural networks; Diagnosis; Image processing; Automated classification; CNN; Human blood cells; Human disease; Images processing; Keras; Large amounts; Machine-learning; Malaria parasite; Medical treatment; Diseases</t>
  </si>
  <si>
    <t xml:space="preserve">Liang Z., Powell A., Ersoy I., Et al., CNN-based image analysis for malaria diagnosis, International Conference on Bioinformatics and Biomedicine (BIBM). IEEE, (2016); Dong Y., Jiang Z., Shen H., Pan W.D., Classification accuracies of malaria infected cells using deep convolutional neural networks based on decompressed images, SoutheastCon, 2017. IEEE, (2017); Bibin D., Nair M.S., Punitha P., Malaria Parasite Detection from Peripheral Blood Smear Images using Deep Belief Networks, International Journal of Applied Engineering Research., 5, pp. 9099-9108, (2017); Malaria Micropscopy Quality Assurance Manual, (2016); Li Y., Jin W., Zhu J., Zhang X., Li S., An adaptive deghosting method in neural network-based infrared detectors nonuniformity correction, Sensors, 18, 2, (2018); Mustafa W.A., Santiagoo R., Jamaluddin I., Othman N.S., Khairunizam W., Rohani M.N.K.H., Comparison of detection method on malaria cell images, Proc. Int. Conf. Comput. Approach Smart Syst. Design Appl. (ICASSDA), pp. 1-6, (2018); Pereira S., Pinto A., Alves V., Silva C.A., Brain tumor segmentation using convolutional neural networks in MRI images, IEEE Trans. Med. Imag., 35, 5, pp. 1240-1251, (2016)</t>
  </si>
  <si>
    <t xml:space="preserve">2-s2.0-85126914274</t>
  </si>
  <si>
    <t xml:space="preserve">Militante S.V.; Diamante R.A.</t>
  </si>
  <si>
    <t xml:space="preserve">Militante, Sammy V. (57210596088); Diamante, Renante A. (57211282225)</t>
  </si>
  <si>
    <t xml:space="preserve">57210596088; 57211282225</t>
  </si>
  <si>
    <t xml:space="preserve">Malaria Disease Diagnosis from a Blood Smear Samples using the Deep Learning MobileNet Models</t>
  </si>
  <si>
    <t xml:space="preserve">Malaria is caused by a bite of a female Malaria mosquito known as Anopheles mosquitoes and is life-threatening to human lives. Infected mosquitoes carry parasites and transmit them to a human person. An estimated 229 million reported cases of malaria-affected worldwide, and it claims more than 400 thousand lives and mostly children below five years of age, according to the report of the World Health Organization. Early prevention and treatment of malaria can cut disease spread and avoid deaths. The common techniques implemented by the medical authorities are either microscopy or rapid diagnostic test. Deep learning is a popular method used in solving classification problems. One such method is the Convolutional Neural Networks (CNN) that captures raw images in the pixel that learns to extract features from learned images and classifies the input image. In this study, the researchers were able to implement three versions MobileNet models of CNN. A total of 27,558 malaria parasitized and uninfected images were used. These datasets were divided into trained data of 22,046 images, test data of 4,134 images, and validation data of 1,378 images. The trained models generated an accuracy rate between 94% to 96.5%, having the MobileNetV3 with the highest accuracy rate earned of 96.5%. In contrast, the lowest recorded accuracy rate was the MobileNetV2 with a rate of The models were able to predict malaria parasitized and malaria uninfected images.  © 2021 IEEE.</t>
  </si>
  <si>
    <t xml:space="preserve">Proceedings - 4th International Conference on Vocational Education and Electrical Engineering: Strengthening Engagement with Communities through Artificial Intelligence Application in Education, Electrical Engineering and Information Technology, ICVEE 2021</t>
  </si>
  <si>
    <t xml:space="preserve">10.1109/ICVEE54186.2021.9649688</t>
  </si>
  <si>
    <t xml:space="preserve">https://www.scopus.com/inward/record.uri?eid=2-s2.0-85124423571&amp;doi=10.1109%2fICVEE54186.2021.9649688&amp;partnerID=40&amp;md5=de5af2d96ba81a95163dd14db2859848</t>
  </si>
  <si>
    <t xml:space="preserve">College of Engineering and Architecture, University of Antique, Antique, Philippines; Iloilo State College of Fisheries, Iloilo, Philippines</t>
  </si>
  <si>
    <t xml:space="preserve">Militante S.V., College of Engineering and Architecture, University of Antique, Antique, Philippines; Diamante R.A., Iloilo State College of Fisheries, Iloilo, Philippines</t>
  </si>
  <si>
    <t xml:space="preserve">blood smear; deep learning; hyperparamerization; malaria disease; mobilenet model</t>
  </si>
  <si>
    <t xml:space="preserve">Blood; Convolutional neural networks; Deep learning; Diagnosis; Accuracy rate; Anopheles mosquitoes; Blood smears; Convolutional neural network; Deep learning; Disease diagnosis; Hyperparamerization; Malaria disease; Malaria mosquitoes; Mobilenet model; Diseases</t>
  </si>
  <si>
    <t xml:space="preserve">World Malaria Report 2020; Devi S.S., Roy A., Singha J., Sheikh S.A., Laskar R.H., Malaria infected erythrocyte classification based on a hybrid classifier using microscopic images of thin blood smear, Multimedia Tools and Applications, 77, 1, pp. 631-660, (2016); Militante S.V., Malaria disease recognition through adaptive deep learning models of convolutional neural network, 2019 IEEE 6th International Conference on Engineering Technologies and Applied Sciences, pp. 1-6, (2019); Krizhevsky A., Sutskever I., Hinton G.E., ImageNet classification with deep convolutional neural networks, Communications of The ACM, 60, 6, pp. 84-90, (2017); Montalbo F.J.P., Alon A.S., Empirical analysis of a fine-tuned deep convolutional model in classifying and detecting malaria parasites from blood smears, KSII Transactions on Internet and Information Systems, 15, 1; Nayak S., Kumar S., Jangid M., Malaria detection using multiple deep learning approaches, 2019 2nd International Conference on Intelligent Communication and Computational Techniques, pp. 292-297, (2019); Rajaraman S., Jaeger S., Antani S.K., Performance evaluation of deep neural ensembles toward malaria parasite detection in thin-blood smear images, PeerJ, 7, (2019); Howard A.G., Zhu M., Chen B., Kalenichenko D., Wang W., Weyand T., Mobilenets: Efficient Convolutional Neural Networks for Mobile Vision Applications, (2017); Howard A., Zhu M., Zhmoginov A., Chen L.C., MobileNet v2: Inverted residuals and linear bottlenecks, IEEE Conference on Computer Vision and Pattern Recognition, pp. 4510-4520, (2018); Howard A., Sandler M., Chu G., Chen B., Tan M., Adam H., Searching for mobilenet v3, Proceedings of The IEEE/CVF International Conference on Computer Vision, pp. 1314-1324, (2018); Kingma D.P., Ba J.L., Adam: A Method for Stochastic Optimization, (2015); Sutskever I., Martens J., Dahl G., Hinton G., On The Importance of Initialization and Momentum in Deep Learning, 28, 3, pp. 1139-1147, (2013); Montalbo F.J.P., Hernandez A.A., An Optimized Classification Model for Coffea Liberica Disease using Deep Convolutional Neural Networks, 2020 16th IEEE International Colloquium on Signal Processing &amp; Its Applications, 2020, pp. 213-218; Selvaraju R.R., Cogswell M., Das A., Vedantam R., Parikh D., Batra D., Grad-cam: Visual Explanations from Deep Networks via Gradient-based Localization, International Journal of Computer Vision, 128, 2, pp. 336-359</t>
  </si>
  <si>
    <t xml:space="preserve">4th International Conference on Vocational Education and Electrical Engineering, ICVEE 2021</t>
  </si>
  <si>
    <t xml:space="preserve">2 October 2021 through 3 October 2021</t>
  </si>
  <si>
    <t xml:space="preserve">978-166540599-7</t>
  </si>
  <si>
    <t xml:space="preserve">Proc. - Int. Conf. Vocat. Educ. Electr. Eng.: Strength. Engagem. Communities through Artif. Intell. Appl. Educ., Electr. Eng. Inf. Technol., ICVEE</t>
  </si>
  <si>
    <t xml:space="preserve">2-s2.0-85124423571</t>
  </si>
  <si>
    <t xml:space="preserve">Paul A.; Bania R.K.</t>
  </si>
  <si>
    <t xml:space="preserve">Paul, Abhik (57490147400); Bania, Rubul Kumar (57191023955)</t>
  </si>
  <si>
    <t xml:space="preserve">57490147400; 57191023955</t>
  </si>
  <si>
    <t xml:space="preserve">Malaria Parasite Classification using Deep Convolutional Neural Network</t>
  </si>
  <si>
    <t xml:space="preserve">Malaria is one of the life-threatening diseases which spread by the Plasmodium parasites. Traditionally, microscopists analyze the microscopic blood smear images but it is time consuming and may leads to false negatives. Automated detection of malaria from the thin blood smear slide images is a challenging task. However, in the domain of medical and healthcare applications, classification accuracy plays a vital role. The higher level of false negatives in medical diagnosis systems may raise the risk of the patients by not employing the required treatment they exactly need. In this article, we have developed three Convolution Neural Network (CNN) models for the prediction of malaria from the red blood cell images into infected parasite red blood cells and uninfected parasite red blood cells. Finally, out of the three setups, proposed CNN setup-1 with kernel size 3 x 3 and pool size of 2 x 2 achieved an accuracy of 96%.  © 2021 IEEE.</t>
  </si>
  <si>
    <t xml:space="preserve">2021 International Conference on Computational Intelligence and Computing Applications, ICCICA 2021</t>
  </si>
  <si>
    <t xml:space="preserve">10.1109/ICCICA52458.2021.9697307</t>
  </si>
  <si>
    <t xml:space="preserve">https://www.scopus.com/inward/record.uri?eid=2-s2.0-85126433001&amp;doi=10.1109%2fICCICA52458.2021.9697307&amp;partnerID=40&amp;md5=de46065b8d08b5463c9c63c2d4728a5c</t>
  </si>
  <si>
    <t xml:space="preserve">North-Eastern Hill University, Department of Computer Application, Tura Campus, Meghalaya, India</t>
  </si>
  <si>
    <t xml:space="preserve">Paul A., North-Eastern Hill University, Department of Computer Application, Tura Campus, Meghalaya, India; Bania R.K., North-Eastern Hill University, Department of Computer Application, Tura Campus, Meghalaya, India</t>
  </si>
  <si>
    <t xml:space="preserve">Classification; CNN; Malaria; Red Blood Cell</t>
  </si>
  <si>
    <t xml:space="preserve">Blood; Cells; Computer aided diagnosis; Convolution; Convolutional neural networks; Cytology; Deep neural networks; Patient treatment; Application classifications; Automated detection; Blood smears; Convolution neural network; False negatives; Health care application; Malaria parasite; Parasite-; Plasmodium parasites; Red blood cell; Diseases</t>
  </si>
  <si>
    <t xml:space="preserve">(2021); Poostchi M., Silamut K., Maude R.J., Jaeger S., Thoma G., Image analysis and machine learning for detecting malaria, Translational Research, 194, pp. 36-55, (2018); Tek F.B., Dempster A.G., Kale I., Computer vision for microscopy diagnosis of malaria, Malaria Journal, 8, 153, pp. 1-14, (2009); Yamashita R., Nishio M., Do R.K.G., Togashi K., Convolutional neural networks: An overview and application in radiology, Insights into Imaging, 9, 4, pp. 611-629, (2018); Pan W.D., Dong Y., Wu D., Classification of Malaria-Infected Cells Using Deep Convolutional Neural Networks, (2018); Rahman A., Et al., Improving Malaria Parasite Detection from Red Blood Cell Using Deep Convolutional Neural Networks, (2019); Das D.K., Ghosh M., Pal M., Maiti A.K., Chakraborty C., Machine learning approach for automated screening of malaria parasite using light microscopic images, Micron, 45, pp. 97-106, (2015); Mohanty I., Pattanaik A.P., Swarnkar T., Automatic detection of malaria parasites using unsupervised techniques, Proceedings of the International Conference on ISMAC in Computational Vision and Bio-Engineering 2018 (ISMAC-CVB), 30, (2018); Var E., Tek F.B., Malaria parasite detection with deep transfer learning, 3rd IEEE International Conference on Computer Science and Engineering, Sarajevo, (2018); Geron A., Hands-On Machine Learning with Scikit-Learn, Keras, and TensorFlow: Concepts, Tools, and Techniques to Build Intelligent Systems, (2019); Mustafa W.A., Santiagoo R., Jamaluddin I., Othman N.S., Khairunizam W., Rohani M.N.K., Comparison of detection method on malaria cell images, IEEE International Conference on Computational Approach in Smart Systems Design and Applications, pp. 1-6, (2018); Brownlee J., Use Early Stopping to Halt the Training of Neural Networks at the Right Time, (2020); Kittichai V., Kaewthamasorn M., Thanee S., Et al., Classification for avian malaria parasite Plasmodium gallinaceum blood stages by using deep convolutional neural networks, Sci Rep, 11, (2021); Bania R.K., Halder A., R-HEFS: Rough set based heterogeneous ensemble feature selection method for medical data classification, Artificial Intelligence in Medicine, 114, (2021)</t>
  </si>
  <si>
    <t xml:space="preserve">R.K. Bania; North-Eastern Hill University, Department of Computer Application, Tura Campus, Meghalaya, India; email: rubul.bania@gmail.com</t>
  </si>
  <si>
    <t xml:space="preserve">26 November 2021 through 27 November 2021</t>
  </si>
  <si>
    <t xml:space="preserve">Nagpur</t>
  </si>
  <si>
    <t xml:space="preserve">978-166542040-2</t>
  </si>
  <si>
    <t xml:space="preserve">Int. Conf. Comput. Intell. Comput. Appl., ICCICA</t>
  </si>
  <si>
    <t xml:space="preserve">2-s2.0-85126433001</t>
  </si>
  <si>
    <t xml:space="preserve">Tan C.K.; Goh C.M.; Zikri Bin Sayed Aluwee S.A.; Khor S.W.; Chai M.T.</t>
  </si>
  <si>
    <t xml:space="preserve">Tan, Chiang Kang (57537888600); Goh, Chuan Meng (57111436200); Zikri Bin Sayed Aluwee, Sayed A. (57538301700); Khor, Siak Wang (36198377600); Chai, Meei Tyng (57201854253)</t>
  </si>
  <si>
    <t xml:space="preserve">57537888600; 57111436200; 57538301700; 36198377600; 57201854253</t>
  </si>
  <si>
    <t xml:space="preserve">Malaria Parasite Detection using Residual Attention U-Net</t>
  </si>
  <si>
    <t xml:space="preserve">Malaria is a life-threatening disease caused by Plasmodium parasites, and which is still a serious health concern worldwide nowadays. However, it is curable if early diagnosis could be performed. Due to the lack of access to expertise for diagnosis of the disease, often in poorly developed and remote areas, an automated yet accurate diagnostic solution is sought. In Malaysia, there exists 5 types of malaria parasites. As an initial proof of concept, automated segmentation of one of the types, Plasmodium falciparum, on thin blood smear was experimented using our proposed Residual Attention U-net, a type of Convolutional Neural Network that is used in deep learning system. Results showed an accuracy of 0.9687 and precision of 0.9691 when the trained system was used on verified test data. © 2021 IEEE</t>
  </si>
  <si>
    <t xml:space="preserve">Proceedings of the 2021 IEEE International Conference on Signal and Image Processing Applications, ICSIPA 2021</t>
  </si>
  <si>
    <t xml:space="preserve">10.1109/ICSIPA52582.2021.9576814</t>
  </si>
  <si>
    <t xml:space="preserve">https://www.scopus.com/inward/record.uri?eid=2-s2.0-85126649532&amp;doi=10.1109%2fICSIPA52582.2021.9576814&amp;partnerID=40&amp;md5=f5474c10513d8742bd253a4644b1e82d</t>
  </si>
  <si>
    <t xml:space="preserve">Department of Computer Science, Universiti Tunku Abdul Rahman (UTAR), Kampar, Perak, Malaysia; Department of Information Systems, Universiti Tunku Abdul Rahman (UTAR), Kampar, Perak, Malaysia</t>
  </si>
  <si>
    <t xml:space="preserve">Tan C.K., Department of Computer Science, Universiti Tunku Abdul Rahman (UTAR), Kampar, Perak, Malaysia; Goh C.M., Department of Computer Science, Universiti Tunku Abdul Rahman (UTAR), Kampar, Perak, Malaysia; Zikri Bin Sayed Aluwee S.A., Department of Computer Science, Universiti Tunku Abdul Rahman (UTAR), Kampar, Perak, Malaysia; Khor S.W., Department of Information Systems, Universiti Tunku Abdul Rahman (UTAR), Kampar, Perak, Malaysia; Chai M.T., Department of Computer Science, Universiti Tunku Abdul Rahman (UTAR), Kampar, Perak, Malaysia</t>
  </si>
  <si>
    <t xml:space="preserve">CNN; convolutional neural network; Deep learning; DL; Malaria; U-net</t>
  </si>
  <si>
    <t xml:space="preserve">Convolution; Convolutional neural networks; Deep learning; Diagnosis; CNN; Convolutional neural network; Deep learning; DL; Early diagnosis; Health concerns; Malaria parasite; Plasmodium parasites; Remote areas; U-net; Diseases</t>
  </si>
  <si>
    <t xml:space="preserve">Rapid Diagnostic Tests, (2021); O'Mahony N., Et al., Deep learning vs. Traditional computer vision, Advances in Intelligent Systems and Computing, 943, (2020); Processing T.I., Approaches H., Decoding the Dichotomy: Traditional Image Processing; Access O., Image processing, computer vision, and deep learning: New approaches to the analysis and physics interpretation of LHC events Image Processing, Computer Vision, and Deep Learning: New Approaches to the Analysis and Physics Interpretation of LHC Even, (2016); Wang J., Ma Y., Zhang L., Gao R.X., Wu D., Deep learning for smart manufacturing: Methods and applications, J. Manuf. Syst., pp. 1-13, (2018); Lundervold A.S., Lundervold A., An overview of deep learning in medical imaging focusing on MRI, Zeitschrift Fur Medizinische Physik, 29, 2, (2019); Ronneberger O., Fischer P., Brox T., U-Net: Convolutional Networks for Biomedical Image Segmentation, pp. 1-8; Ciresan D.C., Giusti A., Gambardella L.M., Schmidhuber J., Deep neural networks segment neuronal membranes in electron microscopy images, Advances in Neural Information Processing Systems, 4, (2012); Chen X., Yao L., Zhang Y., Member S., Residual Attention U-Net for Automated Multi-Class Segmentation of COVID-19 Chest CT Images, 14, 8, pp. 1-7, (2015); Midtvedt B., Helgadottir S., Argun A., Pineda J., Midtvedt D., Volpe G., Quantitative digital microscopy with deep learning, Applied Physics Reviews, 8, 1, (2021); Coudray N., Et al., Classification and mutation prediction from non-small cell lung cancer histopathology images using deep learning, Nat. Med., 24, 10, pp. 1559-1567, (2018); Liang Z., Et al., CNN-Based Image Analysis for Malaria Diagnosis, (2017); Rajaraman S., Et al., Pre-trained convolutional neural networks as feature extractors toward improved malaria parasite detection in thin blood smear images, PeerJ, 2018, 4, (2018); Rajaraman S., Jaeger S., Antani S.K., Performance evaluation of deep neural ensembles toward malaria parasite detection in thin-blood smear images, PeerJ, 7, (2019); Fuhad K.M.F., Tuba J.F., Sarker M.R.A., Momen S., Mohammed N., Rahman T., Deep learning based automatic malaria parasite detection from blood smear and its smartphone based application, Diagnostics, 10, 5, (2020); Vijayalakshmi A., Rajesh Kanna B., Deep learning approach to detect malaria from microscopic images, Multimed. Tools Appl., 79, 21-22, (2020); Tek F.B., Dempster A.G., Kale I., Parasite detection and identification for automated thin blood film malaria diagnosis, Comput. Vis. Image Underst., 114, 1, (2010); He K., Zhang X., Ren S., Sun J., Deep residual learning for image recognition, Proceedings of the IEEE Computer Society Conference on Computer Vision and Pattern Recognition, 2016, (2016); Xie S., Girshick R., Dollar P., Tu Z., He K., Aggregated residual transformations for deep neural networks, Proceedings - 30th IEEE Conference on Computer Vision and Pattern Recognition, CVPR 2017, 2017, (2017); Kitaev N., Kaiser L., Levskaya A., Reformer: The Efficient Transformer, (2020); Das D.K., Ghosh M., Pal M., Maiti A.K., Chakraborty C., Machine learning approach for automated screening of malaria parasite using light microscopic images, Micron, 45, (2013); Bibin D., Nair M.S., Punitha P., Malaria parasite detection from peripheral blood smear images using deep belief networks, IEEE Access, 5, (2017); Yang F., Et al., Deep learning for smartphone-based malaria parasite detection in thick blood smears, IEEE J. Biomed. Heal. Informatics, 24, 5, (2020); Simonyan K., Zisserman A., Very Deep Convolutional Networks for Large-Scale Image Recognition, (2015); Iandola F.N., Han S., Moskewicz M.W., Ashraf K., Dally W.J., Keutzer K., 50 x fewer parameters and &lt; 0. 5Mb model size, Iclr, (2016)</t>
  </si>
  <si>
    <t xml:space="preserve">7th IEEE International Conference on Signal and Image Processing Applications, ICSIPA 2021</t>
  </si>
  <si>
    <t xml:space="preserve">13 September 2021 through 15 September 2021</t>
  </si>
  <si>
    <t xml:space="preserve">978-166543592-5</t>
  </si>
  <si>
    <t xml:space="preserve">Proc. IEEE Int. Conf. Signal Image Process. Appl., ICSIPA</t>
  </si>
  <si>
    <t xml:space="preserve">2-s2.0-85126649532</t>
  </si>
  <si>
    <t xml:space="preserve">Mustafa W.A.; Alquran H.; Aihsan M.Z.; Saifizi M.; Khairunizam W.; Abdul-Nasir A.S.; Abdul Kader M.M.M.; Salimi M.N.; Nasrudin M.W.</t>
  </si>
  <si>
    <t xml:space="preserve">Mustafa, Wan Azani (57219421621); Alquran, Hiam (56198738900); Aihsan, Muhammad Zaid (56479160600); Saifizi, Mohd (56015096300); Khairunizam, Wan (57200576499); Abdul-Nasir, Aimi Salihah (57219027157); Abdul Kader, Mohamed Mydin M. (57202264868); Salimi, Midhat Nabil (54788410200); Nasrudin, Mohd Wafi (57193691419)</t>
  </si>
  <si>
    <t xml:space="preserve">57219421621; 56198738900; 56479160600; 56015096300; 57200576499; 57219027157; 57202264868; 54788410200; 57193691419</t>
  </si>
  <si>
    <t xml:space="preserve">Malaria Parasite Diagnosis Using Computational Techniques: A Comprehensive Review</t>
  </si>
  <si>
    <t xml:space="preserve">Malaria is a very serious disease that caused by the transmitted of parasites through the bites of infected Anopheles mosquito. Malaria death cases can be reduced and prevented through early diagnosis and prompt treatment. A fast and easy-to-use method, with high performance is required to differentiate malaria from non-malarial fevers. Manual examination of blood smears is currently the gold standard, but it is time-consuming, labour-intensive, requires skilled microscopists and the sensitivity of the method depends heavily on the skills of the microscopist. Currently, microscopy-based diagnosis remains the most widely used approach for malaria diagnosis. The development of automated malaria detection techniques is still a field of interest. Automated detection is faster and high accuracy compared to the traditional technique using microscopy. This paper presents an exhaustive review of these studies and suggests a direction for future developments of the malaria detection techniques. This paper analysis of three popular computational approaches which is k-mean clustering, neural network, and morphological approach was presented. Based on overall performance, many research proposed based on the morphological approach in order to detect malaria. © 2021 Institute of Physics Publishing. All rights reserved.</t>
  </si>
  <si>
    <t xml:space="preserve">10.1088/1742-6596/2107/1/012031</t>
  </si>
  <si>
    <t xml:space="preserve">https://www.scopus.com/inward/record.uri?eid=2-s2.0-85122022697&amp;doi=10.1088%2f1742-6596%2f2107%2f1%2f012031&amp;partnerID=40&amp;md5=b9b5040c806a162bf3075b6ef4b4644b</t>
  </si>
  <si>
    <t xml:space="preserve">Faculty of Electrical Engineering Technology, Universiti Malaysia Perlis, Campus Pauh Putra, Arau, Perlis, 02600, Malaysia; Advanced Computing (AdvComp), Centre of Excellence (CoE), Universiti Malaysia Perlis (UniMAP), Campus Pauh Putra, Arau, Perlis, 02600, Malaysia; Biomedical Systems and Medical Informatics Engineering, Yarmouk University, Jordan; Faculty of Chemical Engineering Technology, Universiti Malaysia Perlis (UniMAP), Arau, 02600, Malaysia; Faculty of Electronic Engineering Technology, Universiti Malaysia Perlis, Campus Pauh Putra, Arau, Perlis, 02600, Malaysia</t>
  </si>
  <si>
    <t xml:space="preserve">Mustafa W.A., Faculty of Electrical Engineering Technology, Universiti Malaysia Perlis, Campus Pauh Putra, Arau, Perlis, 02600, Malaysia, Advanced Computing (AdvComp), Centre of Excellence (CoE), Universiti Malaysia Perlis (UniMAP), Campus Pauh Putra, Arau, Perlis, 02600, Malaysia; Alquran H., Advanced Computing (AdvComp), Centre of Excellence (CoE), Universiti Malaysia Perlis (UniMAP), Campus Pauh Putra, Arau, Perlis, 02600, Malaysia, Biomedical Systems and Medical Informatics Engineering, Yarmouk University, Jordan; Aihsan M.Z., Faculty of Electrical Engineering Technology, Universiti Malaysia Perlis, Campus Pauh Putra, Arau, Perlis, 02600, Malaysia; Saifizi M., Faculty of Electrical Engineering Technology, Universiti Malaysia Perlis, Campus Pauh Putra, Arau, Perlis, 02600, Malaysia; Khairunizam W., Faculty of Electrical Engineering Technology, Universiti Malaysia Perlis, Campus Pauh Putra, Arau, Perlis, 02600, Malaysia; Abdul-Nasir A.S., Faculty of Electrical Engineering Technology, Universiti Malaysia Perlis, Campus Pauh Putra, Arau, Perlis, 02600, Malaysia; Abdul Kader M.M.M., Faculty of Electrical Engineering Technology, Universiti Malaysia Perlis, Campus Pauh Putra, Arau, Perlis, 02600, Malaysia; Salimi M.N., Faculty of Chemical Engineering Technology, Universiti Malaysia Perlis (UniMAP), Arau, 02600, Malaysia; Nasrudin M.W., Faculty of Electronic Engineering Technology, Universiti Malaysia Perlis, Campus Pauh Putra, Arau, Perlis, 02600, Malaysia</t>
  </si>
  <si>
    <t xml:space="preserve">K-mean clustering; Malaria; Morphological; Neural network; Review</t>
  </si>
  <si>
    <t xml:space="preserve">Diagnosis; K-means clustering; Anopheles mosquitoes; Computational technique; Early diagnosis; K-means++ clustering; Malaria parasite; Morphological; Morphological approach; Neural-networks; Parasite-; Performance; Diseases</t>
  </si>
  <si>
    <t xml:space="preserve">Elter M, Hasslmeyer E, Zerfass T, Detection of malaria parasites in thick blood films, 33rd Annual International Conference of the IEEE EMBS, pp. 5140-5144, (2011); Kareem S, Kale I, Morling R C S, Automated P. falciparum Detection System for Post-treatment Malaria Diagnosis Using Modified Annular Ring Ratio Method, (2012); Bhowmik K, Rakshit P, Detection of presence of Parasites in Human RBC, Case of Diagnosing Malaria International Conference on Image Information Processing, pp. 329-334, (2013); Chakrabortya K, Chattopadhyay A, Chakrabarti A, Acharyad T, Dasguptae A K, A Combined Algorithm for Malaria Detection from Thick Smear Blood Slides, J. Heal. Med. Informatics, 6, pp. 1-6, (2015); Chakrabortya K, Chattopadhyayb A, Chakrabarti A, Acharyad T, Dasguptae A K, Informatics A Combined Algorithm for Malaria Detection from Thick Smear Blood Slides, J. Heal. Med. Informatics, 6, pp. 1-6, (2015); Devi S D, Sharada R, Shankari R, Tamilarasi T, Priya G, Automatic Diagnosis of Acute Lymphoblastic Leukemia Using Duplex Method, Int. J. Healthc. Sci, 5, pp. 14-21, (2017); Bairagi V K, Charpe K C, Comparison of Texture Features Used for Classification of Life Stages of Malaria Parasite Int, J. Biomed. Imaging 2016, (2016); Memeu D M, Kaduki K A, Mjomba A C K, Muriuki N S, Gitonga L, Detection of plasmodium parasites from images of thin blood smears, Open J. Clin. Diagnostics, 2013, pp. 183-194, (2013); Gitonga L, Memeu D M, Kaduki K A, Allen M, Kale C, Muriuki N S, Determination of Plasmodium Parasite Life Stages and Species in Images of Thin Blood Smears Using Artificial Neural Network, Open J. Clin. Diagnostics, 4, pp. 78-88, (2014); Abdul-nasir A S, Mashor M Y, Mohamed Z, Colour Image Segmentation Approach for Detection of Malaria Parasites Using Various Colour Models and k -Means Clustering, WSEAS Trans. Biol. Biomed, 10, pp. 41-55, (2013); Abdul-nasir A S, Mashor M Y, Hazwani N, Halim A, Mohamed Z, The Cascaded Moving k -Means and Fuzzy c -Means Clustering Algorithms for Unsupervised Segmentation of Malaria Images, AIP Conference Proceedings, pp. 1-11, (2015); Sivakumar S, Ramesh S, Automatic White Blood Cell Segmentation Using K Means Clustering, Int. J. Sci. Eng. Res, 3, pp. 1-5, (2015); Edy Victor Haryanto S, Mashor M Y, Nasir A S A, Mohamed Z, Identification of Giemsa Staind of Malaria Using K-Means Clustering Segmentation Technique 2018 6th International Conference on Cyber and IT Service Management, CITSM 2018, (2019); Padmapriya B, Sangeetha M S, Ramya Priya Nandhini G, Anusha Devi T T, Detection of malarial parasites using image processing techniques from blood smear slides, Res. J. Pharm. Technol, 11, pp. 4401-4406, (2018); Savkare S S, Narote A S, Narote S P, Automatic blood cell segmentation using K-Mean clustering from microscopic thin blood images, ACM International Conference Proceeding Series, 21, pp. 8-11, (2016); Muda T Z T, Salam R A, Blood cell image segmentation using hybrid K-means and median-cut algorithms, Proceedings - 2011 IEEE International Conference on Control System, Computing and Engineering, ICCSCE 2011, pp. 237-243, (2011); Rajaraman S, Silamut K, Hossain M A, Ersoy I, Maude R J, Jaeger S, Thoma G R, Antani S K, Understanding the learned behavior of customized convolutional neural networks toward malaria parasite detection in thin blood smear images, J. Med. Imaging, 5, (2018); Rajaraman S, Antani S K, Poostchi M, Silamut K, Hossain M A, Maude R J, Jaeger S, Thoma G R, Pre-trained convolutional neural networks as feature extractors toward improved malaria parasite detection in thin blood smear images, PeerJ 2018, (2018); Lydia E L, Moses G J, Sharmili N, Shankar K, Maseleno A, Image classification using deep neural networks for malaria disease detection, Int. J. Emerg. Technol, 10, pp. 66-70, (2019); Kumar R, Singh S K, Khamparia A, Malaria Detection Using Custom Convolutional Neural Network Model on Blood Smear Slide Images Communications in, Computer and Information Science, 1075, pp. 20-28, (2019); Manescu P, Shaw M J, Elmi M, Neary-Zajiczek L, Claveau R, Pawar V, Kokkinos I, Oyinloye G, Bendkowski C, Oladejo O A, Oladejo B F, Clark T, Timm D, Shawe-Taylor J, Srinivasan M A, Lagunju I, Sodeinde O, Brown B J, Fernandez-Reyes D, Expert-level automated malaria diagnosis on routine blood films with deep neural networks, Am. J. Hematol, 95, pp. 883-891, (2020); Shi L, Guan Z, Liang C, You H, Automatic Classification of Plasmodium for Malaria Diagnosis based on Ensemble Neural Network, ACM International Conference Proceeding Series, pp. 80-85, (2020); Chowdhury A B, Roberson J, Hukkoo A, Bodapati S, Cappelleri D J, Automated complete blood cell count and malaria pathogen detection using convolution neural network, IEEE Robot. Autom. Lett, 5, pp. 1047-1054, (2020); Cruz D, Claro M, Veras R, Vogado L, Portela H, Moura N, Luz D, P-FideNet: Plasmodium Falciparum Identification Neural Network Lecture Notes in Computer Science (including subseries Lecture Notes in Artificial Intelligence and Lecture Notes in Bioinformatics), 12509, pp. 369-380, (2020); Hu J, Liu J, Liang P, Li B, A novel method based on convolutional neural network for malaria diagnosis, J. Intell. Fuzzy Syst, 39, pp. 7961-7976, (2020); Zhao O S, Kolluri N, Anand A, Chu N, Bhavaraju R, Ojha A, Tiku S, Nguyen D, Chen R, Morales A, Valliappan D, Patel J P, Nguyen K, Convolutional neural networks to automate the screening of malaria in low-resource countries, PeerJ, 8, (2020); Diyasa I G S M, Fauzi A, Setiawan A, Idhom M, Wahid R R, Alhajir A D, Pre-Trained Deep Convolutional Neural Network for Detecting Malaria on the Human Blood Smear Images 3rd International Conference on Artificial Intelligence in Information and Communication, ICAIIC, 2021, pp. 235-240, (2021); Banerjee T, Jain A, Sethuraman S C, Satapathy S C, Karthikeyan S, Jubilson A, Deep Convolutional Neural Network (Falcon) and transfer learning‐based approach to detect malarial parasite Multimed, Tools Appl., (2021); Pundir P, Aggarwal S, Deshmukh M, Malaria detection using convolutional neural network, Advances in Intelligent Systems and Computing, 1141, pp. 187-195, (2021); Ragb H K, Dover I T, Ali R, Deep Convolutional Neural Network Ensemble for Improved Malaria Parasite Detection, pp. 1-10, (2021); Mehrjou A, Abbasian T, Izadi M, Automatic malaria diagnosis system, Int. Conf. Robot. Mechatronics, ICRoM, 2013, pp. 205-211, (2013); Vink J P, Laubscher M, Vlutters R, Silamut K, Maude R J, Hasan M U, De Haan G, An automatic vision-based malaria diagnosis system, J. Microsc, 250, pp. 166-178, (2013); Poostchi M, Silamut K, Maude R J, Jaeger S, Thoma G, Image analysis and machine learning for detecting malaria, Transl. Res, 194, pp. 36-55, (2018); Zhou X, Li Z, Xie H, Feng T, Lu Y, Wang C, Chen R, Leukocyte Image Segmentation Based on Adaptive Histogram Thresholding and Contour Detection, Curr. Bioinform, 15, pp. 187-195, (2019); Bhattacharya S, Bhan A, Goyal A, Hybrid Segmentation of Malaria-Infected Cells in Thin Blood Slide Images, Advances in Intelligent Systems and Computing, 941, pp. 925-934, (2020); Mushabe M C, Dendere R, Douglas T S, Member S, Automated Detection of Malaria in Giemsa-Stained Thin Blood Smears, pp. 3698-3701, (2013); Aggarwal P, Khatter A, Vyas G, An Intensity Threshold based Image Segmentation of Malaria Infected Cells, Proceedings of the 2nd International Conference on Computing Methodologies and Communication, ICCMC 2018, pp. 549-553, (2018); Awasthi N, Katare P, Gorthi S S, Yalavarthy P K, Guided filter based image enhancement for focal error compensation in low cost automated histopathology microscopic system, J. Biophotonics, 13, (2020); Glassner A S, Graphics Gems, (2013); Gu K, Zhai G, Lin W, Liu M, The analysis of image contrast: From quality assessment to automatic enhancement, IEEE Trans. Cybern, 46, pp. 284-297, (2016); Kou F, Chen W, Li Z, Wen C, Content adaptive image detail enhancement, IEEE Signal Process. Lett, 22, pp. 211-215, (2015); Treece G, Morphology-Based Noise Reduction: Structural Variation and Thresholding in the Bitonic Filter, IEEE Trans. Image Process, 29, pp. 336-350, (2020); Gonzalez R C, Woods R E, Eddins S L, Digital Image Processing Using Matlab - Gonzalez Woods &amp; Eddins.pdf, Education, 624, (2004); Petschnigg G, Szeliski R, Agrawala M, Cohen M, Hoppe H, Toyama K, Digital photography with flash and no-flash image pairs, ACM Transactions on Graphics, 23, pp. 664-672, (2004); Chatterjee S, Majumder P, Automated Classification and Detection of Malaria Cell Using Computer Vision, Advances in Intelligent Systems and Computing, 1255, pp. 473-482, (2021); Salamah U, Sarno R, Arifin A Z, Nugroho A S, Rozi I E, Asih P B S, A robust segmentation for malaria parasite detection of thick blood smear microscopic images, Int. J. Adv. Sci. Eng. Inf. Technol, 9, pp. 1450-1459, (2019); Nugroho H A, Imaroh K, Ardiyanto I, Zulfanahri Z, Frannita E L, Automated Detection of Plasmodium Ovale and Malariae Species on Microscopic Thin Blood Smear Images, Int. J. Adv. Soft Comput. its Appl, 12, pp. 35-48, (2020); Sharma M, Devi S S, Laskar R H, Automatic Detection of Malaria Infected Erythrocytes Based on the Concavity Point Identification and Pseudo-Valley Based Thresholding, IETE J. Res, pp. 1-18, (2020); Nugroho H A, Tantowi F L, Anggara R, Dean Aldibra T M, Nurfauzi R, Frannita E L, Prananda A R, Segmentation of plasmodium using saturation channel of HSV color space 2019 International Conference on Information and Communications Technology, ICOIACT, 2019, pp. 91-94, (2019); Hendrawan Y F, Angkoso C V, Wahyuningrum R T, Colour image segmentation for malaria parasites detection using cascading method, Proceedings - 2017 International Conference on Sustainable Information Engineering and Technology, SIET 2017, 2018, pp. 83-87, (2018); Varma S L, Chavan S S, Detection of malaria parasite based on thick and thin blood smear images using local binary pattern, Advances in Intelligent Systems and Computing, 810, pp. 967-976, (2018); Mustafa W A, Abdul-nasir A S, Mohamed Z, Yazid H, Segmentation Based on Morphological Approach for Enhanced Malaria Parasites Detection, J. Telecommun. Electron. Comput. Eng. segmentation, 10, pp. 15-20, (2018); Reni S K, Kale I, Morling R, Analysis of thin blood images for automated malaria diagnosis 2015 E-Health and Bioengineering Conference, EHB 2015, (2016)</t>
  </si>
  <si>
    <t xml:space="preserve">W.A. Mustafa; Faculty of Electrical Engineering Technology, Universiti Malaysia Perlis, Campus Pauh Putra, Arau, Perlis, 02600, Malaysia; email: wanazani@unimap.edu.my</t>
  </si>
  <si>
    <t xml:space="preserve">Abdul Shukor S.A.; Kheng S.; Kiang L.C.; Mustafa W.A.W.; Talib M.T.M.; Rahiman M.H.F.; Kamarudin K.; Abdul Nasir A.S.</t>
  </si>
  <si>
    <t xml:space="preserve">IDEARIA Sdn. Bhd.</t>
  </si>
  <si>
    <t xml:space="preserve">7th International Conference on Man Machine Systems, ICoMMS 2021</t>
  </si>
  <si>
    <t xml:space="preserve">19 October 2021 through 20 October 2021</t>
  </si>
  <si>
    <t xml:space="preserve">Perlis, Virtual</t>
  </si>
  <si>
    <t xml:space="preserve">2-s2.0-85122022697</t>
  </si>
  <si>
    <t xml:space="preserve">Sharma R.; Thanvi A.; Goyal D.; Kumar M.; Singh S.; Jangir S.K.</t>
  </si>
  <si>
    <t xml:space="preserve">Sharma, Raghav (57219413738); Thanvi, Anirudhi (57219414352); Goyal, Dinesh (57211719867); Kumar, Manish (57204637862); Singh, Shatakshi (57222119529); Jangir, Sunil Kumar (57191277751)</t>
  </si>
  <si>
    <t xml:space="preserve">57219413738; 57219414352; 57211719867; 57204637862; 57222119529; 57191277751</t>
  </si>
  <si>
    <t xml:space="preserve">Malarial Parasite Detection by Leveraging Cognitive Algorithms: A Comparative Study</t>
  </si>
  <si>
    <t xml:space="preserve">Malaria alludes to an infectious mosquito-borne malady brought about by parasite sort plasmodium transferred by female anopheles mosquito. In the host liver, the parasite duplicates itself and starts annihilating the red blood cells. The visual examination of disease is inspected by a magnifying instrument for diseased red cells. Doing diagnosis manually majorly relies on the pathologists with good skills and expertise, and reports may change in various laboratories. Another route around, many ML algorithms have been applied for the unconstrained location of blood spread. This paper features the headway in the field of ML and its useful applications in the discovery, distinguishing proof and finding of the malarial disease. This paper gives an insight of how transfer learning and deep learning is considered a prominent technique in computer vision, it is entirely possible to achieve certain rather good performance contrasted with other conventional ML algorithms that need a thorough feature engineering and complex information pipelines. © 2021, The Author(s), under exclusive license to Springer Nature Singapore Pte Ltd.</t>
  </si>
  <si>
    <t xml:space="preserve">10.1007/978-981-15-9689-6_78</t>
  </si>
  <si>
    <t xml:space="preserve">https://www.scopus.com/inward/record.uri?eid=2-s2.0-85101567510&amp;doi=10.1007%2f978-981-15-9689-6_78&amp;partnerID=40&amp;md5=5cf1a0ce5d75e74039228a6b7329a682</t>
  </si>
  <si>
    <t xml:space="preserve">Department of Information Technology, Jaipur Engineering College and Research Centre, Jaipur, India; Department of Computer Science Engineering, Poornima Institute of Engineering and Technology, Jaipur, India; Department of Biomedical Engineering, MODY University of Science and Technology, Lakshmangarh, India; Department of Computer Science and Engineering, School of Engineering and Technology, MODY University of Science and Technology, Lakshmangarh, India</t>
  </si>
  <si>
    <t xml:space="preserve">Sharma R., Department of Information Technology, Jaipur Engineering College and Research Centre, Jaipur, India; Thanvi A., Department of Information Technology, Jaipur Engineering College and Research Centre, Jaipur, India; Goyal D., Department of Computer Science Engineering, Poornima Institute of Engineering and Technology, Jaipur, India; Kumar M., Department of Biomedical Engineering, MODY University of Science and Technology, Lakshmangarh, India; Singh S., Department of Computer Science and Engineering, School of Engineering and Technology, MODY University of Science and Technology, Lakshmangarh, India; Jangir S.K., Department of Computer Science and Engineering, School of Engineering and Technology, MODY University of Science and Technology, Lakshmangarh, India</t>
  </si>
  <si>
    <t xml:space="preserve">CNN; Image processing; Machine learning; Malaria parasite detection; Transfer learning</t>
  </si>
  <si>
    <t xml:space="preserve">Caraballo H., King K., Emergency department management of mosquito-borne illness: Malaria, dengue, and West Nile virus, Emergency Med Pract, 16, 5, pp. 1-23, (2014); Vatsal Babel S.K.J., Singh B.K., Evaluation methods for machine learning, J Anal Comput, 11, I, pp. 1-6, (2018); Thanvi A., Sharma R., Menghani B., Kumar M., Jangir S.K., A study on uninterrupted security in IoT based healthcare system, Iot and Cloud Computing Based Healthcare Information System, (2020); Sharma R., Thanvi A., Menghani B., Kumar M., Jangir S.K., An approach towards information retrieval through machine learning and its algorithms: A review, FICR International Conference on Rising Threats in Expert Application Solution IIS University, (2020); Tek F.B., Dempster A.G., Kale I., Parasite detection and identification for automated thin blood film malaria diagnosis, Comput Vis Image Underst, 114, 1, pp. 21-32, (2010); Diaz G., Gonzalez F.A., Romero E., A semi-automatic method for quantification and classification of erythrocytes infected with malaria parasites in microscopic images, J Biomed Inform, 42, 2, pp. 296-307, (2009); Das D.K., Ghosh M., Pal M., Maiti A.K., Chakraborty C., Machine learning approach for automated screening of malaria parasite using light microscopic images, Micron, 45, pp. 97-106, (2013); Krizhevsky A., Sutskever I., Hinton G.E., Imagenet Classification with Deep Convolutional Neural Networks, (2012); Gopakumar G.P., Swetha M., Sai Siva G., Sai Subrahmanyam G.R.K., Convolutional neural network-based malaria diagnosis from focus stack of blood smear images acquired using custom-built slide scanner, J Biophotonics, 11, 3, (2018); Malihi L., Ansari-Asl K., Behbahani A., Malaria parasite detection in giemsa-stained blood cell images, Iranian Conference on Machine Vision and Image Processing, MVIP, pp. 360-365, (2013); Maitethia D., A Rapid Malaria Diagnostic Method Based on Automatic Detection and Classification of Plasmodium Parasites in Stained Thin Blood Smear Images, (2014); Kumarasamy S.K., Ong S.H., Tan K.S.W., Robust contour reconstruction of red blood cells and parasites in the automated identification of the stages of malarial infection, Mach Vis Appl, 22, 3, pp. 461-469, (2011); Rajaraman S., Et al., Pre-trained convolutional neural networks as feature extractors toward improved malaria parasite detection in thin blood smear images, Peerj, 2018, 4, (2018); Khot S.T., Prasad R.K., Optimal computer based analysis for detecting malarial parasites, Adv Intell Syst Comput, 327, pp. 69-80, (2014); Chou Y., Tiu C., Hung G., Wu S, (2001); Chaitanya Velagapudi K., Devavarapu S, Shaik KS Random Forest Algorithm of Classification in Prediction of Diabetes, Vol 9, 10, pp. 57-69; Tien Bui D., Pradhan B., Lofman O., Revhaug I., Landslide susceptibility assessment in Vietnam using support vector machines, decision tree, and nave Bayes models, Math Probl Eng, (2012)</t>
  </si>
  <si>
    <t xml:space="preserve">R. Sharma; Department of Information Technology, Jaipur Engineering College and Research Centre, Jaipur, India; email: rs1151015@gmail.com</t>
  </si>
  <si>
    <t xml:space="preserve">Goyal D.; Gupta A.K.; Piuri V.; Ganzha M.; Paprzycki M.</t>
  </si>
  <si>
    <t xml:space="preserve">2nd International Conference on Information Management and Machine Intelligence, ICIMMI 2020</t>
  </si>
  <si>
    <t xml:space="preserve">24 July 2020 through 25 July 2020</t>
  </si>
  <si>
    <t xml:space="preserve">978-981159688-9</t>
  </si>
  <si>
    <t xml:space="preserve">2-s2.0-85101567510</t>
  </si>
  <si>
    <t xml:space="preserve">Mehta J.P.; Patel S.; Chavada M.; Dobariya R.; Jariwala V.</t>
  </si>
  <si>
    <t xml:space="preserve">Mehta, Jinam Pankajbhai (57221103193); Patel, Sanket (57221093140); Chavada, Mukesh (57221094510); Dobariya, Rashes (57221109386); Jariwala, Vivaksha (35324363600)</t>
  </si>
  <si>
    <t xml:space="preserve">57221103193; 57221093140; 57221094510; 57221109386; 35324363600</t>
  </si>
  <si>
    <t xml:space="preserve">Medicare with Machine Learning and Deep Learning</t>
  </si>
  <si>
    <t xml:space="preserve">India is facing a scarcity of medical expertise, modern medical equipment, and hospitals. People in rural areas don’t even have access to healthcare facilities. At the same time, country is struggling to fight with deadly diseases like malaria and pneumonia that causes thousands of deaths every year. Hence, it becomes the necessity to come up with an alternate solution that can eliminate the challenges posed by lack of enough medical professionals and health infrastructure. Artificial intelligence concepts machine learning and deep learning can be applied to automate the process of disease identification and diagnosis. The paper proposes the system named “Medicare” that operates in two parts. The first module allows the user to predict the potential diseases by providing the likely symptoms. The module works on the concept of machine learning. We feed the dataset comprises of various diseases and associated symptoms pairs. Both doctors and normal people can make use of this disease predictor. Doctors can use this to verify their diagnosis results with the outcome of the system. Normal people can use this to diagnose the disease at home. The system depicts the potential diseases with their probabilities and advises them whether to consult the doctors or not. The second module allows us to test whether a medical image is positive or negative. This module works on the concept of a convolutional neural network that performs the image processing on the image to test the image. Little bit modification will allow the person to test several images at the same time, hence will save time and cost. © 2021, The Editor(s) (if applicable) and The Author(s), under exclusive license to Springer Nature Singapore Pte Ltd.</t>
  </si>
  <si>
    <t xml:space="preserve">10.1007/978-981-15-8354-4_17</t>
  </si>
  <si>
    <t xml:space="preserve">https://www.scopus.com/inward/record.uri?eid=2-s2.0-85098218236&amp;doi=10.1007%2f978-981-15-8354-4_17&amp;partnerID=40&amp;md5=f2538fd38ab2643f3277f094f4f4f2c0</t>
  </si>
  <si>
    <t xml:space="preserve">Department of Information Technology, Sarvajanik College of Engineering &amp; Technology, Surat, 395002, Gujarat, India</t>
  </si>
  <si>
    <t xml:space="preserve">Mehta J.P., Department of Information Technology, Sarvajanik College of Engineering &amp; Technology, Surat, 395002, Gujarat, India; Patel S., Department of Information Technology, Sarvajanik College of Engineering &amp; Technology, Surat, 395002, Gujarat, India; Chavada M., Department of Information Technology, Sarvajanik College of Engineering &amp; Technology, Surat, 395002, Gujarat, India; Dobariya R., Department of Information Technology, Sarvajanik College of Engineering &amp; Technology, Surat, 395002, Gujarat, India; Jariwala V., Department of Information Technology, Sarvajanik College of Engineering &amp; Technology, Surat, 395002, Gujarat, India</t>
  </si>
  <si>
    <t xml:space="preserve">CNN; Deep learning; Machine learning; Medical</t>
  </si>
  <si>
    <t xml:space="preserve">Santafe G., Inza I., Lozano J.A., Dealing with the evaluation of supervised classification algorithms, Artificial Intelligence Review, 44, 4, pp. 467-508, (2015); Dutta N., Subramaniam U., Padmanaban S., Mathematical Models of Classification Algorithm of Machine Learning. in International Meeting on Advanced Technologies in Energy and Electrical Engineering (Vol. 2019, No. 1, P. 3). Hamad Bin Khalifa University Press (HBKU Press), (2020); Litjens G., Kooi T., Bejnordi B.E., Setio A.A.A., Ciompi F., Ghafoorian M., Sanchez C.I., A survey on deep learning in medical image analysis, Medical Image Analysis, 42, pp. 60-88, (2017); Sidey-Gibbons J.A., Sidey-Gibbons C.J., Machine learning in medicine: A practical introduction, BMC Medical Research Methodology, 19, 1, (2019); Shen D., Wu G., Suk H.I., Deep learning in medical image analysis, Annual Review of Biomedical Engineering, 19, pp. 221-248, (2017); Razzak M.I., Naz S., Zaib A., Deep learning for medical image processing: Overview, challenges and the future, Classification in Bioapps, pp. 323-350, (2018); Rish I., An empirical study of the naive Bayes classifier. In: IJCAI 2001 Workshop on Empirical Methods in, Artificial Intelligence, 3, 22, pp. 41-46, (2001); Zeng M., Xiong Q., Li K., Design and implementation of an improved apriori data mining algorithm, In 8Th International Conference on Social Network, Communication and Education (SNCE 2018), (2018); Gopakumar G.P., Swetha M., Sai Siva G., Sai Subrahmanyam G.R.K., Convolutional neural network-based malaria diagnosis from focus stack of blood smear images acquired using custom-built slide scanner, Journal of Biophotonics, 11, 3, (2018); Ye Y., Chiang C.C., A parallel apriori algorithm for frequent itemsets mining, Fourth International Conference on Software Engineering Research, Management and Applications (SERA’06), pp. 87-94, (2006)</t>
  </si>
  <si>
    <t xml:space="preserve">J.P. Mehta; Department of Information Technology, Sarvajanik College of Engineering &amp; Technology, Surat, 395002, India; email: jinammaheta0@gmail.com</t>
  </si>
  <si>
    <t xml:space="preserve">Fong S.; Dey N.; Joshi A.</t>
  </si>
  <si>
    <t xml:space="preserve">5th International Conference on ICT for Sustainable Development,  ICT4SD 2020</t>
  </si>
  <si>
    <t xml:space="preserve">23 July 2020 through 24 July 2020</t>
  </si>
  <si>
    <t xml:space="preserve">Panaji</t>
  </si>
  <si>
    <t xml:space="preserve">978-981158353-7</t>
  </si>
  <si>
    <t xml:space="preserve">2-s2.0-85098218236</t>
  </si>
  <si>
    <t xml:space="preserve">Jayampathi K.T.K.; Jananjaya M.A.C.; Fernando E.P.C.; Liyanage Y.A.; Pemadasa M.G.N.M.; Gunarathne G.W.D.A.</t>
  </si>
  <si>
    <t xml:space="preserve">Jayampathi, K.T.K. (57461917400); Jananjaya, M.A.C. (57461068000); Fernando, E.P.C. (57460924600); Liyanage, Y.A. (57461068100); Pemadasa, M.G.N.M. (57208548330); Gunarathne, G.W.D.A. (57217250032)</t>
  </si>
  <si>
    <t xml:space="preserve">57461917400; 57461068000; 57460924600; 57461068100; 57208548330; 57217250032</t>
  </si>
  <si>
    <t xml:space="preserve">Mobile Medical Assistant and Analytical System for Dengue Patients</t>
  </si>
  <si>
    <t xml:space="preserve">Dengue fever is a vector-borne viral disease spread by the mosquito Aedes Aegypti. It is a public health problem, with an estimated 50-500 million infections each year and no effective vaccination. People's hectic schedules may not have enough time to see a doctor every time they have a fever. They may overlook their disease, believing it to be a common ailment. Prior medical assistance for dengue patients with fever to check their conditions reliably is a major problem. There is no easily accessible proper system to identify dengue patients at an early stage. This paper presents a mobile medical assistant and analytical system for dengue patients. With a novel approach, using the most appropriate technologies, the mobile application supports identifying dengue patients using the chatbot, analyzing skin conditions, analyzing blood reports, and analyzing dengue-infected areas' functionalities. The registered users can log in to the system and check their dengue condition. The development is carried out with Natural Language Processing, Artificial Neural Network (ANN), Machine Learning, Image Processing, Convolutional Neural Network (CNN), and Android technologies. A mobile application prototype is created and tested, with the possibility of future testing and implementation. The results show effective performances in analyzing dengue conditions.  © 2021 IEEE.</t>
  </si>
  <si>
    <t xml:space="preserve">ICAC 2021 - 3rd International Conference on Advancements in Computing, Proceedings</t>
  </si>
  <si>
    <t xml:space="preserve">10.1109/ICAC54203.2021.9671097</t>
  </si>
  <si>
    <t xml:space="preserve">https://www.scopus.com/inward/record.uri?eid=2-s2.0-85125017771&amp;doi=10.1109%2fICAC54203.2021.9671097&amp;partnerID=40&amp;md5=0a8fcb0ee425b12cf4a83dd8cd8f8d9f</t>
  </si>
  <si>
    <t xml:space="preserve">Sri Lanka Institute of Information Technology, Faculty of Computing, Department of Information Technology, Malabe, Sri Lanka</t>
  </si>
  <si>
    <t xml:space="preserve">Jayampathi K.T.K., Sri Lanka Institute of Information Technology, Faculty of Computing, Department of Information Technology, Malabe, Sri Lanka; Jananjaya M.A.C., Sri Lanka Institute of Information Technology, Faculty of Computing, Department of Information Technology, Malabe, Sri Lanka; Fernando E.P.C., Sri Lanka Institute of Information Technology, Faculty of Computing, Department of Information Technology, Malabe, Sri Lanka; Liyanage Y.A., Sri Lanka Institute of Information Technology, Faculty of Computing, Department of Information Technology, Malabe, Sri Lanka; Pemadasa M.G.N.M., Sri Lanka Institute of Information Technology, Faculty of Computing, Department of Information Technology, Malabe, Sri Lanka; Gunarathne G.W.D.A., Sri Lanka Institute of Information Technology, Faculty of Computing, Department of Information Technology, Malabe, Sri Lanka</t>
  </si>
  <si>
    <t xml:space="preserve">Android Technologies; Artificial Neural Network; Convolution Neural Network; Dengue Fever; Image Processing; Machine Learning; Natural Language Processing</t>
  </si>
  <si>
    <t xml:space="preserve">Android (operating system); Convolution; Convolutional neural networks; Learning algorithms; Machine learning; Medical imaging; mHealth; Mobile computing; Analytical systems; Android technologies; Condition; Convolution neural network; Dengue fevers; Disease spread; Images processing; Machine-learning; Mobile applications; Viral disease; Natural language processing systems</t>
  </si>
  <si>
    <t xml:space="preserve">Preventing Dengue in Sri Lanka; Zeljkovic V., Druzgalski C., Bojic-Minic S., Tameze C., Mayorga P., Supplemental melanoma diagnosis for darker skin complexion gradients, 2015 Pan American Health Care Exchanges (PAHCE), pp. 1-8, (2015); Anno S., Et al., Spatiotemporal Dengue Fever Hotspots Associated with Climatic Factors in Taiwan Including Outbreak Predictions Based on Machine-learning, Geospatial Health, 14, 2, (2019); Najar A.M., Irawan M.I., Adzkiya D., Extreme Learning Machine Method for Dengue Hemorrhagic Fever Outbreak Risk Level Prediction, 2018 International Conference on Smart Computing and Electronic Enterprise (ICSCEE), pp. 1-5, (2018); Kassim M., Ali N.A.N., Idris A., Shahbudin S., Ab R., Rahman,Dengue Attack Analysis System on Mobile Application, 2018 IEEE 8th International Conference on System Engineering and Technology (ICSET), pp. 151-156, (2018); Reddy E., Kumar S., Rollings N., Chandra R., Mobile Application for Dengue Fever Monitoring and Tracking via GPS: Case Study for Fiji, ArXiv150300814 Cs, (2015); Reich N.G., Et al., Challenges in Real-Time Prediction of Infectious Disease: A Case Study of Dengue in Thailand, PLoS Negl. Trop. Dis, 10, 6, (2016); Memon Z., MedChatBot: An UMLS Based Chatbot for Medical Students International Journal of Computer Applications-IJCA, (2021)</t>
  </si>
  <si>
    <t xml:space="preserve">3rd International Conference on Advancements in Computing, ICAC 2021</t>
  </si>
  <si>
    <t xml:space="preserve">9 December 2021 through 11 December 2021</t>
  </si>
  <si>
    <t xml:space="preserve">978-166540862-2</t>
  </si>
  <si>
    <t xml:space="preserve">ICAC - Int. Conf. Adv. Comput., Proc.</t>
  </si>
  <si>
    <t xml:space="preserve">2-s2.0-85125017771</t>
  </si>
  <si>
    <t xml:space="preserve">Sajid A.; Awan M.A.</t>
  </si>
  <si>
    <t xml:space="preserve">Sajid, Abdul (57541451800); Awan, Muhammad Arshad (58371713000)</t>
  </si>
  <si>
    <t xml:space="preserve">57541451800; 58371713000</t>
  </si>
  <si>
    <t xml:space="preserve">Monitoring, Tracking and Diagnosing Dengue Fever using Smartphone, GPS and Machine Learning</t>
  </si>
  <si>
    <t xml:space="preserve">Diagnosing infectious disease using smartphone and ML has emerged as popular research area. Many tropical nations including Pakistan are suffering from a viral disease i.e. Dengue. It can be recognized by its symptoms. Due to exhausted pressure of patients i.e. Covid-19 in hospitals and early monitoring, tracking and diagnosing of dengue epidemic is a real challenge to the authorities. Moreover, currently there does not exit any application to diagnose DF and SDF. Hence, we proposed a model, developed an android application, conducted pilot testing and apply ML. Whereas, WHO recommended symptoms of dengue are adopted. A pilot study is conducted on 80 participants. It revealed that the smartphone technology along with GPS on particular symptoms is helpful for early detection. Furthermore, the incorporation of GPS technology is useful for the surveillance during an epidemic or pandemic. Moreover, we also collected data of the last six-year dengue infection from hospitals for applying ML classification techniques using WEKA on clinical features of the patients. The results are compared in terms of Precision, Recall, F-measures and Accuracy to evaluate the performance of SMO, J48, Naïve Bayes, Random Forest and ZeroR classifiers. The performance of the Random Forest classifier has been achieved 98.8% using 10-folds cross-validation and 66% percentage split techniques.  © 2021 IEEE.</t>
  </si>
  <si>
    <t xml:space="preserve">ICET 2021 - 16th International Conference on Emerging Technologies 2021, Proceedings</t>
  </si>
  <si>
    <t xml:space="preserve">10.1109/ICET54505.2021.9689785</t>
  </si>
  <si>
    <t xml:space="preserve">https://www.scopus.com/inward/record.uri?eid=2-s2.0-85126767443&amp;doi=10.1109%2fICET54505.2021.9689785&amp;partnerID=40&amp;md5=b77661919b9b3eb5d3e6800b1c5d80e3</t>
  </si>
  <si>
    <t xml:space="preserve">Allama Iqbal Open University Islamabad, Department of Computer Science, Islamabad, Pakistan</t>
  </si>
  <si>
    <t xml:space="preserve">Sajid A., Allama Iqbal Open University Islamabad, Department of Computer Science, Islamabad, Pakistan; Awan M.A., Allama Iqbal Open University Islamabad, Department of Computer Science, Islamabad, Pakistan</t>
  </si>
  <si>
    <t xml:space="preserve">Dengue; Dengue Fever; Disease Outbreak; GPS; Machine Learning; Mobile Application; Smartphone</t>
  </si>
  <si>
    <t xml:space="preserve">Decision trees; Diagnosis; Global positioning system; Hospitals; Machine learning; mHealth; Dengue; Dengue fevers; Disease outbreaks; Infectious disease; Machine-learning; Mobile applications; Pakistan; Performance; Research areas; Smart phones; Smartphones</t>
  </si>
  <si>
    <t xml:space="preserve">Lwin M.O., Sheldenkar A., Panchapakesan C., Ng J.S., Lau J., Jayasundar K., Wimalaratne P., Epihack Sri Lanka: Development of a mobile surveillance tool for dengue fever, BMC Medical Informatics and Decision Making, 19, 1, (2019); Reddy E., Kumar S., Rollings N., Chandra R., Mobile Application for Dengue Fever Monitoring and Tracking Via GPS: Case Study for Fiji, (2015); Alzubaidi A., Kalita J., Authentication of smartphone users using behavioral biometrics, IEEE Communications Surveys &amp; Tutorials, 18, 3, pp. 1998-2026, (2016); Lane N.D., Miluzzo E., Lu H., Peebles D., Choudhury T., Campbell A.T., A survey of mobile phone sensing, IEEE Communications Magazine, 48, 9, pp. 140-150, (2010); Machine Learning Methods Every Data Scientist Should Know, (2020); Brady O.J., Hay S.I., The global expansion of dengue: How Aedesaegypti mosquitoes enabled the first pandemic arbovirus, Annual Review of Entomology, 65, pp. 191-208, (2020); Dhanoa A., Hassan S.S., Ngim C.F., Lau C.F., Chan T.S., Adnan N.A.A., Rajasekaram G., Impact of dengue virus (DENV) co-infection on clinical manifestations, disease severity and laboratory parameters, BMC Infectious Diseases, 16, 1, pp. 1-14, (2016); Yang S., Kou S.C., Lu F., Brownstein J.S., Brooke N., Santillana M., Advances in using Internet searches to track dengue, PLoS Computational Biology, 13, 7, (2017); Minhas K., Tabassam M., Rasheed R., Abbas A., Khattak H.A., Khan S.U., A framework for dengue surveillance and data collection in Pakistan, 2019 IEEE 43rd Annual Computer Software and Applications Conference (COMPSAC), 2, pp. 275-280, (2019); Babu A.N., Niehaus E., Shah S., Unnithan C., Ramkumar P.S., Shah J., Jose C.P., Smartphone geospatial apps for dengue control, prevention, prediction, and education: MOSapp, DISapp, and the mosquito perception index (MPI), Environmental Monitoring and Assessment, 191, 2, (2019); Apte A., Ingole V., Lele P., Marsh A., Bhattacharjee T., Hirve S., Juvekar S., Ethical considerations in the use of GPSbased movement tracking in health research-lessons from a careseeking study in rural west India, Journal of Global Health, 9, 1, (2019); Pravin A., Jacob T.P., Nagarajan G., An intelligent and secure healthcare framework for the prediction and prevention of Dengue virus outbreak using fog computing, Health and Technology, pp. 1-9, (2019); What is a GPS? How does it work?, Library of Congress., (2019); Mohanty B., Chughtai A., Rabhi F., Use of Mobile Apps for epidemic surveillance and response-availability and gaps, Global Biosecurity, 1, 2, (2019); Rehman N.A., Kalyanaraman S., Ahmad T., Pervaiz F., Saif U., Subramanian L., Fine-grained dengue forecasting using telephone triage services, Science Advances, 2, 7, (2016); Delmelle E.M., Zhu H., Tang W., Casas I., A webbased geospatial toolkit for the monitoring of dengue fever, Applied Geography, 52, pp. 144-152, (2014); Fatima M., Pasha M., Survey of machine learning algorithms for disease diagnostic, Journal of Intelligent Learning Systems and Applications, 9, 1, (2017); Sunny A.D., Kulshreshtha S., Singh S., Srinabh B.M., Sarojadevi H., Disease diagnosis system by exploring machine learning algorithms, Int. J. Innov. Eng. Technol. (IJIET), 10, 2, pp. 14-21, (2018); Grossman R.L., Kamath C., Kegelmeyer P., Kumar V., Namburu R., Data Mining for Scientific and Engineering Applications, 2, (2013); Husin N.A., Alharogi A., Mustapha N., Hamdan H., Husin U.A., Early self-diagnosis of dengue symptoms using fuzzy and data mining approach, AIP Conference Proceedings, 2016, 1, (2018); Shaukat K., Masood N., Mehreen S., Azmeen U., Dengue fever prediction: A data mining problem, Journal of Data Mining in Genomics &amp; Proteomics, (2015); Mello-Roman J.D., Mello-Roman J.C., Gomez-Guerrero S., Garcia-Torres M., Predictive models for the medical diagnosis of dengue: A case study in Paraguay, Computational and Mathematical Methods in Medicine, (2019)</t>
  </si>
  <si>
    <t xml:space="preserve">16th International Conference on Emerging Technologies, ICET 2021</t>
  </si>
  <si>
    <t xml:space="preserve">22 December 2021 through 23 December 2021</t>
  </si>
  <si>
    <t xml:space="preserve">Virtual, Islamabad</t>
  </si>
  <si>
    <t xml:space="preserve">978-166549437-3</t>
  </si>
  <si>
    <t xml:space="preserve">ICET - Int. Conf. Emerg. Technol., Proc.</t>
  </si>
  <si>
    <t xml:space="preserve">2-s2.0-85126767443</t>
  </si>
  <si>
    <t xml:space="preserve">Harumy T.H.F.; Ginting D.S.B.</t>
  </si>
  <si>
    <t xml:space="preserve">Harumy, T.H.F. (57189241356); Ginting, Dewi Sartika Br. (57200091122)</t>
  </si>
  <si>
    <t xml:space="preserve">57189241356; 57200091122</t>
  </si>
  <si>
    <t xml:space="preserve">Neural Network Enhancement Forecast of Dengue Fever Outbreaks in Coastal Region</t>
  </si>
  <si>
    <t xml:space="preserve">Dengue Fever is among the world's fastest-spreading mosquito-borne illnesses. In Indonesia, more than 33 percent of the world community is in danger. The Coastal Zone is one of the region most at risk of contracting dengue fever, particularly from the social and environmental sectors, so an early diagnostic study must deal with this efficiently and effectively. This research aimed to predict and identify the coastal areas with the most severe dengue fever potential to avoid dengue fever. The methodology used is a neural network-based sensitivity Analysis and multiple linear regression. Bagan Deli, Sibolga, Tapanuli Tengah, Langkat, Medan are samples of the coastal regions used in this study. The reports used was secondary data for dengue fever patients suffering and meteorological parameters, the model used in [5-5-1] for prediction, for five years from 2014-2019. The results showed which Langkat (0.4936), Serdang Bedagai (0.4695), The Middle Of Tapanuli (0.4399), Medan (0.4313), and Sibolga (0.3133) are perhaps the most prevalent areas affected by dengue fever with a value of 89.8 percent. The Result is temperature and humidity are the conditions that most affect the transmission of dengue fever. © Published under licence by IOP Publishing Ltd.</t>
  </si>
  <si>
    <t xml:space="preserve">10.1088/1742-6596/1898/1/012027</t>
  </si>
  <si>
    <t xml:space="preserve">https://www.scopus.com/inward/record.uri?eid=2-s2.0-85109051144&amp;doi=10.1088%2f1742-6596%2f1898%2f1%2f012027&amp;partnerID=40&amp;md5=65c962c305812fd8c4f15ce40ee3a081</t>
  </si>
  <si>
    <t xml:space="preserve">Faculty of Computer Science and Information Technology, Universitas Sumatera Utara, Medan, Indonesia</t>
  </si>
  <si>
    <t xml:space="preserve">Harumy T.H.F., Faculty of Computer Science and Information Technology, Universitas Sumatera Utara, Medan, Indonesia; Ginting D.S.B., Faculty of Computer Science and Information Technology, Universitas Sumatera Utara, Medan, Indonesia</t>
  </si>
  <si>
    <t xml:space="preserve">Coastal zones; Diagnosis; Forecasting; Linear regression; Sensitivity analysis; Coastal area; Coastal regions; Dengue fevers; Meteorological parameters; Multiple linear regressions; Secondary datum; Social and environmental; Temperature and humidities; Neural networks</t>
  </si>
  <si>
    <t xml:space="preserve">Cabrera M., (2014); Fernando D, De Silva N L, Ackers I, Abeyasinghe R, Wijeyaratne P, Rajapakse S, Patient satisfaction and uptake of private-sector run malaria diagnosis clinics in a post-conflict district in Sri Lanka BMC Public Health, (2014); Potts J A, Gibbons R V, Rothman A L, Srikiatkhachorn A, Thomas S J, Supradish P, Lemon S C, Libraty D H, Green S, Kalayanarooj S, Prediction of dengue disease severity among Thai pediatric patients using early clinical laboratory indicators, PLoS Negl. Trop. Dis, (2010); Beatty M E, Stone A, Fitzsimons D W, Hanna J N, Lam S K, Vong S, Guzman M G, Mendez-Galvan J F, Halstead S B, Letson G W, Kuritsky I J, Mahoney R, Margolis H S, Best practices in dengue surveillance: A report from the Asia-pacific and Americas dengue prevention boards,, PLoS Negl. Trop. Dis, 4, (2010); Suparman C A R, Purwanti E, Widiyanti P, Application Design of Dengue Hemorrhagic Fever Patients Screening Using Naive Bayes Method, J. of Biomimetics, Biomaterials and Biomedical Engineering, 34, pp. 20-28, (2017); Fernandez E., Predictive Models for dengue fever and severe dengue in Honduras and the National Classification agreement with the two most recent international guidelines on severe dengue, (2015); Iqbal M, Zarlis M, Harumy T H F, Seminar Nasional APTIKOM Inovasi Aplikasi Check In Spot nelayan binaan Kecamatan Bagan Deli Medan, pp. 1-6, (2017); Kumar A P M, Chitra D, Karthick P, Ganesan M, Madhan A S, Dengue Disease Prediction Using Decision Tree and Support Vector Machine SSRG, Int. J. Comput. Sci. Eng, (2017); Qing C, A study of the species diversity of landscape trees on three university campuses from Inner Mongolia, Acta Hortic, 937, 6, pp. 1141-1146, (2012); Anugraha A, Vinotha E, Anusha R, Giridhar S, Narasimhan K, 3rd Int. Conf. Cloud Comput. Technol. Appl. (CloudTech)17 A Machine Learning Application for Epileptic Seizure Detection, (2017); Bhattacharjee S, Singh Y J, 2017 Third Int. Conf. on Res. in Computational Intelligence and Communication Networks (ICRCICN) Comparative Performance Analysis of Machine Learning Classifiers on Ovarian Cancer Dataset, pp. 213-218, (2017); Rodrigues C N M, Goncalves A B, Silva G G, Pistori H, Evaluation of Machine Learning and Bag of Visual Words Techniques for Pollen Grains Classification, IEEE Lat. Am. Trans., (2015); Hossain F M T, Hossain M I, Nawshin S, 2017 IEEE Region 10 Humanitarian Technol. Conf. (R10-HTC) Machine learning based class level prediction of restaurant reviews, (2017); Chowdhury S R, Automated Segmentation and Pathology Detection in Ophthalmic Images, (2014); Images S, Mobile U, Reni S K, Automated Low-Cost Malaria Detection System in Thin Blood Slide Images Using Mobile Phones, (2014); Gupta S, Manjhvar A K, Proc.-Int. Conf. Trends Electron. Informatics, ICEI2017 Relation classification from unstructured medical text using feature based machine learning approach, pp. 1135-1138, (2017); Pal R, Poray J, Sen M, 2nd IEEE International Conference on Recent Trends in Electronics, Information &amp; Communication Technology (RTEICT) Application of machine learning algorithms on diabetic retinopathy 2017, pp. 2046-2051, (2017); Pannu H S, Jarial P, 2017 International Conference on Computing Methodologies and Communication (ICCMC) Machine learning techniques for bleeding detection in capsule endoscopy, pp. 1054-1058, (2017); Zhu G, Hunter J, Jiang Y, Proc.-2016 IEEE Int. Conf. Internet Things; IEEE Green Comput. Commun. IEEE Cyber, Phys. Soc. Comput. IEEE Smart Data, iThings-GreenCom-CPSCom-Smart Data 2016 Improved Prediction of Dengue Outbreak Using the Delay Permutation Entropy, pp. 828-832, (2016); Joung J, Machine Learning-Based Antenna Selection in Wireless Communications, IEEE Commun. Lett, (2016); Sau A., Bhakta I., Predicting anxiety and depression in elderly patients using machine learning technology, Healthc. Technol. Lett, (2017); Wickramasinghe M P N M, Perera D M, Kahandawaarachchi K A D C P, 2017 IEEE Life Sciences Conference (LSC), Sydney NSW 2017 Dietary prediction for patients with Chronic Kidney Disease (CKD) by considering blood potassium level using machine learning algorithms, pp. 300-303, (2017); Cesare N, Grant C, Hawkins J B, Brownstein J S, Nsoesie E O, bloomberg Data for Good Exchange Conference Demographics in Social Media Data for Public Health Research: Does it matter?, pp. 1-8, (2017); Dai X, Bikdash M, Conf. Proc.-IEEE SOUTHEASTCON Hybrid classification for tweets related to infection with influenza, (2015); Alharthi H, PRESS G, Model Healthcare predictive analytics: An overview with a focus on Saudi Arabia, J. Infect. Public Health, (2018); Choudhury Z M A H, Banu Shahera, Islam, Amirul M, Forecasting dengue incidence in Dhaka, Bangladesh: A time series analysis, Dengue Bull, 32, pp. 29-37, (2008); Yusof Y, Mustaffa Z, Dengue Outbreak Prediction: A Least Squares Support Vector Machines Approach, Int. J. Comput. Theory Eng, 3, pp. 489-493, (2011); Huang J, Zheng H, Wang H, Jiang X, IEEE Int. Conf. Bioinforma. Biomed. Machine Learning Approaches for Cyanobacteria Bloom Prediction using metagenomic sequence data, a case study, (2017); Bjorge S S, Siddiqui W, Chung C, Morens D, Smith K R, Lewis N, A Study of Determinants of Malaria in Kelantan (Malaysia), pp. 1-101, (1995)</t>
  </si>
  <si>
    <t xml:space="preserve">T.H.F. Harumy; Faculty of Computer Science and Information Technology, Universitas Sumatera Utara, Medan, Indonesia; email: hennyharumy@usu.ac.id</t>
  </si>
  <si>
    <t xml:space="preserve">5th International Conference on Computing and Applied Informatics, ICCAI 2020</t>
  </si>
  <si>
    <t xml:space="preserve">1 December 2020 through 2 December 2020</t>
  </si>
  <si>
    <t xml:space="preserve">2-s2.0-85109051144</t>
  </si>
  <si>
    <t xml:space="preserve">Krishna V.; Kannan R.J.; Sariki T.P.; Bharadwaja Kumar G.</t>
  </si>
  <si>
    <t xml:space="preserve">Krishna, V. (56559574400); Kannan, R. Jagadeesh (24921467900); Sariki, Tulasi Prasad (57193998595); Bharadwaja Kumar, G. (14026800900)</t>
  </si>
  <si>
    <t xml:space="preserve">56559574400; 24921467900; 57193998595; 14026800900</t>
  </si>
  <si>
    <t xml:space="preserve">Novel Drug Discovery Using Generative Model for COVID-19</t>
  </si>
  <si>
    <t xml:space="preserve">Drug discoveries often need expertise knowledge and insanely complex biochemical tests for the discovery of molecular chemical properties. In recent years, there has been an increasing trend of using AI and deep learning-based tools which aid the domain expect to speed up the process of drug design. The use of dynamically un-supervised deep learning systems is used to identify certain properties of atoms of molecules that could have aided the pharmaceutical scientist at many times. The drug discovery comes under sixth goal of millennium development goals which is used as a standard procedure to combat diseases such as HIV, AIDS, dengue, malaria, and another global pandemic. In this paper, we propose a new un-supervised molecular embedding procedure, which provides a continuous vector of molecule in their latent space. These molecules in their latent space can aide in generation of new atoms or a combination of atoms which have relevant chemical nature and can be used as a direct and effective replacement for the existing molecules. The model proposed in this paper is an LSTM autoencoder (long short-term memory) to model the sequence to sequence approach since the molecule input is taken a string format called simplified molecular-input line-entry system (SMILES). © 2021, The Author(s), under exclusive license to Springer Nature Singapore Pte Ltd.</t>
  </si>
  <si>
    <t xml:space="preserve">10.1007/978-981-16-1244-2_36</t>
  </si>
  <si>
    <t xml:space="preserve">https://www.scopus.com/inward/record.uri?eid=2-s2.0-85113260199&amp;doi=10.1007%2f978-981-16-1244-2_36&amp;partnerID=40&amp;md5=131bfffa50e2d4ad78c6e1c06bfa3130</t>
  </si>
  <si>
    <t xml:space="preserve">Vellore Institute of Technology, Chennai, India</t>
  </si>
  <si>
    <t xml:space="preserve">Krishna V., Vellore Institute of Technology, Chennai, India; Kannan R.J., Vellore Institute of Technology, Chennai, India; Sariki T.P., Vellore Institute of Technology, Chennai, India; Bharadwaja Kumar G., Vellore Institute of Technology, Chennai, India</t>
  </si>
  <si>
    <t xml:space="preserve">Autoencoder; Computer vision; Deep learning; LSTM; Millennium development goals; SMILES</t>
  </si>
  <si>
    <t xml:space="preserve">Atoms; Deep learning; Industry 4.0; Long short-term memory; Molecules; Vector spaces; Biochemical tests; Chemical nature; Drug discovery; Embedding procedures; Generative model; Millennium development goals; Molecular chemical properties; Standard procedures; Learning systems</t>
  </si>
  <si>
    <t xml:space="preserve">Pearson P.L., The genome data base (GDB)—a human gene mapping repository, Nucleic Acids Res, 19, pp. 2237-2239, (1991); Bjerrum E.J., Threlfall R., Molecular Generation with Recurrent Neural Networks (Rnns). Arxiv Preprint Arxiv, 1705, (2017); Withnall M., Lindelof E., Engkvist O., Chen H., Building attention and edge convolution neural networks for bioactivity and physical-chemical property prediction, Chemrxiv.Org, (2019); Qi L., Miltiadis A., Marc B., Gaunt A.L., Constrained Graph Variational Autoencoders for Molecule Design. Arxiv, 1805, (2018); Warmuth M.K., Liao J., Et al., Active learning with support vector machines in the drug discovery process, J Chem Inf Comput Sci, 43, 2, pp. 667-673, (2003); Zernov V.V., Balakin K.V., Et al., Drug discovery using support vector machines. The case studies of drug-likeness, agrochemical-likeness, and enzyme inhibition predictions, J Chem Inf Comput Sci, 43, pp. 2048-2056, (2003); Ekins S., Puhl A.C., Zorn K.M., Et al., Exploiting machine learning for end-to-end drug discovery and development, Nat Mater, 18, pp. 435-441, (2019)</t>
  </si>
  <si>
    <t xml:space="preserve">V. Krishna; Vellore Institute of Technology, Chennai, India; email: krishns.van@gmail.com</t>
  </si>
  <si>
    <t xml:space="preserve">Kannan R.J.; Geetha S.; Sashikumar S.; Diver C.</t>
  </si>
  <si>
    <t xml:space="preserve">1st International Virtual Conference on Industry 4.0, IVCI4.0 2020</t>
  </si>
  <si>
    <t xml:space="preserve">6 July 2020 through 7 July 2020</t>
  </si>
  <si>
    <t xml:space="preserve">978-981161243-5</t>
  </si>
  <si>
    <t xml:space="preserve">2-s2.0-85113260199</t>
  </si>
  <si>
    <t xml:space="preserve">Ba Alawi A.E.; Mosleh M.A.A.; Almohagry Z.; Saeed A.Y.A.</t>
  </si>
  <si>
    <t xml:space="preserve">Ba Alawi, Abdulfattah E. (57216311769); Mosleh, Mogeeb A. A. (25825508400); Almohagry, Ziad (57261882500); Saeed, Ahmed Y. A. (56765308500)</t>
  </si>
  <si>
    <t xml:space="preserve">57216311769; 25825508400; 57261882500; 56765308500</t>
  </si>
  <si>
    <t xml:space="preserve">Parasitized cell recognition using alexnet pre-trained model</t>
  </si>
  <si>
    <t xml:space="preserve">Malaria is globally known as one of the most prevalent diseases that kill thousands of people every year. Plasmodium parasites are the product of malaria disease that infects the red blood cells of humans. These parasites are transmitted by a female mosquito class that is known as anopheles. The diagnostic process of malaria involves isolation and manual counts in microscopic bloodstreams of parasitized cells by medical practitioners. In large-scale screening, Malaria diagnostic accuracy is largely affected because of resource unavailability. In this paper, we proposed an intelligent diagnosis system using advanced techniques based on a deep learning algorithm precisely AlexNet pre-trained model. As the bright side of machine learning techniques, CNN has greatly led to numerous image recognition activities. This method shows encouraging results. In terms of accuracy, the proposed model achieved 97.33% in the validation phase. Therefore, in some places where there are no medical services, this approach can be widely used for diagnosing parasitized cells. © 2021 IEEE.</t>
  </si>
  <si>
    <t xml:space="preserve">2021 1st International Conference on Emerging Smart Technologies and Applications, eSmarTA 2021</t>
  </si>
  <si>
    <t xml:space="preserve">10.1109/eSmarTA52612.2021.9515718</t>
  </si>
  <si>
    <t xml:space="preserve">https://www.scopus.com/inward/record.uri?eid=2-s2.0-85115077479&amp;doi=10.1109%2feSmarTA52612.2021.9515718&amp;partnerID=40&amp;md5=342f059635e737f862a64beaf179ec6a</t>
  </si>
  <si>
    <t xml:space="preserve">Taiz University, Software Engineering Department, Taiz, Yemen; Taiz University, Information Technology Department, Taiz, Yemen</t>
  </si>
  <si>
    <t xml:space="preserve">Ba Alawi A.E., Taiz University, Software Engineering Department, Taiz, Yemen; Mosleh M.A.A., Taiz University, Software Engineering Department, Taiz, Yemen; Almohagry Z., Taiz University, Information Technology Department, Taiz, Yemen; Saeed A.Y.A., Taiz University, Software Engineering Department, Taiz, Yemen</t>
  </si>
  <si>
    <t xml:space="preserve">AlexNet; Deep Learning; Malaria; Microscopist; Parasites; Pre-trained Model</t>
  </si>
  <si>
    <t xml:space="preserve">Blood; Cells; Cytology; Deep learning; Diagnosis; Diseases; Image recognition; Learning algorithms; Cell recognition; Diagnostic accuracy; Diagnostic process; Intelligent diagnosis system; Machine learning techniques; Medical practitioner; Medical services; Plasmodium parasites; Learning systems</t>
  </si>
  <si>
    <t xml:space="preserve">Mitiku K., Mengistu G., Gelaw B., The reliability of blood film ex-amination for malaria at the peripheral health unit, Ethiopian Journal of Health Development, 17, 3, pp. 197-204, (2003); Poostchi M., Silamut K., Maude R.J., Jaeger S., Thoma G.J.T.R., Image analysis and machine learning for detecting malaria, Translational Research, 194, pp. 36-55, (2018); LeCun Y., Bengio Y., Hinton G.J.N., Deep learning, Nature, 521, 7553, pp. 436-444, (2015); LeCun Y., Et al., Backpropagation applied to handwritten zip code recognition, Neural Computation, 1, 4, pp. 541-551, (1989); Deng J., Dong W., Socher R., Li L.-J., Li K., Fei-Fei L., Imagenet: A large-scale hierarchical image database, 2009 IEEE Conference on Computer Vision and Pattern Recognition, pp. 248-255, (2009); Dong Y., Et al., Evaluations of deep convolutional neural networks for automatic identification of malaria infected cells, 2017 IEEE Embs International Conference on Biomedical &amp;Health Informatics (BHI), pp. 101-104, (2017); Liang Z., Et al., CNN-based image analysis for malaria diagnosis, 2016 IEEE International Conference on Bioinformatics and Biomedicine (BIBM), pp. 493-496, (2016); Gopakumar G.P., Swetha M., Sai Siva G., Subrahmanyam G.R.K.J.J.O.B.S., Convolutional neural network-based malaria diagnosis from focus stack of blood smear images acquired using custom-built slide scanner, Journal of Biophotonics, 11, 3, (2018); Rajaraman S., Et al., Pre-trained convolutional neural networks as feature extractors toward improved malaria parasite detection in thin blood smear images, PeerJ, 6, (2018); Kumar C., Saha S., Jain A., Human Malaria Detection using Random Forest Tree, EasyChair, pp. 2314-2516, (2020); Shah D., Kawale K., Shah M., Randive S., Mapari R., Malaria Parasite Detection Using Deep Learning:(Beneficial to humankind), 2020 4th International Conference on Intelligent Computing and Control Systems (ICICCS), pp. 984-988, (2020)</t>
  </si>
  <si>
    <t xml:space="preserve">1st International Conference on Emerging Smart Technologies and Applications, eSmarTA 2021</t>
  </si>
  <si>
    <t xml:space="preserve">10 August 2021 through 12 August 2021</t>
  </si>
  <si>
    <t xml:space="preserve">Sana'a</t>
  </si>
  <si>
    <t xml:space="preserve">978-166544078-3</t>
  </si>
  <si>
    <t xml:space="preserve">2-s2.0-85115077479</t>
  </si>
  <si>
    <t xml:space="preserve">Ghose S.; Datta S.; Malathy C.; Gayathri M.</t>
  </si>
  <si>
    <t xml:space="preserve">Ghose, Smaranjit (57218448497); Datta, Suhrid (57218454624); Malathy, C. (36704830100); Gayathri, M. (57194585718)</t>
  </si>
  <si>
    <t xml:space="preserve">57218448497; 57218454624; 36704830100; 57194585718</t>
  </si>
  <si>
    <t xml:space="preserve">Plasmodium falciparum Detection in Cell Images Using Convolutional Neural Network</t>
  </si>
  <si>
    <t xml:space="preserve">Malaria is one of the major burdens to global health, which results in countless deaths every year. It is caused by a group of Plasmodium parasites which spreads through the bite of the female anopheles mosquito. The infected mosquito first bites the host, and the parasite enters the bloodstream which proceeds to go to the liver. From the liver, the parasites grow and multiply in the red blood cells. The infected red blood cells eventually burst and release more parasites. The diagnosis of malaria is done by doing a blood test where the count of the parasite is found by examining thin blood smears under a microscope. This method is also used for testing drug resistance, measuring drug effectiveness, and classifying disease severity. Microscopic diagnostic methods are cumbersome and thus require a lot of skill and experience to execute. In this study, we propose the use of a deep convolutional neural network to detect the presence of red blood cell images. This would assist in automating the detection of malaria from red blood cell images and aid in early diagnosis. © 2021, The Author(s), under exclusive license to Springer Nature Singapore Pte Ltd.</t>
  </si>
  <si>
    <t xml:space="preserve">Smart Innovation, Systems and Technologies</t>
  </si>
  <si>
    <t xml:space="preserve">10.1007/978-981-16-1502-3_40</t>
  </si>
  <si>
    <t xml:space="preserve">https://www.scopus.com/inward/record.uri?eid=2-s2.0-85112686056&amp;doi=10.1007%2f978-981-16-1502-3_40&amp;partnerID=40&amp;md5=cb2e23cbe594c133a1ead19bf1540def</t>
  </si>
  <si>
    <t xml:space="preserve">Department of Computer Science and Engineering, SRMIST, Kattankulathur, India</t>
  </si>
  <si>
    <t xml:space="preserve">Ghose S., Department of Computer Science and Engineering, SRMIST, Kattankulathur, India; Datta S., Department of Computer Science and Engineering, SRMIST, Kattankulathur, India; Malathy C., Department of Computer Science and Engineering, SRMIST, Kattankulathur, India; Gayathri M., Department of Computer Science and Engineering, SRMIST, Kattankulathur, India</t>
  </si>
  <si>
    <t xml:space="preserve">Biomedical imaging; Blood cell images; Deep convolutional neural network; Deep learning; Plasmodium falciparum</t>
  </si>
  <si>
    <t xml:space="preserve">Cells; Convolution; Convolutional neural networks; Cytology; Deep neural networks; Diagnosis; Diseases; Anopheles mosquitoes; Diagnostic methods; Disease severity; Drug resistance; Early diagnosis; Plasmodium falciparum; Plasmodium parasites; Red blood cell; Blood</t>
  </si>
  <si>
    <t xml:space="preserve">Kan A., Machine learning applications in cell image analysis, Immunol. Cell Biol., 95, 6, pp. 525-530, (2017); Komura D., Ishikawa S., Machine learning methods for histopathological image analysis, Comput. Struct. Biotechnol. J., 16, pp. 34-42, (2018); Das D.K., Ghosh M., Pal M., Maiti A.K., Chakraborty C., Machine learning approach for automated screening of malaria parasite using light microscopic images, Micron, 45, pp. 97-106, (2013); Reddy A.S.B., Juliet D.S., Transfer learning with ResNet-50 for Malaria cell-image classification, 2019 International Conference on Communication and Signal Processing (ICCSP), Pp. 0945–0949. IEEE, (2019); Var E., Tek F.B., Malaria parasite detection with deep transfer learning, 2018 3Rd International Conference on Computer Science and Engineering (UBMK), Pp. 298–302. IEEE, (2018); Bibin D., Nair M.S., Punitha P., Malaria parasite detection from peripheral blood smear images using deep belief networks, IEEE Access, 5, pp. 9099-9108, (2017); Coluzzi M., Malaria vector analysis and control, Parasitol. Today, 8, 4, pp. 113-118, (1992); Organization, W.H.: Malaria Microscopy Quality Assurance Manual-Version 2, (2016); APPENDIX a Microscopic Procedures for Diagnosing Malaria; Bloland P.B., Organization W.H., Et al., Drug Resistance in Malaria, (2001); Lecun Y., Bengio Y., Hinton G., Deep learning, Nature, 521, 7553, pp. 436-444, (2015); Kaggle Malaria Dataset; Umlas J., Fallon J.N., New thick-film technique for malaria diagnosis, Am. J. Trop. Med. Hyg., 20, 4, pp. 527-529, (1971); Tilley L., Dixon M.W., Kirk K., The Plasmodium falciparum-infected red blood cell, Int. J. Biochem. Cell Biol., 43, 6, pp. 839-842, (2011); Lecun Y., Bottou L., Bengio Y., Haffner P., Gradient-based learning applied to document recognition, Proc. IEEE, 86, 11, pp. 2278-2324, (1998); Deng J., Dong W., Socher R., Li L.J., Li K., Fei-Fei L., Imagenet: A large-scale hierarchical image database, IEEE Conference on Computer Vision and Pattern Recognition (Pp. 248– 255). IEEE, (2009); Tan M., Le Q.V., Efficient Net: Rethinking Model Scaling for Convolutional Neural Networks, (2019)</t>
  </si>
  <si>
    <t xml:space="preserve">S. Datta; Department of Computer Science and Engineering, SRMIST, Kattankulathur, India; email: suhriddatta99@gmail.com</t>
  </si>
  <si>
    <t xml:space="preserve">Satapathy S.C.; Bhateja V.; Favorskaya M.N.; Adilakshmi T.</t>
  </si>
  <si>
    <t xml:space="preserve">4th International Conference on Smart Computing and Informatics, SCI 2020</t>
  </si>
  <si>
    <t xml:space="preserve">9 October 2020 through 10 October 2020</t>
  </si>
  <si>
    <t xml:space="preserve">978-981161501-6</t>
  </si>
  <si>
    <t xml:space="preserve">Smart Innov. Syst. Technol.</t>
  </si>
  <si>
    <t xml:space="preserve">2-s2.0-85112686056</t>
  </si>
  <si>
    <t xml:space="preserve">Awotunde J.B.; Jimoh R.G.; Oladipo I.D.; Abdulraheem M.</t>
  </si>
  <si>
    <t xml:space="preserve">Awotunde, Joseph Bamidele (57211158827); Jimoh, Rasheed Gbenga (57192954046); Oladipo, Idowu Dauda (57222465594); Abdulraheem, Muyideen (57222470170)</t>
  </si>
  <si>
    <t xml:space="preserve">57211158827; 57192954046; 57222465594; 57222470170</t>
  </si>
  <si>
    <t xml:space="preserve">Prediction of Malaria Fever Using Long-Short-Term Memory and Big Data</t>
  </si>
  <si>
    <t xml:space="preserve">Malaria has been identified to be one of the most common diseases with a great public health problem globally and it is caused by mosquitos’ parasites. This prevails in developing nations where healthcare facilities are not enough for the patients. The technological advancement in medicine has resulted in the collection of huge volumes of data from various sources in different formats. A reliable and early parasite-based diagnosis, identification of symptoms, disease monitoring, and prescription are crucial to decreasing malaria occurrence in Nigeria. Hence, the use of deep and machine learning models is essentials to reduce the effect of malaria-endemic and for better predictive models. Therefore, this paper proposes a framework to predict malaria-endemic in Nigeria. To predict the malaria-endemic well, both environmental and clinical data were used using Kwara State as a case study. The study used a deep learning algorithm as a classifier for the proposed system. Three locations were selected from Irepodun Local Government Areas of Kwara State with 34 months periodic pattern. Each location reacted differently based on environmental factors. The findings indicate that both factors are significant in malaria prediction and transmission. The LSTM algorithm provides an efficient method for detecting situations of widespread malaria. © 2020, Springer Nature Switzerland AG.</t>
  </si>
  <si>
    <t xml:space="preserve">10.1007/978-3-030-69143-1_4</t>
  </si>
  <si>
    <t xml:space="preserve">https://www.scopus.com/inward/record.uri?eid=2-s2.0-85102771513&amp;doi=10.1007%2f978-3-030-69143-1_4&amp;partnerID=40&amp;md5=440482e954397d28125a2d41f7c9c20b</t>
  </si>
  <si>
    <t xml:space="preserve">Department of Computer Science, University of Ilorin, Ilorin, Nigeria</t>
  </si>
  <si>
    <t xml:space="preserve">Awotunde J.B., Department of Computer Science, University of Ilorin, Ilorin, Nigeria; Jimoh R.G., Department of Computer Science, University of Ilorin, Ilorin, Nigeria; Oladipo I.D., Department of Computer Science, University of Ilorin, Ilorin, Nigeria; Abdulraheem M., Department of Computer Science, University of Ilorin, Ilorin, Nigeria</t>
  </si>
  <si>
    <t xml:space="preserve">Big data; Deep learning; Diagnosis; Malaria fever; Mosquito parasites; Prediction</t>
  </si>
  <si>
    <t xml:space="preserve">Big data; Deep learning; Diagnosis; Diseases; Forecasting; Learning algorithms; Learning systems; Predictive analytics; Developing nations; Disease monitoring; Healthcare facility; Local government areas; Machine learning models; Periodic pattern; Predictive models; Technological advancement; Long short-term memory</t>
  </si>
  <si>
    <t xml:space="preserve">Kiang R., Et al., Meteorological, environmental remote sensing, and neural network analysis of the epidemiology of malaria transmission in Thailand, Geospatial Health, pp. 71-84, (2006); Wilke A.B., Beier J.C., Benelli G., The complexity of the relationship between global warming and urbanization–an obscure future for predicting increases in vector-borne infectious diseases, Current Opinion Insect Sci, 35, pp. 1-9, (2019); Benelli G., Green synthesized nanoparticles in the fight against mosquito-borne diseases and cancer—a brief review, Enzyme Microb. Technol., 95, pp. 58-68, (2016); Wilder-Smith A., Gubler D.J., Weaver S.C., Monath T.P., Heymann D.L., Scott T.W., Epidemic arboviral diseases: Priorities for research and public health, Lancet. Infect. Dis, 17, 3, pp. e101-e106, (2017); Rabinovich R.N., Et al., MalERA: An updated research agenda for malaria elimination and eradication, Plos Med, 14, 11, (2017); Zolnikov T.R., Vector-borne disease, Autoethnographies on the Environment and Human Health, pp. 113-126, (2018); Sougoufara S., Ottih E.C., Tripet F., The need for new vector control approaches targeting outdoor biting Anopheline malaria vector communities, Parasit. Vectors, 13, 1, pp. 1-15, (2020); Christophers S.R., Epidemic malaria of the Punjab: With a note of a method of predicting epidemic years, Trans. Committee Stud. Malaria India, 2, pp. 17-26, (1911); Awotunde J.B., Matiluko O.E., Fatai O.W., Medical diagnosis system using fuzzy logic, Afr. J. Comp. ICT, 7, 2, pp. 99-106, (2014); Ayo F.E., Awotunde J.B., Ogundokun R.O., Folorunso S.O., Adekunle A.O., A decision support system for multi-target disease diagnosis: A bioinformatics approach, Heliyon, 6, 3, (2020); Zinszer K., Et al., Forecasting malaria in a highly endemic country using environmental and clinical predictors, Malaria J, 14, 1, (2015); Rochlin I., Ninivaggi D.V., Benach J.L., Malaria and Lyme disease-the the largest vector-borne US epidemics in the last 100 years: Success and failure of public health, BMC Public Health, 19, 1, (2019); World Malaria Report, 2013, (2013); Mutabingwa T.K., Artemisinin-based combination therapies (ACTs): Best hope for malaria treatment but inaccessible to the needy!, Acta Trop, 95, pp. 305-315, (2005); Leslie T., Et al., Overdiagnosis and mistreatment of malaria among febrile patients at primary healthcare level in Afghanistan: An observational study, BMJ, 345, (2012); Bastiaens G.J.H., Bousema T., Leslie T., Scale-up of malaria rapid diagnostic tests and artemisinin-based combination therapy: Challenges and perspectives in sub-Saharan Africa, Plos Med, 11, (2014); Abisoye O.A., Jimoh R.G., A hybrid intelligent forecasting model to determine malaria transmission, AIT, 2015, (2015); Oladele T.O., Ogundokun R.O., Awotunde J.B., Adebiyi M.O., Adeniyi J.K., Diagmal: A malaria coactive neuro-fuzzy expert system, ICCSA 2020. LNCS, Vol. 12254, pp. 428-441, (2020); Ayo F.E., Ogundokun R.O., Awotunde J.B., Adebiyi M.O., Adeniyi A.E., Severe acne skin disease: A fuzzy-based method for diagnosis, ICCSA 2020. LNCS, Vol. 12254, pp. 320-334, (2020); Davis J.K., Et al., A genetic algorithm for identifying spatially-varying environmental drivers in a malaria time series model, Environ. Model Softw., 119, pp. 275-284, (2019); Gomez-Elipe A., Otero A., van Herp M., Aguirre-Jaime A., Forecasting malaria incidence based on monthly case reports and environmental factors in Karuzi, Burundi, 1997–2003, Malaria J, 6, 1, (2007); Santosh T., Ramesh D., Reddy D., LSTM based prediction of malaria abundances using big data, Comput. Biol. Med., 124, (2020); Wang Y., Kung L., Byrd T.A., Big data analytics: Understanding its capabilities and potential benefits for healthcare organizations, Technol. Forecast. Soc. Chang., 126, pp. 3-13, (2018); Choi T.M., Chan H.K., Yue X., Recent development in big data analytics for business operations and risk management, IEEE Trans. Cybern., 47, 1, pp. 81-92, (2016); Donoho D., 50 years of data science, J. Comput. Graph. Stat., 26, 4, pp. 745-766, (2017); Okewu E., Misra S., Lius F.-S., Parameter tuning using adaptive moment estimation in deep learning neural networks, ICCSA 2020. LNCS, Vol. 12254, pp. 261-272, (2020); Blei D.M., Smyth P., Science and data science, Proc. Natl. Acad. Sci., 114, 33, pp. 8689-8692, (2017); Hulsen T., Et al., From big data to precision medicine, Front. Med., 6, (2019); Baro E., Degoul S., Beuscart R., Chazard E., Toward a literature-driven definition of big data in healthcare. BioMed Res, Int, (2015); Saweros E., Song Y.-T., Connecting heterogeneous electronic health record systems using tangle, IMCOM 2019. AISC, 935, pp. 858-869, (2019); Austin C., Kusumoto F., The application of Big Data in medicine: Current implications and future directions, J. Interv. Card. Electrophysiol., 47, 1, pp. 51-59, (2016); Fiske A., Buyx A., Prainsack B., Health information counselors: A new profession for the age of big data, Acad. Med., 94, 1, (2019); Galetsi P., Katsaliaki K., Kumar S., Values, challenges, and future directions of big data analytics in healthcare: A systematic review, Soc. Sci. Med., (2019); Williamson B., Big Data in Education: The Digital Future of Learning, Policy, and Practice. Sage, London, (2017); Krumholz H.M., Big data and new knowledge in medicine: The thinking, training, and tools needed for a learning health system, Health Aff, 33, 7, pp. 1163-1170, (2014); Lacroix P., Big data privacy and ethical challenges, Big Data, Big Challenges: A Healthcare Perspective. LNB, pp. 101-111, (2019); Metaxiotis K., Healthcare knowledge management, Encyclopedia of Knowledge Management, 2Nd Edn., Pp. 366–375. IGI Global, (2011); Halder P., Pan I., Role of Big data analysis in healthcare sector: A survey, 2018 Fourth International Conference on Research in Computational Intelligence and Communication Networks (ICRCICN), pp. 221-225, (2018); Dai H.N., Wang H., Xu G., Wan J., Imran M., Big data analytics for manufacturing internet of things: Opportunities, challenges, and enabling technologies, Enterp. Inf. Syst., pp. 1-25, (2019); Olaronke I., Oluwaseun O., Big data in healthcare: Prospects, challenges, and resolutions, 2016 Future Technologies Conference (FTC), pp. 1152-1157, (2016); Tresp V., Overhage J.M., Bundschus M., Rabizadeh S., Fasching P.A., Yu S., Going digital: A survey on digitalization and large-scale data analytics in healthcare, Proc. IEEE, 104, 11, pp. 2180-2206, (2016); Oussous A., Benjelloun F.Z., Lahcen A.A., Belfkih S., Big data technologies: A survey, J. King Saud Univ.-Comput. Inf. Sci., 30, 4, pp. 431-448, (2018); Sagiroglu S., Sinanc D., Big data: A review, 2013 International Conference on Collaboration Technologies and Systems (CTS), Pp. 42–47. IEEE, (2013); Villars R.L., Olofson C.W., Eastwood M., Big data: What it is and why you should care. White Paper, IDC, 14, pp. 1-14, (2011); Priyanka K., Kulennavar N., A survey on big data analytics in health care, Int. J. Comput. Sci. Inf. Technol., 5, 4, pp. 5865-5868, (2014); Kruse C.S., Goswamy R., Raval Y.J., Marawi S., Challenges and opportunities of big data in health care: A systematic review, JMIR Medical Inform, 4, 4, (2016); Abayomi-Alli A., Abayomi-Alli O., Vipperman J., Odusami M., Misra S., Multi-class classification of impulse and non-impulse sounds using deep convolutional neural network (DCNN), ICCSA 2019. LNCS, Vol. 11623, pp. 359-371, (2019); Birkhead G.S., Klompas M., Shah N.R., Use of electronic health records for public health surveillance to advance public health, Annu. Rev. Public Health, 36, pp. 345-359, (2015); Cohen I.G., Amarasingham R., Shah A., Xie B., Lo B., The legal and ethical concerns that arise from using complex predictive analytics in health care, Health Aff, 33, 7, pp. 1139-1147, (2014); Ram S., Zhang W., Williams M., Pengetnze Y., Predicting asthma-related emergency department visits using big data, IEEE J. Biomed. Health Inform., 19, 4, pp. 1216-1223, (2015); Santosh T., Ramesh D., DENCLUE-DE: Differential evolution based DENCLUE for scalable clustering in big data analysis, ICCNCT 2019. LNDECT, 44, pp. 436-445, (2020); Ayeni F., Misra S., Omoregbe N., Using big data technology to contain current and future occurrence of ebola viral disease and other epidemic diseases in West Africa, ICSI 2015. LNCS, Vol. 9142, pp. 107-114, (2015); Behera R.K., Jena M., Rath S.K., Misra S., Co-LSTM: Convolutional LSTM model for sentiment analysis in social big data, Inf. Process. Manage., 58, 1; Ward P.R., Improving access to, use of, and outcomes from public health programs: The importance of building and maintaining trust with patients/clients, Front. Public Health, 5, 22, (2017); Okewu E., Misra S., Fernandez S.L., Ayeni F., Mbarika V., Damasevicius R., Deep neural networks for curbing climate change-induced farmers-herdsmen clashes in a sustainable social inclusion initiative, Problemy Ekorozwoju, 14, 2, (2019)</t>
  </si>
  <si>
    <t xml:space="preserve">J.B. Awotunde; Department of Computer Science, University of Ilorin, Ilorin, Nigeria; email: awotunde.jb@unilorin.edu.ng</t>
  </si>
  <si>
    <t xml:space="preserve">Misra S.; Muhammad-Bello B.</t>
  </si>
  <si>
    <t xml:space="preserve">3rd International Conference on Information and Communication Technology and Applications, ICTA 2020</t>
  </si>
  <si>
    <t xml:space="preserve">24 November 2020 through 27 November 2020</t>
  </si>
  <si>
    <t xml:space="preserve">978-303069142-4</t>
  </si>
  <si>
    <t xml:space="preserve">2-s2.0-85102771513</t>
  </si>
  <si>
    <t xml:space="preserve">Gothai E.; Natesan P.; Rajalaxmi R.R.; Vignesh T.; Srinithy K.; Balaji T.V.</t>
  </si>
  <si>
    <t xml:space="preserve">Gothai, E. (37090553800); Natesan, P. (56829436200); Rajalaxmi, R R (25622829800); Vignesh, T. (57192558867); Srinithy, K. (57223688822); Balaji, T Vignesh (58327725900)</t>
  </si>
  <si>
    <t xml:space="preserve">37090553800; 56829436200; 25622829800; 57192558867; 57223688822; 58327725900</t>
  </si>
  <si>
    <t xml:space="preserve">Predictive analysis in determining the dissemination of infectious disease and its severity</t>
  </si>
  <si>
    <t xml:space="preserve">Epidemic diseases are the contagious diseases that have the power to unfold into the entire nation if its contagion measuring had reached the level of an outbreak and also manage to wipe out the majority of the population. There are some common and well-known epidemic disease outbreaks that were happened in the entire world such as malaria, dengue, swine flu, yellow fever, chicken pox, cholera, diphtheria, bird flu, influenza, and many more. Infectious disease surveillance is one of the most comprehensive processes during which information or data on such infectious disease disseminations, vectors and outbreaks are collected, analyzed, and interpreted in a consistent and systematic manner. Moreover, the outcomes and results ought to be distributed to people in a rapid way so as to have command and control over preventing infectious disease. Subsequently, to handle situations in real time, it is significant and important to create an infectious disease prediction model. The ultimate aim is to create a model using LSTM (Long Short Term Memory) wherein the predictive analysis is demonstrated to be effective in figuring out the epidemic disease infected location and its severity. © 2021 IEEE.</t>
  </si>
  <si>
    <t xml:space="preserve">Proceedings - 5th International Conference on Computing Methodologies and Communication, ICCMC 2021</t>
  </si>
  <si>
    <t xml:space="preserve">10.1109/ICCMC51019.2021.9418228</t>
  </si>
  <si>
    <t xml:space="preserve">https://www.scopus.com/inward/record.uri?eid=2-s2.0-85106045467&amp;doi=10.1109%2fICCMC51019.2021.9418228&amp;partnerID=40&amp;md5=53abdaf30f200fdfc486aec54a5c0b21</t>
  </si>
  <si>
    <t xml:space="preserve">Kongu Engineering College, Department of CSE, Perundurai, Tamilnadu, India; Kongu Engineering College, Perundurai, Tamilnadu, India</t>
  </si>
  <si>
    <t xml:space="preserve">Gothai E., Kongu Engineering College, Department of CSE, Perundurai, Tamilnadu, India; Natesan P., Kongu Engineering College, Department of CSE, Perundurai, Tamilnadu, India; Rajalaxmi R.R., Kongu Engineering College, Department of CSE, Perundurai, Tamilnadu, India; Vignesh T., Kongu Engineering College, Perundurai, Tamilnadu, India; Srinithy K., Kongu Engineering College, Perundurai, Tamilnadu, India; Balaji T.V., Kongu Engineering College, Perundurai, Tamilnadu, India</t>
  </si>
  <si>
    <t xml:space="preserve">auto-regressive integrated moving average; deep learning; infectious disease; long short term memory; Predictive analysis; recurrent neural network; regression</t>
  </si>
  <si>
    <t xml:space="preserve">Disease control; Long short-term memory; Predictive analytics; Bird flu; Command and control; Contagious disease; Epidemic disease; Infectious disease; Prediction model; Real time; Diseases</t>
  </si>
  <si>
    <t xml:space="preserve">Erna Permanasari A., Hidayah I., AlfiBustoni I., Department of Electrical Engineering and Information Technology GadjahMada University, N. Graflka, 2; Gupta A., ManeeshShreevastava 1mtech scholar, lakshmi narain college of technology, Medical Diagnosis Using Back Propagation Algorithm; Waitsa A., Emelyanovab A., Oksanenc A., Abassa K., Human Infect Ious Diseases and the Changing Climate in the Arctic; Heffernan C., London International Development Centre, 36 Gordon Square, London W1H 20D; Cathy W.S., Chen Sangyeo Lee K., Of Springer Nature 2020., Bayesian Inference of Nonlinear Hysteret Ic Integer-valued GARCH Models for Disease Counts; Fraser C., Riley S., Anderson R.M., Ferguson N.M., Factors That Make An Infect Ious Disease Outbreak Controllable, 27, (2004); Jackson C.H., Sharples L.D., Thompson S.G., Duffy S.W., Elisabeth couto, multistate markov models for disease progression withclassification error, J. Roy. Stat. Soc. : Ser. D (The Statistician), 52, 2, (2003); Durairaj M., Revathi V., INTERNATIONAL journal of scientific &amp; technology research, Prediction of Heart Disease Using Back Propagation MLP Algorithm, 4, 8, (2015); Zangiacomi Martinez E., Aparecida E., Da Silva S., Predicting the Number of Cases of Dengue Infection in RibeirãoPreto; Choi E., TahaBahadori M., Sun J., Doctor AI: PredictingClinical Events Via Recurrent Neural Networks, (2015); Smith E., MSN, WHNP-BC. The Effect of Potential Climate Change on Infectious Disease Presentation; Emily K., Shuman M.D., Global Climate Change and Infect Ious Diseases; Hirose H., Liangliang wang school of computer science and systems engineering kyushu institute of technology, Prediction of Infect Ious Disease Spread Using Twitter: A Case of Influenza; Patz J.A., Githeko A.K., McCarty J.P., Hussein S., Confalonieri U., De Wet N., Climate Change and Infect Ious Diseases; Yang J., School of Statistics and Mathematics, Yunnan University of Finance and Economics, Kunming, 650221; Patz J.A., Epstein P.R., Burke T.A., Balbus J.M., Global Climate Change and Emerging Infectious Diseases; Dietz K., Health Stat Istical Methodology World Health Organization; Gerenciamento de Doençasut Ilizandosériestemporais Com O ModeloARIMA; Vinarti R.A., Lucy M., Hederman School of Computer Science and Statistics, Trinity College Dublin; Pinner R.W., Teutsch S.M., Simonsen L., Klug L.A., Graber J.M., Clarke M.J., Berkelman R.L., Trends in Infect Ious Diseases Mortality in the United States; Rohart F., Milinovich G.J., Avril S.M.R., Le Cao K., Tong S., Hu W., Disease surveillance based on internet-based linear models: An aust ralian case study of previously unmodeled infection diseases, Sci. Rep., 6, (2016); Promprou S., Jaroensutasinee M., Jaroensutasinee K., School of Science; Chae S., Kwon S., Lee D., Predicting Infectious Disease Using Deep Learning and Big Data; Scott F., Dowell Centers for Disease Control and Prevention; Hochreiter S., Schmidhuber J., Long short-term memory, NeuralComput., 9, 8, pp. 1735-1780, (1997); Pollett S., Johansson M., Biggerstaff M., Morton L.C., Bazaco S.L., Major Brett D.M., Stewart-Ibarra A.M., Pavlin J.A., Mate S., Sippy R., Hartman L.J., Reich N.G., Maljkovic Berry I., Chretien J., Althouse B.M., Meyer D., Viboud C., Rivers C., Ident Ification and Evaluation of Epidemic Prediction and Forecasting Reporting Guidelines: A Systemat Ic Review and A Call for Action; Jayalakshmi T., Santhakumaran A., International Journal of Computer Theory and Engineering, 3, 1, pp. 1793-8201, (2011); Smys S., Survey on accuracy of predictive big data analytics in healthcare, Journal of Information Technology, 1, 2, pp. 77-86, (2019); Manoharan S., Improved version of graph-cut algorithm for ct images of lung cancer with clinical property condition, Journal of Artificial Intelligence, 2, 4, pp. 201-206, (2020)</t>
  </si>
  <si>
    <t xml:space="preserve">5th International Conference on Computing Methodologies and Communication, ICCMC 2021</t>
  </si>
  <si>
    <t xml:space="preserve">8 April 2021 through 10 April 2021</t>
  </si>
  <si>
    <t xml:space="preserve">978-166540360-3</t>
  </si>
  <si>
    <t xml:space="preserve">Proc. - Int. Conf. Comput. Methodol. Commun., ICCMC</t>
  </si>
  <si>
    <t xml:space="preserve">2-s2.0-85106045467</t>
  </si>
  <si>
    <t xml:space="preserve">Diyasa I.G.S.M.; Fauzi A.; Setiawan A.; Idhom M.; Wahid R.R.; Alhajir A.D.</t>
  </si>
  <si>
    <t xml:space="preserve">Diyasa, I Gede Susrama Mas (57189690019); Fauzi, Akhmad (57189692445); Setiawan, Ariyono (57211743389); Idhom, Moch. (57189692195); Wahid, Radical Rakhman (57221848206); Alhajir, Alfath Daryl (57221855063)</t>
  </si>
  <si>
    <t xml:space="preserve">57189690019; 57189692445; 57211743389; 57189692195; 57221848206; 57221855063</t>
  </si>
  <si>
    <t xml:space="preserve">Pre-Trained Deep Convolutional Neural Network for Detecting Malaria on the Human Blood Smear Images</t>
  </si>
  <si>
    <t xml:space="preserve">Malaria is a disease caused by the Plasmodium falciparum parasite carried by female Anopheles mosquitoes. This disease is still a severe threat in eastern Indonesia which is an endemic area of Malaria. A data-driven computer-Aided diagnostic approach can be an innovative solution. From the experiment results using the Pre-Trained Deep Convolutional Neural Network algorithm that was trained with the transfer learning method, the GoogLeNet model was able to achieve a detection accuracy of 93.89%. In comparison, the ShuffleNet V2 model gained 95.20% accuracy with training times three times faster than GoogLeNet. © 2021 IEEE.</t>
  </si>
  <si>
    <t xml:space="preserve">3rd International Conference on Artificial Intelligence in Information and Communication, ICAIIC 2021</t>
  </si>
  <si>
    <t xml:space="preserve">10.1109/ICAIIC51459.2021.9415183</t>
  </si>
  <si>
    <t xml:space="preserve">https://www.scopus.com/inward/record.uri?eid=2-s2.0-85105432948&amp;doi=10.1109%2fICAIIC51459.2021.9415183&amp;partnerID=40&amp;md5=b27746a00e9d0b481a581ff6fec197a3</t>
  </si>
  <si>
    <t xml:space="preserve">Universitas Pembangunan Nasional, 'Veteran' Jatim, Department of Informatics Engineering, Surabaya, 60294, Indonesia; Aviation Polytechnic of Surabaya, Department of Air Transportation Management, Surabaya, 60294, Indonesia</t>
  </si>
  <si>
    <t xml:space="preserve">Diyasa I.G.S.M., Universitas Pembangunan Nasional, 'Veteran' Jatim, Department of Informatics Engineering, Surabaya, 60294, Indonesia; Fauzi A., Universitas Pembangunan Nasional, 'Veteran' Jatim, Department of Informatics Engineering, Surabaya, 60294, Indonesia; Setiawan A., Aviation Polytechnic of Surabaya, Department of Air Transportation Management, Surabaya, 60294, Indonesia; Idhom M., Universitas Pembangunan Nasional, 'Veteran' Jatim, Department of Informatics Engineering, Surabaya, 60294, Indonesia; Wahid R.R., Universitas Pembangunan Nasional, 'Veteran' Jatim, Department of Informatics Engineering, Surabaya, 60294, Indonesia; Alhajir A.D., Universitas Pembangunan Nasional, 'Veteran' Jatim, Department of Informatics Engineering, Surabaya, 60294, Indonesia</t>
  </si>
  <si>
    <t xml:space="preserve">Convolutional Neural Network; Deep Learning; Malaria; Transfer Learning</t>
  </si>
  <si>
    <t xml:space="preserve">Convolution; Deep neural networks; Diagnosis; Diseases; Learning systems; Transfer learning; Anopheles mosquitoes; Computer aided diagnostics; Data driven; Detection accuracy; Human bloods; Innovative solutions; Plasmodium falciparum; Transfer learning methods; Convolutional neural networks</t>
  </si>
  <si>
    <t xml:space="preserve">Kho Steven, Andries B, Jeanne R. P., Commons R. J., Shanti P. A. I., High Risk of Plasmodium vivax Malaria Following Splenectomy in Papua, Indonesia, Clinical Infectious Diseases, 68, 1, (2019); Strategic Planning Ministry of Health 20152019, (2015); Methods Manual For Laboratory Quality Control Testing Of Malaria Rapid Diagnostic Tests, (2016); Malaria Microscopy Quality Assurance Manual-Version 2, (2015); Winskill P., Walker P. G., Cibulskis R. E., Ghani A. C., Prioritizing the scale-up of interventions for malaria control and elimination, Malaria Journal, 18, 122, pp. 1-11, (2019); Winskill P, Patrick G. W., Cibulskis R. E, Ghani A. C, Prioritizing the scale-up of interventions for malaria control and elimination, Malaria Journal, 18, 122, pp. 1-11, (2019); Rajaraman S, Antani S, Poostchi M, Silamut K, Hossain A, Maude J, Jaeger S, Thoma G, Pre-Trained Convolutional Neural Networks as Feature Extractors Toward Improved Malaria Parasite Detection in Thin Blood Smear Images, PeerJ, 6, 1, pp. 2-17, (2018); Rajaraman S, Jaeger S, Anati S, Performance evaluation of deep neural ensembles toward malaria parasite detection in thin blood smear images, , PeerJ, 7, 1, pp. 1-7, (2019); Malaria Datasets; Qazi A. A., Mohsen A., Saeed-ul H., Chen C., Ayisha I., Ghulam R., Waqas S., A Dataset and Benchmark for Malaria Life-Cycle Classification in Thin Blood Smear Images, Neural Computing and Applications, pp. 1-12, (2021); Bohanec M., BoYstnar M. K., Sikonja M. R., Explaining machine learning models in sales predictions, Expert Systems with Applications, 71, pp. 416-418, (2016); Albawi S, Abed T, Al-zawi S, Understanding of a Convolutional Neural Network, The International Conference on Engineering and Technology, pp. 1-7, (2017); Maryim O., Ebtesam N. A., An Iris Recognition System Using Deep Convolutional Neural Network, Journal of Physics: Conference Series-MAICT, 1530, pp. 1-22, (2020); Krit S., Cheng-Fa T., Chia-En T., Paohsi W., Analyzing Malaria Disease Using Effective Deep Learning Approach, Diagnostics, 10, 744, pp. 1-22, (2020); Asma M., Shahid F. M., Hassan K. M., Marcin G., Deep Malaria Parasite Detection in Thin Blood Smear Microscopic Images, Appl. Sci, 11, 2284, pp. 1-19, (2021); Amin A., Ali M. A., Shoroq Q., Lightweight Deep Learning for Malaria Parasite Detection Using Cell-Image of Blood Smear Images, Revue D Intelligence Artificielle, 34, 5, pp. 571-576, (2020); ImageNet Large Scale Visual Recognition Challenge; Xiangyu Z., Xinyu Z., Mengxiao L., Jian S., ShuffleNet: An Extremely Efficient Convolutional Neural Network for Mobile Devices, IEEE/CVF Conference on Computer Vision and Pattern Recognition, pp. 6848-6856, (2018); Ma N, Zhang X, Sun J, ShuffleNet V2: Practical Guidelines for Efficient CNN Architecture Design, pp. 1-19, (2018); Diyasa I G S M, Fauzi A, Idhom M, Setiawan A, Multi-face Recognition for the Detection of Prisoners in Jail using a Modified Cascade Classifier and CNN, Journal of Physics: Conference Series, 2nd International Conference on Science &amp; Technology, 1844, pp. 1-10, (2021); Susrama I. G., Edi Purnama I. K., Mauridhy H. P., Teratozoospermia Classification Based On The Shape Of Sperm Head Using Otsu Threshold And Decision Tree, MATEC Web of Conferences, 58, pp. 1-5, (2016); Adam-latest trends in deep learning optimization, (2018); Kingma P., Lei J, Adam: A Method for Stochastic Optimization, ICLR, pp. 1-14, (2017); Yao H, Zhu D, Jiang B, Yu P, Negative Log-Likelihood Ratio Loss for Deep Neural Network Classification, (2018); Meints W, Negative Log-likelihood, Github, (2018); Nitish S, Geoffrey H, Alex K, llya S, Ruslan S, Dropout: A Simple Way to Prevent Neural Networks from Overfitting, (2014); Ian G, Yoshua B, Aaron C, Deep Learning, (2016); Johnson R, Winchern D, Applied Multivariate Statistical Analysis, (2007); Mas Diyasa I G. S., Puspaningrum E. Y., Hatta Moch, Setiawan A., New Method For Classification Of Spermatozoa Morphology Abnormalities Based On Macroscopic Video Of Human Semen?, International Seminar on Application for Technology of Information and Communication (iSemantic), pp. 133-140, (2019)</t>
  </si>
  <si>
    <t xml:space="preserve">13 April 2021 through 16 April 2021</t>
  </si>
  <si>
    <t xml:space="preserve">Jeju Island</t>
  </si>
  <si>
    <t xml:space="preserve">978-172817638-3</t>
  </si>
  <si>
    <t xml:space="preserve">Int. Conf. Artif. Intell. Inf. Commun., ICAIIC</t>
  </si>
  <si>
    <t xml:space="preserve">2-s2.0-85105432948</t>
  </si>
  <si>
    <t xml:space="preserve">Rahman Z.; Roytman L.; Kadik A.; Rosy D.A.; Nandi P.; Rahman S.; Mahmud A.</t>
  </si>
  <si>
    <t xml:space="preserve">Rahman, Zahidur (57532801000); Roytman, Leonid (7003482800); Kadik, Abdelhamid (43861491600); Rosy, Dilara A. (56358028800); Nandi, Pradipta (57218398658); Rahman, Shahedur (57225843616); Mahmud, Ataul (57224977759)</t>
  </si>
  <si>
    <t xml:space="preserve">57532801000; 7003482800; 43861491600; 56358028800; 57218398658; 57225843616; 57224977759</t>
  </si>
  <si>
    <t xml:space="preserve">Public health precautions for preventing malaria using environmental data</t>
  </si>
  <si>
    <t xml:space="preserve">Considering the public health impact of a global pandemic, the reliance on data to understand disease outbreak is important now more than ever. Malaria is the most common mosquito-transmitted disease endemic to certain regions, leading to millions of serious illnesses and deaths each year. Because mosquito vectors are sensitive to environmental conditions such as temperature, precipitation, and humidity, it is possible to map areas currently or imminently at high risk for disease outbreaks using satellite remote sensing. In this paper the authors propose the development of an operational geospatial system for malaria early warning. This can be done by bringing together geographic information system (GIS) tools, artificial neural networks (ANN) for efficient pattern recognition, the best available ground-based environmental data such as epidemiological and vector ecology data, and current satellite remote sensing capabilities. The authors use Vegetation Health Indices (VHI) derived from visible and infrared radiances measured by satellite-mounted Advanced Very High Resolution Radiometers (AVHRR) and available weekly at 4-km resolution as one predictor of malaria risk in Bangladesh. As a study area, we focus on Bangladesh where malaria is a serious public health threat. The technology developed will, however, be largely portable to other countries in the world and applicable to other disease threats. A malaria early warning system will be a boon to international public health, enabling resources to be focused where they will do the most good for stopping pandemics, and will be an invaluable decision support tool for national security assessment and potential troop deployment in regions susceptible to disease outbreaks. © 2021 SPIE</t>
  </si>
  <si>
    <t xml:space="preserve">117330N</t>
  </si>
  <si>
    <t xml:space="preserve">10.1117/12.2583919</t>
  </si>
  <si>
    <t xml:space="preserve">https://www.scopus.com/inward/record.uri?eid=2-s2.0-85108842965&amp;doi=10.1117%2f12.2583919&amp;partnerID=40&amp;md5=3580b1f05bc575a04da976b0aab49d13</t>
  </si>
  <si>
    <t xml:space="preserve">Department of Mathematics, Engineering, and Computer Science, LaGuardia Community College of the City University of New York, 31-10 Thomson Avenue, Long Island City, 11101, NY, United States; Department of Electrical Engineering, City College of the City University of New York, 138 Street &amp; Convent Avenue, New York, 1003, NY, United States; Marks home Care, Rego Park, 11374, NY, United States; All India Institute of Medical Science, New Delhi, India; Get Well Medical Care PC, Jamaica, 11432, NY, United States; Dhaka Electric Supply Corporation, Dhaka, Bangladesh</t>
  </si>
  <si>
    <t xml:space="preserve">Rahman Z., Department of Mathematics, Engineering, and Computer Science, LaGuardia Community College of the City University of New York, 31-10 Thomson Avenue, Long Island City, 11101, NY, United States; Roytman L., Department of Electrical Engineering, City College of the City University of New York, 138 Street &amp; Convent Avenue, New York, 1003, NY, United States; Kadik A., Department of Mathematics, Engineering, and Computer Science, LaGuardia Community College of the City University of New York, 31-10 Thomson Avenue, Long Island City, 11101, NY, United States; Rosy D.A., Marks home Care, Rego Park, 11374, NY, United States; Nandi P., All India Institute of Medical Science, New Delhi, India; Rahman S., Get Well Medical Care PC, Jamaica, 11432, NY, United States; Mahmud A., Dhaka Electric Supply Corporation, Dhaka, Bangladesh</t>
  </si>
  <si>
    <t xml:space="preserve">ANN; AVHRR; Data; GIS; Malaria; Satellite remote sensing; VHI</t>
  </si>
  <si>
    <t xml:space="preserve">Advanced very high resolution radiometers (AVHRR); Data privacy; Decision support systems; Health risks; National security; Neural networks; Pattern recognition systems; Public health; Remote sensing; Risk assessment; Satellites; Decision support tools; Early Warning System; Environmental conditions; Environmental data; Infrared radiances; Satellite remote sensing; Security assessment; Vegetation health indices; Diseases</t>
  </si>
  <si>
    <t xml:space="preserve">Bangladesh government Database; Curran P., Multispectral remote sensing of vegetation amount, Prog. Phys.Geogr, 4, pp. 315-341, (1980); Gutman G., Review of the workshop on the "Use of satellite-derived vegetation indices on weather and climate prediction models,, Bull. Am. Met. Soc, 71, 10, pp. 1058-1063, (1990); Justice C.O, Townshend J.R.G., Holben B.N., Tucker C.J., Analysis of the phenology of global vegetation using meteorological satellite data, Int. J.Rem. Sens, 8, pp. 871-918, (1985); Kogan F.N., Remote sensing of weather impacts on vegetation in non-homogeneous areas, Int. J. Remote Sensing, 11, pp. 1005-1019, (1990); Kogan F. N., World droughts in the new millennium from AVHRR-based vegetation health indices, American Geophysical Union, 83, 557, pp. 562-563, (2002); Kogan F.N., Zhu X., Evolution of long-term errors in NDVI time series, Adv. Space Res, 28, 1, pp. 149-153, (2001); Iyengar M. O., Studies on Malaria in the deltaic region of Bengal, Journal of the Malaria Institute of India, 4, pp. 435-446, (1942); Iyengar M. O., Problems relating to Malaria control in deltaic Bengal, T,Journal of the Malaria Institute of India, 5, pp. 435-447, (1944); McMichael A, Haines A, Slooff R., Climate Change and Human Health, (1996); Malingreau J.P., Global vegetation dynamics: satellite observations over Asia, Int. J.Remote Sensing, 7, pp. 181-1106, (1986); Tarpley J.D., Schneider S.R., Money R.L., Global vegetation indices from NOAA-7 Meteorological satellite, J Climate Appl. Meteor, 23, pp. 491-494, (1984)</t>
  </si>
  <si>
    <t xml:space="preserve">Palaniappan K.; Seetharaman G.; Harguess J.D.</t>
  </si>
  <si>
    <t xml:space="preserve">Geospatial Informatics XI 2021</t>
  </si>
  <si>
    <t xml:space="preserve">12 April 2021 through 16 April 2021</t>
  </si>
  <si>
    <t xml:space="preserve">978-151064303-1</t>
  </si>
  <si>
    <t xml:space="preserve">2-s2.0-85108842965</t>
  </si>
  <si>
    <t xml:space="preserve">Joseph E.; Munasinghe T.; Tubbs H.; Bishnoi B.; Anyamba A.</t>
  </si>
  <si>
    <t xml:space="preserve">Joseph, Ethan (57468222600); Munasinghe, Thilanka (35105395500); Tubbs, Heidi (57468374700); Bishnoi, Bhaskar (58305003400); Anyamba, Assaf (6602556935)</t>
  </si>
  <si>
    <t xml:space="preserve">57468222600; 35105395500; 57468374700; 58305003400; 6602556935</t>
  </si>
  <si>
    <t xml:space="preserve">Scraping Unstructured Data to Explore the Relationship between Rainfall Anomalies and Vector-Borne Disease Outbreaks</t>
  </si>
  <si>
    <t xml:space="preserve">According to the World Health Organization (WHO), vector-borne diseases such as malaria and dengue account for 17% of all infectious disease cases and lead to more than 700,000 deaths per year. Tracking and predicting the spread of vector-borne diseases is a vital task that could save hundreds of thousands of lives annually. Oftentimes, the first reports of vector-borne disease outbreaks occur through emails and online reporting systems long before they are officially documented. Tracking and predicting the emergence and spread of vector-borne disease outbreaks requires extracting data from these unstructured sources in combination with historical weather and climate data to understand the underlying background triggers and disease dynamics. In this work, we develop a data extraction pipeline for the online outbreak reporting website ProMED-mail that utilizes a web scraper, transformer neural network summarizer, and named entity recognizer to obtain a dataset of malaria, dengue, zika, and chikungunya outbreaks over the last 30 years. This scraped dataset was further analyzed in association with global rainfall anomalies derived from NASA's Integrated Multi-satellitE Retrievals for GPM [Global Precipitation Mission] (IMERG) dataset. This preliminary analysis was to understand the effect of global rainfall patterns on the spread of vector-borne diseases. Analysis of the ProMED-mail and GPM data shows that vector-borne disease outbreaks are clustered towards the tropics and outbreaks are often amplified during the rainy seasons. Our scraped dataset can be a valuable tool in creating comprehensive georeferenced disease records for modeling and predicting future outbreaks. © 2021 IEEE.</t>
  </si>
  <si>
    <t xml:space="preserve">Proceedings - 2021 IEEE International Conference on Big Data, Big Data 2021</t>
  </si>
  <si>
    <t xml:space="preserve">10.1109/BigData52589.2021.9671853</t>
  </si>
  <si>
    <t xml:space="preserve">https://www.scopus.com/inward/record.uri?eid=2-s2.0-85125301332&amp;doi=10.1109%2fBigData52589.2021.9671853&amp;partnerID=40&amp;md5=058eb6b28a829fe46048ad7693cc06d9</t>
  </si>
  <si>
    <t xml:space="preserve">Rensselaer Polytechnic Institute, Department of Computer Science, Troy, NY, United States; Rensselaer Polytechnic Institute, Department of Information Technology and Web Science, roy, NY, United States; Goddard Earth Science and Technology Research Biospheric Sciences Laboratory, Code 618 NASA/Goddard Space Flight Center, University Space Research Association, Greenbelt, MD, United States</t>
  </si>
  <si>
    <t xml:space="preserve">Joseph E., Rensselaer Polytechnic Institute, Department of Computer Science, Troy, NY, United States; Munasinghe T., Rensselaer Polytechnic Institute, Department of Information Technology and Web Science, roy, NY, United States; Tubbs H., Goddard Earth Science and Technology Research Biospheric Sciences Laboratory, Code 618 NASA/Goddard Space Flight Center, University Space Research Association, Greenbelt, MD, United States; Bishnoi B., Goddard Earth Science and Technology Research Biospheric Sciences Laboratory, Code 618 NASA/Goddard Space Flight Center, University Space Research Association, Greenbelt, MD, United States; Anyamba A., Goddard Earth Science and Technology Research Biospheric Sciences Laboratory, Code 618 NASA/Goddard Space Flight Center, University Space Research Association, Greenbelt, MD, United States</t>
  </si>
  <si>
    <t xml:space="preserve">data mining; epidemiology; NLP; ProMED; transformers; vector-borne disease; Web scraping</t>
  </si>
  <si>
    <t xml:space="preserve">Diseases; Forecasting; NASA; Online systems; Rain; Vectors; Disease outbreaks; Global precipitation missions; Global rainfall; ProMED; Rainfall anomaly; Transformer; Unstructured data; Vector-borne disease; Web scrapings; World Health Organization; Data mining</t>
  </si>
  <si>
    <t xml:space="preserve">National Aeronautics and Space Administration, NASA, (17-HAQ17-0065); National Aeronautics and Space Administration, NASA; College of Pharmacy, COP; Armed Forces Health Surveillance Branch, AFHSB, (0044 20 NS); Armed Forces Health Surveillance Branch, AFHSB</t>
  </si>
  <si>
    <t xml:space="preserve">Funding text 1: This was work conducted as part of Group on Earth Observations (GEO) Health Community of Practice (CoP) activities for Student engagement under Thilanka Munasinghe and Assaf Anyamba. Heidi Tubbs, Bhaskar Bishnoi, Assaf Anyamba were supported under funding from Armed Forces Health Surveillance Branch - Global Emerging Infections Surveillance (GEIS) Project #P0044 20 NS and NASA Applied Sciences Program – Health and Air Quality, Grant #17-HAQ17-0065.; Funding text 2: This was work conducted as part of Group on Earth Observations (GEO) Health Community of Practice (CoP) activities for Student engagement under Thilanka Munasinghe and Assaf Anyamba.</t>
  </si>
  <si>
    <t xml:space="preserve">Diller M.A., A Web Scraper and Entity Resolver for Converting Public Epidemic Reports into Linked Data, (2018); Vector-borne Diseases Fact Sheet, (2020); Rainfall can indicate that mosquito-borne epidemics will occur weeks later, ScienceDaily, (2017); Anyamba A., Linthicum K.J., Small J.L., Collins K.M., Tucker C.J., Pak E.W., Britch S.C., Eastman J.R., Pinzon J.E., Russell K.L., Climate teleconnections and recent patterns of human and animal disease outbreaks, PLoS Neglected Tropical Diseases, 6, 1, (2012); Chretien J.-P., Anyamba A., Bedno S.A., Breiman R.F., Sang R., Sergon K., Powers A.M., Onyango C.O., Small J., Tucker C.J., Et al., Drought-associated Chikungunya Emergence Along Coastal East Africa, (2007); Ginsberg J., Mohebbi M., Patel R., Brammer L., Smolinski M., Brilliant L., Detecting influenza epidemics using search engine query data, Nature, 457, pp. 1012-1014, (2008); Milinovich G.J., Avril S.M.R., Clements A.C.A., Brownstein J.S., Tong S., Hu W., Using internet search queries for infectious disease surveillance: Screening diseases for suitability, BMC Infectious Diseases, 14, 1, (2014); Jain V.K., Kumar S., Effective surveillance and predictive mapping of mosquito-borne diseases using social media, Journal of Computational Science, 25, pp. 406-415, (2018); Zhang Y., Ibaraki M., Schwartz F.W., Disease surveillance using online news: Dengue and zika in tropical countries, Journal of Biomedical Informatics, 102, (2020); Soebiyanto R., Anyamba A., Damoah R., Thiaw W., Linthicum K., Chikrisk app: Global mapping and predicting chikungunya risk, 100th American Meteorological Society Annual Meeting. AMS, (2020); Anyamba A., Small J.L., Britch S.C., Tucker C.J., Pak E.W., Reynolds C.A., Crutchfield J., Linthicum K.J., Recent weather extremes and impacts on agricultural production and vector-borne disease outbreak patterns, PLoS ONE, 9, 3, (2014); Chen H., Zeng D., Yan P., Argus, Infectious Disease Informatics, pp. 177-181, (2010); Herman Tolentino M., Raoul Kamadjeu M., Michael M., Marjorie Pollack M., Larry Madoff M., Scanning the emerging infectious diseases horizonvisualizing promed emails using epispider, Adv Dis Surveil, 2, (2007); Freifeld C.C., Mandl K.D., Reis B.Y., Brownstein J.S., Healthmap: Global infectious disease monitoring through automated classification and visualization of internet media reports, J Am Med Inform Assoc, 15, 2, pp. 150-157, (2008); Collier N., Doan S., Kawazoe A., Goodwin R.M., Conway M., Tateno Y., Ngo Q.-H., Dien D., Kawtrakul A., Takeuchi K., Shigematsu M., Taniguchi K., Biocaster: Detecting public health rumors with a web-based text mining system, Bioinformatics, 24, 24, pp. 2940-2941, (2008); Abbood A., Ullrich A., Busche R., Ghozzi S., Eventepi-a natural language processing framework for event-based surveillance, PLoS Computational Biology, 16, 11, (2020); Glancey M.M., Anyamba A., Linthicum K.J., Epidemiologic and environmental risk factors of rift valley fever in southern Africa from 2008 to 2011, Vector-Borne and Zoonotic Diseases, 15, 8, pp. 502-511, (2015); Campbell L.P., Reuman D.C., Lutomiah J., Peterson A.T., Linthicum K.J., Britch S.C., Anyamba A., Sang R., Predicting abundances of aedes mcintoshi, a primary rift valley fever virus mosquito vector, PloS One, 14, 12, (2019); Bergquist N., Vector-borne parasitic diseases: New trends in data collection and risk assessment, Acta Tropica, 79, 1, pp. 13-20, (2001); Carrion M., Madoff L.C., Promed-mail: 22 years of digital surveillance of emerging infectious diseases, International Health, 9, 3, pp. 177-183, (2017); Simpson J., Kummerow C., Tao W.-K., Adler R.F., On the tropical rainfall measuring mission (trmm), Meteorology and Atmospheric Physics, 60, 1, pp. 19-36, (1996); Huffman G.J., Bolvin D.T., Braithwaite D., Hsu K., Joyce R., Xie P., Yoo S.-H., Nasa global precipitation measurement (gpm) integrated multi-satellite retrievals for gpm (imerg), Algorithm Theoretical Basis Document (ATBD) Version, 4, (2015); Lewis M., Liu Y., Goyal N., Ghazvininejad M., Mohamed A., Levy O., Stoyanov V., Zettlemoyer L., Bart: Denoising Sequence-to-sequence Pre-training for Natural Language Generation, Translation, and Comprehension, (2019); See A., Liu P.J., Manning C.D., Get to the Point: Summarization with Pointer-generator Networks, (2017); Lothritz C., Allix K., Veiber L., Klein J., Bissyande T.F.D.A., Evaluating pretrained transformerbased models on the task of fine-grained named entity recognition, Proceedings of the 28th International Conference on Computational Linguistics, pp. 3750-3760, (2020); Zhang T., Ramakrishnan R., Livny M., Birch: An efficient data clustering method for very large databases, Proceedings of the 1996 ACM SIGMOD International Conference on Management of Data, Ser. SIGMOD '96, pp. 103-114, (1996); Ester M., Kriegel H.-P., Sander J., Xu X., A densitybased algorithm for discovering clusters in large spatial databases with noise, Proceedings of the Second International Conference on Knowledge Discovery and Data Mining, Ser. KDD'96, pp. 226-231, (1996); Yuan C., Yang H., Research on k-value selection method of k-means clustering algorithm J, 2, 2, pp. 226-235, (2019); Boeing G., Clustering to Reduce Spatial Data Set Size, (2018); Munasinghe T., Maheshwarkar A.N., Bhanot K., Socioeconomic and Geographic Variations That Impacts the Spread of Malaria, (2020); Yeung K.Y., Ruzzo W.L., Details of the adjusted rand index and clustering algorithms, supplement to the paper an empirical study on principal component analysis for clustering gene expression data, Bioinformatics, 17, 9, pp. 763-774, (2001); Kumar S., Bhat G., Vertical structure of orographic precipitating clouds observed over south Asia during summer monsoon season, Journal of Earth System Science, 126, 8, pp. 1-12, (2017); Hastenrath S.L., Rainfall distribution and regime in central america, Archiv Für Meteorologie, Geophysik und Bioklimatologie, Serie B, 15, 3, pp. 201-241, (1967); Benesty J., Chen J., Huang Y., Cohen I., Pearson correlation coefficient, Noise Reduction in Speech Processing, pp. 1-4, (2009); Mansiaux Y., Carrat F., Detection of independent associations in a large epidemiologic dataset: A comparison of random forests, boosted regression trees, conventional and penalized logistic regression for identifying independent factors associated with h1n1pdm influenza infections, BMC Medical Research Methodology, 14, 1, pp. 1-10, (2014)</t>
  </si>
  <si>
    <t xml:space="preserve">Chen Y.; Ludwig H.; Tu Y.; Fayyad U.; Zhu X.; Hu X.T.; Byna S.; Liu X.; Zhang J.; Pan S.; Papalexakis V.; Wang J.; Cuzzocrea A.; Ordonez C.</t>
  </si>
  <si>
    <t xml:space="preserve">Ankura Collaboration Drives Results; IEEE; IEEE Computer Society; Lyve Cloud; NSF; Seagate</t>
  </si>
  <si>
    <t xml:space="preserve">2021 IEEE International Conference on Big Data, Big Data 2021</t>
  </si>
  <si>
    <t xml:space="preserve">15 December 2021 through 18 December 2021</t>
  </si>
  <si>
    <t xml:space="preserve">978-166543902-2</t>
  </si>
  <si>
    <t xml:space="preserve">Proc. - IEEE Int. Conf. Big Data, Big Data</t>
  </si>
  <si>
    <t xml:space="preserve">2-s2.0-85125301332</t>
  </si>
  <si>
    <t xml:space="preserve">Lv Z.; Li J.; Liu D.; Peng Y.; Shi B.</t>
  </si>
  <si>
    <t xml:space="preserve">Lv, Zhuanghu (57605416400); Li, Jing (57841854600); Liu, Dafeng (57604657800); Peng, Yue (57604406800); Shi, Benyun (23975131700)</t>
  </si>
  <si>
    <t xml:space="preserve">57605416400; 57841854600; 57604657800; 57604406800; 23975131700</t>
  </si>
  <si>
    <t xml:space="preserve">STANN: Spatio-Temporal Attention-based Neural Network for Epidemic Prediction</t>
  </si>
  <si>
    <t xml:space="preserve">Accurately forecasting the future trend of an epidemic plays an essential role in making effective and efficient public health policies for disease prevention and control. In reality, the local transmission of an epidemic depends not only on the cumulative number of infections at the same location, but also on the geographical spread of the disease from nearby locations. Therefore, the epidemic data usually show high nonlinearity and certain spatio-temporal patterns. Most existing methods lack the ability to simultaneously characterize the dynamic spatio-temporal patterns, thus cannot make satisfactory prediction results. In this paper, we propose a spatio-temporal attention-based neural network (STANN) to solve the epidemic prediction problem, where attention mechanisms are adopted to effectively capture the dynamic correlations of epidemic data in both spatial and temporal dimensions. The architecture of the network consists of three modules: a temporal attention module, a spatial attention module, and a temporal convolution module. Experimental results on the epidemic prediction of malaria cases in Yunnan Province, China, demonstrate that the STANN model outperforms the state-of-the-art baselines.  © 2021 ACM.</t>
  </si>
  <si>
    <t xml:space="preserve">10.1145/3498851.3498972</t>
  </si>
  <si>
    <t xml:space="preserve">https://www.scopus.com/inward/record.uri?eid=2-s2.0-85128507739&amp;doi=10.1145%2f3498851.3498972&amp;partnerID=40&amp;md5=996818fa5eeb29ca6767f0ae69c299d8</t>
  </si>
  <si>
    <t xml:space="preserve">School of Computer Science and Technology, Nanjing Tech University, Nanjing, China</t>
  </si>
  <si>
    <t xml:space="preserve">Lv Z., School of Computer Science and Technology, Nanjing Tech University, Nanjing, China; Li J., School of Computer Science and Technology, Nanjing Tech University, Nanjing, China; Liu D., School of Computer Science and Technology, Nanjing Tech University, Nanjing, China; Peng Y., School of Computer Science and Technology, Nanjing Tech University, Nanjing, China; Shi B., School of Computer Science and Technology, Nanjing Tech University, Nanjing, China</t>
  </si>
  <si>
    <t xml:space="preserve">Epidemic prediction; Graph attention networks; Neural networks; Spatio-temporal Attention mechanism</t>
  </si>
  <si>
    <t xml:space="preserve">Data mining; Disease control; Dynamics; Attention mechanisms; Disease prevention and controls; Epidemic prediction; Future trends; Graph attention network; Neural-networks; Public health policies; Spatio-temporal; Spatio-temporal attention mechanism; Spatiotemporal patterns; Forecasting</t>
  </si>
  <si>
    <t xml:space="preserve">Bahdanau D., Cho K., Bengio Y., Neural Machine Translation by Jointly Learning to Align and Translate, (2014); Box G.E.P., Jenkins G.M., Reinsel G.C., Ljung G.M., Time Series Analysis: Forecasting and Control, (2015); Ceccato P., Vancutsem C., Klaver R., Rowland J., Connor S.J., A vectorial capacity product to monitor changing malaria transmission potential in epidemic regions of Africa, Journal of Tropical Medicine, (2012); Chung J., Gulcehre C., Cho K., Bengio Y., Empirical Evaluation of Gated Recurrent Neural Networks on Sequence Modeling, pp. 1-9, (2014); Guo S., Lin Y., Feng N., Song C., Wan H., Attention Based Spatial-Temporal Graph Convolutional Networks for Traffic Flow Forecasting, Proceedings of the Aaai Conference on Artificial Intelligence, 33, pp. 922-929, (2019); Hochreiter S., Schmidhuber J., Long short-term memory, Neural Computation, 9, 8, pp. 1735-1780, (1997); Jia J.S., Lu X., Yuan Y., Xu G., Jia J., Christakis N.A., Population flow drives spatio-temporal distribution of COVID-19 in China, Nature, 582, 7812, pp. 389-394, (2020); Ripley B.D., Spatial Statistics, 575, (2005); Sapankevych N.I., Sankar R., Time series prediction using support vector machines: A survey, Ieee Computational Intelligence Magazine, 4, 2, pp. 24-38, (2009); Schlapfer M., Dong L., O'Keeffe K., Santi P., Szell M., Salat H., Anklesaria S., Vazifeh M., Ratti C., West G.B., The universal visitation law of human mobility, Nature, 593, 7860, pp. 522-527, (2021); Shi B., Lin S., Tan Q., Cao J., Zhou X., Xia S., Zhou X., Liu J., Inference and prediction of malaria transmission dynamics using time series data, Infectious Diseases of Poverty, 9, 1, pp. 1-13, (2020); Shi B., Liu J., Nong Zhou X., Jing Yang G., Inferring Plasmodium vivax Transmission Networks from Tempo-Spatial Surveillance Data, PLoS Neglected Tropical Diseases, 8, (2014); Shi B., Zheng J., Qiu H., Yang G., Xia S., Zhou X., Risk assessment of malaria transmission at the border area of China and Myanmar, Infectious Diseases of Poverty, 6, 1, pp. 1-9, (2017); Stoddard S.T., Morrison A.C., Vazquez-Prokopec G.M., Paz Soldan V., Kochel T.J., Kitron U., Elder J.P., Scott T.W., The role of human movement in the transmission of vector-borne pathogens, PLoS Neglected Tropical Diseases, 3, 7, (2009); Tealab A., Time series forecasting using artificial neural networks methodologies: A systematic review, Future Computing and Informatics Journal, 3, 2, pp. 334-340, (2018); Vaswani A., Shazeer N., Parmar N., Uszkoreit J., Jones L., Gomez A.N., Kaiser L., Polosukhin I., Attention is all you need, Advances in Neural Information Processing Systems, pp. 5998-6008, (2017); Vaswani A., Shazeer N., Parmar N., Uszkoreit J., Jones L., Gomez A.N., Kaiser L., Polosukhin I., Attention Is All You Need, (2017); Velickovic P., Cucurull G., Casanova A., Romero A., Lio P., Bengio Y., Graph Attention Networks, (2017); Wesolowski A., Buckee C.O., Pindolia D.K., Eagle N., Smith D.L., Garcia A.J., Tatem A.J., The use of census migration data to approximate human movement patterns across temporal scales, PloS One, 8, 1, (2013); Williams B.M., Hoel L.A., Modeling and Forecasting Vehicular Traffic Flow as a Seasonal ARIMA Process: Theoretical Basis and Empirical Results, Journal of Transportation Engineering, 129, 6, pp. 664-672, (2003); Wu Z., Pan S., Chen F., Long G., Zhang C., Yu Philip S., A comprehensive survey on graph neural networks, Ieee Transactions on Neural Networks and Learning Systems, 32, 1, pp. 4-24, (2020); Zhou J., Cui G., Hu S., Zhang Z., Yang C., Liu Z., Wang L., Li C., Sun M., Graph neural networks: A review of methods and applications, Ai Open, 1, pp. 57-81, (2020)</t>
  </si>
  <si>
    <t xml:space="preserve">B. Shi; School of Computer Science and Technology, Nanjing Tech University, Nanjing, China; email: benyunshi@outlook.com</t>
  </si>
  <si>
    <t xml:space="preserve">Gao X.; Huang G.; Cao J.; Cao J.; Deng K.</t>
  </si>
  <si>
    <t xml:space="preserve">ACM-SIGAI; et al.; IEEE Computer Society Technical Committee on Intelligent Informatics (TCII); The University of Queensland; University of Oxford; Web Intelligence Consortium (WIC)</t>
  </si>
  <si>
    <t xml:space="preserve">2021 IEEE/WIC/ACM International Conference on Web Intelligence and Intelligent Agent Technology, WI-IAT 2021</t>
  </si>
  <si>
    <t xml:space="preserve">978-145039187-0</t>
  </si>
  <si>
    <t xml:space="preserve">2-s2.0-85128507739</t>
  </si>
  <si>
    <t xml:space="preserve">Swastika W.; Widodo R.B.; Balqis G.A.; Sitepu R.</t>
  </si>
  <si>
    <t xml:space="preserve">Swastika, Windra (55773044200); Widodo, Romy Budhi (55488758100); Balqis, Ginza Alfarizha (57440960200); Sitepu, Rehmadenta (57189040636)</t>
  </si>
  <si>
    <t xml:space="preserve">55773044200; 55488758100; 57440960200; 57189040636</t>
  </si>
  <si>
    <t xml:space="preserve">The Effect of Regularization on Deep Learning Methods for Detection of Malaria Infection</t>
  </si>
  <si>
    <t xml:space="preserve">Malaria is an infectious disease caused by peripheral blood parasites of the genus Plasmodium. The estimated global malaria cases reached 229 million cases in 2019, of which 250,644 cases occurred in Indonesia. The large number of cases makes the early and accurate diagnosis of malaria very important because it can reduce the severity and prevent death. The most widely used method of diagnosis by far is examining a thin blood smear under a microscope and looking for infected cells. This research examines the effect of regularization applied to several Convolutional Neural Network (CNN) architectures to obtain the best accuracy of malaria parasite detection on thin blood smear images. The regularization techniques used are dropout layer, L2 regularization, and data augmentation. The results show that the use of BaselineNet without regularization achieved 94.92% accuracy. The use of regularization on ResNet-50, MicroVGGNet, BaselineNet-1 obtained 97.12%, 95.64% and 96,28% accuracy respectively. © 2021 IEEE.</t>
  </si>
  <si>
    <t xml:space="preserve">Proceedings - ICCTEIE 2021: 2021 International Conference on Converging Technology in Electrical and Information Engineering: Converging Technology for Sustainable Society</t>
  </si>
  <si>
    <t xml:space="preserve">10.1109/ICCTEIE54047.2021.9650646</t>
  </si>
  <si>
    <t xml:space="preserve">https://www.scopus.com/inward/record.uri?eid=2-s2.0-85124078710&amp;doi=10.1109%2fICCTEIE54047.2021.9650646&amp;partnerID=40&amp;md5=6487460f373e277b42f5fa124a4f5f57</t>
  </si>
  <si>
    <t xml:space="preserve">Universitas Ma Chung, Informatics Engineering, Malang, Indonesia; Universitas Ma Chung, Program of Pharmacy, Malang, Indonesia</t>
  </si>
  <si>
    <t xml:space="preserve">Swastika W., Universitas Ma Chung, Informatics Engineering, Malang, Indonesia; Widodo R.B., Universitas Ma Chung, Informatics Engineering, Malang, Indonesia; Balqis G.A., Universitas Ma Chung, Informatics Engineering, Malang, Indonesia; Sitepu R., Universitas Ma Chung, Program of Pharmacy, Malang, Indonesia</t>
  </si>
  <si>
    <t xml:space="preserve">Deep Learning; Malaria Infection Detection; Regularization</t>
  </si>
  <si>
    <t xml:space="preserve">Blood; Convolutional neural networks; Deep learning; Diagnosis; Blood smears; Deep learning; Indonesia; Infected cells; Infectious disease; Learning methods; Malaria infection detection; Parasite-; Peripheral blood; Regularisation; Diseases</t>
  </si>
  <si>
    <t xml:space="preserve">Dong Y., Jiang Z., Shen H., Pan W.D., Williams L.A., Reddy V.V., Bryan A.W., Evaluations of deep convolutional neural networks for automatic identification of malaria infected cells, 2017 IEEE EMBS International Conference on Biomedical &amp; Health Informatics (BHI), pp. 101-104, (2017); Rajaraman S., Jaeger S., Antani S.K., Performance evaluation of deep neural ensembles toward malaria parasite detection in thin-blood smear images, PeerJ, 7, (2019); Swastika W., Kristianti G.M., Widodo R.B., Effective preprocessed thin blood smear images to improve malaria parasite detection using deep learning, Journal of Physics: Conference Series, 1869, 1, (2021); Krizhevsky A., Sutskever I., Hinton G.E., Imagenet classification with deep convolutional neural networks, Advances in Neural Information Processing Systems, 25, pp. 1097-1105, (2012); Zhiqi Y., Gesture recognition based on improved VGGNET convolutional neural network, 2020 IEEE 5th Information Technology and Mechatronics Engineering Conference (ITOEC), pp. 1736-1739, (2020); He K., Zhang X., Ren S., Sun J., Deep residual learning for image recognition, Proceedings of the IEEE Conference on Computer Vision and Pattern Recognition, pp. 770-778, (2016); Rajaraman S., Antani S.K., Poostchi M., Silamut K., Hossain M.A., Maude R.J., Thoma G.R., Pre-trained convolutional neural networks as feature extractors toward improved malaria parasite detection in thin blood smear images, PeerJ, 6, (2018); Srivastava N., Hinton G., Krizhevsky A., Sutskever I., Salakhutdinov R., Dropout: A simple way to prevent neural networks from overfitting, The Journal of Machine Learning Research, 15, 1, pp. 1929-1958, (2014)</t>
  </si>
  <si>
    <t xml:space="preserve">IEEE Indonesian Section</t>
  </si>
  <si>
    <t xml:space="preserve">1st International Conference on Converging Technology in Electrical and Information Engineering, ICCTEIE 2021</t>
  </si>
  <si>
    <t xml:space="preserve">27 October 2021 through 28 October 2021</t>
  </si>
  <si>
    <t xml:space="preserve">Virtual, Bandar Lampung</t>
  </si>
  <si>
    <t xml:space="preserve">978-166540081-7</t>
  </si>
  <si>
    <t xml:space="preserve">Proc. - ICCTEIE: Int. Conf. Converging Technol. Electr. Inf. Eng.: Converging Technol. Sustain. Soc.</t>
  </si>
  <si>
    <t xml:space="preserve">2-s2.0-85124078710</t>
  </si>
  <si>
    <t xml:space="preserve">Bogado J.V.; Stalder D.H.; Schaerer C.E.; Gómez -Guerrero S.</t>
  </si>
  <si>
    <t xml:space="preserve">Bogado, J.V. (58105348500); Stalder, D.H. (55612170900); Schaerer, C.E. (15027359800); Gómez -Guerrero, S. (57210599466)</t>
  </si>
  <si>
    <t xml:space="preserve">58105348500; 55612170900; 15027359800; 57210599466</t>
  </si>
  <si>
    <t xml:space="preserve">Time Series Clustering to Improve Dengue Cases Forecasting with Deep Learning</t>
  </si>
  <si>
    <t xml:space="preserve">Dengue fever represents a public health problem and accurate forecasts can help governments take the best preventive actions. As the volume of data provided continuously increases, machine learning and deep learning (DL) models have become an attractive approach. However, it is difficult to perform accurate predictions in areas with fewer cases. In this work, we compare traditional approaches such as LASSO Regression (LR), Random Forest (RF), Support Vector Regression (SVR) vs DL models based on long short-term memory (LSTM), considering weekly dengue incidence and climate, in 217 cities in Paraguay. Several city models may present heterogeneous behaviors and poor accuracy. To mitigate this problem, a clustering analysis between time series is performed based on silhouette scores and measuring how well an observation is clustered. Our results indicate the hierarchical clustering combined with Spearman correlation is the most appropriate approach. Then several LSTM models are compared on subgroups of similar time series. The root mean squared error (RMSE) confirms that the LSTM clustered models improve the accuracy by 31.6% approximately. The main contribution of this work is that LSTM clustered models can perform predictions in cities with low incidence by combining information from similar time-series and weather data. ©2021 IEEE</t>
  </si>
  <si>
    <t xml:space="preserve">Proceedings - 2021 47th Latin American Computing Conference, CLEI 2021</t>
  </si>
  <si>
    <t xml:space="preserve">10.1109/CLEI53233.2021.9640130</t>
  </si>
  <si>
    <t xml:space="preserve">https://www.scopus.com/inward/record.uri?eid=2-s2.0-85123839702&amp;doi=10.1109%2fCLEI53233.2021.9640130&amp;partnerID=40&amp;md5=018d4a58f3ba634f160d4a62f37906b3</t>
  </si>
  <si>
    <t xml:space="preserve">National University of Asunción, Polytechnic School, Paraguay; National University of Asunción, Engineering School, Paraguay</t>
  </si>
  <si>
    <t xml:space="preserve">Bogado J.V., National University of Asunción, Polytechnic School, Paraguay; Stalder D.H., National University of Asunción, Engineering School, Paraguay; Schaerer C.E., National University of Asunción, Polytechnic School, Paraguay; Gómez -Guerrero S., National University of Asunción, Polytechnic School, Paraguay</t>
  </si>
  <si>
    <t xml:space="preserve">Dengue; Epidemiology; LSTM; times series forecasting</t>
  </si>
  <si>
    <t xml:space="preserve">Climate models; Decision trees; Forecasting; Mean square error; Time series; Time series analysis; Accurate prediction; Dengue; Dengue fevers; Learning models; Preventive action; Random forests; Time series clustering; Time series forecasting; Times series; Traditional approaches; Long short-term memory</t>
  </si>
  <si>
    <t xml:space="preserve">Brauer F., Castillo-Chavez C., Feng Z., Dengue fever and the Zika virus, Mathematical Models in Epidemiology, pp. 409-425, (2019); Guzman M.G., Halstead S.B., Artsob H., Buchy P., Farrar J., Gubler D.J., Hunsperger E., Kroeger A., Margolis H.S., Martinez E., Et al., Dengue: A continuing global threat, Nature Reviews Microbiology, 8, 12 supp, (2010); Romero D., Olivero J., Real R., Guerrero J.C., Applying fuzzy logic to assess the biogeographical risk of dengue in South America, Parasites &amp; Vectors, 12, 1, (2019); En-fermedades transmitidas por vectores, Boletín Epidemiológico, 30, (2013); Rodriguez-Castro A.I., Rolon J., Rios-Gonzalez C.M., Dengue internation costs in a third level hospital of attention of Paraguay 2017, Revista Del Instituto De Medicina Tropical, 14, 1, pp. 14-20, (2019); Arbo A., Dengue: Heavy burden for the public health of Paraguay, Revista Del Instituto De Medicina Tropical, 14, 1, pp. 1-2, (2019); Codeco C., Coelho F., Cruz O., Oliveira S., Castro T., Bastos L., Infodengue: A nowcasting system for the surveillance of arboviruses in Brazil, Revue D’Épidémiologie Et De Santé Publique, 66, (2018); Perez-Estigarribia P.E., Bliman P.-A., Schaerer C.E., A class of fast-slow models for adaptive resistance evolution, Theoretical Population Biology, 135, pp. 32-48, (2020); de Lima T.F.M., Lana R.M., de Senna Carneiro T.G., Codeco C.T., Machado G.S., Ferreira L.S., de Castro Medeiros L.C., Davis C.A., Dengueme: A tool for the modeling and simulation of dengue spatiotemporal dynamics, International Journal of Environmental Research and Public Health, 13, 9, (2016); Andraud M., Hens N., Marais C., Beutels P., Dynamic epidemiological models for Dengue transmission: A systematic review of structural approaches, PloS One, 7, 11, (2012); Arias-Michel R., Garcia-Torres M., Schaerer C., Divina F., Feature selection using approximate multivariate markov blankets, Hybrid Artificial Intelligent Systems, pp. 114-125, (2016); Gomez-Guerrero S., Sosa-Cabrera G., Garcia-Torres M., Ortiz-Samudio I., Schaerer C.E., Multivariate symmetrical uncertainty as a measure for interaction in categorical patterned datasets, The Entropy 2021: The Scientific Tool of The 21st Century, pp. 114-125, (2021); Sosa-Cabrera G., Garcia-Torres M., Gomez-Guerrero S., Schaerer C.E., Divina F., A multivariate approach to the symmetrical uncertainty measure: Application to feature selection problem, Information Sciences, 494, pp. 1-20, (2019); Shi Y., Liu X., Kok S.-Y., Rajarethinam J., Liang S., Yap G., Chong C.-S., Lee K.-S., Tan S.S., Chin C.K.Y., Et al., Three-month real-time dengue forecast models: An early warning system for outbreak alerts and policy decision support in Singapore, Environmental Health Perspectives, 124, 9, pp. 1369-1375, (2016); Silva F.D., Santos A.M., Correa G.C.F., Caldas J.M., Temporal relationship between rainfall, temperature and occurrence of dengue cases in São Luıs, Maranhão, Brazil, Ciencia &amp; Saude Coletiva, 21, pp. 641-646, (2016); Johansson M.A., Reich N.G., Hota A., Brown-Stein J.S., Santillana M., Evaluating the performance of infectious disease forecasts: A comparison of climate-driven and seasonal dengue forecasts for Mexico, Scientific Reports, 6, (2016); Jiang S., Xiao R., Wang L., Luo X., Huang C., Wang J.-H., Chin K.-S., Nie X., Combining deep neural networks and classical time series regression models for forecasting patient flows in Hong Kong, IEEE Access, 7, (2019); Sun D., Wang M., Li A., A multimodal deep neural network for human breast cancer prognosis prediction by integrating multi-dimensional data, IEEE/ACM Transactions on Computational Biology and Bioinformatics, 16, 3, pp. 841-850, (2018); Min S., Lee B., Yoon S., Deep learning in bioinformatics, Briefings in Bioinformatics, 18, 5, pp. 851-869, (2017); Mello-Roman J.D., Mello-Roman J.C., Gomez-Guerrero S., Garcia-Torres M., Predictive models for the medical diagnosis of dengue: A case study in Paraguay, Computational and Mathematical Methods in Medicine, 2019, (2019); Liu L., Han M., Zhou Y., Wang Y., LSTM recurrent neural networks for influenza trends prediction, International Symposium on Bioinformatics Research and Applications, pp. 259-264, (2018); Wang L., Chen J., Marathe M., TDefsi: Theory-guided deep learning-based epidemic forecasting with synthetic information, ACM Transactions on Spatial Algorithms and Systems (TSAS), 6, 3, pp. 1-39, (2020); Xu J., Xu K., Li Z., Meng F., Tu T., Xu L., Liu Q., Forecast of dengue cases in 20 Chinese cities based on the deep learning method, International Journal of Environmental Research and Public Health, 17, 2; Mussumeci E., Coelho F.C., Large-scale multivariate forecasting models for Dengue-LSTM versus random forest regression, Spatial and Spatio-Temporal Epidemiology, 35, (2020); Bandara K., Bergmeir C., Smyl S., Forecasting across time series databases using recurrent neural networks on groups of similar series: A clustering approach, Expert Systems with Applications, 140, (2020); Riveros E.G.S., Gomez-Guerrero S., Schaerer C.E., Categorical PCA and Multiple Correlation in the study of the incidence of Dengue fever in communities of Paraguay, Proceeding Series of The Brazilian Society of Computational and Applied Mathematics, 6, 2, (2018); Gomez Guerrero S., Schaerer C., Rojas de Arias A., Mello J., Estigarribia H., Construcción de un modelo de incidencia de dengue aplicado a comunidades de Paraguay, Segundo Encuentro De Investigadores,, (2017); Bogado J.V., Stalder D., Gomez-Guerrero S., Schaerer C.E., Deep learning-based dengue cases forecasting with synthetic data, Proceeding Series of The Brazilian Society of Computational and Applied Mathematics, 7, 1; Dirección De Meteorología E Hidrología, (2015); Hochreiter S., Schmidhuber J., Long short-term memory, Neural Computation, 9, 8, pp. 1735-1780, (1997); Schmidhuber J., Deep learning in neural networks: An overview, Neural Networks, 61, pp. 85-117, (2015); Bouktif S., Fiaz A., Ouni A., Serhani M.A., Optimal deep learning LSTM model for electric load forecasting using feature selection and genetic algorithm: Comparison with machine learning approaches, Energies, 11, 7, (2018); Olah C., Understanding Lstm Networks, (2015); Josef P., Skipper S., Jonathan T., Statsmodels.Tsa.Stattools, (2013); Kingma D.P., Ba J., Adam: A Method for Stochastic Optimization, (2014); Huo J., Shi T., Chang J., Comparison of Random Forest and SVM for electrical short-term load forecast with different data sources, 2016 7th IEEE International Conference on Software Engineering and Service Science (ICSESS), pp. 1077-1080, (2016); Kristiansen T., Forecasting nord pool day-ahead prices with Python, The Python Papers, 12, 1, (2018); Hong W.-C., Dong Y., Zheng F., Lai C.-Y., Forecasting urban traffic flow by SVR with continuous ACO, Applied Mathematical Modelling, 35, 3, pp. 1282-1291, (2011); Siami-Namini S., Tavakoli N., Namin A.S., A comparison of ARIMA and LSTM in forecasting time series, 2018 17th IEEE International Conference on Machine Learning and Applications (ICMLA), pp. 1394-1401, (2018); Liao T.W., Clustering of time series dataâa survey, Pattern Recognition, 38, 11, pp. 1857-1874, (2005); Hyndman R.J., Wang E., Laptev N., Large-scale unusual time series detection, 2015 IEEE International Conference on Data Mining Workshop (ICDMW), pp. 1616-1619, (2015); Ogbuabor G., Ugwoke F., Clustering algorithm for a healthcare dataset using silhouette score value, International Journal of Computer Science &amp; Information Technology, 10, 2, pp. 27-37, (2018)</t>
  </si>
  <si>
    <t xml:space="preserve">CINDE - Inverta en Costa Rica; Esencial Costa Rica; et al.; Fundatec; Sama; Tecnologico de Costa Rica (TEC)</t>
  </si>
  <si>
    <t xml:space="preserve">47th Latin American Computing Conference, CLEI 2021</t>
  </si>
  <si>
    <t xml:space="preserve">25 October 2021 through 29 October 2021</t>
  </si>
  <si>
    <t xml:space="preserve">Virtual, Cartago</t>
  </si>
  <si>
    <t xml:space="preserve">978-166549503-5</t>
  </si>
  <si>
    <t xml:space="preserve">Proc. - Lat. American Comput. Conf., CLEI</t>
  </si>
  <si>
    <t xml:space="preserve">2-s2.0-85123839702</t>
  </si>
  <si>
    <t xml:space="preserve">Bokonda P.L.; Ouazzani-Touhami K.; Souissi N.</t>
  </si>
  <si>
    <t xml:space="preserve">Bokonda, Patrick Loola (57211443442); Ouazzani-Touhami, Khadija (57211442130); Souissi, Nissrine (6602765271)</t>
  </si>
  <si>
    <t xml:space="preserve">57211443442; 57211442130; 6602765271</t>
  </si>
  <si>
    <t xml:space="preserve">Which Machine Learning method for outbreaks predictions?</t>
  </si>
  <si>
    <t xml:space="preserve">African swine fever (ASF), dengue fever, influenza, norovirus disease are names of outbreaks that have taken some parts of the world by surprise and caused several deaths. The advent of coronavirus disease at the end of 2019 is clear proof that the issue of outbreaks is more topical than ever. The Machine Learning (ML) comes to the rescue of medicine by offering predictive analysis methods to predict the reappearance of outbreaks and thus help the healthcare system and decisionmakers to take the necessary measures in advance. But which ML method should be used to predict an outbreak? Given the large number of ML methods, it is sometimes difficult to know which method to use. This is why we conducted this study. We looked at the above-mentioned outbreaks and identified the following ML methods as the most commonly used: LR, C4.5, NB, SVM, ANN and RF. Of these six methods, the random forest method (RF) stands out from the others because it was used in all four outbreaks considered, has the best accuracy for two outbreaks (ASF and dengue fever) and has been designated by several independent researchers as the most suitable ML method for outbreak prediction. © 2021 IEEE.</t>
  </si>
  <si>
    <t xml:space="preserve">2021 IEEE 11th Annual Computing and Communication Workshop and Conference, CCWC 2021</t>
  </si>
  <si>
    <t xml:space="preserve">10.1109/CCWC51732.2021.9376061</t>
  </si>
  <si>
    <t xml:space="preserve">https://www.scopus.com/inward/record.uri?eid=2-s2.0-85103460089&amp;doi=10.1109%2fCCWC51732.2021.9376061&amp;partnerID=40&amp;md5=0adec42253db44c0cca52873cd395934</t>
  </si>
  <si>
    <t xml:space="preserve">Mohammed v University in Rabat. Emi, Siweb Team, Department of Computer Science, Rabat, Morocco; MINES-RABAT School, Department of Computer Science, Rabat, Morocco</t>
  </si>
  <si>
    <t xml:space="preserve">Bokonda P.L., Mohammed v University in Rabat. Emi, Siweb Team, Department of Computer Science, Rabat, Morocco; Ouazzani-Touhami K., MINES-RABAT School, Department of Computer Science, Rabat, Morocco; Souissi N., Mohammed v University in Rabat. Emi, Siweb Team, Department of Computer Science, Rabat, Morocco</t>
  </si>
  <si>
    <t xml:space="preserve">covid-19; machine learning; methods; outbreaks; prediction; random forest</t>
  </si>
  <si>
    <t xml:space="preserve">Decision trees; Forecasting; Machine learning; Coronaviruses; Decision makers; Dengue fevers; Health-care system; Machine learning methods; Norovirus; Random forest methods; Predictive analytics</t>
  </si>
  <si>
    <t xml:space="preserve">Bokonda P.L., Ouazzani-Touhami K., Souissi N., Open Data Kit: Mobile Data Collection Framework for Developing Countries, 8, pp. 4749-4754, (2019); Loola Bokonda P., Ouazzani-Touhami K., Souissi N., Mobile data collection using open data kit, Innovation in Information Systems and Technologies to Support Learning Research. EMENA-ISTL 2019. Learning and Analytics in Intelligent Systems, 7, (2020); Bokonda P.L., Ouazzani-Touhami K., Souissi N., A practical analysis of mobile data collection apps, International Journal of Interactive Mobile Technologies (IJIM), 14, 13, (2020); Bokonda P.L., Ouazzani-Touhami K., Souissi N., Predictive analysis using machine learning: Review of trends and methods, International Symposium on Advanced Electrical and Communication Technologies ISAECT2020, (2020); Bokonda P.L., Ouazzani-Touhami K., Souissi N., LISUNGIcovid19: A mobile application to help manage the way out of covid-19 crisis, 6TH IEEE Congress on Information Science &amp; Technology 2020, (2020); La Peste Porcine Africaine : Questions-Réponses; Liang R., Lu Y., Qu X., Su Q., Li C., Xia S., Niu B., Prediction for global african swine fever outbreaks based on a combination of random forest algorithms and meteorological data, Transboundary and Emerging Diseases, 67, 2, pp. 935-946, (2020); Iqbal N., Islam M., Machine learning for dengue outbreak prediction: A performance evaluation of different prominent classifiers, Informatica, 43, 3, (2019); Anno S., Hara T., Kai H., Lee M.A., Chang Y., Oyoshi K., Tadono T., Spatiotemporal dengue fever hotspots associated with climatic factors in Taiwan including outbreak predictions based on machine-learning, Geospatial Health, 14, 2, (2019); Raja D.B., Mallol R., Ting C.Y., Kamaludin F., Ahmad R., Ismail S., Sundram B.M., Artificial intelligence model as predictor for dengue outbreaks, Malaysian Journal of Public Health Medicine, 19, 2, pp. 103-108, (2019); Agarwal N., Koti S.R., Saran S., Senthil Kumar A., Data mining techniques for predicting dengue outbreak in geospatial domain using weather parameters for New Delhi, India, Curr. Sci, 114, 11, pp. 2281-2291, (2018); Muurlink O.T., Stephenson P., Islam M.Z., Taylor-Robinson A.W., Long-term predictors of dengue outbreaks in Bangladesh: A data mining approach, Infectious Disease Modelling, 3, pp. 322-330, (2018); Bhatt S., Et al., The global distribution and burden of dengue, Nature, 496, 7446, pp. 504-507, (2013); Dengue et Dengue Sévère; Brady O.J., Et al., Refining the global spatial limits of dengue virus transmission by evidence-based consensus, PLOS Neglected Tropical Diseases, 6, 8, (2012); La Grippe, Une épidémie Saisonnière; La Grippe, épidémie Saisonnière; Lutter Contre la Grippe Au Ghana; Tapak L., Hamidi O., Fathian M., Karami M., Comparative evaluation of time series models for predicting influenza outbreaks: Application of influenza-like illness data from sentinel sites of healthcare centers in Iran, BMC Research Notes, 12, 1, (2019); Grippe Saisonnière; Koike F., Morimoto N., Supervised forecasting of the range expansion of novel non-indigenous organisms: Alien pest organisms and the 2009 h1n1 flu pandemic, Global Ecology and Biogeography, 27, 8, pp. 991-1000, (2018); Chenar S.S., Deng Z., Development of genetic programmingbased model for predicting oyster norovirus outbreak risks, Water Research, 128, pp. 20-37, (2018); Chenar S.S., Deng Z., Development of artificial intelligence approach to forecasting oyster norovirus outbreaks along gulf of Mexico coast, Environment International, 111, pp. 212-223, (2018); Thomas A., Le Saux J.C., Ollivier J., Maalouf H., Pommepuy M., Le Guyader S., Norovirus et hutres: De la terre à la mer!, Virologie, 15, 6, pp. 353-360, (2011); Wu Y., Yang Y., Nishiura H., Saitoh M., Deep learning for epidemiological predictions, The 41st International ACM SIGIR Conference on Research &amp; Development in Information Retrieval, pp. 1085-1088, (2018); Ducharme G.R., Critères de Qualité D'un Classifieur Généraliste, (2018); Fathima A.S., Manimeglai D., Analysis of significant factors for dengue infection prognosis using the random forest classifier, Analysis, 6, 2, (2015); Fathima A., Manimegalai D., Predictive analysis for the arbovirus-dengue using SVM classification, International Journal of Engineering and Technology, 2, 3, pp. 521-527, (2012); Tanner L., Schreiber M., Low J.G., Ong A., Tolfvenstam T., Lai Y.L., Simmons C.P., Decision tree algorithms predict the diagnosis and outcome of dengue fever in the early phase of illness, PLoS Negl Trop Dis, 2, 3, (2008)</t>
  </si>
  <si>
    <t xml:space="preserve">Paul R.</t>
  </si>
  <si>
    <t xml:space="preserve">IEEE Region 1; IEEE Region 6; IEEE USA; Institute of Engineering and Management (IEM); SMART; University of Engineering and Management (UEM)</t>
  </si>
  <si>
    <t xml:space="preserve">11th IEEE Annual Computing and Communication Workshop and Conference, CCWC 2021</t>
  </si>
  <si>
    <t xml:space="preserve">27 January 2021 through 30 January 2021</t>
  </si>
  <si>
    <t xml:space="preserve">Virtual, Las Vegas</t>
  </si>
  <si>
    <t xml:space="preserve">978-073814394-1</t>
  </si>
  <si>
    <t xml:space="preserve">IEEE Annu. Comput. Commun. Workshop Conf., CCWC</t>
  </si>
  <si>
    <t xml:space="preserve">2-s2.0-85103460089</t>
  </si>
  <si>
    <t xml:space="preserve">Li F.; Shen Y.; Lv D.; Lin J.; Liu B.; He F.; Wang Z.; Wang L.</t>
  </si>
  <si>
    <t xml:space="preserve">Li, Fudong (56819460700); Shen, Yi (57191516476); Lv, Duo (55319869000); Lin, Junfen (36053011500); Liu, Biyao (56911327700); He, Fan (35388429700); Wang, Zhen (56911987700); Wang, Leyi (57215074265)</t>
  </si>
  <si>
    <t xml:space="preserve">56819460700; 57191516476; 55319869000; 36053011500; 56911327700; 35388429700; 56911987700; 57215074265</t>
  </si>
  <si>
    <t xml:space="preserve">A Bayesian classification model for discriminating common infectious diseases in Zhejiang province, China</t>
  </si>
  <si>
    <t xml:space="preserve">To develop a classification model for accurately discriminating common infectious diseases in Zhejiang province, China.Symptoms and signs, abnormal lab test results, epidemiological features, as well as the incidence rates were treated as predictors, and were collected from the published literature and a national surveillance system of infectious disease. A classification model was established using naïve Bayesian classifier. Dataset from historical outbreaks was applied for model validation, while sensitivity, specificity, accuracy, area under the receiver operating characteristic curve (AUC) and M-index were presented.A total of 146 predictors were included in the classification model, for discriminating 25 common infectious diseases. The sensitivity ranged from 44.44% for hepatitis E to 96.67% for measles. The specificity varied from 96.36% for dengue fever to 100% for 5 diseases. The median of total accuracy was 97.41% (range: 93.85%-99.04%). The AUCs exceeded 0.98 in 11 of 12 diseases, except in dengue fever (0.613). The M-index was 0.960 (95%CI 0.941-0.978).A novel classification model was constructed based on Bayesian approach to discriminate common infectious diseases in Zhejiang province, China. After entering symptoms and signs, abnormal lab test results, epidemiological features and city of disease origin, an output list of possible diseases ranked according to the calculated probabilities can be provided. The discrimination performance was reasonably good, making it useful in epidemiological applications. © 2020 the Author(s). Published by Wolters Kluwer Health, Inc.</t>
  </si>
  <si>
    <t xml:space="preserve">Medicine (United States)</t>
  </si>
  <si>
    <t xml:space="preserve">e19218</t>
  </si>
  <si>
    <t xml:space="preserve">10.1097/MD.0000000000019218</t>
  </si>
  <si>
    <t xml:space="preserve">https://www.scopus.com/inward/record.uri?eid=2-s2.0-85079823747&amp;doi=10.1097%2fMD.0000000000019218&amp;partnerID=40&amp;md5=6fb875b8bebaa04ee3e7d975d08f6f9b</t>
  </si>
  <si>
    <t xml:space="preserve">Zhejiang Provincial Center for Disease Control and Prevention, 3399 Binsheng Road, Binjiang District, Hangzhou, Zhejiang, 310051, China; Department of Epidemiology and Health Statistics, School of Public Health, Zhejiang University, China; First Affiliated Hospital of Zhejiang University, Hangzhou, Zhejiang Province, China</t>
  </si>
  <si>
    <t xml:space="preserve">Li F., Zhejiang Provincial Center for Disease Control and Prevention, 3399 Binsheng Road, Binjiang District, Hangzhou, Zhejiang, 310051, China; Shen Y., Department of Epidemiology and Health Statistics, School of Public Health, Zhejiang University, China; Lv D., First Affiliated Hospital of Zhejiang University, Hangzhou, Zhejiang Province, China; Lin J., Zhejiang Provincial Center for Disease Control and Prevention, 3399 Binsheng Road, Binjiang District, Hangzhou, Zhejiang, 310051, China; Liu B., Zhejiang Provincial Center for Disease Control and Prevention, 3399 Binsheng Road, Binjiang District, Hangzhou, Zhejiang, 310051, China; He F., Zhejiang Provincial Center for Disease Control and Prevention, 3399 Binsheng Road, Binjiang District, Hangzhou, Zhejiang, 310051, China; Wang Z., Zhejiang Provincial Center for Disease Control and Prevention, 3399 Binsheng Road, Binjiang District, Hangzhou, Zhejiang, 310051, China; Wang L.</t>
  </si>
  <si>
    <t xml:space="preserve">Bayes; classification; diagnosis; discrimination; infectious diseases</t>
  </si>
  <si>
    <t xml:space="preserve">Artificial Intelligence; Bayes Theorem; China; Communicable Diseases; Diagnosis, Computer-Assisted; Humans; Incidence; Reproducibility of Results; acute hemorrhagic conjunctivitis; algorithm; amebiasis; area under the curve; Article; Bayes theorem; brucellosis; chickenpox; China; cholera; dengue; epidemic meningitis; hand foot and mouth disease; hemorrhagic fever; hepatitis E; infection; influenza A (H1N1); Japanese encephalitis; laboratory test; leptospirosis; lung tuberculosis; malaria; measles; measurement accuracy; mumps; paratyphoid fever; pertussis; priority journal; receiver operating characteristic; rubella; scarlet fever; sensitivity and specificity; shigellosis; typhoid fever; typhus; artificial intelligence; China; communicable disease; computer assisted diagnosis; human; incidence; pathophysiology; procedures; reproducibility</t>
  </si>
  <si>
    <t xml:space="preserve">Medical Research Program of Zhejiang Province; Zhejiang Provincial Natural Science Foundation of China; Natural Science Foundation of Zhejiang Province, ZJNSF, (LQ19H260001); Natural Science Foundation of Zhejiang Province, ZJNSF; Chinese Medicine Research Program of Zhejiang Province, (2017KY286); Chinese Medicine Research Program of Zhejiang Province</t>
  </si>
  <si>
    <t xml:space="preserve">Funding text 1: This study was supported by the Program for Zhejiang Leading Team of Science and Technology Innovation (2011R50021), the Medical Research Program of Zhejiang Province (2017KY286), and Zhejiang Provincial Natural Science Foundation of China (LQ19H260001). The funding sources had no involvement in study design, data collection and analysis, decision to publish, or preparation of the manuscript. The researchers confirm their independence from funders and sponsors.; Funding text 2: This study was supported by the Program for Zhejiang Leading Team of Science and Technology Innovation (2011R50021), the Medical Research Program of Zhejiang Province (2017KY286), and Zhejiang Provincial Natural Science Foundation of China (LQ19H260001).</t>
  </si>
  <si>
    <t xml:space="preserve">National Health Commission of the People's Repablic of China2018 China Health Statistical Yearbook., (2018); Gregg M.B., Field Epidemiology. 3rd Ed., (2008); Goodman R.A., Buehler J.W., Koplan J.P., The epidemiologic field investigation: Science and judgment in public health practice, Am J Epidemiol, 132, pp. 9-16, (1990); Duda R.O., Hart P.E., Stork D.G., Pattern Classification. 2nd Ed., (2001); Berger S.A., GIDEON: A comprehensive Web-based resource for geographic medicine, Int J Health Geogr, 4, (2005); Edberg S.C., Global infectious diseases and epidemiology network (GIDEON): A world wide Web-based program for diagnosis and informatics in infectious diseases, Clin Infect Dis V, 40, pp. 123-126, (2005); Feldman S., Klein D.F., Honigfeld G., The reliability of a decision tree technique applied to psychiatric diagnosis, Biometrics, 28, pp. 831-840, (1972); Cualing H., Kothari R., Balachander T., Immunophenotypic diagnosis of acute leukemia by using decision tree induction, Lab Invest, 79, pp. 205-212, (1999); Shaw J., A decision tree approach to psychodiagnosis. The diagnosis of abnormal behaviour, Aust Fam Physician, 14, pp. 284-285, (1985); Baxt W.G., Use of an artificial neural network for the diagnosis of myocardial infarction, Ann Inter Med, 115, pp. 843-848, (1991); Michie D., Spiegelhalter D.J., Taylor C.C., Machine Learning, Neural and Statistical Classification., (1994); Han J., Kamber M., Pei J., Data Mining: Concepts and Techniques. 3rd Ed., (2012); Wang L., Wang Y., Jin S., Et al., Emergence and control of infectious diseases in China, Lancet, 372, pp. 1598-1605, (2008); Lalkhen A.G., McCluskey A., Clinical tests: Sensitivity and specificity, Cont Educ Anaesth Crit Care Pain, 8, pp. 221-223, (2008); Provost F., Domingos P., Tree induction for probability-based ranking, Mach Learn, 52, pp. 199-215, (2003); Hand D., Till R., A Simple generalisation of the area under the ROC curve for multiple class classification problems, Mach Learn, 45, pp. 171-186, (2001); Van Calster B., Vergouwe Y., Looman C.W., Et al., Assessing the discriminative ability of risk models for more than two outcome categories, Eur J Epidemiol, 27, pp. 761-770, (2012); Bottieau E., Moreira J., Clerinx J., Et al., Evaluation of the GIDEON expert computer program for the diagnosis of imported febrile illnesses, Med Decis Making, 28, pp. 435-442, (2008); Kimura M., Sakamoto M., Adachi T., Et al., Diagnosis of febrile illnesses in returned travelers using the PC software GIDEON, Travel Med Infect Dis, 3, pp. 157-160, (2005); Li B., Intelligent diagnosis system of disease based on Delphi (In Chinese), Comput Technol Dev, 20, pp. 250-252, (2010); Wang L.-G., Dong S.-C., Hao R.-Z., Et al., Auxiliary diagnosis system of infectious diseases and its application (In Chinese), Chin J Public Health, 26, pp. 1491-1492, (2010); Hu B.-S., Feng D., Cao W.-C., Et al., Mobile intelligent disease diagnosis system based on Bayesian analysis (In Chinese), J Comput Appl, 28, B06, pp. 15-17, (2008); Luo R.F., Bartlett J.G., Use of the computer program GIDEON at an inpatient infectious diseases consultation service, Clin Infect Dis, 42, pp. 157-158, (2006); Berner E.S., Diagnostic decision support systems: How to determine the gold standard?, J Am Med Inform Assoc, 10, pp. 608-610, (2003); Kassirer J.P., A report card on computer-assisted diagnosis-The grade: C, N Engl J Med, 330, pp. 1824-1825, (1994); Gao X., Lin H., Dong Q., A dirichlet-multinomial bayes classifier for disease diagnosis with microbial compositions, MSphere, 2, pp. e00536-e00617, (2017)</t>
  </si>
  <si>
    <t xml:space="preserve">Z. Wang; Zhejiang Provincial Center for Disease Control and Prevention, Binjiang District, Hangzhou, Zhejiang, 3399 Binsheng Road, 310051, China; email: zjwangzhen@126.com</t>
  </si>
  <si>
    <t xml:space="preserve">MEDIA</t>
  </si>
  <si>
    <t xml:space="preserve">Medicine</t>
  </si>
  <si>
    <t xml:space="preserve">2-s2.0-85079823747</t>
  </si>
  <si>
    <t xml:space="preserve">A Deep Learning Approach to Detect COVID-19 Patients from Chest X-ray Images †</t>
  </si>
  <si>
    <t xml:space="preserve">Deep Learning has improved multi-fold in recent years and it has been playing a great role in image classification which also includes medical imaging. Convolutional Neural Networks (CNNs) have been performing well in detecting many diseases including coronary artery disease, malaria, Alzheimer’s disease, different dental diseases, and Parkinson’s disease. Like other cases, CNN has a substantial prospect in detecting COVID-19 patients with medical images like chest X-rays and CTs. Coronavirus or COVID-19 has been declared a global pandemic by the World Health Organization (WHO). As of 8 August 2020, the total COVID-19 confirmed cases are 19.18 M and deaths are 0.716 M worldwide. Detecting Coronavirus positive patients is very important in preventing the spread of this virus. On this conquest, a CNN model is proposed to detect COVID-19 patients from chest X-ray images. Two more CNN models with different number of convolution layers and three other models based on pretrained ResNet50, VGG-16 and VGG-19 are evaluated with comparative analytical analysis. All six models are trained and validated with Dataset 1 and Dataset 2. Dataset 1 has 201 normal and 201 COVID-19 chest X-rays whereas Dataset 2 is comparatively larger with 659 normal and 295 COVID-19 chest X-ray images. The proposed model performs with an accuracy of 98.3% and a precision of 96.72% with Dataset 2. This model gives the Receiver Operating Characteristic (ROC) curve area of 0.983 and F1-score of 98.3 with Dataset 2. Moreover, this work shows a comparative analysis of how change in convolutional layers and increase in dataset affect classifying performances. © 2020 by the authors.</t>
  </si>
  <si>
    <t xml:space="preserve">AI (Switzerland)</t>
  </si>
  <si>
    <t xml:space="preserve">10.3390/ai1030027</t>
  </si>
  <si>
    <t xml:space="preserve">https://www.scopus.com/inward/record.uri?eid=2-s2.0-85169582508&amp;doi=10.3390%2fai1030027&amp;partnerID=40&amp;md5=eb17875596618f25138323128866394d</t>
  </si>
  <si>
    <t xml:space="preserve">College of Science and Engineering, Central Michigan University, Mount Pleasant, 48859, MI, United States</t>
  </si>
  <si>
    <t xml:space="preserve">Haque K.F., College of Science and Engineering, Central Michigan University, Mount Pleasant, 48859, MI, United States; Abdelgawad A., College of Science and Engineering, Central Michigan University, Mount Pleasant, 48859, MI, United States</t>
  </si>
  <si>
    <t xml:space="preserve">Convolutional Neural Networks (CNNs); coronavirus; COVID-19; deep learning; detection of COVID-19</t>
  </si>
  <si>
    <t xml:space="preserve">Simard P.Y., Steinkraus D., Platt J.C., Best practices for convolutional neural networks applied to visual document analysis, Proceedings of the Icdar 2003, 3; O'Shea K., Nash R., An introduction to convolutional neural networks, arXiv, (2015); Bhandare A., Bhide M., Gokhale P., Chandavarkar R., Applications of convolutional neural networks, Int. J. Comput. Sci. Inf. Technol, 7, pp. 2206-2215, (2016); Barbedo J.G.A., Castro G.B., A Study on CNN-Based Detection of Psyllids in Sticky Traps Using Multiple Image Data Sources, AI, 1, pp. 198-208, (2020); Suzuki K., Overview of deep learning in medical imaging, Radiol. Phys. Technol, 10, pp. 257-273, (2017); Banihabib M.E., Bandari R., Valipour M., Improving Daily Peak Flow Forecasts Using Hybrid Fourier-Series Autoregressive Integrated Moving Average and Recurrent Artificial Neural Network Models, AI, 1, pp. 263-275, (2020); Taravat A., Wagner M.P., Oppelt N., Automatic Grassland Cutting Status Detection in the Context of Spatiotemporal Sentinel-1 Imagery Analysis and Artificial Neural Networks, Remote Sens, 11, (2019); Islam K.T., Wijewickrema S., Raj R.G., O'Leary S., Street Sign Recognition Using Histogram of Oriented Gradients and Artificial Neural Networks, J. Imaging, 5, (2019); McCulloch W.S., Pitts W., A logical calculus of the ideas immanent in nervous activity, Bull. Math. Biophys, 5, pp. 115-133, (1943); Liang M., Hu X., Recurrent convolutional neural network for object recognition, Proceedings of the IEEE Conference on Computer Vision and Pattern Recognition 2015, pp. 3367-3375; Gu J., Wang Z., Kuen J., Ma L., Shahroudy A., Shuai B., Liu T., Wang X., Wang G., Cai J., Et al., Recent advances in convolutional neural networks, Pattern Recognit, 77, pp. 354-377, (2018); Zeiler M.D., Fergus R., Visualizing and understanding convolutional networks, European Conference on Computer Vision, pp. 818-833, (2014); Krizhevsky A., Sutskever I., Hinton G.E., Imagenet classification with deep convolutional neural networks, Proceedings of the Advances in Neural Information Processing Systems 2012, pp. 1097-1105; Simonyan K., Zisserman A., Very deep convolutional networks for large-scale image recognition, arXiv, (2014); Modes of Transmission of Virus Causing COVID-19: Implications for IPC Precaution Recommendations: Scientific Brief, 27 March 2020, (2020); Wu Y.C., Chen C.S., Chan Y.J., The outbreak of COVID-19: An overview, J. Chin. Med. Assoc, 83, (2020); Loeffelholz M.J., Tang Y.W., Laboratory diagnosis of emerging human coronavirus infections—The state of the art, Emerg. Microbes Infect, 9, pp. 747-756, (2020); Pfefferle S., Reucher S., Norz D., Lutgehetmann M., Evaluation of a quantitative RT-PCR assay for the detection of the emerging coronavirus SARS-CoV-2 using a high throughput system, Eurosurveillance, 25, (2020); Litjens G., Kooi T., Bejnordi B.E., Setio A.A.A., Ciompi F., Ghafoorian M., Van Der Laak J.A., Van Ginneken B., Sanchez C.I., A survey on deep learning in medical image analysis, Med. Image Anal, 42, pp. 60-88, (2017); Lundervold A.S., Lundervold A., An overview of deep learning in medical imaging focusing on MRI, Z. Med. Phys, 29, pp. 102-127, (2019); Hung J., Carpenter A., Applying faster R-CNN for object detection on malaria images, Proceedings of the IEEE Conference on Computer Vision and Pattern Recognition Workshops 2017, pp. 56-61; Acharya U.R., Fujita H., Lih O.S., Adam M., Tan J.H., Chua C.K., Automated detection of coronary artery disease using different durations of ECG segments with convolutional neural network, Knowl. Based Syst, 132, pp. 62-71, (2017); Oh S.L., Hagiwara Y., Raghavendra U., Yuvaraj R., Arunkumar N., Murugappan M., Acharya U.R., A deep learning approach for Parkinson’s disease diagnosis from EEG signals, Neural Comput. Appl, 32, pp. 1-7, (2018); Prajapati S.A., Nagaraj R., Mitra S., Classification of dental diseases using CNN and transfer learning, Proceedings of the 2017 5th International Symposium on Computational and Business Intelligence (ISCBI), pp. 70-74; Liao H., A Deep Learning Approach to Universal Skin Disease Classification, (2016); Farooq A., Anwar S., Awais M., Rehman S., A deep CNN based multi-class classification of Alzheimer’s disease using MRI, Proceedings of the 2017 IEEE International Conference on Imaging Systems and Techniques (IST), pp. 1-6; Kruthika K., Maheshappa H., Initiative A.D.N., Alzheimer’s Disease Neuroimaging Initiative. CBIR system using Capsule Networks and 3D CNN for Alzheimer’s disease diagnosis, Inform. Med. Unlocked, 14, pp. 59-68, (2019); Narin A., Kaya C., Pamuk Z., Automatic detection of coronavirus disease (covid-19) using X-ray images and deep convolutional neural networks, arXiv, (2020); Zhang J., Xie Y., Li Y., Shen C., Xia Y., Covid-19 screening on chest X-ray images using deep learning based anomaly detection, arXiv, (2020); Hall L.O., Paul R., Goldgof D.B., Goldgof G.M., Finding covid-19 from chest X-rays using deep learning on a small dataset, arXiv, (2020); Sethy P.K., Behera S.K., Detection of coronavirus disease (covid-19) based on deep features, Preprints, 2020, (2020); Apostolopoulos I.D., Mpesiana T.A., Covid-19: Automatic detection from X-ray images utilizing transfer learning with convolutional neural networks, Phys. Eng. Sci. Med, 43, pp. 635-640, (2020); Li L., Qin L., Xu Z., Yin Y., Wang X., Kong B., Bai J., Lu Y., Fang Z., Song Q., Et al., Artificial intelligence distinguishes COVID-19 from community acquired pneumonia on chest CT, Radiology, (2020); Islam M.Z., Islam M.M., Asraf A., A combined deep cnn-lstm network for the detection of novel coronavirus (covid-19) using X-ray images, Inform. Med. Unlocked, (2020); Hemdan E.E.D., Shouman M.A., Karar M.E., Covidx-net: A framework of deep learning classifiers to diagnose covid-19 in X-ray images, arXiv, (2020); Huang G., Liu Z., Van Der Maaten L., Weinberger K.Q., Densely connected convolutional networks, Proceedings of the IEEE Conference on Computer Vision and Pattern Recognition 2017, pp. 4700-4708; Szegedy C., Vanhoucke V., Ioffe S., Shlens J., Wojna Z., Rethinking the inception architecture for computer vision, Proceedings of the IEEE Conference on Computer Vision and Pattern Recognition 2016, pp. 2818-2826; He K., Zhang X., Ren S., Sun J., Deep residual learning for image recognition, Proceedings of the IEEE Conference on Computer Vision and Pattern Recognition 2016, pp. 770-778; Too E.C., Yujian L., Njuki S., Yingchun L., A comparative study of fine-tuning deep learning models for plant disease identification, Comput. Electron. Agric, 161, pp. 272-279, (2019); Szegedy C., Ioffe S., Vanhoucke V., Alemi A., Inception-v4, inception-resnet and the impact of residual connections on learning, arXiv, (2016); Chollet F., Xception: Deep learning with depthwise separable convolutions, Proceedings of the IEEE Conference on Computer Vision and Pattern Recognition 2017, pp. 1251-1258; Sandler M., Howard A., Zhu M., Zhmoginov A., Chen L.C., Mobilenetv2: Inverted residuals and linear bottlenecks, Proceedings of the IEEE Conference on Computer Vision and Pattern Recognition 2018, pp. 4510-4520; Chowdhury M.E., Rahman T., Khandakar A., Mazhar R., Kadir M.A., Mahbub Z.B., Islam K.R., Khan M.S., Iqbal A., Al-Emadi N., Et al., Can AI help in screening viral and COVID-19 pneumonia?, arXiv, (2020); Ozturk T., Talo M., Yildirim E.A., Baloglu U.B., Yildirim O., Acharya U.R., Automated detection of COVID-19 cases using deep neural networks with X-ray images, Comput. Biol. Med, 121, (2020); Haghanifar A., Majdabadi M.M., Ko S., COVID-CXNet: Detecting COVID-19 in Frontal Chest X-ray Images using Deep Learning, arXiv, (2020); Khan A.I., Shah J.L., Bhat M.M., Coronet: A deep neural network for detection and diagnosis of COVID-19 from chest X-ray images, Comput. Methods Progr. Biomed, 196, (2020); Minaee S., Kafieh R., Sonka M., Yazdani S., Soufi G.J., Deep-covid: Predicting covid-19 from chest X-ray images using deep transfer learning, arXiv, (2020); Afshar P., Heidarian S., Naderkhani F., Oikonomou A., Plataniotis K.N., Mohammadi A., Covid-caps: A capsule network-based framework for identification of covid-19 cases from X-ray images, arXiv, (2020); Wang L., Wong A., COVID-Net: A Tailored Deep Convolutional Neural Network Design for Detection of COVID-19 Cases from Chest X-Ray Images, arXiv, (2020); Hasan A.M., AL-Jawad M.M., Jalab H.A., Shaiba H., Ibrahim R.W., AL-Shamasneh A.R., Classification of Covid-19 Coronavirus, Pneumonia and Healthy Lungs in CT Scans Using Q-Deformed Entropy and Deep Learning Features, Entropy, 22, (2020); Sedik A., Iliyasu A.M., El-Rahiem A., Abdel Samea M.E., Abdel-Raheem A., Hammad M., Peng J., El-Samie A., Fathi E., El-Latif A.A.A., Et al., Deploying Machine and Deep Learning Models for Efficient Data-Augmented Detection of COVID-19 Infections, Viruses, 12, (2020); Haque K.F., Haque F.F., Gandy L., Abdelgawad A., Automatic detection of COVID-19 from chest X-ray images with convolutional neural networks, Proceedings of the 2020 3rd IEEE International Conference on Computing, Electronics &amp; Communications Engineering (IEEE iCCECE ’20); Cohen J.P., Morrison P., Dao L., Roth K., Duong T.Q., Ghassemi M., COVID-19 Image Data Collection: Prospective Predictions Are the Future, arXiv, (2020); Mooney P., Chest X-ray Images (Pneumonia); Rahimzadeh M., Attar A., A New Modified Deep Convolutional Neural Network for Detecting COVID-19 from X-ray Images, arXiv, (2020); Loey M., Smarandache F., Khalifa N.E.M., Within the Lack of Chest COVID-19 X-ray Dataset: A Novel Detection Model Based on GAN and Deep Transfer Learning, Symmetry, 12, (2020); Abbas A., Abdelsamea M.M., Gaber M.M., Classification of COVID-19 in chest X-ray images using DeTraC deep convolutional neural network, arXiv, (2020)</t>
  </si>
  <si>
    <t xml:space="preserve">K.F. Haque; College of Science and Engineering, Central Michigan University, Mount Pleasant, 48859, United States; email: haque1k@cmich.edu</t>
  </si>
  <si>
    <t xml:space="preserve">AI.</t>
  </si>
  <si>
    <t xml:space="preserve">2-s2.0-85169582508</t>
  </si>
  <si>
    <t xml:space="preserve">Gourisaria M.K.; Das S.; Sharma R.; Rautaray S.S.; Pandey M.</t>
  </si>
  <si>
    <t xml:space="preserve">Gourisaria, Mahendra Kumar (56708914800); Das, Sujay (57216367580); Sharma, Ritesh (57216375623); Rautaray, Siddharth Swarup (57212001145); Pandey, Manjusha (57192384950)</t>
  </si>
  <si>
    <t xml:space="preserve">56708914800; 57216367580; 57216375623; 57212001145; 57192384950</t>
  </si>
  <si>
    <t xml:space="preserve">A deep learning model for malaria disease detection and analysis using deep convolutional neural networks</t>
  </si>
  <si>
    <t xml:space="preserve">Malaria is a very infectious disease that is caused by female anopheles mosquito. This disease not only harms humans but also animals. If this disease not diagnosed properly in the early stage than it can cause muscular paralysis or even death of the patient in worst case. Due to lack of highly technical expertise in industry, it becomes very difficult to confirm the presence of disease. In this context, the intervention of IT must be involved for proper and rapid detection of disease. Modern day IT sectors are putting their blood and sweat for fighting this disease by taking the help of IT sector buzz words technologies like Machine Learning, Deep Learning and Artificial Intelligence. These technologies have been a backbone for healthcare since the last few years and will continue to be if used properly. This paper uses the CNN algorithm on the microscopic image of the malaria infected blood cells to predict if an organism is suffering from malaria or not. Our proposed model got accuracy of 95.23% and out of 16 random images, 15 are always predicted correctly. © 2020, Research Trend. All rights reserved.</t>
  </si>
  <si>
    <t xml:space="preserve">International Journal on Emerging Technologies</t>
  </si>
  <si>
    <t xml:space="preserve">Research Trend</t>
  </si>
  <si>
    <t xml:space="preserve">https://www.scopus.com/inward/record.uri?eid=2-s2.0-85085006143&amp;partnerID=40&amp;md5=01158b0de1eb4045e56d4027b1c95cb4</t>
  </si>
  <si>
    <t xml:space="preserve">School of Computer Engineering, KIIT Deemed to be University, Bhubaneswar, Odisha, India; School of Electronics, KIIT Deemed to be University, Bhubaneswar, Odisha, India</t>
  </si>
  <si>
    <t xml:space="preserve">Gourisaria M.K., School of Computer Engineering, KIIT Deemed to be University, Bhubaneswar, Odisha, India; Das S., School of Electronics, KIIT Deemed to be University, Bhubaneswar, Odisha, India; Sharma R., School of Computer Engineering, KIIT Deemed to be University, Bhubaneswar, Odisha, India; Rautaray S.S., School of Computer Engineering, KIIT Deemed to be University, Bhubaneswar, Odisha, India; Pandey M., School of Computer Engineering, KIIT Deemed to be University, Bhubaneswar, Odisha, India</t>
  </si>
  <si>
    <t xml:space="preserve">Artificial Neural Network; Deep Convolutional Neural Network; Deep Learning; Disease Detection; Image Processing; Malaria Detection; Medical Imaging</t>
  </si>
  <si>
    <t xml:space="preserve">Artificial Intelligence in Healthcare; Amisha M.P., Pathania M., Rathaur V.K., Overview of artificial intelligence in medicine, Journal of Family Medicine and Primary Care, 8, 7, pp. 2328-2331, (2019); (2019); (2020); Talisuna A.O., Njama D., Diagnosis and treatment of malaria, BMJ, 2007, pp. 334-375, (2007); Bairagi V.K., Chrape K.C., Comparison of Texture Features Used for Classification of Life Stages of Malaria Parasite, International Journal of Biomedical Imaging, pp. 1-9, (2016); Ahiwar N., Pattnaik S., Acharya B., Advanced Image Analysis based System for Automatic Detection and Classification of Malarial Parasite in Blood Images, International Journal of Information Technology and Knowledge Management, 5, pp. 59-64, (2012); Tek F.B., Dempster A.G., Kale I., Computer Vision for Microscopy Diagnosis of Malaria, 8, 1, pp. 153-157, (2009); Das D.K., Ghosh M., Pal M., Maiti A.K., Chakraborty, C.: Machine learning approach for automated screening of malaria parasite using light microscopic images, Micron, 45, pp. 97-106, (2013); Pan W.D., Dong Y., Wu D., Classification of Malaria-Infected Cells using Deep Convolutional Neural Networks, Machine Learning – Advanced Techniques and Emerging Applications, pp. 36-55, (2018); Dong Y., Jiang Z., Shen H., Pan W.D., Wiliams L.A., Reddy V.V.B., Benjamin W.H., Evaluations of deep convolutional neural networks for automatic identification of malaria infected cells, In 2017 IEEE EMBS International Conference on Biomedical &amp; Health Informatics (BHI), Orlando, FL, pp. 101-104, (2017); Jaswal D., Sowmya V., Soman K.P., Image Classification using Convolutional Neural Networks, International Journal of Advancements in Research &amp; Technology, 5, 6, (2014); Scherer D., Muller A., Behnke S., Evaluation of pooling operations in convolutional architectures for object recognition, International Conference on Artificial Neural Networks, pp. 92-101, (2010); Basha S.S., Dubey S.R., Pulabaigari V., Mukherjee S., Impact of fully connected layers on performance of convolutional neural networks for image classification, Neurocomputing, 378, pp. 112-119, (2019); Khan A., Sohail A., Zahoora U., Qureshi A.S., A Survey of the Recent Architectures of Deep Convolutional Neural Networks., (2019); Gu J., Wang Z., Kuen J., Ma L., Shahroudy A., Shuai B., Liu T., Wang X., Wang G., Cai J., Chen T., Recent advances in Convolutional Neural Networks, Pattern Recognition, 77, pp. 354-377, (2018); (2020); Mikolajczyk A., Grochowski M., Data Augmentation for Improving Deep Learning in Image Classification Problem, pp. 117-122, (2018); Kingma D.P., Ba J., Adam: A Method for Stochastic Optimization, pp. 1-15, (2014); Zilong H., Jinshan T., Ziming W., Kai Z., Ling Z., Qingling S., Deep learning for image-based cancer detection and diagnosis – A survey, Pattern Recognition, 83, pp. 134-149, (2018); Sajjad M., Khan S., Muhammad K., Wu W., Ullah A., Baik S.W., Multi-grade brain tumor classification using deep CNN using extensive data augmentation, Journal of Computational Science, 30, pp. 174-182, (2019); Nayak S., Gourisaria M.K., Pandey M., Rautaray S.S., Heart Disease Prediction using Frequent Item Set Mining and Classification Technique, International Journal of Information Engineering and Electronic Business, 11, 6, pp. 9-15, (2019); Nayak S., Gourisaria M.K., Pandey M., Rautaray S.S., Comparative Analysis of Heart Disease Classification Algorithms Using Big Data Analytical Tool, International Conference on Computer Networks and Inventive Communication Technologies, pp. 582-588, (2019)</t>
  </si>
  <si>
    <t xml:space="preserve">Int. J. Emerg. Technol.</t>
  </si>
  <si>
    <t xml:space="preserve">2-s2.0-85085006143</t>
  </si>
  <si>
    <t xml:space="preserve">Sarsam S.M.; Al-Samarraie H.; Ismail N.; Zaqout F.; Wright B.</t>
  </si>
  <si>
    <t xml:space="preserve">Sarsam, Samer Muthana (57189574071); Al-Samarraie, Hosam (55331263700); Ismail, Nurzali (57192065111); Zaqout, Fahed (55395305100); Wright, Bianca (57212392985)</t>
  </si>
  <si>
    <t xml:space="preserve">57189574071; 55331263700; 57192065111; 55395305100; 57212392985</t>
  </si>
  <si>
    <t xml:space="preserve">A real-time biosurveillance mechanism for early-stage disease detection from microblogs: a case study of interconnection between emotional and climatic factors related to migraine disease</t>
  </si>
  <si>
    <t xml:space="preserve">For many years, certain climatic factors have been used to predict potential disease outcomes of relevance to humans. This is because early discovery of disease (or its symptoms) would help people or healthcare professionals to take the necessary precautions. Since microblogs can be used to create new connections and maintain existing relationships,disease detection in microblogs is still considered a serious problem for many healthcare systems, especially for establishing a successful epidemic recognition procedure. To tackle this issue, this study proposed a novel tracking approach to diagnose illnesses in microblogs. It is based on the interconnection between certain emotional type and climatic factors associated with a specific disease (e.g., migraine). In this study, detailed migraine data were collected from Twitter. We used K-means and Apriori algorithms to extract migraine-related emotions and investigate the potential associations between migraine symptoms and climatic factors. The results showed that sad emotions were highly interrelated with migraine symptoms. The classification results showed that Sequential Minimal Optimization (SMO) was efficient (95.53% accuracy) in detecting the migraine symptoms from Twitter. The proposed mechanism can be used efficiently in biosurveillance systems due to its capability in identifying the hidden symptoms of a sickness on microblogs. This study paves the way to discover disease-related features using both emotional and climatic factors. © 2020, Springer-Verlag GmbH Austria, part of Springer Nature.</t>
  </si>
  <si>
    <t xml:space="preserve">Network Modeling Analysis in Health Informatics and Bioinformatics</t>
  </si>
  <si>
    <t xml:space="preserve">10.1007/s13721-020-00239-6</t>
  </si>
  <si>
    <t xml:space="preserve">https://www.scopus.com/inward/record.uri?eid=2-s2.0-85084855667&amp;doi=10.1007%2fs13721-020-00239-6&amp;partnerID=40&amp;md5=0099c901d007bb451c4681cf22dbaf97</t>
  </si>
  <si>
    <t xml:space="preserve">School of Communication, Universiti Sains Malaysia, Penang, Malaysia; School of Media and Performing Arts, University of Coventry, Coventry, United Kingdom; Applied Media Program, Higher Colleges of Technology (HCT), Ras AL khaimah, United Arab Emirates</t>
  </si>
  <si>
    <t xml:space="preserve">Sarsam S.M., School of Communication, Universiti Sains Malaysia, Penang, Malaysia; Al-Samarraie H., School of Media and Performing Arts, University of Coventry, Coventry, United Kingdom; Ismail N., School of Communication, Universiti Sains Malaysia, Penang, Malaysia; Zaqout F., Applied Media Program, Higher Colleges of Technology (HCT), Ras AL khaimah, United Arab Emirates; Wright B., School of Media and Performing Arts, University of Coventry, Coventry, United Kingdom</t>
  </si>
  <si>
    <t xml:space="preserve">Biosurveillance; Disease detection; Machine learning; Migraine; Twitter</t>
  </si>
  <si>
    <t xml:space="preserve">Emotion Recognition; Health care; K-means clustering; Machine learning; Optimization; Social networking (online); Biosurveillance; Case-studies; Climatic factors; Disease detection; Emotional factors; Machine-learning; Micro-blog; Migraine; Real- time; Twitter; algorithm; anxiety; Apriori algorithm; Article; artificial neural network; biosurveillance; decision tree; disease surveillance; electroencephalography; emotion; environmental exposure; epidemic; feature extraction; food intake; human; learning; life satisfaction; machine learning; malaria; medical student; migraine; natural language processing; nerve cell network; priority journal; questionnaire; risk factor; sea surface temperature; seasonal variation; sneezing; time series analysis; vomiting; Diseases</t>
  </si>
  <si>
    <t xml:space="preserve">Research University, (304/PCOMM/6315373); Universiti Sains Malaysia</t>
  </si>
  <si>
    <t xml:space="preserve">This study was supported by Research University Grant (No. 304/PCOMM/6315373) of Universiti Sains Malaysia. </t>
  </si>
  <si>
    <t xml:space="preserve">Aha D.W., Kibler D., Albert M.K., Instance-based learning algorithms, Mach Learn, 6, 1, pp. 37-66, (1991); Aiello A.E., Renson A., Zivich P.N., Social media–and internet-based disease surveillance for public health, Ann Rev Public Health, (2020); Aramaki E., Maskawa S., Morita M., Twitter catches the flu Detecting influenza epidemics using twitter. In: Proceedings of the conference on empirical methods in natural language processing, pp. 1568-1576, (2011); Atefeh F., Khreich W., A survey of techniques for event detection in twitter, Comput Intell, 31, 1, pp. 132-164, (2015); Banciu A., Bouleanu E.L., The experience of persons living with migraine, Acta Medica Transilvanica, 23, 2, pp. 27-29, (2018); Barnaghi P., Ghaffari P., Breslin J.G., Opinion mining and sentiment polarity on twitter and correlation between events and sentiment, 2016 IEEE Second International Conference on Big Data Computing Service and Applications (Bigdataservice), pp. 52-57, (2016); Bhattacharjee U., Srijith P., Desarkar M.S., Term specific tf-idf boosting for detection of rumours in social networks, 2019 11Th International Conference on Communication Systems and Networks (COMSNETS), pp. 726-731, (2019); Boit J., El-Gayar O., Topical mining of malaria using social media. A text mining approach, Proceedings of the 53Rd Hawaii International Conference on System Sciences, (2020); Broniatowski D.A., Paul M.J., Dredze M., National and local influenza surveillance through twitter: an analysis of the 2012–2013 influenza epidemic, PLoS ONE, 8, 12, (2013); Bujisic M., Bogicevic V., Parsa H., Jovanovic V., Sukhu A., It’s raining complaints! How weather factors drive consumer comments and word-of-mouth, J Hosp Tour Res, 43, 5, pp. 656-681, (2019); Burton S.H., Tanner K.W., Giraud-Carrier C.G., West J.H., Barnes M.D., Right time, right place" health communication on twitter: value and accuracy of location information, J Med Int Res, 14, 6, pp. 34-52, (2012); Buse D.C., Loder E.W., Gorman J.A., Stewart W.F., Reed M.L., Fanning K.M., Et al., Sex differences in the prevalence, symptoms, and associated features of migraine, probable migraine and other severe headache: results of the American migraine prevalence and prevention (ampp) study, Headache, 53, 8, pp. 1278-1299, (2013); Byrd K., Mansurov A., Baysal O., Mining twitter data for influenza detection and surveillance, Proceedings of the International Workshop on Software Engineering in Healthcare Systems, pp. 43-49, (2016); Capi M., Gentile G., Lionetto L., Salerno G., Cipolla F., Curto M., Et al., Pharmacogenetic considerations for migraine therapies, Expert Opin Drug Metab Toxicol, 14, 11, pp. 1161-1167, (2018); Chai N.C., Rosenberg J.D., Peterlin B.L., The epidemiology and comorbidities of migraine and tension-type headache, Techniques in Region Anesth Pain Manag, 16, 1, pp. 4-13, (2012); Chen Y.-D., Brown S.A., Hu P.J.-H., King C.-C., Chen H., Managing emerging infectious diseases with information systems: reconceptualizing outbreak management through the lens of loose coupling, Inf Syst Res, 22, 3, pp. 447-468, (2011); Choubey D.K., Kumar P., Tripathi S., Kumar S., Performance evaluation of classification methods with pca and pso for diabetes, Netw Model Anal Health Inf Bioinf, 9, 1, pp. 5-19, (2020); Cioffi I., Farella M., Chiodini P., Ammendola L., Capuozzo R., Klain C., Et al., Effect of weather on temporal pain patterns in patients with temporomandibular disorders and migraine, J Oral Rehabil, 44, 5, pp. 333-339, (2017); Clark E.M., James T., Jones C.A., Alapati A., Ukandu P., Danforth C.M., Dodds P.S., A Sentiment Analysis of Breast Cancer Treatment Experiences and Healthcare Perceptions across Twitter., (2018); Culotta A., Towards detecting influenza epidemics by analyzing twitter messages, Proceedings of the First Workshop on Social Media Analytics, pp. 115-122, (2010); Dales R.E., Cakmak S., Vidal C.B., Air pollution and hospitalization for headache in Chile, Am J Epidemiol, 170, 8, pp. 1057-1066, (2009); Erraguntla M., Zapletal J., Lawley M., Framework for infectious disease analysis: a comprehensive and integrative multi-modeling approach to disease prediction and management, Health Inf J, 25, 4, pp. 1170-1187, (2019); Ettema D., Friman M., Olsson L.E., Garling T., Season and weather effects on travel-related mood and travel satisfaction, Front Psychol, 8, pp. 140-163, (2017); Fang Z.-H., Chen C.C., A novel trend surveillance system using the information from web search engines, Decis Support Syst, 88, pp. 85-97, (2016); Harris J.K., Hawkins J.B., Nguyen L., Nsoesie E.O., Tuli G., Mansour R., Brownstein J.S., Research brief report: using twitter to identify and respond to food poisoning: The food safety stl project, J Public Health Manag Pract, 23, 6, pp. 577-592, (2017); Hartley D.M., Nelson N.P., Arthur R., Barboza P., Collier N., Lightfoot N., Et al., An overview of internet biosurveillance, Clin Microbiol Infect, 19, 11, pp. 1006-1013, (2013); Hoffmann J., Schirra T., Lo H., Neeb L., Reuter U., Martus P., The influence of weather on migraine–are migraine attacks predictable?, Ann Clin Trans Neurol, 2, 1, pp. 22-28, (2015); Holte R.C., Very simple classification rules perform well on most commonly used datasets, Mach Learn, 11, 1, pp. 63-90, (1993); Huang Z., Dong W., Duan H., A probabilistic topic model for clinical risk stratification from electronic health records, J Biomed Inform, 58, pp. 28-36, (2015); Jehn M., Appel L.J., Sacks F.M., Miller E.R., The effect of ambient temperature and barometric pressure on ambulatory blood pressure variability, Am J Hypertens, 15, 11, pp. 941-945, (2002); Jordan S.E., Hovet S.E., Fung I.C.-H., Liang H., Fu K.-W., Tse Z.T.H., Using twitter for public health surveillance from monitoring and prediction to public response, Data, 4, 1, pp. 6-16, (2019); Joshi A., Sparks R., McHugh J., Karimi S., Paris C., MacIntyre C.R., Harnessing tweets for early detection of an acute disease event, Epidemiology, 31, 1, pp. 90-97, (2020); Kampfer S., Mutz M., On the sunny side of life: sunshine effects on life satisfaction, Soc Indic Res, 110, 2, pp. 579-595, (2013); Kamsu-Foguem B., Rigal F., Mauget F., Mining association rules for the quality improvement of the production process, Expert Syst Appl, 40, 4, pp. 1034-1045, (2013); Karami A., Dahl A.A., Turner-McGrievy G., Kharrazi H., Shaw G., Characterizing diabetes, diet, exercise, and obesity comments on twitter, Int J Inf Manage, 38, 1, pp. 1-6, (2018); Kim K.-N., Lim Y.-H., Bae H.J., Kim M., Jung K., Hong Y.-C., Long-term fine particulate matter exposure and major depressive disorder in a community-based urban cohort, Environ Health Perspect, 124, 10, pp. 1547-1553, (2016); Kitagawa Y., Komachi M., Aramaki E., Okazaki N., Ishikawa H., Disease event detection based on deep modality analysis, Proceedings of the ACL-IJCNLP 2015 Student Research Workshop, ACL Anthology, pp. 28-34, (2015); Koots L., Realo A., Allik J., The influence of the weather on affective experience, J Individ Differ, 32, pp. 74-84, (2011); Lamb A., Paul M.J., Dredze M., (2013) Separating fact from fear: Tracking flu infections on twitter, Proceedings of the 2013 Conference of the North American Chapter of the Association for Computational Linguistics: Human Language Technologies, ACL Anthology, pp. 789-795; Lanteri-Minet M., Duru G., Mudge M., Cottrell S., Quality of life impairment, disability and economic burden associated with chronic daily headache, focusing on chronic migraine with or without medication overuse: a systematic review, Cephalalgia, 31, 7, pp. 837-850, (2011); Lim S., Tucker C.S., Kumara S., An unsupervised machine learning model for discovering latent infectious diseases using social media data, J Biomed Inform, 66, pp. 82-94, (2017); Liu F., Weng C., Yu H., Advancing clinical research through natural language processing on electronic health records: Traditional machine learning meets deep learning. In: Clinical Research Informatics, pp. 357-378, (2019); Makris G.D., Reutfors J., Larsson R., Isacsson G., Osby U., Ekbom A., Et al., Serotonergic medication enhances the association between suicide and sunshine, J Affect Disord, 189, pp. 276-281, (2016); Mannix S., Skalicky A., Buse D.C., Desai P., Sapra S., Ortmeier B., Et al., Measuring the impact of migraine for evaluating outcomes of preventive treatments for migraine headaches, Health Qual Life Out, 14, 1, pp. 143-168, (2016); Molaei S., Khansari M., Veisi H., Salehi M., Predicting the spread of influenza epidemics by analyzing twitter messages, Health Technol, 1, pp. 1-16, (2019); Naslund J.A., Aschbrenner K.A., McHugo G.J., Unutzer J., Marsch L.A., Bartels S.J., Exploring opportunities to support mental health care using social media: a survey of social media users with mental illness, Early Interv Psychiaty, 13, 3, pp. 405-413, (2019); Nejad M.Y., Delghandi M.S., Bali A.O., Hosseinzadeh M., Using twitter to raise the profile of childhood cancer awareness month, Netw Model Anal Health Inf Bioinf, 9, 1, pp. 3-18, (2020); Noelke C., McGovern M., Corsi D.J., Jimenez M.P., Stern A., Wing I.S., Berkman L., Increasing ambient temperature reduces emotional well-being, Environ Res, 151, pp. 124-129, (2016); Patowary P., Sarmah R., Bhattacharyya D.K., Developing an effective biclustering technique using an enhanced proximity measure, Netw Model Anal Health Inf Bioinf, 9, 1, pp. 1-17, (2020); Paul M.J., Sarker A., Brownstein J.S., Nikfarjam A., Scotch M., Smith K.L., Gonzalez G., Social media mining for public health monitoring and surveillance, Biocomputing 2016: Proceedings of the Pacific Symposium, pp. 468-479, (2016); Peres M.F.P., Mercante J.P., Tobo P.R., Kamei H., Bigal M.E., Anxiety and depression symptoms and migraine: a symptom-based approach research, J Headache Pain, 18, 1, pp. 37-52, (2017); Petridou E., Papadopoulos F.C., Frangakis C.E., Skalkidou A., Trichopoulos D., A role of sunshine in the triggering of suicide, Epidemiology, 13, 1, pp. 106-109, (2002); Plattt J., Fast training of support vector machines using sequential minimal optimization, Advances in kernel methods-support vector learning, (1998); Poole S., Schroeder L.F., Shah N., An unsupervised learning method to identify reference intervals from a clinical database, J Biomed Inform, 59, pp. 276-284, (2016); Power M.C., Kioumourtzoglou M.-A., Hart J.E., Okereke O.I., Laden F., Weisskopf M.G., The relation between past exposure to fine particulate air pollution and prevalent anxiety: observational cohort study, Br Med J, 350, (2015); Priyadarshi A., Saha S.K., Web information extraction for finding remedy based on a patient-authored text: a study on homeopathy, Netw Model Anal Health Inf Bioinf, 9, 1, pp. 1-12, (2020); Ravat S., Chaudhari S., Chafekar N., Clinical profile of primary headaches and awareness of trigger factors in migraine patients, MVP J Med Sci, 5, 2, pp. 145-150, (2019); Richter A.N., Khoshgoftaar T.M., Sample size determination for biomedical big data with limited labels, Netw Model Anal Health Inf Bioinf, 9, 1, (2020); Ring M., Eskofier B.M., An approximation of the gaussian rbf kernel for efficient classification with svms, Pattern Recogn Lett, 84, pp. 107-113, (2016); Sabatovych I., Do social media create revolutions? Using twitter sentiment analysis for predicting the Maidan revolution in Ukraine, Glob Media Commun, 15, 3, pp. 275-283, (2019); Sabatovych I., Use of sentiment analysis for predicting public opinion on referendum: a feasibility study, Reference Librarian, 60, 3, pp. 202-211, (2019); Salzberg S.L., C4. 5: Programs for machine learning by J. Ross Wuinlan. Morgan Kaufmann Publishers, inc., 1993, Mach Learn, 16, 3, pp. 235-240, (1994); Santillana M., Nguyen A., Louie T., Zink A., Gray J., Sung I., Brownstein J.S., Cloud-based electronic health records for real-time, region-specific influenza surveillance, Sci Rep, 6, (2016); Sarsam S.M., Al-Samarraie H., A first look at the effectiveness of personality dimensions in promoting users’ satisfaction with the system, SAGE Open, 8, 2, (2018); Sarsam S.M., Al-Samarraie H., Omar B., Geo-spatial-based emotions: A mechanism for event detection in microblogs, Proceedings of the 2019 8Th International Conference on Software and Computer Applications, pp. 1-5, (2019); Savini L., Tora S., Di Lorenzo A., Cioci D., Monaco F., Polci A., Et al., A web geographic information system to share data and explorative analysis tools: the application to west Nile disease in the Mediterranean basin, PLoS ONE, 13, 6, (2018); Schneider A., Schuh A., Maetzel F.-K., Ruckerl R., Breitner S., Peters A., Weather-induced ischemia and arrhythmia in patients undergoing cardiac rehabilitation: another difference between men and women, Int J Biometeorol, 52, 6, pp. 535-547, (2008); Schroeder R.A., Brandes J., Buse D.C., Calhoun A., Eikermann-Haerter K., Golden K., Et al., Sex and gender differences in migraine—evaluating knowledge gaps, J Women's Health, 27, 8, pp. 965-973, (2018); Serban O., Thapen N., Maginnis B., Hankin C., Foot V., Real-time processing of social media with sentinel: a syndromic surveillance system incorporating deep learning for health classification, Inf Process Manage, 56, 3, pp. 1166-1184, (2019); Shin J., Park J.Y., Choi J., Long-term exposure to ambient air pollutants and mental health status: a nationwide population-based cross-sectional study, PLoS ONE, 13, 4, (2018); Singh R., Sodhi, Improving efficiency of Apriori algorithm using transaction reduction, Int J Sci Res Pub, 3, 1, pp. 1-4, (2013); Spasova Z., The effect of weather and its changes on emotional state–individual characteristics that make us vulnerable, Adv Sci Res, 6, 1, pp. 281-290, (2012); Tian J., Zhang Y., Zhang C., Predicting consumer variety-seeking through weather data analytics, Electron Commer Res Appl, 28, pp. 194-207, (2018); Vioules M.J., Moulahi B., Aze J., Bringay S., Detection of suicide-related posts in twitter data streams, IBM J Res Dev, 62, 1, pp. 1-7, (2018); Wang Y., Xu K., Kang Y., Wang H., Wang F., Avram A., Regional influenza prediction with sampling twitter data and PDE model, Int J Environ Res Public Health, 17, 3, (2020); Weng J., Lee B.-S., Event detection in twitter, Proceedings of the Fifth International AAAI Conference on Weblogs and Social Media, AAAI, pp. 401-408, (2011); Yang A.C., Fuh J.-L., Huang N.E., Shia B.-C., Wang S.-J., Patients with migraine are right about their perception of temperature as a trigger: time series analysis of headache diary data, J Headache Pain, 16, 1, pp. 49-71, (2015); Zadeh A.H., Zolbanin H.M., Sharda R., Delen D., Social media for nowcasting flu activity: spatio-temporal big data analysis, Inf Syst Front, 1, pp. 1-18, (2019); Zaeem R.N., Liau D., Barber K.S., Predicting disease outbreaks using social media: finding trustworthy users. In: Proceedings of the Future Technologies Conference, pp. 369-384, (2018); Zebenholzer K., Rudel E., Frantal S., Brannath W., Schmidt K., Wober-Bingol C., Wober C., Migraine and weather: a prospective diary-based analysis, Cephalalgia, 31, 4, pp. 391-400, (2011)</t>
  </si>
  <si>
    <t xml:space="preserve">S.M. Sarsam; School of Communication, Universiti Sains Malaysia, Penang, Malaysia; email: samersarsam@usm.my</t>
  </si>
  <si>
    <t xml:space="preserve">Netw. Model. Anal. Health Informatics Bioinformatics</t>
  </si>
  <si>
    <t xml:space="preserve">2-s2.0-85084855667</t>
  </si>
  <si>
    <t xml:space="preserve">Choubey S.K.; Naman H.</t>
  </si>
  <si>
    <t xml:space="preserve">Choubey, Shiv Kumar (55848921100); Naman, Harshit (57317999500)</t>
  </si>
  <si>
    <t xml:space="preserve">55848921100; 57317999500</t>
  </si>
  <si>
    <t xml:space="preserve">A review on use of data science for visualization and prediction of the covid-19 pandemic and early diagnosis of covid-19 using machine learning models</t>
  </si>
  <si>
    <t xml:space="preserve">On December 30, 2019, the WHO China office was informed of a pneumonia-like disease with unknown etiology, from the Wuhan city of China. This disease was found to be caused by a new type of coronavirus. The virus was named severe acute respiratory syndrome coronavirus 2 (SARS-Cov-2) and the disease caused by it was named as COVID-19. On March 11, the WHO declared COVID-19 a pandemic. The testing for COVID-19 disease can be broadly classified into two main techniques, firstly, by testing the patient’s blood for immunoassays and second by PCR. The above two techniques are quite costly. Due to this, large-scale testing in developing countries like India is not practically possible. The novel coronavirus is highly infectious, and it spreads from one person to another even before the symptoms have appeared. So, the early detection of the virus will be a great way to stop this global pandemic from causing any more devastation and controlling its spread. In this paper, we review the role of technologies like artificial intelligence and deep learning in early detection, diagnosis, analysis (cure), and socio-economic impact of COVID-19. The purpose of this review paper is to provide a concise but judicious source of information to look over all the possible solutions. Technologies used: Artificial neural networks—Artificial neural networks are based on human brain and nervous system. An artificial neural network consists of several neurons and an activation function. ANNs have been used in diagnosis and early detection of several diseases like dengue and pneumonia. The same can be done in the case of COVID-19 by training the algorithm with suitable datasets. Deep Learning—Deep learning is a subclass of machine learning consisting of algorithms that are based on artificial neural networks. Deep learning is a very efficient way to handle large amount of data. Python libraries like Tensorflow are used in Linux-based systems for executing deep learning algorithms. Visualization of the Pandemic Several dashboards emerged gradually providing a global overview of the pandemic. Some of these are Upcode and NextStrain. Technologies like Python, Excel, R, and Tableau are used here for extracting data and visualizing them in the form of graphs and tables for the general public to understand. Early Detection and Diagnosis Artificial neural networks and deep learning can be used for early detection and diagnosis of the disease. The X-rays and CT images of the patients can be used as datasets. As of now the number of patients of COVID-19 in the world has increased to more than half a million, thus the dataset for training the neural networks and algorithms is quite large. This situation can be capitalized to make highly accurate neural networks using deep learning algorithms. The data can be extracted from press releases on the Internet and government databases by Web scraping. Libraries like Tensorflow can be used in training the models. Tracking and Prediction Artificial intelligence can be used to track and predict the spread of the coronavirus pandemic. We will try to throw some light on the past works in the area of epidemic prediction using AI. In 2015, neural networks were made for prediction of the Zika virus pandemic. These neural networks need to be trained again in accordance with the datasets of COVID-19. For example, Carnegie Mellon University algorithms used for predicting seasonal flu are being retrained with the datasets of COVID-19. © Springer International Publishing AG 2018.</t>
  </si>
  <si>
    <t xml:space="preserve">10.1007/978-981-15-8097-0_10</t>
  </si>
  <si>
    <t xml:space="preserve">https://www.scopus.com/inward/record.uri?eid=2-s2.0-85118309853&amp;doi=10.1007%2f978-981-15-8097-0_10&amp;partnerID=40&amp;md5=e9b6c6e30689b15fffbd5888e0e96a96</t>
  </si>
  <si>
    <t xml:space="preserve">Department of Electronics and Communication Engineering, Birla Institute of Technology Mesra, Patna Campus, 800014, India</t>
  </si>
  <si>
    <t xml:space="preserve">Choubey S.K., Department of Electronics and Communication Engineering, Birla Institute of Technology Mesra, Patna Campus, 800014, India; Naman H., Department of Electronics and Communication Engineering, Birla Institute of Technology Mesra, Patna Campus, 800014, India</t>
  </si>
  <si>
    <t xml:space="preserve">Artificial intelligence; Artificial neural network; AutoML; Chest X-ray; Coronavirus; COVID-19; CT images; Data visualization; Deep learning; Pneumonia</t>
  </si>
  <si>
    <t xml:space="preserve">Computer operating systems; Computerized tomography; Data visualization; Deep neural networks; Developing countries; Diagnosis; High level languages; Learning algorithms; Python; Visualization; Automl; Chest X-ray; Coronaviruses; COVID-19; CT Image; Deep learning; Detection and diagnosis; Early diagnosis; Neural-networks; Pneumonia; Coronavirus</t>
  </si>
  <si>
    <t xml:space="preserve">Ai T., Yang Z., Hou H., Zhan C., Chen C., Lv W., Et al., Correlation of chest CT and RT-PCR testing in coronavirus disease 2019 (COVID-19) in China: A report of 1014 cases, Radiology, 200, 2019, (2020); Why Does Coronavirus Test Cost 4500 in India, (2020); Dashboard for COVID 19 Outbreak in Singapore, (2020); Genomic Epidemiology of Novel Coronavirus-Global Subsampling, (2020); Prasad S., Potdar V., Cherian S., Abraham P., Basu A., ICMR-NIV NIC Team. Transmission electron spectroscopy of SARS-COV-2 Indian J. Med. Res. 151(2 &amp; 3), 241–243 (Feb And, (2020); Metsky H.C., Freije C.A., Kosoko-Thoroddsen T.S.F., Sabeti P.C., Myhrvold C., CRISPR-based surveillance for COVID-19 using genomically-comprehensive machine learning design, Biorxiv Preprint Biorxiv:20200226967026, (2020); Lopez-Rincon A., Tonda A., Mendoza-Maldonado L., Claassen E., Garssen J., Kraneveld, A.D.:Accurate identification of Sars-Cov-2 from viral genome sequences using deep learning, Biorxiv Preprint Biorxiv:20200313990242V1, (2020); Kanne J.P., Little B.P., Chung J.H., Elicker B.M., Ketai L.H., Essentials for Radiologists on COVID-19: An update—Radiology Scientific Expert Panel. Radiology, (2020); Ng M.Y., Lee E.Y., Yang J., Yang F., Li X., Wang H., Et al., Imaging profile of the COVID-19 infection: Radiologic findings and literature review, Radiology: Cardiothoracic Imaging, 2, 1, (2020); Weinstock M.B., Rjeaechenique A., Chest X-Ray Findings in 636 Ambulatory Patients with COVID-19 Presenting to an Urgent Care Center: A Normal Chest X-Ray is No Guarantee. J. Urgent Care Med, pp. 13-18, (2020); He K., Zhang X., Ren S., Sun J., Deep residual learning for image recognition, In Proceedings of the IEEE Conference on Computer Vision and Pattern Recognition, P, pp. 770-778, (2016); Szegedy C., Liu W., Jia Y., Sermanet P., Reed S., Anguelov D., Et al., Going deeper with convolutions, In Proceedings of the IEEE Conference on Computer Vision and Pattern Recognition, pp. 1-9, (2015); Zhou Z., Siddiquee M.M.R., Tajbakhsh N., Liang J., Unet ++: A nested u-net architecture for medical image segmentation, Deep Learning in Medical Image Analysis and Multimodal Learning for Clinical Decision Support, pp. 3-11, (2018); Gozes O., Frid-Adar M., Greenspan H., Browning P.D., Zhang H., Ji W., Et al., Rapid AI development cycle for the coronavirus (COVID-19) pandemic: Initial results for automated detection &amp; patient monitoring using deep learning CT Image analysis, Arxiv Preprint Arxiv: 200305037, (2020); Lorente E., COVID-19 pneumonia—evolution over a Week; Nagendran M., Chen Y., Lovejoy C.A., Gordon A.C., Komorowski M., Harvey H., Et al., Artificial intelligence versus clinicians: Systematic review of design, reporting standards, and claims of deep learning studies, Bmj, 368, (2020); Akhtar M., Kraemer M.U.G., Gardner L.M., A dynamic neural network model for predicting risk of Zika in real time, BMC Med, 17, (2019); Artificial Intelligence against COVID-19: An Early Reviewhttps://Towardsdatascience.Com/Art Ificial-Intelligence-Against-Covid-19-An-Early-Review-92A8360edaba Accessed, (2020); Zixin H., Qiyang Ge, Shudi Li, Li Jin, MomiaoXiong, Artificial Intelligence Forecasting of Covid-19 in China, Arxiv, (2020); Tang Z., Zhao W., Xie X., Zhong Z., Shi F., Liu J., Et al., Severity assessment of coronavirus disease 2019 (COVID-19) using quantitative features from chest CT images, Arxiv Preprint Arxiv:200311988, (2020); Detecting the Fake News regarding Coronavirus by Reasoning on COVID 19 Ontology Arxiv, 2004, (2020); Beck B.R., Shin B., Choi Y., Park S., Kang K., Predicting commercially available antiviral drugs that may act on the novel coronavirus (2019-nCoV), Wuhan, China through a drug-target interaction deep learning model, Biorxiv Preprint Biorxiv:20200131929547, (2020); US Consumer Activity during COVID 19 Pandemic, (2020)</t>
  </si>
  <si>
    <t xml:space="preserve">S.K. Choubey; Department of Electronics and Communication Engineering, Birla Institute of Technology Mesra, Patna Campus, 800014, India; email: skchoubey@bitmesra.ac.in</t>
  </si>
  <si>
    <t xml:space="preserve">2-s2.0-85118309853</t>
  </si>
  <si>
    <t xml:space="preserve">Sow B.; Mukhtar H.; Ahmad H.F.; Suguri H.</t>
  </si>
  <si>
    <t xml:space="preserve">Sow, Boubacar (57207996318); Mukhtar, Hamid (24824752600); Ahmad, Hafiz Farooq (55776667100); Suguri, Hiroki (6603039588)</t>
  </si>
  <si>
    <t xml:space="preserve">57207996318; 24824752600; 55776667100; 6603039588</t>
  </si>
  <si>
    <t xml:space="preserve">Assessing the relative importance of social determinants of health in malaria and anemia classiﬁcation based on machine learning techniques</t>
  </si>
  <si>
    <t xml:space="preserve">Disparate types of data including biological and environmental have been used in supervised learning to predict a specific disease outcome. However, social determinants of health, which have been explored very little, promise to be signiﬁcant predictors of public health problems such as malaria and anemia among children. We considered studying their contribution power in malaria and anemia predictions based on Variable Importance in Projection (VIP). This innovative method has potential advantages as it analyzes the impact of independent variables on disease prediction. In addition, we applied ﬁve machine learning algorithms to classify both diseases, using social determinants of health data, and compared their results. Of them all, artiﬁcial neural networks gave the best results of 94.74% and 84.17% accuracy for malaria and anemia prediction, respectively. These results are consistent and reﬂect the signiﬁcance of non-medical factors in disease prediction. © 2019 Taylor &amp; Francis.</t>
  </si>
  <si>
    <t xml:space="preserve">Informatics for Health and Social Care</t>
  </si>
  <si>
    <t xml:space="preserve">Taylor and Francis Ltd</t>
  </si>
  <si>
    <t xml:space="preserve">10.1080/17538157.2019.1582056</t>
  </si>
  <si>
    <t xml:space="preserve">https://www.scopus.com/inward/record.uri?eid=2-s2.0-85063472785&amp;doi=10.1080%2f17538157.2019.1582056&amp;partnerID=40&amp;md5=8e2e9fa99c3518870672d0c7c5e74366</t>
  </si>
  <si>
    <t xml:space="preserve">Graduate School of Project Design, Miyagi University, Sendai City, Miyagi Prefecture, Japan; Department of Computing, School of Electrical Engineering and Computer Science, National University of Sciences and Technology (NUST), Islamabad, Pakistan; Department of Computer Science, College of Computer Sciences and Information Technology, King Faisal University, Alahsa, Saudi Arabia</t>
  </si>
  <si>
    <t xml:space="preserve">Sow B., Graduate School of Project Design, Miyagi University, Sendai City, Miyagi Prefecture, Japan; Mukhtar H., Department of Computing, School of Electrical Engineering and Computer Science, National University of Sciences and Technology (NUST), Islamabad, Pakistan; Ahmad H.F., Department of Computer Science, College of Computer Sciences and Information Technology, King Faisal University, Alahsa, Saudi Arabia; Suguri H., Graduate School of Project Design, Miyagi University, Sendai City, Miyagi Prefecture, Japan</t>
  </si>
  <si>
    <t xml:space="preserve">anemia; DHS; Machine learning; malaria; Senegal; social determinants of health; variable importance in projection (VIP)</t>
  </si>
  <si>
    <t xml:space="preserve">Algorithms; Anemia; Humans; Machine Learning; Malaria; Neural Networks, Computer; Risk Factors; Social Determinants of Health; Social Factors; algorithm; anemia; human; machine learning; malaria; risk factor; social aspect; social determinants of health</t>
  </si>
  <si>
    <t xml:space="preserve">Japan International Cooperation Agency, JICA</t>
  </si>
  <si>
    <t xml:space="preserve">The authors acknowledge the support of Japan International Cooperation Agency (JICA) through its Master’s Degree and Internship Program of African Business Education Initiative for Youth (ABE Initiative).</t>
  </si>
  <si>
    <t xml:space="preserve">Linda M., Pat B., Joseph H., Mitchell G., Thomas H., Robert N., Nephi W., Gary M., Practical predictive analytics and decisioning systems for medicine, (2014); Charles N., Peter W., Peter W.A., Kevin M., Severe anaemia in children living in a malaria endemic area of Kenya, Trop Med Int Health, 2, 2, pp. 165-178, (1997); Paula B., Laura G., The social determinants of health: it’s time to consider the causes of the causes, Public Health Rep, pp. 19-31, (2014); Shadab Adam P., Intelligent heart disease prediction system using Naive Bayes: heart attack prediction system using data mining technique, (2014); Lee I.N., Liao S.C., Embrechts M., Data mining techniques applied to medical information, Med Inform Internet Med, 25, 2, pp. 81-102, (2000); Yusuke K., Determinants of health in developing countries: cross-country evidence, Osaka school of international public policy, Osaka University, OSIPP Discussion Paper 10E009, (2010); Moody’s Analytics, Understanding health conditions across the U.S, (2017); Benjamin S., Shripad T., David R., Machine learning approaches to the social determinants of health in the health and retirement study, SSM Popul Health, 4, pp. 95-99, (2018); Amornrat L., Wongsa L., Nattapong P., Jiamjit S., Teerasak P., Socio-economic disparities and chronic respiratory diseases in Thailand: the national socio-economics survey, Inform Health Soc Care, 43, 4, pp. 1-14, (2018); Yong-Mi K., Dursun D., Critical assessment of health disparities across subpopulation groups through a social determinants of health perspective: the case of type 2 diabetes patients, Inform Health Soc Care, 43, 2, pp. 172-185, (2018); Lorenz V.S., Rasaq O., Ilse C.E.H., Sue J.L., Olanrewaju T.A., Tsiri A., Samuel B.N., Kalifa B., Jacqueline L.D., Jennifer E., Et al., Predicting the clinical outcome of severe falciparum malaria in African children: findings from a large randomized trial, Clin Infect Dis, 54, 8, pp. 1080-1090, (2012); Bienvenue K., Noel F., Fabrice R., Lasso based feature selection for malaria risk exposure prediction, Paper presented at 11th International Conference of Machine Learning and Data Mining in Pattern Recognition, (2015); Cotta R.M., Oliveira Fde C., Magalhaes K.A., Ribeiro A.Q., Sant'Ana L.F., Priore S.E., Franceschini Sdo C., Social and biological determinants of iron deficiency anemia, Cad Saude Publica, 27, pp. 309-320, (2011); Boubacar S., Hiroki S., Hamid M., Hafiz Farooq A., Using biological variables and social determinants to predict malaria and anaemia among children in Senegal, Ieice Swim, 117, pp. 13-20, (2017); Social determinants of health; A conceptual framework for action on the social determinants of health, SDH Discussion Paper 2, (2010); Nancy K., Proximal, distal, and the politics of causation: what’s level got to do with it?, Am J Public Health, 98, 2, pp. 221-230, (2008); Onyebuchi A.A., Gert P.W., Diana M.D., Niek S.K., Health system outcomes and determinants amenable to public health in industrialized countries: a pooled, cross-sectional time series analysis, BMC Public Health, 5, 1, (2005); Macinko J., Starﬁeld B., Shi L., The contribution of primary care systems to health outcomes within Organization for Economic Cooperation and Development (OECD) Countries, 1970-1998, Health Serv Res, 38, 3, pp. 831-865, (2003); Alice Z., Mastering feature engineering, principle and techniques for data scientists, (2016); Zhixiang X., Gao H., Kilian Q.W., Alice X.Z., Gradient boosted feature selection, Paper presented at 20th ACM SIGKDD international conference on Knowledge discovery and data mining, (2014); Jerome H.F., Greedy function approximation: a gradient boosting machine, Ann Stat, 29, pp. 1189-1232, (1999); Isabelle G., Jason W., Stephen B., Vladimir V., Gene selection for cancer classification using support vector machines, Mach Learn, 46, 1-3, pp. 389-422, (2002); Isabelle G., Andre E., An introduction to variable and feature selection, J Mach Learn Res, 3, pp. 1157-1182, (2003); Svante W., Johansson E., Marina C., Partial least squares projections to latent structures. In: Kubinyi H.ed. 3D QSAR in Drug Design: Theory, Methods and Applications.ESCOM, Leiden, The Netherlands.; Mireia F., Stefan P., Stefan T., Roma T., Comparison of the variable importance in projection (VIP) and of the selectivity ratio (SR) methods for variable selection and interpretation, J Chemom, 29, 10, pp. 528-536, (2015); Ying C., Danh V.N., Identiﬁcation of relevant genes from microarray experiments based on partial least squares weights: application to cancer genomics, Computational biology. Applied bioinformatics and biostatistics in cancer research, pp. 1-17, (2009); Luca T., Use of electricity and malaria occurrence: is there a link? The case of Malawi, Energy Policy, 101, pp. 310-316, (2017); Effect of breastfeeding on infant and child mortality due to infectious diseases in less developed countries: a pooled analysis. WHO collaborative study team on the role of breastfeeding on the prevention of infant mortality, Lancet, 355, 9209, (2000); Water-related Diseases, Malaria; Yazoume Y., Moshe H., Valerie L., Simboro S., Issouf T., Rainer S., Housing conditions and Plasmodium falciparum infection: protective effect of iron-sheet roofed houses, Malar J, 5, 8, (2006); Lucy S.T., Christian B., Harry G., Immo K., Andrew J.T., Steve W.L., Peter W.G., Housing improvements and malaria risk in sub-saharan Africa: a multi-country analysis of survey data, PLoS Med, 14, 2, (2017); Common water and sanitation-related diseases; Water-related Diseases, Anemia; Joel A.L., Flavio D.C., Jose E.D.O., Daniela Da S.R., Carlos A.N.A., Iron Fortification Strategies in Brazil, Handbook of food fortification and health, pp. 411-425, (2013); Jose E.D.O., Sergio M J., Joel L., Carlos A.N.A., Iron-fortified drinking water studies for the prevention of children’s anemia in developing countries, Anemia, 2011, (2011); Demographic and Health Survey and Multiple Indicators in Senegal, (2012); Pedro D., The role of occam’s razor in knowledge discovery, Data Min Knowl Discov, 3, 4, pp. 409-425, (1999); Piyasak J., Kok Wai W., Comparing the performance of different neural networks for binary classification problems, Paper presented at Eighth International Symposium on Natural Language Processing, (2009); Stuart R., Peter N., Artiﬁcial Intelligence: A modern approach, (2016); Stuart R., Peter N., Artiﬁcial Intelligence: A modern approach, (2016); Olivier P., Random Forests for Medical Applications, (2012); Stuart R., Peter N., Artiﬁcial intelligence: A modern approach, (2016); Diederik P.K., Jimmy B., ADAM: A method for stochastic optimization, Paper presented at 3rd International Conference for Learning Representations, (2015); Institute of Medicine (US): children’s health, the nation’s wealth, assessing and improving child health, (2004); Paulo J.G.L., A review of evidence of health benefit from artificial neural networks in medical intervention, Neural Netw, 15, 1, pp. 11-39, (2002)</t>
  </si>
  <si>
    <t xml:space="preserve">B. Sow; Graduate School of Project Design, Miyagi University, Kurokawa Gun, 1-1 Gakuen, Taiwa Cho, 981-3298, Japan; email: sowbooba@hotmail.com</t>
  </si>
  <si>
    <t xml:space="preserve">Informatics Health Soc. Care</t>
  </si>
  <si>
    <t xml:space="preserve">2-s2.0-85063472785</t>
  </si>
  <si>
    <t xml:space="preserve">Pardede J.; Dewi I.A.; Fadilah R.; Triyani Y.</t>
  </si>
  <si>
    <t xml:space="preserve">Pardede, Jasman (56532518500); Dewi, Irma Amelia (57215904245); Fadilah, Reza (57194180322); Triyani, Yani (57215904284)</t>
  </si>
  <si>
    <t xml:space="preserve">56532518500; 57215904245; 57194180322; 57215904284</t>
  </si>
  <si>
    <t xml:space="preserve">Automated malaria diagnosis using object detection retina-net based on thin blood smear image</t>
  </si>
  <si>
    <t xml:space="preserve">Malaria diagnosis is decided based on index malaria value which calculated from the amount of normal and infected erythrocyte on thin blood smear using microscope by a clinical pathologist. This activity is done manually and wastes a lot of time. Object detection using Convolutional Neural Network (CNN) is one of approach for solving this problem. However, the traditional object detection using CNN shows inadequate classification performance in labelling classes object. This paper is focused on the implementation of RetinaNet object detection approach to diagnose malaria. First, ResNet101 and ResNet50 used as RetinaNet backend network architecture for detecting both normal and infected erythrocytes on thin blood smear image with 1000x microscope zoom. Next, count every label of detected-object and calculate malaria-index value. Finally, after malaria-index value obtained, malaria diagnosis is defined. The algorithm performance with ResNet101 backend shows average precision (AP) 0,94, average recall 0,74, and average accuracy 0,73. Then the usage of ResNet50 backend in RetinaNet algorithm show average precision (AP) 0,90, average recall 0,78 and average accuracy 0,71. © 2005 - ongoing JATIT &amp; LLS.</t>
  </si>
  <si>
    <t xml:space="preserve">https://www.scopus.com/inward/record.uri?eid=2-s2.0-85082324221&amp;partnerID=40&amp;md5=ac50abcb5ed5e60c1f5be9ff86554a31</t>
  </si>
  <si>
    <t xml:space="preserve">Department of Informatics, Institut Teknologi Nasional, Bandung, Indonesia; Faculty of Medicine, Universitas Islam Bandung, Bandung, Indonesia</t>
  </si>
  <si>
    <t xml:space="preserve">Pardede J., Department of Informatics, Institut Teknologi Nasional, Bandung, Indonesia; Dewi I.A., Department of Informatics, Institut Teknologi Nasional, Bandung, Indonesia; Fadilah R., Department of Informatics, Institut Teknologi Nasional, Bandung, Indonesia; Triyani Y., Faculty of Medicine, Universitas Islam Bandung, Bandung, Indonesia</t>
  </si>
  <si>
    <t xml:space="preserve">Convolutional Neural Network; Deep Learning; Malaria Detection; Object Detection; Thin Blood Smear Image</t>
  </si>
  <si>
    <t xml:space="preserve">Plewes K., Leopold S.J., Kingston H.W., Dondorp A.M., Malaria: What's new in the management of malaria?, Infectious Disease Clinics of North America, 33, 1, pp. 39-60, (2019); Infodatin malaria, Pusdatin Kementrian Kesehatan RI, (2016); Sariwati E., Buku Saku Penatalaksanaan Kasus Malaria, (2017); Sorgedrager R., Automated malaria diagnosis using convolutional neural networks in an on-field setting, Delft Center for Systems and Control, (2018); Zhao Z.-Q., Zheng P., Xu S.-T., Xindong W., Object detection with deep learning: A review, Computer Vision and Pattern Recognition, (2019); Girshick R., Fast R-CNN, pp. 1440-1448, (2015); Ren S., He K., Girshick R., Sun J., Faster R-CNN: Towards real-time object detection with region proposal networks, Computer Vision and Pattern Recognition Cornell University, (2016); Lin T.-Y., Dollar P., Girshick R., He K., Hariharan B., Belongie S., Feature pyramid networks for object detection, Computer Vision Foundation (CVF), pp. 2118-2125, (2016); He K., Gkioxari G., Dollar P., Girshick R., Mask R-CNN, Computer Vision and Pattern Recognition Cornell University, (2017); Redmon J., Divvala S., Girshick R., Farhadi A., You only look once: Unified, real-time object detection, CVPR, (2016); Liu W., Anguelov D., Erhan D., Szegedy C., Reed S., Cheng-Yang F., Berg A.C., SSD: Single shot multibox detector, CVPR, (2016); Lin T.-Y., Goyal P., Girshick R., He K., Dollar P., Focal loss for dense object detection, Computer Vision and Pattern Recognition, (2017); Alaslani M., Elrefaei L., Convolutional neural network based feature extraction for iris recognition, International Journal of Computer Science &amp; Information Technology (IJCSIT), 10, pp. 65-78, (2018); Ferrari A., Lombardi S., Signoroni A., Bacterial colony counting with convolutional neural networks in digital microbiology imaging, Pattern Recognition, pp. 629-640, (2016); Quinn J.A., Nakasi R., Mugagga P.K.B., Patrick B., Lubega W., Andama A., Deep convolutional neural networks for microscopy-based point of care diagnostics, Computer Vision and Pattern Recognition Cornell University, (2016); Hung J., Ravel D., Lopes S.C., Rangel G., Nery O.A., Malleret B., Nosten F., Lacerda M.V.G., Ferreira M.U., Renia L., Duraisingh M.T., Costa F.T.M., Marti M., Carpenter A.E., Applying faster R-CNn for object detection on malaria images, Computer Vision and Pattern Recognition, (2018); Zhang Z., Ong L.S., Fang K., Matthew A., Dauwels J., Dao M., Asada H., Image classification of unlabeled malaria parasites in red blood cells, 38th Annual International Conference of the IEEE Engineering in Medicine and Biology Society (EMBC), (2016); Poostchi M., Silamut K., Maude R.J., Jaeger S., Thoma G., Image analysis and machine learning for detecting malaria, Translational Research, 194, pp. 36-55, (2018); Das D., Automated system for characterization and classification of malaria-infected stages using light microscopic images of thin blood smears, Journal of Microscopy, 257, 3, pp. 238-252, (2015); Nanoti A., Jain S., Gupta C., Vyas G., KNN classification based erythrocyte separation in microscopic images of thin blood smear, International Conference on Inventive Computation Technologies (ICICT), (2016); Park H.S., Rinehart M.T., Walzer K.A., Chi J.-T.A., Wax A., Automated detection of P. Falciparum using machine learning algorithms with quantitative phase images of unstained cells, Plos One, 11, 9, (2016); Yang D., Subramanian G., Duan J., Gao S., Bai L., Chandramohanadas R., Ai Y., A portable image-based cytometer for rapid malaria detection and quantification, Plos One, 12, 6, (2017); Nanoti A., Jain S., Gupta C., Vyas G., Detection of malaria parasite species and life cycle stages using microscopic images of thin blood smear, International Conference on Inventive Computation Technologies (ICICT), (2016); Mohammed H.A., Abdelrahman I.A.M., Detection and classification of malaria in thin blood slide images, International Conference on Communication, Control, Computing and Electronics Engineering (ICCCCEE), (2017); Bibin D., Nair M.S., Punitha P., Malaria parasite detection from peripheral blood smear images using deep belief networks, IEEE Access, 5, pp. 9099-9108, (2017); Dong Y., Jiang Z., Shen H., Pan W.D., Williams L.A., Reddy V.V.B., Benjamin W.H., Bryan A.W., Evaluations of deep convolutional neural networks for automatic identification of malaria infected cells, IEEE EMBS International Conference on Biomedical &amp; Health Informatics (BHI), (2017); Gopakumar G.P., Swetha M., Siva G.S., Subrahmanyam G.R.K.S., Convolutional neural network-based malaria diagnosis from focus stack of blood smear images acquired using custom-built slide scanner, Journal of Biophotonics, 11, 3, (2017); Dong Y., Jiang Z., Shen H., Pan W.D., Classification accuracies of malaria infected cells using deep convolutional neural networks based on decompressed images, SoutheastCon, (2017); He K., Zhang X., Ren S., Sun J., Deep residual learning for image recognition, IEEE Conference on Computer Vision and Pattern Recognition (CVPR), (2016); Keras-Retinanet, (2018); Manning C.D., Raghavan P., Schutze H., An Introduction to Information Retrieval, (2009); Pardede J., Husada M.G., Comparison of VSM, GVSM, and LSI in information retrieval for Indonesian text, Journal Teknologi, 78, 5-6, pp. 51-56, (2016); Pardede J., Barmawi M.M., Implementation of LSI method on information retrieval for text document in Bahasa Indonesia, Internetworking Indonesia Journal, 8, 1, pp. 83-87, (2016)</t>
  </si>
  <si>
    <t xml:space="preserve">2-s2.0-85082324221</t>
  </si>
  <si>
    <t xml:space="preserve">HUSIN N.A.; BAHARI N.I.S.; HAMDAN H.; ARIFFIN N.A.M.; ARIS T.N.M.</t>
  </si>
  <si>
    <t xml:space="preserve">HUSIN, NOR AZURA (25825147600); BAHARI, NURUL IMAN SAIFUL (56337833100); HAMDAN, HAZLINA (36632085100); ARIFFIN, NOOR AFIZA MOHD (55349248100); ARIS, TEH NORANIS MOHD (36760402900)</t>
  </si>
  <si>
    <t xml:space="preserve">25825147600; 56337833100; 36632085100; 55349248100; 36760402900</t>
  </si>
  <si>
    <t xml:space="preserve">Data-driven neural network model for early self-diagnosis of dengue symptoms</t>
  </si>
  <si>
    <t xml:space="preserve">Dengue fever is one of the main public health concerns and endemic diseases in many countries, especially in tropical and subtropical regions. In severe cases, people infected with dengue may experience severe bleeding which may lead to death if the infection is not properly treated. It is a standard procedure when a person is referred to the hospital with a high fever for more than two days to be required to undergo a dengue fever screening at the triage before further clinical tests are done to confirm the patient's medical condition. Thus, an individual need to conduct an early self-diagnosis to identify the probability that he/she have been infected with dengue fever and further seek professional help from medical practitioners. There are many dengue fever symptoms outlined by the World Health Organization (WHO) such as sudden high fever, headache, abdominal pain, persistent vomiting, rapid breathing, bleeding gums, fatigue, restlessness, and vomiting blood, but the identification of the highly significant symptoms among the less significant symptoms are still scarce. Identification of significant symptoms from the dengue dataset may help patients and medical practitioners to acknowledge the alarming symptoms and endeavour for immediate action to prevent dengue outbreak and fatality. Hence, the identification of significant dengue symptoms may assist in system development to determine the weightage of each attribute in the system. This may result in better prediction of dengue. Therefore, the objective of this study is to develop an early self-diagnosis system using an artificial neural network with the ability to produce a reliable result based on the identification of significant symptoms. The model accuracy of 100% indicates the high reliability of the developed early self-diagnosis system. A mobile application was developed based on the prediction model for patients and medical practitioners as the target users. This study contributes to the field of public health by providing early detection for people who are at risk of being infected by dengue disease. The advancement in early detection technology brings such a huge positive impact in healthcare. Early identification of significant symptoms ensures that better focus can be given to the identified symptoms for a more reliable dengue fever assessment. © 2005 - ongoing JATIT &amp; LLS.</t>
  </si>
  <si>
    <t xml:space="preserve">https://www.scopus.com/inward/record.uri?eid=2-s2.0-85101343029&amp;partnerID=40&amp;md5=df9fdbabf56aee388e69a577007825ab</t>
  </si>
  <si>
    <t xml:space="preserve">Intelligent Computing Research Group, Faculty of Computer Science and Information Technology, Universiti Putra Malaysia, Malaysia; Institute of Tropical Agriculture and Food Security, Universiti Putra Malaysia, Malaysia; Security Computing Research Group, Faculty of Computer Science and Information Technology, Universiti Putra Malaysia, Malaysia</t>
  </si>
  <si>
    <t xml:space="preserve">HUSIN N.A., Intelligent Computing Research Group, Faculty of Computer Science and Information Technology, Universiti Putra Malaysia, Malaysia; BAHARI N.I.S., Institute of Tropical Agriculture and Food Security, Universiti Putra Malaysia, Malaysia; HAMDAN H., Intelligent Computing Research Group, Faculty of Computer Science and Information Technology, Universiti Putra Malaysia, Malaysia; ARIFFIN N.A.M., Security Computing Research Group, Faculty of Computer Science and Information Technology, Universiti Putra Malaysia, Malaysia; ARIS T.N.M., Intelligent Computing Research Group, Faculty of Computer Science and Information Technology, Universiti Putra Malaysia, Malaysia</t>
  </si>
  <si>
    <t xml:space="preserve">Dengue Fever; Diagnose; Early Self-Diagnosis; Machine Learning; Significant Symptoms</t>
  </si>
  <si>
    <t xml:space="preserve">Global strategy for dengue prevention and control 2012-2020, (2012); Dengue Control, (2017); Noor N.M., Abdullah R., Selamat M.H., A modul of Knowledge Management System and Early Warning System (KMS@EWS) for Clinical Diagnostic Environment, 2nd International Conference on Software Engineering and Computer Systems. ICSECS 2011. Communications in Computer and Information Science, 179, pp. 78-91, (2011); Tiga-Loza D. C., Martinez-Vega R. A., Undurraga E. A., Tschampl C. A., Shepard D. S., Ramos-Castaneda J., Persistence of symptoms in dengue patients: A clinical cohort study, Trans. R. Soc. Trop. Med. Hyg, 114, 5, pp. 355-364, (2020); Husin N. A., Alharogi A., Mustapha N., Hamdan H., Husin U. A., Early selfdiagnosis of dengue symptoms using fuzzy and data mining approach, AIP Conference Proceedings, (2016); Sharef N. M., Husin N. A., Kasmiran K. A., Ninggal M. I., Temporal Trends Analysis for Dengue Outbreak and Network Threats Severity Prediction Accuracy Improvement, Journal of Digital Information Management, 17, 3, pp. 122-132, (2019); Rashed A. B., Hamdan H., Sulaiman M. N., Sharef N. M., Yaakob R., Multi-Objective PSO-fuzzy Optimization Approach to Improve Interpretability and Accuracy in Medical Data, International Journal of Engineering &amp; Technology, 7, 4.31, pp. 316-321, (2018); Al-Rababah K., Doraisamy S., Rina M., Khalid F., A Color-Based High Temperature Extraction Method in Breast Thermogram to Classify Cancerous and Health Cases Using SVM, 2nd International Conference on Imaging. Signal Processing and Communication, pp. 70-73, (2018); Fatima M., Pasha M., Survey of machine learning algorithms for disease diagnostic, Journal of Intelligent Learning Systems and Applications, 9, pp. 1-16, (2017); Saikia D., Dutta J. C., Early diagnosis of dengue disease using fuzzy inference system, 2016 International Conference on Microelectronics, Computing and Communications (MicroCom), pp. 1-6, (2016); Shaukat K., Masood N., Mehreen S., Azmeen U., Dengue fever prediction: A data mining problem, Journal of Data Mining in Genomics &amp; Proteomics, 6, pp. 1-5, (2015); Anitha A., Wise D. J. W., Forecasting Dengue Fever using Classification Techniques in Data Mining, 2018 International Conference on Smart Systems and Inventive Technology (ICSSIT), pp. 398-401, (2018); Gambhir S., Malik S. K., Kumar Y., The Diagnosis of Dengue Disease: An Evaluation of Three Machine Learning Approaches, International Journal of Healthcare Information Systems and Informatics (IJHISI), 13, pp. 1-19, (2018); Ahamad M., Et al., Expert Systems with Applications A machine learning model to identify early stage symptoms of SARS-Cov-2 infected patients, Expert Syst. Appl, 160, (2020); Hamdan H., Garibaldi J. M., Adaptive neuro-fuzzy inference system (ANFIS) in modeling breast cancer survival, International Conference on Fuzzy Systems, pp. 1-8, (2010); Barwad A., Dey P., Susheilia S., Artificial neural network in diagnosis of metastatic carcinoma in effusion cytology, Cytometry Part B: Clinical Cytometry, 82, pp. 107-111, (2012); Al-garadi M. A., Epidemiological review of dengue fever in Yemen, Int. J. Adv. Res, 3, 7, pp. 1578-1584, (2015); Bin Ghouth A. S., Amarasinghe A., Letson G. W., Dengue outbreak in Hadramout, Yemen, 2010: An epidemiological perspective, Am. J. Trop. Med. Hyg, 86, 6, pp. 1072-1076, (2012); Jawfi A., Al Jawfi A. M., Fahmy H. D., Hassan A. K., Assessment of the Awareness and Practice of Health Team Toward Dengue Fever at Al-Hodeidah City -Yemen, Assiut Sci. Nurs. J, 5, 12, pp. 33-42, (2017); Dengue and Severe Dengue, (2014); Balamurugan S. A., Mallick M. S. M., Chinthana G., Improved prediction of dengue outbreak using combinatorial feature selector and classifier based on entropy weighted score based optimal ranking, Informatics Med. Unlocked, 20, (2020)</t>
  </si>
  <si>
    <t xml:space="preserve">2-s2.0-85101343029</t>
  </si>
  <si>
    <t xml:space="preserve">Revathy R.; Jainul Fathima A.; Balamurali S.; Murugaboopathi G.</t>
  </si>
  <si>
    <t xml:space="preserve">Revathy, R. (57200533425); Jainul Fathima, A. (57202154599); Balamurali, S. (6602154096); Murugaboopathi, G. (57197765333)</t>
  </si>
  <si>
    <t xml:space="preserve">57200533425; 57202154599; 6602154096; 57197765333</t>
  </si>
  <si>
    <t xml:space="preserve">Development of hybrid model for improving the prediction of dengue-human protein interaction for anti-viral drug discovery</t>
  </si>
  <si>
    <t xml:space="preserve">Dengue fever is the most common viral disease caused by mosquitoes. Due to the lack of curable drugs, there is an urgent need to develop anti-viral against dengue disease. Several innovative computational approaches were incorporated for the discovery of a new lead molecule that acts on the dengue virus target. The target can be a viral or host protein. Predicting the type of interaction between the virus and human protein will give better knowledge in developing therapeutics against the dengue disease. The main objective of this study is to propose a hybrid model which combines feed forward back propagation neural network (FFBPNN) with firefly algorithm to predict the dengue-human protein interaction. The novelty in this study is to focus on optimising the weights and bias of the artificial neural network to improve the efficiency of algorithm. While comparing with existing C4.5 and FFBPNN classification algorithms, the results show that the proposed hybrid method fitted the interaction data efficiently and predicts the interaction type which leads to the development of anti-viral drugs. The accuracy of the classification gained by C4.5 is 88%, FFBPNN is 97% and hybrid FFBPNN is 99%. © 2020 Inderscience Enterprises Ltd.</t>
  </si>
  <si>
    <t xml:space="preserve">International Journal of Intelligent Information and Database Systems</t>
  </si>
  <si>
    <t xml:space="preserve">Inderscience Enterprises Ltd.</t>
  </si>
  <si>
    <t xml:space="preserve">10.1504/IJIIDS.2020.109470</t>
  </si>
  <si>
    <t xml:space="preserve">https://www.scopus.com/inward/record.uri?eid=2-s2.0-85091884645&amp;doi=10.1504%2fIJIIDS.2020.109470&amp;partnerID=40&amp;md5=f4b6d94e0f817ab92890fe8a0acfa951</t>
  </si>
  <si>
    <t xml:space="preserve">Department of Computer Applications, Kalasalingam Academy of Research and Education, Krishnankoil, Tamil Nadu, India; Department of Computer Science and Engineering, Kalasalingam Academy of Research and Education, Krishnankoil, Tamil Nadu, India</t>
  </si>
  <si>
    <t xml:space="preserve">Revathy R., Department of Computer Applications, Kalasalingam Academy of Research and Education, Krishnankoil, Tamil Nadu, India; Jainul Fathima A., Department of Computer Science and Engineering, Kalasalingam Academy of Research and Education, Krishnankoil, Tamil Nadu, India; Balamurali S., Department of Computer Applications, Kalasalingam Academy of Research and Education, Krishnankoil, Tamil Nadu, India; Murugaboopathi G., Department of Computer Science and Engineering, Kalasalingam Academy of Research and Education, Krishnankoil, Tamil Nadu, India</t>
  </si>
  <si>
    <t xml:space="preserve">Anti-viral drug discovery; FFBPN; Firefly optimisation; PPI; Protein-protein interaction</t>
  </si>
  <si>
    <t xml:space="preserve">Backpropagation; Forecasting; Neural networks; Optimization; Proteins; Viruses; Anti-viral drugs; Classification algorithm; Computational approach; Dengue fevers; Feed-forward back-propagation neural networks; Firefly algorithms; Human proteins; Viral disease; Drug interactions</t>
  </si>
  <si>
    <t xml:space="preserve">Ansari N.J., Rathod N.P., Singh D.K., Clinical profile of children with dengue and factors associated with severe dengue and dengue with warning signs, PediatricOncall, 15, 1, pp. 1-4, (2018); Barrett S.J., Langdon W.B., Advances in the application of machine learning techniques in drug discovery, design and development, Advances in Intelligent and Soft Computing, pp. 99-110, (2006); Cheng F., Vijaykumar S., Applications of artificial neural network modeling in drug discovery, Clin.Exp. Pharmacol, 2, 3, pp. 1-2, (2012); Desai S.D., Giraddi S., Narayankar P., Pudakalakatti N.R., Sulegaon S., Back-propagation neural network versus logistic regression in heart disease classification, Advances in Intelligent Systems and Computing, pp. 133-144, (2019); Dey L., Mukhopadhyay A., DenvInt: a database of protein-protein interactions between dengue virus and its hosts, PLOS Neglected Tropical Diseases, 11, 10, pp. 1-12, (2017); Doolittle J.M., Gomez S.M., Mapping protein interactions between dengue virus and its human and insect hosts, PLoS Neglected Tropical Diseases, 5, 2, pp. 1-15, (2011); Fathima A., Murugaboopathi G., Selvam P., Pharmacophore mapping of ligand-based virtual screening, molecular docking and molecular dynamics simulation studies for finding potent NS2B/NS3 protease inhibitors as potential anti-dengue drug compounds, Current Bioinformatics, 13, 6, pp. 606-616, (2018); Fathima A.J., Murugaboopathi G., Selvam P., Computational approaches in drug discovery: an overview, International Journal of Advanced Research in Science and Engineering, 6, 7, pp. 189-195, (2017); Fathima A.J., Revathy R., Balamurali S., Murugaboopathi G., Prediction of dengue-human protein interaction using artificial neural network for anti-viral drug discovery, (2019); Gambhir S., Malik S.K., Kumar Y., Role of soft computing approaches in healthcare domain: a mini review, Journal of Medical Systems, 40, 12, pp. 1-20, (2016); Guo P., Liu T., Zhang Q., Wang L., Xiao J., Zhang Q., Ma W., Developing a dengue forecast model using machine learning: a case study in China, PLOS Neglected Tropical Diseases, 11, 10, pp. 1-22, (2017); Ingre B., Yadav A., Performance analysis of NSL-KDD Dataset using ANN, 2015 International Conference on Signal Processing and Communication Engineering Systems, pp. 92-96, (2015); Johari N.F., Zain A.M., Noorfa M.H., Udin A., Firefly algorithm for optimization problem, Applied Mechanics and Materials, 421, 6, pp. 512-517, (2013); Lourenco J., Tennant W., Faria N.R., Walker A., Gupta S., Recker M., Challenges in dengue research: a computational perspective, Evolutionary Applications, 11, 4, pp. 516-533, (2017); Mandal S., Saha G., Pal R.K., Neural network training using firefly algorithm, Global Journal on Advancement in Engineering and Science (GJAES), 1, 1, pp. 7-11, (2015); Olaniyi E.O., Oyedotun O.K., Adnan K., Heart diseases diagnosis using neural networks arbitration, International Journal of Intelligent Systems and Applications, 7, 12, pp. 75-82, (2015); Revathy R., Lawrance R., Classifying crop pest data using C4.5 algorithm, 2017 IEEE International Conference on Intelligent Techniques in Control, Optimization and Signal Processing (INCOS), pp. 1-6, (2017); Revathy R., Lawrance R., Comparative analysis of C4.5 and C5.0 algorithms on crop pest data, International Journal of Innovative Research in Computer and Communication Engineering, 5, 1, pp. 50-58, (2017); Yang X.S., He X., Firefly algorithm: recent advances and applications, International Journal of Swarm Intelligence, 1, 1, pp. 36-50, (2013)</t>
  </si>
  <si>
    <t xml:space="preserve">S. Balamurali; Department of Computer Applications, Kalasalingam Academy of Research and Education, Krishnankoil, Tamil Nadu, India; email: sbmurali@rediffmail.com</t>
  </si>
  <si>
    <t xml:space="preserve">Int. J. Intell. Inf. Database Syst.</t>
  </si>
  <si>
    <t xml:space="preserve">2-s2.0-85091884645</t>
  </si>
  <si>
    <t xml:space="preserve">Xu J.; Xu K.; Li Z.; Meng F.; Tu T.; Xu L.; Liu Q.</t>
  </si>
  <si>
    <t xml:space="preserve">Xu, Jiucheng (55583682300); Xu, Keqiang (57206271185); Li, Zhichao (57191704868); Meng, Fengxia (24463308900); Tu, Taotian (57213596662); Xu, Lei (56673137100); Liu, Qiyong (55616174300)</t>
  </si>
  <si>
    <t xml:space="preserve">55583682300; 57206271185; 57191704868; 24463308900; 57213596662; 56673137100; 55616174300</t>
  </si>
  <si>
    <t xml:space="preserve">Forecast of dengue cases in 20 chinese cities based on the deep learning method</t>
  </si>
  <si>
    <t xml:space="preserve">Dengue fever (DF) is one of the most rapidly spreading diseases in the world, and accurate forecasts of dengue in a timely manner might help local government implement effective control measures. To obtain the accurate forecasting of DF cases, it is crucial to model the long-term dependency in time series data, which is difficult for a typical machine learning method. This study aimed to develop a timely accurate forecasting model of dengue based on long short-term memory (LSTM) recurrent neural networks while only considering monthly dengue cases and climate factors. The performance of LSTM models was compared with the other previously published models when predicting DF cases one month into the future. Our results showed that the LSTM model reduced the average the root mean squared error (RMSE) of the predictions by 12.99% to 24.91% and reduced the average RMSE of the predictions in the outbreak period by 15.09% to 26.82% as compared with other candidate models. The LSTM model achieved superior performance in predicting dengue cases as compared with other previously published forecasting models. Moreover, transfer learning (TL) can improve the generalization ability of the model in areas with fewer dengue incidences. The findings provide a more precise forecasting dengue model and could be used for other dengue-like infectious diseases. © 2020 by the authors. Licensee MDPI, Basel, Switzerland.</t>
  </si>
  <si>
    <t xml:space="preserve">10.3390/ijerph17020453</t>
  </si>
  <si>
    <t xml:space="preserve">https://www.scopus.com/inward/record.uri?eid=2-s2.0-85077866061&amp;doi=10.3390%2fijerph17020453&amp;partnerID=40&amp;md5=cc55eb4f66c249b8642041dcdfed088f</t>
  </si>
  <si>
    <t xml:space="preserve">College of Computer and Information Engineering, Henan Normal University, Xinxiang, 453007, China; Engineering Technology Research Center for Computing Intelligence and Data Mining, Xinxiang, 453007, China; Engineering Lab of Intelligence Business &amp; Internet of Things, Xinxiang, 453007, China; Ministry of Education Key Laboratory for Earth System Modeling, Department of Earth System Science, Tsinghua University, Beijing, 100084, China; Center for Healthy Cities, Institute for China Sustainable Urbanization, Tsinghua University, Beijing, 100084, China; State Key Laboratory of Infectious Disease Prevention and Control, National Institute for Communicable Disease Control and Prevention, Chinese Center for Disease Control and Prevention, Beijing, 102206, China; Institute of Disinfection and Vector Biological Control, Chongqing Center for Disease Control and Prevention, Chongqing, 400042, China</t>
  </si>
  <si>
    <t xml:space="preserve">Xu J., College of Computer and Information Engineering, Henan Normal University, Xinxiang, 453007, China, Engineering Technology Research Center for Computing Intelligence and Data Mining, Xinxiang, 453007, China, Engineering Lab of Intelligence Business &amp; Internet of Things, Xinxiang, 453007, China; Xu K., College of Computer and Information Engineering, Henan Normal University, Xinxiang, 453007, China, Engineering Lab of Intelligence Business &amp; Internet of Things, Xinxiang, 453007, China; Li Z., Ministry of Education Key Laboratory for Earth System Modeling, Department of Earth System Science, Tsinghua University, Beijing, 100084, China, Center for Healthy Cities, Institute for China Sustainable Urbanization, Tsinghua University, Beijing, 100084, China; Meng F., State Key Laboratory of Infectious Disease Prevention and Control, National Institute for Communicable Disease Control and Prevention, Chinese Center for Disease Control and Prevention, Beijing, 102206, China; Tu T., Institute of Disinfection and Vector Biological Control, Chongqing Center for Disease Control and Prevention, Chongqing, 400042, China; Xu L., Ministry of Education Key Laboratory for Earth System Modeling, Department of Earth System Science, Tsinghua University, Beijing, 100084, China, Center for Healthy Cities, Institute for China Sustainable Urbanization, Tsinghua University, Beijing, 100084, China, State Key Laboratory of Infectious Disease Prevention and Control, National Institute for Communicable Disease Control and Prevention, Chinese Center for Disease Control and Prevention, Beijing, 102206, China; Liu Q., State Key Laboratory of Infectious Disease Prevention and Control, National Institute for Communicable Disease Control and Prevention, Chinese Center for Disease Control and Prevention, Beijing, 102206, China</t>
  </si>
  <si>
    <t xml:space="preserve">Deep learning; Dengue fever; Forecast model; Long short-term memory; Transfer learning</t>
  </si>
  <si>
    <t xml:space="preserve">Cities; Deep Learning; Dengue; Disease Outbreaks; Forecasting; Humans; Incidence; Neural Networks, Computer; China; accuracy assessment; dengue fever; forecasting method; health impact; local government; machine learning; memory; public health; Article; China; climate change; comparative study; deep learning; dengue; epidemic; forecasting; human; incidence; long short term memory network; major clinical study; measurement accuracy; transfer of learning; city; dengue</t>
  </si>
  <si>
    <t xml:space="preserve">Delos Living LLC; NFSC; Cyrus Tang Foundation, CTF; Northwest Fisheries Science Center, NWFSC, (41801336, 61402153, 61976082); National Natural Science Foundation of China, NSFC; Tsinghua University, THU</t>
  </si>
  <si>
    <t xml:space="preserve">Funding text 1: Funding: This research was partially supported by the donations from Delos Living LLC and the Cyrus Tang Foundation to Tsinghua University. This work was supported by the National Natural Science Foundation of China (NFSC) (Nos. 61402153, 41801336 and 61976082).; Funding text 2: This research was partially supported by the donations from Delos Living LLC and the Cyrus Tang Foundation to Tsinghua University. This work was supported by the National Natural Science Foundation of China (NFSC) (Nos. 61402153, 41801336 and 61976082). We are grateful to all units involved the collection of DF data and infectious disease surveillance systems, coupled with the funders of this study. We wish to acknowledge J.H. for her help in paper writing.</t>
  </si>
  <si>
    <t xml:space="preserve">Dengue Type; Gubler D.J., Clark G.G., Dengue/Dengue Hemorrhagic Fever: The Emergence of a Global Health Problem, Emerg. Infect. Dis., 1, pp. 55-57, (1995); Heilman J.M., Wolff J.D., Beards G.M., Basden B.J., Dengue fever: A Wikipedia clinical review, Open Med, 8, pp. 105-115, (2014); Mustafa M.S., Rasotgi V., Jain S., Gupta V., Discovery of fifth serotype of dengue virus (DENV-5): A new public health dilemma in denguecontrol, Med. J. Armed Forces India, 71, pp. 67-70, (2015); Wang X., Tang S.T., Wu J.H., Xiao Y.N., Cheke R.A., A combination of climatic conditions determines major within-season dengue outbreaks in Guangdong Province, China, Parasites Vectors, 12, (2019); Johansson M.A., Dominici F., Glass G.E., Local and Global Effects of Climate on Dengue Transmission in Puerto Rico, Plos Negl. Trop. Dis, 3, (2009); Tosepu R., Tantrakarnapa K., Nakhapakorn K., Worakhunpiset S., Climate variability and dengue hemorrhagic fever in Southeast Sulawesi Province, Indonesia, Environ. Sci. Pollut. Res., 25, pp. 14944-14952, (2018); Colon-Gonzalez F.J., Fezzi C., Lake L.R., Hunter P.R., The Effects of Weather and Climate Change on Dengue, Plos Negl. Trop. Dis., 7, (2013); Yang H.M., Macoris M.L., Galvani K.C., Andrighetti M.T., Wanderley D.M., Assessing the effects of temperature on the population of Aedes aegypti, the vector of dengue, Epidemiol. Infect., 137, (2009); Focks D.A., Brenner R.J., Hayes J., Daniels E., Transmission thresholds for dengue in terms of Aedes aegypti pupae per person with discussion of their utility in source reduction efforts, Am. J. Trop. Med. Hyg., 62, pp. 11-18, (2000); Fouque F., Carinci R., Gaborit P., Issaly J., Bicout D.J., Sabatier P., Aedes aegypti survival and dengue transmission patterns in French Guiana, J. Vector Ecol., 31, pp. 390-399, (2006); Walker K.R., Joy T.K., Ellerskirk C., Ramberq F.B., Human and environmental factors affecting Aedes aegypti distribution in an arid urban environment, J. Am. Mosq. Control Assoc., 27, pp. 135-141, (2011); Ranjit S., Kissoon N., Dengue hemorrhagic fever and shock syndromes, Pediatric Crit. Care Med., 12, pp. 90-100, (2011); Gubler D.J., Dengue and dengue hemorrhagic fever, Clin. Microbiol. Rev., 11, pp. 480-496, (1998); Bhatt S., Gething P., Brady O.J., Messiona J., Farlow A.W., Moyes C., Drake J., Brownstein J.S., Hoen A.G., Sankoh O., Et al., The global distribution and burden of dengue, Nature, 96, pp. 504-507, (2013); Whitehorn J., Farrar J., Dengue. Aust. Fam, Physician, 135, (2010); Fredericks A.C., Fernandez S.A., The Burden of Dengue and Chikungunya Worldwide: Implications for the Southern United States and California, Ann. Glob. Health, 80, pp. 466-475, (2014); Lai S., Huang Z.J., Zhou H., Anders K.L., Perkins T.A., Yin W.W., Li Y., Mu D., Chen Q.L., Zhang Z.K., Et al., The changing epidemiology of dengue in China, 1990–2014: A descriptive analysis of 25 years of nationwide surveillance data, BMC Med, 13, (2015); Chen B., Liu Q., Dengue fever in China, Lancet, 385, pp. 1621-1622, (2015); Xu L., Stige L.C., Chan K.S., Zhou J., Yang J., Sang S.W., Wang M., Yang Z.C., Yan Z.Q., Jiang T., Et al., Climate variation drives dengue dynamics, Proc. Natl. Acad. Sci. USA, 114, pp. 113-118, (2017); Shi Y., Liu X., Kok S.Y., Rajarethinam J., Liang S., Yap G., Chong C.S., Lee K.S., Tan S.S., Chin C.K., Et al., Three-Month Real-Time Dengue Forecast Models: An Early Warning System for Outbreak Alerts and Policy Decision Support in Singapore, Environ. Health Perspect., 124, pp. 1369-1375, (2016); Li R.Y., Lei X., Bjornstad O.N., Liu K.K., Song T., Chen A.F., Xu B., Liu Q.Y., Stenseth N.C., Climate-driven variation in mosquito density predicts the spatiotemporal dynamics of dengue, Proc. Natl. Acad. Sci. USA, 116, pp. 3624-3629, (2019); Chae S., Kwon S., Lee D., Predicting Infectious Disease Using Deep Learning and Big Data, Int. J. Environ. Res. Public Health, 15, (2018); Lazer D., Kennedy R., King G., Vespignani A., The Parable of Google Flu: Traps in Big Data Anallysis, Science, 343, pp. 1203-1205, (2014); Jiang S.C., Xiao R., Wang L., Luo X., Huang C., Wang J.H., Chin K.S., Nie X.M., Combining Deep Neural Networks and classical time series regression models for forecasting patient flows in Hong Kong, IEEE Access, 7, pp. 118965-118974, (2019); Sun D.D., Wang M.H., Li A., A Multimodal Deep Neural Network for Human Breast Cancer Prognosis Prediction by Integrating Multi-Dimensional Data, IEEE ACM Trans. Comput. Biol. Bioinform., 16, pp. 841-850, (2019); Min S., Lee B., Yoon S., Deep Learning in Bioinformatics, Brief. Bioinform., 18, pp. 851-869, (2017); Zemouri R., Devalland C., Valmary-Degano S., Zerhouni N., Neural Network: A Future in Pathology? Ann, De Pathol, 39, pp. 119-129, (2019); Pham D.T., Liu X., Neural Networks for Identification, Prediction and Control, (1997); Jordan M.I., Mitchell T.M., Machine learning: Trends, perspectives, and prospects, Science, 349, pp. 255-260, (2015); Lee K.Y., Chung N., Hwang S., Application of an Artificial Neural Network (ANN) model for predicting mosquito abundances in urban areas, Ecol. Inform., 36, pp. 172-180, (2016); Aburas H.M., Cetiner B.G., Sari M., Dengue confirmed-cases prediction: A neural network model, Expert Syst. Appl., 37, pp. 4256-4260, (2010); Hochreiter S., Schmidhuber J., Long Short-Term Memory, Neural Comput, 9, pp. 1735-1780, (1997); Graves A., Mohamed A.R., Hinton G., Speech Recognition with Deep Recurrent Neural Networks, Proceedings of the 2013 IEEE International Conference on Acoustics, Speech and Signal Processing, pp. 6645-6649, (2013); Schmidhuber J., Deep learning in neural networks: An overview, Neural Netw, 61, pp. 85-117, (2015); Liu L., Han M., Zhou Y., Wang Y., LSTM Recurrent Neural Networks for Influenza Trends Prediction, Bioinform. Res. Appl., 10847, pp. 259-264, (2018); Wang Y.B., Xu C.J., Zhang S.K., Yang L., Wang Z.D., Zhu Y., Yuan J.X., Development and evaluation of a deep learning approach for modeling seasonality and trends in hand-foot-mouth disease incidence in mainland China, Sci. Rep., 9, (2019); Arnold A., Nallapati R., Cohen W.W., A Comparative Study of Methods for Transductive Transfer Learning, Proceedings of the Seventh IEEE International Conference on Data Mining Workshops (ICDMW 2007), (2007); Sang S.W., Yin W.W., Bi P., Zhang H.L., Wang C.G., Liu X.B., Chen B., Yang W.Z., Liu Q.Y., Predicting Local Dengue Transmission in Guangzhou, China, through the Influence of Imported Cases, Mosquito Density and Climate Variability, Plos ONE, 9, (2014); Jing Q.L., Yang Z.C., Luo L., Xiao X.C., Di B., He P., Fu C.X., Wang M., Lu J.H., Emergence of dengue virus 4 genotype II in Guangzhou, China, 2010: Survey and molecular epidemiology of one community outbreak, BMC Infect. Dis., 12, (2012); Yue Y.J., Sun J.M., Liu X.B., Ren D.S., Liu Q.Y., Xiao X.M., Lu L., Spatial analysis of dengue fever and exploration of its environmental and socio-economic risk factors using ordinary least squares: A case study in five districts of Guangzhou City, China, 2014, Int. J. Infect. Dis., 75, pp. 39-48, (2018); Tetko I.V., Livingstone D.J., Luik A.I., Neural network studies. 1. Comparison of overfitting and overtraining, J. Chem. Inf. Comput. Sci., 35, pp. 826-833, (1995); Li Y., Huang C., Ding L.Z., Li Z.X., Pan Y.J., Gao X., Deep learning in bioinformatics: Introduction, application, and perspective in the big data era, Methods, 166, pp. 4-21, (2019); Rampasek L., Goldenberg A., TensorFlow: Biology’s Gateway to Deep Learning?, Cell Syst, 2, pp. 12-14, (2016); Kingma D.P., Jimmy B., Adam: A Method for Stochastic Optimization; Smola A.J., Scholkopf B., A tutorial on support vector regression, Stat. Comput., 14, pp. 199-222, (2004); Anderson-Cook C.M., Generalized Additive Models: An Introduction with R, Publ. Am. Stat. Assoc., 102, pp. 760-761, (2007); Friedman J.H., Greedy Function Approximation: A Gradient Boosting Machine, Ann. Stat., 29, pp. 1189-1232, (2001); Hyndman R.J., Koehler A.B., Another look at measures of forecast accuracy, Int. J. Forecast., 22, pp. 679-688, (2006); Guo P., Liu T., Zhang Q., Wang L., Xiao J.P., Zhang Q.Y., Luo G.F., Li Z.H., He J.F., Zhang Y.H., Et al., Developing a dengue forecast model using machine learning: A case study in China, Plos Negl. Trop. Dis., 11, (2017); Zhang H., Li Z., Lai S., Clements A.C., Wang L., Yin W., Zhou H., Yu H., Hu W., Yang W., Evaluation of the Performance of a Dengue Outbreak Detection Tool for China, Plos ONE, 9, (2014); Xiao J.P., He J.F., Deng A.P., Liu H.L., Song T., Peng Z.Q., Wu X.C., Liu T., Li Z.H., Rutherford S., Et al., Characterizing a large outbreak of dengue fever in Guangdong Province, China, Infect. Dis. Poverty, 5, (2016); Shih S.Y., Sun F.K., Lee H.Y., Temporal Pattern Attention for Multivariate Time Series Forecasting, Mach. Learn., 108, pp. 1421-1441, (2019); Lai G., Chang W.C., Yang Y.M., Liu H.X., Modeling Long-and Short-Term Temporal Patterns with Deep Neural Networks, Proceedings of the 41St International ACM SIGIR Conference on Research &amp; Development in Information Retrieval, pp. 95-104, (2018); Qi X., Wang Y., Li Y., Meng Y., Chen Q., Ma J., Gao G.F., The Effects of Socioeconomic and Environmental Factors on the Incidence of Dengue Fever in the Pearl River Delta, China, 2013, Plos Negl. Trop. Dis., 9, (2015)</t>
  </si>
  <si>
    <t xml:space="preserve">Q. Liu; State Key Laboratory of Infectious Disease Prevention and Control, National Institute for Communicable Disease Control and Prevention, Chinese Center for Disease Control and Prevention, Beijing, 102206, China; email: liuqiyong@icdc.cn</t>
  </si>
  <si>
    <t xml:space="preserve">2-s2.0-85077866061</t>
  </si>
  <si>
    <t xml:space="preserve">Ekong B.; Ifiok I.; Udoeka I.; Anamfiok J.</t>
  </si>
  <si>
    <t xml:space="preserve">Ekong, Blessing (57217939705); Ifiok, Idara (57215590761); Udoeka, Ifreke (57215575181); Anamfiok, James (57215582444)</t>
  </si>
  <si>
    <t xml:space="preserve">57217939705; 57215590761; 57215575181; 57215582444</t>
  </si>
  <si>
    <t xml:space="preserve">Integrated fuzzy based decision support system for the management of human disease</t>
  </si>
  <si>
    <t xml:space="preserve">To eliminate some of the inaccuracies in the diagnosis of human diseases, decision support systems based on algorithms and technologies such as Artificial Neural Network, Fuzzy Logic etc. have been used. The results of such diagnosis are used for treatment and management purposes. Inaccurate and imprecise diagnosis may lead to wrong treatment methods which in turn may result in death or complications. Although treatments are widely carried out using drugs, there exist other treatment methods such as alternative medicine, complimentary medicine which could be used for treatment. We propose an Integrated Fuzzy Based Decision Support System which focuses on the integration of both alternative and pure medicine for the management of malaria. The results obtained showed that integrating these two treatment and management methods will eliminate the limitations of the individual methods therefore bridging the gap between alternative and pure medicine in the treatment and management of human diseases. The system is implemented in C#. © Science and Information Organization.</t>
  </si>
  <si>
    <t xml:space="preserve">International Journal of Advanced Computer Science and Applications</t>
  </si>
  <si>
    <t xml:space="preserve">Science and Information Organization</t>
  </si>
  <si>
    <t xml:space="preserve">10.14569/ijacsa.2020.0110235</t>
  </si>
  <si>
    <t xml:space="preserve">https://www.scopus.com/inward/record.uri?eid=2-s2.0-85081273284&amp;doi=10.14569%2fijacsa.2020.0110235&amp;partnerID=40&amp;md5=a8956f3a80337456309a03abe453b39b</t>
  </si>
  <si>
    <t xml:space="preserve">Dept. of Computer Science, Akwa Ibom State University, Ikot Akpaden, Nigeria</t>
  </si>
  <si>
    <t xml:space="preserve">Ekong B., Dept. of Computer Science, Akwa Ibom State University, Ikot Akpaden, Nigeria; Ifiok I., Dept. of Computer Science, Akwa Ibom State University, Ikot Akpaden, Nigeria; Udoeka I., Dept. of Computer Science, Akwa Ibom State University, Ikot Akpaden, Nigeria; Anamfiok J., Dept. of Computer Science, Akwa Ibom State University, Ikot Akpaden, Nigeria</t>
  </si>
  <si>
    <t xml:space="preserve">C#; Fuzzy based decision support system; Fuzzy logic; Human disease; Human diseases</t>
  </si>
  <si>
    <t xml:space="preserve">Computer circuits; Decision making; Diagnosis; Diseases; Fuzzy inference; Fuzzy neural networks; Alternative medicine; C#; Complimentary medicine; Fuzzy based decision support system; Fuzzy-Logic; Human disease; Management method; Treatment methods; Decision support systems</t>
  </si>
  <si>
    <t xml:space="preserve">Awotunde J., Matiluko O., Fatai O., Medical diagnosis system using fuzzy logic, African Journal of Computing &amp; ICT, 7, 2, pp. 99-106, (2014); Djam Y., Gregory M., Kimbi H., Nachamada V.V., A fuzzy expert system for the management of malaria. International Journal of Pure and Applied Sciences and Technology, 5, 2, pp. 84-108, (2011); Angbera A., Esiefarienrh M., Agaji I., Efficient fuzzy-based system for the diagnosis and treatment of tuberculosis, International Journal of Computer Applications, 5, 2, (2016); Chuen C., Fuzzy logic control system: Fuzzy logic controller-part I. IEEE Transaction on systems, man, and cybernetics, 20, 2, pp. 404-418, (2014); William G., An optimization approach to employee scheduling using fuzzy logic, MSc. Thesis, California Polytechnic State University, (2011); Talkmore N., Charlott E., Klooster A., Jong M., Jan V., Medicinal plants used by traditional healers for the treatment of malaria in the Chipinge district in Zimbabwe, Journal of Ethno-pharmacology, 159, pp. 224-237, (2015); Schrijvers G., Disease management: A proposal for a new definition, International journal of integrated care, 9, (2009); Malaria diagnosis and treatment-Mayo Clinic; Final Academy of Managed Care Pharmacy; WHO model list of essential medicines 20th list, (2017); Willcox M.L., Bodeker G., Traditional herbal medicines for malaria, BMJ (Clinical research ed.), 329, 7475, pp. 1156-1159, (2004); Mahomoodly F., Traditional medicines in Africa: An appraisal of ten potent medicinal plants, Evidence-based complementary and alternative medicine, 2013, (2013); Olabiyisi S., Omidiora E., Olaniyan M., Derikoma O., Decision Support Model for Diagnosing Tropical Diseases Using Fuzzy Logic, Afr. J comp &amp; ICT, 4, 2, pp. 1-6, (2011); Quashie D., Joseph K., James B., Designing algorithm for malaria diagnosis using fuzzy logic for treatment, International Journal of Computer Applications, 91, 17, (2014); Boadu A., Asase A., Documentation of herbal medicine used for the treatment and management of human diseases by some communities in southern Ghana. Evidence Based Complementary and Alternative Medicines, 2017, (2017)</t>
  </si>
  <si>
    <t xml:space="preserve">2158107X</t>
  </si>
  <si>
    <t xml:space="preserve">Intl. J. Adv.  Comput. Sci. Appl.</t>
  </si>
  <si>
    <t xml:space="preserve">2-s2.0-85081273284</t>
  </si>
  <si>
    <t xml:space="preserve">Alqudah A.; Alqudah A.M.; Qazan S.</t>
  </si>
  <si>
    <t xml:space="preserve">Alqudah, Amin (21741941500); Alqudah, Ali Mohammad (57189294287); Qazan, Shoroq (57216928463)</t>
  </si>
  <si>
    <t xml:space="preserve">21741941500; 57189294287; 57216928463</t>
  </si>
  <si>
    <t xml:space="preserve">Lightweight deep learning for malaria parasite detection using cell-image of blood smear images</t>
  </si>
  <si>
    <t xml:space="preserve">Malaria is an infectious disease that is caused by the plasmodium parasite which is a single-celled group. This disease is usually spread employing an infected female anopheles mosquito. Recent statistics show that in 2017 there were only around 219 million recorded cases and about 435,000 deaths were reported due to this disease and more than 40% of the global population is at risk. Despite this, many image processing fused with machine learning algorithms were developed by researchers for the early detection of malaria using blood smear images. This research used a new CNN model using transfer learning for classifying segmented infected and Uninfected red blood cells. The experimental results show that the proposed architecture success to detect malaria with an accuracy of 98.85%, sensitivity of 98.79%, and a specificity of 98.90% with the highest speed and smallest input size among all previously used CNN models. © 2020 Lavoisier. All rights reserved.</t>
  </si>
  <si>
    <t xml:space="preserve">Revue d'Intelligence Artificielle</t>
  </si>
  <si>
    <t xml:space="preserve">International Information and Engineering Technology Association</t>
  </si>
  <si>
    <t xml:space="preserve">10.18280/ria.340506</t>
  </si>
  <si>
    <t xml:space="preserve">https://www.scopus.com/inward/record.uri?eid=2-s2.0-85097480012&amp;doi=10.18280%2fria.340506&amp;partnerID=40&amp;md5=c64179708f856555c6812c2668ad2813</t>
  </si>
  <si>
    <t xml:space="preserve">Department of Computer Engineering, Hijjawi Faculty for Engineering Technology, Yarmouk University, Shafiq Irshidat Street, Irbid, 21163, Jordan; Department of Biomedical Systems and Informatics Engineering, Hijjawi Faculty for Engineering Technology, Yarmouk University, Shafiq Irshidat Street, Irbid, 21163, Jordan</t>
  </si>
  <si>
    <t xml:space="preserve">Alqudah A., Department of Computer Engineering, Hijjawi Faculty for Engineering Technology, Yarmouk University, Shafiq Irshidat Street, Irbid, 21163, Jordan; Alqudah A.M., Department of Biomedical Systems and Informatics Engineering, Hijjawi Faculty for Engineering Technology, Yarmouk University, Shafiq Irshidat Street, Irbid, 21163, Jordan; Qazan S., Department of Computer Engineering, Hijjawi Faculty for Engineering Technology, Yarmouk University, Shafiq Irshidat Street, Irbid, 21163, Jordan</t>
  </si>
  <si>
    <t xml:space="preserve">Blood smear; Classification; Computer-aided diagnosis; Convolutional neural networks; Deep learning; Malaria</t>
  </si>
  <si>
    <t xml:space="preserve">Blood; Diseases; Image processing; Learning algorithms; Learning systems; Population statistics; Transfer learning; Anopheles mosquitoes; Blood smears; Global population; Infectious disease; Malaria parasite; Plasmodium parasites; Proposed architectures; Red blood cell; Deep learning</t>
  </si>
  <si>
    <t xml:space="preserve">Malaria: Fact sheet(No. WHO-EM/MAC/035/E), (2014); Caraballo H., King K., Emergency departmentmanagement of mosquito-borne illness: Malaria, dengue,and West Nile virus, Emergency Medicine Practice, 16, 5, pp. 1-23, (2014); Rajaraman S., Antani S.K., Poostchi M., Silamut K., Hossain M.A., Maude R.J., Jaeger S., Thoma G.R., Pre-trained convolutional neural networks asfeature extractors toward improved malaria parasitedetection in thin blood smear images, PeerJ, 6, (2018); Rajaraman S., Jaeger S., Antani S.K., Performance evaluation of deep neural ensembles towardmalaria parasite detection in thin-blood smear images, PeerJ, 7, (2019); Reddy A.S.B., Juliet D.S., Transfer learningwith ResNet-50 for malaria cell-image classification, 2019 International Conference on Communication andSignal Processing (ICCSP), pp. 0945-0949, (2019); Poostchi M., Silamut K., Maude R.J., Jaeger S., Thoma G., Image analysis and machine learningfor detecting malaria, Translational Research, 194, pp. 36-55, (2018); Pan W.D., Dong Y., Wu D., Classification ofmalaria-infected cells using deep convolutional neuralnetworks, Machine Learning: Advanced Techniques andEmerging Applications, 159, (2018); Alqudah A.M., Alquraan H., Qasmieh I.A., Segmented and non-segmented skin lesionsclassification using transfer learning and adaptivemoment learning rate technique using pretrainedconvolutional neural network, Journal of Biomimetics,Biomaterials and Biomedical Engineering, 42, pp. 67-78, (2019); Vijayalakshmi A., Rajesh Kanna B, Deeplearning approach to detect malaria from microscopicimages, Multimedia Tools and Applications, 79, pp. 15297-15317, (2019); Rahman A., Zunair H., Rahman M.S., Yuki J.Q., Biswas S., Alam M.A., Alam N.B., Mahdy M.R., Improving malaria parasite detection from redblood cell using deep convolutional neural networks, (2019); Alqudah A.M., AOCT-NET: A convolutionalnetwork automated classification of multiclass retinaldiseases using spectral-domain optical coherencetomography images, Medical &amp; Biological Engineering&amp; Computing, 58, 1, pp. 41-53, (2020); Alqudah A.M., Towards classifying non-segmented heart sound records using instantaneousfrequency based features, Journal of MedicalEngineering &amp; Technology, 43, 7, pp. 418-430, (2019); Alqudah A.M., Algharib H.M.S., Algharib A.M.S., Algharib H.M.S., Computer aided diagnosissystem for automatic two stages classification of breastmass in digital mammogram images, BiomedicalEngineering: Applications, Basis and Communications, 31, 1, (2019); Alqudah A.M., Ovarian cancer classificationusing serum proteomic profiling and wavelet features acomparison of machine learning and features selectionalgorithms, Journal of Clinical Engineering, 44, 4, pp. 165-173, (2019); Alqudah A.M., Alquran H., Qasmieh I.A., Classification of heart sound short records usingbispectrum analysis approach images and deep learning, Network Modeling Analysis in Health Informatics andBioinformatics, 9, 1, pp. 1-16, (2020); Alqudah A., Qazan S., Alquran H., Qasmieh I., Alqudah A., COVID-19 detection from x-rayimages using different artificial intelligence hybridmodels, Jordan Journal of Electrical Engineering, 6, 6, (2020); Zhou B., Khosla A., Lapedriza A., Oliva A., Torralba A., Learning deep features for discriminativelocalization, 2016 IEEE Conference on Computer Visionand Pattern Recognition (CVPR), pp. 2921-2929, (2016); Quan Q., Wang J., Liu L., An effectiveconvolutional neural network for classifying red bloodcells in malaria diseases, Interdisciplinary Sciences,Computational Life Sciences, 12, pp. 217-225, (2020); Suriya M., Chandran V., Sumithra M.G., Enhanced deep convolutional neural network formalarial parasite classification, International Journal ofComputers and Applications, pp. 1-10, (2019)</t>
  </si>
  <si>
    <t xml:space="preserve">A.M. Alqudah; Department of Biomedical Systems and Informatics Engineering, Hijjawi Faculty for Engineering Technology, Yarmouk University, Irbid, Shafiq Irshidat Street, 21163, Jordan; email: ali_qudah@yu.edu.jo</t>
  </si>
  <si>
    <t xml:space="preserve">0992499X</t>
  </si>
  <si>
    <t xml:space="preserve">Rev. Intell. Artif.</t>
  </si>
  <si>
    <t xml:space="preserve">2-s2.0-85097480012</t>
  </si>
  <si>
    <t xml:space="preserve">Doni A.R.; Sasipraba T.</t>
  </si>
  <si>
    <t xml:space="preserve">Doni, Anjelus Ronald (57189592104); Sasipraba, Thankappan (37011540300)</t>
  </si>
  <si>
    <t xml:space="preserve">57189592104; 37011540300</t>
  </si>
  <si>
    <t xml:space="preserve">Lstm-Rnn Based Approach for Prediction of Dengue Cases in India</t>
  </si>
  <si>
    <t xml:space="preserve">Data driven health care research is accentuated due to the Gargantua data available in the form of structured and unstructured. Forecasting the impact of infectious and epidemic diseases will be of major assistance to the health care industry. The objective of this work is to study the impact of dengue cases across India by applying the Deep Learning methodologies based on Long Short-Term Memory using Recurrent Neural Networks. The factors considered in the prediction method are climatic conditions, temperature, rainfall data, humidity and population considered for the period between 2014 and 2019. The activation function applied is ReLU and on training the model using LSTM the level of accuracy in forecasting the epidemic is over 89% for infection and for death it is 81%. The Root Mean Square Error values are also computed and it is observed that when the number of iterations is increased the error value decreased. The proposed methodology assists the Health care department to make safety precautions before the outbreak of the dengue fever. © 2020 International Information and Engineering Technology Association. All rights reserved.</t>
  </si>
  <si>
    <t xml:space="preserve">Ingenierie des Systemes d'Information</t>
  </si>
  <si>
    <t xml:space="preserve">10.18280/isi.250306</t>
  </si>
  <si>
    <t xml:space="preserve">https://www.scopus.com/inward/record.uri?eid=2-s2.0-85089163705&amp;doi=10.18280%2fisi.250306&amp;partnerID=40&amp;md5=7b1300fde04745ac6128de44cce74613</t>
  </si>
  <si>
    <t xml:space="preserve">Faculty of Computing, Sathyabama Institute of Science and Technology, Chennai, 600041, India</t>
  </si>
  <si>
    <t xml:space="preserve">Doni A.R., Faculty of Computing, Sathyabama Institute of Science and Technology, Chennai, 600041, India; Sasipraba T., Faculty of Computing, Sathyabama Institute of Science and Technology, Chennai, 600041, India</t>
  </si>
  <si>
    <t xml:space="preserve">Cnn; Deep learning; Dengue; Epidemic; Geographical location; Infuenza; Lstm; Weather</t>
  </si>
  <si>
    <t xml:space="preserve">Deep learning; Forecasting; Health care; Mean square error; Population statistics; Activation functions; Climatic conditions; Epidemic disease; Healthcare industry; Number of iterations; Prediction methods; Root mean square errors; Safety precautions; Long short-term memory</t>
  </si>
  <si>
    <t xml:space="preserve">Bhardwaj R., Nambiar A.R., Dutta D., A study of machine learning in healthcare, Computer Software Application Conference, 2, pp. 236-241, (2017); Dolley S., Big data's role in precision public health, Frontiers in Public Health, 6, pp. 1-12, (2018); Shrestha A., Mahmood A., Review of deep learning algorithms and architectures, IEEE Access, 7, pp. 53040-53065, (2019); Buhmann M.D., Radial basis functions, (2003); Akinduko A.A., Mirkes E.M., Gorban A.N., SOM: Stochastic initialization versus principal components, Information Science, 364-365, pp. 213-221, (2016); Chen K., Deep and modular neural networks, Springer Handbook of Computational Intelligence, pp. 473-494, (2015); Soliman M., Lyubchich V., Gel Y.R., Complementing the power of deep learning with statistical model fusion: Probabilistic forecasting of influenza in Dallas County, Texas, USA, Epidemics, 28, (2019); Lei Z.F., Sun Y., Nanehkaran Y.A., Yang S.Y., Islam M.S., Lei H.Q., Zhang D.F., A novel data-driven robust framework based on machine learning and knowledge graph for disease classification, Future Generation Computer Systems, 102, pp. 534-548, (2020); Groves P., Kayyali B., Knott D., Kuiken S., The big data revolution in healthcare, accelerating value and innovation, (2016); Chen M., Hao Y.X., Hwang K., Wang L., Wang L., Disease prediction by machine learning over big data from healthcare communities, IEEE Access, 5, pp. 8869-8879, (2017); Masuda N., Holme P., Predicting and controlling infectious disease epidemics using temporal networks, F1000Prime Reports, 5, pp. 1-12, (2013); Ray E.L., Reich N.G., Prediction of infectious disease epidemics via weighted density ensembles, PLoS Computational Biology, 14, 2, pp. 1-23, (2018); Shaman J., Karspeck A., Forecasting seasonal outbreaks of influenza, Proceedings of the National Academy of Sciences of the United States of America, 109, 50, pp. 20425-20430, (2012); Shaman J., Karspeck A., Yang W., Tamerius J., Lipsitch M., Real-time influenza forecasts during the 2012-2013 season, Nature Communications, 4, (2013); Shaman J., Kandula S., Improved discrimination of influenza forecast accuracy using consecutive predictions, PLoS Currents, 7, (2015); Yang W., Karspeck A., Shaman J., Comparison of filtering methods for the modeling and retrospective forecasting of influenza epidemics, PLoS Computational Biology, 10, 4, (2014); Yang W., Cowling B.J., Lau E.H., Shaman J., Forecasting influenza epidemics in Hong Kong, PLoS Computational Biology, 11, 7, (2015); Yang W., Olson D.R., Shaman J., Forecasting influenza outbreaks in boroughs and neighborhoods of New York City, PLoS Computational Biology, 12, 11, (2016); Chakraborty P., Khadivi P., Lewis B., Mahendiran A., Chen J., Butler P., Nsoesie E.O., Mekaru S.R., Brownstein J.S., Marathe M.V., Ramakrishnan N., Forecasting a moving target: Ensemble models for ILI case count predictions, The SIAM International Conference on Data Mining, pp. 262-270, (2014); Wolpert D.H., Stacked generalization, Neural Networks, 5, 2, pp. 241-259, (1992); Yu Y., Li M., Liu L., Li Y., Wang J., Clinical big data and deep learning: Applications, challenges, and future outlooks, Big Data Mining and Analytics, 2, 4, pp. 288-305, (2019); Perotte A., Ranganath R., Hirsch J.S., Blei D., Elhadad N., Risk prediction for chronic kidney disease progression using heterogeneous electronic health record data and time series analysis, Journal of the American Medical Informatics Association, 22, 4, pp. 872-880, (2015); Carrara M., Baselli G., Ferrario M., Mortality prediction in septic shock patients: Towards new personalized models in critical care, 37th Annual International Conference of the Engineering in Medicine and Biology Society (EMBC), pp. 2792-2795, (2015); Ghassemi M.M., Richter S.E., Eche I.M., Chen T.W., Danziger J., Celi L.A., A data-driven approach to optimized medication dosing: A focus on heparin, Intensive Care Medicine, 40, 9, pp. 1332-1339, (2014); Nemati S., Ghassemi M.M., Clifford G.D., Optimal medication dosing from suboptimal clinical examples: A deep reinforcement learning approach, 38th Annual International Conference of the IEEE Engineering in Medicine and Biology Society (EMBC), pp. 2978-2981, (2016); Dunitz M., Verghese G., Heldt T., Predicting hyperlactatemia in the MIMIC II database, 37th Annual International Conference of the IEEE Engineering in Medicine and Biology Society (EMBC), pp. 985-988, (2015); Gunnarsdottir K., Sadashivaiah V., Kerr M., Santaniello S., Sarma S.V., Using demographic and time series physiological features to classify sepsis in the intensive care unit, 38th Annual International Conference of the IEEE Engineering in Medicine and Biology Society (EMBC), pp. 778-782, (2016); Lanata A., Valenza G., Nardelli M., Gentili C., Scilingo E.P., Complexity index from a personalized wearable monitoring system for assessing remission in mental health, IEEE Journal of Biomedical and Health Informatics, 19, 1, pp. 132-139, (2015); Rahangdale A., Raut S., Deep neural network regularization for feature selection in learning-to-rank, IEEE Access, 7, pp. 53988-54006, (2019); Li H., A short introduction to learning to rank, IEICE Transaction of Information System, 94, 10, pp. 1854-1862, (2011); Crammer K., Singer Y., Pranking with ranking, Advances Neural Information Process System, pp. 641-647, (2002); Cossock D., Zhang T., Subset ranking using regression, International Conference on Computational Learning Theory, pp. 605-619, (2006); Li P., Wu Q., Burges C.J.C., Mcrank: Learning to rank using multiple classification and gradient boosting, Advances Neural Information Process System, pp. 897-904, (2008); Herbrich R., Large margin rank boundaries for ordinal regression, Advances in Large Margin Classifiers, pp. 115-132, (2000); Joachims T., Optimizing search engines using click through data, 8th ACM SIGKDD International Conferences on Knowledge Discovery Data Mining, pp. 133-142, (2002); Burges C.J.C., Ragno R., Le Q.V., Learning to rank with nonsmooth cost functions, Advances Neural Information Process System, pp. 193-200, (2007); Rigutini L., Papini T., Maggini M., Scarselli F., Sortnet: Learning to rank by a neural-based sorting algorithm, SIGIR Workshop Learning to Rank for Information Retrieval. (LRIR), 42, 2, pp. 76-79, (2008); Wu C., Luo C., Xiong N., Zhang W., Kim T.H., A greedy deep learning method for medical disease analysis, IEEE Access, 6, pp. 20021-20030, (2018); Dolley S., Big data's role in precision public health, Frontier Public Health, 6, pp. 1-12, (2018); Stoddard S.T., Morrison A.C., Vazquez-Prokopec G.M., Soldan V.P., Kochel T.J., Kitron U., Elder J.P., Scott T.W., The role of human movement in the transmission of vector-borne pathogens, PLoS Negl Trop Dis, 3, 7, (2009); Gridded Population of the World, Version 4 (GPWv4): Administrative Unit Center Points with Population Estimates, (2018); Murugan S., Ramachandran V., Byzantine fault tolerance in SOAP communication services, Malaysian Journal of Computer Science, 25, 2, pp. 67-75, (2012); Sheeba P.T., Murugan S., Hybrid features-enabled dragon deep belief neural network for activity recognition, The Imaging Science Journal, 66, 6, pp. 355-371, (2018); Murugan S., Ramachandran V., Aspect oriented decision making model for byzantine agreement, Journal of Computer Science, 8, 3, pp. 382-388, (2012); Hochreiter S., Schmidhuber J., Long short-term memory, Neural Computer, 9, 8, pp. 1735-1780, (1997); Tensor Flow</t>
  </si>
  <si>
    <t xml:space="preserve">A.R. Doni; Faculty of Computing, Sathyabama Institute of Science and Technology, Chennai, 600041, India; email: doni.cse@sathyabama.ac.in</t>
  </si>
  <si>
    <t xml:space="preserve">Ing. Syst. Inf.</t>
  </si>
  <si>
    <t xml:space="preserve">2-s2.0-85089163705</t>
  </si>
  <si>
    <t xml:space="preserve">Kamarudin A.N.A.; Zainol Z.; Kassim N.F.A.</t>
  </si>
  <si>
    <t xml:space="preserve">Kamarudin, Abrar Noor Akramin (57196374882); Zainol, Zurinahni (12144032400); Kassim, Nur Faeza Abu (55027223900)</t>
  </si>
  <si>
    <t xml:space="preserve">57196374882; 12144032400; 55027223900</t>
  </si>
  <si>
    <t xml:space="preserve">Predicting the misconception of dengue disease based on the awareness survey</t>
  </si>
  <si>
    <t xml:space="preserve">Mosquito-borne disease such as dengue fever is a pervasive public health problem around the world and further investigation is needed to rectify the misunderstanding of the disease among communities. This requires a personalized information delivery, which will effectively fix the problem. The process of personalizing information requires several major steps: (i) determine the attributes which will be used to interpret a person, (ii) selects an algorithm which will accurately and efficiently classify the person according to the retrieved background information, and (iii) recommends the correct information to rectify the particular misunderstanding. This research paper considers the first two steps. First, data regarding the knowledge, attitudes and prevention practices are determined from the established literature where some variables give a significant impact on the predictive model. In the second step, five performed machine learning algorithms were tested for the classification task. The result indicates that the use of support vector machine and decision tree algorithms provide the best performance in classifying the person’s understanding regarding the dengue fever. © 2020, Institute of Advanced Engineering and Science. All rights reserved.</t>
  </si>
  <si>
    <t xml:space="preserve">10.11591/eei.v9i4.2390</t>
  </si>
  <si>
    <t xml:space="preserve">https://www.scopus.com/inward/record.uri?eid=2-s2.0-85085627372&amp;doi=10.11591%2feei.v9i4.2390&amp;partnerID=40&amp;md5=adbd7d37b959d59c5b92595990f804b5</t>
  </si>
  <si>
    <t xml:space="preserve">School of Computer Science, UniversitiSains Malaysia, Malaysia; School of Biological Sciences, UniversitiSains Malaysia, Malaysia; Vector Control Research Unit, School of Biological Sciences, UniversitiSains Malaysia, Malaysia</t>
  </si>
  <si>
    <t xml:space="preserve">Kamarudin A.N.A., School of Computer Science, UniversitiSains Malaysia, Malaysia; Zainol Z., School of Computer Science, UniversitiSains Malaysia, Malaysia; Kassim N.F.A., School of Biological Sciences, UniversitiSains Malaysia, Malaysia, Vector Control Research Unit, School of Biological Sciences, UniversitiSains Malaysia, Malaysia</t>
  </si>
  <si>
    <t xml:space="preserve">Attitudes; Awareness survey; Dengue; Machine learning; Misconception prediction; Personalization</t>
  </si>
  <si>
    <t xml:space="preserve">University of Southern Maine, USM</t>
  </si>
  <si>
    <t xml:space="preserve">The first author would like to acknowledge the USM Fellowship Scheme for providing a scholarship to conduct the research.</t>
  </si>
  <si>
    <t xml:space="preserve">Jain R., Sontisirikit S., Iamsirithaworn S., Prendinger H., Prediction of dengue outbreaks based on disease surveillance, meteorological and socio-economic data, BMC Infectious Diseases, 19, 1, pp. 1-16, (2019); Parham P.E., Et al., Climate, environmental and socio-economic change: Weighing up the balance in vector-borne disease transmission, Philosophical Trans. of the Royal Soc. B: Biological Sci, 370, 1665, pp. 1-17, (2015); Tabachnick W.J., Challenges in predicting climate and environmental effects on vector-borne disease episystems in a changing world, Journal of Experimental Biology, 213, 6, pp. 946-954, (2010); Deb S., Acebedo C.M.L., Dhanapal G., Heng C.M.C., An ensemble prediction approach to weekly Dengue cases forecasting based on climatic and terrain conditions, J. of Health and Soc. Sci., 2, 3, pp. 257-272, (2017); Zaki R., Et al., Public perception and attitude towards dengue prevention activity and response to dengue early warning in Malaysia, Plos One, 14, 2, pp. 1-22, (2019); Othman M.K., Danuri M.S.N.M., Proposed conceptual framework of dengue active surveillance system (DASS) in Malaysia, International Conference on Information and Communication Technology, pp. 90-96, (2016); Modu B., Polovina N., Lan Y., Konur S., Asyhari A., Peng Y., Towards a predictive analytics-based intelligent malaria outbreak warning system, Applied Sciences, 7, 8, pp. 1-20, (2017); Lee H.L., Et al., Dengue vector control in Malaysia-challenges and recent advances, IIUM Medical Journal Malaysia, 14, 1, pp. 11-16, (2015); Davis J.K., Vincent G., Hildreth M.B., Kightlinger L., Carlson C., Wimberly M.C., Integrating environmental monitoring and mosquito surveillance to predict vector-borne disease: Prospective forecasts of a west nile virus outbreak, Plos Currents, 9, (2017); Sharma A.L.V., Kumar A., Panat L., Karajkhede G., Malaria outbreak prediction model using machine learning,” International Journal of Advanced Research in Computer, Engineering &amp; Technology, 4, 12, pp. 4415-4419, (2015); Kesorn K., Et al., Morbidity rate prediction of dengue hemorrhagic fever (DHF) Using the support vector machine and the aedesaegypti infection rate in similar climates and geographical areas, Plos One, 10, 5, (2015); Itrat A., Et al., Knowledge, awareness and practices regarding dengue fever among the adult population of dengue hit cosmopolitan, Plos One, 3, 7, pp. 1-6, (2008); Aung M.M.T., Et al., Knowledge, attitude, practices related to dengue fever among rural population in Terengganu, Malaysia, Malaysian Journal of Public Health Medicine, 16, 2, pp. 15-23, (2016); Boonchutima S., Kachentawa K., Limpavithayakul M., Prachansri A., Longitudinal study of Thai people media exposure, knowledge, and behavior on dengue fever prevention and control, Journal of Infection and Public Health, 10, 6, pp. 836-841, (2017); Yussof F.M., Hassan A., Zin T., Hussin T.M.A.R., Kadarman N., Umar R., Knowledge of dengue among students in universiti sultan zainalabidin (Unisza), Terengganu, Malaysia and the Influence of knowledge of dengue on attitude and practice, Journal of Fundamental and Applied Sciences, 2017, 2S, pp. 199-216, (2017); Jeelani S., Sabesan S., Subramanian S., Community knowledge, awareness and preventive practices regarding dengue fever in Puducherry-South India, Public Health, 129, 6, pp. 790-796, (2015); Mathania M.M., Kimera S.I., Silayo R.S., Knowledge and awareness of malaria and mosquito biting behaviour in selected sites within Morogoro and Dodoma regions Tanzania, Malaria Journal, 15, 1, pp. 1-9, (2016); Dhimal M., Et al., Knowledge, attitude and practice regarding dengue fever among the healthy population of highland and lowland communities in Central Nepal, Plos One, 9, 7, pp. 1-15, (2014); Rosli W.R.W., Rahman S.A., Parhar J.K., Suhaimi M.I., Positive impact of educational intervention on knowledge, attitude, and practice towards dengue among university students in Malaysia, Journal of Public Health, 27, 4, pp. 461-471, (2019); Vinarti R.A., Hederman L.M., A personalized infectious disease risk prediction system, Expert Systems with Applications, 131, pp. 266-274, (2019); Babu A.N., Et al., Smartphone geospatial apps for dengue control, prevention, prediction, and education: MOSapp, DISapp, and the mosquito perception index (MPI), Envi. Monitoring and Assessment, 191, 2, (2019); Saringat Z., Mustapha A., Saedudin R.D.R., Samsudin A.A., Comparative analysis of classification algorithms for chronic kidney disease diagnosis, Bulletin of Elec. Eng. and Inf, 8, 4, pp. 1496-1501, (2019); Shaukat Dar K., Ulyaazmeen S.M., Dengue fever prediction: A data mining problem, Journal of Data Mining in Genomics &amp; Proteomics, 6, 3, pp. 1-5, (2015); Tamibmaniam J., Hussin N., Cheah W.K., Ng K.S., Muninathan P., Proposal of a clinical decision tree algorithm using factors associated with severe dengue infection, Plos One, 11, 8, pp. 1-10, (2016); Phakhounthong K., Et al., Predicting the severity of dengue fever in children on admission based on clinical features and laboratory indicators: Application of classification tree analysis, BMC Pediatrics, 18, 1, pp. 1-9, (2018); Wan Rosli W.R., Abdul Rahman S., Parhar J.K., Suhaimi M.I., Positive impact of educational intervention on knowledge, attitude, and practice towards dengue among university students in Malaysia, Journal of Public Health, (2018)</t>
  </si>
  <si>
    <t xml:space="preserve">Z. Zainol; School of Computer Science, UniversitiSains Malaysia, Georgetown, 11800, Malaysia; email: zuri@usm.my</t>
  </si>
  <si>
    <t xml:space="preserve">2-s2.0-85085627372</t>
  </si>
  <si>
    <t xml:space="preserve">Maity M.; Jaiswal A.; Gantait K.; Chatterjee J.; Mukherjee A.</t>
  </si>
  <si>
    <t xml:space="preserve">Maity, Maitreya (55584286300); Jaiswal, Ayush (57220723045); Gantait, Kripasindhu (54953283100); Chatterjee, Jyotirmoy (7006723957); Mukherjee, Anirban (55796079000)</t>
  </si>
  <si>
    <t xml:space="preserve">55584286300; 57220723045; 54953283100; 7006723957; 55796079000</t>
  </si>
  <si>
    <t xml:space="preserve">Quantification of malaria parasitaemia using trainable semantic segmentation and capsnet</t>
  </si>
  <si>
    <t xml:space="preserve">Malaria is a life-threatening mosquito (Anopheles)-borne blood disease caused by the plasmodium parasite. Microscopic examination of peripheral blood smears by experts helps to identify parasites precisely. The manual assessment technique is a tedious and time-consuming process. The present study focuses on developing a hybrid screening algorithm for automated identification and classification of malaria parasite-infected red blood cells (RBCs). Initially, a semantic blood cell segmentation method is adopted where a supervised classifier-regulated pixel-based segmentation is adopted to segment individual RBC present in an image. In pixel-based classification, foreground (RBCs) and background regions are considered, a pixel-based large feature dataset is generated, and an artificial neural network (ANN) classifier is trained. The trained model generates a probability map of an image which is later post-processed by Graph-cut and Marker-controlled Watershed method for developing cropped RBC image set. The proposed segmentation method achieves 99.1% accuracy. Finally, a trained modified Capsule Network (CapsNet) model is used for classification of segmented blood cells to identify the species and stages of the parasites. Here, two specific parasite species viz., Plasmodium vivax and Plasmodium falciparum with stages are considered for classification. The performance of the proposed two-steps hybrid malaria screening is promising and the training and testing on local and benchmark dataset with respect to ground truth yield 98.7% accuracy. © 2020 Elsevier B.V.</t>
  </si>
  <si>
    <t xml:space="preserve">Pattern Recognition Letters</t>
  </si>
  <si>
    <t xml:space="preserve">10.1016/j.patrec.2020.07.002</t>
  </si>
  <si>
    <t xml:space="preserve">https://www.scopus.com/inward/record.uri?eid=2-s2.0-85087785574&amp;doi=10.1016%2fj.patrec.2020.07.002&amp;partnerID=40&amp;md5=2fbb441a068c198da61f5f206f70e72d</t>
  </si>
  <si>
    <t xml:space="preserve">School of Medical Science and Technology, Indian Institute of Technology Kharagpur, Kharagpur, India; Department of Electrical Engineering, Indian Institute of Technology Kharagpur, Kharagpur, India; Department of Medicine, Midnapore Medical College and Hospital, Midnapore, India</t>
  </si>
  <si>
    <t xml:space="preserve">Maity M., School of Medical Science and Technology, Indian Institute of Technology Kharagpur, Kharagpur, India; Jaiswal A., Department of Electrical Engineering, Indian Institute of Technology Kharagpur, Kharagpur, India; Gantait K., Department of Medicine, Midnapore Medical College and Hospital, Midnapore, India; Chatterjee J., School of Medical Science and Technology, Indian Institute of Technology Kharagpur, Kharagpur, India; Mukherjee A., Department of Electrical Engineering, Indian Institute of Technology Kharagpur, Kharagpur, India</t>
  </si>
  <si>
    <t xml:space="preserve">Blood cell classification; Capsule network; Feature extraction; Malaria parasite; Pixel-based segmentation</t>
  </si>
  <si>
    <t xml:space="preserve">Artificial life; Benchmarking; Blood; Cells; Classification (of information); Diagnosis; Diseases; Graphic methods; Large dataset; Pixels; Semantics; Statistical tests; Automated identification; Blood cell segmentation methods; Marker-controlled watersheds; Peripheral blood smears; Pixel based classifications; Pixel-based segmentation; Plasmodium falciparum; Supervised classifiers; Image segmentation</t>
  </si>
  <si>
    <t xml:space="preserve">Arganda-Carreras I., Kaynig V., Rueden C., Eliceiri K.W., Schindelin J., Cardona A., Sebastian Seung H., Trainable weka segmentation a machine learning tool for microscopy pixel classification, Bioinformatics, 33, 15, pp. 2424-2426, (2017); Bashir A., Mustafa Z.A., Abdelhameid I., Ibrahem R., Detection of malaria parasites using digital image processing, Int. Conf. on Communication, Control, Computing and Electronics Engineering, pp. 1-5, (2017); Bias S., Kale I., Mobile hardware based implementation of a novel, efficient, fuzzy logic inspired edge detection technique for analysis of malaria infected microscopic thin blood images, Procedia Comput. Sci., 141, pp. 374-381, (2018); Bibin D., Nair M.S., Punitha P., Malaria parasite detection from peripheral blood smear images using deep belief networks, IEEE Access, 5, pp. 9099-9108, (2017); Boykov Y., Kolmogorov V., An experimental comparison of min-cut/max-flow algorithms for energy minimization in vision, IEEE Trans. Patt. Analy. Mach Intell., 9, pp. 1124-1137, (2004); CDC, Cdc-malaria-about malaria-biology-malaria parasites, Centers Disea. Contr. Prevent., (2019); Dong Y., Jiang Z., Shen H., Pan W.D., Williams L.A., Reddy V.V.B., Benjamin W.H., Bryan A.W., Evaluations of deep convolutional neural networks for automatic identification of malaria infected cells, IEEE EMBS Int. Conf. on Biomedical &amp; Health Informatics, pp. 101-104, (2017); Dorogush A., Ershov V., Gulin A., CatBoost: Gradient boosting with categorical features support, Proc. Workshop ML Syst. Neural Inf. Process. Syst. (NIPS), pp. 1-7, (2017); Daz G., Gonzlez F.A., Romero E., A semi-automatic method for quantification and classification of erythrocytes infected with malaria parasites in microscopic images, Jr. Biomed. Inform., 42, 2, pp. 296-307, (2009); Gopakumar G.P., Swetha M., Sai Siva G., Sai Subrahmanyam G.R.K., Convolutional neural networkbased malaria diagnosis from focus stack of blood smear images acquired using custombuilt slide scanner, Jr. of Biophoton., 11, 3, (2018); Hung J., Carpenter A., Applying faster r-cnn for object detection on malaria images, IEEE Conf. on Computer Vision and Pattern Recognition Workshops, pp. 56-61, (2017); Jaccard N., Szita N., Griffin L.D., Segmentation of phase contrast microscopy images based on multi-scale local basic image features histograms, Comput. Method. Biomech. Biomed. Eng. Imag. Visual., 5, 5, pp. 359-367, (2017); Jan Z., Khan A., Sajjad M., Muhammad K., Rho S., Mehmood I., A review on automated diagnosis of malaria parasite in microscopic blood smears images, Multimed. Tool. Appl., 77, 8, pp. 9801-9826, (2018); Kanojia M., Gandhi N., Armstrong L.J., Pednekar P., Automatic identification of malaria using image processing and artificial neural network, Int. Conf. on Intelligent Systems Design and Applications, pp. 846-857, (2017); Leslie M.E., Heese A., Quantitative Analysis of Ligand-induced Endocytosis of Flagellin-sensing 2 Using Automated Image Segmentation, Plant Pattern Recognition Receptors: Methods and Protocols, pp. 39-54, (2017); Liang Z., Powell A., Ersoy I., Poostchi M., Silamut K., Palaniappan K., Guo P., Hossain M.A., Sameer A., Maude R.J., Huang J.X., Jaeger S., Thoma G., Cnn-based image analysis for malaria diagnosis, IEEE Int. Conf. on Bioinformatics and Biomedicine, pp. 493-496, (2016); Loddo A., Di Ruberto C., Kocher M., ProdHom G., Mp-idb the malaria parasite image database for image processing and analysis, SipaimMiccai Biomedical Workshop, pp. 57-65, (2018); Lundberg S.M., Lee S.-I., A unified approach to interpreting model predictions, Advances in Neural Information Processing Systems, pp. 4765-4774, (2017); Mohammed H.A., Abdelrahman I.A.M., Detection and classification of malaria in thin blood slide images, Int. Conf. on Communication, Control, Computing and Electronics Engineering, pp. 1-5, (2017); Nanoti A., Jain S., Gupta C., Vyas G., Detection of malaria parasite species and life cycle stages using microscopic images of thin blood smear, Int. Conf. on Inventive Computation Technologies, 1, pp. 1-6, (2016); Organization W.H., World malaria report 2018, (2018); Poostchi M., Silamut K., Maude R.J., Jaeger S., Thoma G., Image analysis and machine learning for detecting malaria, Transl. Res., 194, pp. 36-55, (2018); Rajaraman S., Antani S.K., Poostchi M., Silamut K., Hossain M.A., Maude R.J., Jaeger S., Thoma G.R., Pre-trained convolutional neural networks as feature extractors toward improved malaria parasite detection in thin blood smear images, PeerJ, 6, (2018); Rizzi A., Gatta C., Marini D., A new algorithm for unsupervised global and local color correction, Patt. Recognit. Lett., 24, 11, pp. 1663-1677, (2003); Rode K.B., Bharkad S.D., Automatic segmentation of malaria affected erythrocyte in thin blood films, Int. Conf. on ISMAC in Computational Vision and Bio-Engineering, pp. 993-1002, (2018); Sabour S., Frosst N., Hinton G.E., Dynamic routing between capsules, Advances in Neural Information Processing Systems, pp. 3856-3866, (2017); Somasekar J., Reddy B.E., Segmentation of erythrocytes infected with malaria parasites for the diagnosis using microscopy imaging, Comput. Electr. Eng., 45, pp. 336-351, (2015)</t>
  </si>
  <si>
    <t xml:space="preserve">M. Maity; School of Medical Science and Technology, Indian Institute of Technology Kharagpur, Kharagpur, India; email: maitreya@iitkgp.ac.in</t>
  </si>
  <si>
    <t xml:space="preserve">Pattern Recogn. Lett.</t>
  </si>
  <si>
    <t xml:space="preserve">2-s2.0-85087785574</t>
  </si>
  <si>
    <t xml:space="preserve">Lalremruata A.; Nguyen T.T.; McCall M.B.B.; Mombo-Ngoma G.; Agnandji S.T.; Adegnika A.A.; Lell B.; Ramharter M.; Hoffman S.L.; Kremsner P.G.; Mordmüller B.</t>
  </si>
  <si>
    <t xml:space="preserve">Lalremruata, Albert (57193580088); Nguyen, The Trong (57200527097); McCall, Matthew B.B. (13403250200); Mombo-Ngoma, Ghyslain (22954202900); Agnandji, Selidji T. (8938791500); Adegnika, Ayôla A. (6602785245); Lell, Bertrand (35467226900); Ramharter, Michael (57207904562); Hoffman, Stephen L. (7202543944); Kremsner, Peter G. (35459833700); Mordmüller, Benjamin (6602694965)</t>
  </si>
  <si>
    <t xml:space="preserve">57193580088; 57200527097; 13403250200; 22954202900; 8938791500; 6602785245; 35467226900; 57207904562; 7202543944; 35459833700; 6602694965</t>
  </si>
  <si>
    <t xml:space="preserve">Recombinase polymerase amplification and lateral flow assay for ultrasensitive detection of low-density Plasmodium falciparum infection from controlled human malaria infection studies and naturally acquired infections</t>
  </si>
  <si>
    <t xml:space="preserve">Microscopy and rapid diagnostic tests (RDTs) are the main diagnostic tools for malaria but fail to detect low-density parasitemias that are important for maintaining malaria transmission. To complement existing diagnostic methods, an isothermal reverse transcription-recombinase polymerase amplification and lateral flow assay (RT-RPA) was developed. We compared the performance with that of ultrasensitive reverse transcription-quantitative PCR (uRT-qPCR) using nucleic acid extracts from blood samples (n=114) obtained after standardized controlled human malaria infection (CHMI) with Plasmodium falciparum sporozoites. As a preliminary investigation, we also sampled asymptomatic individuals (n=28) in an area of malaria endemicity (Lambaréné, Gabon) to validate RT-RPA and assess its performance with unprocessed blood samples (dbRT-RPA). In 114 samples analyzed from CHMI trials, the positive percent agreement to uRT-qPCR was 90% (95% confidence interval [CI], 80 to 96). The negative percent agreement was 100% (95% CI, 92 to 100). The lower limit of detection was 64 parasites/ml. In Gabon, RT-RPA was 100% accurate with asymptomatic volunteers (n=28), while simplified dbRT-RPA showed 89% accuracy. In a subgroup analysis, RT-RPA detected 9/10 RT-qPCR-positive samples, while loop-mediated isothermal amplification (LAMP) detected 2/10. RT-RPA is a reliable diagnostic test for asymptomatic low-density infections. It is particularly useful in settings where uRT-qPCR is difficult to implement. Copyright © 2020 American Society for Microbiology. All Rights Reserved.</t>
  </si>
  <si>
    <t xml:space="preserve">Journal of Clinical Microbiology</t>
  </si>
  <si>
    <t xml:space="preserve">e01879-19</t>
  </si>
  <si>
    <t xml:space="preserve">10.1128/JCM.01879-19</t>
  </si>
  <si>
    <t xml:space="preserve">https://www.scopus.com/inward/record.uri?eid=2-s2.0-85084027252&amp;doi=10.1128%2fJCM.01879-19&amp;partnerID=40&amp;md5=2032fb8edd9e0588d718146448024084</t>
  </si>
  <si>
    <t xml:space="preserve">Institut für Tropenmedizin, Universität Tübingen and German Center for Infection Research, Tübingen, Germany; Vietnamese-German Center of Excellence in Medical Research, Hanoi, Viet Nam; Centre de Recherches Médicales de Lambaréné and African Partner Institution, German Center for Infection Research, Lambaréné, Gabon; Department of Parasitology, Leiden University Medical Center, Leiden, Netherlands; Department of Tropical Medicine, Bernhard Nocht Institute for Tropical Medicine, University Medical Center Hamburg-Eppendorf, Hamburg, Germany; Sanaria Inc., Rockville, MD, United States; Department of Medicine, University Medical Center Hamburg-Eppendorf, Hamburg, Germany</t>
  </si>
  <si>
    <t xml:space="preserve">Lalremruata A., Institut für Tropenmedizin, Universität Tübingen and German Center for Infection Research, Tübingen, Germany; Nguyen T.T., Institut für Tropenmedizin, Universität Tübingen and German Center for Infection Research, Tübingen, Germany, Vietnamese-German Center of Excellence in Medical Research, Hanoi, Viet Nam; McCall M.B.B., Institut für Tropenmedizin, Universität Tübingen and German Center for Infection Research, Tübingen, Germany, Centre de Recherches Médicales de Lambaréné and African Partner Institution, German Center for Infection Research, Lambaréné, Gabon; Mombo-Ngoma G., Institut für Tropenmedizin, Universität Tübingen and German Center for Infection Research, Tübingen, Germany, Centre de Recherches Médicales de Lambaréné and African Partner Institution, German Center for Infection Research, Lambaréné, Gabon; Agnandji S.T., Institut für Tropenmedizin, Universität Tübingen and German Center for Infection Research, Tübingen, Germany, Centre de Recherches Médicales de Lambaréné and African Partner Institution, German Center for Infection Research, Lambaréné, Gabon; Adegnika A.A., Institut für Tropenmedizin, Universität Tübingen and German Center for Infection Research, Tübingen, Germany, Centre de Recherches Médicales de Lambaréné and African Partner Institution, German Center for Infection Research, Lambaréné, Gabon, Department of Parasitology, Leiden University Medical Center, Leiden, Netherlands; Lell B., Institut für Tropenmedizin, Universität Tübingen and German Center for Infection Research, Tübingen, Germany, Centre de Recherches Médicales de Lambaréné and African Partner Institution, German Center for Infection Research, Lambaréné, Gabon; Ramharter M., Centre de Recherches Médicales de Lambaréné and African Partner Institution, German Center for Infection Research, Lambaréné, Gabon, Department of Tropical Medicine, Bernhard Nocht Institute for Tropical Medicine, University Medical Center Hamburg-Eppendorf, Hamburg, Germany, Department of Medicine, University Medical Center Hamburg-Eppendorf, Hamburg, Germany; Hoffman S.L., Sanaria Inc., Rockville, MD, United States; Kremsner P.G., Institut für Tropenmedizin, Universität Tübingen and German Center for Infection Research, Tübingen, Germany, Centre de Recherches Médicales de Lambaréné and African Partner Institution, German Center for Infection Research, Lambaréné, Gabon; Mordmüller B., Institut für Tropenmedizin, Universität Tübingen and German Center for Infection Research, Tübingen, Germany, Centre de Recherches Médicales de Lambaréné and African Partner Institution, German Center for Infection Research, Lambaréné, Gabon</t>
  </si>
  <si>
    <t xml:space="preserve">CHMI; Diagnostics; Elimination; Isothermal; Mass screen and treat; Plasmodium falciparum; Submicroscopic</t>
  </si>
  <si>
    <t xml:space="preserve">Gabon; Humans; Malaria; Malaria, Falciparum; Molecular Diagnostic Techniques; Nucleic Acid Amplification Techniques; Plasmodium falciparum; Recombinases; Sensitivity and Specificity; nucleic acid; recombinase; adult; analytic method; Article; asymptomatic infection; blood sampling; child; clinical article; confidence interval; controlled human malaria infection; controlled study; endemic disease; Gabon; human; intermethod comparison; lateral flow assay; limit of detection; loop mediated isothermal amplification; malaria falciparum; measurement accuracy; nonhuman; nucleic acid analysis; priority journal; real time reverse transcription polymerase chain reaction; reliability; reverse transcription recombinase polymerase amplification; school child; sporozoite; ultrasensitive reverse transcription quantitative polymerase chain reaction; volunteer; genetics; malaria; malaria falciparum; molecular diagnosis; nucleic acid amplification; Plasmodium falciparum; sensitivity and specificity</t>
  </si>
  <si>
    <t xml:space="preserve">Recombinases, </t>
  </si>
  <si>
    <t xml:space="preserve">National Institutes of Health, NIH, (5R44AI055229); National Institutes of Health, NIH; National Institute of Allergy and Infectious Diseases, NIAID, (R44AI058375); National Institute of Allergy and Infectious Diseases, NIAID; Deutsches Zentrum für Infektionsforschung, DZIF</t>
  </si>
  <si>
    <t xml:space="preserve">We thank all the patients and participants who agreed to participate in the CHMI studies, the staff of the Institute of Tropical Medicine, Tübingen, and Centre de Recherches Médicales de Lambaréné (CERMEL), Lambaréné, Gabon. This work was supported by the German Center for Infection research (DZIF) and the National Institutes of Health (grant numbers 5R44AI055229 and 5R44AI058375) for the production of P. falciparum sporozoites (PfSPZ Challenge). We report no conflicts of interest.</t>
  </si>
  <si>
    <t xml:space="preserve">Walk J., Schats R., Langenberg M.C.C., Reuling I.J., Teelen K., Roestenberg M., Hermsen C.C., Visser L.G., Sauerwein R.W., Diagnosis and treatment based on quantitative PCR after controlled human malaria infection, Malar J, 15, (2016); Roestenberg M., Hoogerwerf M.-A., Ferreira D.M., Mordmuller B., Yazdanbakhsh M., Experimental infection of human volunteers, Lancet Infect Dis, 18, pp. e312-e322, (2018); Hodgson S.H., Douglas A.D., Edwards N.J., Kimani D., Elias S.C., Chang M., Daza G., Seilie A.M., Magiri C., Muia A., Juma E.A., Cole A.O., Rampling T.W., Anagnostou N.A., Gilbert S.C., Hoffman S.L., Draper S.J., Bejon P., Ogutu B., Marsh K., Hill A.V.S., Murphy S.C., Increased sample volume and use of quantitative reverse-transcription PCR can improve prediction of liverto-blood inoculum size in controlled human malaria infection studies, Malar J, 14, (2015); Mordmuller B., Surat G., Lagler H., Chakravarty S., Ishizuka A.S., Lalremruata A., Gmeiner M., Campo J.J., Esen M., Ruben A.J., Held J., Calle C.L., Mengue J.B., Gebru T., Ibanez J., Sulyok M., James E.R., Billingsley P.F., Natasha K.C., Manoj A., Murshedkar T., Gunasekera A., Eappen A.G., Li T., Stafford R.E., Li M., Felgner P.L., Seder R.A., Richie T.L., Sim B.K.L., Hoffman S.L., Kremsner P.G., Sterile protection against human malaria by chemoattenuated PfSPZ vaccine, Nature, 542, pp. 445-449, (2017); Sulyok M., Ruckle T., Roth A., Murbeth R.E., Chalon S., Kerr N., Samec S.S., Gobeau N., Calle C.L., Ibanez J., Sulyok Z., Held J., Gebru T., Granados P., Bruckner S., Nguetse C., Mengue J., Lalremruata A., Sim B.K.L., Hoffman S.L., Mohrle J.J., Kremsner P.G., Mordmuller B., DSM265 for Plasmodium falciparum chemoprophylaxis: A randomised, double blinded, phase 1 trial with controlled human malaria infection, Lancet Infect Dis, 17, pp. 636-644, (2017); MalERA: An updated research agenda for diagnostics, drugs, vaccines, and vector control in malaria elimination and eradication, PLoS Med, 14, (2017); MalERA: An updated research agenda for characterising the reservoir and measuring transmission in malaria elimination and eradication, PLoS Med, 14, (2017); Desai M., Hill J., Fernandes S., Walker P., Pell C., Gutman J., Kayentao K., Gonzalez R., Webster J., Greenwood B., Cot M., Ter Kuile F.O., Prevention of malaria in pregnancy, Lancet Infect Dis, 18, pp. e119-e132, (2018); Piepenburg O., Williams C.H., Stemple D.L., Armes N.A., DNA detection using recombination proteins, PLoS Biol, 4, (2006); Dejon-Agobe J.C., Ateba-Ngoa U., Lalremruata A., Homoet A., Engelhorn J., Paterne Nouatin O., Edoa J.R., Fernandes J.F., Esen M., Mouwenda Y.D., Betouke Ongwe E.M., Massinga-Loembe M., Hoffman S.L., Sim B.K.L., Theisen M., Kremsner P.G., Adegnika A.A., Lell B., Mordmuller B., Controlled human malaria infection of healthy lifelong malaria-exposed adults to assess safety, immunogenicity and efficacy of the asexual blood stage malaria vaccine candidate GMZ2, Clin Infect Dis, 69, pp. 1377-1384, (2019); Metzger W.G., Theurer A., Pfleiderer A., Molnar Z., Maihofer-Braatting D., Bissinger A.L., Sulyok Z., Kohler C., Egger-Adam D., Lalremruata A., Esen M., Lee Sim K., Hoffman S., Rabinovich R., Chaccour C., Alonso P., Mordmuller B.G., Kremsner P.G., Ivermectin for causal malaria prophylaxis: A randomized controlled human infection trial, Trop Med Int Health, (2019); Mordmuller B., Supan C., Sim K.L., Gomez-Perez G.P., Ospina Salazar C.L., Held J., Bolte S., Esen M., Tschan S., Joanny F., Lamsfus Calle C., Lohr S.J.Z., Lalremruata A., Gunasekera A., James E.R., Billingsley P.F., Richman A., Chakravarty S., Legarda A., Munoz J., Antonijoan R.M., Ballester M.R., Hoffman S.L., Alonso P.L., Kremsner P.G., Direct venous inoculation of Plasmodium falciparum sporozoites for controlled human malaria infection: A dose-finding trial in two centres, Malar J, 14, (2015); Peeling R.W., McNerney R., Emerging technologies in point-of-care molecular diagnostics for resource-limited settings, Expert Rev Mol Diagn, 14, pp. 525-534, (2014); Bell D., Fleurent A.E., Hegg M.C., Boomgard J.D., McConnico C.C., Development of new malaria diagnostics: Matching performance and need, Malar J, 15, (2016); Gerardin J., Eckhoff P., Wenger E.A., Mass campaigns with antimalarial drugs: A modelling comparison of artemether-lumefantrine and DHA-piperaquine with and without primaquine as tools for malaria control and elimination, BMC Infect Dis, 15, (2015); Muller I., Bockarie M., Alpers M., Smith T., The epidemiology of malaria in Papua New Guinea, Trends Parasitol, 19, pp. 253-259, (2003); Laishram D.D., Sutton P.L., Nanda N., Sharma V.L., Sobti R.C., Carlton J.M., Joshi H., The complexities of malaria disease manifestations with a focus on asymptomatic malaria, Malar J, 11, (2012); Chen I., Clarke S.E., Gosling R., Hamainza B., Killeen G., Magill A., O'Meara W., Price R.N., Riley E.M., Asymptomatic" malaria: A chronic and debilitating infection that should be treated, PLoS Med, 13, (2016); Bejon P., Mwangi T., Lowe B., Peshu N., Hill A.V.S., Marsh K., Clearing asymptomatic parasitaemia increases the specificity of the definition of mild febrile malaria, Vaccine, 25, pp. 8198-8202, (2007); Das S., Jang I.K., Barney B., Peck R., Rek J.C., Arinaitwe E., Adrama H., Murphy M., Imwong M., Ling C.L., Proux S., Haohankhunnatham W., Rist M., Seilie A.M., Hanron A., Daza G., Chang M., Nakamura T., Kalnoky M., Labarre P., Murphy S.C., McCarthy J.S., Nosten F., Greenhouse B., Allauzen S., Domingo G.J., Performance of a high-sensitivity rapid diagnostic test for Plasmodium falciparum malaria in asymptomatic individuals from Uganda and Myanmar and naive human challenge infections, Am J Trop Med Hyg, 97, pp. 1540-1550, (2017); Hofmann N.E., Gruenberg M., Nate E., Ura A., Rodriguez-Rodriguez D., Salib M., Mueller I., Smith T.A., Laman M., Robinson L.J., Felger I., Assessment of ultra-sensitive malaria diagnosis versus standard molecular diagnostics for malaria elimination: An in-depth molecular community crosssectional study, Lancet Infect Dis, 18, pp. 1108-1116, (2018); Mpina M.G., Raso J., Deal A., Pupu L.A., Nyakarungu E.L., Davis M.D.C., Schindler T., Urbano V., Mtoro A., Hamad A., Lopez M.S.A., Pasialo B.N., Sensitivity and Specificity of A Novel Highly Sensitive Rapid Diagnostic Test for Detecting Low Density Plasmodium Falciparum Infection during A Controlled Human Malaria Infection Study in Equatorial Guinea, Abstr P-292, (2019); Lucchi N.W., Ndiaye D., Britton S., Udhayakumar V., Expanding the malaria molecular diagnostic options: Opportunities and challenges for loop-mediated isothermal amplification tests for malaria control and elimination, Expert Rev Mol Diagn, 18, pp. 195-203, (2018); Katrak S., Murphy M., Nayebare P., Rek J., Smith M., Arinaitwe E., Nankabirwa J.I., Kamya M., Dorsey G., Rosenthal P.J., Greenhouse B., Performance of loop-mediated isothermal amplification for the identification of submicroscopic Plasmodium falciparum infection in Uganda, Am J Trop Med Hyg, 97, pp. 1777-1781, (2017); Aydin-Schmidt B., Morris U., Ding X.C., Jovel I., Msellem M.I., Bergman D., Islam A., Ali A.S., Polley S., Gonzalez I.J., Martensson A., Bjorkman A., Field evaluation of a high throughput loop mediated isothermal amplification test for the detection of asymptomatic Plasmodium infections in Zanzibar, PLoS. One, 12, (2017); Mohon A.N., Getie S., Jahan N., Alam M.S., Pillai D.R., Ultrasensitive loop mediated isothermal amplification (US-LAMP) to detect malaria for elimination, Malar J, 18, (2019)</t>
  </si>
  <si>
    <t xml:space="preserve">B. Mordmüller; Institut für Tropenmedizin, Universität Tübingen and German Center for Infection Research, Tübingen, Germany; email: benjamin.mordmueller@uni-tuebingen.de</t>
  </si>
  <si>
    <t xml:space="preserve">JCMID</t>
  </si>
  <si>
    <t xml:space="preserve">J. Clin. Microbiol.</t>
  </si>
  <si>
    <t xml:space="preserve">2-s2.0-85084027252</t>
  </si>
  <si>
    <t xml:space="preserve">Srivastava S.; Pant M.; Agarwal R.</t>
  </si>
  <si>
    <t xml:space="preserve">Srivastava, Shilpa (56252673900); Pant, Millie (23467551900); Agarwal, Ritu (58348347400)</t>
  </si>
  <si>
    <t xml:space="preserve">56252673900; 23467551900; 58348347400</t>
  </si>
  <si>
    <t xml:space="preserve">Role of AI techniques and deep learning in analyzing the critical health conditions</t>
  </si>
  <si>
    <t xml:space="preserve">The role of a healthcare practitioner is to diagnose a disease and find an optimum means for suitable treatment. This has been the most challenging task over the years. The researchers have been developing intelligent tools for providing support in taking medical decision. The application of AI in different health scenario strengthen the mechanism for finding a better treatment plan. The authors share some recent advancements in this domain. The role of artificial intelligence in Indian healthcare system has also been discussed. The paper analyzes the use of different AI techniques like fuzzy logic, Artificial Neural Networks, Particle Swarm Optimization and Fuzzy Neural in critical health scenario. A detail literature review has been provided in this context. The disease taken into consideration are cancer, TB, diabetes, malaria, orthopedics, obesity and disease specific to elderly people. The purpose of this article is to find the relevance of various techniques of AI in different critical health scenarios. A comparative analysis is done based on the publications since 1995. The challenges and risks associated with the usage of AI in healthcare has been analysed and suggestions made for making the analysis in the health domain more accurate and effective. Further the concept of deep learning has also been explained and its inculcation with the medical domain is discussed. © 2019, The Society for Reliability Engineering, Quality and Operations Management (SREQOM), India and The Division of Operation and Maintenance, Lulea University of Technology, Sweden.</t>
  </si>
  <si>
    <t xml:space="preserve">International Journal of System Assurance Engineering and Management</t>
  </si>
  <si>
    <t xml:space="preserve">10.1007/s13198-019-00863-0</t>
  </si>
  <si>
    <t xml:space="preserve">https://www.scopus.com/inward/record.uri?eid=2-s2.0-85074781347&amp;doi=10.1007%2fs13198-019-00863-0&amp;partnerID=40&amp;md5=43a6d3c556cc545fbd936e512ce3c3ec</t>
  </si>
  <si>
    <t xml:space="preserve">Noida Institute of Engineering and Technology, Greater Noida, India; IIT Roorkee, Saharanpur Campus, Saharanpur, India; RKGIT, Ghaziabad, India</t>
  </si>
  <si>
    <t xml:space="preserve">Srivastava S., Noida Institute of Engineering and Technology, Greater Noida, India; Pant M., IIT Roorkee, Saharanpur Campus, Saharanpur, India; Agarwal R., RKGIT, Ghaziabad, India</t>
  </si>
  <si>
    <t xml:space="preserve">Artificial neural networks; Deep learning; Fuzzy logic; Fuzzy neural; Genetic algorithm; Particle swarm optimization</t>
  </si>
  <si>
    <t xml:space="preserve">Diseases; Fuzzy logic; Health care; Health risks; Particle swarm optimization (PSO); Risk assessment; Comparative analysis; Health condition; Health-care system; Intelligent tools; Literature reviews; Medical decision making; Medical domains; Treatment plans; Deep learning</t>
  </si>
  <si>
    <t xml:space="preserve">Ahmed J., Alam A., Mobin A., 5Th International Conference on Relaibility, Infocom Technologies and Optimization, (2016); Ai-Adhab A., Altmimi H., Alhawashi M., Alabduliabbar H., Harrathi F., Ai Mubarek H., Iot for Remote Elderly Patient Care Based on Fuzzy Logic, (2016); Anousouya Devi M., Ravi S., Vaishnavi J., Punitha S., Classification of cervical cancer using artificial neural networks, Proc Comput Sci, 89, pp. 465-472, (2016); Arsene C.T.C., Lisbo P.J.G., Artificial neural networks used in the survival analysis of breast cancer patients: A node- negative study, Outcome Prediction in Cancer, pp. 191-239, (2007); Aslam M.W., Nandi A.K., Detection of diabetes using genetic programming, 18Th Europeon Signal Processing Conference, pp. 23-27, (2010); Aswin V., Deepak S., Medical diagnostics using cloud computing with fuzzy logic and uncertainity factors, International Symposium on Cloud and Services Computing (ISCOS), pp. 17-18, (2012); Belciug S., Gorunescu F., Error-correction learning for artificial neural networks using bayesian paradigm-application to automated medical diagnosis, J Biomed Inform, 52, pp. 329-337, (2014); Bhanot K., Peddoju S.K., Bhardwaj T., A model to find optimal percentage of training and testing data for efficient ECG analysis using neural network, Int J Syst Assur Eng Manag, (2019); Bhuvaneswari P., Therese A.B., Detection of cancer in lung with K-NN classification using genetic algorithm, Proc Mater Sci, 10, pp. 433-440, (2015); Billones R.K.C., Vicmudo M.P., Dadios E.P., Fuzzy Inference system wireless body area network architecture simulation for health monitoring, International Conference on Technology, Communication and Control, Environment and Management (HNICEM), pp. 9-12, (2015); Broadway M., Kwiatkowska M., Mathews L., A fuzzy logic approach to modeling physical activity levels of obstructive sleep apnea patients, Annual Meeting of the North American Fuzzy Information Processing Society, pp. 19-22, (2008); Brulin D., Benezeth Y., Courtial E., Posture recognition based on fuzzy logic for home monitoring of the elderly, IEEE Trans Inf Technol Biomed, 16, 5, pp. 974-982, (2012); Bucinskia A., Baczek T., Krysinskid J., Szoskiewicze R., Zaluskie J., Clinical data analysis using artificial neural networks(ANN) and principal component analysis (PCA) of patients with breast cancer after mastectomy, Rep Pract Oncol Radiother, 12, 1, pp. 9-17, (2007); Chan K.Y., Ling S.H., Hyugen H.T., Jiang F., Hypoglycemic episode diagnosis system based on neural networks for Type 1 diabetes mellitus, Evolutionary Computation (CEC), pp. 10-15; Chatterjee S., Xie O., Dutta K., A predictive modeling engine using neural networks: Diabetes management from sensor and activity data, In: 14Th International Conference on E-Health Networking, Applications and Services (Healthcom), pp. 230-237, (2012); Cheng H.D., Xu H., A novel fuzzy logic approach to mammogram contrast enhancement, Inf Sci, 148, 1-4, pp. 167-184, (2002); Chetty G., Scarvell J., Mitra S., Fuzzy texture descriptors for early diagnosis of osteoarthritis, IEEE International Conference on Fuzzy Systems (FUZZ, (2013); Cordeiro F.R., Santos W.P., Silva-Filho A.G., An adaptive semi-supervised fuzzy growcut algorithm to segment masses of regions of interest of mammographic images, Appl Soft Comput, 46, pp. 613-628, (2016); Dalakleidi K.V., Zarkogianni K., Karamanos V.G., Thanopoulou A.C., Nikita K.S., A hybrid genetic algorithm for the selection of the critical features for risk prediction of cardiovascular in Type 2 diabetes patients, IEEE 13Th International Conference on Bioinformatics and Bioengineering, (2013); de Carvalho Filho A.O., de Sampaio W.B., Silva A.C., Paiva A.C., Nunes R.A., Gattass M., Automatic detection of solitary lung nodules using quality threshold clustering, genetic algorithm and diversity index, Artif Intell Med, 60, 3, pp. 165-177, (2014); Dudek G., Grywna Z., Willcox M.L., Classification of antituberculosis herbs for remedial purposes by using fuzzy sets, Biosystems, 94, 3, pp. 285-289, (2008); Dutta D., Pradhan A., Acharya O.P., IoT based pollution monitoring and health correlation: a case study on smart city, Int J Syst Assur Eng Manag, (2019); EI-Sappagh S., Elmogy M., Riad A.M., A fuzzy-ontology-oriented case based reseaning framework for semantic diabetes diagnosis, Artif Intell Med, 65, 3, pp. 179-208, (2015); El-Solh A.A., Hsiaao C.-B., Goodnough S., Serghani J., Grant B.J., Predicting active pulmonary tuberculosis using an artificial neural network, Chest, 116, 4, pp. 968-973, (1999); Fong S., Mohammaed S., F J., Kwoh C.K., Using casuality modeling and fuzzy lattice reasoning algorithm for predicting blood glucose, Expert Syst Appl, 40, 18, pp. 7354-7366, (2013); Fong S., Wang D., Fiaidhi J., Mohammed S., Chen L., Ling L., (2016); Froelich W., Papageorgiou E.I., Samarinas M., Skriapas K., Application of evolutionary fuzzy cognitive maps to the long term prediction of prostate cancer, Appl Soft Comput, 12, 12, pp. 3810-3817, (2012); Garibaldi J.M., Zhou S.-M., Wang X.-Y., John R.I., Ellis I.O., Incorporation of expert variability into breast cancer treatment recommendation in designing clinical protocol guided fuzzy rule system models, J Biomed Inform, 45, 3, pp. 447-459, (2012); Gatton T.M., Lee M., ) Fuzzy logic decision making for an intelligent home healthcare system, In: 5Th International Conference on Future Information Technology, (2010); Geman O., Chiuchisan L., Toderean R., Application of adaptivde neuro- fuzzy inference system for diabetes classification and prediction, E-Health and Bioengineering Conference (EHB), 22–24 June, (2017); Gheyondian N., Nguyen H.T., Colagiuri S., A novel fuzzy neural network estimator for predicting hypoglycaemia in insulin- induced subjects, Proceedings of the 23Rd Annual International of the IEEE Engineering in Medicine and Biology Society, 25–28 Oct, (2001); Giabbanelli P.J., Torsney-Weir T., Mago V.K., A fuzzy cognitive map of the psychosocial determinants of obesity, Appl Soft Comput, 12, 12, pp. 3711-3724, (2012); Groshev A., Recent Advances of Biochemical Analysis: ANN as a Tool for Earlier Cancer Detection and Treatment, pp. 357-375, (2016); Gunasundari S., Janakiraman S., Meenambal S., Velocity bounded boolean particle swarm optimization for improved feature selection in liver and kidney disease diagnosis, Expert Syst Appl, 56, pp. 28-47, (2016); Hamdan H., Garibaldi J.M., Automatic generation of ANFIS rules in modelling breast cancer survival, International Conference on Computer Assisted System in Health (CASH), pp. 19-21, (2014); Hamid S., The opportunities and risks of artificial intelligence in medicine and healthcare, SPE Communications, (2016); Hassanien A.E., Fuzzy rough sets hybrid scheme for breast cancer detection, Image Vis Comput, 25, 2, pp. 172-183, (2007); Huang M.-H., Cheng W.-C., Lin C.-C., Yung-Hung W., Application of a two stage fuzzy neural network to a prostate cancer prognosis system, Artif Intell Med, 63, 2, pp. 119-133, (2015); Johra F.T., Shuvo M.M.H., Detection of breast cancer from histapathology image and classifying benign and malignant state using fuzzy logic, In: 3Rd International Conference on Electrical Engineering and Information Communication Technology (ICEEICT), pp. 22-24, (2016); Knok Z., Avdagic Z., Omanovic S., Hybrid neuro-fuzzy expert system for assessing diabetes risk, 38Th International Convention on Information and Communication Technology, Electronics and Microelectronics (MIPRO), pp. 25-29, (2015); Kennedy J., Ederhart R., Partcle swarm optimization, Proceedings of ICNN’95-International Conference on Neural Networks, (1995); Kuo R.J., Cheng W.C., Lien W.C., Yang T.J., A medical cost estimation with fuzzy neural network of acute hepatitis patients in emergency room, Comput Methods Programs Biomed, 122, 1, pp. 40-46, (2015); Lago M.A., Ruperez M.J., Martinez-Martenez F., Monserrat C., Genetic algorithms for estimating the biomechanical behavior of breast tissues, IEEE -EMBS International Conference on Biomedical and Health Informatics (BHI), (2014); Lai J.C.Y., Leung F.H.F., Ling S.H., Nguyen H.T., Hypoglycaemia detection using fuzzy inference system with multi objective double wavelet mutation differential evolution, Appl Soft Comput, 13, 5, pp. 2803-2811, (2013); Lai J.C.Y., Leung F.H.F., Ling S.H., Hypoglycaemia detection using fuzzy inference system with intelligent optimizer, Appl Soft Comput, 20, pp. 54-65, (2014); Lee E., Choi C., Lee M., Oh K., Kim P., An approach for predicting disease outbreaks using fuzzy inference among physiological variables, 10Th International Conference on Innovative Mobile and Internet Services in Ubiquitous Computing (IMIS), (2016); Liew P.L., Lee Y.C., Lin Y.C., Lee T.S., Lee W.J., Wang W., Chien C.W., Comparison of artificial neural networks with logistic regression in prediction of gallbladder disease among obese patients, Dig Liver Dis, 39, 4, pp. 356-362, (2007); Ling S.H., Nguyen H.T., Evolved Fuzzy reasoning Model for hypoglycaemic detection, Annual International Conference of the IEEE Engineering in Medicine and Biology Society (EMBC), (2010); Ling S.S.H., Nguyen H.T., Genetic—algorithm -based multiple regression with fuzzy inference system for detection of nocturnal hypolycemic episodes, IEEE Trans Inf Technol Biomed, 15, 2, pp. 308-315, (2011); Ling S.H., Nguyen H.T., Natural occurrence of nocturnal hypoglycemia detection using hybrid particle swarm optimized fuzzy reasoning model, Artif Intell Med., 55, 3, pp. 177-184, (2012); Ling S.H., Nguyen H., Chan K.Y., Genetic algorithm based fuzzy multiple regression for the nocturnal Hypoglycaemia detection, IEEE Congress on Evolutionary Computation (CEC), (2010); Lookman Sithic H., Uma Rani R., Fuzzy matrix theory as a knowledge discovery in health care domain, Proc Comput Sci, 47, pp. 282-291, (2015); Lukmanto R.B., Irwansyah E., The early detection of diabetes mellitus (DM) using fuzzy hierarchical model, Proc Comput Sci, 59, pp. 312-319, (2015); Madkour M.A., Roushdy M., Methodology for medical diagnosis based on fuzzy logic, Egypt Comput Sci J, 26, 1, pp. 1-9, (2004); Magalhaes A., Junior B., Duarte A.A., Netto M.B., Andrade B.B., Artificial neural networks and bayesian networks as supporting tools for diagnosis of asymptomatic malaria, In: 12Th IEEE International Conference on E-Health Networking Applications and Services (Healthcom), pp. 106-111, (2010); Mahersia H., Boulehmi H., Hamrouni K., Development of intelligent systems based on Bayesian regularization network and neuro-fuzzy models for mass detection in mammograms: a comparative analysis, Comput Methods Programs Biomed, 126, pp. 46-62, (2016); Mathiyazhagan N., Schechter H.B., Soft computing approach for predictive blood glucose management using a fuzzy neural network, IEEE Conference on Norbert Wiener in the 21St Century (21CW), 24–26 June, (2014); Mediahed H., Istrate D., Boudy J., Dorizzi B., Human activities of daily living recognition using fuzzy logic for elderly home monitoring, IEEE International Conference on Fuzzy Systems (FUZZ-IEEE), 20–24 Aug, (2009); Mitchell M., Tanyi J.A., Hung A.Y., Automatic segmentation of the prostate cancer treatment planning, Ninth International Conference on Machine Learning and Applications (ICMLA), 12–14 Dec, (2010); Miyahira S.A., Araujo E., Fuzzy obesity index for obesity treatment and surgical indication, IEEE International Conference on Fuzzy Systems, FUZZ-IEEE, 1–6 June, (2008); Nakandala D., Lau H.C.W., A novel approach to determining change of caloric intake requirement based on fuzzy logic methodology, Knowl Based Syst, 36, pp. 51-58, (2015); Nawarycz T., Pytel K., Drygas W., A fuzzy logic approach to the evaluation of health risks associated with obesity, Federated Conference on Computer Science and Information Systems (Fedcsis), (2013); Nawarycz T., Pytel K., Drygas W., A survey of fuzzy logic in medical and health technology, Federated Conference on Computer Science and Information Systems (Fedcsis), (2013); Nguyen L.B., Nguyen A.V., Ling S.H., Nguyen H.T., Combining genetic algorithm and Levenberg–Marquardt algorithm in training neural network for hypoglycemia detection using EEG signals, 35Th Annual International Conference of the IEEE Engineering in Medicine and Biology Society (EMBC), (2013); Nguyen T., Khosravi A., Creighton D., Nahavandi S., Classification of healthcare data using genetic fuzzy logic system and wavelets, Experts Systems with Applications, 42, 4, pp. 2184-2197, (2015); Nguyen T., Nahavandi S., Creighton D., Khosravi A., Mass spectrometry cancer classification using wavelets and genetic algorithm, FEBS Lett, 589, 24, pp. 3879-3886, (2015); Ohri K., Singh H., Sharma A., Fuzzy expert system for diagnosis of breast cancer, International Conference on Wireless Communications, Signal Processing and Networking (Wispnet), (2016); Omisore M.O., Samuel O.W., Atajeromavwo E.J., A genetic-neuro fuzzy inferential model for diagnosis of tuberculosis, Appl Comput Inform, 13, pp. 27-37, (2015); Orjuela-Canon D., de Seixas J., Fuzzy-ART neural networks for triage in pleural tuberculosis, Pan American Health Care Exchanges (PAHCE, (2013); Orsi T., Araujo E., Simoes R., IEEE International Conference on Fuzzy Systems (FUZZ-IEEE), (2014); Orsi T., Araujo E., Simoes R., Fuzzy chest pain assessment for unstable angina based on braunwald symptomatic and obesity clinical conditions, IEEE International Conference on Fuzzy Systems (FUZZ-IEEE), (2014); Padma T., Balasubramanie P., A fuzzy analytic hierarchy processing decision support system to analyze occupational menace forecasting the spawning of shoulder and neck pain, Expert Syst Appl, 38, 12, pp. 15303-15309, (2011); Papageorgiou E.I., Subramanian J., Karmegam A., Papandriano N., A risk management model for familial breast cancer: a new application using fuzzy cognitive map method, Comput Methods Programs Biomed, 122, 2, pp. 123-135, (2015); Pawlovsky A.P., Matsuhashi H., The use of a novel genetic algorithm in component selection for a KNN method for breast cancer prognosis, Global Medical Engineering Physics Exchanges/Pan American Health Care Exchanges (GMEPE/PAHCE), (2017); Rajpurohit J., Sharma T.K., A A V., Glossary of metaheuristic algorithms, Int J Comput Inf Syst Ind Manag Appl, 9, pp. 181-205, (2017); Reza S., Siti S., Salim S.B., Artificial neural networks as speech recognizers for dysarthric speech: identifying the best -performing set of MFCC parameters and studying a speaker-independent approach, Adv Eng Inform, 28, 1, pp. 102-110, (2014); Ribeiro A.C., Silva D.P., Araujo E., Fuzzy breast cancer risk assessment, IEEE International Conference on Fuzzy Systems (FUZZ-IEEE), (2014); Roullier V., Cavaro-Menard C., Calmon G., Aube C., Fuzzy Algorithms: application to adipose tissue quantification on MR images, Biomed Signal Process Control, 2, 3, pp. 239-247, (2007); Saha S., Datta S., Konar A., A novel gesture recognition system based on fuzzy logic for healthcare applications, IEEE International Conference on Fuzzy Systems (FUZZ-IEEE), (2016); San P.P., Ling S.H., Nguyen H.T., Intelligent detection of hypoglycemic episodes in children with type 1 diabetes using adaptive neural-fuzzy inference system, Engineering in Medicine and Biology Society (EMBC), (2012); Sancar N., Tabrizi S.S., Body mass index estimation by using an adaptive neuro fuzzy inference system, Proc Comput Sci, 108, pp. 2501-2506, (2017); Semogan A.R.C., Gerardo B.D., Castro J.T., Cervantes L.F., A rule-based fuzzy diagnostics decision support system tuberculosis, In: 9Th International Conference on Sofytware Engineering Research, Management and Applications (SERA), pp. 10-12, (2011); Srivastava S., Pant M., Agarwal N., Psychology of adolescents: a fuzzy logic analysis, Int J Syst Assur Eng Manag, (2016); Srivastava S., Pant M., Nagar A., Yuva: an e-health model for dealing with psychological issues of adolescents, J Comput Sci, 21, pp. 150-163, (2017); Subramanian J., Karmegam A., Papageorgiou E., Papandrianos N., Vasukie A., An integrated breast cancer risk assessment and management model based on fuzzy cognitive maps, Comput Methods Programs Biomed, 118, 3, pp. 280-297, (2015); Sung W.-T., Chiang Y.-C., Improved particle swarm optimization algorithm for android medical care IOT using modified parameters, J Med Syst, 36, 6, pp. 3755-3763, (2012); Tahmasebipour K., Houghton S., Disease-gene association using a genetic algorithm, IEEE International Conference on Bioinformatics and Bio-Engineering (BIBE), pp. 10-12, (2014); Tan T.Z., Quek C., Ng G.S., Ng E.Y.K., A novel cognitive interpretation of breast cancer thermography with complementary learning fuzzy neural memory structure, Expert Syst Appl, 33, 3, pp. 652-666, (2007); Tandon R., Adak S., Kaye J.A., Neural networks for longitudinal studies in Alzheimer’s disease, Artif Intell Med, 36, 3, pp. 245-255, (2006); Tatri F., Akbarzadeh-T M.-R., Sabahi A., Fuzzy-probabilistic multi agent system for breast cancer risk assessment and insurance premium assignment, J Biomed Inform, 45, 6, pp. 1021-1034, (2012); Tseng M.-H., Liao H.-C., The genetic algorithm for breast tumor diagnosis—the case of DNA viruses, Appl Soft Comput, 9, 2, pp. 703-710, (2009); Tsipiuras M.G., Exarchos T.P., Fatiadis D.I., Automates creation of transparent fuzzy models based on decision trees- application to diabetes diagnosis, 30Th Annual Internation Conference of the IEEE Engineering in Medicine and Biology Society (EMBS2008), (2008); Undre P., Kaur H., Patil P., Improvement in prediction rate and accuracy of diabetic diagnosis system using fuzzy logic hybrid combination, International Conference on Pervasive Computing (ICPC), (2015); Uzoka F.M.E., Osuji J., Obot O., Clinical decision support system (DSS) in the diagnosis of malaria: a case comparison of two soft computing methodologies, Exp Syst Appl, 38, 3, pp. 1533-1537, (2011); Varkonyi-Koczy A.R., Tusor B., Segatto E., Fuzzy logic supported 3D modeling based orthodontics, International Symposium on Medical Measurements and Applications (Memea), (2017); Veronezi C.C., de Azevedo Simoes P.W., Dos Santos R.L., da Rocha E.L., Melao S., de Mattos M.C., Cechinel C., Computational analysis based on artificial neural networks for aiding in diagnosing osteoarthritis of the lumber spine, Rev Bras Ortop, 46, 2, pp. 195-199, (2011); Wang C.-Y., Tsai J.-T., Fang C.-H., Lee T.-F., Chou J.-H., Predicting survival of individual patients with esophageal cancer by adaptive neuro- fuzzy inference system approach, Appl Soft Comput, 35, pp. 583-590, (2015); Yeh W.-C., Chang W.-W., Chung Y.Y., A new hybrid approach for mining breast cancer pattern using discrete particle swarm optimization and statistical method, Expert Syst Appl, 36, 4, pp. 8204-8211, (2009); Yilmaz A., Ayan K., Adak E., Risk analysis in cancer disease by using fuzzy logic, Annual Meeting of the North American Fuzzy Information Processing Society (NAFIPS), 18–20 March, (2011); Yilmaz A., Ari S., Kocabicak U., Risk analysis of lung cancer and effects of stress level on cancer risk through neuro-fuzzy model, Comput Methods Programs Biomed, 137, pp. 35-46, (2016); Yuan B., Herbert J., Fuzzy CARA—a fuzzy based context reasoning system for pervasive healthcare, Proc Comput Sci, 10, pp. 357-365, (2012); Zahlmann G., Kochner B., Ugi I., Schumann D., Liesenfeld B., Wegner A., Obermaier M., Mertz M., Hybrid fuzzy image processing for situation assessment diabetic retinopathy, IEEE Eng Med Biol Mag, 19, 1, pp. 76-83, (2000); Zarkogianni K., Mitsis K., Arredeondo M.-T., Fico G., Fioravanti A., Nikita K.S., Neuro-Fuzzy based glucose prediction model for patients with Type1 diabetes mellitus, IEEE EMBS International Conference on Biomedical and Health Informatics (BHI), (2014); Zhang M., Adamu B., Lin C.-C., Yang P., Gene expression analysis with integrated fuzzy C-means and pathway analysis, Annual International Conference of the IEEE Engineering in Medicine and Biology Society, (2011)</t>
  </si>
  <si>
    <t xml:space="preserve">S. Srivastava; Noida Institute of Engineering and Technology, Greater Noida, India; email: shilpa.srivastava2019@niet.co.in</t>
  </si>
  <si>
    <t xml:space="preserve">Intl. J. Syst. Assur. Eng. Manage.</t>
  </si>
  <si>
    <t xml:space="preserve">2-s2.0-85074781347</t>
  </si>
  <si>
    <t xml:space="preserve">Li Z.; Gurgel H.; Dessay N.; Hu L.; Xu L.; Gong P.</t>
  </si>
  <si>
    <t xml:space="preserve">Li, Zhichao (57191704868); Gurgel, Helen (8858687900); Dessay, Nadine (6506003869); Hu, Luojia (57192252067); Xu, Lei (56673137100); Gong, Peng (57211236643)</t>
  </si>
  <si>
    <t xml:space="preserve">57191704868; 8858687900; 6506003869; 57192252067; 56673137100; 57211236643</t>
  </si>
  <si>
    <t xml:space="preserve">Semi-supervised text classification framework: An overview of dengue landscape factors and satellite earth observation</t>
  </si>
  <si>
    <t xml:space="preserve">In recent years there has been an increasing use of satellite Earth observation (EO) data in dengue research, in particular the identification of landscape factors affecting dengue transmission. Summarizing landscape factors and satellite EO data sources, and making the information public are helpful for guiding future research and improving health decision-making. In this case, a review of the literature would appear to be an appropriate tool. However, this is not an easy-to-use tool. The review process mainly includes defining the topic, searching, screening at both title/abstract and full-text levels and data extraction that needs consistent knowledge from experts and is time-consuming and labor intensive. In this context, this study integrates the review process, text scoring, active learning (AL) mechanism, and bidirectional long short-term memory (BiLSTM) networks, and proposes a semi-supervised text classification framework that enables the efficient and accurate selection of the relevant articles. Specifically, text scoring and BiLSTM-based active learning were used to replace the title/abstract screening and full-text screening, respectively, which greatly reduces the human workload. In this study, 101 relevant articles were selected from 4 bibliographic databases, and a catalogue of essential dengue landscape factors was identified and divided into four categories: land use (LU), land cover (LC), topography and continuous land surface features. Moreover, various satellite EO sensors and products used for identifying landscape factors were tabulated. Finally, possible future directions of applying satellite EO data in dengue research in terms of landscape patterns, satellite sensors and deep learning were proposed. The proposed semi-supervised text classification framework was successfully applied in research evidence synthesis that could be easily applied to other topics, particularly in an interdisciplinary context. © 2020 by the authors. Licensee MDPI, Basel, Switzerland.</t>
  </si>
  <si>
    <t xml:space="preserve">10.3390/ijerph17124509</t>
  </si>
  <si>
    <t xml:space="preserve">https://www.scopus.com/inward/record.uri?eid=2-s2.0-85086906038&amp;doi=10.3390%2fijerph17124509&amp;partnerID=40&amp;md5=7704bf089487d9899d1896dcdcc33db3</t>
  </si>
  <si>
    <t xml:space="preserve">Ministry of Education Key Laboratory for Earth System Modeling, Department of Earth System, Science, Tsinghua University, Beijing, 100084, China; Department of Geography, University of Brasilia (UnB), Brasilia, CEP 70910-900, Brazil; International Joint Laboratory Sentinela, FIOCRUZ, UnB, IRD, Rio de Janeiro, 21040-900, RJ, Brazil; IRD, UM, UR, UG, UA, UMR ESPACE-DEV, Montpellier, 34090, France; Qian Xuesen Laboratory of Space Technology, China Academy of Space Technology, Beijing, 100094, China; Center for Healthy Cities, Institute for China Sustainable Urbanization, Tsinghua University, Beijing, 100084, China</t>
  </si>
  <si>
    <t xml:space="preserve">Li Z., Ministry of Education Key Laboratory for Earth System Modeling, Department of Earth System, Science, Tsinghua University, Beijing, 100084, China; Gurgel H., Department of Geography, University of Brasilia (UnB), Brasilia, CEP 70910-900, Brazil, International Joint Laboratory Sentinela, FIOCRUZ, UnB, IRD, Rio de Janeiro, 21040-900, RJ, Brazil; Dessay N., International Joint Laboratory Sentinela, FIOCRUZ, UnB, IRD, Rio de Janeiro, 21040-900, RJ, Brazil, IRD, UM, UR, UG, UA, UMR ESPACE-DEV, Montpellier, 34090, France; Hu L., Qian Xuesen Laboratory of Space Technology, China Academy of Space Technology, Beijing, 100094, China; Xu L., Ministry of Education Key Laboratory for Earth System Modeling, Department of Earth System, Science, Tsinghua University, Beijing, 100084, China; Gong P., Ministry of Education Key Laboratory for Earth System Modeling, Department of Earth System, Science, Tsinghua University, Beijing, 100084, China, Center for Healthy Cities, Institute for China Sustainable Urbanization, Tsinghua University, Beijing, 100084, China</t>
  </si>
  <si>
    <t xml:space="preserve">Deep active learning; Dengue; Landscape; Natural language processing; Satellite Earth observation</t>
  </si>
  <si>
    <t xml:space="preserve">Animals; Dengue; Hot Temperature; Humans; India; Information Storage and Retrieval; Machine Learning; accuracy assessment; dengue fever; EOS; health impact; health risk; interdisciplinary approach; public health; satellite data; satellite imagery; Article; classification; clinical decision making; controlled study; data extraction; dengue; human; landscape; long short term memory network; natural language processing; predictive value; risk factor; satellite imagery; virus transmission; animal; dengue; heat; India; information retrieval; machine learning</t>
  </si>
  <si>
    <t xml:space="preserve">National Natural Science Foundation of China, NSFC, (41801336); Tsinghua University, THU</t>
  </si>
  <si>
    <t xml:space="preserve">Funding: This research was supported by the National Natural Science Foundation of China (NSFC) (Project no.: 41801336). This research was also partially supported by a donation from Delos Living LLC to Tsinghua University.</t>
  </si>
  <si>
    <t xml:space="preserve">Dengue and Severe Dengue; Horstick O., Tozan Y., Wilder-Smith A., Reviewing dengue: Still a neglected tropical disease?, PLoS Negl. Trop. Dis, 9, (2015); Messina J.P., Pan W.K., Different ontologies: Land change science and health research, Curr. Opin. Environ. Sustain, 5, pp. 515-521, (2013); Patz J.A., Olson S.H., Uejio C.K., Gibbs H.K., Disease emergence from global climate and land use change, Med. Clin. N. Am, 92, pp. 1473-1491, (2008); Machault V., Yebakima A., Etienne M., Vignolles C., Palany P., Tourre Y., Guerecheau M., Lacaux J.-P., Mapping Entomological Dengue Risk Levels in Martinique Using High-Resolution Remote-Sensing Environmental Data, ISPRS Int. J. Geo Inf, 3, pp. 1352-1371, (2014); LaDeau S.L., Allan B.F., Leisnham P.T., Levy M.Z., The ecological foundations of transmission potential and vector-borne disease in urban landscapes, Funct. Ecol, 29, pp. 889-901, (2015); Parselia E., Kontoes C., Tsouni A., Hadjichristodoulou C., Kioutsioukis I., Magiorkinis G., Stilianakis N.I., Satellite Earth Observation Data in Epidemiological Modeling of Malaria, Dengue and West Nile Virus: A Scoping Review, Remote Sens, 11, (2019); Sallam M.F., Fizer C., Pilant A.N., Whung P.Y., Systematic Review: Land Cover, Meteorological, and Socioeconomic Determinants of Aedes mosquito Habitat for Risk Mapping, Int. J. Environ. Res. Public Health, 14, (2017); Marti R., Li Z., Catry T., Roux E., Mangeas M., Handschumacher P., Gaudart J., Tran A., Demagistri L., Faure J.-F., Et al., A Mapping Review on Urban Landscape Factors of Dengue Retrieved from Earth Observation Data, GIS Techniques, and Survey Questionnaires, Remote Sens, 12, (2020); Tricco A.C., Lillie E., Zarin W., O'Brien K.K., Colquhoun H., Levac D., Moher D., Peters M.D.J., Horsley T., Weeks L., Et al., PRISMA Extension for Scoping Reviews (PRISMA-ScR): Checklist and Explanation, Ann. Intern. Med, 169, pp. 467-473, (2018); Sucharew H., Macaluso M., Progress Notes: Methods for Research Evidence Synthesis: The Scoping Review Approach, J. Hosp. Med, 14, pp. 416-418, (2019); Salton G., Buckley C., Term-weighting approaches in automatic text retrieval, Inf. Process. Manag, 24, pp. 513-523, (1988); Garcia Adeva J.J., Pikatza Atxa J.M., Ubeda Carrillo M., Ansuategi Zengotitabengoa E., Automatic text classification to support systematic reviews in medicine, Expert Syst. Appl, 41, pp. 1498-1508, (2014); Bannach-Brown A., Przybyla P., Thomas J., Rice A.S.C., Ananiadou S., Liao J., Macleod M.R., Machine learning algorithms for systematic review: Reducing workload in a preclinical review of animal studies and reducing human screening error, Syst. Rev, 8, pp. 1-12, (2019); Tsafnat G., Glasziou P., Choong M.K., Dunn A., Galgani F., Coiera E., Systematic review automation technologies, Syst. Rev, 3, pp. 1-15, (2014); Liu G., Guo J., Bidirectional LSTM with attention mechanism and convolutional layer for text classification, Neurocomputing, 337, pp. 325-338, (2019); Liao S., Wang J., Yu R., Sato K., Cheng Z., CNN for situations understanding based on sentiment analysis of twitter data, Procedia Comput. Sci, 111, pp. 376-381, (2017); Cao W., Song A., Furuzuki T., Stacked residual recurrent neural network with word weight for text classification, IAENG Int. J. Comput. Sci, 44, pp. 277-284, (2017); Hochreiter S., Schmidhuber J., Long Short-Term Memory, Neural Comput, 9, pp. 1735-1780, (1997); An B., Wu W., Han H., Deep Active Learning for Text Classification, Proceedings of the 2nd International Conference on Vision, Image and Signal Processing, pp. 1-6, (2018); Yang L., MacEachren A., Mitra P., Onorati T., Visually-Enabled Active Deep Learning for (Geo) Text and Image Classification: A Review, ISPRS Int. J. Geo Inf, 7, (2018); Zhou S., Chen Q., Wang X., Active deep learning method for semi-supervised sentiment classification, Neurocomputing, 120, pp. 536-546, (2013); Schuster M., Paliwal K.K., Bidirectional recurrent neural networks, IEEE Trans. Signal Process, 45, pp. 2673-2681, (1997); Mikolov T., Chen K., Corrado G., Dean J., Efficient Estimation of Word Representations in Vector Space, Proceedings of the International Conference on Learning Representations 2013, (2013); Zhou C., Sun C., Liu Z., Lau F.C.M., A c-lstm neural network for text classification, Comput. Sci, 1, pp. 39-44, (2015); Hamm N.A.S., Soares Magalhaes R.J., Clements A.C.A., Earth Observation, Spatial Data Quality, and Neglected Tropical Diseases, PLoS Negl. Trop. Dis, 9, (2015); Huete A., Didan K., Miura T., Rodriguez E.P., Gao X., Ferreira L.G., Overview of the radiometric and biophysical performance of the MODIS vegetation indices, Remote Sens. Environ, 83, pp. 195-213, (2002); Li Z., Roux E., Dessay N., Girod R., Stefani A., Nacher M., Moiret A., Seyler F., Mapping a Knowledge-Based Malaria Hazard Index Related to Landscape Using Remote Sensing: Application to the Cross-Border Area between French Guiana and Brazil, Remote Sens, 8, (2016); Li Z., Catry T., Dessay N., da Costa Gurgel H., Aparecido de Almeida C., Barcellos C., Roux E., Regionalization of a Landscape-Based Hazard Index of Malaria Transmission: An Example of the State of Amapá, Brazil, Data, 2, (2017); Gong P., Chen B., Li X., Liu H., Wang J., Bai Y., Chen J., Chen X., Fang L., Feng S., Et al., Mapping essential urban land use categories in China (EULUC-China): Preliminary results for 2018, Sci. Bull, 65, pp. 182-187, (2020); Catry T., Pottier A., Marti R., Li Z., Roux E., Herbreteau V., Mangeas M., Demagistri L., Gurgel H., Dessay N., Apports de la combinaison d’images satellites optique et RADAR dans l’étude des maladies à transmission vectorielle: Cas du paludisme à la frontière Guyane française–Brésil, Confins, 37, (2018); Catry T., Li Z., Roux E., Herbreteau V., Gurgel H., Mangeas M., Seyler F., Dessay N., Wetlands and Malaria in the Amazon: Guidelines for the Use of Synthetic Aperture Radar Remote-Sensing, Int. J. Environ. Res. Public Health, 15, (2018); Xu J., Xu K., Li Z., Meng F., Tu T., Xu L., Liu Q., Forecast of Dengue Cases in 20 Chinese Cities Based on the Deep Learning Method, Int. J. Environ. Res. Public Health, 17, (2020); Laureano-Rosario A.E., Duncan A.P., Mendez-Lazaro P.A., Garcia-Rejon J.E., Gomez-Carro S., Farfan-Ale J., Savic D.A., Muller-Karger F.E., Application of Artificial Neural Networks for Dengue Fever Outbreak Predictions in the Northwest Coast of Yucatan, Mexico and San Juan, Puerto Rico, Trop. Med. Infect. Dis, 3, (2018); Rehman N.A., Saif U., Chunara R., Deep Landscape Features for Improving Vector-borne Disease Prediction, Proceedings of the 2019 IEEE/CVF Conference on Computer Vision and Pattern Recongnition (CVPR), (2019); Acharya B.K., Cao C., Xu M., Khanal L., Naeem S., Pandit S., Temporal Variations and Associated Remotely Sensed Environmental Variables of Dengue Fever in Chitwan District, Nepal, ISPRS Int. J. Geo Inf, 7, (2018); Acharya B.K., Cao C., Lakes T., Chen W., Naeem S., Pandit S., Modeling the spatially varying risk factors of dengue fever in Jhapa district, Nepal, using the semi-parametric geographically weighted regression model, Int. J. Biometeorol, 62, pp. 1973-1986, (2018); Akter R., Naish S., Hu W., Tong S., Socio-demographic, ecological factors and dengue infection trends in Australia, PLoS ONE, 12, (2017); Albrieu-Llinas G., Espinosa M.O., Quaglia A., Abril M., Scavuzzo C.M., Urban environmental clustering to assess the spatial dynamics of Aedes aegypti breeding sites, Geospat. Health, 13, pp. 135-142, (2018); Ajim Ali S., Ahmad A., Using analytic hierarchy process with GIS for Dengue risk mapping in Kolkata Municipal Corporation, West Bengal, India, Spat. Inf. Res, 26, pp. 449-469, (2018); Anno S., Imaoka K., Tadono T., Igarashi T., Sivaganesh S., Kannathasan S., Kumaran V., Surendran S.N., Space-time clustering characteristics of dengue based on ecological, socio-economic and demographic factors in northern Sri Lanka, Geospat. Health, 10, (2015); Araujo R.V., Albertini M.R., Costa-da-Silva A.L., Suesdek L., Franceschi N.C., Bastos N.M., Katz G., Cardoso V.A., Castro B.C., Capurro M.L., Et al., Sao Paulo urban heat islands have a higher incidence of dengue than other urban areas, Braz. J. Infect. Dis, 19, pp. 146-155, (2015); Arboleda S., Jaramillo-O N., Peterson A.T., Mapping Environmental Dimensions of Dengue Fever Transmission Risk in the Aburrá Valley, Colombia, Int. J. Environ. Res. Public Health, 6, pp. 3040-3055, (2009); Arboleda S., Jaramillo O.N., Peterson A.T., Spatial and temporal dynamics of Aedes aegypti larval sites in Bello, Colombia, J. Vector Ecol, 37, pp. 37-48, (2012); Ashby J., Moreno-Madrinan M.J., Yiannoutsos C.T., Stanforth A., Niche Modeling of Dengue Fever Using Remotely Sensed Environmental Factors and Boosted Regression Trees, Remote Sens, 9, (2017); Attaway D.F., Jacobsen K.H., Falconer A., Manca G., Waters N.M., Risk analysis for dengue suitability in Africa using the ArcGIS predictive analysis tools (PA tools), Acta Trop, 158, pp. 248-257, (2016); Aziz S., Aidil R.M., Nisfariza M.N., Ngui R., Lim Y.A., Yusoff W.S., Ruslan R., Spatial density of Aedes distribution in urban areas: A case study of breteau index in Kuala Lumpur, Malaysia, J. Vector Borne Dis, 51, pp. 91-96, (2014); Bagny Beilhe L., Arnoux S., Delatte H., Lajoie G., Fontenille D., Spread of invasive Aedes albopictus and decline of resident Aedes aegypti in urban areas of Mayotte 2007–2010, Biol. Invasions, 14, pp. 1623-1633, (2012); Bett B., Grace D., Lee H.S., Lindahl J., Nguyen-Viet H., Phuc P.D., Quyen N.H., Tu T.A., Phu T.D., Tan D.Q., Et al., Spatiotemporal analysis of historical records (2001–2012) on dengue fever in Vietnam and development of a statistical model for forecasting risk, PLoS ONE, 14, (2019); Bhardwaj A., Sam L.C., Joshi P.K., Sinha V.S.P., Developing a Statistical Dengue Risk Prediction Model for the State of Delhi Based on Various Environmental Variables, Int. J. Geoinform, 8, pp. 45-52, (2012); Buczak A.L., Koshute P.T., Babin S.M., Feighner B.H., Lewis S.H., A data-driven epidemiological prediction method for dengue outbreaks using local and remote sensing data, BMC Med. Inform. Decis. Mak, 12, (2012); Carvalho M.S., Buczak A.L., Baugher B., Babin S.M., Ramac-Thomas L.C., Guven E., Elbert Y., Koshute P.T., Velasco J.M.S., Roque V.G., Et al., Prediction of High Incidence of Dengue in the Philippines, PLoS Negl. Trop. Dis, 8, (2014); Butt M.A., Khalid A., Ali A., Mahmood S.A., Sami J., Qureshi J., Waheed K., Khalid A., Towards a Web GIS-based approach for mapping a dengue outbreak, Appl. Geomat, 12, pp. 121-131, (2019); Cao Z., Liu T., Li X., Wang J., Lin H., Chen L., Wu Z., Ma W., Individual and Interactive Effects of Socio-Ecological Factors on Dengue Fever at Fine Spatial Scale: A Geographical Detector-Based Analysis, Int. J. Environ. Res. Public Health, 14, (2017); Carbajo A.E., Schweigmann N., Curto S.I., de Garin A., Bejaran R., Dengue transmission risk maps of Argentina, Trop. Med. Int. Health, 6, pp. 170-183, (2001); Chen Y., Ong J.H.Y., Rajarethinam J., Yap G., Ng L.C., Cook A.R., Neighbourhood level real-time forecasting of dengue cases in tropical urban Singapore, BMC Med, 16, (2018); Chen Y., Zhao Z., Li Z., Li W., Li Z., Guo R., Yuan Z., Spatiotemporal Transmission Patterns and Determinants of Dengue Fever: A Case Study of Guangzhou, China, Int. J. Environ. Res. Public Health, 16, (2019); Cheong Y.L., Leitao P.J., Lakes T., Assessment of land use factors associated with dengue cases in Malaysia using Boosted Regression Trees, Spat. Spatio Temporal Epidemiol, 10, pp. 75-84, (2014); Chiu C.-H., Wen T.-H., Chien L.-C., Yu H.-L., A Probabilistic Spatial Dengue Fever Risk Assessment by a Threshold-Based-Quantile Regression Method, PLoS ONE, 9, (2014); Chuang T.-W., Ng K.-C., Nguyen T., Chaves L., Epidemiological Characteristics and Space-Time Analysis of the 2015 Dengue Outbreak in the Metropolitan Region of Tainan City, Taiwan, Int. J. Environ. Res. Public Health, 15, (2018); Cox J., Grillet M.E., Ramos O.M., Amador M., Barrera R., Habitat segregation of dengue vectors along an urban environmental gradient, Am. J. Trop. Med. Hyg, 76, pp. 820-826, (2007); Dhewantara P.W., Marina R., Puspita T., Ariati Y., Purwanto E., Hananto M., Hu W., Soares Magalhaes R.J., Spatial and temporal variation of dengue incidence in the island of Bali, Indonesia: An ecological study, Travel Med. Infect. Dis, 32, (2019); Dom N.C., Ahmad A.H., Latif Z.A., Ismail R., Pradhan B., Coupling of remote sensing data and environmental-related parameters for dengue transmission risk assessment in Subang Jaya, Malaysia, Geocarto Int, 28, pp. 258-272, (2013); Espinosa M., Weinberg D., Rotela C.H., Polop F., Abril M., Marcelo Scavuzzo C., Temporal Dynamics and Spatial Patterns of Aedes aegypti Breeding Sites, in the Context of a Dengue Control Program in Tartagal (Salta Province, Argentina), PLoS Negl. Trop. Dis, 10, (2016); Espinosa M., Alvarez Di Fino E.M., Abril M., Lanfri M., Victoria Periago M., Marcelo Scavuzzo C., Operational satellite-based temporal modelling of Aedes population in Argentina, Geospat. Health, 13, pp. 247-258, (2018); Lilia Estallo E., Benitez E.M., Alberto Lanfri M., Marcelo Scavuzzo C., Almiron W.R., MODIS Environmental Data to Assess Chikungunya, Dengue, and Zika Diseases Through Aedes (Stegomia) aegypti Oviposition Activity Estimation, IEEE J. Sel. Top. Appl. Earth Obs. Remote Sens, 9, pp. 5461-5466, (2016); Fareed N., Ghaffar A., Malik T.S., Spatio-Temporal Extension and Spatial Analyses of Dengue from Rawalpindi, Islamabad and Swat during 2010–2014, Climate, 4, (2016); Fatima S.H., Atif S., Rasheed S.B., Zaidi F., Hussain E., Species Distribution Modelling of Aedes aegypti in two dengue-endemic regions of Pakistan, Trop. Med. Int. Health, 21, pp. 427-436, (2016); Fuller D.O., Troyo A., Beier J.C., El Niño Southern Oscillation and vegetation dynamics as predictors of dengue fever cases in Costa Rica, Environ. Res. Lett, 4, (2009); Fuller D.O., Troyo A., Calderon-Arguedas O., Beier J.C., Dengue vector (Aedes aegypti) larval habitats in an urban environment of Costa Rica analysed with ASTER and QuickBird imagery, Int. J. Remote Sens, 31, pp. 3-11, (2010); Garcia F.B., Liagas L.A., An examination of the spatial factors of dengue cases in Quezon City, Philippines: A Geographic Information System (GLS)-based approach, 2005–2008, Acta Med. Philipp, 45, pp. 53-62, (2011); German A., Espinosa M.O., Abril M., Scavuzzo C.M., Exploring satellite based temporal forecast modelling of Aedes aegypti oviposition from an operational perspective, Remote Sens. Appl. Soc. Environ, 11, pp. 231-240, (2018); Hira F.S., Asad A., Farrah Z., Basit R.S., Mehreen F., Muhammad K., Patterns of occurrence of dengue and chikungunya, and spatial distribution of mosquito vector Aedes albopictus in Swabi district, Pakistan, Trop. Med. Int. Health, 23, pp. 1002-1013, (2018); Huang C.C., Tam T.Y.T., Chern Y.R., Lung S.C., Chen N.T., Wu C.D., Spatial Clustering of Dengue Fever Incidence and Its Association with Surrounding Greenness, Int. J. Environ. Res. Public Health, 15, (2018); Husnina Z., Clements A.C.A., Wangdi K., Forest cover and climate as potential drivers for dengue fever in Sumatra and Kalimantan 2006–2016: A spatiotemporal analysis, Trop. Med. Int. Health, 24, pp. 888-898, (2019); Kesetyaningsih T.W., Andarini S., Sudarto S., Pramoedyo H., Determination of Environmental Factors Affecting Dengue Incidence in Sleman District, Yogyakarta, Indonesia, Afr. J. Infect. Dis, 12, pp. 13-35, (2018); Khalid B., Ghaffar A., Dengue transmission based on urban environmental gradients in different cities of Pakistan, Int. J. Biometeorol, 59, pp. 267-283, (2014); Khalid B., Ghaffar A., Environmental risk factors and hotspot analysis of dengue distribution in Pakistan, Int. J. Biometeorol, 59, pp. 1721-1746, (2015); Khormi H.M., Kumar L., Modeling dengue fever risk based on socioeconomic parameters, nationality and age groups: GIS and remote sensing based case study, Sci. Total Environ, 409, pp. 4713-4719, (2011); Koyadun S., Butraporn P., Kittayapong P., Ecologic and Sociodemographic Risk Determinants for Dengue Transmission in Urban Areas in Thailand, Interdiscip. Perspect. Infect. Dis, 2012, pp. 1-12, (2012); Barrera R., Lana R.M., da Costa Gomes M.F., de Lima T.F.M., Honorio N.A., Codeco C.T., The introduction of dengue follows transportation infrastructure changes in the state of Acre, Brazil: A network-based analysis, PLoS Negl. Trop. Dis, 11, (2017); Landau K.I., van Leeuwen W.J., Fine scale spatial urban land cover factors associated with adult mosquito abundance and risk in Tucson, Arizona, J. Vector Ecol, 37, pp. 407-418, (2012); Lee J.M., Wasserman R.J., Gan J.Y., Wilson R.F., Rahman S., Yek S.H., Human Activities Attract Harmful Mosquitoes in a Tropical Urban Landscape, EcoHealth, 17, pp. 52-63, (2019); Li S., Tao H., Xu Y., Abiotic determinants to the spatial dynamics of dengue fever in Guangzhou, Asia Pac. J. Public Health, 25, pp. 239-247, (2013); Cheah W.L., Chang M.S., Wang Y.C., Spatial, environmental and entomological risk factors analysis on a rural dengue outbreak in Lundu District in Sarawak, Malaysia, Trop. Biomed, 23, pp. 85-96, (2006); Lippi C.A., Stewart-Ibarra A.M., Loor M., Zambrano J.E.D., Lopez N.A.E., Blackburn J.K., Ryan S.J., Geographic shifts in Aedes aegypti habitat suitability in Ecuador using larval surveillance data and ecological niche modeling: Implications of climate change for public health vector control, PLoS Negl. Trop. Dis, 13, (2019); Little E., Barrera R., Seto K.C., Diuk-Wasser M., Co-occurrence patterns of the dengue vector Aedes aegypti and Aedes mediovitattus, a dengue competent mosquito in Puerto Rico, Ecohealth, 8, pp. 365-375, (2011); Little E., Bajwa W., Shaman J., Local environmental and meteorological conditions influencing the invasive mosquito Ae. albopictus and arbovirus transmission risk in New York City, PLoS Negl. Trop. Dis, 11, (2017); Little E., Biehler D., Leisnham P.T., Jordan R., Wilson S., LaDeau S.L., Socio-Ecological Mechanisms Supporting High Densities of Aedes albopictus (Diptera: Culicidae) in Baltimore, MD, J. Med. Entomol, 54, pp. 1183-1192, (2017); Liu K., Sun J., Liu X., Li R., Wang Y., Lu L., Wu H., Gao Y., Xu L., Liu Q., Spatiotemporal patterns and determinants of dengue at county level in China from 2005–2017, Int. J. Infect. Dis, 77, pp. 96-104, (2018); Lozano-Fuentes S., Hayden M.H., Welsh-Rodriguez C., Ochoa-Martinez C., Tapia-Santos B., Kobylinski K.C., Uejio C.K., Zielinski-Gutierrez E., Monache L.D., Monaghan A.J., Et al., The dengue virus mosquito vector Aedes aegypti at high elevation in Mexico, Am. J. Trop. Med. Hyg, 87, pp. 902-909, (2012); Mahabir R.S., Severson D.W., Chadee D.D., Impact of road networks on the distribution of dengue fever cases in Trinidad, West Indies, Acta Trop, 123, pp. 178-183, (2012); Mahmood S., Irshad A., Nasir J.M., Sharif F., Farooqi S.H., Spatiotemporal analysis of dengue outbreaks in Samanabad town, Lahore metropolitan area, using geospatial techniques, Environ. Monit. Assess, 191, (2019); Mala S., Jat M.K., Implications of meteorological and physiographical parameters on dengue fever occurrences in Delhi, Sci. Total Environ, 650, pp. 2267-2283, (2019); Martinez-Bello D., Lopez-Quilez A., Prieto A.T., Spatiotemporal modeling of relative risk of dengue disease in Colombia, Stoch. Environ. Res. Risk Assess, 32, pp. 1587-1601, (2017); Martinez-Bello D.A., Lopez-Quilez A., Torres Prieto A., Relative risk estimation of dengue disease at small spatial scale, Int. J. Health Geogr, 16, (2017); McClure K.M., Lawrence C., Kilpatrick A.M., Land Use and Larval Habitat Increase Aedes albopictus (Diptera: Culicidae) and Culex quinquefasciatus (Diptera: Culicidae) Abundance in Lowland Hawaii, J. Med. Entomol, 55, pp. 1509-1516, (2018); Messina J.P., Brady O.J., Golding N., Kraemer M.U.G., Wint G.R.W., Ray S.E., Pigott D.M., Shearer F.M., Johnson K., Earl L., Et al., The current and future global distribution and population at risk of dengue, Nat. Microbiol, 4, pp. 1508-1515, (2019); Murdock C.C., Evans M.V., McClanahan T.D., Miazgowicz K.L., Tesla B., Fine-scale variation in microclimate across an urban landscape shapes variation in mosquito population dynamics and the potential of Aedes albopictus to transmit arboviral disease, PLoS Negl. Trop. Dis, 11, (2017); Nakhapakorn K., Tripathi N., An information value based analysis of physical and climatic factors affecting dengue fever and dengue haemorrhagic fever incidence, Int. J. Health Geogr, 4, (2005); Nejati J., Bueno-Mari R., Collantes F., Hanafi-Bojd A.A., Vatandoost H., Charrahy Z., Tabatabaei S.M., Yaghoobi-Ershadi M.R., Hasanzehi A., Shirzadi M.R., Et al., Potential Risk Areas of Aedes albopictus in South-Eastern Iran: A Vector of Dengue Fever, Zika, and Chikungunya, Front. Microbiol, 8, (2017); Nitatpattana N., Singhasivanon P., Kiyoshi H., Andrianasolo H., Yoksan S., Gonzalez J.P., Barbazan P., Potential association of dengue hemorrhagic fever incidence and remote senses land surface temperature, Thailand, 1998, Southeast Asian J. Trop. Med. Public Health, 38, pp. 427-433, (2007); Ogashawara I., Li L., Moreno-Madrinan M.J., Spatial-Temporal Assessment of Environmental Factors Related to Dengue Outbreaks in São Paulo, Brazil, GeoHealth, 3, pp. 202-217, (2019); Pineda-cortel M.R.B., Clemente B.M., Pham Thi Thanh N., Modeling and predicting dengue fever cases in key regions of the Philippines using remote sensing data, Asian Pac. J. Trop. Med, 12, pp. 60-66, (2019); Qu Y., Shi X., Wang Y., Li R., Lu L., Liu Q., Effects of socio-economic and environmental factors on the spatial heterogeneity of dengue fever investigated at a fine scale, Geospat. Health, 13, (2018); Qureshi E.M.A., Tabinda A.B., Vehra S., The distribution of Aedes aegypti (diptera, culicidae) in eight selected parks of Lahore, using oviposition traps during rainy season, J. Pak. Med Assoc, 67, pp. 1493-1497, (2017); Abdul Rahm S., Rahim A., Mallongi A., Forecasting of Dengue Disease Incident Risks Using Non-stationary Spatial of Geostatistics Model in Bone Regency Indonesia, J. Entomol, 14, pp. 49-57, (2016); Ren H., Wu W., Li T., Yang Z., Urban villages as transfer stations for dengue fever epidemic: A case study in the Guangzhou, China, PLoS Negl. Trop. Dis, 13, (2019); Restrepo A.C., Baker P., Clements A.C., National spatial and temporal patterns of notified dengue cases, Colombia 2007–2010, Trop. Med. Int. Health, 19, pp. 863-871, (2014); Richards S.L., Apperson C.S., Ghosh S.K., Cheshire H.M., Zeichner B.C., Spatial Analysis of Aedes albopictus (Diptera: Culicidae) Oviposition in Suburban Neighborhoods of a Piedmont Community in North Carolina, J. Med Entomol, 43, pp. 976-989, (2006); Rogers D.J., Suk J.E., Semenza J.C., Using global maps to predict the risk of dengue in Europe, Acta Trop, 129, pp. 1-14, (2014); Freitas M.G.R., Tsouris P., Reis I.C., Magalhaes M.d.A.F.M., Nascimento T.F.S., Honorio N.A., Dengue and Land Cover Heterogeneity in Rio De Janeiro, Oecologia Aust, 14, pp. 641-667, (2010); Rotela C., Fouque F., Lamfri M., Sabatier P., Introini V., Zaidenberg M., Scavuzzo C., Space–time analysis of the dengue spreading dynamics in the 2004 Tartagal outbreak, Northern Argentina, Acta Trop, 103, pp. 1-13, (2007); Saravanabavan V., Balaji D., Preethi S., Identification of dengue risk zone: A geo-medical study on Madurai city, GeoJournal, 84, pp. 1073-1087, (2018); Sarfraz M.S., Tripathi N.K., Tipdecho T., Thongbu T., Kerdthong P., Souris M., Analyzing the spatio-temporal relationship between dengue vector larval density and land-use using factor analysis and spatial ring mapping, BMC Public Health, 12, (2012); Sarfraz M.S., Tripathi N.K., Kitamoto A., Near real-time characterisation of urban environments: A holistic approach for monitoring dengue fever risk areas, Int. J. Digit. Earth, 7, pp. 916-934, (2013); Sarfraz M.S., Tripathi N.K., Faruque F.S., Bajwa U.I., Kitamoto A., Souris M., Mapping urban and peri-urban breeding habitats of Aedes mosquitoes using a fuzzy analytical hierarchical process based on climatic and physical parameters, Geospat. Health, 8, pp. S685-S697, (2014); Scavuzzo J.M., Trucco F., Espinosa M., Tauro C.B., Abril M., Scavuzzo C.M., Frery A.C., Modeling Dengue vector population using remotely sensed data and machine learning, Acta Trop, 185, pp. 167-175, (2018); Shafie A., Evaluation of the Spatial Risk Factors for High Incidence of Dengue Fever and Dengue Hemorrhagic Fever Using GIS Application, Sains Malays, 40, pp. 937-943, (2011); Sheela A.M., Sarun S., Justus J., Vineetha P., Sheeja R.V., Assessment of changes of vector borne diseases with wetland characteristics using multivariate analysis, Environ. Geochem. Health, 37, pp. 391-410, (2014); Sheela A.M., Ghermandi A., Vineetha P., Sheeja R.V., Justus J., Ajayakrishna K., Assessment of relation of land use characteristics with vector-borne diseases in tropical areas, Land Use Policy, 63, pp. 369-380, (2017); Stanforth A., Moreno-Madrinan M.J., Ashby J., Exploratory Analysis of Dengue Fever Niche Variables within the Rio Magdalena Watershed, Remote Sens, 8, (2016); Tariq B., Zaidi A.Z., Geostatistical modeling of dengue disease in Lahore, Pakistan, SN Appl. Sci, 1, (2019); Teurlai M., Menkes C.E., Cavarero V., Degallier N., Descloux E., Grangeon J.-P., Guillaumot L., Libourel T., Lucio P.S., Mathieu-Daude F., Et al., Socio-economic and Climate Factors Associated with Dengue Fever Spatial Heterogeneity: A Worked Example in New Caledonia, PLoS Negl. Trop. Dis, 9, (2015); Tian H., Huang S., Zhou S., Bi P., Yang Z., Li X., Chen L., Cazelles B., Yang J., Luo L., Et al., Surface water areas significantly impacted 2014 dengue outbreaks in Guangzhou, China, Environ. Res, 150, pp. 299-305, (2016); Tiong V., Abd-Jamil J., Mohamed Zan H.A., Abu-Bakar R.S., Ew C.L., Jafar F.L., Nellis S., Fauzi R., AbuBakar S., Evaluation of land cover and prevalence of dengue in Malaysia, Trop. Biomed, 32, pp. 587-597, (2015); Tipayamongkholgul M., Lisakulruk S., Socio-geographical factors in vulnerability to dengue in Thai villages: A spatial regression analysis, Geospat. Health, 5, pp. 191-198, (2011); Troyo A., Fuller D.O., Calderon-Arguedas O., Solano M.E., Beier J.C., Urban structure and dengue fever in Puntarenas, Costa Rica, Singap. J. Trop. Geogr, 30, pp. 265-282, (2009); Tsuda Y., Suwonkerd W., Chawprom S., Prajakwong S., Takagi M., Different Spatial Distribution of Aedes aegypti and Aedes albopictus along an Urban–Rural Gradient and the Relating Environmental Factors Examined in Three Villages in Northern Thailand, J. Am. Mosq. Control Assoc, 22, pp. 222-228, (2006); Van Benthem B.H., Vanwambeke S.O., Khantikul N., Burghoorn-Maas C., Panart K., Oskam L., Lambin E.F., Somboon P., Spatial patterns of and risk factors for seropositivity for dengue infection, Am. J. Trop. Med. Hyg, 72, pp. 201-208, (2005); Vanwambeke S., van Benthem B., Khantikul N., Burghoorn-Maas C., Panart K., Oskam L., Lambin E., Somboon P., Multi-level analyses of spatial and temporal determinants for dengue infection, Int. J. Health Geogr, 5, (2006); Vezzani D., Rubio A., Velazquez S.M., Schweigmann N., Wiegand T., Detailed assessment of microhabitat suitability for Aedes aegypti (Diptera: Culicidae) in Buenos Aires, Argentina, Acta Trop, 95, pp. 123-131, (2005); Wiese D., Escalante A.A., Murphy H., Henry K.A., Gutierrez-Velez V.H., Integrating environmental and neighborhood factors in MaxEnt modeling to predict species distributions: A case study of Aedes albopictus in southeastern Pennsylvania, PLoS ONE, 14, (2019); Yue Y., Sun J., Liu X., Ren D., Liu Q., Xiao X., Lu L., Spatial analysis of dengue fever and exploration of its environmental and socio-economic risk factors using ordinary least squares: A case study in five districts of Guangzhou City, China, 2014, Int. J. Infect. Dis, 75, pp. 39-48, (2018); Zheng L., Ren H.Y., Shi R.H., Lu L., Spatiotemporal characteristics and primary influencing factors of typical dengue fever epidemics in China, Infect. Dis. Poverty, 8, (2019)</t>
  </si>
  <si>
    <t xml:space="preserve">P. Gong; Ministry of Education Key Laboratory for Earth System Modeling, Department of Earth System, Science, Tsinghua University, Beijing, 100084, China; email: penggong@mail.tsinghua.edu.cn; P. Gong; Center for Healthy Cities, Institute for China Sustainable Urbanization, Tsinghua University, Beijing, 100084, China; email: penggong@mail.tsinghua.edu.cn</t>
  </si>
  <si>
    <t xml:space="preserve">2-s2.0-85086906038</t>
  </si>
  <si>
    <t xml:space="preserve">Harikrishna J.; Mohan A.; Kalyana Chakravarthi D.; Chaudhury A.; Kumar B.; Sarma K.V.S.</t>
  </si>
  <si>
    <t xml:space="preserve">Harikrishna, Janjam (56571468700); Mohan, Alladi (34571996800); Kalyana Chakravarthi, D. (57217132360); Chaudhury, Abhijit (7005676009); Kumar, B. (56779409600); Sarma, K.V.S. (16204313200)</t>
  </si>
  <si>
    <t xml:space="preserve">56571468700; 34571996800; 57217132360; 7005676009; 56779409600; 16204313200</t>
  </si>
  <si>
    <t xml:space="preserve">Serum procalcitonin as a biomarker of bloodstream infection &amp; focal bacterial infection in febrile patients</t>
  </si>
  <si>
    <t xml:space="preserve">Background &amp; objectives: Bacteraemia is a serious form of infection in patients presenting with fever, thus, there is a necessity for a biomarker for rapid diagnosis of bacteraemia in such patients to make better therapeutic decisions. This study was conducted to measure the serum procalcitonin (PCT) levels at the time of initial presentation as a biomarker for identifying bacteraemia and as a predictor of mortality in patients admitted with acute fever. Methods: Four hundred and eighty patients, who presented with acute fever requiring admission to a tertiary care teaching hospital in south India, were prospectively studied. All patients were evaluated with a detailed history, physical examination, laboratory and imaging studies. Baseline serum PCT was measured for each patient within six hours of admission. Results: Among patients with single infectious cause (n=275), significantly higher median serum PCT levels were evident in bacteraemia compared to leptospirosis (P=0.002), dengue (P &lt;0.001), scrub typhus (P &lt;0.001) and evident focus of infection without bacteraemia (P=0.036). By receiver-operator characteristic curve analysis, at a cut-off value of &gt;3.2 ng/ml, the sensitivity and specificity of serum PCT levels in predicting bacteraemia were 81.1 and 63.3 per cent, respectively. As per the worst-case scenario analysis, 91 (18.9%) patients had a poor outcome and these had significantly higher median serum PCT levels compared to survivors (n=389) [9.46 (2.03-44.4) vs. 1.23 (0.34-7.645); P &lt;0.001]. At a cut-off value of &gt;3.74 ng/ml, serum PCT levels at initial presentation predicted in-hospital mortality with a sensitivity and specificity of 67 and 67.5 per cent, respectively. Interpretation &amp; conclusions: Our observations suggest that serum PCT level may be a useful biomarker for identifying bacteraemia as well as predicting mortality in patients with acute fever requiring admission to hospital. © 2020 Indian Council of Medical Research. All rights reserved.</t>
  </si>
  <si>
    <t xml:space="preserve">Indian Journal of Medical Research</t>
  </si>
  <si>
    <t xml:space="preserve">10.4103/ijmr.ijmr_324_18</t>
  </si>
  <si>
    <t xml:space="preserve">https://www.scopus.com/inward/record.uri?eid=2-s2.0-85086360538&amp;doi=10.4103%2fijmr.ijmr_324_18&amp;partnerID=40&amp;md5=99651a27a4be22edaffbe5a80a742a84</t>
  </si>
  <si>
    <t xml:space="preserve">Department of Medicine, Sri Venkateswara Institute of Medical Sciences, Tirupati, Andhra Pradesh, 517 507, India; Department of Microbiology, Sri Venkateswara Institute of Medical Sciences, Tirupati, Andhra Pradesh, India; Department of Community Medicine, Sri Venkateswara Institute of Medical Sciences, Tirupati, Andhra Pradesh, India</t>
  </si>
  <si>
    <t xml:space="preserve">Harikrishna J., Department of Medicine, Sri Venkateswara Institute of Medical Sciences, Tirupati, Andhra Pradesh, 517 507, India; Mohan A., Department of Medicine, Sri Venkateswara Institute of Medical Sciences, Tirupati, Andhra Pradesh, 517 507, India; Kalyana Chakravarthi D., Department of Medicine, Sri Venkateswara Institute of Medical Sciences, Tirupati, Andhra Pradesh, 517 507, India; Chaudhury A., Department of Microbiology, Sri Venkateswara Institute of Medical Sciences, Tirupati, Andhra Pradesh, India; Kumar B., Department of Medicine, Sri Venkateswara Institute of Medical Sciences, Tirupati, Andhra Pradesh, 517 507, India; Sarma K.V.S., Department of Community Medicine, Sri Venkateswara Institute of Medical Sciences, Tirupati, Andhra Pradesh, India</t>
  </si>
  <si>
    <t xml:space="preserve">Bacteremia; Bacterial Infections; Biomarkers; Calcitonin; Humans; India; Procalcitonin; biological marker; procalcitonin; biological marker; calcitonin; procalcitonin; adult; aged; Article; bacteremia; bacterial infection; bloodstream infection; cellulitis; controlled study; dengue; diagnostic test accuracy study; Escherichia coli; female; fever; gastroenteritis; hospital mortality; human; Human immunodeficiency virus infection; leptospirosis; major clinical study; malaria; male; meningitis; pneumonia; predictive value; prospective study; pyelonephritis; receiver operating characteristic; scrub typhus; sensitivity and specificity; sepsis; thorax radiography; tuberculosis; urinary tract infection; bacteremia; bacterial infection; India; antibiotic resistance; blood culture; blood smear; bloodstream infection; body weight; computer assisted tomography; diabetes mellitus; echography; eosinophil count; fever; gene expression; hospitalization; intensive care unit; leukocyte count; microorganism detection; nuclear magnetic resonance imaging; Pseudomonas aeruginosa</t>
  </si>
  <si>
    <t xml:space="preserve">procalcitonin, 56645-65-9; calcitonin, 12321-44-7, 21215-62-3, 9007-12-9; Biomarkers, ; Calcitonin, ; Procalcitonin, </t>
  </si>
  <si>
    <t xml:space="preserve">QDx Instacheck</t>
  </si>
  <si>
    <t xml:space="preserve">Niven D.J., Laupland K.B., Pyrexia: Aetiology in the ICU, Crit Care, 20, (2016); Povoa P., Salluh J.I., Biomarker-guided antibiotic therapy in adult critically ill patients: A critical review, Ann Intensive Care, 2, (2012); Kibe S., Adams K., Barlow G., Diagnostic and prognostic biomarkers of sepsis in critical care, J Antimicrob Chemother, 66, pp. ii33-ii40, (2011); Becker K., Miller R., Nylen E., Cohen R., Siliva O., Snider R., Calcitonin gene family of peptides, Principles and Practice of Endocrinology and Metabolism, pp. 520-534, (2001); Muller B., White J.C., Nylen E.S., Snider R.H., Becker K.L., Habener J.F., Ubiquitous expression of the calcitonin-i gene in multiple tissues in response to sepsis, J Clin Endocrinol Metab, 86, pp. 396-404, (2001); Guo S.Y., Zhou Y., Hu Q.F., Yao J., Wang H., Procalcitonin is a marker of gram-negative bacteremia in patients with sepsis, Am J Med Sci, 349, pp. 499-504, (2015); Huang D.T., Yealy D.M., Filbin M.R., Brown A.M., Chang C.H., Doi Y., Et al., Procalcitonin-guided use of antibiotics for lower respiratory tract infection, N Engl J Med, 379, pp. 236-249, (2018); Van Nieuwkoop C., Bonten T.N., Van'T Wout J.W., Kuijper E.J., Groeneveld G.H., Becker M.J., Et al., Procalcitonin reflects bacteremia and bacterial load in urosepsis syndrome: A prospective observational study, Crit Care, 14, (2010); Giamarellos-Bourboulis E.J., Grecka P., Poulakou G., Anargyrou K., Katsilambros N., Giamarellou H., Assessment of procalcitonin as a diagnostic marker of underlying infection in patients with febrile neutropenia, Clin Infect Dis, 32, pp. 1718-1725, (2001); Magrini L., Gagliano G., Travaglino F., Vetrone F., Marino R., Cardelli P., Et al., Comparison between white blood cell count, procalcitonin and C reactive protein as diagnostic and prognostic biomarkers of infection or sepsis in patients presenting to emergency department, Clin Chem Lab Med, 52, pp. 1465-1472, (2014); Nakamura A., Wada H., Ikejiri M., Hatada T., Sakurai H., Matsushima Y., Et al., Efficacy of procalcitonin in the early diagnosis of bacterial infections in a critical care unit, Shock, 31, pp. 586-591, (2009); Munoz P., Simarro N., Rivera M., Alonso R., Alcala L., Bouza E., Evaluation of procalcitonin as a marker of infection in a nonselected sample of febrile hospitalized patients, Diagn Microbiol Infect Dis, 49, pp. 237-241, (2004); Kim M.H., Lim G., Kang S.Y., Lee W.I., Suh J.T., Lee H.J., Utility of procalcitonin as an early diagnostic marker of bacteremia in patients with acute fever, Yonsei Med J, 52, pp. 276-281, (2011); Chirouze C., Schuhmacher H., Rabaud C., Gil H., Khayat N., Estavoyer J.M., Et al., Low serum procalcitonin level accurately predicts the absence of bacteremia in adult patients with acute fever, Clin Infect Dis, 35, pp. 156-161, (2002); Bossink A.W., Groeneveld A.B., Thijs L.G., Prediction of microbial infection and mortality in medical patients with fever: Plasma procalcitonin, neutrophilic elastase-alpha1-antitrypsin, and lactoferrin compared with clinical variables, Clin Infect Dis, 29, pp. 398-407, (1999); Dinno A., Nonparametric pairwise multiple comparisons in independent groups using Dunn's test, Stata J, 15, pp. 292-300, (2015); Mohan A., Naik G.S., Harikrishna J., Kumar D.P., Rao M.H., Sarma K., Et al., Cleistanthus collinus poisoning: Experience at a medical intensive care unit in a tertiary care hospital in South India, Indian J Med Res, 143, pp. 793-797, (2016); Hanley J.A., McNeil B.J., The meaning and use of the area under a receiver operating characteristic (ROC) curve, Radiology, 143, pp. 29-36, (1982); Jain S., Sinha S., Sharma S.K., Samantaray J.C., Aggrawal P., Vikram N.K., Et al., Procalcitonin as a prognostic marker for sepsis: A prospective observational study, BMC Res Notes, 7, (2014); Anand D., Das S., Bhargava S., Srivastava L.M., Garg A., Tyagi N., Et al., Procalcitonin as a rapid diagnostic biomarker to differentiate between culture-negative bacterial sepsis and systemic inflammatory response syndrome: A prospective, observational, cohort study, J Crit Care, 30, pp. 218e7-21812, (2015); Qu J., Liu Y., Wang X., Evaluation of procalcitonin, C-reactive protein, interleukin-6 &amp; serum amyloid A as diagnostic biomarkers of bacterial infection in febrile patients, Indian J Med Res, 141, pp. 315-321, (2015); Opota O., Croxatto A., Prod'Hom G., Greub G., Blood culture-based diagnosis of bacteraemia: State of the art, Clin Microbiol Infect, 21, pp. 313-322, (2015); Julian-Jimenez A., Gutierrez-Martin P., Lizcano-Lizcano A., Lopez-Guerrero M.A., Barroso-Manso A., Heredero-Galvez E., Usefulness of procalcitonin and C-reactive protein for predicting bacteremia in urinary tract infections in the emergency department, Actas Urol Esp, 39, pp. 502-510, (2015); Hoeboer S.H., Vander Geest P.J., Nieboer D., Groeneveld A.B., The diagnostic accuracy of procalcitonin for bacteraemia: A systematic review and meta-analysis, Clin Microbiol Infect, 21, pp. 474-481, (2015); Charles P.E., Ladoire S., Aho S., Quenot J.P., Doise J.M., Prin S., Serum procalcitonin elevation in critically ill patients at the onset of bacteremia caused by either gram negative or gram positive bacteria, BMC Infect Dis, 8, (2008); Shehabi Y., Seppelt I., Pro/Con debate: Is procalcitonin useful for guiding antibiotic decision making in critically ill patients?, Crit Care, 12, (2008); Hatzistilianou M., Diagnostic and prognostic role of procalcitonin in infections, ScientificWorldJournal, 10, pp. 1941-1946, (2010); Mohan A., Harikrishna J., Biomarkers for the diagnosis of bacterial infections: In pursuit of the 'holy grail, Indian J Med Res, 141, pp. 271-273, (2015); Jensen J.U., Heslet L., Jensen T.H., Espersen K., Steffensen P., Tvede M., Procalcitonin increase in early identification of critically ill patients at high risk of mortality, Crit Care Med, 34, pp. 2596-2602, (2006); Hemmer C.J., Reisinger E.C., Procalcitonin levels in severe Plasmodium falciparum malaria: Predictor of outcome or reflection of pathomechanisms?, J Infect Dis, 184, pp. 1091-1092, (2001)</t>
  </si>
  <si>
    <t xml:space="preserve">J. Harikrishna; Department of Medicine, Sri Venkateswara Institute of Medical Sciences, Tirupati, Andhra Pradesh, 517 507, India; email: hari_janjam@yahoo.co.in</t>
  </si>
  <si>
    <t xml:space="preserve">IMIRE</t>
  </si>
  <si>
    <t xml:space="preserve">Indian J. Med. Res.</t>
  </si>
  <si>
    <t xml:space="preserve">2-s2.0-85086360538</t>
  </si>
  <si>
    <t xml:space="preserve">Wan Z.; Peng X.; Ma L.; Tian Q.; Wu S.; Li J.; Ling J.; Lvid W.; Ding B.; Tan J.; Zhangid Z.</t>
  </si>
  <si>
    <t xml:space="preserve">Wan, Zhengqing (57191442391); Peng, Xiaoqing (54907466400); Ma, Lu (57215866092); Tian, Qingshan (57214934458); Wu, Shizheng (55102348700); Li, Junqi (57215867648); Ling, Jie (57201300116); Lvid, Weigang (57216431126); Ding, Binrong (58177881600); Tan, Jieqiong (25648410200); Zhangid, Zhuohua (57216438372)</t>
  </si>
  <si>
    <t xml:space="preserve">57191442391; 54907466400; 57215866092; 57214934458; 55102348700; 57215867648; 57201300116; 57216431126; 58177881600; 25648410200; 57216438372</t>
  </si>
  <si>
    <t xml:space="preserve">Targeted sequencing of genomic repeat regions detects circulating cell-free Echinococcus DNA</t>
  </si>
  <si>
    <t xml:space="preserve">Background Echinococcosis is a chronic zoonosis caused by tapeworms of the genus Echinococcus. Treatment of the disease is often expensive and complicated, sometimes requiring exten-sive surgery. Ultrasonographic imaging is currently the main technique for diagnosis, while immunological analysis provides additional information. Confirmation still needs pathological analysis. However, these diagnostic techniques generally detect infection in late stages of the disease. An accurate, early and non-invasive molecular diagnostic method is still unavailable. Methodology/Principal findings We sequenced the cell-free DNA (cfDNA) from plasma of echinococcosis patients and confirmed the presence of Echinococcus DNA. To improve detection sensitivity, we developed a method based on targeted next-generation sequencing of repeat regions. Simulation experiments demonstrate that the targeted sequencing is sensitive enough to detect as little as 0.1% of an Echinococcus genome in 1 mL of plasma. Results obtained using patient plasma shows that the Area Under the Curve (AUC) of the method is 0.862, with a detection sensitivity of 62.50% and specificity of 100%, corresponding to a Youden-index of 0.625. Conclusions/Significance This study provides evidence that hydatid cysts release cfDNA fragments into patient plasma. Using the repeat region targeted sequencing method, highly specific detection of Echinococcus infection was achieved. This study paves a new avenue for potential non-invasive screening and diagnosis of echinococcosis. © 2020 Wan et al.</t>
  </si>
  <si>
    <t xml:space="preserve">e0008147</t>
  </si>
  <si>
    <t xml:space="preserve">10.1371/journal.pntd.0008147</t>
  </si>
  <si>
    <t xml:space="preserve">https://www.scopus.com/inward/record.uri?eid=2-s2.0-85082147290&amp;doi=10.1371%2fjournal.pntd.0008147&amp;partnerID=40&amp;md5=57308f06cf75350037a008c0fd468fcb</t>
  </si>
  <si>
    <t xml:space="preserve">Institute of Molecular Precision Medicine, Xiangya Hospital, Key Laboratory of Molecular Precision Medicine of Hunan Province, Central South University, Changsha, Hunan, China; Center for Medical Genetics, Central South University, Changsha, Hunan, China; School of Biological and Chemical Sciences, Queen Mary University of London, London, United Kingdom; Center for Prevention and Treatment of Echinococcosis, Qinghai Provincial People’s Hospital, Xining, Qinghai, China; Department of Neurology, Qinghai Provincial People’s Hospital, Xining, Qinghai, China; Sunrain Biotechnology Corporation, Changsha, Hunan, China; Department of Neurosciences, Hengyang Medical School, University of South China, Hengyang, Hunan, China</t>
  </si>
  <si>
    <t xml:space="preserve">Wan Z., Institute of Molecular Precision Medicine, Xiangya Hospital, Key Laboratory of Molecular Precision Medicine of Hunan Province, Central South University, Changsha, Hunan, China, Center for Medical Genetics, Central South University, Changsha, Hunan, China; Peng X., Institute of Molecular Precision Medicine, Xiangya Hospital, Key Laboratory of Molecular Precision Medicine of Hunan Province, Central South University, Changsha, Hunan, China, Center for Medical Genetics, Central South University, Changsha, Hunan, China; Ma L., School of Biological and Chemical Sciences, Queen Mary University of London, London, United Kingdom; Tian Q., Center for Prevention and Treatment of Echinococcosis, Qinghai Provincial People’s Hospital, Xining, Qinghai, China; Wu S., Department of Neurology, Qinghai Provincial People’s Hospital, Xining, Qinghai, China; Li J., Sunrain Biotechnology Corporation, Changsha, Hunan, China; Ling J., Institute of Molecular Precision Medicine, Xiangya Hospital, Key Laboratory of Molecular Precision Medicine of Hunan Province, Central South University, Changsha, Hunan, China; Lvid W., Center for Medical Genetics, Central South University, Changsha, Hunan, China; Ding B., Institute of Molecular Precision Medicine, Xiangya Hospital, Key Laboratory of Molecular Precision Medicine of Hunan Province, Central South University, Changsha, Hunan, China, Center for Medical Genetics, Central South University, Changsha, Hunan, China; Tan J., Institute of Molecular Precision Medicine, Xiangya Hospital, Key Laboratory of Molecular Precision Medicine of Hunan Province, Central South University, Changsha, Hunan, China, Center for Medical Genetics, Central South University, Changsha, Hunan, China; Zhangid Z., Institute of Molecular Precision Medicine, Xiangya Hospital, Key Laboratory of Molecular Precision Medicine of Hunan Province, Central South University, Changsha, Hunan, China, Center for Medical Genetics, Central South University, Changsha, Hunan, China, Department of Neurosciences, Hengyang Medical School, University of South China, Hengyang, Hunan, China</t>
  </si>
  <si>
    <t xml:space="preserve">Adult; Animals; DNA, Helminth; Echinococcosis; Echinococcus; Female; High-Throughput Nucleotide Sequencing; Humans; Male; Molecular Diagnostic Techniques; Plasma; Repetitive Sequences, Nucleic Acid; Sensitivity and Specificity; DNA fragment; helminth DNA; adult; aged; area under the curve; Article; bacterial gene; child; clinical article; controlled study; copy number variation; diagnostic accuracy; DNA extraction; DNA sequence; DNA sequencing; droplet digital polymerase chain reaction; echinococcosis; Echinococcus; Echinococcus granulosus; Echinococcus multilocularis; female; gene amplification; high throughput sequencing; human; male; middle aged; molecular diagnosis; multiplex polymerase chain reaction; nonhuman; noninvasive prenatal testing; predictive value; preschool child; schistosomiasis; sensitivity analysis; sequence analysis; young adult; animal; blood; chemistry; echinococcosis; Echinococcus; genetics; isolation and purification; nucleotide repeat; plasma; procedures; sensitivity and specificity</t>
  </si>
  <si>
    <t xml:space="preserve">DNA, Helminth, </t>
  </si>
  <si>
    <t xml:space="preserve">Education Department of Hunan Province, (2016TP1006); National Natural Science Foundation of China, NSFC, (61702555); Hunan Provincial Science and Technology Department, HSTD, (2018SK1030)</t>
  </si>
  <si>
    <t xml:space="preserve">This study is supported by a key laboratory grant from Hunan province (2016TP1006), a Science and Technology Major Project of Hunan Provincial Science and Technology Department (2018SK1030) and a grant from the National Natural Science Foundation of China (61702555). The funders had no role in study design, data collection and analysis, decision to publish, or preparation of the manuscript.</t>
  </si>
  <si>
    <t xml:space="preserve">Deplazes P., Rinaldi L., Alvarez Rojas C.A., Torgerson P.R., Harandi M.F., Romig T., Et al., Global Distribution of Alveolar and Cystic Echinococcosis, Adv Parasitol, 95, pp. 315-493, (2017); Echinococcosis Fact Sheet, (2014); McManus D.P., Zhang W., Li J., Bartley P.B., Echinococcosis, Lancet, 362, 9392, pp. 1295-1304, (2003); Holcman B., Heath D.D., The early stages of Echinococcus granulosus development, Acta Trop, 64, 1-2, pp. 5-17, (1997); Thompson R.C., Biology and Systematics of Echinococcus, Adv Parasitol, 95, pp. 65-109, (2017); Gharbi H.A., Hassine W., Brauner M.W., Dupuch K., Ultrasound examination of the hydatic liver, Radiology, 139, 2, pp. 459-463, (1981); Polat P., Kantarci M., Alper F., Suma S., Koruyucu M.B., Okur A., Hydatid disease from head to toe, Radio-Graphics, 23, 2, pp. 475-494, (2003); Craig P.S., McManus D.P., Lightowlers M.W., Chabalgoity J.A., Garcia H.H., Gavidia C.M., Et al., Prevention and control of cystic echinococcosis, Lancet Infect Dis, 7, 6, pp. 385-394, (2007); Zhang W., Wen H., Li J., Lin R., McManus D.P., Immunology and immunodiagnosis of cystic echinococco-sis: An update, Clin Dev Immunol, 2012, (2012); de la Rue M.L., Yamano K., Almeida C.E., Iesbich M.P., Fernandes C.D., Goto A., Et al., Serological reactivity of patients with Echinococcus infections (E. granulosus, E. vogeli, and E. multilocularis) against three antigen B subunits, Parasitol Res, 106, 3, pp. 741-745, (2010); Kalantari E., Bandehpour M., Pazoki R., Taghipoor-Lailabadi N., Khazan H., Mosaffa N., Et al., Application of recombinant Echinococcus granulosus antigen B to ELISA kits for diagnosing hydatidosis, Parasitol Res, 106, 4, pp. 847-851, (2010); Hernandez-Gonzalez A., Muro A., Barrera I., Ramos G., Orduna A., Siles-Lucas M., Usefulness of four different Echinococcus granulosus recombinant antigens for serodiagnosis of unilocular hydatid disease (UHD) and postsurgical follow-up of patients treated for UHD, Clin Vaccine Immunol, 15, 1, pp. 147-153, (2008); Feng X., Wen H., Zhang Z., Chen X., Ma X., Zhang J., Et al., Dot immunogold filtration assay (DIGFA) with multiple native antigens for rapid serodiagnosis of human cystic and alveolar echinococcosis, Acta Trop, 113, 2, pp. 114-120, (2010); Vacirca D., Perdicchio M., Campisi E., Delunardo F., Ortona E., Margutti P., Et al., Favourable prognostic value of antibodies anti-HSP20 in patients with cystic echinococcosis: A differential immunoproteomic approach, Parasite Immunol, 33, 3, pp. 193-198, (2011); Zhang W.B., Li J., Li Q., Yang D., Zhu B., You H., Et al., Identification of a diagnostic antibody-binding region on the immunogenic protein EpC1 from Echinococcus granulosus and its application in population screening for cystic echinococcosis, Clin Exp Immunol, 149, 1, pp. 80-86, (2007); Marinova I., Nikolov G., Michova A., Kurdova R., Petrunov B., Quantitative assessment of serum-specific IgE in the diagnosis of human cystic echinococcosis, Parasite Immunol., 33, 7, pp. 371-376, (2011); Bauomi I.R., El-Amir A.M., Fahmy A.M., Zalat R.S., Diab T.M., Evaluation of purified 27.5 kDa protoscolex antigen-based ELISA for the detection of circulating antigens and antibodies in sheep and human hyda-tidosis, J Helminthol, 89, 5, pp. 577-583, (2015); Raether W., Hanel H., Epidemiology, clinical manifestations and diagnosis of zoonotic cestode infec-tions: An update, Parasitol Res, 91, 5, pp. 412-438, (2003); Gottstein B., An immunoassay for the detection of circulating antigens in human echinococcosis, Am J Trop Med Hyg, 33, 6, pp. 1185-1191, (1984); Moosa R.A., Abdel-Hafez S.K., Serodiagnosis and seroepidemiology of human unilocular hydatidosis in Jordan, Parasitol Res, 80, 8, pp. 664-671, (1994); Li Y., Jia Z., Lv G., Wen H., Li P., Zhang H., Et al., Detection of Echinococcus granulosus antigen by a quan-tum dot/porous silicon optical biosensor, Biomed Opt Express, 8, 7, pp. 3458-3469, (2017); Craig P.S., Nelson G.S., The detection of circulating antigen in human hydatid disease, Ann Trop Med Parasitol, 78, 3, pp. 219-227, (1984); Sadjjadi S.M., Sedaghat F., Hosseini S.V., Sarkari B., Serum antigen and antibody detection in echinococ-cosis: Application in serodiagnosis of human hydatidosis, Korean J Parasitol, 47, 2, pp. 153-157, (2009); Devi C.S., Parija SC. A new serum hydatid antigen detection test for diagnosis of cystic echinococcosis, Am J Trop Med Hyg, 69, 5, pp. 525-528, (2003); Knapp J., Millon L., Mouzon L., Umhang G., Raoul F., Ali Z.S., Et al., Real time PCR to detect the environmental faecal contamination by Echinococcus multilocularis from red fox stools, Vet Parasitol, 201, 1-2, pp. 40-47, (2014); Al-Jawabreh A., Dumaidi K., Ereqat S., Nasereddin A., Al-Jawabreh H., Azmi K., Et al., Incidence of Echino-coccus granulosus in Domestic Dogs in Palestine as Revealed by Copro-PCR, Plos Negl Trop Dis, 9, 7, (2015); Boubaker G., Macchiaroli N., Prada L., Cucher M.A., Rosenzvit M.C., Ziadinov I., Et al., A multiplex PCR for the simultaneous detection and genotyping of the Echinococcus granulosus complex, Plos Negl Trop Dis, 7, 1, (2013); Wahlstrom H., Comin A., Isaksson M., Deplazes P., Detection of Echinococcus multilocularis by MC-PCR: Evaluation of diagnostic sensitivity and specificity without gold standard, Infect Ecol Epidemiol, 6, (2016); Knapp J., Umhang G., Poulle M.L., Millon L., Development of a Real-Time PCR for a Sensitive One-Step Coprodiagnosis Allowing both the Identification of Carnivore Feces and the Detection of Toxocara spp. And Echinococcus multilocularis, Appl Environ Microbiol, 82, 10, pp. 2950-2958, (2016); Boufana B., Umhang G., Qiu J., Chen X., Lahmar S., Boue F., Et al., Development of three PCR assays for the differentiation between Echinococcus shiquicus, E. Granulosus (G1 genotype), and E. multilocularis DNA in the co-endemic region of Qinghai-Tibet plateau, China, Am J Trop Med Hyg, 88, 4, pp. 795-802, (2013); Salant H., Abbasi I., Hamburger J., The development of a loop-mediated isothermal amplification method (LAMP) for Echinococcus granulosus [corrected] coprodetection, Am J Trop Med Hyg, 87, 5, pp. 883-887, (2012); Chaya D., Parija S.C., Performance of polymerase chain reaction for the diagnosis of cystic echinococco-sis using serum, urine, and cyst fluid samples, Trop Parasitol, 4, 1, pp. 43-46, (2014); Jiang P., Lo Y.M., The Long and Short of Circulating Cell-Free DNA and the Ins and Outs of Molecular Diagnostics, Trends Genet, 32, 6, pp. 360-371, (2016); Snyder M.W., Kircher M., Hill A.J., Daza R.M., Shendure J., Cell-free DNA Comprises an In Vivo Nucleo-some Footprint that Informs Its Tissues-Of-Origin, Cell, 164, 1-2, pp. 57-68, (2016); Breitbach S., Tug S., Helmig S., Zahn D., Kubiak T., Michal M., Et al., Direct quantification of cell-free, circulating DNA from unpurified plasma, Plos One, 9, 3, (2014); Breitbach S., Sterzing B., Magallanes C., Tug S., Simon P., Direct measurement of cell-free DNA from seri-ally collected capillary plasma during incremental exercise, J Appl Physiol (1985), 117, 2, pp. 119-130, (2014); Volik S., Alcaide M., Morin R.D., Collins C., Cell-free DNA (CfDNA): Clinical Significance and Utility in Cancer Shaped By Emerging Technologies, Mol Cancer Res, 14, 10, pp. 898-908, (2016); Kamat A.A., Baldwin M., Urbauer D., Dang D., Han L.Y., Godwin A., Et al., Plasma cell-free DNA in ovarian cancer: An independent prognostic biomarker, Cancer, 116, 8, pp. 1918-1925, (2010); Lo Y.M., Zhang J., Leung T.N., Lau T.K., Chang A.M., Hjelm N.M., Rapid clearance of fetal DNA from maternal plasma, Am J Hum Genet, 64, 1, pp. 218-224, (1999); Crowley E., Di Nicolantonio F., Loupakis F., Bardelli A., Liquid biopsy: Monitoring cancer-genetics in the blood, Nat Rev Clin Oncol, 10, 8, pp. 472-484, (2013); Lo Y.M., Hjelm N.M., Fidler C., Sargent I.L., Murphy M.F., Chamberlain P.F., Et al., Prenatal diagnosis of fetal RhD status by molecular analysis of maternal plasma, N Engl J Med., 339, 24, pp. 1734-1738, (1998); Chan K.C., Jiang P., Sun K., Cheng Y.K., Tong Y.K., Cheng S.H., Et al., Second generation noninvasive fetal genome analysis reveals de novo mutations, single-base parental inheritance, And Preferred DNA Ends. Proc Natl Acad Sci U S A, 113, 50, pp. E8159-E8E68, (2016); Lv W., Wei X., Guo R., Liu Q., Zheng Y., Chang J., Et al., Noninvasive prenatal testing for Wilson disease by use of circulating single-molecule amplification and resequencing technology (CSMART), Clin Chem, 61, 1, pp. 172-181, (2015); Guo S., Diep D., Plongthongkum N., Fung H.L., Zhang K., Zhang K., Identification of methylation haplotype blocks aids in deconvolution of heterogeneous tissue samples and tumor tissue-of-origin mapping from plasma DNA, Nat Genet, 49, 4, pp. 635-642, (2017); Li Z., Guo X., Tang L., Peng L., Chen M., Luo X., Et al., Methylation analysis of plasma cell-free DNA for breast cancer early detection using bisulfite next-generation sequencing, Tumour Biol, 37, 10, pp. 13111-13119, (2016); Sun K., Jiang P., Chan K.C., Wong J., Cheng Y.K., Liang R.H., Et al., Plasma DNA tissue mapping by genome-wide methylation sequencing for noninvasive prenatal, cancer, and transplantation assess-ments, Proc Natl Acad Sci U S A, 112, 40, pp. E5503-E5512, (2015); de Vlaminck I., Martin L., Kertesz M., Patel K., Kowarsky M., Strehl C., Et al., Noninvasive monitoring of infection and rejection after lung transplantation, Proc Natl Acad Sci U S A, 112, 43, pp. 13336-13341, (2015); de Vlaminck I., Valantine H.A., Snyder T.M., Strehl C., Cohen G., Luikart H., Et al., Circulating cell-free DNA enables noninvasive diagnosis of heart transplant rejection, Sci Transl Med, 6, 241, pp. 241-277, (2014); Schutz E., Fischer A., Beck J., Harden M., Koch M., Wuensch T., Et al., Graft-derived cell-free DNA, a nonin-vasive early rejection and graft damage marker in liver transplantation: A prospective, observational, multicenter cohort study, Plos Med, 14, 4, (2017); Snyder T.M., Khush K.K., Valantine H.A., Quake S.R., Universal noninvasive detection of solid organ transplant rejection, Proc Natl Acad Sci U S A, 108, 15, pp. 6229-6234, (2011); Akirav E.M., Lebastchi J., Galvan E.M., Henegariu O., Akirav M., Ablamunits V., Et al., Detection of beta cell death in diabetes using differentially methylated circulating DNA, Proc Natl Acad Sci U S A, 108, 47, pp. 19018-19023, (2011); Lehmann-Werman R., Neiman D., Zemmour H., Moss J., Magenheim J., Vaknin-Dembinsky A., Et al., Identification of tissue-specific cell death using methylation patterns of circulating DNA, Proc Natl Acad Sci U S A, 113, 13, pp. E1826-E1834, (2016); Olsen J.A., Kenna L.A., Tipon R.C., Spelios M.G., Stecker M.M., Akirav E.M., A Minimally-invasive Blood-derived Biomarker of Oligodendrocyte Cell-loss in Multiple Sclerosis, Ebiomedicine, 10, pp. 227-235, (2016); Grumaz S., Stevens P., Grumaz C., Decker S.O., Weigand M.A., Hofer S., Et al., Next-generation sequencing diagnostics of bacteremia in septic patients, Genome Med, 8, 1, (2016); Weerakoon K.G., McManus D.P., Cell-Free DNA as a Diagnostic Tool for Human Parasitic Infections, Trends Parasitol, 32, 5, pp. 378-391, (2016); Dwivedi D.J., Toltl L.J., Swystun L.L., Pogue J., Liaw K.L., Weitz J.I., Et al., Prognostic utility and characterization of cell-free DNA in patients with severe sepsis, Crit Care, 16, 4, (2012); Brunetti E., Kern P., Vuitton D.A., Writing Panel for the W-I. Expert consensus for the diagnosis and treatment of cystic and alveolar echinococcosis in humans, Acta Trop, 114, 1, pp. 1-16, (2010); Novak P., Neumann P., Pech J., Steinhaisl J., Macas J., RepeatExplorer: A Galaxy-based web server for genome-wide characterization of eukaryotic repetitive elements from next-generation sequence reads, Bioinformatics, 29, 6, pp. 792-793, (2013); Aziz A., Zhang W., Li J., Loukas A., McManus D.P., Mulvenna J., Proteomic characterisation of Echinococ-cus granulosus hydatid cyst fluid from sheep, cattle and humans, J Proteomics, 74, 9, pp. 1560-1572, (2011); Baraquin A., Hervouet E., Richou C., Flori P., Peixoto P., Azizi A., Et al., Circulating cell-free DNA in patients with alveolar echinococcosis, Mol Biochem Parasitol, 222, pp. 14-20, (2018)</t>
  </si>
  <si>
    <t xml:space="preserve">Z. Zhangid; Institute of Molecular Precision Medicine, Xiangya Hospital, Key Laboratory of Molecular Precision Medicine of Hunan Province, Central South University, Changsha, China; email: zhangzhuohua@sklmg.edu.cn</t>
  </si>
  <si>
    <t xml:space="preserve">2-s2.0-85082147290</t>
  </si>
  <si>
    <t xml:space="preserve">Polwiang S.</t>
  </si>
  <si>
    <t xml:space="preserve">Polwiang, Sittisede (42561665100)</t>
  </si>
  <si>
    <t xml:space="preserve">The time series seasonal patterns of dengue fever and associated weather variables in Bangkok (2003-2017)</t>
  </si>
  <si>
    <t xml:space="preserve">Background: In Thailand, dengue fever is one of the most well-known public health problems. The objective of this study was to examine the epidemiology of dengue and determine the seasonal pattern of dengue and its associate to climate factors in Bangkok, Thailand, from 2003 to 2017. Methods: The dengue cases in Bangkok were collected monthly during the study period. The time-series data were extracted into the trend, seasonal, and random components using the seasonal decomposition procedure based on loess. The Spearman correlation analysis and artificial neuron network (ANN) were used to determine the association between climate variables (humidity, temperature, and rainfall) and dengue cases in Bangkok. Results: The seasonal-decomposition procedure showed that the seasonal component was weaker than the trend component for dengue cases during the study period. The Spearman correlation analysis showed that rainfall and humidity played a role in dengue transmission with correlation efficiency equal to 0.396 and 0.388, respectively. ANN showed that precipitation was the most crucial factor. The time series multivariate Poisson regression model revealed that increasing 1% of rainfall corresponded to an increase of 3.3% in the dengue cases in Bangkok. There were three models employed to forecast the dengue case, multivariate Poisson regression, ANN, and ARIMA. Each model displayed different accuracy, and multivariate Poisson regression was the most accurate approach in this study. Conclusion: This work demonstrates the significance of weather in dengue transmission in Bangkok and compares the accuracy of the different mathematical approaches to predict the dengue case. A single model may insufficient to forecast precisely a dengue outbreak, and climate factor may not only indicator of dengue transmissibility. © 2020 The Author(s).</t>
  </si>
  <si>
    <t xml:space="preserve">BioMed Central Ltd.</t>
  </si>
  <si>
    <t xml:space="preserve">10.1186/s12879-020-4902-6</t>
  </si>
  <si>
    <t xml:space="preserve">https://www.scopus.com/inward/record.uri?eid=2-s2.0-85081924166&amp;doi=10.1186%2fs12879-020-4902-6&amp;partnerID=40&amp;md5=ab3841b8305b6d5415f8734ee9cfd034</t>
  </si>
  <si>
    <t xml:space="preserve">Department of Mathematics, Faculty of Science, Silpakorn University, Nakhon Pathom, 73000, Thailand; Center of Excellence in Mathematics, CHE, Bangkok, 10400, Thailand</t>
  </si>
  <si>
    <t xml:space="preserve">Polwiang S., Department of Mathematics, Faculty of Science, Silpakorn University, Nakhon Pathom, 73000, Thailand, Center of Excellence in Mathematics, CHE, Bangkok, 10400, Thailand</t>
  </si>
  <si>
    <t xml:space="preserve">ARIMA; Artificial neuron network; Dengue fever; Poisson regression</t>
  </si>
  <si>
    <t xml:space="preserve">Dengue; Disease Outbreaks; Humans; Humidity; Incidence; Interrupted Time Series Analysis; Models, Theoretical; Neural Networks, Computer; Poisson Distribution; Rain; Seasons; Temperature; Thailand; Weather; rain; Article; artificial neural network; correlational study; decomposition; dengue hemorrhagic fever; disease transmission; forecasting; human; humidity; incidence; measurement accuracy; nonhuman; precipitation; seasonal variation; temperature measurement; Thailand; time series analysis; trend study; weather; dengue; epidemic; Poisson distribution; season; temperature; theoretical model</t>
  </si>
  <si>
    <t xml:space="preserve">Center of Excellence in Mathematics</t>
  </si>
  <si>
    <t xml:space="preserve">This work was supported by funding from the Center of Excellence in Mathematics, The commission of higher education, Thailand. This funding source had no role in the design of this study and will not have any role during its calculation, analyses, interpretation of the data, or decision to submit results.</t>
  </si>
  <si>
    <t xml:space="preserve">Comprehensive Guidelines for Prevention and Control of Dengue and Dengue Haemorrhagic Fever, (2011); (2018); Back A., Lundkvist A., Dengue viruses-an overview, Infect Ecol Epidemiol., 3, (2013); (2019); (2018); Kongsin S., Jiamton S., Suaya J., Vasanawathana S., Si Risuvan P., Shepard D., Cost of dengue in Thailand, Dengue Bull, 34, pp. 77-88, (2010); Liu-Helmersson J., Stenlund H., Wilder-Smith A., Rocklov J., Vectorial capacity of Aedes aegypti: Effects of temperature and implications for global dengue epidemic potential, PLoS ONE, 9, 3, (2014); Thammapalo S., Chongsuwiwatwong V., McNeil D., Geater A., The climatic factors influencing the occurrence of dengue hemorrhagic fever in Thailand, Southeast Asian J Trop Med Public Health, 36, pp. 191-196, (2005); Phanitchat T., Zhao B., Haque U., Et al., Spatial and temporal patterns of dengue incidence in northeastern Thailand 2006-2016, BMC Infect Dis, 19, (2019); Aburas H., Cetiner B., Sari M., Dengue confirmed-cases prediction: A neural network model, Expert Syst Appl, 37, 6, pp. 4256-4260, (2010); Lee H., Nguyen-Viet H., Nam V., Lee M., Won S., Duc P., Grace P., Seasonal patterns of dengue fever and associated climate factors in 4 provinces in Vietnam from 1994 to 2013, BMC Infect Dis, 17, (2017); Sang S., Gu S., Bi P., Yang W., Yang Z., Predicting unprecedented dengue outbreak using imported cases and climatic factors in Guangzhou, PLoS Negl Trop Dis, 9, 5, (2014); Johansson M., Reich N., Hota A., Brownstein J., Santillana M., Evaluating the performance of infectious disease forecasts: A comparison of climate-driven and seasonal dengue forecasts for Mexico, Sci Rep., 6, (2016); Cortes F., Martelli C., Ximenes R., Montarroyos U., Siqueira J., Cruz O., Alexander N., De Souza W., Time series analysis of dengue surveillance data in two brazilian cities, Acta Trop, 182, pp. 190-197, (2018); (2018); Silawan T., Singhasivanon P., Kaewkungwal J., Nimmanitya S., Suwonkerd W., Temporal patterns and forecast of dengue infection in northeastern Thailand, Southeast Asian J Trop Med Public Health, 39, pp. 90-98, (2008); Ehelepola N., Ariyaratne K., Buddhadasa W., Ratnayake S., Wickramasinghe M., A study of the correlation between dengue and weather in Kandy city, Sri lanka (2003-2012) and lessons learned, Infect Dis Poverty, 4, (2015); Bekoe C., Pansombut T., Riyapan P., Kakchapati S., Phon-On A., Modeling the geographic consequence and pattern of dengue fever transmission in Thailand, J Res Health Sci, 17, 2, (2017); Xu Z., Bambrick H., Yakob L., Devine G., Lu J., Frentiu F., Yang W., Williams G., Hu W., Spatiotemporal patterns and climatic drivers of severe dengue in thailand, Sci Total Environ, 656, pp. 889-901, (2019); Nagao Y., Thavara U., Chitnumsup P., Tawatsin A., Chansang C., Climatic and social risk factors for aedes infestation in rural Thailand, Trop Med Int Health, 8, pp. 650-659, (2003); Benedum C., Seidahmed O., Eltahir E., Markuzon N., Statistical modeling of the effect of rainfall flushing on dengue transmission in Singapore, PLoS Negl Trop Dis, 12, 12, (2018); Azil A., Long S., Ritchie S., Williams C., The development of predictive tools for pre-emptive dengue vector control: A study of aedes aegypti abundance and meteorological variables in north queensland, australia, Trop Med Int Heal, 15, pp. 1190-1197, (2010); Da Cruz Ferreira D., Degener C., De Almeida Marques-Toledo C., Bendati M., Fetzer L., Teixeira C., Eiras A., Meteorological variables and mosquito monitoring are good predictors for infestation trends of aedes aegypti, the vector of dengue, chikungunya and zika, Parasit Vectors, 10, 1, (2017); Choi Y., Tang C., McIver L., Effects of weather factors on dengue fever incidence and implications for interventions in Cambodia, BMC Public Health, 16, (2016); Struchiner C., Rocklov J., Wilder-Smith A., Massad E., Increasing dengue incidence in Singapore over the past 40 years: Population growth, climate and mobility, PLoS ONE, 10, 8, (2015); Siriyasatien P., Phumee A., Ongruk P., Jampachaisri K., Kesorn K., Analysis of significant factors for dengue fever incidence prediction, BMC Bioinformatics, 17, (2016); Li Y., Kamara F., Zhou G., Puthiyakunnon S., Li C., Liu Y., Zhou Y., Yao L., Yan G., Chen X., Urbanization increases aedes albopictus larval habitats and accelerates mosquito development and survivorship, PLoS Negl Trop Dis, 8, 11, (2014); Chastel C., Eventual role of asymptomatic cases of dengue for the introduction and spread of dengue viruses in non-endemic regions, Front Physiol, 3, (2012); Stoddard S., Morrison A., Vazquez-Prokopec G., Paz Soldan V., Kochel T., Kitron U., The role of human movement in the transmission of vector-borne pathogens, PLoS Negl Trop Dis, 3, 7, (2009)</t>
  </si>
  <si>
    <t xml:space="preserve">S. Polwiang; Department of Mathematics, Faculty of Science, Silpakorn University, Nakhon Pathom, 73000, Thailand; email: jod3144228@gmail.com</t>
  </si>
  <si>
    <t xml:space="preserve">2-s2.0-85081924166</t>
  </si>
  <si>
    <t xml:space="preserve">Buckingham S.D.; Mann H.-J.; Hearnden O.K.; Sattelle D.B.</t>
  </si>
  <si>
    <t xml:space="preserve">Buckingham, Steven D. (7006313456); Mann, Harry-Jack (57301881800); Hearnden, Olivia K. (57218418753); Sattelle, David B. (7006226532)</t>
  </si>
  <si>
    <t xml:space="preserve">7006313456; 57301881800; 57218418753; 7006226532</t>
  </si>
  <si>
    <t xml:space="preserve">Turning a Drug Target into a Drug Candidate: A New Paradigm for Neurological Drug Discovery?</t>
  </si>
  <si>
    <t xml:space="preserve">The conventional paradigm for developing new treatments for disease mainly involves either the discovery of new drug targets, or finding new, improved drugs for old targets. However, an ion channel found only in invertebrates offers the potential of a completely new paradigm in which an established drug target can be re-engineered to serve as a new candidate therapeutic agent. The L-glutamate-gated chloride channels (GluCls) of invertebrates are absent from vertebrate genomes, offering the opportunity to introduce this exogenous, inhibitory, L-glutamate receptor into vertebrate neuronal circuits either as a tool with which to study neural networks, or a candidate therapy. Epileptic seizures can involve L-glutamate-induced hyper-excitation and toxicity. Variant GluCls, with their inhibitory responses to L-glutamate, when engineered into human neurons, might counter the excitotoxic effects of excess L-glutamate. In reviewing recent studies on model organisms, it appears that this approach might offer a new paradigm for the development of candidate therapeutics for epilepsy. © 2020 The Authors. BioEssays published by Wiley Periodicals LLC</t>
  </si>
  <si>
    <t xml:space="preserve">BioEssays</t>
  </si>
  <si>
    <t xml:space="preserve">10.1002/bies.202000011</t>
  </si>
  <si>
    <t xml:space="preserve">https://www.scopus.com/inward/record.uri?eid=2-s2.0-85089143664&amp;doi=10.1002%2fbies.202000011&amp;partnerID=40&amp;md5=2705c05f7c013b25ff92b396318f43a6</t>
  </si>
  <si>
    <t xml:space="preserve">School of Biological and Chemical Sciences, Queen Mary University London, Mile End Road, London, E1 4NS, United Kingdom; UCL Respiratory, University College London, 5 University Street, London, WC1E 6JF, United Kingdom</t>
  </si>
  <si>
    <t xml:space="preserve">Buckingham S.D., School of Biological and Chemical Sciences, Queen Mary University London, Mile End Road, London, E1 4NS, United Kingdom, UCL Respiratory, University College London, 5 University Street, London, WC1E 6JF, United Kingdom; Mann H.-J., UCL Respiratory, University College London, 5 University Street, London, WC1E 6JF, United Kingdom; Hearnden O.K., UCL Respiratory, University College London, 5 University Street, London, WC1E 6JF, United Kingdom; Sattelle D.B., UCL Respiratory, University College London, 5 University Street, London, WC1E 6JF, United Kingdom</t>
  </si>
  <si>
    <t xml:space="preserve">chemogenetic tool; epilepsy; ivermectin; L-glutamate-gated chloride channel; novel therapy</t>
  </si>
  <si>
    <t xml:space="preserve">Drug Discovery; Glutamic Acid; Humans; Neurons; Pharmaceutical Preparations; anticonvulsive agent; antiparasitic agent; chloride channel; drug receptor; glutamate receptor; glutamic acid; ivermectin; natural product; drug; glutamic acid; anticonvulsant activity; Article; Caenorhabditis elegans; crystal structure; drug design; drug mechanism; drug repositioning; epilepsy; human; invertebrate; neurobiology; nonhuman; ocular onchocerciasis; vertebrate; drug development; nerve cell</t>
  </si>
  <si>
    <t xml:space="preserve">glutamic acid, 11070-68-1, 138-15-8, 56-86-0, 6899-05-4; ivermectin, 70288-86-7; Glutamic Acid, ; Pharmaceutical Preparations, </t>
  </si>
  <si>
    <t xml:space="preserve">Alexander S.P.H., Mathie A., Peters J.A., Br. J. Pharmacol., 164, (2011); Hansen K.B., Yi F., Perszyk R.E., Furukawa H., Wollmuth L.P., Gibb A.J., Traynelis S.F., J. Gen. Physiol., 150, (2018); Liu J., Chang L., Song Y., Li H., Wu Y., Front. Neurosci., 13, (2019); Berridge M.J., J. Physiol., 592, (2014); Takahashi K., Foster J.B., Lin C.L.G., Cell. Mol. Life Sci., 72, (2015); Sery O., Sultana N., Kashem M.A., Pow D.V., Blcar V.J., Neurochem. Res., 40, (2015); Wang J., Lin Z.-J., Liu L., Xu H.-Q., Shi Y.-W., He N., Liao W.-P., Seizure, 44, (2017); Hubbard J.A., Szu J.I., Yonan J.M., Binder D.K., Exp. Neurol., 283, (2016); Sun D.A., Sombati S., Blair R.E., DeLorenzo R.J., Epilepsia, 43, (2002); Mattson M.P., Stress: Physiology, Biochemistry, and Pathology, (2019); Zhang S., Zhu Y., Cheng J., Tao J., Epilepsy: Advances in Diagnosis and Therapy, (2019); Wolstenholme A.J., J. Biol. Chem., 287, (2012); Raymond V., Sattelle D.B., Nat. Rev. Drug Discovery, 1, (2002); Cull-Candy S.G., Usherwood P.N., Nature, New Biol., 246, (1973); Cull-Candy S.G., J. Physiol., 255, (1976); Wafford K.A., Sattelle D.B., Neurosci. Lett., 63, (1986); Bidaut M., J. Neurophysiol., 44, (1980); Marder E., Eisen J.S., J. Neurophysiol., 51, (1984); Marder E., Paupardin-Tritsch D., J. Physiol., 280, (1978); Dutertre S., Drwal M., Laube B., Betz H., J. Neurochem., 122, (2012); Colquhoun D., Sivilotti L.G., Trends Neurosci., 27, (2004); Vercruysse J., Rew R., Macrocyclic Lactones in Antiparasitic Therapy, pp. 1-464, (2002); Campbell W.C., Benz G.W., J. Vet. Pharmacol. Ther., 7, (1984); Crump A., Omura S., Proc. Jpn. Acad., Ser. B, 87, (2011); Campbell W.C., Parasitol. Today, 1, (1985); Furutani S., Nakatani Y., Miura Y., Ihara M., Kai K., Hayashi H., Matsuda K., Sci. Rep., 4, (2014); Feng X.-P., Hayashi J., Beech R.N., Prichard R.K., J. Neurochem, 83, (2002); Shan Q., Haddrill J.L., Lynch J.W., J. Biol. Chem., 276, (2001); Goudie A.C., Evans N.A., Gration K.A.F., Bishop B.F., Gibson S.P., Holdom K.S., Kaye B., Wicks S.R., Lewis D., Weatherley A.J., Bruce C.I., Herbert A., Seymour D.J., Parasitology, 49, (1993); Banks B.J., Bishop B.F., Evans N.A., Gibson S.P., Goudie A.C., Gration K.A., Pacey M.S., Perry D.A., Witty M.J., Bioorg. Med. Chem., 8, (2000); The Merck Index Online – chemicals, drugs and biologicals; Meister R.T., Sine C., Crop protection Handbook, (2014); Shoop W.L., Egerton J.R., Eary C.H., Haines H.W., Michael B.F., Mrozik H., Eskola P., Fisher M.H., Slayton L., Ostlind D.A., Skelly B.J., Fulton R.K., Barth D., Costa S., Gregory L.M., Campbell W.C., Seward R.L., Turner M.J., Int. J. Parasitol., 26, (1996); Paraud C., Marcotty T., Lespine A., Sutra J.F., Pors I., Devos I., Vet. Parasitol., 226, (2016); V. Melchers N.V.S., Mollenkopf S., Colebunders R., Edlinger M., Coffeng L.E., Irani J., Zola T., Siewe J.N., de Vlas S.J., Winkler A.S., Stolk W.A., Infect. Dis. Poverty, 7, (2018); Ottesen E.A., Advances in Parasitology, pp. 395-441, (2006); The Nobel Prize in Physiology or Medicine 2015. NobelPrize.org; Prichard R.K., Expert Opin. Drug Discovery, 2, (2007); Wyk J.V., Malan F.S., Vet. Rec., 123, (1988); Dent J.A., Smith M.M., Vassilatis D.K., Avery L., Proc. Natl. Acad. Sci. USA, 97, (2000); Ghosh R., Andersen E.C., Shapiro J.A., Gerke J.P., Kruglyak L., Science, 335, (2012); Urdaneta-Marquez L., Bae S.H., Janukavicius P., Beech R., Dent J., Prichard R., Int. J. Parasitol., 44, (2014); George A., Rao C.N., Ghike S., Dhengre V., J. Econ. Entomol., 110, (2017); Ferguson J.S., J. Econ. Entomol., 97, (2004); Wei Q.-B., Lei Z.-R., Nauen R., Cai D.-C., Gao Y.-L., Insect Sci., 22, (2015); Wei P., Che W., Wang J., Xiao D., Wang R., Luo C., Pestic. Biochem. Physiol., 145, (2018); Luo L., Sun Y.-J., Wu Y.-J., Insect Biochem. Mol. Biol., 43, (2013); Hayashi H., Takiuchi K., Murao S., Arai M., Agric. Biol. Chem., 53, (1989); Raymond-Delpech V., Matsuda K., Sattelle B.M., Rauh J.J., Sattelle D.B., Invertebr. Neurosci., 5, (2005); Furutani S., Okuhara D., Hashimoto A., Ihara M., Kai K., Hayashi H., Sattelle D.B., Matsuda K., Biosci., Biotechnol., Biochem., 81, (2017); Furutani S., Ihara M., Lees K., Buckingham S.D., Partridge F.A., David J.A., Patel R., Warchal S., Mellor I.R., Matsuda K., Sattelle D.B., Int. J. Parasitol., 8, (2018); Baran P.S., Guerrero C.A., Corey E.J., J. Am. Chem. Soc., 125, (2003); Roe J.M., Webster R.A.B., Ganesan A., Org. Lett., 5, (2003); Hewitt P.R., Cleator E., Ley S.V., Org. Biomol. Chem., 2, (2004); Kato N., Furutani S., Otaka J., Noguchi A., Kinugasa K., Kai K., Hayashi H., Ihara M., Takahashi S., Matsuda K., Osada H., ACS Chem. Biol., 13, (2018); Hibbs R.E., Gouaux E., Nature, 474, (2011); Miyazawa A., Fujiyoshi Y., Stowell M., Unwin N., J. Mol. Biol., 288, (1999); Unwin N., J. Mol. Biol., 346, (2005); Dellisanti C.D., Yao Y., Stroud J.C., Wang Z.-Z., Chen L., Nat. Neurosci., 10, (2007); Brejc K., van Dijk W.J., Klaassen R.V., Schuurmans M., Oost J.V.D., Smit A.B., Sixma T.K., Nature, 411, (2001); Ulens C., Hogg R.C., Celie P.H., Bertrand D., Tsetlin T., Smit A.B., Sixma T.K., Proc. Natl. Acad. Sci. USA, 103, (2006); Rucktooa P., Smit A.B., Sixma T.K., Biochem. Pharmacol., 78, (2009); Daeffler K.N.M., Lester H.A., Dougherty D.A., ACS Chem. Biol., 9, (2014); Slimko E.M., McKinney S., Anderson D.J., Davidson N., Lester H.A., J. Neurosci., 22, (2002); Zhong W., Gallivan J.P., Zhang Y., Li L., Lester H.A., Dougherty D.A., Proc. Natl. Acad. Sci. USA, 95, (1998); Lerchner W., Xiao C., Nashmi R., Slimko E.M., Trigt L.V., Lester H.A., Anderson D.J., Neuron, 54, (2007); Frazier S.J., Cohen B.N., Lester H.A., J. Biol. Chem., 288, (2013); Lieb A., Qiu Y., Dixon C.L., Heller J.P., Walker M.C., Schorge S., Kullmann D.M., Nat. Med., 24, (2018); Chen N., Luo T., Wellington C., Metzler M., McCutcheon K., Hayden M.R., Raymond L.A., J. Neurochem., 72, (1999); Lau A., Tymianski M., Pflgers Arch. – Eur. J. Physiol., 460, (2010); Lewerenz J., Maher P., Front. Neurosci., 9, (2015); Wever C.M., Farrington D., Dent J.A., PLoS One, 10, (2015); Callanan M.K., Habibi S.A., Law W.J., Nazareth K., Komuniecki R.L., Forrester S.G., Int. J. Parasitol., 8, (2018); Putrenko I., Zakikhani M., Dent J.A., J. Biol. Chem., 280, (2005); Dufour V., Beech R.N., Wever C., Dent J.A., Geary T.G., PLoS Pathog., 9, (2013); MacDonald K., Buxton S., Kimber M.J., Day T.A., Robertson A.P., Ribeiro P., PLoS Pathog., 10, (2014); O'Neill H.C., Laverty D.C., Patzlaff N.E., Cohen B.N., Fonck C., McKinney S., McIntosh J.M., Lindstrom J.M., Lester H.A., Grady S.R., Marks M.J., Pharmacol. Biochem. Behav., 103, (2013); Ihara M., Buckingham S.D., Matusuda K., Sattelle D.B., Curr. Med. Chem., 24, (2017); Thompson A.J., Lummis S.C.R., Curr. Pharm. Des., 12, (2006); Seljeset S., Laverty D., Smart T.G., Adv. Pharmacol., 72, (2015); Sattelle D.B., Advances in Insect Physiology, pp. 1-113, (1990); Buckingham S.D., Ihara M., Sattelle D.B., Matsuda K., Curr. Med. Chem., 24, (2017); Constanti A., Houamed K.M., Smart T.G., Bilbe G., Brown D.A., Barnard E.A., Neuropharmacology, 23, (1984); Davies P.A., Wang W., Hales T.G., Kirkness E.F., J. Biol. Chem., 278, (2003); Mounsey K.E., Dent J.A., Holt D.C., McCarthy J., Currie B.J., Walton S.F., Invertebr. Neurosci., 7, (2007); Takeuchi A., Takeuchi N., J. Physiol., 170, (1964); Ranganathan R., Cannon S.C., Horvitz H.R., Nature, 408, (2000); Pirri J.K., McPherson A.D., Donnelly J.L., Francis M.M., Alkema M.J., Neuron, 62, (2009); Rao V.T.S., Siddiqui S.Z., Prichard R.K., Forrester S.G., Mol. Biochem. Parasitol., 166, (2009); Hardie R.C., Nature, 339, (1989); Beg A.A., Jorgensen E.M., Nat. Neurosci., 6, (2003)</t>
  </si>
  <si>
    <t xml:space="preserve">D.B. Sattelle; UCL Respiratory, University College London, 5 University Street, London, WC1E 6JF, United Kingdom; email: d.sattelle@ucl.ac.uk</t>
  </si>
  <si>
    <t xml:space="preserve">BIOEE</t>
  </si>
  <si>
    <t xml:space="preserve">2-s2.0-85089143664</t>
  </si>
  <si>
    <t xml:space="preserve">Gautam K.; Jangir S.K.; Kumar M.; Sharma J.</t>
  </si>
  <si>
    <t xml:space="preserve">Gautam, Kanika (57574041200); Jangir, Sunil Kumar (57191277751); Kumar, Manish (57204637862); Sharma, Jay (57574041300)</t>
  </si>
  <si>
    <t xml:space="preserve">57574041200; 57191277751; 57204637862; 57574041300</t>
  </si>
  <si>
    <t xml:space="preserve">Malaria detection system using convolutional neural network algorithm</t>
  </si>
  <si>
    <t xml:space="preserve">Malaria is a disease caused when a female Anopheles mosquito bites. There are over 200 million cases recorded per year with more than 400,000 deaths. Current methods of diagnosis are effective; however, they work on technologies that do not produce higher accuracy results. Henceforth, to improve the prediction rate of the disease, modern technologies need to be performed for obtain accurate results. Deep learning algorithms are developed to detect, learn, and determine the containing parasites from the red blood smears. This chapter shows the implementation of a deep learning algorithm to identify the malaria parasites with higher accuracy. © 2020, IGI Global.</t>
  </si>
  <si>
    <t xml:space="preserve">Machine Learning and Deep Learning in Real-Time Applications</t>
  </si>
  <si>
    <t xml:space="preserve">10.4018/978-1-7998-3095-5.ch010</t>
  </si>
  <si>
    <t xml:space="preserve">https://www.scopus.com/inward/record.uri?eid=2-s2.0-85099555366&amp;doi=10.4018%2f978-1-7998-3095-5.ch010&amp;partnerID=40&amp;md5=785d73b5af43ed59c8d045cfd1e3e040</t>
  </si>
  <si>
    <t xml:space="preserve">Mody University of Science and Technology, Lakshmangarh, India; Department of Computer Science and Engineering, Mody University of Science and Technology, Sikar, Rajasthan, India; Department of Biomedical Engineering, Mody University of Science and Technology, Sikar, Rajasthan, India; Department of Information Technology, JECRC, Jaipur, India</t>
  </si>
  <si>
    <t xml:space="preserve">Gautam K., Mody University of Science and Technology, Lakshmangarh, India; Jangir S.K., Department of Computer Science and Engineering, Mody University of Science and Technology, Sikar, Rajasthan, India; Kumar M., Department of Biomedical Engineering, Mody University of Science and Technology, Sikar, Rajasthan, India; Sharma J., Department of Information Technology, JECRC, Jaipur, India</t>
  </si>
  <si>
    <t xml:space="preserve">Convolutional Neural Networks-Brief Study, (2018); Bibin D., Nair M.S., Punitha P., Malaria Parasite Detection from Peripheral Blood Smear Images Using Deep Belief Networks, IEEE Access: Practical Innovations, Open Solutions, 5, pp. 9099-9108, (2017); Deep learning wizard, (2020); Dong Y., Jiang Z., Shen H., David Pan W., Classification Accuracies of Malaria Infected Cells Using Deep Convolutional Neural Networks Based on Decompressed Images., Conference Proceedings - IEEE SOUTHEASTCON, pp. 1-6, (2017); Dong Y., Jiang Z., Shen H., Pan W.D., Evaluations of Deep Convolutional Neural Networks for Automatic Identification of Malaria Infected Cells, 2017 IEEE EMBS International Conference on Biomedical and Health Informatics, BHI 2017, pp. 101-104, (2017); Infected and Uninfected Image Datasets; Khan N.A., Pervaz H., Latif A., Musharaff A., Unsupervised Identification of Malaria Parasites Using Computer Vision, Pakistan Journal of Pharmaceutical Sciences, 30, 1, pp. 223-228, (2017); Liang Z., CNN-Based Image Analysis for Malaria Diagnosis, Proceedings - 2016 IEEE International Conference on Bioinformatics and Biomedicine, BIBM 2016, pp. 493-496, (2017); Nanoti A., Jain S., Gupta C., Vyas G., Detection of Malaria Parasite Species and Life Cycle Stages Using Microscopic Images of Thin Blood Smear, Proceedings of the International Conference on Inventive Computation Technologies, ICICT 2016, 1, pp. 1-6, (2017); Nugroho H.A., Akbar S.A., Herdiana Murhandarwati E., Feature Extraction and Classification for Detection Malaria Parasites in Thin Blood Smear, ICITACEE 2015 - 2nd International Conference on Information Technology, Computer, and Electrical Engineering: Green Technology Strengthening in Information Technology, Electrical and Computer Engineering Implementation Proceedings, 1, pp. 197-201, (2016); Object Detection Technique for Malaria Parasite in Thin Blood Smear Images, Proceedings - 2017 IEEE International Conference on Bioinformatics and Biomedicine, BIBM 2017, pp. 2120-2123, (2017); Poostchi M., Silamut K., Maude R.J., Jaeger S., Thoma G., Image Analysis and Machine Learning for Detecting Malaria, Translational Research; the Journal of Laboratory and Clinical Medicine, 194, pp. 36-55, (2018); Rahman A., Improving Malaria Parasite Detection from Red Blood Cell Using Deep Convolutional Neural Networks, (2019); (2019); Shen H., Pan W.D., Dong Y., Alim M., Lossless Compression of Curated Erythrocyte Images Using Deep Autoencoders for Malaria Infection Diagnosis, 2016 Picture Coding Symposium, PCS 2016, pp. 1-5, (2017); Widiawati C.R.A., Nugroho H.A., Ardiyanto I., Plasmodium Detection Methods in Thick Blood Smear Images for Diagnosing Malaria: A Review, Proceedings - 20161st International Conference on Information Technology, Information Systems and Electrical Engineering, ICITISEE 2016, pp. 142-147, (2016)</t>
  </si>
  <si>
    <t xml:space="preserve">978-179983097-9; 978-179983095-5</t>
  </si>
  <si>
    <t xml:space="preserve">Mach. Learn. and Deep Learn. in Real-Time Appl.</t>
  </si>
  <si>
    <t xml:space="preserve">2-s2.0-85099555366</t>
  </si>
  <si>
    <t xml:space="preserve">Kumar A.; Sarkar S.; Pradhan C.</t>
  </si>
  <si>
    <t xml:space="preserve">Kumar, Avinash (57208356246); Sarkar, Sobhangi (57208707034); Pradhan, Chittaranjan (57216004996)</t>
  </si>
  <si>
    <t xml:space="preserve">57208356246; 57208707034; 57216004996</t>
  </si>
  <si>
    <t xml:space="preserve">Malaria Disease Detection Using CNN Technique with SGD, RMSprop and ADAM Optimizers</t>
  </si>
  <si>
    <t xml:space="preserve">Malaria is life-threatening disease spread when an infected female Anopheles mosquito bites a person. Malaria is one of the predominant diseases in the world. There exists many drugs which make malaria a curable disease but due to inadequate technologies and equipments, we are unable to detect and cure it. The method of diagnosing malaria involves counting of parasite and red blood cells drugs physically which is a labor-intensive and error-prone process, especially if patients have to be tested several times a day. This issue can be solved by training machines to do the work of pathologists. We can the train the machine using many deep learning algorithms. Our model uses CNN based classification to classify the blood films to infected and normal blood films. The experimental result show our model works well on microscopic image and achieves an accuracy of 96.62% and the model has a lower model complexity are requires less computation time. Thus outperforming the state of art used previously. © 2020, Springer Nature Switzerland AG.</t>
  </si>
  <si>
    <t xml:space="preserve">10.1007/978-3-030-33966-1_11</t>
  </si>
  <si>
    <t xml:space="preserve">https://www.scopus.com/inward/record.uri?eid=2-s2.0-85103678833&amp;doi=10.1007%2f978-3-030-33966-1_11&amp;partnerID=40&amp;md5=3e2a160c0117bd8a353b5ed2786e9e86</t>
  </si>
  <si>
    <t xml:space="preserve">School of Computer Engineering, KIIT DU, Bhubaneswar, India</t>
  </si>
  <si>
    <t xml:space="preserve">Kumar A., School of Computer Engineering, KIIT DU, Bhubaneswar, India; Sarkar S., School of Computer Engineering, KIIT DU, Bhubaneswar, India; Pradhan C., School of Computer Engineering, KIIT DU, Bhubaneswar, India</t>
  </si>
  <si>
    <t xml:space="preserve">ADAM; CNN; Deep learning; Malaria; RMSprop; SGD</t>
  </si>
  <si>
    <t xml:space="preserve">Blood; Deep learning; Diagnosis; Learning algorithms; ADAM; Anopheles mosquitoes; Deep learning; Disease detection; Disease spread; Malaria; Optimizers; Rmsprop; SGD; Technology and equipments; Diseases</t>
  </si>
  <si>
    <t xml:space="preserve">O'Meara W.P., McKenzie F.E., Magill A.J., Forney J.R., Permpanich B., Lucas C., Gasser R.A., Wongsrichanalai C., Sources of variability in determining malaria parasite density by microscopy, Am. J. Trop. Med. Hyg., 73, 3, pp. 593-598, (2005); Rajaraman S., Antani S.K., Xue Z., Candemir S., Jaeger S., Thoma G.R., Visualizing abnormalities in chest radiographs through salient network activations in deep learning, Life Sciences Conference, IEEE, Australia, pp. 71-74, (2017); Liang Z., Powell A., Ersoy I., Poostchi M., Silamut K., Palaniappan K., Guo P., Hossain M.A., Sameer A., Maude R.J., Huang J.X., Jaeger S., Thoma G., CNN-based image analysis for malaria diagnosis, International Conference on Bioinformatics and Biomedicine, IEEE, China, pp. 493-496, (2016); Dong Y., Jiang Z., Shen H., Pan W.D., Williams L.A., Reddy V.V.B., Benjamin W.H., Bryan A.W., Evaluations of deep convolutional neural networks for automatic identification of malaria infected cells, International Conference on Biomedical and Health Informatics, IEEE, USA, pp. 101-104, (2017); Shang W., Sohn K., Almeida D., Lee H., Understanding and improving convolutional neural networks via concatenated rectified linear units, International Conference on Machine Learning, pp. 2217-2225, (2016); Szegedy C., Liu W., Jia Y., Sermanet P., Reed S., Anguelov D., Erhan D., Vanhoucke V., Rabinovich A., Going deeper with convolutions, International Conference on Computer Vision and Pattern Recognition, IEEE, USA, pp. 1-9, (2015); Bergstra J., Bengio Y., Random search for hyper-parameter optimization, J. Mach. Learn. Res., 13, 1, pp. 281-305, (2012); Shang F., Zhou K., Liu H., Cheng J., Tsang I.W., Zhang L., Tao D., Jiao L., VR-SGD: A simple stochastic variance reduction method for machine learning, IEEE Trans. Knowl. Data Eng., (2018); Yazan E., Talu M.F., Comparison of the stochastic gradient descent based optimization techniques, International Artificial Intelligence and Data Processing Symposium. IEEE, Turkey, (2017); Zhang Z., Improved Adam optimizer for deep neural networks, International Symposium on Quality of Service. IEEE, Canada, (2018); Gopakumar G.P., Swetha M., Sai Siva G., Sai Subrahmanyam G.R.K., Convolutional neural network-based malaria diagnosis from focus stack of blood smear images acquired using custom-built slide scanner, J. Biophotonics, 11, 3, (2017); Prabhu R., Understanding of Convolutional Neural Network (CNN)—deep Learning; Bibin D., Nair M.S., Punitha P., Malaria parasite detection from peripheral blood smear images using deep belief networks, IEEE, pp. 9099-9108, (2017); Das D.K., Maiti A.K., Chakraborty C., Automated system for characterization and classification of malaria-infected stages using light microscopic images of thin blood smears, J. Microsc., 257, 3, pp. 238-252, (2015); Kumar A., Sarkar S., Pradhan C., Recommendation system for crop identification and pest control technique in agriculture, International Conference of Communication and Signal Processing. IEEE, India, Pp. 185–189, (2019)</t>
  </si>
  <si>
    <t xml:space="preserve">A. Kumar; School of Computer Engineering, KIIT DU, Bhubaneswar, India; email: avinash1605@gmail.com</t>
  </si>
  <si>
    <t xml:space="preserve">2-s2.0-85103678833</t>
  </si>
  <si>
    <t xml:space="preserve">Jena B.; Thakar P.; Nayak V.; Nayak G.K.; Saxena S.</t>
  </si>
  <si>
    <t xml:space="preserve">Jena, Biswajit (57216221471); Thakar, Pulkit (57878476900); Nayak, Vedanta (57878477000); Nayak, Gopal Krishna (57197141333); Saxena, Sanjay (57217377039)</t>
  </si>
  <si>
    <t xml:space="preserve">57216221471; 57878476900; 57878477000; 57197141333; 57217377039</t>
  </si>
  <si>
    <t xml:space="preserve">Malaria parasites detection using deep neural network</t>
  </si>
  <si>
    <t xml:space="preserve">Malaria is a dreadful infectious disease caused by the bite of female Anopheles mosquito, by the protozoan parasites of the genus Plasmodium. It's an epidemic disease and demands rapid and accurate diagnosis for proper intervention. Microscopic test on the thick and thin blood smear to detect the malaria and counts the infected cells is the gold standard for diagnosis of this disease. An automation process in the form of computer-aided diagnosis is much needed as it plays a vital role in fully or semi-automated diagnosis of diseases based on medical image information. Deep learning has vast ranging applications. This work is to build a convolutional neural network to expertly detect the presence of malaria parasitized cells in the thin blood smear. The authors construct the model as small and computationally efficient to obtain the highest level of accuracy possible. © 2021, IGI Global.</t>
  </si>
  <si>
    <t xml:space="preserve">Deep Learning Applications in Medical Imaging</t>
  </si>
  <si>
    <t xml:space="preserve">10.4018/978-1-7998-5071-7.ch009</t>
  </si>
  <si>
    <t xml:space="preserve">https://www.scopus.com/inward/record.uri?eid=2-s2.0-85137516592&amp;doi=10.4018%2f978-1-7998-5071-7.ch009&amp;partnerID=40&amp;md5=8a4a9012b075397e13f76a540feaf6ba</t>
  </si>
  <si>
    <t xml:space="preserve">International Institute of Information Technology, Bhubaneswar, India</t>
  </si>
  <si>
    <t xml:space="preserve">Jena B., International Institute of Information Technology, Bhubaneswar, India; Thakar P., International Institute of Information Technology, Bhubaneswar, India; Nayak V., International Institute of Information Technology, Bhubaneswar, India; Nayak G.K., International Institute of Information Technology, Bhubaneswar, India; Saxena S., International Institute of Information Technology, Bhubaneswar, India</t>
  </si>
  <si>
    <t xml:space="preserve">Bashir A., Detection of malaria parasites using digital image processing, 2017 International Conference on Communication, Control, Computing and Electronics Engineering (ICCCCEE), (2017); Ghate D.A., Jadhav P.C., Automatic Detection of Malaria Parasite from Blood Images, International Journal of Advancements in Computing Technology, 1, 3, pp. 66-71, (2012); Jena B., Nayak G.K., Saxena S., Maximum Payload for Digital Image Steganography Obtained by Mixed Edge Detection Mechanism, 2019 International Conference on Information Technology (ICIT), (2019); Khan, Content based image retrieval approaches for detection of malarial parasite in blood images, International Journal of Biometrics and Bioinformatics, 5, 2, (2011); Krizhevsky A., Sutskever I., Hinton G.E., Imagenet classification with deep convolutional neural networks, Advances in Neural Information Processing Systems, (2012); LeCun Y., Bottou L., Bengio Y., Haffner P., Gradient-based learning applied to document recognition, Proceedings of the IEEE, 86, 11, pp. 2278-2324, (1998); Pandit P., Anand A., Artificial neural networks for detection of malaria in RBCs, (2016); Pattanaik P.A., Swarnkar T., Comparative analysis of morphological techniques for malaria detection, International Journal of Healthcare Information Systems and Informatics, 13, 4, pp. 49-65, (2018); Poostchi M., Silamut K., Maude R.J., Jaeger S., Thoma G., Image analysis and machine learning for detecting malaria, Translational Research; the Journal of Laboratory and Clinical Medicine, 194, pp. 36-55, (2018); Rajaraman S., Antani S.K., Poostchi M., Silamut K., Hossain M.A., Maude R.J., Jaeger S., Thoma G.R., Pre-trained convolutional neural networks as feature extractors toward improved malaria parasite detection in thin blood smear images, PeerJ, 6, (2018); South Sudan Medical Journal; Suradkar P.T., Detection of malarial parasite in blood using image processing, International Journal of engineering and innovative Technology, 2, 10, pp. 124-126, (2013); Toward Data Science; Vala H.J., Baxi A., A review on Otsu image segmentation algorithm, International Journal of Advanced Research in Computer Engineering &amp; Technology, 2, 2, pp. 387-389, (2013); Malaria; Yang D., Subramanian G., Duan J., Gao S., Bai L., Chandramohanadas R., Ai Y., A portable image-based cytometer for rapid malaria detection and quantification, PLoS One, 12, 6, (2017)</t>
  </si>
  <si>
    <t xml:space="preserve">978-179985072-4; 1799850714; 978-179985071-7</t>
  </si>
  <si>
    <t xml:space="preserve">Deep Learn. Appl. in Med. Imaging</t>
  </si>
  <si>
    <t xml:space="preserve">2-s2.0-85137516592</t>
  </si>
  <si>
    <t xml:space="preserve">Arjmandiasl Z.; Manouchehri N.; Bouguila N.; Bentahar J.</t>
  </si>
  <si>
    <t xml:space="preserve">Arjmandiasl, Zeinab (57489460000); Manouchehri, Narges (57208868743); Bouguila, Nizar (6603545988); Bentahar, Jamal (8961304900)</t>
  </si>
  <si>
    <t xml:space="preserve">57489460000; 57208868743; 6603545988; 8961304900</t>
  </si>
  <si>
    <t xml:space="preserve">Variational learning of finite shifted scaled Dirichlet mixture models</t>
  </si>
  <si>
    <t xml:space="preserve">In this chapter, we propose a variational framework to learn about the finite shifted-scaled Dirichlet mixture model and evaluate its performance as a clustering tool in three medical real-world applications, namely, malaria detection, breast cancer diagnosis and cardiovascular disease detection as well as a text application, namely spam detection. The motivation behind applying variational inference is that, compared to the conventional Bayesian approach, it is much less computationally costly. Moreover, in this method the optimal number of components is estimated along with the parameter approximation simultaneously as part of the Bayesian inference method. Besides, in the variational technique, over-fitting as one of the common issues of deterministic approaches is avoided. To show the merits of our model performance, it is compared with four other widely used methods. © 2021 Elsevier Inc. All rights reserved.</t>
  </si>
  <si>
    <t xml:space="preserve">Learning Control: Applications in Robotics and Complex Dynamical Systems</t>
  </si>
  <si>
    <t xml:space="preserve">10.1016/B978-0-12-822314-7.00012-2</t>
  </si>
  <si>
    <t xml:space="preserve">https://www.scopus.com/inward/record.uri?eid=2-s2.0-85118764308&amp;doi=10.1016%2fB978-0-12-822314-7.00012-2&amp;partnerID=40&amp;md5=d4519ee39047fbc87eaeba3d524aa81b</t>
  </si>
  <si>
    <t xml:space="preserve">Concordia Institute for Information Systems Engineering (CIISE), Concordia University, Montreal, QC, Canada</t>
  </si>
  <si>
    <t xml:space="preserve">Arjmandiasl Z., Concordia Institute for Information Systems Engineering (CIISE), Concordia University, Montreal, QC, Canada; Manouchehri N., Concordia Institute for Information Systems Engineering (CIISE), Concordia University, Montreal, QC, Canada; Bouguila N., Concordia Institute for Information Systems Engineering (CIISE), Concordia University, Montreal, QC, Canada; Bentahar J., Concordia Institute for Information Systems Engineering (CIISE), Concordia University, Montreal, QC, Canada</t>
  </si>
  <si>
    <t xml:space="preserve">Data clustering; Finite mixture models; Medical applications; Shifted-scaled dirichlet distributions; Spam detection; Unsupervised learning; Variational inference</t>
  </si>
  <si>
    <t xml:space="preserve">Provost F., Fawcett T., Data science and its relationship to big data and data-driven decision making, Big Data, 1, 1, pp. 51-59, (2013); Lee S.X., McLachlan G., Pyne S., Application of mixture models to large datasets Big Data Analytics, pp. 57-74, (2016); Mehdi M., Bouguila N., Bentahar J., Trustworthy web service selection using probabilistic models 2012 IEEE 19th International Conference on Web Services, pp. 17-24, (2012); Bouguila N., Ziou D., Using unsupervised learning of a finite Dirichlet mixture model to improve pattern recognition applications, Pattern Recognition Letters, 26, 12, pp. 1916-1925, (2005); Everitt B.S., An introduction to finite mixture distributions, Statistical Methods in Medical Research, 5, 2, pp. 107-127, (1996); McLachlan G.J., Peel D., Finite Mixture Models, (2004); Bouguila N., Ziou D., Vaillancourt J., Novel mixtures based on the Dirichlet distribution: Application to data and image classification International Workshop on Machine Learning and Data Mining in Pattern Recognition, pp. 172-181, (2003); Banfield J.D., Raftery A.E., Model-based Gaussian and non-Gaussian clustering, Biometrics, pp. 803-821, (1993); Bdiri T., Bouguila N., Positive vectors clustering using inverted Dirichlet finite mixture models, Expert Systems with Applications, 39, 2, pp. 1869-1882, (2012); Jain R.B., Wang R.Y., Limitations of maximum likelihood estimation procedures when a majority of the observations are below the limit of detection, Analytical Chemistry, 80, 12, pp. 4767-4772, (2008); Alghabashi B., Bouguila N., Finite multi-dimensional generalized gamma mixture model learning based on mml 2018 17th IEEE International Conference on Machine Learning and Applications (ICMLA), pp. 1131-1138, (2018); Husmeier D., The Bayesian evidence scheme for regularizing probability-density estimating neural networks, Neural Computation, 12, 11, pp. 2685-2717, (2000); Bdiri T., Bouguila N., Ziou D., Variational Bayesian inference for infinite generalized inverted Dirichlet mixtures with feature selection and its application to clustering, Applied Intelligence, 44, 3, pp. 507-525, (2016); Husmeier D., Penny W.D., Roberts S.J., An empirical evaluation of Bayesian sampling with hybrid Monte Carlo for training neural network classifiers, Neural Networks, 12, 4-5, pp. 677-705, (1999); Bornkamp B., Approximating probability densities by iterated Laplace approximations, Journal of Computational and Graphical Statistics, 20, 3, pp. 656-669, (2011); Brunner L.J., Lo A.Y., Et al., Bayes methods for a symmetric unimodal density and its mode, The Annals of Statistics, 17, 4, pp. 1550-1566, (1989); Fan W., Bouguila N., A variational component splitting approach for finite generalized Dirichlet mixture models 2012 International Conference on Communications and Information Technology (ICCIT), pp. 53-57, (2012); Fan W., Bouguila N., Ziou D., Variational learning for finite Dirichlet mixture models and applications, IEEE Transactions on Neural Networks and Learning Systems, 23, 5, pp. 762-774, (2012); Bouguila N., Ziou D., Unsupervised selection of a finite Dirichlet mixture model: An mml-based approach, IEEE Transactions on Knowledge and Data Engineering, 18, 8, pp. 993-1009, (2006); Attias H., Inferring parameters and structure of latent variable models by variational Bayes Proceedings of the Fifteenth Conference on Uncertainty in Artificial Intelligence, pp. 21-30, (1999); Attias H., A variational Bayesian framework for graphical models Proceedings of the 12th International Conference on Neural Information Processing Systems, pp. 209-215, (1999); Corduneanu A., Bishop C.M., Variational bayesian model selection for mixture distributions Artificial Intelligence and Statistics, 2001, pp. 27-34, (2001); Wang B., Titterington D.M., Et al., Convergence properties of a general algorithm for calculating variational Bayesian estimates for a normal mixture model, Bayesian Analysis, 1, 3, pp. 625-650, (2006); Channoufi I., Bourouis S., Bouguila N., Hamrouni K., Image and video denoising by combining unsupervised bounded generalized Gaussian mixture modeling and spatial information, Multimedia Tools and Applications, 77, 19, pp. 25591-25606, (2018); Bouguila N., Ziou D., Vaillancourt J., Unsupervised learning of a finite mixture model based on the Dirichlet distribution and its application, IEEE Transactions on Image Processing, 13, 11, pp. 1533-1543, (2004); Bouguila N., ElGuebaly W., A generative model for spatial color image databases categorization 2008 IEEE International Conference on Acoustics, Speech and Signal Processing, pp. 821-824, (2008); Alsuroji R., Bouguila N., Zamzami N., Predicting defect-prone software modules using shifted-scaled Dirichlet distribution 2018 First International Conference on Artificial Intelligence for Industries (AI4I), pp. 15-18, (2018); Jose Egozcue J., Pawlowsky-Glahn V., Simplicial geometry for compositional data, Geological Society, London, Special Publications, 264, 1, pp. 145-159, (2006); Ng K.W., Tian G.-L., Tang M.-L., Dirichlet and Related Distributions: Theory, Methods and Applications, 888, (2011); Bishop C.M., Pattern Recognition and Machine Learning, (2006); Ichir M.M., Mohammad-Djafari A., A mean field approximation approach to blind source separation with l p priors 2005 13th European Signal Processing Conference, pp. 1-4, (2005); Parisi G., Statistical Field Theory, (1988); Fan W., Bouguila N., Online learning of a Dirichlet process mixture of Beta-Liouville distributions via variational inference, IEEE Transactions on Neural Networks and Learning Systems, 24, 11, pp. 1850-1862, (2013); Boyd S., Vandenberghe L., Convex Optimization, (2004); MacKay D.J.C., Probable networks and plausible predictions-a review of practical Bayesian methods for supervised neural networks, Network Computation in Neural Systems, 6, 3, pp. 469-505, (1995); World malaria report, (2019); Lowe D.G., Distinctive image features from scale-invariant keypoints, International Journal of Computer Vision, 60, 2, pp. 91-110, (2004); Nguyen H., Azam M., Bouguila N., Data clustering using variational learning of finite scaled Dirichlet mixture models 2019 IEEE 28th International Symposium on Industrial Electronics (ISIE), pp. 1391-1396, (2019); Ihou K.E., Bouguila N., A new latent generalized Dirichlet allocation model for image classification 2017 Seventh International Conference on Image Processing Theory, Tools and Applications (IPTA), pp. 1-6, (2017); Breast cancer statistics, (2019); Fine needle aspiration (fna) biopsy of the breast; Uci machine learning repository, breast dataset; Azar A.T., El-Metwally S.M., Decision tree classifiers for automated medical diagnosis, Neural Computing and Applications, 23, 7-8, pp. 2387-2403, (2013); Cardiovascular diseases (cvds); Krittanawong C., Zhang H., Wang Z., Aydar M., Kitai T., Artificial intelligence in precision cardiovascular medicine, Journal of the American College of Cardiology, 69, 21, pp. 2657-2664, (2017); Heart disease data set; Blanzieri E., Bryl A., A survey of learning-based techniques of email spam filtering, Artificial Intelligence Review, 29, 1, pp. 63-92, (2008); Ozgur L., Gungor T., Optimization of dependency and pruning usage in text classification, Pattern Analysis and Applications, 15, 1, pp. 45-58, (2012); Amayri O., Bouguila N., A study of spam filtering using support vector machines, Artificial Intelligence Review, 34, 1, pp. 73-108, (2010); Uci machine learning repository: Spambase data set; Zhang Y., Jin R., Zhou Z.-H., Understanding bag-of-words model: A statistical framework, International Journal of Machine Learning and Cybernetics, 1, 1-4, pp. 43-52, (2010); Ma Z., Leijon A., Bayesian estimation of beta mixture models with variational inference, IEEE Transactions on Pattern Analysis and Machine Intelligence, 33, 11, pp. 2160-2173, (2011); Woolrich M.W., Behrens T.E., Variational Bayes inference of spatial mixture models for segmentation, IEEE Transactions on Medical Imaging, 25, 10, pp. 1380-1391, (2006)</t>
  </si>
  <si>
    <t xml:space="preserve">978-012822314-7</t>
  </si>
  <si>
    <t xml:space="preserve">2-s2.0-85118764308</t>
  </si>
  <si>
    <t xml:space="preserve">Kassim Y.M.; Jaeger S.</t>
  </si>
  <si>
    <t xml:space="preserve">Kassim, Yasmin M. (57192917205); Jaeger, Stefan (55516608100)</t>
  </si>
  <si>
    <t xml:space="preserve">57192917205; 55516608100</t>
  </si>
  <si>
    <t xml:space="preserve">A cell augmentation tool for blood smear analysis</t>
  </si>
  <si>
    <t xml:space="preserve">We propose a tool to add parasite-infected red blood cells to blood smear images for malaria screening based on a Mask R-CNN network. The number of infected and uninfected red blood cells in blood smears of malaria patients is typically unbalanced. Our proposed tool extracts cells, augments them by rotation, and then pastes the augmented cells back into empty spaces between existing cells. To paste augmented cells back into an image, the underlying algorithm computes a set of candidate locations that are far away from existing cells by applying a distance transform to a cell mask. Among these candidate locations, the final locations are selected by choosing the locations that are far from each other and distributed across the image to avoid cell clusters and touching cells.For evaluation, we augment 165 blood smear images from 33 patients and run tests on 800 blood smear images from 160 patients. In the training set, the number of infected red blood cells is much smaller than the number of uninfected cells, 1, 142 vs. 33, 071. The tool adds 8, 208 rotated copies of infected cells across all images, increasing the total number of infected cells to 9, 350. We then use Mask R-CNN to detect infected cells, before and after augmentation, and find that our tool improves the recall, precision, and F1 measure for the detection of infected cells by about 6%. © 2020 IEEE.</t>
  </si>
  <si>
    <t xml:space="preserve">10.1109/AIPR50011.2020.9425053</t>
  </si>
  <si>
    <t xml:space="preserve">https://www.scopus.com/inward/record.uri?eid=2-s2.0-85106201258&amp;doi=10.1109%2fAIPR50011.2020.9425053&amp;partnerID=40&amp;md5=9da840bf662581335a2608b1a38aa8fc</t>
  </si>
  <si>
    <t xml:space="preserve">National Library of Medicine, Lister Hill National Center for Biomedical Communications, MD, United States</t>
  </si>
  <si>
    <t xml:space="preserve">Kassim Y.M., National Library of Medicine, Lister Hill National Center for Biomedical Communications, MD, United States; Jaeger S., National Library of Medicine, Lister Hill National Center for Biomedical Communications, MD, United States</t>
  </si>
  <si>
    <t xml:space="preserve">Cells; Convolutional neural networks; Cytology; Diagnosis; Diseases; Location; Pattern recognition; Blood smears; Candidate locations; Cell clusters; CNN network; Distance transforms; Infected cells; Red blood cell; Training sets; Blood</t>
  </si>
  <si>
    <t xml:space="preserve">National Institutes of Health, NIH; U.S. National Library of Medicine, NLM; Wellcome Trust, WT; Lister Hill National Center for Biomedical Communications, LHNCBC</t>
  </si>
  <si>
    <t xml:space="preserve">This research is supported by the Intramural Research Program of the Lister Hill National Center for Biomedical Communications, National Library of Medicine (NLM), National Institutes of Health (NIH). Mahidol-Oxford Tropical Medicine Research Unit is funded by the Wellcome Trust of Great Britain. Opinions, findings, and conclusions or recommendations expressed in this publication are those of the authors and do not necessarily reflect the views of the U. S. Government or agency thereof.</t>
  </si>
  <si>
    <t xml:space="preserve">World Malaria Report 2019, (2019); World Malaria Report 2020, (2020); Litjens G., Kooi T., Bejnordi B., Setio A., Ciompi F., Ghafoorian M., Laak J., Sanchez C., A survey on deep learning in medical image analysis, Medical Image Analysis, 42, pp. 60-88, (2017); Cheplygina V., De Bruijne M., Pluim J., Not-so-supervised: A survey of semi-supervised, multi-instance, and transfer learning in medical image analysis, Medical Image Analysis, 54, pp. 280-296, (2019); Xing F., Xie Y., Su H., Liu F., Yang L., Deep learning in microscopy image analysis: A survey, IEEE Transactions on Neural Networks and Learning Systems, 29, 10, pp. 4550-4568, (2017); Pouyanfar S., Sadiq S., Yan Y., Tian H., Tao Y., Reyes M., Shyu M., Chen S., Iyengar S., A survey on deep learning: Algorithms, techniques, and applications, ACM Computing Surveys, 51, 5, pp. 1-36, (2018); Poostchi M., Silamut K., Maude R.J., Jaeger S., Thoma G., Image analysis and machine learning for detecting malaria, Translational Research, 194, pp. 36-55, (2018); Yang F., Poostchi M., Yu H., Zhou Z., Silamut K., Yu J., Maude R.J., Jaeger S., Antani S., Deep learning for smartphonebased malaria parasite detection in thick blood smears, IEEE Journal of Biomedical and Health Informatics, 24, 5, pp. 1427-1438, (2019); Kassim Y.M., Palaniappan K., Yang F., Poostchi M., Palaniappan N., Maude R.J., Antani S., Jaeger S., Clustering-based dual deep learning architecture for detecting red blood cells in malaria diagnostic smears, IEEE Journal of Biomedical and Health Informatics, (2020); Yang F., Quizon N., Yu H., Silamut K., Maude R.J., Jaeger S., Antani S., Cascading yolo: Automated malaria parasite detection for plasmodium vivax in thin blood smears, Medical Imaging 2020: Computer-Aided Diagnosis, (2020); Rajaraman S., Antani S.K., Poostchi M., Silamut K., Hossain M.A., Maude R.J., Jaeger S., Thoma G.R., Pre-trained convolutional neural networks as feature extractors toward improved malaria parasite detection in thin blood smear images, PeerJ, 6, (2018); Wang F., Casalino L.P., Khullar D., Deep learning in medicine-promise, progress, and challenges, JAMA Internal Medicine, 179, 3, pp. 293-294, (2019); Chen D., Liu S., Kingsbury P., Sohn S., Storlie C.B., Habermann E.B., Naessens J.M., Larson D.W., Liu H., Deep learning and alternative learning strategies for retrospective real-world clinical data, NPJ Digital Medicine, 2, 1, pp. 1-5, (2019); Miotto R., Wang F., Wang S., Jiang X., Dudley J., Deep learning for healthcare: Review, opportunities and challenges, Briefings in Bioinformatics, 19, 6, pp. 1236-1246, (2018); Shorten C., Khoshgoftaar T., A survey on image data augmentation for deep learning, Journal of Big Data, 6, 1, (2019); Zhou Y., Dong F., Liu Y., Li Z., Du J., Zhang L., Forecasting emerging technologies using data augmentation and deep learning, Scientometrics, pp. 1-29, (2020); Ren S., He K., Sun J., Faster R-CNN: Towards realtime object detection with region proposal networks, Advances in Neural Information Processing Systems, pp. 91-99, (2015); He K., Gkioxari G., Dollar P., Girshick R., Mask R-cnn, IEEE International Conference on Computer Vision, pp. 2961-2969, (2017); Redmon J., Divvala S., Girshick R., Farhadi A., You only look once: Unified, real-time object detection, IEEE Conference on Computer Vision and Pattern Recognition, pp. 779-788, (2016); Sampathkmar U., Prasath V.S., Meenay S., Palaniappan K., Assisted ground truth generation using interactive segmentation on a visualization and annotation tool, IEEE Applied Imagery Pattern Recognition Workshop, pp. 1-7, (2016); Chiao J., Chen K., Liao K., Hsieh P., Zhang G., Huang T., Detection and classification the breast tumors using mask R-CNN on sonograms, Medicine, 98, 19, (2019); Hu Q., Souza L., Holanda G., Alves S., Silva F., Han T., Reboucas F.P.P., An effective approach for ct lung segmentation using mask region-based convolutional neural networks, Artificial Intelligence in Medicine, 103, (2020); Shu J., Nian F., Yu M., Li X., An improved mask R-CNN model for multiorgan segmentation, Mathematical Problems in Engineering, (2020); Yu H., Yang F., Rajaraman S., Ersoy I., Moallem G., Poostchi M., Palaniappan K., Antani S., Maude R., Jaeger S., Malaria screener: A smartphone application for automated malaria screening, BMC Infectious Diseases, 20, 825, pp. 1471-2334, (2020)</t>
  </si>
  <si>
    <t xml:space="preserve">2020 IEEE Applied Imagery Pattern Recognition Workshop, AIPR 2020</t>
  </si>
  <si>
    <t xml:space="preserve">13 October 2020 through 15 October 2020</t>
  </si>
  <si>
    <t xml:space="preserve">978-172818243-8</t>
  </si>
  <si>
    <t xml:space="preserve">2-s2.0-85106201258</t>
  </si>
  <si>
    <t xml:space="preserve">Tandra S.; Gupta D.; Amudha J.; Sharma K.</t>
  </si>
  <si>
    <t xml:space="preserve">Tandra, Sulochana (57215896411); Gupta, Deepa (25821943200); Amudha, J. (35766448700); Sharma, Kshitij (57214864430)</t>
  </si>
  <si>
    <t xml:space="preserve">57215896411; 25821943200; 35766448700; 57214864430</t>
  </si>
  <si>
    <t xml:space="preserve">A Fuzzy-Neuro-Based Clinical Decision Support System For Disease Diagnosis Using Symptom Severity</t>
  </si>
  <si>
    <t xml:space="preserve">Faster and accurate disease diagnosis is the need of the day. Various diagnostic tools are available to assist medical practitioners in the form of clinical decision support system (CDSS) and many more. This paper proposes to develop a CDSS that can assist medical practitioners with diagnostic decisions in general internal medicine for common diseases like malaria, typhoid, dengue which when ignored can cause epidemics. The proposed system aims at multi-disease diagnosis. Symptoms along with their severity are the input to the system. Most probable disease along with medication is the output of the system. The proposed system is modeled on neuro-fuzzy technique called adaptive neuro-fuzzy inference system (ANFIS) for disease diagnosis. Gaussian membership function is used as the fuzzifier, and custom defuzzifier is used to defuzzify the output. A rule-based system is used for medication and laboratory test recommendations. The proposed medical decision support system can aid medical practitioners in making better, effective, and faster diagnostic decisions, thereby helping in increasing the in-patient count and quality of medical care. © 2020, Springer Nature Singapore Pte Ltd.</t>
  </si>
  <si>
    <t xml:space="preserve">10.1007/978-981-15-2475-2_9</t>
  </si>
  <si>
    <t xml:space="preserve">https://www.scopus.com/inward/record.uri?eid=2-s2.0-85082299083&amp;doi=10.1007%2f978-981-15-2475-2_9&amp;partnerID=40&amp;md5=76569995f016a071f4ac8976996e9967</t>
  </si>
  <si>
    <t xml:space="preserve">Department of Computer Science and Engineering, Amrita School of Engineering, Amrita Vishwa Vidyapeetham, Bengaluru, India; Paralaxiom Technologies Private Limited, Bengaluru, India</t>
  </si>
  <si>
    <t xml:space="preserve">Tandra S., Department of Computer Science and Engineering, Amrita School of Engineering, Amrita Vishwa Vidyapeetham, Bengaluru, India; Gupta D., Department of Computer Science and Engineering, Amrita School of Engineering, Amrita Vishwa Vidyapeetham, Bengaluru, India; Amudha J., Department of Computer Science and Engineering, Amrita School of Engineering, Amrita Vishwa Vidyapeetham, Bengaluru, India; Sharma K., Paralaxiom Technologies Private Limited, Bengaluru, India</t>
  </si>
  <si>
    <t xml:space="preserve">ANFIS; CDSS; Fuzzy-neuro; K-means</t>
  </si>
  <si>
    <t xml:space="preserve">Diagnosis; Fuzzy inference; Fuzzy neural networks; Fuzzy systems; Membership functions; Signal processing; Soft computing; Adaptive neuro-fuzzy inference system; ANFIS; CDSS; Clinical decision support systems; Fuzzy neuro; Gaussian membership function; K-means; Medical decision support system; Decision support systems</t>
  </si>
  <si>
    <t xml:space="preserve">Miller R., Computer-assisted diagnostic decision support: History, challenges and possible paths forward, Adv. Health Sci. Educ., 14, pp. 89-106, (2009); Uzoka F.M.E., Osuji J., Obot O., Clinical decision support system (DSS) in the diagnosis of malaria: A case comparison of two soft computing methodologies, Expert Syst. Appl., 38, pp. 1537-1553, (2011); Sangita K., Deepa G., Association rule analysis in cardiovascular disease, 2016 Second International Conference on Cognitive Computing and Information Processing, pp. 1-6, (2016); Miller R.A., McNeil M.A., Challinor S.M., Masarie J.M., F.E, J.D.: The internist-1/quick medical reference project: Status report. West, J. Med, 145, pp. 816-822, (1986); Seixas F.L., Bianca Z., Jerson L., Aura C., Debora C.M.S., A Bayesian network decision model for supporting the diagnosis of dementia, Alzheimer’s disease and mild cognitive impairment, Comput. Biol. Med., 51, pp. 140-158, (2014); Carvalho C.M., Seixas F.L., Conci A., Muchaluat-Saade D.C., Laks J., Improving a Bayesian decision model for supporting diagnosis of Alzheimer’s disease and related disorders, Machine Learning and Data Mining in Pattern Recognition. MLDM 2017. Lecture Notes in Computer Science, 10358, (2017); Tian Y., Shang Y., Tong D.Y., Chi S.-Q., Li J., Kong X.-X., Ding K.-F., Li J.-S., POP-CORN: A web service for individual PrognOsis prediction based on multi-center clinical data CollabORatioN without patient-level data sharing, J. Biomed. Inf., 86, pp. 1-14, (2018); Shen Y., Yuan K., Chen D., Colloc J., Yang M., Li Y., Lei K., An ontology-driven clinical decision support system (IDDAP) for infectious disease diagnosis and antibiotic prescription, Artif. Intell. Med., 86, pp. 20-32, (2018); Bauer S., Kohler S., Marcel H.S., Peter N.R., Bayesian ontology querying for accurate and noise-tolerant semantic searches, Bioinformatics, 28, pp. 2502-2508, (2018); Samuel O.W., Omisore M.O., Ojokoh B.A., A web based decision support system driven by fuzzy logic for the diagnosis of typhoid fever, Expert Syst. Appl., 40, pp. 4164-4171, (2013); Saikia D., Jiten C.D., Early diagnosis of dengue disease using fuzzy inference system, 2016 International Conference on Microelectronics, Computing and Communications (Microcom), pp. 1-6, (2016); Malmir B., Mohammadhossein A., Shing I.C., A medical decision support system for disease diagnosis under uncertainty, Expert Syst. Appl., 88, pp. 95-108, (2017); Kadhim M.A., FNDSB: A fuzzy-neuro decision support system for back pain diagnosis, Cogn. Syst. Res., 52, pp. 691-700, (2018); Madhu D., Jain C.N., Sebastain E., Shaji S., Ajayakumar A., A novel approach for medical assistance using trained chatbot, International Conference on Inventive Communication and Computational Technologies, pp. 243-246, (2017); Chung K., Roy C.P., Chatbot-based healthcare service with a knowledge base for cloud computing, Cluster Comput, (2018); Vaira L., Bochicchio M.A., Conte M., Casaluci F.M., Melpignano A., MamaBot: A system based on ML and NLP for supporting Women and families during pregnancy, Proceedings of 22Nd International Database Engineering &amp; Applications Symposium, (2018); Vinitha D., Deepa G., Sangita K., Ashish A., Investigation of chronic disease correlation using data mining techniques, 2Nd International Conference on Recent Advances in Engineering &amp; Computational Sciences, (2015); Shastri S.S., Nair P.C., Gupta D., Nayar R.C., Rao R., Ram A., Breast Cancer diagnosis and prognosis using machine learning techniques, Intelligent Systems Technologies and Applications, ISTA 2017. Advances in Intelligent Systems and Computing, 683, (2018); Yaseen Z.M., Ghareb M.I., Ebtehaj I., Bonakdari H., Siddique R., Heddam S., Yusif A.A., Deo R., Rainfall pattern forecasting using novel hybrid intelligent model based ANFIS-FFA, Water Resources Management, 32, (2018); Hasanipanah M., Amnieh H.B., Arab H., Zamzam S.B., Feasibility of PSO-ANFIS model to estimate rock fragmentation produced by mine blasting, Neural Comput. Appl, 30, (2018)</t>
  </si>
  <si>
    <t xml:space="preserve">D. Gupta; Department of Computer Science and Engineering, Amrita School of Engineering, Amrita Vishwa Vidyapeetham, Bengaluru, India; email: deepagupta.verma@gmail.com</t>
  </si>
  <si>
    <t xml:space="preserve">Reddy V.S.; Prasad V.K.; Wang J.; Reddy K.T.V.</t>
  </si>
  <si>
    <t xml:space="preserve">2nd International Conference on Soft Computing and Signal Processing, ICSCSP 2019</t>
  </si>
  <si>
    <t xml:space="preserve">21 June 2019 through 22 June 2019</t>
  </si>
  <si>
    <t xml:space="preserve">978-981152474-5</t>
  </si>
  <si>
    <t xml:space="preserve">2-s2.0-85082299083</t>
  </si>
  <si>
    <t xml:space="preserve">Wachira C.M.; Remy S.L.; Bent O.; Bore N.; Osebe S.; Weldemariam K.; Walcott-Bryant A.</t>
  </si>
  <si>
    <t xml:space="preserve">Wachira, Charles M. (57204955183); Remy, Sekou L. (23980969400); Bent, Oliver (56598063700); Bore, Nelson (57193776933); Osebe, Samuel (6503927295); Weldemariam, Komminist (23478544500); Walcott-Bryant, Aisha (55555506200)</t>
  </si>
  <si>
    <t xml:space="preserve">57204955183; 23980969400; 56598063700; 57193776933; 6503927295; 23478544500; 55555506200</t>
  </si>
  <si>
    <t xml:space="preserve">A Platform for Disease Intervention Planning</t>
  </si>
  <si>
    <t xml:space="preserve">The research and development of new tools and strategies for disease intervention planning requires resources, data, and computation spread across multiple institutions and individuals. Whether this is towards an objective such as drug discovery or informing intervention policy, it should be possible for these tools to be flexibly deployed to meet the decision support needs of the Global Health community. In this work we introduce a new platform to demonstrate the utility of a scalable computational infrastructure, blockchain based validation and machine learning (ML) algorithms, to assist in the generation of validated novel policies for malaria control. We have conducted preliminary tests in the generation of simulation-based evidence to guide policy level decision making. Specifically to assess the performance of; the scalable infrastructure under different simulation complexities and distributed compute; Hyperledger Fabric to provide validation of shared information within our application; and ML approaches to generate novel policy insights. Finally the components of the platform may be leveraged via a non-Technical user or policy-maker through an Interactive Dashboard, bridging the gap between research and immediate needs in Disease Intervention Planning. © 2020 IEEE.</t>
  </si>
  <si>
    <t xml:space="preserve">2020 IEEE International Conference on Healthcare Informatics, ICHI 2020</t>
  </si>
  <si>
    <t xml:space="preserve">10.1109/ICHI48887.2020.9374384</t>
  </si>
  <si>
    <t xml:space="preserve">https://www.scopus.com/inward/record.uri?eid=2-s2.0-85098831738&amp;doi=10.1109%2fICHI48887.2020.9374384&amp;partnerID=40&amp;md5=c664e5e046087eb5a99373abddb86635</t>
  </si>
  <si>
    <t xml:space="preserve">Ibm Research Africa, Nairobi, Kenya; University of Oxford, Oxford, United Kingdom</t>
  </si>
  <si>
    <t xml:space="preserve">Wachira C.M., Ibm Research Africa, Nairobi, Kenya; Remy S.L., Ibm Research Africa, Nairobi, Kenya; Bent O., University of Oxford, Oxford, United Kingdom; Bore N., Ibm Research Africa, Nairobi, Kenya; Osebe S., Ibm Research Africa, Nairobi, Kenya; Weldemariam K., Ibm Research Africa, Nairobi, Kenya; Walcott-Bryant A., Ibm Research Africa, Nairobi, Kenya</t>
  </si>
  <si>
    <t xml:space="preserve">blockchain; decision-making; disease intervention planning; policy learning; simulation</t>
  </si>
  <si>
    <t xml:space="preserve">Decision making; Decision support systems; Health care; Malaria control; Computational infrastructure; Decision supports; Intervention planning; Non-technical users; Research and development; Scalable infrastructure; Shared information; Simulation complexity; Machine learning</t>
  </si>
  <si>
    <t xml:space="preserve">Winskill P., Rowland M., Mtove G., Malima R.C., Kirby M.J., Malaria risk factors in north-east Tanzania, Malaria Journal, 10, 1, (2011); Moran M., The malaria product pipeline: Planning for the future. Health Policy Division, The George Institute for International Health, (2007); Smith T., Killeen G.F., Maire N., Ross A., Molineaux L., Tediosi F., Hutton G., Utzinger J., Dietz K., Tanner M., Mathematical modeling of the impact of malaria vaccines on the clinical epidemiology and natural history of plasmodium falciparum malaria: Overview, The American Journal of Tropical Medicine and Hygiene, 75, 2, pp. 1-10, (2006); Arifin S.N., Madey G.R., Collins F.H., Spatial Agent-based Simulation Modeling in Public Health: Design, Implementation, and Applications for Malaria Epidemiology, (2016); Gambhir M., Hettiarachchige C., Making sense of consensus: Comparative modelling of malaria interventions, The Lancet Global Health, 5, 7, pp. e638-e639, (2017); Bent O., Remy S.L., Roberts S., Walcott-Bryant A., Novel exploration techniques (nets) for malaria policy interventions, Proceedings of the Thirtieth Conference on Innovative Applications of Artificial Intelligence, (2018); Androulaki E., Barger A., Bortnikov V., Cachin C., Christidis K., Caro A.D., Enyeart D., Ferris C., Laventman G., Manevich Y., Muralidharan S., Murthy C., Nguyen B., Sethi M., Singh G., Smith K., Sorniotti A., Stathakopoulou C., Vukolic M., Cocco S.W., Yellick J., Hyperledger fabric: A distributed operating system for permissioned blockchains, CoRR, Vol. Abs/ 1801 10228, (2018); Bore N., Kinai A., Mutahi J., Kaguma D., Otieno F., Remy S.L., Weldemariam K., On using blockchain based workflows, Ieee International Conference on Blockchain and Cryptocurrency, Icbc 2019, Seoul, Korea (South), May 14-17, 2019, 2019, pp. 112-116; Bore N.K., Raman R.K., Markus I.M., Remy S.L., Bent O., Hind M., Pissadaki E.K., Srivastava B., Vaculin R., Varshney K.R., Weldemariam K., Promoting distributed trust in machine learning and computational simulation, Ieee International Conference on Blockchain and Cryptocurrency, Icbc 2019, Seoul, Korea (South), May 14-17, 2019, 2019, pp. 311-319; Raman R.K., Varshney K.R., Vaculin R., Bore N.K., Remy S.L., Pissadaki E.K., Hind M., Constructing and compressing frames in blockchain-based verifiable multi-party computation, Ieee International Conference on Acoustics, Speech and Signal Processing, Icassp 2019, Brighton, United Kingdom, May 12-17, 2019, 2019, pp. 7500-7504; Hyperledger. Hyperledger Caliper; Thakkar P., Nathan S., Viswanathan B., Performance benchmarking and optimizing hyperledger fabric blockchain platform, CoRR, Vol. Abs/, 2018, (1805); Ibm behind the Architecture of Hyperledger Fabric; Hyperledger Blockchain Performance Metrics White Paper-Hyperledger, The Linux Foundation; Baliga A., Solanki N., Verekar S., Pednekar A., Kamat P., Chatterjee S., Performance characterization of hyperledger fabric, 2018 Crypto Valley Conference on Blockchain Technology (CVCBT Ieee, 2018, pp. 65-74; Bhattacharjee B., Boag S., Doshi C., Dube P., Herta B., Ishakian V., Jayaram K.R., Khalaf R., Krishna A., Li Y.B., Muthusamy V., Puri R., Ren Y., Rosenberg F., Seelam S.R., Wang Y., Zhang J.M., Zhang L., IBM deep learning service, Ibm Journal of Research and Development, 61, 4, (2017); Ribeiro M., Grolinger K., Capretz M.A.M., Mlaas: Machine learning as a service, 14th Ieee International Conference on Machine Learning and Applications, Icmla 2015, pp. 896-902, (2015); Chan S., Stone T., Szeto K.P., Chan K.H., Predictionio: A distributed machine learning server for practical software development, 22nd Acm International Conference on Information and Knowledge Management, CIKM?13, San Francisco, CA, USA, October 27-November 1, pp. 2493-2496, (2013); Baldominos A., Albacete E., Saez Y., Isasi P., A scalable machine learning online service for big data real-Time analysis, Ieee Symposium on Computational Intelligence in Big Data (CIBD), Dec 2014, pp. 1-8, (2014); Ooms J., The opencpu system: Towards a universal interface for scientific computing through separation of concerns, CoRR, Vol. abs/1406.4806, (2014)</t>
  </si>
  <si>
    <t xml:space="preserve">8th IEEE International Conference on Healthcare Informatics, ICHI 2020</t>
  </si>
  <si>
    <t xml:space="preserve">30 November 2020 through 3 December 2020</t>
  </si>
  <si>
    <t xml:space="preserve">Virtual, Oldenburg</t>
  </si>
  <si>
    <t xml:space="preserve">978-172815382-7</t>
  </si>
  <si>
    <t xml:space="preserve">IEEE Int. Conf. Healthc. Informatics, ICHI</t>
  </si>
  <si>
    <t xml:space="preserve">2-s2.0-85098831738</t>
  </si>
  <si>
    <t xml:space="preserve">Manescu P.; Bendkowski C.; Claveau R.; Elmi M.; Brown B.J.; Pawar V.; Shaw M.J.; Fernandez-Reyes D.</t>
  </si>
  <si>
    <t xml:space="preserve">Manescu, Petru (57217967740); Bendkowski, Christopher (57216654375); Claveau, Remy (57053381800); Elmi, Muna (6506149530); Brown, Biobele J. (25957585900); Pawar, Vijay (13607280000); Shaw, Mike J. (57169472300); Fernandez-Reyes, Delmiro (8942330100)</t>
  </si>
  <si>
    <t xml:space="preserve">57217967740; 57216654375; 57053381800; 6506149530; 25957585900; 13607280000; 57169472300; 8942330100</t>
  </si>
  <si>
    <t xml:space="preserve">A Weakly Supervised Deep Learning Approach for Detecting Malaria and Sickle Cells in Blood Films</t>
  </si>
  <si>
    <t xml:space="preserve">Machine vision analysis of blood films imaged under a brightfield microscope could provide scalable malaria diagnosis solutions in resource constrained endemic urban settings. The major bottleneck in successfully analyzing blood films with deep learning vision techniques is a lack of object-level annotations of disease markers such as parasites or abnormal red blood cells. To overcome this challenge, this work proposes a novel deep learning supervised approach that leverages weak labels readily available from routine clinical microscopy to diagnose malaria in thick blood film microscopy. This approach is based on aggregating the convolutional features of multiple objects present in one hundred high resolution image fields. We show that this method not only achieves expert-level malaria diagnostic accuracy without any hard object-level labels but can also identify individual malaria parasites in digitized thick blood films, which is useful in assessing disease severity and response to treatment. We demonstrate another application scenario where our approach is able to detect sickle cells in thin blood films. We discuss the wider applicability of the approach in automated analysis of thick blood films for the diagnosis of other blood disorders. © 2020, Springer Nature Switzerland AG.</t>
  </si>
  <si>
    <t xml:space="preserve">12265 LNCS</t>
  </si>
  <si>
    <t xml:space="preserve">10.1007/978-3-030-59722-1_22</t>
  </si>
  <si>
    <t xml:space="preserve">https://www.scopus.com/inward/record.uri?eid=2-s2.0-85092747756&amp;doi=10.1007%2f978-3-030-59722-1_22&amp;partnerID=40&amp;md5=a57bec779b7721e7e500426eefa3f1a7</t>
  </si>
  <si>
    <t xml:space="preserve">Faculty of Engineering Sciences, Department of Computer Science, University College London, London, United Kingdom; Department of Pediatrics, College of Medicine, University of Ibadan, University College Hospital, Ibadan, Nigeria</t>
  </si>
  <si>
    <t xml:space="preserve">Manescu P., Faculty of Engineering Sciences, Department of Computer Science, University College London, London, United Kingdom; Bendkowski C., Faculty of Engineering Sciences, Department of Computer Science, University College London, London, United Kingdom; Claveau R., Faculty of Engineering Sciences, Department of Computer Science, University College London, London, United Kingdom; Elmi M., Faculty of Engineering Sciences, Department of Computer Science, University College London, London, United Kingdom; Brown B.J., Department of Pediatrics, College of Medicine, University of Ibadan, University College Hospital, Ibadan, Nigeria; Pawar V., Faculty of Engineering Sciences, Department of Computer Science, University College London, London, United Kingdom; Shaw M.J., Faculty of Engineering Sciences, Department of Computer Science, University College London, London, United Kingdom; Fernandez-Reyes D., Faculty of Engineering Sciences, Department of Computer Science, University College London, London, United Kingdom, Department of Pediatrics, College of Medicine, University of Ibadan, University College Hospital, Ibadan, Nigeria</t>
  </si>
  <si>
    <t xml:space="preserve">Blood films; Malaria; Microscopy; Sickle cells; Weak supervision</t>
  </si>
  <si>
    <t xml:space="preserve">Blood; Diagnosis; Diseases; Medical computing; Medical imaging; Application scenario; Automated analysis; Diagnostic accuracy; High resolution image; Learning approach; Machine vision analysis; Malaria diagnosis; Multiple objects; Deep learning</t>
  </si>
  <si>
    <t xml:space="preserve">World Malaria Report, (2018); Arco J., Gorriz J., Ramirez J., Alvarez I., Puntonet C., Digital image analysis for automatic enumeration of malaria parasites using morphological operations, Exp. Syst. Appl., 42, pp. 3041-3047, (2015); Rosado L., da Costa J., Elias D., Cardoso J., Automated detection of malaria parasites on thick blood smears via mobile devices, Procedia Comput. Sci., 90, pp. 138-144, (2016); Mehanian C., Et al., Computer-automated malaria diagnosis and quantitation using convolutional neural networks, Proceedings of the IEEE International Conference on Computer Vision, (2017); Torres K., Et al., Automated microscopy for routine malaria diagnosis: A field comparison on Giemsa-stained blood films in Peru, Malaria J, 17, pp. 1-11, (2018); Yang F., Poostchi M., Yu H., Et al., Deep learning for smartphone-based malaria parasite detection in thick blood smears, IEEE J. Biomed. Health Inf., 24, 5, pp. 1427-1438, (2019); Couture H.D., Marron J.S., Perou C.M., Troester M.A., Niethammer M., Multiple Instance Learning for Heterogeneous Images: Training a CNN for Histopathology, (2018); Jia Z., Huang X., Eric I., Chang C., Xu Y., Constrained deep weak supervision for histopathology image segmentation, IEEE Trans. Med. Imaging, 36, 11, pp. 2376-2388, (2017); Courtiol P., Et al., Deep learning-based classification of mesothelioma improves prediction of patient outcome, Nat. Med., 25, 10, pp. 1519-1525, (2019); Campanella G., Hanna M., Geneslaw L., Et al., Clinical-grade computational pathology using weakly supervised deep learning on whole slide images, Nat. Med., 25, pp. 1301-1309, (2019); Kraus O.Z., Ba J.L., Frey B.J., Classifying and segmenting microscopy images with deep multiple instance learning, Bioinformatics, 32, 12, pp. i52-i59, (2016); Uijlings J.R.R., van De Sande K.E.A., Gevers T., Smeulders A.W.M., Selective search for object recognition, Int. J. Comput. Vis., 104, 2, pp. 154-171, (2013); Das D.K., Mukherjee R., Chakraborty C., Computational microscopic imaging for malaria parasite detection: A systematic review, J. Microsc., 1, pp. 1-19, (2015); Naik R.P., Haywood C., Sickle cell trait diagnosis: Clinical and social implications, Hematology Am. Soc. Hematol. Educ. Program., 2015, 1, pp. 160-167, (2015); Forster B., van De Ville D., Berent J., Sage D., Unser M., Complex wavelets for extended depth-of-field: A new method for the fusion of multichannel microscopy images, Microsc. Res. Tech., 65, pp. 33-42, (2004); Simonyan K., Zisserman A., Very Deep Convolutional Networks for Large-Scale Image Recognition, (2015); Deng J., Dong W., Socher R., Et al., ImageNet: A large-scale hierarchical image database, CVPR, (2009); Yang F., Yu H., Et al., Parasite detection in thick blood smears based on customized faster-RCNN on smartphones, Lister Hill National Center for Biomedical Communications, (2019); Manescu P., Shaw M., Et al., Giemsa Stained Thick Blood Films for Clinical Microscopy Malaria Diagnosis with Deep Neural Networks Dataset, (2020); Dai J., Li Y., He K., Sun J., R-FCN: Object detection via region-based fully convolutional networks, Advances Neural Information Processing System, pp. 379-387, (2016); Ren S., He K., Girshick R., Sun J., Faster R-CNN: Towards real-time object detection with region proposal networks, IEEE Trans. Pattern Anal. Mach. Intell., 39, 6, pp. 1137-1149, (2017); Mundhra D., Cheluvaraju B., Rampure J., Dastidar T.R., Analyzing microscopic images of peripheral blood smear using deep learning, Deep Learning in Medical Image Analysis and Multimodal Learning for Clinical Decision Support, (2017); Sadafi A., Et al., Multiclass deep active learning for detecting red blood cell subtypes in brightfield microscopy, MICCAI 2019. LNCS, 11764, pp. 685-693, (2019); Xu M., Papageorgiou D.P., Abidi S.Z., Dao M., Zhao H., Karniadakis G.E., A deep convolutional neural network for classification of red blood cells in sickle cell anemia, Plos Comput. Biol., 13, 10, (2017)</t>
  </si>
  <si>
    <t xml:space="preserve">P. Manescu; Faculty of Engineering Sciences, Department of Computer Science, University College London, London, United Kingdom; email: p.manescu@ucl.ac.uk</t>
  </si>
  <si>
    <t xml:space="preserve">Martel A.L.; Abolmaesumi P.; Stoyanov D.; Mateus D.; Zuluaga M.A.; Zhou S.K.; Racoceanu D.; Joskowicz L.</t>
  </si>
  <si>
    <t xml:space="preserve">23rd International Conference on Medical Image Computing and Computer-Assisted Intervention, MICCAI 2020</t>
  </si>
  <si>
    <t xml:space="preserve">4 October 2020 through 8 October 2020</t>
  </si>
  <si>
    <t xml:space="preserve">Lima</t>
  </si>
  <si>
    <t xml:space="preserve">978-303059721-4</t>
  </si>
  <si>
    <t xml:space="preserve">2-s2.0-85092747756</t>
  </si>
  <si>
    <t xml:space="preserve">Nakasi R.; Tusubira J.F.; Zawedde A.; Mansourian A.; Mwebaze E.</t>
  </si>
  <si>
    <t xml:space="preserve">Nakasi, Rose (57211255746); Tusubira, Jeremy Francis (57218544574); Zawedde, Aminah (42862661500); Mansourian, Ali (11539870300); Mwebaze, Ernest (36554742800)</t>
  </si>
  <si>
    <t xml:space="preserve">57211255746; 57218544574; 42862661500; 11539870300; 36554742800</t>
  </si>
  <si>
    <t xml:space="preserve">A web-based intelligence platform for diagnosis of malaria in thick blood smear images: A case for a developing country</t>
  </si>
  <si>
    <t xml:space="preserve">Malaria is a public health problem which affects developing countries world-wide. Inadequate skilled lab technicians in remote areas of developing countries result in untimely diagnosis of malaria parasites making it hard for effective control of the disease in highly endemic areas. The development of remote systems that can provide fast, accurate and timely diagnosis is thus a necessary innovation. With availability of internet, mobile phones and computers, rapid dissemination and timely reporting of medical image analytics is possible. This study aimed at developing and implementing an automated web-based Malaria diagnostic system for thick blood smear images under light microscopy to identify parasites. We implement an image processing algorithm based on a pre-trained model of Faster Convolutional Neural Network (Faster R-CNN) and then integrate it with web-based technology to allow easy and convenient online identification of parasites by medical practitioners. Experiments carried out on the online system with test images showed that the system could identify pathogens with a mean average precision of 0.9306. The system holds the potential to improve the efficiency and accuracy in malaria diagnosis, especially in remote areas of developing countries that lack adequate skilled labor. © 2020 IEEE.</t>
  </si>
  <si>
    <t xml:space="preserve">IEEE Computer Society Conference on Computer Vision and Pattern Recognition Workshops</t>
  </si>
  <si>
    <t xml:space="preserve">10.1109/CVPRW50498.2020.00500</t>
  </si>
  <si>
    <t xml:space="preserve">https://www.scopus.com/inward/record.uri?eid=2-s2.0-85090160037&amp;doi=10.1109%2fCVPRW50498.2020.00500&amp;partnerID=40&amp;md5=68203bfdd13d566308a1ddb643e12779</t>
  </si>
  <si>
    <t xml:space="preserve">Makerere University, Kampala, Uganda; Lund University, Lund, Sweden</t>
  </si>
  <si>
    <t xml:space="preserve">Nakasi R., Makerere University, Kampala, Uganda; Tusubira J.F., Makerere University, Kampala, Uganda; Zawedde A., Makerere University, Kampala, Uganda; Mansourian A., Lund University, Lund, Sweden; Mwebaze E., Makerere University, Kampala, Uganda</t>
  </si>
  <si>
    <t xml:space="preserve">Blood; Computer vision; Convolutional neural networks; Developing countries; Diseases; Malaria control; Medical imaging; mHealth; Websites; Diagnostic systems; Image processing algorithm; Malaria diagnosis; Malaria parasite; Medical practitioner; On-line identification; Remote systems; Web-based technologies; Diagnosis</t>
  </si>
  <si>
    <t xml:space="preserve">Styrelsen för Internationellt Utvecklingssamarbete, Sida; Ministerio de Sanidad, Consumo y Bienestar Social, MISAN</t>
  </si>
  <si>
    <t xml:space="preserve">The authors thank Ministry of Health, Uganda for providing authorisation to use the data. They also acknowledge the collaborators from Mulago Referral Hospital, Uganda especially Dr. Alfred Andama and Vincent Wadda for granting us the medical and technical support in data acquisition, annotation and interpretability of results. In a special way, we appreciate the Swedish International Development Cooperation Agency for funding this work.</t>
  </si>
  <si>
    <t xml:space="preserve">Abadi M., Barham P., Chen J., Chen Z., Davis A., Dean J., Devin M., Ghemawat S., Irving G., Isard M., Kudlur M., Levenberg J., Monga R., Moore S., Derek G.M., Steiner B., Tucker P., Vasudevan V., Warden P., Wicke M., Yu Y., Zheng X., Brain Y., Tensorflow: A system for large-scale machine learning, 12th USENIX Symposium on Operating Systems Design and Implementation (OSDI 16), pp. 265-283, (2016); Bates I., Bekoe V., Asamoa-Adu A., Improving the accuracy of malaria-related laboratory tests in Ghana, Malar. J., 3, 38, (2004); Beadle C., Long G.W., McElroy P.D., Hoffman S.L., Weiss W.R., Oloo A.J., Diagnosis of malaria by detection of plasmodium falciparum hrp 2 antigen with a rapid dipstick antigen capture assay, The Lancet, 343, 8897, pp. 564-568, (1994); Bengio Y.P., Vincent C.A., Representation learning: A review and new perspectives, IEEE Transactions on Pattern Analysis and Machine Intelligence., 35, 8, pp. 1798-1828, (2013); Bhattacharya D., Relevance of economic field microscope in remote rural regions for concurrent observation of malaria and inflammation, Advances in Infectious Diseases (AID), 2, 1, pp. 13-18, (2012); Bowman S., Rhia M.J., Impact of Electronic Health Record Systems on Information Integrity: Quality and Safety Implications., (2013); Cartucho J., Map, (2019); Chukwudebe G.A., Ekwuwune E., Nkuma-Udah K.I., Medical diagnosis expert system for malaria and related diseases for developing countries, 2017 IEEE 3rd International Conference on Electro-Technology for National Development (NIGERCON), pp. 24-29, (2017); Dong Y., Jiang Z., Shen H., David P.W., Williams L.A., Reddy V.V.B., Benjamin W.H., Bryan A.W., Evaluations of deep convolutional neural networks for automatic identification of malaria infected cells, IEEE EMBS International Conference on Biomedical and Health Informatics, BHI 2017, pp. 101-104, (2017); Tensorflow Object Detection Preprocessor, (2019); Kettelhut M.M., Edwards H., Moody A., Chiodini P.L., External quality assessment schemes raise standards: Evidence from the ukneqas parasitology subschemes, J Clin Pathol., 56, pp. 927-932, (2003); Najafabadi M.M., Villanustre F., Khoshgoftaar T.M., Seliya N., Wald R., Muharemagic E., Deep learning applications and challenges in big data analytics, Journal of Big Data, (2015); Pascal Network of Excellence, (2019); Oluwagbemi O., Adeoye E., Fatumo S., Building a computer-based expert system for malaria environmental diagnosis: An alternative malaria control strategy, Egyptian Journal of Computer Science, 33, (2009); Patil A.P., Gething P.W., Piel F.B., Hay S.I., Bayesian geostatistics in health cartography: The perspective of malaria, Trends Parasitol., 27, pp. 246-253, (2011); Petti C.A., Polage C.R., Quinn T.C., Ronald A.R., Sande M.A., Laboratory medicine in Africa: A barrier to effective health care, Clinical Infectious Diseases, 42, pp. 377-382, (2006); Quinn J.A., Nakasi R., Mugagga P.K.B., Byanyima P., Lubega W., Andama A., Deep convolutional neural metworks for microscopy-based point of care diagnosis, Preceedings of International Conference on Machine Learning for Health Care, 50, (2016); Rajaraman S., Sameer K., Antani S.K.M., Silamut K., Hossain M.A., Richard J., Maude R.J., Jaeger S., Thomas G.R., Pre-trained convolutional neural networks as feature extractors toward improved malaria parasite detection in thin blood smear images, PeerJ., 6, (2018); Ravishankar H., Sudhakar P., Venkataramani R., Thiruvenkadam S., Annangi B.N., Vaidya P.V., Understanding the mechanisms of deep transfer learning for medical images, GE Global Research, (2017); Razavian A.S., Azizpour H., Sullivan J., Carlsson S., Cnn features off-the-shelf: An astounding baseline for recognition, IEEE Computer Society Conference on Computer Vision and Pattern Recognition Workshops, (2014); Ren S., He K., Girshick R., Sun J., Faster R-CNN: Towards real-time object detection with region proposal networks, Advances in Neural Information Processing Systems, 28, pp. 91-99, (2015); Rosado L., Correia Da Costa L., Elias J.M., Cardoso D., A review of automatic malaria parasites detection and segmentation in microscopic images, Anti-Infective Agents, 14, 1, pp. 11-22, (2016); Sik-Ho T., Review: Faster R-CNN (Object Detection), (2018); Tangpukdee N., Duangdee C., Wilairatana P., Krudsood S., Malaria diagnosis: A brief review, The Korean Journal of Parasitology, 47, 2, pp. 93-102, (2009); Tarlin D., (2019); The Role of Laboratory Diagnosis to Support Malaria Disease Management: Focus on the Use of Rapid Diagnostic Tests in the Areas of High Transmission, (2004); Malaria Microscopy Quality Assurance Manual, (2009); World Malaria Report, (2016)</t>
  </si>
  <si>
    <t xml:space="preserve">2020 IEEE/CVF Conference on Computer Vision and Pattern Recognition Workshops, CVPRW 2020</t>
  </si>
  <si>
    <t xml:space="preserve">14 June 2020 through 19 June 2020</t>
  </si>
  <si>
    <t xml:space="preserve">978-172819360-1</t>
  </si>
  <si>
    <t xml:space="preserve">IEEE Comput. Soc. Conf. Comput. Vis. Pattern Recogn. Workshops</t>
  </si>
  <si>
    <t xml:space="preserve">2-s2.0-85090160037</t>
  </si>
  <si>
    <t xml:space="preserve">Fraga L.M.; De Oliveira G.M.B.; Martins L.G.A.</t>
  </si>
  <si>
    <t xml:space="preserve">Fraga, Larissa M. (56028827800); De Oliveira, Gina M. B. (55201954200); Martins, Luiz G. A. (23667744400)</t>
  </si>
  <si>
    <t xml:space="preserve">56028827800; 55201954200; 23667744400</t>
  </si>
  <si>
    <t xml:space="preserve">Adjustment of an Epidemiological Cellular Automata-based Model using Genetic Algorithm</t>
  </si>
  <si>
    <t xml:space="preserve">Reliable modeling allows the simulation of critical processes that can serve as a foundation for planning and defining public policies. Ecological, climatic, public health and epidemiological models, among others are important research instruments that can forecast and evaluate the impact of decisions made by organizations and governments. Once the basic representation of the process is defined, one of the main difficulties of modeling is the adjustment of several parameters that make up it. We investigate the application of genetic algorithms to adjust model parameters relying on data series as input since they consist in a powerful adaptive search method. The proposed approach is evaluated using a previous model based on probabilistic cellular automata that describes the evolution of a population of insect vectors responsible for Chagas disease. The experiments performed here shown that results of the evolutionary parameters adjustment are similar to the behavior of the reference model both in the quantity of insects and in their spatial distribution. Our approach achieved a robust error of 3.13, that is, a difference of approximately 3 insects in one-year simulation. © 2020 IEEE.</t>
  </si>
  <si>
    <t xml:space="preserve">Proceedings - International Conference on Tools with Artificial Intelligence, ICTAI</t>
  </si>
  <si>
    <t xml:space="preserve">10.1109/ICTAI50040.2020.00096</t>
  </si>
  <si>
    <t xml:space="preserve">https://www.scopus.com/inward/record.uri?eid=2-s2.0-85098784995&amp;doi=10.1109%2fICTAI50040.2020.00096&amp;partnerID=40&amp;md5=90622b40d8993a020af54d71b8d9dd74</t>
  </si>
  <si>
    <t xml:space="preserve">Faculty of Computing, Federal University of Uberlandia, Brazil</t>
  </si>
  <si>
    <t xml:space="preserve">Fraga L.M., Faculty of Computing, Federal University of Uberlandia, Brazil; De Oliveira G.M.B., Faculty of Computing, Federal University of Uberlandia, Brazil; Martins L.G.A., Faculty of Computing, Federal University of Uberlandia, Brazil</t>
  </si>
  <si>
    <t xml:space="preserve">cellular automata; Chagas disease; genetic algorithm; parameters adjustment; vector dynamics modelling</t>
  </si>
  <si>
    <t xml:space="preserve">Artificial intelligence; Genetic algorithms; Robots; Adaptive search method; Automata-based model; Epidemiological models; Evolutionary parameters; Model parameters; Model-based OPC; Reference modeling; Research instruments; Cellular automata</t>
  </si>
  <si>
    <t xml:space="preserve">Coordenação de Aperfeiçoamento de Pessoal de Nível Superior, CAPES; Conselho Nacional de Desenvolvimento Científico e Tecnológico, CNPq; Fundação de Amparo à Pesquisa do Estado de Minas Gerais, FAPEMIG</t>
  </si>
  <si>
    <t xml:space="preserve">The authors would like to thank the scholarship granted by FAPEMIG and the financial support of FAPEMIG, CAPES and CNPq.</t>
  </si>
  <si>
    <t xml:space="preserve">Coppin P., Et al., Digital change detection methods in ecosystem monitoring: A review, Int. J. Of Remote Sensing, 10, pp. 1565-1596, (2004); Chen Q., Mynett A., Modelling algal blooms in the dutch coastal waters by integrated numerical and fuzzy approaches, Ecological Modeling, 199, 1, (2006); Tan R.R., Hybrid evolutionary computation for the development of pollution prevention and control strategies, J. Of Cleaner Production, 15, 10, pp. 902-906, (2007); Garcia-Duro J., Et al., Hidden costs of modelling post-fire plant community assembly using cellular automata, Conf. On Cellular Automata, pp. 68-79, (2018); Chang C., Lo S., Yu S., Applying fuzzy theory and genetic algorithm to interpolate precipitation, J. Of Hydrology, 314, 1-4, pp. 92-104, (2005); Slimi R., El Yacoubi S., Dumonteil E., Gourbiere S., A cellular automata model for chagas disease, Applied Mathematical Modelling, 33, 2, pp. 1072-1085, (2009); Bone C., Dragicevic S., Roberts A., A fuzzy-constrained cellular automata model of forest insect infestations, Ecological Modelling, 192, 1-2, pp. 107-125, (2006); Cisse B., El Yacoubi S., Gourbiere S., The basic reproduction number for chagas disease transmission using ca, Conf. On Cellular Automata, pp. 278-287, (2014); Pereira F.M.M., Schimit P.H.T., Dengue fever spreading based on probabilistic cellular automata with two lattices, Physica A, 499, pp. 75-87, (2018); Dambrosio D., Di Gregorio S., Gabriele S., Gaudio R., A cellular automata model for soil erosion by water, Physics and Chemistry of the Earth, Part B: Hydrology, Oceans and Atmosphere, 26, 1, pp. 33-39, (2001); Dambrosio D., Iovine G., Spataro W., Miyamoto H., A macroscopic collisional model for debris-flows simulation, Environ. Modell. &amp; Softw, 22, pp. 1417-1436, (2007); Dambrosio D., Spataro W., Parallel evolutionary modelling of geological processes, Parallel Computing, 33, pp. 186-212, (2007); Wolfram S., A New Kind of Science. Wolfram Media Inc, (2002); Toffoli T., Cellular automata as an alternative to (rather than an approximation of) differential equations in modeling physics, Physica D, 10, 1-2, pp. 117-127, (1984); Gagliardi H., Alves D., Small-world effect in epidemics using cellular automata, Mathematical Population Studies, 17, 2, pp. 79-90, (2010); Goldberg D., Genetic Algorithms in Search, Optimization and Machine Learning, (1989); Recknagel F., Ecological Informatics: Understanding Ecology by Biologically-inspired Computation, (2013); Chen S., Norton J., Artificial intelligence techniques introduction to their use for modelling environmental, Math and Computers in Simulation, 78, pp. 379-400, (2008); Packard N.H., Adaptation toward the edge of chaos, Dynamic Patterns in Complex Systems, 212, (1988); Mitchell M., Crutchfield J., Hraber P., Evolving cellular automata to perform computations: Mechanisms and impediments, Physica D, 75, pp. 361-391, (1994); Juille H., Pollack J.B., Coevolving the "ideal" trainer: Application to the discovery of cellular automata rules, Univ. Of Wisconsin, (1998); Oliveira G., Bortot J., De Oliveira P., Multiobjective evolutionary search for one-dimensional ca in the density classification task, ALIFE, pp. 202-206, (2003); Oliveira G., De Oliveira P., Omar N., Improving genetic search for one-dimensional cellular automata, using heuristics related to their dynamic behavior forecast, Congress on Evolutionary Computation, 1, pp. 348-355, (2001); Breukelaar R., Back T., Using a genetic algorithm to evolve behavior in multi dimensional cellular automata, GECCO Conference, pp. 107-114, (2005); Seredynski F., Zomaya A., Sequential and parallel cellular automata-based scheduling algorithms, IEEE Trans Par. And Dist. Systems, 13, 10, (2002); Carneiro M., Oliveira G., Synchronous ca-based scheduler initialized by heuristic and modeled by a pseudo-linear neighborhood, Nat. Comp, 12, 3, pp. 339-351, (2013); Oliveira G., Martins L., Ferreira G., Alt L., Secret key specification for a variable-length cryptographic cellular automata model, PPSN, pp. 381-390, (2010); Szaban M., Seredynski F., Bouvry P., Evolving collective behavior of cellular automata for cryptography, IEEE Med. Electr. Conf, pp. 799-802, (2006); Lal S., Yamada K., Endo S., Studies on motion control of a modular robot using cellular automata, Au. Joint Conf. On Artificial Intelligence, pp. 689-698, (2006); Oliveira G., Silva R., Amaral L., Martins L., An evolutionarycooperative model based on cellular automata and genetic algorithms for the navigation of robots under formation control, Braz. Conf. On Intelligent Systems, pp. 426-431, (2018); Mitchell M., An Introduction to Genetic Algorithms, (1998); Sarkar P., A brief history of cellular automata, ACM Computing Surveys, 32, 1, pp. 80-107, (2000)</t>
  </si>
  <si>
    <t xml:space="preserve">Alamaniotis M.; Pan S.</t>
  </si>
  <si>
    <t xml:space="preserve">Biological and Artificial Intelligence Foundation (BAIF); IEEE Computer Society</t>
  </si>
  <si>
    <t xml:space="preserve">32nd IEEE International Conference on Tools with Artificial Intelligence, ICTAI 2020</t>
  </si>
  <si>
    <t xml:space="preserve">9 November 2020 through 11 November 2020</t>
  </si>
  <si>
    <t xml:space="preserve">Virtual, Baltimore</t>
  </si>
  <si>
    <t xml:space="preserve">978-172819228-4</t>
  </si>
  <si>
    <t xml:space="preserve">PCTIF</t>
  </si>
  <si>
    <t xml:space="preserve">Proc. Int. Conf. Tools Artif. Intell. ICTAI</t>
  </si>
  <si>
    <t xml:space="preserve">2-s2.0-85098784995</t>
  </si>
  <si>
    <t xml:space="preserve">Masinde M.</t>
  </si>
  <si>
    <t xml:space="preserve">Masinde, Muthoni (36976145800)</t>
  </si>
  <si>
    <t xml:space="preserve">Africa's Malaria Epidemic Predictor: Application of Machine Learning on Malaria Incidence and Climate Data</t>
  </si>
  <si>
    <t xml:space="preserve">The 2019 World Malaria Report confirms that Africa continue to bear the burden of malaria morbidity. The continent accounted for over 93% of the global malaria incidence reported in 2018. Despite the numerous multi-level and consultative efforts to combat this epidemic, malaria continues to claim thousands of human lives, especially those of children under 5 years of age. Since malaria is preventable and treatable, one of the solutions towards reducing the number of deaths is by implementing an effective malaria outbreak early warning system that can forecast malaria incidence long before they occur. This way, policymakers can put mitigation measures in place. Tapping into the success of machine learning algorithms in predicting disease outbreaks, we present a malaria outbreak prediction system that is anchored on the well-established correlation between certain climatic conditions and breeding environment of the malaria carrying vector (mosquito). Historical datasets on climate and malaria incidence are used to train nine machine learning algorithms and four best performing ones identified based on classification accuracy and computation performance. Preceding the models' development, reliability and correlation analysis was carried out on the data; this was then followed by reduction of the dimensionality of the feature space of the two datasets. Given the power of deep learning in handling selectivity variance, the malaria predictor system was developed based on the deep learning algorithm. Further, the evaluation of the system was done using the Simulator function in RapidMiner and the accuracy of the predictions assessed using an independent dataset that was not used in the models' development. With prediction accuracy of up to 99%, this system has the potential in contributing to the fight against malaria epidemic in Africa and elsewhere in the world. © 2020 ACM.</t>
  </si>
  <si>
    <t xml:space="preserve">10.1145/3388142.3388158</t>
  </si>
  <si>
    <t xml:space="preserve">https://www.scopus.com/inward/record.uri?eid=2-s2.0-85097947517&amp;doi=10.1145%2f3388142.3388158&amp;partnerID=40&amp;md5=0bd0434e44d19678a7ac69b8311e3afd</t>
  </si>
  <si>
    <t xml:space="preserve">Centre for Sustainable Smart Cities, Central University of Technology, Free State, Bloemfontein, South Africa</t>
  </si>
  <si>
    <t xml:space="preserve">Masinde M., Centre for Sustainable Smart Cities, Central University of Technology, Free State, Bloemfontein, South Africa</t>
  </si>
  <si>
    <t xml:space="preserve">artificial neural networks; deep learning; disease decision support systems; machine learning; Malaria incidence; RapidMiner; Sub-Saharan Africa</t>
  </si>
  <si>
    <t xml:space="preserve">Classification (of information); Data handling; Deep learning; Dimensionality reduction; Disease control; Diseases; Forecasting; Learning systems; Reliability analysis; Breeding environments; Classification accuracy; Climatic conditions; Computation performance; Correlation analysis; Early Warning System; Mitigation measures; Prediction accuracy; Learning algorithms</t>
  </si>
  <si>
    <t xml:space="preserve">South Africa’s Research Foundation; National Research Foundation, NRF, (117800)</t>
  </si>
  <si>
    <t xml:space="preserve">The project reported in this paper is funded by the South Africa’s Research Foundation (NRF) grant for 2019: Thuthuka Funding Instrument (Unique Grant No: 117800).</t>
  </si>
  <si>
    <t xml:space="preserve">Naqvi B., Ali A., Hashmi M.A., Atif M., Prediction Techniques for Diagnosis of Diabetic Disease : A Comparative Study?18, 8, pp. 118-124, (2018); Marr B., What Is the Difference between Artificial Intelligence and Machine Learning, Forbes.com, (2016); Deepak R., Et al., Optimizing neural networks for medical data sets : A case study on neonatal apnea prediction?, Artif. Intell. Med, 98, 2019, pp. 59-76, (2018); Masinde M., Mwagha M., Tadesse T., Downscaling africa?s drought forecasts through integration of indigenous and scientific drought forecasts using fuzzy cognitive maps?, Geosci, (2018); Masinde M., Survivability to Sustainability of Biodiversity?, (2013); Sarkar B.K., An E-healthcare System for Disease Prediction Using Hybrid Data Mining Technique?, pp. 628-661, (2019); Schmidhuber J., Deep Learning in neural networks: An overview?, Neural Networks, 61, pp. 85-117, (2015); Chiroma H., Et al., Malaria Severity Classification through Jordan-Elman Neural Network Based on Features Extracted from Thick Blood Smear?, Neural Netw. World, 25, 5, pp. 565-584, (2015); Modu B., Polovina N., Lan Y., Konur S., Asyhari A.T., Peng Y., Towards a Predictive Analytics-Based Intelligent Malaria Outbreak Warning System?, Appl. Sci, 7, 8, (2017); Beale M.H., Hagan M.T., Demuth H.B., Deep Learning Toolbox Tm User ? S Guide How to Contact MathWorks, (2019); RapidMiner, RapidMiner Studi O Manual, (2014); SPSS Statistics for Macintosh?, Ibm Corp. Released, 2019, (2019); WHO, World Malaria Report 2019?, Geneva, (2019); Cella W., Et al., Do climate changes alter the distribution and transmission of malaria? Evidence assessment and recommendations for future studies?, Rev. Soc. Bras. Med. Trop, 52, (2019); Midekisa A., Beyene B., Mihretie A., Bayabil E., Wimberly M.C., Seasonal associations of climatic drivers and malaria in the highlands of Ethiopia?, Parasit. Vectors, 8, (2015); Rahman A., Roytman L., Goldberg M., Kogan F., Comparative analysis on applicability of satellite and meteorological data for prediction of malaria in endemic area in Bangladesh?, J. Trop. Med, 2010, (2010); WHO, ?Global Technical Strategy for Malaria, 2030, 2015, (2016); Wu X., Lu Y., Zhou S., Chen L., Xu B., Impact of climate change on human infectious diseases: Empirical evidence and human adaptation, Environ. Int, 86, pp. 14-23, (2016); IPCC, ?Proposed outline of the special report in 2018 on the impacts of global warming of 1 . 5 C above preindustrial levels and related global greenhouse gas emission pathways , in the context of strengthening the global response to the threat of climate cha?, Ipcc-Sr15, 2, 2019, pp. 17-20; Teklehaimanot H.D., Lipsitch M., Teklehaimanot A., Schwartz J., Weather-based prediction of Plasmodium falciparum malaria in epidemic-prone regions of Ethiopia I. Patterns of lagged weather effects reflect biological mechanisms, Malar. J, 3, pp. 1-11, (2004); Walker M., Et al., Temporal and micro-spatial heterogeneity in the distribution of Anopheles vectors of malaria along the Kenyan coast?, Parasit. Vectors, 6, (2013); Goswami P., Murty U.S., Mutheneni S.R., Krishnan S.T., Relative Roles of Weather Variables and Change in Human Population in Malaria: Comparison over Different States of India?, PLoS One, 9, 6, (2014); Jiang F., Et al., Artificial intelligence in healthcare: Past, present and future?, Stroke and Vascular Neurology, (2017); Vembandasamy K., Sasipriya R., Deepa E., Heart Diseases Detection Using Naive Bayes Algorithm, Int. J. Innov. Sci. Eng. Technol, (2015); Guo P., Et al., Developing a dengue forecast model using machine learning: A case study in China, PLoS Negl. Trop. Dis, (2017); Wieland M., Pittore M., Performance evaluation of machine learning algorithms for urban pattern recognition from multi-spectral satellite images, Remote Sens, 6, 4, pp. 2912-2939, (2014); Hope L.R., Korb K.B., A Bayesian metric for evaluating machine learning algorithms, Lect. Notes Artif. Intell. (Subseries Lect. Notes Comput. Sci, 3339, pp. 991-997, (2004); Williams N., Zander S., Armitage G., A preliminary performance comparison of five machine learning algorithms for practical IP traffic flow classification, Comput. Commun. Rev, 36, 5, pp. 7-15, (2006); Kotthoff L., Gent I.P., Miguel I., An evaluation of machine learning in algorithm selection for search problems, Ai Commun, 25, 3, pp. 257-270, (2012); Maikel, Free and Open Machine Learning Documentation, (2019); Ertek G., Tapucu D., Arin I., Text Mining with Rapidminer, (2013); Green S.B., Using Spss for Windows and Macintosh: Analyzing and Understanding Data:Using Spss for Windows and Macintosh: Analyzing and Understanding Data, (2016); Gonzalez R., Applied Multivariate Statistics for the Social Sciences, Am. Stat, (2003); Curran T., Friedman W.J., ERP old/new effects at different retention intervals in recency discrimination tasks, Brain Res. Cogn. Brain Res, (2004)</t>
  </si>
  <si>
    <t xml:space="preserve">M. Masinde; Centre for Sustainable Smart Cities, Central University of Technology, Free State, Bloemfontein, South Africa; email: muthonimasinde@gmail.com</t>
  </si>
  <si>
    <t xml:space="preserve">4th International Conference on Compute and Data Analysis, ICCDA 2020</t>
  </si>
  <si>
    <t xml:space="preserve">9 March 2020 through 12 March 2020</t>
  </si>
  <si>
    <t xml:space="preserve">Silicon Valley, San Jose</t>
  </si>
  <si>
    <t xml:space="preserve">978-145037644-0</t>
  </si>
  <si>
    <t xml:space="preserve">2-s2.0-85097947517</t>
  </si>
  <si>
    <t xml:space="preserve">Chen X.; Leak M.; Harding S.P.; Zheng Y.</t>
  </si>
  <si>
    <t xml:space="preserve">Chen, Xu (57214360469); Leak, Melissa (57214780108); Harding, Simon P. (7202447700); Zheng, Yalin (55948134900)</t>
  </si>
  <si>
    <t xml:space="preserve">57214360469; 57214780108; 7202447700; 55948134900</t>
  </si>
  <si>
    <t xml:space="preserve">AI-Based Method for Detecting Retinal Haemorrhage in Eyes with Malarial Retinopathy</t>
  </si>
  <si>
    <t xml:space="preserve">Cerebral Malaria (CM) as one of the most common and severe diseases in sub-Saharan Africa, claimed the lives of more than 435,000 people each year. Because Malarial Retinopathy (MR) is as one of the best clinical diagnostic indicators of CM, it may be essential to analysing MR in fundus images for assisting the CM diagnosis as an applicable solution in developing countries. Image segmentation is an essential topic in medical imaging analysis and is widely developed and improved for clinic study. In this paper, we aim to develop an automatic and fast approach to detect/segment MR haemorrhages in colour fundus images. We introduce a deep learning-based haemorrhages detection of MR inspired by Dense-Net based network called one-hundred-layers tiramisu for the segmentation tasks. We evaluate our approach on one MR dataset of 259 annotated colour fundus images. For keeping the originality of raw MR colour fundus images, 6,098 sub-images are extracted and split into a training set (70%), a validation set (10%) and a testing set (20%). After implementation, our experimental results testing on 1,669 annotated sub-images, show that the proposed method outperforms commonly mainstream network architecture U-Net. © 2020, Springer Nature Switzerland AG.</t>
  </si>
  <si>
    <t xml:space="preserve">1065 CCIS</t>
  </si>
  <si>
    <t xml:space="preserve">10.1007/978-3-030-39343-4_37</t>
  </si>
  <si>
    <t xml:space="preserve">https://www.scopus.com/inward/record.uri?eid=2-s2.0-85079087152&amp;doi=10.1007%2f978-3-030-39343-4_37&amp;partnerID=40&amp;md5=15b851cb1ff21a27e99bf972e0b21968</t>
  </si>
  <si>
    <t xml:space="preserve">Department of Eye and Vision Science, Institute of Ageing and Chronic Disease, University of Liverpool, Liverpool, L7 8TX, United Kingdom; School of Life Sciences, University of Liverpool, Liverpool, L69 7ZB, United Kingdom; St Paul’s Eye Unit, Royal Liverpool University Hospital, Liverpool, L7 8XP, United Kingdom</t>
  </si>
  <si>
    <t xml:space="preserve">Chen X., Department of Eye and Vision Science, Institute of Ageing and Chronic Disease, University of Liverpool, Liverpool, L7 8TX, United Kingdom; Leak M., School of Life Sciences, University of Liverpool, Liverpool, L69 7ZB, United Kingdom; Harding S.P., Department of Eye and Vision Science, Institute of Ageing and Chronic Disease, University of Liverpool, Liverpool, L7 8TX, United Kingdom, St Paul’s Eye Unit, Royal Liverpool University Hospital, Liverpool, L7 8XP, United Kingdom; Zheng Y., Department of Eye and Vision Science, Institute of Ageing and Chronic Disease, University of Liverpool, Liverpool, L7 8TX, United Kingdom, St Paul’s Eye Unit, Royal Liverpool University Hospital, Liverpool, L7 8XP, United Kingdom</t>
  </si>
  <si>
    <t xml:space="preserve">Deep learning; Fundus imaging; Image segmentation; Malarial Retinopathy; Retinal haemorrhage</t>
  </si>
  <si>
    <t xml:space="preserve">Color; Deep learning; Developing countries; Diagnosis; Eye protection; Image analysis; Image segmentation; Image understanding; Medical imaging; Network architecture; Ophthalmology; Clinical diagnostics; Fundus image; Fundus imaging; Haemorrhage; Imaging analysis; Malarial Retinopathy; Sub-saharan africa; Training sets; Image enhancement</t>
  </si>
  <si>
    <t xml:space="preserve">Ashraf A., Akram M.U., Sheikh S.A., Abbas S., Detection of macular whitening and retinal hemorrhages for diagnosis of malarial retinopathy, 2015 IEEE International Conference on Imaging Systems and Techniques (IST), pp. 1-5, (2015); Beare N.A., Taylor T.E., Harding S.P., Lewallen S., Molyneux M.E., Malarial retinopathy: A newly established diagnostic sign in severe malaria, Am. J. Trop. Med. Hyg., 75, 5, pp. 790-797, (2006); Coupe P., Manjon J.V., Fonov V., Pruessner J., Robles M., Collins D.L., Patch-based segmentation using expert priors: Application to hippocampus and ventricle segmentation, Neuroimage, 54, 2, pp. 940-954, (2011); Essuman V.A., Et al., Retinopathy in severe malaria in Ghanaian children-overlap between fundus changes in cerebral and non-cerebral malaria, Malaria J, 9, 1, (2010); He K., Zhang X., Ren S., Sun J., Deep residual learning for image recognition, Proceedings of the IEEE Conference on Computer Vision and Pattern Recognition, pp. 770-778, (2016); Huang G., Liu Z., van Der Maaten L., Weinberger K.Q., Densely connected convolutional networks, IEEE Conference on Computer Vision and Pattern Recognition, 1, (2017); Jegou S., Drozdzal M., Vazquez D., Romero A., Bengio Y., The one hundred layers tiramisu: Fully convolutional densenets for semantic segmentation, 2017 IEEE Conference on Computer Vision and Pattern Recognition Workshops (CVPRW), pp. 1175-1183, (2017); Joshi V., Et al., Automated detection of malarial retinopathy in digital fundus images for improved diagnosis in malawian children with clinically defined cerebral malaria, Sci. Rep., 7, (2017); Joshi V.S., Et al., Automated detection of malarial retinopathy-associated retinal hemorrhages, Invest. Ophthalmol. Vis. Sci., 53, 10, pp. 6582-6588, (2012); Kande G.B., Savithri T.S., Subbaiah P.V., Automatic detection of microa-neurysms and hemorrhages in digital fundus images, J. Digit. Imaging, 23, 4, pp. 430-437, (2010); Kingma D.P., Ba J., Adam: A Method for Stochastic Optimization, (2014); Krizhevsky A., Sutskever I., Hinton G.E., Imagenet classification with deep convolutional neural networks, Advances in Neural Information Processing Systems, pp. 1097-1105, (2012); Lecun Y., Bengio Y., Hinton G., Deep learning, Nature, 521, 7553, (2015); Lecun Y., Et al., Comparison of learning algorithms for handwritten digit recognition, International Conference on Artificial Neural Networks, Perth, Australia, 60, pp. 53-60, (1995); Lewallen S., Taylor T.E., Molyneux M.E., Wills B.A., Courtright P., Ocular fundus findings in malawian children with cerebral malaria, Ophthalmology, 100, 6, pp. 857-861, (1993); Li X., Chen H., Qi X., Dou Q., Fu C.W., Heng P.A., H-Denseunet: Hybrid Densely Connected Unet for Liver and Liver Tumor Segmentation from CT Volumes, (2017); Looareesuwan S., Et al., Retinal hemorrhage, a common sign of prognostic significance in cerebral malaria, Am. J. Trop. Med. Hyg., 32, 5, pp. 911-915, (1983); Maude R.J., Dondorp A.M., Sayeed A.A., Day N.P., White N.J., Beare N.A., The eye in cerebral malaria: What can it teach us?, Trans. R. Soc. Trop. Med. Hyg., 103, 7, pp. 661-664, (2009); Maude R.J., Hassan M.U., Beare N.A., Severe retinal whitening in an adult with cerebral malaria, Am. J. Trop. Med. Hyg., 80, 6, (2009); World Malaria Report 2018, (2018); Ronneberger O., Fischer P., Brox T., U-Net: Convolutional networks for biomedical image segmentation, MICCAI 2015. LNCS, 9351, pp. 234-241, (2015); Simonyan K., Zisserman A., Very deep convolutional networks for large-scale image recognition, Arxiv, (2014); Tang L., Niemeijer M., Abramoff M.D., Splat feature classification: Detection of the presence of large retinal hemorrhages, 2011 IEEE International Symposium on Biomedical Imaging: From Nano to Macro, pp. 681-684, (2011); Tran P.V., A Fully Convolutional Neural Network for Cardiac Segmentation in Short-Axis MRI, (2016)</t>
  </si>
  <si>
    <t xml:space="preserve">X. Chen; Department of Eye and Vision Science, Institute of Ageing and Chronic Disease, University of Liverpool, Liverpool, L7 8TX, United Kingdom; email: xuchen@liverpool.ac.uk</t>
  </si>
  <si>
    <t xml:space="preserve">Zheng Y.; Williams B.M.; Chen K.</t>
  </si>
  <si>
    <t xml:space="preserve">23rd Conference on Medical Image Understanding and Analysis, MIUA 2019</t>
  </si>
  <si>
    <t xml:space="preserve">24 July 2019 through 26 July 2019</t>
  </si>
  <si>
    <t xml:space="preserve">Liverpool</t>
  </si>
  <si>
    <t xml:space="preserve">978-303039342-7</t>
  </si>
  <si>
    <t xml:space="preserve">2-s2.0-85079087152</t>
  </si>
  <si>
    <t xml:space="preserve">Nakasi R.; Mwebaze E.; Zawedde A.; Francis J.T.; Maiga G.</t>
  </si>
  <si>
    <t xml:space="preserve">Nakasi, Rose (57211255746); Mwebaze, Ernest (36554742800); Zawedde, Aminah (42862661500); Francis, Jeremy Tusubira (57218544574); Maiga, Gilbert (26534815200)</t>
  </si>
  <si>
    <t xml:space="preserve">57211255746; 36554742800; 42862661500; 57218544574; 26534815200</t>
  </si>
  <si>
    <t xml:space="preserve">An Approach for Assessing Quality of Labeled Data for a Machine Learning Task in Malaria Detection</t>
  </si>
  <si>
    <t xml:space="preserve">While microscopy diagnosis through supervised learning for image analysis notably contributes to malaria detection, it has limitations. Among its principle challenges is the manual and tiresome process of data annotation for the classification task. The manual annotation of data is prone to inaccuracy defects due to bias, subjectivity and unclear images resulting into many false positives. This is normally due to personal independent judgements that vary from individual microscopists hence summatively affecting the accuracy of the model. In this paper, we seek to investigate the possibility of classifying the negative far examples and the positive near examples from the positives in thick blood smear images for malaria detection. Assessing the classification performance could potentially inform us of the quality of training dataset and guide n selecting the best training dataset for a malaria parasite detection task. We employ the Mean Squared Error (MSE) to distinguish between positive and negative images. We later investigate the performance of the VGG-16 classification model based on how close or far negative examples are from positives. Experimental results showed that negative examples far from the positives produce better results than those near and that the proposed method could potentially be used to reduce false positives and bias in the training data. © 2020 ACM.</t>
  </si>
  <si>
    <t xml:space="preserve">COMPASS 2020 - Proceedings of the 2020 3rd ACM SIGCAS Conference on Computing and Sustainable Societies</t>
  </si>
  <si>
    <t xml:space="preserve">10.1145/3378393.3402265</t>
  </si>
  <si>
    <t xml:space="preserve">https://www.scopus.com/inward/record.uri?eid=2-s2.0-85089340682&amp;doi=10.1145%2f3378393.3402265&amp;partnerID=40&amp;md5=4b9c5947a1285129edf0953e8b433411</t>
  </si>
  <si>
    <t xml:space="preserve">Makerere University Kampala, Uganda, Uganda; Google Ai Africa Accra, Ghana, Ghana</t>
  </si>
  <si>
    <t xml:space="preserve">Nakasi R., Makerere University Kampala, Uganda, Uganda; Mwebaze E., Google Ai Africa Accra, Ghana, Ghana; Zawedde A., Makerere University Kampala, Uganda, Uganda; Francis J.T., Makerere University Kampala, Uganda, Uganda; Maiga G., Makerere University Kampala, Uganda, Uganda</t>
  </si>
  <si>
    <t xml:space="preserve">data quality assessment; Malaria; MSE; thick blood smear images; VGG-16</t>
  </si>
  <si>
    <t xml:space="preserve">Diseases; Machine learning; Mean square error; Sustainable development; Classification models; Classification performance; Classification tasks; Malaria parasite; Manual annotation; Mean squared error; Negative examples; Training dataset; Classification (of information)</t>
  </si>
  <si>
    <t xml:space="preserve">Styrelsen för Internationellt Utvecklingssamarbete, Sida; European Commission, EC; European and Developing Countries Clinical Trials Partnership, EDCTP; Makerere University, MAK, (51180060); Makerere University, MAK</t>
  </si>
  <si>
    <t xml:space="preserve">The first author was funded in part by the Swedish International Development Cooperation Agency (Sida) and Makerere University under Sida Contribution No: 51180060. The grant is part of the European and Developing Countries Clinical Trials Partnership (EDCTP2) programme supported by the European Union.</t>
  </si>
  <si>
    <t xml:space="preserve">Abadi M., Agarwal A., Barham P., Brevdo E., Chen Z., Citro C., Corrado G.S., Davis A., Dean J., Devin M., Ghemawat S., Goodfellow I., Harp A., Irving G., Isard M., Jia Y., Jozefowicz R., Kaiser L., Kudlur M., Levenberg J., Mane D., Monga R., Moore S., Murray D., Olah C., Schuster M., Shlens J., Steiner B., Sutskever I., Talwar K., Tucker P., Vanhoucke V., Vasudevan V., Viegas F., Vinyals O., Warden P., Wattenberg M., Wicke M., Yu Y., Zheng X., TensorFlow: Large-Scale Machine Learning on Heterogeneous Systems, (2015); Brodley C.E., Friedl M.A., Identifying mislabeled training data, CoRR, (2011); Bryan R., Davatzikos C., Herskovits E., Mohan S., Rudie J., Rauschecker A., Medical Image Analysis: Human and Machine. ([N. D. ]); Chollet F., (2015); Talebi Esfandarani H., Milanfar P., Nima: Neural image assessment, CoRR, (2017); Franay B., Michel V., Classification in the presence of label noise: A survey, Neural Networks and Learning Systems, IEEE Transactions on, 25, pp. 845-869, (2014); Menzies G., Mean square errors of point determinations, Empire Survey Review, 7, pp. 279-294, (2020); Battaglia G.J., Mean square error, AMP Journal of Technology, 5, pp. 31-36, (1996); Hussam Q., Abhishek V., David F., Compressed residual-VGG16 CNN Model for Big Data Places Image Recognition, pp. 169-175, (2018); Jeffrey B.P., Clayton K., Ron K., Clifford B., Carla B.E., Pruning decision trees with misclassification costs, Proceedings of the 10th European Conference on Machine Learning (ECML-98), pp. 131-136, (1998); John Q., Rose N., Pius M., Patrick B., William L., Alfred A., Deep convolutional neural networks for microscopy-based point of care diagnostics, Preceedings of International Conference on Machine Learning for Health Care, 50, (2016); Klaus T., Guide to Medical Image Analysis: The Analysis of Medical Images, pp. 1-19, (2012); Kristy M., Agnes B., Kaye B., Gary E., Richard K., Bryan F., Forensic Science Evidence: Naive Estimates of False Positive Error Rates and Reliability, (2020); Lutz B., Werner M., Distributions instead of single numbers: Percentiles and beam plots for the assessment of single researchers, Journal of the Association for Information Science and Technology, 65, (2014); Megbaru A., Desalegn T., Tesfaye H., Wondemagegn M., Awoke D., Tadesse H., Bayeh A., Performance of laboratory professionals working on malaria microscopy in tigray, north Ethiopia, Journal of Parasitology Research, (2017); Qi Z., Nishida T., Using qualitative hypotheses to identify inaccurate data, Journal of Articial Intelligence Research, 3, (1995); Rabeb K., Abdelwahed B., Tarek M., Medical Image Analysis and Processing, pp. 49-77, (2019); Raied M., HaiJo T., Raghavendar R., Minimum Mean Square Error Processing, (2013); Sreenivas Rangan S., Ramachandran N., Regina F., Quality of big data in health care, International Journal of Health Care Quality Assurance, 28, pp. 621-634, (2015); Reidsma D., Den Akker O., Hendrikus J.A., In coling 2008: Proceedings of the workshop on human judgements in computational linguistics, Coling 2008 Organizing Committee, pp. 8-16, (2008); World Malaria Report, (2018)</t>
  </si>
  <si>
    <t xml:space="preserve">3rd ACM SIGCAS Conference on Computing and Sustainable Societies, COMPASS 2020</t>
  </si>
  <si>
    <t xml:space="preserve">15 June 2020 through 17 June 2020</t>
  </si>
  <si>
    <t xml:space="preserve">Guayaquil</t>
  </si>
  <si>
    <t xml:space="preserve">978-145037129-2</t>
  </si>
  <si>
    <t xml:space="preserve">COMPASS - Proc. ACM SIGCAS Conf. Comput. Sustainable Soc.</t>
  </si>
  <si>
    <t xml:space="preserve">2-s2.0-85089340682</t>
  </si>
  <si>
    <t xml:space="preserve">Srivastava S.; Soman S.; Rai A.; Cheema A.S.</t>
  </si>
  <si>
    <t xml:space="preserve">Srivastava, Siddharth (57844854200); Soman, Sumit (55613386300); Rai, Astha (57193613075); Cheema, Amarjeet Singh (56450396800)</t>
  </si>
  <si>
    <t xml:space="preserve">57844854200; 55613386300; 57193613075; 56450396800</t>
  </si>
  <si>
    <t xml:space="preserve">An online learning approach for dengue fever classification</t>
  </si>
  <si>
    <t xml:space="preserve">This paper introduces a novel approach for dengue fever classification based on online learning paradigms. The proposed approach is suitable for practical implementation as it enables learning using only a few training samples. With time, the proposed approach is capable of learning incrementally from the data collected without need for retraining the model or redeployment of the prediction engine. Additionally, we also provide a comprehensive evaluation of machine learning methods for prediction of dengue fever. The input to the proposed pipeline comprises of recorded patient symptoms and diagnostic investigations. Offline classifier models have been employed to obtain baseline scores to establish that the feature set is optimal for classification of dengue. The primary benefit of the online detection model presented in the paper is that it has been established to effectively identify patients with high likelihood of dengue disease, and experiments on scalability in terms of number of training and test samples validate the use of the proposed model. © 2020 IEEE.</t>
  </si>
  <si>
    <t xml:space="preserve">Proceedings - IEEE Symposium on Computer-Based Medical Systems</t>
  </si>
  <si>
    <t xml:space="preserve">10.1109/CBMS49503.2020.00038</t>
  </si>
  <si>
    <t xml:space="preserve">https://www.scopus.com/inward/record.uri?eid=2-s2.0-85091152400&amp;doi=10.1109%2fCBMS49503.2020.00038&amp;partnerID=40&amp;md5=aaba50351bc7bbb69e2f8e82c4934a45</t>
  </si>
  <si>
    <t xml:space="preserve">Centre for Development of Advanced Computing (CDAC), Noida, UP, India</t>
  </si>
  <si>
    <t xml:space="preserve">Srivastava S., Centre for Development of Advanced Computing (CDAC), Noida, UP, India; Soman S., Centre for Development of Advanced Computing (CDAC), Noida, UP, India; Rai A., Centre for Development of Advanced Computing (CDAC), Noida, UP, India; Cheema A.S., Centre for Development of Advanced Computing (CDAC), Noida, UP, India</t>
  </si>
  <si>
    <t xml:space="preserve">Dengue prediction; Disease classification; Health informatics; Online learning</t>
  </si>
  <si>
    <t xml:space="preserve">Diagnosis; Learning systems; Classifier models; Comprehensive evaluation; Dengue fevers; Machine learning methods; On-line detection; Online learning; Prediction engines; Training sample; E-learning</t>
  </si>
  <si>
    <t xml:space="preserve">Potts J.A., Gibbons R.V., Rothman A.L., Srikiatkhachorn A., Thomas P.-O., Supradish S.C., Lemon D.H., Libraty S., Green S.J., Kalayanarooj S., Prediction of dengue disease severity among pediatric Thai patients using early clinical laboratory indicators, PLoS neglected tropical diseases, 4, 8, (2010); Althouse B.M., Ng Y.Y., Cummings D.A., Prediction of dengue incidence using search query surveillance, PLoS neglected tropical diseases, 5, 8, (2011); Chan E.H., Sahai V., Conrad C., Brownstein J.S., Using web search query data to monitor dengue epidemics: A new model for neglected tropical disease surveillance, PLoS neglected tropical diseases, 5, 5, (2011); Dom N.C., Hassan A.A., Latif Z.A., Ismail R., Generating temporal model using climate variables for the prediction of dengue cases in subang jaya, Malaysia, Asian Pacific journal of tropical disease, 3, 5, pp. 352-361, (2013); Luz P.M., Mendes B.V., Codeco C.T., Struchiner C.J., Galvani A.P., Time series analysis of dengue incidence in rio de janeiro Brazil, The American journal of tropical medicine and hygiene, 79, 6, pp. 933-939, (2008); Phung D., Huang C., Rutherford S., Chu C., Wang X., Nguyen M., Nguyen N.H., Do Manh C., Identification of the prediction model for dengue incidence in can tho city, a mekong delta area in Vietnam, Acta tropica, 141, pp. 88-96, (2015); Rotela C., Fouque F., Lamfri M., Sabatier P., Introini V., Zaidenberg M., Scavuzzo C., Space-time analysis of the dengue spreading dynamics in the 2004 tartagal outbreak, northern Argentina, Acta tropica, 103, 1, pp. 1-13, (2007); Bhatt S., Gething P.W., Brady O.J., Messina J.P., Farlow A.W., Moyes C.L., Drake J.M., Brownstein J.S., Hoen A.G., Sankoh O., Et al., The global distribution and burden of dengue, Nature, 496, 7446, (2013); Hales S., De Wet N., Maindonald J., Woodward A., Potential effect of population and climate changes on global distribution of dengue fever: An empirical model, The Lancet, 360, 9336, pp. 830-834, (2002); Descloux E., Mangeas M., Menkes C.E., Lengaigne M., Leroy A., Tehei T., Guillaumot L., Teurlai M., Gourinat A.-C., Benzler J., Et al., Climate-based models for understanding and forecasting dengue epidemics, PLoS neglected tropical diseases, 6, 2, (2012); Hii Y.L., Zhu H., Ng N., Ng L.C., Rocklov J., Forecast of dengue incidence using temperature and rainfall, PLoS neglected tropical diseases, 6, 11, (2012); Pinto E., Coelho M., Oliver L., Massad E., The influence of climate variables on dengue in Singapore, International journal of environmental health research, 21, 6, pp. 415-426, (2011); Earnest A., Tan S., Wilder-Smith A., Meteorological factors and el nino southern oscillation are independently associated with dengue infections, Epidemiology &amp; Infection, 140, 7, pp. 1244-1251, (2012); Tanner L., Schreiber M., Low J.G., Ong A., Tolfvenstam T., Lai Y.L., Ng L.C., Leo Y.S., Puong L.T., Vasudevan S.G., Et al., Decision tree algorithms predict the diagnosis and outcome of dengue fever in the early phase of illness, PLoS neglected tropical diseases, 2, 3, (2008); Aburas H.M., Cetiner B.G., Sari M., Dengue confirmed-cases prediction: A neural network model, Expert Systems with Applications, 37, 6, pp. 4256-4260, (2010); Loshini T., Asirvadam V.S., Dass S.C., Gill B.S., Predicting localized dengue incidences using ensemble system identification, Computer, Control, Informatics and its Applications (IC3INA), 2015 International Conference on, pp. 6-11, (2015); Faisal T., Taib M.N., Ibrahim F., Adaptive neuro-fuzzy inference system for diagnosis risk in dengue patients, Expert Systems with Applications, 39, 4, pp. 4483-4495, (2012); Nadda W., Boonchieng W., Boonchieng E., Weighted extreme learning machine for dengue detection with class-imbalance classification, 2019 IEEE Healthcare Innovations and Point of Care Technologies, (HI-POCT), pp. 151-154, (2019); Davi C., Pastor A., Oliveira T., De Lima Neto F.B., Braga-Neto U., Bigham A.W., Bamshad M., Marques E.T., Acioli-Santos B., Severe dengue prognosis using human genome data and machine learning, IEEE Transactions on Biomedical Engineering, 66, 10, pp. 2861-2868, (2019); Othman N., Radzol A., Lee K.Y., Mansor W., Reduced featured k-nn classifier model optimal for classification of dengue fever from salivary raman spectra, 2019 41st Annual International Conference of the IEEE Engineering in Medicine and Biology Society (EMBC). IEEE, pp. 471-474, (2019); Wu Y., Lee G., Fu X., Hung T., Detect climatic factors contributing to dengue outbreak based on wavelet, support vector machines and genetic algorithm, (2008); Yusof Y., Mustaffa Z., Dengue outbreak prediction: A least squares support vector machines approach, International Journal of Computer Theory and Engineering, 3, 4, (2011); Khan S., Ullah R., Khan A., Wahab N., Bilal M., Ahmed M., Analysis of dengue infection based on raman spectroscopy and support vector machine (SVM), Biomedical optics express, 7, 6, pp. 2249-2256, (2016); Gomes A.L.V., Wee L.J., Khan A.M., Gil L.H., Marques E.T., Calzavara-Silva C.E., Tan T.W., Classification of dengue fever patients based on gene expression data using support vector machines, PloS one, 5, 6, (2010); Radzol A., Lee K.Y., Mansor W., Classification of salivary based ns1 from raman spectroscopy with support vector machine, Engineering in Medicine and Biology Society (EMBC), 2014 36th Annual International Conference of the IEEE. IEEE, pp. 1835-1838, (2014); Soman S., Srivastava P., Murthy B., Unique health identifier for India: An algorithm and feasibility analysis on patient data, Ehealth Networking, Application &amp; Services (HealthCom), 2015 17th International Conference on, pp. 250-255, (2015); Srivastava S., Khurana P., Rai A., Cheema A., Srivastava P., High performance and adaptive lab report generation in hospital management information systems, 2016 IEEE Annual India Conference (INDICON). IEEE, pp. 1-6, (2016); Donnelly K., Snomed-ct: The advanced terminology and coding system for ehealth, Studies in health technology and informatics, 121, (2006); McDonald C.J., Huff S.M., Suico J.G., Hill G., Leavelle D., Aller R., Forrey A., Mercer K., DeMoor G., Hook J., Et al., Loinc, a universal standard for identifying laboratory observations: A 5-year update, Clinical chemistry, 49, 4, pp. 624-633, (2003); Srivastava S., Gupta R., Rai A., Cheema A., Electronic health records and cloud based generic medical equipment interface, (2014); Srivastava S., Soman S., Rai A., Cheema A., Srivastava P.K., Continuity of care document for hospital management systems: An implementation perspective, Proceedings of the 10th International Conference on Theory and Practice of Electronic Governance, pp. 339-345, (2017); Cortes C., Vapnik V., Support-vector networks, Machine learning, 20, 3, pp. 273-297, (1995); Ho T.K., Random decision forests, Document analysis and recognition, 1995., Proceedineedings of the third international conference on, 1, pp. 278-282, (1995); Crammer K., Kulesza A., Dredze M., Adaptive regularization of weight vectors, Advances in neural information processing systems, pp. 414-422, (2009); Zinkevich M., Online convex programming and generalized infinitesimal gradient ascent, Proceedings of the 20th International Conference on Machine Learning (ICML-03), pp. 928-936, (2003); Crammer K., Lee D.D., Learning via Gaussian herding, Advances in neural information processing systems, pp. 451-459, (2010); Crammer K., Dekel O., Keshet J., Shalev-Shwartz S., Singer Y., Online passive-aggressive algorithms, Journal of Machine Learning Research, 7, pp. 551-585, (2006); Yang L., Jin R., Ye J., Online learning by ellipsoid method, Proceedings of the 26th Annual International Conference on Machine Learning. ACM, pp. 1153-1160, (2009); Gentile C., A new approximate maximal margin classification algorithm, Journal of Machine Learning Research, 2, pp. 213-242, (2001); Rosenblatt F., The perceptron: A probabilistic model for information storage and organization in the brain, Psychological review, 65, 6, (1958); Cesa-Bianchi N., Conconi A., Gentile C., A second-order perceptron algorithm, SIAM Journal on Computing, 34, 3, pp. 640-668, (2005); Li Y., Long P.M., The relaxed online maximum margin algorithm, Advances in neural information processing systems, pp. 498-504, (2000)</t>
  </si>
  <si>
    <t xml:space="preserve">de Herrera A.G.S.; Rodriguez Gonzalez A.; Santosh KC.; Temesgen Z.; Kane B.; Soda P.</t>
  </si>
  <si>
    <t xml:space="preserve">33rd IEEE International Symposium on Computer-Based Medical Systems, CBMS 2020</t>
  </si>
  <si>
    <t xml:space="preserve">28 July 2020 through 30 July 2020</t>
  </si>
  <si>
    <t xml:space="preserve">978-172819429-5</t>
  </si>
  <si>
    <t xml:space="preserve">Proc. IEEE Symp. Comput.-Based Med. Syst.</t>
  </si>
  <si>
    <t xml:space="preserve">2-s2.0-85091152400</t>
  </si>
  <si>
    <t xml:space="preserve">Delas Penas K.E.; Villacorte E.A.; Rivera P.T.; Naval P.C.</t>
  </si>
  <si>
    <t xml:space="preserve">Delas Penas, Kristofer E. (57217028649); Villacorte, Elena A. (6505762010); Rivera, Pilarita T. (8888157300); Naval, Prospero C. (15045386000)</t>
  </si>
  <si>
    <t xml:space="preserve">57217028649; 6505762010; 8888157300; 15045386000</t>
  </si>
  <si>
    <t xml:space="preserve">Automated detection of helminth eggs in stool samples using convolutional neural networks</t>
  </si>
  <si>
    <t xml:space="preserve">Schistosomiasis, trichuriasis, and ascariasis are few of the many neglected tropical diseases that still affect populations in poor countries. These diseases cause a variety of symptoms such as abdominal pain, may lead to complications, and may even result in death in severe schistosomiasis cases. To complement the efforts of governments and health organizations in mitigating the morbidity and transmission of neglected tropical diseases, several applications utilizing machine learning techniques have been developed in recent years to automate the detection of parasites in microscopy samples. In this paper, we explore the use of YOLO, a convolutional neural network framework, in the detection of helminth eggs in stool samples. We collected and labelled a dataset with varying imaging conditions due to different staining conditions and acquisition by smartphone cameras with different parameters. We demonstrate that the approach works well despite this variance in imaging conditions in the dataset, achieving high sensitivity in the detection of helminth eggs and high accuracy in the identification of egg species. The trained model operates in real-time, making it suitable for automated diagnosis and real-time annotation. © 2020 IEEE.</t>
  </si>
  <si>
    <t xml:space="preserve">IEEE Region 10 Annual International Conference, Proceedings/TENCON</t>
  </si>
  <si>
    <t xml:space="preserve">10.1109/TENCON50793.2020.9293746</t>
  </si>
  <si>
    <t xml:space="preserve">https://www.scopus.com/inward/record.uri?eid=2-s2.0-85098963602&amp;doi=10.1109%2fTENCON50793.2020.9293746&amp;partnerID=40&amp;md5=0f9f8926f8a2933be3bd410c8bb5422e</t>
  </si>
  <si>
    <t xml:space="preserve">University of the Philippines Diliman, Department of Computer Science, Quezon City, Philippines; University of the Philippines Manila, Department of Parasitology, Manila, Philippines</t>
  </si>
  <si>
    <t xml:space="preserve">Delas Penas K.E., University of the Philippines Diliman, Department of Computer Science, Quezon City, Philippines; Villacorte E.A., University of the Philippines Manila, Department of Parasitology, Manila, Philippines; Rivera P.T., University of the Philippines Manila, Department of Parasitology, Manila, Philippines; Naval P.C., University of the Philippines Diliman, Department of Computer Science, Quezon City, Philippines</t>
  </si>
  <si>
    <t xml:space="preserve">CNN; Helminths; Machine learning; Microscopy</t>
  </si>
  <si>
    <t xml:space="preserve">Convolution; Developing countries; Diagnosis; Learning systems; Tropics; Automated detection; Automated diagnosis; Health organizations; High sensitivity; Imaging conditions; Machine learning techniques; Neglected tropical disease; Smart-phone cameras; Convolutional neural networks</t>
  </si>
  <si>
    <t xml:space="preserve">Neglected Tropical Diseases; Parasites-Schistosomiasis; Cdc-ascariasis, (2018); Cdc-trichuriasis, (2013); Cdc-dpdx-diagnostic Procedures-stool Specimens, (2016); Delas Penas K., Rivera P.T., Naval P.C., Analysis of convolutional neural networks and shape features for detection and identification of malaria parasites on thin blood smears, Intelligent Information and Database Systems. Cham: Springer International Publishing, pp. 472-481, (2018); Rajaraman S., Antani S.K., Poostchi M., Silamut K., Hossain M.A., Maude R.J., Jaeger S., Thoma G.R., Pre-trained convolutional neural networks as feature extractors toward improved malaria parasite detection in thin blood smear images, PeerJ, 6, (2018); Dong Y., Jiang Z., Shen H., David Pan W., Williams L.A., Reddy V.V.B., Benjamin W.H., Bryan A.W., Evaluations of deep convolutional neural networks for automatic identification of malaria infected cells, 2017 IEEE EMBS International Conference on Biomedical Health Informatics (BHI), pp. 101-104, (2017); Ranhotra S.S., An alternative approach to detect the presence of schistosoma haematobium infection in affected regions of benue statenigeria, 2017 IEEE International Conference on Power, Control, Signals and Instrumentation Engineering (ICPCSI), pp. 2113-2117, (2017); Holmstrom O., Linder N., Ngasala B.E., Martensson A., Linder E., Lundin M., Moilanen H., Suutala A., Diwan V.K., Lundin J., Point-of-care mobile digital microscopy and deep learning for the detection of soil-transmitted helminths and schistosoma haematobium, Global Health Action, 10, (2017); Zhang J., Lin Y., Liu Y., Li Z., Li Z., Hu S., Liu Z., Lin D., Wu Z., Cascaded-automatic segmentation for schistosoma japonicum eggs in images of fecal samples, Computers in Biology and Medicine, 52, pp. 18-27, (2014); Redmon J., Farhadi A., Yolov3: An incremental improvement, CoRR, (2018); Hussain Z., Gimenez F., Yi D., Rubin D., Differential data augmentation techniques for medical imaging classification tasks, AMIA. Annual Symposium Proceedings. AMIA Symposium, 2017, pp. 979-984, (2018); Dutta A., Zisserman A., The VIA annotation software for images, audio and video, Proceedings of the 27th ACM International Conference on Multimedia, Ser. MM, 19, (2019); Dutta A., Gupta A., Zissermann A., VGG Image Annotator (VIA), (2016); Redmon J., Farhadi A., YOLO9000: Better, faster, stronger, CoRR, (2016); Alvarez-Buylla A., Vicario D., Simple microcomputer system for mapping tissue sections with the light microscope, Journal of Neuroscience Methods, 25, 2, pp. 165-173, (1988)</t>
  </si>
  <si>
    <t xml:space="preserve">et al.; Osama Downtown of Japan; Sustainable Development Goals; Tateisi Science and Technology Foundation; The Murata Science Foundation; The Telecommunications Advancement Foundation</t>
  </si>
  <si>
    <t xml:space="preserve">2020 IEEE Region 10 Conference, TENCON 2020</t>
  </si>
  <si>
    <t xml:space="preserve">16 November 2020 through 19 November 2020</t>
  </si>
  <si>
    <t xml:space="preserve">Virtual, Osaka</t>
  </si>
  <si>
    <t xml:space="preserve">978-172818455-5</t>
  </si>
  <si>
    <t xml:space="preserve">85QXA</t>
  </si>
  <si>
    <t xml:space="preserve">IEEE Reg 10 Annu Int Conf Proc TENCON</t>
  </si>
  <si>
    <t xml:space="preserve">2-s2.0-85098963602</t>
  </si>
  <si>
    <t xml:space="preserve">Kurup A.; Soliz P.; Nemeth S.; Joshi V.</t>
  </si>
  <si>
    <t xml:space="preserve">Kurup, A. (57203115834); Soliz, P. (6603954378); Nemeth, S. (7007031815); Joshi, V. (37121909100)</t>
  </si>
  <si>
    <t xml:space="preserve">57203115834; 6603954378; 7007031815; 37121909100</t>
  </si>
  <si>
    <t xml:space="preserve">Automated Detection of Malarial Retinopathy Using Transfer Learning</t>
  </si>
  <si>
    <t xml:space="preserve">Cerebral Malaria (CM) is a severe neurological syndrome of malaria mainly found in children and is associated with highly specific retinal lesions. The manifestation of these indications of CM in the retina is called malarial retinopathy (MR). All patients showing clinical signs of CM are commonly diagnosed and treated accordingly; however, 23% of them are misdiagnosed as they suffer from another infection with identical clinical symptoms. Due to these underlying symptoms, the false positive cases may go untreated and could result in death of the patients. A diagnostic test is needed that is highly specific in order to reduce false positives. The purpose of this study to demonstrate a technique based on a transfer learning technique using images from three different retinal cameras to identify the hemorrhages and whitening lesions in the retina which can accurately identify the patients with MR. The MR detection model gives a specificity of 100% and a sensitivity of 90% with an AUC of 0.98. The algorithm demonstrates the potential of accurate MR detection with a low-cost retinal camera. © 2020 IEEE.</t>
  </si>
  <si>
    <t xml:space="preserve">Proceedings of the IEEE Southwest Symposium on Image Analysis and Interpretation</t>
  </si>
  <si>
    <t xml:space="preserve">10.1109/SSIAI49293.2020.9094595</t>
  </si>
  <si>
    <t xml:space="preserve">https://www.scopus.com/inward/record.uri?eid=2-s2.0-85085474477&amp;doi=10.1109%2fSSIAI49293.2020.9094595&amp;partnerID=40&amp;md5=15acb7a7c8a71f75dcda22cd9616ca68</t>
  </si>
  <si>
    <t xml:space="preserve">VisionQuest Biomedical Inc, Albuquerque, NM, United States</t>
  </si>
  <si>
    <t xml:space="preserve">Kurup A., VisionQuest Biomedical Inc, Albuquerque, NM, United States; Soliz P., VisionQuest Biomedical Inc, Albuquerque, NM, United States; Nemeth S., VisionQuest Biomedical Inc, Albuquerque, NM, United States; Joshi V., VisionQuest Biomedical Inc, Albuquerque, NM, United States</t>
  </si>
  <si>
    <t xml:space="preserve">Cerebral malaria (CM); Convolutional neural network (CNN); Data Augmentation; Malarial Retinopathy (MR); Transfer learning</t>
  </si>
  <si>
    <t xml:space="preserve">Cameras; Diagnosis; Diseases; Eye protection; Image analysis; Ophthalmology; Patient treatment; Automated detection; Clinical signs; Clinical symptoms; Detection models; Diagnostic tests; False positive; Learning techniques; Retinal cameras; Transfer learning</t>
  </si>
  <si>
    <t xml:space="preserve">Queen Elizabeth Central Hospital, Malawi; National Institute of Allergy and Infectious Diseases, NIAID, (R44AI112164)</t>
  </si>
  <si>
    <t xml:space="preserve">Funding text 1: This research was funded by the National Institute of Allergies and Infectious Diseases, Grant No. R44AI112164. Retinal imaging was conducted at the Queen Elizabeth Central Hospital, Malawi, Africa.; Funding text 2: ACKNOWLEGEMENT This research was funded by the National Institute of Allergies and Infectious Diseases, Grant No. R44AI112164. Retinal imaging was conducted at the Queen Elizabeth Central Hospital, Malawi, Africa.</t>
  </si>
  <si>
    <t xml:space="preserve">Fernando S.D., Rodrigo C., Rajapakse S., The'hidden'burden of malaria: Cognitive impairment following infection, Malaria Journal, 9, 1, (2010); Taylor T.E., Fu W.J., Carr R.A., Whitten R.O., Mueller J.G., Fosiko N.G., Lewallen S., Liomba N.G., Molyneux M.E., Differentiating the pathologies of cerebral malaria by postmortem parasite counts, Nature Medicine, 10, 2, (2004); Beare N.A., Harding S.P., Taylor T.E., Lewallen S., Molyneux M.E., Perfusion abnormalities in children with cerebral malaria and malarial retinopathy, The Journal of Infectious Diseases, 199, 2, pp. 263-271, (2009); Beare N.A., Southern C., Chalira C., Taylor T.E., Molyneux M.E., Harding S.P., Prognostic significance and course of retinopathy in children with severe malaria, Archives of Ophthalmology, 122, 8, pp. 1141-1147, (2004); Zhao Y., MacCormick I.J., Parry D.G., Leach S., Beare N.A., Harding S.P., Zheng Y., Automated detection of leakage in fluorescein angiography images with application to malarial retinopathy, Scientific Reports, 5, (2015); Joshi V., Agurto C., Barriga S., Nemeth S., Soliz P., MacCormick I.J., Lewallen S., Taylor T.E., Harding S.P., Automated detection of malarial retinopathy in digital fundus images for improved diagnosis in malawian children with clinically defined cerebral malaria, Scientific Reports, 7, (2017); Voulodimos A., Doulamis N., Bebis G., Stathaki T., Recent developments in deep learning for engineering applications, Computational Intelligence and Neuroscience, 2018, (2018); Ajith M., Kurup A.R., Pedestrian Detection: Performance Comparison Using Multiple Convolutional Neural Networks, International Conference on Machine Learning and Data Mining in Pattern Recognition, pp. 365-379, (2018); Oquab M., Bottou L., Laptev I., Sivic J., Learning and transferring mid-level image representations using convolutional neural networks, Proceedings of the IEEE Conference on Computer Vision and Pattern Recognition, pp. 1717-1724, (2014); LeCun Y., Kavukcuoglu K., Farabet C., May. Convolutional networks and applications in vision, Proceedings of 2010 IEEE International Symposium on Circuits and Systems, pp. 253-256, (2010); Kermany D.S., Goldbaum M., Cai W., Valentim C.C., Liang H., Baxter S.L., McKeown A., Yang G., Wu X., Yan F., Dong J., Identifying medical diagnoses and treatable diseases by image-based deep learning, Cell, 172, 5, pp. 1122-1131, (2018); Szegedy C., Vanhoucke V., Ioffe S., Shlens J., Wojna Z., Rethinking the inception architecture for computer vision, Proceedings of the IEEE Conference on Computer Vision and Pattern Recognition, pp. 2818-2826, (2016); Krizhevsky A., Sutskever I., Hinton G.E., Imagenet classification with deep convolutional neural networks, Advances in Neural Information Processing Systems, 74, pp. 1097-1105, (2012)</t>
  </si>
  <si>
    <t xml:space="preserve">A. Kurup; VisionQuest Biomedical Inc, Albuquerque, United States; email: akurup@visionquest-bio.com</t>
  </si>
  <si>
    <t xml:space="preserve">IEEE Computer Society; The Institute of Electrical and Electronics Engineers (IEEE)</t>
  </si>
  <si>
    <t xml:space="preserve">2020 IEEE Southwest Symposium on Image Analysis and Interpretation, SSIAI 2020</t>
  </si>
  <si>
    <t xml:space="preserve">29 March 2020 through 31 March 2020</t>
  </si>
  <si>
    <t xml:space="preserve">Santa Fe</t>
  </si>
  <si>
    <t xml:space="preserve">978-172815745-0</t>
  </si>
  <si>
    <t xml:space="preserve">Proc IEEE Southwest Symp Image Anal Interpret</t>
  </si>
  <si>
    <t xml:space="preserve">2-s2.0-85085474477</t>
  </si>
  <si>
    <t xml:space="preserve">Shi L.; Guan Z.; Liang C.; You H.</t>
  </si>
  <si>
    <t xml:space="preserve">Shi, Lulin (59111417400); Guan, Zhen (57217581906); Liang, Chunzi (57191340759); You, Haihang (13102773500)</t>
  </si>
  <si>
    <t xml:space="preserve">59111417400; 57217581906; 57191340759; 13102773500</t>
  </si>
  <si>
    <t xml:space="preserve">Automatic Classification of Plasmodium for Malaria Diagnosis based on Ensemble Neural Network</t>
  </si>
  <si>
    <t xml:space="preserve">Malaria is one of the important public health issues of global concern. It is a kind of infectious disease caused by Plasmodium which can endanger human life and health. The examination of Plasmodium blood smear is the main method to diagnose malaria. Applying machine learning method to automatically analyze malaria smear images is very important for rapid diagnosis and surveillance of malaria. However, the existing machine learning methods need further improvement in feature extraction and generalization ability. For this reason, this paper introduces an ensemble neural network to automatically learn more accurate image features and achieve automatic classification of malaria images. In addition, we propose an adaptive threshold control method for cell segmentation, and then put the cell as center to extract images to obtain the training dataset, which solves the noise problem caused by sliding window cutting. And the idea of transfer learning is applied to solve the problem of shortage of training data. We additionally apply the proposed method to malaria image recognition and achieve 94.58% accuracy. The experimental results show that the model has good robustness and generalization ability and provides a valid data processing method for clinical malaria rapid diagnosis application. © 2020 ACM.</t>
  </si>
  <si>
    <t xml:space="preserve">10.1145/3399637.3399641</t>
  </si>
  <si>
    <t xml:space="preserve">https://www.scopus.com/inward/record.uri?eid=2-s2.0-85087392280&amp;doi=10.1145%2f3399637.3399641&amp;partnerID=40&amp;md5=4db203d6e05bef0d3c7bfe14bee9fc08</t>
  </si>
  <si>
    <t xml:space="preserve">State Key Laboratory of Computer Architecture, Institute of Computing Technology, Chinese Academy of Sciences, Beijing, China; Central South Hospital of Wuhan University, Wuhan, China</t>
  </si>
  <si>
    <t xml:space="preserve">Shi L., State Key Laboratory of Computer Architecture, Institute of Computing Technology, Chinese Academy of Sciences, Beijing, China; Guan Z., State Key Laboratory of Computer Architecture, Institute of Computing Technology, Chinese Academy of Sciences, Beijing, China; Liang C., State Key Laboratory of Computer Architecture, Institute of Computing Technology, Chinese Academy of Sciences, Beijing, China; You H., Central South Hospital of Wuhan University, Wuhan, China</t>
  </si>
  <si>
    <t xml:space="preserve">Malaria diagnosis; Neural network ensemble; Plasmodium classification; Transfer learning</t>
  </si>
  <si>
    <t xml:space="preserve">Computer aided diagnosis; Data handling; Diseases; Image recognition; Image segmentation; Medical image processing; Noise pollution; Transfer learning; Adaptive thresholds; Automatic classification; Data processing methods; Ensemble neural network; Generalization ability; Infectious disease; Machine learning methods; Public health issues; Learning systems</t>
  </si>
  <si>
    <t xml:space="preserve">National Natural Science Foundation of China, NSFC, (11801541); National Natural Science Foundation of China, NSFC</t>
  </si>
  <si>
    <t xml:space="preserve">Authors would like to acknowledge the funding of the National Natural Science Foundation of China (Project 11801541) .</t>
  </si>
  <si>
    <t xml:space="preserve">Mehanian C., Jaiswal M., Delahunt C., Thompson C., Bell D., Computer-automated malaria diagnosis and quantitation using convolutional neural networks, 2017 IEEE International Conference on Computer Vision Workshop; Das D.K., Mukherjee R., Chakraborty C., Computational microscopic imaging for malaria parasite detection: A systematic review, Journal of Microscopy, 260, 1, pp. 1-19, (2015); Rosado L., Da Costa J.M.C., Elias D., Eliasa D., Cardosoc J.S., Automated detection of malaria parasites on thick blood smears via mobile devices, Procedia Computer Science, 90, pp. 138-144, (2016); Esteva A., Kuprel B., Novoa R.A., Dermatologist-level classification of skin cancer with deep neural networks, Nature, 542, 7639, (2017); Deng J., Dong W., Socher R., Imagenet: A large-scale hierarchical image database, Computer Vision and Pattern Recognition; Szegedy C., Vanhoucke V., Ioffe S., Shlens J., Wojna Z., Rethinking the inception architecture for computer vision, Proceedings of the IEEE Conference on Computer Vision and Pattern Recognition; He K., Zhang X., Ren S., Sun J., Deep residual learning for image recognition, Proceedings of the IEEE Conference on Computer Vision and Pattern Recognition; Szegedy C., Ioffe S., Vanhoucke V., Inception-v4, inceptionresnet and the impact of residual connections on learning, Proceedings of the Thirty-First AAAI Conference on Artificial Intelligence, (2017); Liang Z., Powell A., Ersoy I., Et al., CNN-based image analysis for malaria diagnosis, Bioinformatics and Biomedicine, 2016 IEEE International Conference On. IEEE, (2016); Quinn J.A., Nakasi R., Mugagga P.K.B., Byanyima P., Lubega W., Andama A., Deep convolutional neural networks for microscopy-based point of care diagnostics, Machine Learning for Healthcare Conference; Dong Y., Jiang Z., Shen H., Evaluations of deep convolutional neural networks for automatic identification of malaria infected cells, Biomedical &amp; Health Informatics (BHI), 2017 IEEE EMBS International Conference On. IEEE, (2017); Sivaramakrishnan R., Antani S., Jaeger S., Visualizing deep learning activations for improved malaria cell classification, Medical Informatics and Healthcare, (2017); Hung J., Carpenter A., Applying faster r-cnn for object detection on malaria images, 2017 IEEE Conference on Computer Vision and Pattern Recognition Workshops, (2017); Wang D., Khosla A., Gargeya R., Irshad H., Andrew H.B., Deep Learning for Identifying Metastatic Breast Cancer, (2016); Liu Y., Gadepalli K., Et al., Detecting Cancer Metastases on Gigapixel Pathology Images, (2017); Ancheng W., Practice of Deep Learning Algorithm, (2017); Zhuang F.Z., Luo P., He Q., Shi Z.Z., Survey on transfer learning research, Ruan Jian Xue Bao/Journal of Software, 26, 1, (2015); Samala R., Chan H.P., Hadjiiski L.M., Helvie M.A., Cha K.H., Richter C.D., Multi-task transfer learning deep convolutional neural network: Application to computer-aided diagnosis of breast cancer on mammograms, Physics in Medicine &amp; Biology, 62, 23, (2017)</t>
  </si>
  <si>
    <t xml:space="preserve">2nd International Conference on Intelligent Medicine and Image Processing, IMIP 2020</t>
  </si>
  <si>
    <t xml:space="preserve">23 April 2020 through 26 April 2020</t>
  </si>
  <si>
    <t xml:space="preserve">Tianjin</t>
  </si>
  <si>
    <t xml:space="preserve">978-145037779-9</t>
  </si>
  <si>
    <t xml:space="preserve">2-s2.0-85087392280</t>
  </si>
  <si>
    <t xml:space="preserve">Doering E.; Pukropski A.; Krumnack U.; Schaffand A.</t>
  </si>
  <si>
    <t xml:space="preserve">Doering, Elena (57226148804); Pukropski, Anna (57204201165); Krumnack, Ulf (23397226400); Schaffand, Axel (57218282258)</t>
  </si>
  <si>
    <t xml:space="preserve">57226148804; 57204201165; 23397226400; 57218282258</t>
  </si>
  <si>
    <t xml:space="preserve">Automatic Detection and Counting of Malaria Parasite-Infected Blood Cells</t>
  </si>
  <si>
    <t xml:space="preserve">In this paper, we present a technique for automatic detection and counting of Plasmodium vivax-infected red blood cells by means of a convolutional neural network and a feature- based counting process. Current approaches for object detection or counting often rely on prior knowledge of certain salient features of the to-be-identified objects or require time-consuming pre-processing. For this reason, many detection problems, for example infected cell counting, remain a manual task for trained professionals, leading to potentially high amounts of time between infection and diagnosis and treatment, which, in turn, can have lethal consequences. Using the BBBC041 data set, we annotated the ground truth (GT) of infected cells with circles in each image and then trained a convolutional neural network to predict these GTs from previously unseen cell images. Subsequently, the algorithm computes the number of cells using Canny edge detection and circular Hough Transform. © 2020, Springer Nature Singapore Pte Ltd.</t>
  </si>
  <si>
    <t xml:space="preserve">633 LNEE</t>
  </si>
  <si>
    <t xml:space="preserve">10.1007/978-981-15-5199-4_15</t>
  </si>
  <si>
    <t xml:space="preserve">https://www.scopus.com/inward/record.uri?eid=2-s2.0-85088583060&amp;doi=10.1007%2f978-981-15-5199-4_15&amp;partnerID=40&amp;md5=ae841412b8b882ccec9d1ff929af2d18</t>
  </si>
  <si>
    <t xml:space="preserve">Institute of Cognitive Science, University of Osnabrück, Osnabrück, Germany; Faculty of Medicine, Department of Nuclear Medicine, University of Cologne, Cologne, Germany; German Center for Neurodegenerative Diseases (DZNE), Bonn/Cologne, Germany</t>
  </si>
  <si>
    <t xml:space="preserve">Doering E., Institute of Cognitive Science, University of Osnabrück, Osnabrück, Germany, Faculty of Medicine, Department of Nuclear Medicine, University of Cologne, Cologne, Germany, German Center for Neurodegenerative Diseases (DZNE), Bonn/Cologne, Germany; Pukropski A., Institute of Cognitive Science, University of Osnabrück, Osnabrück, Germany; Krumnack U., Institute of Cognitive Science, University of Osnabrück, Osnabrück, Germany; Schaffand A., Institute of Cognitive Science, University of Osnabrück, Osnabrück, Germany</t>
  </si>
  <si>
    <t xml:space="preserve">Cell counting; Computer vision; Convolutional neural networks; Deep learning; Malaria; Microscopy images</t>
  </si>
  <si>
    <t xml:space="preserve">Blood; Cells; Convolution; Convolutional neural networks; Cytology; Deep learning; Diseases; Feature extraction; Hough transforms; Object detection; Automatic counting; Automatic Detection; Blood cells; Cell counting; Convolutional neural network; Deep learning; Infected cells; Malaria; Malaria parasite; Microscopy images; Computer vision</t>
  </si>
  <si>
    <t xml:space="preserve">Universität Osnabrück, UOS</t>
  </si>
  <si>
    <t xml:space="preserve">Supported by University of Osnabrück.</t>
  </si>
  <si>
    <t xml:space="preserve">Alemu M., Tadesse D., Hailu T., Mulu W., Derbie A., Hailu T., Abera B., Performance of Laboratory Professionals Working on Malaria Microscopy in Tigray, North Ethiopia, J. Parasitol. Res, (2017); Arteta C., Lempitsky V., Noble J.A., Zisserman A., Interactive object counting, Lecture Notes in Computer Science (including subseries Lecture Notes in Artificial Intelligence and Lecture Notes in Bioinformatics), (2014); Bewes J., Suchowerska N., Mckenzie D., Automated cell colony counting and analysis using the circular hough image transform algorithm (chita), Phys. Med. Biol, 53, pp. 5991-6008, (2008); Bradski G., The OpenCV Library, Dr. Dobb’s J. Softw. Tools, (2000); Centers for Disease Control and Prevention: Malaria Disease, (2019); Centers for disease control and prevention: treatment of malaria: guidelines for clinicians (united states), (2019); Coulter W.H., Means for counting particles suspended in a uid, (1949); Hung J., Goodman A., Lopes S., Rangel G., Ravel D., Costa F., Marti M., Carpenter A.E., Applying faster R-CNN for Object detection on malaria images, CVPR, (2017); Imtiaz S., Drohlia M., Nasir K., Hussain M., Ahmad A., Morbidity and mortality associated with Plasmodium vivax and Plasmodium falciparum infection in a tertiary care kidney hospital, Saudi J. Kidney Dis. Transpl, 26, 6, pp. 1169-1176, (2015); Khan M.I., Acharya B., Singh B.K., Soni J., Content based image retrieval approaches for detection of malarial parasite in blood images, Int. J. Biometrics Bioinform, 5, 2, pp. 97-110, (2011); Khatri K.M., Ratnaparkhe V.R., Ph D., Agrawal S.S., Bhalchandra A.S., Image processing approach for malarial parasite identification, Int. J. Comput. Appl. (IJCA), pp. 5-7, (2013); Kingma D.P., Ba J.L., Adam: a method for stochastic optimization, (2015); Ljosa V., Sokolnicki K.L., Carpenter A.E., Annotated high-throughput microscopy image sets for validation, Nat. Methods, 9, 7, (2012); Mitiku K., Getahun M., Gelaw B., The reliability of blood film examination for malaria at the peripheral health unit, Ethiopian J. Health Dev, 17, 3, pp. 197-204, (2003); De Solorzano C.O., Rodriguez E.G., Jones A., Pinkel D., Gray J., Sudar D., Lockett S., Segmentation of confocal microscope images of cell nuclei in thick tissue sections, J. Microsc, 193, 3, pp. 212-226, (1999); Price R., Tjitra E., Guerra C., Yeung S., White N., Anstey N., Vivax malaria: neglected and not benign, Am. J. Tropical Med. Hygience, 77, 6, pp. 79-97, (2007); Sarkar D., Detecting malaria with deep learning, (2019); Shen K., Blogpost, (2018); Szegedy C., Deep neural networks for object detection, Proceedings of the 26th International Conference on Neural Information Processing Systems (NIPS), 2, pp. 2553-2561, (2013); Venkatalakshmi B., Thilagavathi K., Automatic red blood cell counting using hough transform, 2013 IEEE Conference on Information Communication Technologies, pp. 267-271, (2013); Wang Sheng, Yao Jiawen, Xu Zheng, Huang Junzhou, Subtype cell detection with an accelerated deep convolution neural network, MICCAI 2016. LNCS, 9901, pp. 640-648, (2016); Malaria, (2019); New opportunities to prevent P. vivax malaria relapse, (2019); Xie W., Noble J.A., Zisserman A., Microscopy cell counting and detection with fully convolutional regression networks, Comput. Methods Biomech. Biomed. Eng. Imaging Vis, 6, 3, pp. 283-292, (2018); Xie Y., Xing F., Kong X., Su H., Yang L., Beyond classification: structured regression for robust cell detection using convolutional neural network, Medical Image Computing and Computer-Assisted Intervention, 9351, pp. 358-365, (2015)</t>
  </si>
  <si>
    <t xml:space="preserve">A. Pukropski; Institute of Cognitive Science, University of Osnabrück, Osnabrück, Germany; email: apukropski@uni-osnabrueck.de</t>
  </si>
  <si>
    <t xml:space="preserve">Su R.; Liu H.</t>
  </si>
  <si>
    <t xml:space="preserve">International Conference on Medical Imaging and Computer-Aided Diagnosis, MICAD 2020</t>
  </si>
  <si>
    <t xml:space="preserve">20 January 2020 through 21 January 2020</t>
  </si>
  <si>
    <t xml:space="preserve">Oxford</t>
  </si>
  <si>
    <t xml:space="preserve">978-981155198-7</t>
  </si>
  <si>
    <t xml:space="preserve">2-s2.0-85088583060</t>
  </si>
  <si>
    <t xml:space="preserve">Foysal Haque K.; Farhan Haque F.; Gandy L.; Abdelgawad A.</t>
  </si>
  <si>
    <t xml:space="preserve">Foysal Haque, Khandaker (57207855073); Farhan Haque, Fatin (57220114881); Gandy, Lisa (14009977700); Abdelgawad, Ahmed (21833863800)</t>
  </si>
  <si>
    <t xml:space="preserve">57207855073; 57220114881; 14009977700; 21833863800</t>
  </si>
  <si>
    <t xml:space="preserve">Automatic Detection of COVID-19 from Chest X-ray Images with Convolutional Neural Networks</t>
  </si>
  <si>
    <t xml:space="preserve">Deep Learning has improved multi-fold in recent years and it has been playing a great role in image classification which also includes medical imaging. Convolutional Neural Networks (CNN) has been performing well in detecting many diseases including Coronary Artery Disease, Malaria, Alzheimer's disease, different dental diseases, and Parkinson's disease. Like other cases, CNN has a substantial prospect in detecting COVID-19 patients with medical images like chest X-rays and CTs. Coronavirus or COVID-19 has been declared a global pandemic by the World Health Organization (WHO). Till July 11, 2020, the total COVID-19 confirmed cases are 12.32 M and deaths are 0.556 M worldwide. Detecting Corona positive patients is very important in preventing the spread of this virus. On this conquest, a CNN model is proposed to detect COVID-19 patients from chest X-ray images. This model is evaluated with a comparative analysis of two other CNN models. The proposed model performs with an accuracy of 97.56% and a precision of 95.34%. This model gives the Receiver Operating Characteristic (ROC) curve area of 0.976 and F1-score of 97.61. It can be improved further by increasing the dataset for training the model. © 2020 IEEE.</t>
  </si>
  <si>
    <t xml:space="preserve">Proceedings - 2020 International Conference on Computing, Electronics and Communications Engineering, iCCECE 2020</t>
  </si>
  <si>
    <t xml:space="preserve">10.1109/iCCECE49321.2020.9231235</t>
  </si>
  <si>
    <t xml:space="preserve">https://www.scopus.com/inward/record.uri?eid=2-s2.0-85096959116&amp;doi=10.1109%2fiCCECE49321.2020.9231235&amp;partnerID=40&amp;md5=6f381a9c64576b9e0fb65b39699d24a8</t>
  </si>
  <si>
    <t xml:space="preserve">Michigan University, College of Science and Engineering Central, Mt Pleasant, MI, United States</t>
  </si>
  <si>
    <t xml:space="preserve">Foysal Haque K., Michigan University, College of Science and Engineering Central, Mt Pleasant, MI, United States; Farhan Haque F., Michigan University, College of Science and Engineering Central, Mt Pleasant, MI, United States; Gandy L., Michigan University, College of Science and Engineering Central, Mt Pleasant, MI, United States; Abdelgawad A., Michigan University, College of Science and Engineering Central, Mt Pleasant, MI, United States</t>
  </si>
  <si>
    <t xml:space="preserve">CNN; Coronavirus; COVID-19; COVID-19 Detection; Deep Learning</t>
  </si>
  <si>
    <t xml:space="preserve">Convolution; Deep learning; Image enhancement; Medical imaging; Neurodegenerative diseases; Viruses; Alzheimer's disease; Automatic Detection; Chest X-ray image; Comparative analysis; Coronary artery disease; Parkinson's disease; Receiver operating characteristic curves; World Health Organization; Convolutional neural networks</t>
  </si>
  <si>
    <t xml:space="preserve">Simard P.Y., Steinkraus D., Platt J.C., Et al., Best practices for convolutional neural networks applied to visual document analysis, Icdar, 3, 2003, (2003); O'Shea K., Nash R., An Introduction to Convolutional Neural Networks, (2015); Bhandare A., Bhide M., Gokhale P., Chandavarkar R., Applications of convolutional neural networks, International Journal of Computer Science and Information Technologies, 7, 5, pp. 2206-2215, (2016); Suzuki K., Overview of deep learning in medical imaging, Radiological Physics and Technology, 10, 3, pp. 257-273, (2017); Wu Y.-C., Chen C.-S., Chan Y.-J., The outbreak of covid-19: An overview, Journal of the Chinese Medical Association, 83, 3, (2020); Modes of Transmission of Virus Causing Covid-19: Implications for Ipc Precaution Recommendations: Scientific Brief, 27 March 2020, (2020); W. H. O. Coronavirus Disease (Covid-19) Dashboard, (2020); W. H. O. Coronavirus Disease (Covid-19) Newsroom; McCulloch W.S., Pitts W., A logical calculus of the ideas immanent in nervous activity, The Bulletin of Mathematical Biophysics, 5, 4, pp. 115-133, (1943); Liang M., Hu X., Recurrent convolutional neural network for object recognition, Proceedings of the Ieee Conference on Computer Vision and Pattern Recognition, pp. 3367-3375, (2015); Gu J., Wang Z., Kuen J., Ma L., Shahroudy A., Shuai B., Liu T., Wang X., Wang G., Cai J., Et al., Recent advances in convolutional neural networks, Pattern Recognition, 77, pp. 354-377, (2018); Fukushima K., Neocognitron: A self-organizing neural network model for a mechanism of pattern recognition unaffected by shift in position, Biological Cybernetics, 36, 4, pp. 193-202, (1980); Krizhevsky A., Sutskever I., Hinton G.E., Imagenet classification with deep convolutional neural networks, Advances in Neural Information Processing Systems, pp. 1097-1105, (2012); Zeiler M.D., Fergus R., Visualizing and understanding convolu-tional networks, European Conference on Computer Vision, pp. 818-833, (2014); Simonyan K., Zisserman A., Very Deep Convolutional Networks for Large-Scale Image Recognition, (2014); Litjens G., Kooi T., Bejnordi B.E., Setio A.A.A., Ciompi F., Ghafoorian M., Laak Der Van J.A., Van Ginneken B., Sanchez C.I., A survey on deep learning in medical image analysis, Medical Image Analysis, 42, pp. 60-88, (2017); Lundervold A.S., Lundervold A., An overview of deep learning in medical imaging focusing on mri, Zeitschrift für Medizinische Physik, 29, 2, pp. 102-127, (2019); Hung J., Carpenter A., Applying faster r-cnn for object detection on malaria images, Proceedings of the Ieee Conference on Computer Vision and Pattern Recognition Workshops, pp. 56-61, (2017); Acharya U.R., Fujita H., Lih O.S., Adam M., Tan J.H., Chua C.K., Automated detection of coronary artery disease using different durations of ecg segments with convolutional neural network, Knowledge-Based Systems, 132, pp. 62-71, (2017); Oh S.L., Hagiwara Y., Raghavendra U., Yuvaraj R., Arunkumar N., Murugappan M., Acharya U.R., A deep learning approach for parkinson's disease diagnosis from eeg signals, Neural Computing and Applications, pp. 1-7, (2018); Prajapati S.A., Nagaraj R., Mitra S., Classification of dental diseases using cnn and transfer learning, 2017 5th International Symposium on Computational and Business Intelligence (ISCBI), pp. 70-74, (2017); Liao H., A Deep Learning Approach to Universal Skin Disease Classification, (2016); Hosseini-Asl E., Keynton R., El-Baz A., Alzheimer's disease diagnostics by adaptation of 3d convolutional network, 2016 Ieee International Conference on Image Processing (ICIP), pp. 126-130, (2016); Narin A., Kaya C., Pamuk Z., Automatic Detection of Coronavirus Disease (Covid-19) Using X-Ray Images and Deep Convolutional Neural Networks, (2020); Zhang J., Xie Y., Li Y., Shen C., Xia Y., Covid-19 Screening on Chest X-Ray Images Using Deep Learning Based Anomaly Detection, (2020); Hall L.O., Paul R., Goldgof D.B., Goldgof G.M., Finding Covid-19 from Chest X-Rays Using Deep Learning on a Small Dataset, (2020); Sethy P.K., Behera S.K., Detection of Coronavirus Disease (Covid-19) Based on Deep Features, 2020, (2020); Apostolopoulos I.D., Mpesiana T.A., Covid-19: Automatic detection from X-ray images utilizing transfer learning with convolutional neural networks, Physical and Engineering Sciences in Medicine, (2020); Li L., Qin L., Xu Z., Yin Y., Wang X., Kong B., Bai J., Lu Y., Fang Z., Song Q., Et al., Artificial intelligence distinguishes covid-19 from community acquired pneumonia on chest ct, Radiology, (2020); Afshar P., Heidarian S., Naderkhani F., Oikonomou A., Plataniotis K.N., Mohammadi A., Covid-Caps: A Capsule Network-Based Framework for Identification of Covid-19 Cases from X-Ray Images, (2020); Wang L., Wong A., Covid-Net: A Tailored Deep Convolutional Neural Network Design for Detection of Covid-19 Cases from Chest X-Ray Images, (2020); Cohen J.P., Morrison P., Dao L., Covid-19 Image Data Collection, (2020); Mooney P., Chest X-Ray Images (Pneumonia)</t>
  </si>
  <si>
    <t xml:space="preserve">Miraz M.H.; Excell P.S.; Ware A.; Soomro S.; Ali M.</t>
  </si>
  <si>
    <t xml:space="preserve">3rd International Conference on Computing, Electronics and Communications Engineering, iCCECE 2020</t>
  </si>
  <si>
    <t xml:space="preserve">17 August 2020 through 18 August 2020</t>
  </si>
  <si>
    <t xml:space="preserve">Virtual, Southend</t>
  </si>
  <si>
    <t xml:space="preserve">978-172816330-7</t>
  </si>
  <si>
    <t xml:space="preserve">Proc. - Int. Conf. Comput., Electron. Commun. Engi., iCCECE</t>
  </si>
  <si>
    <t xml:space="preserve">2-s2.0-85096959116</t>
  </si>
  <si>
    <t xml:space="preserve">Madhu G.; Govardhan A.; Srinivas B.S.; Patel S.A.; Rohit B.; Bharadwaj B.L.</t>
  </si>
  <si>
    <t xml:space="preserve">Madhu, G. (56730500400); Govardhan, A. (26326827400); Srinivas, B.Sunil (56136977300); Patel, Shilhora Akshay (57221154179); Rohit, B. (57195601560); Bharadwaj, B.Lalith (57226105611)</t>
  </si>
  <si>
    <t xml:space="preserve">56730500400; 26326827400; 56136977300; 57221154179; 57195601560; 57226105611</t>
  </si>
  <si>
    <t xml:space="preserve">Capsule Networks for Malaria Parasite Classification: An Application Oriented Model</t>
  </si>
  <si>
    <t xml:space="preserve">The epidemic of malaria is a death-dealing infectious disease caused by mosquito spreading across the world. In this technological era, automated diagnosis is worthwhile for accurate and faster solutions. In this work, a novel application-oriented diagnostic model was deployed to detect and classify thin-blood smear images infected with malaria. The Features from thin-blood smears are extracted using a series of Convolution-Neural-Networks and classified with novel Capsule-Networks by understanding the spatial relationship of thin-blood films. The experimentation is compared to VGG-16, ResNet-50, DenseNet-121 architectures with immense depth varying from 16 to 121 layers. The proposed Capsule-Network is 8 layer deep and tends to outperform attaining classification accuracy of 96.9% and specificity, sensitivity scores were 94.95%, 98.18%. This novel model was deployed as a web-application to act as an aid for such a havoc problem and to transfer applicability to every user in need by classifying images in less than 3 seconds. © 2020 IEEE.</t>
  </si>
  <si>
    <t xml:space="preserve">2020 IEEE International Conference for Innovation in Technology, INOCON 2020</t>
  </si>
  <si>
    <t xml:space="preserve">10.1109/INOCON50539.2020.9298425</t>
  </si>
  <si>
    <t xml:space="preserve">https://www.scopus.com/inward/record.uri?eid=2-s2.0-85099569717&amp;doi=10.1109%2fINOCON50539.2020.9298425&amp;partnerID=40&amp;md5=02ad2613b10c18cc1a4ec71c4f32f994</t>
  </si>
  <si>
    <t xml:space="preserve">Vnr Vjiet, Dept. of Information Technology, Hyderabad-90, T.S, India; Jntuh College of Engineering, Dept. of Computer Science and Engg, Hyderabad-85, T.S, India; Tkr College of Engineering Technology, Dept. of Computer Science and Engg, Hyderabad-97, T.S, India</t>
  </si>
  <si>
    <t xml:space="preserve">Madhu G., Vnr Vjiet, Dept. of Information Technology, Hyderabad-90, T.S, India; Govardhan A., Jntuh College of Engineering, Dept. of Computer Science and Engg, Hyderabad-85, T.S, India; Srinivas B.S., Tkr College of Engineering Technology, Dept. of Computer Science and Engg, Hyderabad-97, T.S, India; Patel S.A., Vnr Vjiet, Dept. of Information Technology, Hyderabad-90, T.S, India; Rohit B., Vnr Vjiet, Dept. of Information Technology, Hyderabad-90, T.S, India; Bharadwaj B.L., Vnr Vjiet, Dept. of Information Technology, Hyderabad-90, T.S, India</t>
  </si>
  <si>
    <t xml:space="preserve">Application Design; Capsule Networks; Deep Learning; Parasite Classification; Routing Algorithm</t>
  </si>
  <si>
    <t xml:space="preserve">Blood; Diagnosis; Diseases; Engineering research; Network layers; Application-oriented; Automated diagnosis; Classification accuracy; Convolution neural network; Infectious disease; Malaria parasite; Novel applications; Spatial relationships; Image classification</t>
  </si>
  <si>
    <t xml:space="preserve">JNTUH-TEQIP-III, (JNTUH/TEQIP-III/CRS/2019/CSE/13); Jawaharlal Nehru Technological University Hyderabad, JNTUH</t>
  </si>
  <si>
    <t xml:space="preserve">This work was supported by JNTUH-TEQIP-III grant with proceedings no: JNTUH/TEQIP-III/CRS/2019/CSE/13, Jawaharlal Nehru Technological University Hyderabad.</t>
  </si>
  <si>
    <t xml:space="preserve">Zhaohui L., Et al., CNN-based image analysis for malaria diagnosis, 2016 IEEE International Conference on Bioinformatics and Biomedicine (BIBM). IEEE, (2016); Rajaraman S., Antani S., Jaeger S., Visualizing deep learning activations for improved malaria cell classification, Medical Informatics and Healthcare, (2017); Gopakumar G.P., Et al., Convolutional neural networkbased malaria diagnosis from focus stack of blood smear images acquired using custom-built slide scanner, Journal of Biophotonics, 11, 3, (2018); Rahul K., Singh S.K., Khamparia A., Malaria detection using custom convolutional neural network model on blood smear slide images, International Conference on Advanced Informatics for Computing Research. Springer, Singapore, (2019); Dhanya B., Nair M.S., Punitha P., Malaria parasite detection from peripheral blood smear images using deep belief networks, IEEE Access, 5, pp. 9099-9108, (2017); Ross N.E., Et al., Automated image processing method for the diagnosis and classification of malaria on thin blood smears, Medical and Biological Engineering and Computing, 44, 5, pp. 427-436, (2006); Tek F.B., Dempster A.G., Kale I., Parasite detection and identification for automated thin blood film malaria diagnosis, Computer Vision and Image Understanding, 114, 1, pp. 21-32, (2010); Karen S., Zisserman A., Very Deep Convolutional Networks for Large-scale Image Recognition, (2014); Kaiming H., Et al., Deep residual learning for image recognition, Proceedings of the IEEE Conference on Computer Vision and Pattern Recognition, (2016); Sergey I., Szegedy C., Batch Normalization: Accelerating Deep Network Training by Reducing Internal Covariate Shift, (2015); Gao H., Et al., Densely connected convolutional networks, Proceedings of the IEEE Conference on Computer Vision and Pattern Recognition, (2017); Sara S., Frosst N., Hinton G.E., Dynamic routing between capsules, Advances in Neural Information Processing Systems, (2017); Kingma D.P., Ba J., Adam: A Method for Stochastic Optimization, (2014); Ian G., Bengio Y., Courville A., Deep Learning, (2016); Yann L., Bengio Y., Hinton G., Deep learning, Nature, 521, 7553, pp. 436-444, (2015); Xavier G., Bengio Y., Understanding the difficulty of training deep feedforward neural networks, Proceedings of the Thirteenth International Conference on Artificial Intelligence and Statistics, (2010); Altman D.G., Bland J.M., Diagnostic tests. 1: Sensitivity and specificity, BMJ: British Medical Journal, 308, 6943, (1994); Reitsma J.B., Et al., Bivariate analysis of sensitivity and specificity produces informative summary measures in diagnostic reviews, Journal of Clinical Epidemiology, 58, 10, pp. 982-990, (2005); Yoshua B., Courville A., Vincent P., Representation learning: A review and new perspectives, IEEE Transactions on Pattern Analysis and Machine Intelligence, 35, 8, pp. 1798-1828, (2013); Ren S.Q., Et al., Faster r-cnn: Towards real-time object detection with region proposal networks, Advances in Neural Information Processing Systems, (2015); Olaf R., Fischer P., Brox T., U-net: Convolutional networks for biomedical image segmentation, International Conference on Medical Image Computing and Computer-assisted Intervention. Springer, Cham, (2015); Alex K., Sutskever I., Hinton G.E., Imagenet classification with deep convolutional neural networks, Advances in Neural Information Processing Systems, (2012); Yann L., Et al., Gradient-based learning applied to document recognition, Proceedings of the IEEE, 86, 11, pp. 2278-2324, (1998); Simard P.Y., Steinkraus D., Platt J.C., Best practices for convolutional neural networks applied to visual document analysis, Icdar, 3, 2003, (2003); Abdel-Hamid O., Et al., Convolutional neural networks for speech recognition, IEEE/ACM Transactions on Audio, Speech, and Language Processing, 22, 10, pp. 1533-1545, (2014)</t>
  </si>
  <si>
    <t xml:space="preserve">6 November 2020 through 8 November 2020</t>
  </si>
  <si>
    <t xml:space="preserve">978-172819744-9</t>
  </si>
  <si>
    <t xml:space="preserve">IEEE Int. Conf. Innov. Technol., INOCON</t>
  </si>
  <si>
    <t xml:space="preserve">2-s2.0-85099569717</t>
  </si>
  <si>
    <t xml:space="preserve">Yang F.; Quizon N.; Yu H.; Silamut K.; Maude R.J.; Jaeger S.; Antani S.</t>
  </si>
  <si>
    <t xml:space="preserve">Yang, Feng (56408792200); Quizon, Nicolas (57192594279); Yu, Hang (57214397334); Silamut, Kamolrat (57208458283); Maude, Richard J. (25625222500); Jaeger, Stefan (55516608100); Antani, Sameer (6701355570)</t>
  </si>
  <si>
    <t xml:space="preserve">56408792200; 57192594279; 57214397334; 57208458283; 25625222500; 55516608100; 6701355570</t>
  </si>
  <si>
    <t xml:space="preserve">Cascading YOLO: Automated malaria parasite detection for Plasmodium vivax in thin blood smears</t>
  </si>
  <si>
    <t xml:space="preserve">Malaria, caused by Plasmodium parasites, continues to be a major burden on global health. Plasmodium falciparum (P. falciparum) and Plasmodium vivax (P. vivax) pose the greatest health threat among the five malaria species. Microscopy examination is considered as the gold standard for malaria diagnosis, but it requires a significant amount of time and expertise. In particular, the automated and accurate detection of P. vivax is difficult due to the low parasitemia levels as compared to P. falciparum. In this work, we develop a rapid and robust diagnosis system for the automated detection of P. vivax parasites using a cascaded YOLO model. This system consists of a YOLOv2 model and a classifier for hardnegative mining. Results from 2567 thin blood smear images of 171 patients show the cascaded YOLO model improves the mean average precision about 8% compared to the conventional YOLOv2 model. © 2020 SPIE.</t>
  </si>
  <si>
    <t xml:space="preserve">Progress in Biomedical Optics and Imaging - Proceedings of SPIE</t>
  </si>
  <si>
    <t xml:space="preserve">113141Q</t>
  </si>
  <si>
    <t xml:space="preserve">10.1117/12.2549701</t>
  </si>
  <si>
    <t xml:space="preserve">https://www.scopus.com/inward/record.uri?eid=2-s2.0-85085498019&amp;doi=10.1117%2f12.2549701&amp;partnerID=40&amp;md5=6aa93e0d0b68218c2a239440018036e4</t>
  </si>
  <si>
    <t xml:space="preserve">National Library of Medicine, National Institutes of Health, Bethesda, 20894, MD, United States; Mahidol- Oxford Tropical Medicine Research Unit, Bangkok, Thailand; Centre for Tropical Medicine and Global Health, Nuffield Dept of Medicine, University of Oxford, Oxford, United Kingdom; Harvard TH Chan School of Public Health, Harvard University, Boston, United States</t>
  </si>
  <si>
    <t xml:space="preserve">Yang F., National Library of Medicine, National Institutes of Health, Bethesda, 20894, MD, United States; Quizon N., National Library of Medicine, National Institutes of Health, Bethesda, 20894, MD, United States; Yu H., National Library of Medicine, National Institutes of Health, Bethesda, 20894, MD, United States; Silamut K., Mahidol- Oxford Tropical Medicine Research Unit, Bangkok, Thailand; Maude R.J., Mahidol- Oxford Tropical Medicine Research Unit, Bangkok, Thailand, Centre for Tropical Medicine and Global Health, Nuffield Dept of Medicine, University of Oxford, Oxford, United Kingdom, Harvard TH Chan School of Public Health, Harvard University, Boston, United States; Jaeger S., National Library of Medicine, National Institutes of Health, Bethesda, 20894, MD, United States; Antani S., National Library of Medicine, National Institutes of Health, Bethesda, 20894, MD, United States</t>
  </si>
  <si>
    <t xml:space="preserve">computer-aided diagnosis; deep learning; malaria; plasmodium vivax; yolo</t>
  </si>
  <si>
    <t xml:space="preserve">Automation; Blood; Diseases; Health risks; Image enhancement; Medical imaging; Automated detection; Diagnosis systems; Gold standards; Malaria diagnosis; Malaria parasite; Plasmodium falciparum; Plasmodium parasites; Plasmodium vivax; Computer aided diagnosis</t>
  </si>
  <si>
    <t xml:space="preserve">National Institutes of Health, NIH; U.S. National Library of Medicine, NLM; Wellcome Trust, WT; Lister Hill National Center for Biomedical Communications, LHNCBC; National Key Research and Development Program of China, NKRDPC, (61671049)</t>
  </si>
  <si>
    <t xml:space="preserve">This research is supported by the Intramural Research Program of the National Institutes of Health (NIH), National Library of Medicine (NLM), and Lister Hill National Center for Biomedical Communications (LHNCBC). Mahidol-Oxford Tropical Medicine Research Unit is funded by the Wellcome Trust of Great Britain. This research is also supported by the National Basic Research Program of China under No. 61671049.</t>
  </si>
  <si>
    <t xml:space="preserve">(2018); (2015); Moreira C.M., Abo-Shehada M., Price R.N., Drakeley C.J., A systematic review of sub-microscopic Plasmodium vivax infection, Malar. J, 14, 1, pp. 1-10, (2015); Poostchi M., Silamut K., Maude R.J., Jaeger S., Thoma G., Image analysis and machine learning for detecting malaria, Transl. Res, 194, pp. 36-55, (2018); Pattanaik P.A., Swarnkar T., Comparative analysis of morphological techniques for malaria detection, Int. J. Healthc. Inf. Syst. Informatics, 13, 4, pp. 1-17, (2018); Rosado L., Da Costa C.J.M., Elias D., Cardoso J.S., A review of automatic malaria parasites detection and segmentation in microscopic images, Anti-Infective Agents, 14, 1, pp. 11-22, (2016); Liang Z., Powell A., Ersoy I., Poostchi M., Silamut K., Palaniappan K., Guo P., Hossain M.A., Sameer A., Maude R.J., Huang J.X., Jaeger S., Thoma G., CNN-based image analysis for malaria diagnosis, Proc.-2016 IEEE Int. Conf. Bioinforma. Biomed. (BIBM 2016), pp. 493-496, (2016); Poostchi M., Ersoy I., McMenamin K., Gordon E., Palaniappan N., Pierce S., Maude R.J., Bansal A., Srinivasan P., Miller L., Palaniappan K., Thoma G., Jaeger S., Malaria parasite detection and cell counting for human and mouse using thin blood smear microscopy, J. Med. Imaging, 5, 4, (2018); Yang F., Poostchi M., Yu H., Zhou Z., Silamut K., Yu J., Maude R.J., Jaeger S., Antani S., Deep learning for smartphone-based malaria parasite detection in thick blood smears, IEEE J. Biomed. Heal. Informatics, in Press, (2019); Yunda L., Alarcon A., Millan J., Automated image analysis method for p-vivax malaria parasite detection in thick film blood images, Sist. y Telemática, 10, 20, (2012); Ghosh M., Das D., Chakraborty C., Ray A.K., Plasmodium vivax segmentation using modified fuzzy divergence, Proc. 2011 Int. Conf. Image Inf. Process. (ICIIP 2011), (2011); Ghosh M., Das D., Chakraborty C., Ray A.K., Quantitative characterisation of Plasmodium vivax in infected erythrocytes: A textural approach, Int. J. Artif. Intell. Soft Comput, 3, 3, (2013); Gitonga L., Maitethia M.D., Amiga K.K., Allen C.K.M., Samson M.N., Determination of plasmodium parasite life stages and species in images of thin blood smears using artificial neural network, Open J. Clin. Diagnostics, 4, 2, pp. 78-88, (2014); Maysanjaya I.M.D., Nugroho H.A., Setiawan N.A., Murhandarwati E.E.H., Segmentation of Plasmodium vivax phase on digital microscopic images of thin blood films using colour channel combination and Otsu method, Proc.-AIP Conf, (2016); Penas K.E.D., Rivera P.T., Naval P.C., Malaria parasite detection and species identification on thin blood smears using a convolutional neural network, Proc.-2017 IEEE 2nd Int. Conf. Connect. Heal. Appl. Syst. Eng. Technol. CHASE, 2017, pp. 1-6, (2017); Redmon J., Divvala S., Girshick R., Farhadi A., You only look once: Unified, real-time object detection, Proc.-IEEE Comput. Soc. Conf. Comput. Vis. Pattern Recognit, pp. 779-788, (2016); Girshick R., Donahue J., Darrell T., Malik J., Rich feature hierarchies for accurate object detection and semantic segmentation, Proc. IEEE Comput. Soc. Conf. Comput. Vis. Pattern Recognit, pp. 580-587, (2014); Girshick R., Fast r-cnn, Proc. IEEE Int. Conf. Comput. Vis, pp. 1440-1448, (2015); Ren S., He K., Girshick R., Sun J., Faster r-cnn: Towards real-time object detection with region proposal networks, IEEE Trans. Pattern Anal. Mach. Intell, 39, 6, pp. 1137-1149, (2017); Redmon J., Farhadi A., Yolo9000: Better, faster, stronger, Proc.-30th IEEE Conf. Comput. Vis. Pattern Recognit, pp. 6517-6525, (2017); Everingham M., Van Gool L., Williams C.K.I., Winn J., Zisserman A., The pascal visual object classes (VOC) challenge, Int. J. Comput. Vis, 88, 2, pp. 303-338, (2010); Lin T.Y., Maire M., Belongie S., Hays J., Perona P., Ramanan D., Dollar P., Zitnick C.L., Microsoft COCO: Common objects in context, Lect. Notes Comput. ScI. (Including Subser. Lect. Notes Artif. Intell. Lect. Notes Bioinformatics) LNCS 8693(PART), 5, pp. 740-755, (2014); Redmon J., Farhadi A., YOLO v.3, (2018)</t>
  </si>
  <si>
    <t xml:space="preserve">Hahn H.K.; Mazurowski M.A.</t>
  </si>
  <si>
    <t xml:space="preserve">Medical Imaging 2020: Computer-Aided Diagnosis</t>
  </si>
  <si>
    <t xml:space="preserve">16 February 2020 through 19 February 2020</t>
  </si>
  <si>
    <t xml:space="preserve">Houston</t>
  </si>
  <si>
    <t xml:space="preserve">978-151063395-7</t>
  </si>
  <si>
    <t xml:space="preserve">Progr. Biomed. Opt. Imaging Proc. SPIE</t>
  </si>
  <si>
    <t xml:space="preserve">2-s2.0-85085498019</t>
  </si>
  <si>
    <t xml:space="preserve">Dhaka A.; Singh P.</t>
  </si>
  <si>
    <t xml:space="preserve">Dhaka, Aabhas (57216590874); Singh, Prabhishek (57192421370)</t>
  </si>
  <si>
    <t xml:space="preserve">57216590874; 57192421370</t>
  </si>
  <si>
    <t xml:space="preserve">Comparative analysis of epidemic alert system using machine learning for dengue and chikungunya</t>
  </si>
  <si>
    <t xml:space="preserve">The Rapid spread of a disease is known as an epidemic. The catastrophe brought by an epidemic not only effects the people of an area, but also brings about a lot of distress in every sector of social strata. An epidemic alerting system has a potential to carve the path how medical surveillance could become more efficient. The epidemic causing diseases are usually vector borne. The diseases are spread by pathogens present in these vectors. An epidemic alerting system could predict how the weather conditions and several other factors effect the growth and propagation of these vectors. The weather conditions could be predicted using the high-end instruments and satellites currently available. Using this prediction, we could forecast the next targets of the epidemic. To implement this epidemic alert system, four algorithms are used namely Random Forest Regression, Decision Tree Regression, Support Vector Regression and Multiple Linear Regression. For dengue, the state wise cases data of the year 2013 to 2017 has been used in the system while for chikungunya the data used is of the year 2013 to 2016. This dataset has been downloaded from a government website, i.e., https://www.data.gov.in/. For the case of dengue, the model has been trained on the data of the year 2013 to 2016 and predictions of the year 2017 have been done. On the other hand, the model has been trained on the data of the year 2013 to 2015 and predictions for the year 2017 have been made regarding Chikungunya. At last, a contrastive analysis has been made on the four algorithms used for both the diseases. © 2020 IEEE.</t>
  </si>
  <si>
    <t xml:space="preserve">Proceedings of the Confluence 2020 - 10th International Conference on Cloud Computing, Data Science and Engineering</t>
  </si>
  <si>
    <t xml:space="preserve">10.1109/Confluence47617.2020.9058048</t>
  </si>
  <si>
    <t xml:space="preserve">https://www.scopus.com/inward/record.uri?eid=2-s2.0-85084007645&amp;doi=10.1109%2fConfluence47617.2020.9058048&amp;partnerID=40&amp;md5=3bc57ee3e50a968cbf7b2c16431775d6</t>
  </si>
  <si>
    <t xml:space="preserve">Amity School of Engineering and Technology, Amity University Uttar Pradesh, Department of CSE, Noida, India</t>
  </si>
  <si>
    <t xml:space="preserve">Dhaka A., Amity School of Engineering and Technology, Amity University Uttar Pradesh, Department of CSE, Noida, India; Singh P., Amity School of Engineering and Technology, Amity University Uttar Pradesh, Department of CSE, Noida, India</t>
  </si>
  <si>
    <t xml:space="preserve">Chikungunya; Dengue; Epidemic alert system; Machine learning</t>
  </si>
  <si>
    <t xml:space="preserve">Cloud computing; Decision trees; Epidemiology; Forecasting; Linear regression; Machine learning; Meteorology; Vectors; Weather satellites; Alert systems; Alerting systems; Comparative analysis; Contrastive analysis; Decision tree regression; Government websites; Medical surveillance; Multiple linear regressions; Support vector regression</t>
  </si>
  <si>
    <t xml:space="preserve">Noma-Osaghae E., Et al., Epidemic alert system: A web-based grassroots model, International Journal of Electrical and Computer Engineering (IJECE), 8, 5, pp. 3809-3828, (2018); Okokpujie K.O., Et al., An intelligent online diagnostic system with epidemic alert, An Intelligent Online Diagnostic System with Epidemic Alert, 2, 9, (2017); Provost F., Kohavi R., Guest editors' introduction: On applied research in machine learning, Machine Learning, 30, 2, pp. 127-132, (1998); Polyakov P., Et al., Classification of spatiotemporal data for epidemic alert systems: Monitoring influenza-like illness in france, American Journal of Epidemiology, 188, 4, pp. 724-733, (2018); Breiman L., Classification and Regression Trees, (2017); Huang L., Et al., Longitudinal clinical score prediction in alzheimer's disease with soft-split sparse regression based random forest, Neurobiology of Aging, 46, pp. 180-191, (2016); Zlotnik A., Et al., Random forest-based prediction of parkinson's disease progression using acoustic, asr and intelligibility features, Sixteenth Annual Conference of the International Speech Communication Association., (2015); Kowalchuk R.O., Et al., A risk model for lung complication combining radiation therapy and chronic obstructive pulmonary disease, Journal of Radiation Oncology, pp. 1-8, (2019); Liang F., Et al., Forecasting influenza epidemics by integrating internet search queries and traditional surveillance data with the support vector machine regression model in liaoning, from 2011 to 2015, PeerJ, 6, (2018); Basu A., Roy S.S., Abraham A., A novel diagnostic approach based on support vector machine with linear kernel for classifying the erythemato-squamous disease, 2015 International Conference on Computing Communication Control and Automation, (2015); Promprou S., Jaroensutasinee M., Jaroensutasinee K., Climatic factors affecting dengue haemorrhagic fever incidence in southern thailand, Dengue Bulletin., 29, (2005); Banu S., Hu W., Guo Y., Hurst C., Tong S., Projecting the impact of climate change on dengue transmission in dhaka bangladesh, Environ Int., 63, pp. 137-142, (2014); Scott T.W., Morrison A.C., Lorenz L.H., Clark G.G., Strickman D., Kittayapong P., Et al., Longitudinal studies of aedes aegypti (diptera: Culicidae) in thailand and puerto rico: Population dynamics, J Med Entomol., 37, pp. 77-88, (2000)</t>
  </si>
  <si>
    <t xml:space="preserve">10th International Conference on Cloud Computing, Data Science and Engineering, Confluence 2020</t>
  </si>
  <si>
    <t xml:space="preserve">29 January 2020 through 31 January 2020</t>
  </si>
  <si>
    <t xml:space="preserve">978-172812791-0</t>
  </si>
  <si>
    <t xml:space="preserve">Proc. Conflu. - Int. Conf. Cloud Comput., Data Sci. Eng.</t>
  </si>
  <si>
    <t xml:space="preserve">2-s2.0-85084007645</t>
  </si>
  <si>
    <t xml:space="preserve">Prakash S.S.; Kovoor B.C.; Visakha K.</t>
  </si>
  <si>
    <t xml:space="preserve">Prakash, Sidharth S (57194779006); Kovoor, Binsu C (57194778322); Visakha, K. (13905869600)</t>
  </si>
  <si>
    <t xml:space="preserve">57194779006; 57194778322; 13905869600</t>
  </si>
  <si>
    <t xml:space="preserve">Convolutional Neural Network Based Malaria Parasite Infection Detection Using Thin Microscopic Blood Smear Samples</t>
  </si>
  <si>
    <t xml:space="preserve">Malaria stands as a major health issue across the globe even though it is both preventable and treatable. Malaria is usually diagnosed by an expert microbiologist through the examination of a microscopic blood smear sample. Malaria can be easily cured if diagnosed at an early stage and followed up with proper medical treatment. Computer-aided diagnosis is gaining popularity nowadays as it can be effectively used as a primary screening test in the absence of an expert microbiologist. Deep learning is an artificial intelligence technique where the machine is trained to mimic the thought process of a human brain. This paper focuses on building a deep convolutional neural network that can predict the malaria parasite infection from thin blood smear samples. The malaria dataset is obtained from the National Library of Medicine hosted by Lister Hill National Center for Biomedical Communications, USA. The convolutional neural network model is optimized against overfitting and attains an F1 score of over 94%. © 2020 IEEE.</t>
  </si>
  <si>
    <t xml:space="preserve">Proceedings of the 2nd International Conference on Inventive Research in Computing Applications, ICIRCA 2020</t>
  </si>
  <si>
    <t xml:space="preserve">10.1109/ICIRCA48905.2020.9182944</t>
  </si>
  <si>
    <t xml:space="preserve">https://www.scopus.com/inward/record.uri?eid=2-s2.0-85092026753&amp;doi=10.1109%2fICIRCA48905.2020.9182944&amp;partnerID=40&amp;md5=1f6f4b0cf5596a830c0c227c3a5ec73e</t>
  </si>
  <si>
    <t xml:space="preserve">School of Engineering, Cochin University of Science and Technology, Division of Information Technology, Kochi, India</t>
  </si>
  <si>
    <t xml:space="preserve">Prakash S.S., School of Engineering, Cochin University of Science and Technology, Division of Information Technology, Kochi, India; Kovoor B.C., School of Engineering, Cochin University of Science and Technology, Division of Information Technology, Kochi, India; Visakha K., School of Engineering, Cochin University of Science and Technology, Division of Information Technology, Kochi, India</t>
  </si>
  <si>
    <t xml:space="preserve">CNN; Convolutional Neural Network; Deep Learning; Google Colaboratory; Malaria Diagnosis; Max Pooling</t>
  </si>
  <si>
    <t xml:space="preserve">Blood; Computer aided diagnosis; Convolution; Deep learning; Deep neural networks; Diseases; Artificial intelligence techniques; Health issues; Lister hill national center for biomedical communications; Malaria parasite; Medical treatment; National library of medicines; Primary screening; Thought process; Convolutional neural networks</t>
  </si>
  <si>
    <t xml:space="preserve">Sharma R.K., Thakor H.G., Et al., Malaria situation in India with special reference to t ribal areas, Indian Journal of Medical Research, (2015); Cheng D., Schretlen P., Kronenfeld N., Bozowsky N., Wright W., Tile based visual analyt ics for t witter big data exploratory analysis, IEEE Inter National Conference on Big Data, (2013); Visakha K., Prakash S.S., Detection and tracking of human beings in a video using haar classifier, InterNational Conference on Inventive Research in Computing Applications, (2018); Carneiro T., Victor Medeiros Da Nobrega R., Et al., Performance analysis of google colaboratory as a tool for accelerat ing deep learning applications, IEEE Access in Trends, Perspectives and Prospects of Machine Learning Applied to Biomedical Systems in Internet of Medical Things, 6, pp. 61677-61685, (2018); Lu S., Lu Z., Aok S., Graham L., Fruit classification based on six layer convolutional neural network, InterNational Conference on Digital Signal Processing, (2018); Yu Z., Dai S., Xing Y., Adaptive salience preserving pooling for deep convolutional neural networks, IEEE InterNational Conference on Multimedia &amp; Expo Workshops, (2019); Yee Ann L., Ehkan P., Mashor M.Y., Sharun S.M., Calculation of hybrid multi-layered perceptron neural network output using mat rix mult iplication, InterNational Conference on Electronic Design, (2016); Huang H., Xu H., Wang X., Silamu W., Maximum f1-score discriminative training criterion for automatic mispronunciation detection, IEEE/ACM Transactions on Audio, Speech, and Language Processing, 23, 4, pp. 787-797, (2015); Devi S.S., Sheikh S.A., Talukdar A., Laskar R.H., Malaria infected erythrocyte classification based on the histogram features using microscopic images of thin blood smear, Indian J. Sci. Technol, 9, 45, pp. 1-10, (2016); Das D.K., Ghosh M., Pal M., Maiti A.K., Chakraborthy C., Machine learning approach for automated screening of malaria parasite using light microscopic images, Micron, 45, pp. 97-106, (2013); Linder N., Et al., A malaria diagnost ic tool based on computer vision screening and visualization of plasmodium falciparum candidate areas in digit ized blood smears, PLoS ONE, 9, 8, pp. 1-10, (2014); Bibin D., Nair M.S., Punitha P., Malaria parasite detection from peripheral blood smear images using deep belief networks, IEEE Access, 5, pp. 9099-9108, (2017); Dogaru R., Dogaru I., Optimization of GPU and cpu acceleration for neural networks layers implemented in python, InterNational Symposium on Electrical and Elect Ronics Engineering, (2017); Bindhu V., Biomedical image analysis using semantic segment ation, Journal of Innovative Image Processing (JIIP), 1, 2, pp. 91-101, (2019); Manoharan S., Image detection, classification and recognition for leak detection in automobiles, Journal of Innovative Image Processing (JIIP), 1, 2, pp. 61-70, (2019)</t>
  </si>
  <si>
    <t xml:space="preserve">2nd International Conference on Inventive Research in Computing Applications, ICIRCA 2020</t>
  </si>
  <si>
    <t xml:space="preserve">15 July 2020 through 17 July 2020</t>
  </si>
  <si>
    <t xml:space="preserve">978-172815374-2</t>
  </si>
  <si>
    <t xml:space="preserve">2-s2.0-85092026753</t>
  </si>
  <si>
    <t xml:space="preserve">Ojeda-Pat A.; Martin-Gonzalez A.; Soberanis-Mukul R.</t>
  </si>
  <si>
    <t xml:space="preserve">Ojeda-Pat, Allan (57215965022); Martin-Gonzalez, Anabel (35318178500); Soberanis-Mukul, Roger (55845113600)</t>
  </si>
  <si>
    <t xml:space="preserve">57215965022; 35318178500; 55845113600</t>
  </si>
  <si>
    <t xml:space="preserve">Convolutional neural network u-net for trypanosoma cruzi segmentation</t>
  </si>
  <si>
    <t xml:space="preserve">Chagas disease is a mortal silent illness caused by the parasite Trypanosoma cruzi that affects many people worldwide. A blood test is one of the preferred methods to get an accurate diagnosis of the disease but takes a long time and requires too much effort from the experts to analyze blood samples in the search of the parasites presence. Therefore, it is very useful to have an automatic system to detect the parasite in blood sample microscopic images. In this paper we present a deep learning method to segment the T. cruzi parasite on blood sample images. We implemented a convolutional neural network based on the U-Net model and we trained it with different loss functions to get accurate results. We report an F2 value of 0.8013, a recall value of 0.8702, a precision value of 0.6304 and a Dice score value of 0.6825. © Springer Nature Switzerland AG 2020.</t>
  </si>
  <si>
    <t xml:space="preserve">1187 CCIS</t>
  </si>
  <si>
    <t xml:space="preserve">10.1007/978-3-030-43364-2_11</t>
  </si>
  <si>
    <t xml:space="preserve">https://www.scopus.com/inward/record.uri?eid=2-s2.0-85082474723&amp;doi=10.1007%2f978-3-030-43364-2_11&amp;partnerID=40&amp;md5=7c3d48866fa0ae50df697ab2cd8404d1</t>
  </si>
  <si>
    <t xml:space="preserve">Facultad de Matematicas, Universidad Autonoma de Yucatan, Merida, Mexico; Computer Aided Medical Procedures, Technical University Munich, Munich, Germany</t>
  </si>
  <si>
    <t xml:space="preserve">Ojeda-Pat A., Facultad de Matematicas, Universidad Autonoma de Yucatan, Merida, Mexico; Martin-Gonzalez A., Facultad de Matematicas, Universidad Autonoma de Yucatan, Merida, Mexico; Soberanis-Mukul R., Computer Aided Medical Procedures, Technical University Munich, Munich, Germany</t>
  </si>
  <si>
    <t xml:space="preserve">Chagas disease; Deep learning; U-Net segmentation</t>
  </si>
  <si>
    <t xml:space="preserve">Blood; Convolution; Deep learning; Diagnosis; Image segmentation; Intelligent computing; Learning systems; Automatic systems; Blood samples; Blood test; Chagas disease; Learning methods; Loss functions; Microscopic image; Trypanosoma cruzi; Convolutional neural networks</t>
  </si>
  <si>
    <t xml:space="preserve">Homepage: Chagas Disease American Trypanosomiasis, (2019); Organization W.H., Chagas Disease American Trypanosomiasis, (2019); Uc-Cetina V., Brito-Loeza C., Ruiz-Pina H., Chagas parasite detection in blood images using AdaBoost, Comput. Math. Methods Med., 2015, (2015); Uc-Cetina V., Brito-Loeza C., Ruiz-Pina H., Chagas parasites detection through Gaussian discriminant analysis, Abstraction Appl, 8, pp. 6-17, (2013); Delas Penas K., Rivera P., Naval P., Malaria Parasite Detection and Species Identification on Thin Blood Smears Using a Convolutional Neural Network, pp. 1-6, (2017); Poostchi M., Silamut K., Maude R., Jaeger S., Thoma G., Image analysis and machine learning for detecting malaria, Transl. Res., 194, pp. 36-55, (2018); Mehanian C., Et al., Computer-automated malaria diagnosis and quantitation using convolutional neural networks, IEEE International Conference on Computer Vision Workshops (ICCVW), pp. 116-125, (2017); Soberanis-Mukul R., Uc-Cetina V., Brito-Loeza C., Ruiz-Pina H., An automatic algorithm for the detection of Trypanosoma cruzi parasites in blood sample images, Comput. Methods Prog. Biomed., 112, pp. 633-639, (2013); Gorriz M., Aparicio A., Raventos B., Vilaplana V., Sayrol E., Lopez-Codina D., Leishma-niasis parasite segmentation and classification using deep learning, AMDO 2018. LNCS, 10945, pp. 53-62, (2018); Latif J., Xiao C., Imran A., Tu S., Medical imaging using machine learning and deep learning algorithms: A review, 2Nd International Conference on Computing, Mathematics and Engineering Technologies (Icomet), pp. 1-5, (2019); Ponce C., Et al., Validation of a rapid and reliable test for diagnosis of Chagas’ disease by detection of Trypanosoma cruzi-specific antibodies in blood of donors and patients in Central America, J. Clin. Microbiol., 43, pp. 5065-5068, (2005); Eguez K., Et al., Rapid diagnostic tests duo as alternative to conventional serological assays for conclusive Chagas disease diagnosis, Plos Neglect. Trop. Dis., 11, 4, (2017); Soberanis-Mukul R., Algoritmos De segmentación De Trypanosoma Cruzi En Imagenes De Muestras Sanguineas, (2014); Soberanis-Mukul R., Detección De Trypanosoma Cruzi En imágenes Obtenidas a Partir De Muestras sanguíneas, (2012); Ronneberger O., Fischer P., Brox T., U-Net: Convolutional networks for biomedical image segmentation, MICCAI 2015. LNCS, 9351, pp. 234-241, (2015); Losses for Segmentation, (2019); He K., Zhang X., Ren S., Sun J., Delving deep into rectifiers: Surpassing human-level performance on ImageNet classification, IEEE International Conference on Computer Vision (ICCV 2015), (2015); (2019); What is the F2 Score in Machine Learning?, (2019)</t>
  </si>
  <si>
    <t xml:space="preserve">A. Ojeda-Pat; Facultad de Matematicas, Universidad Autonoma de Yucatan, Merida, Mexico; email: allan.ojedaa@gmail.com</t>
  </si>
  <si>
    <t xml:space="preserve">Brito-Loeza C.; Espinosa-Romero A.; Martin-Gonzalez A.; Safi A.</t>
  </si>
  <si>
    <t xml:space="preserve">3rd International Symposium on Intelligent Computing Systems, ISICS 2020</t>
  </si>
  <si>
    <t xml:space="preserve">18 March 2020 through 19 March 2020</t>
  </si>
  <si>
    <t xml:space="preserve">Sharjah</t>
  </si>
  <si>
    <t xml:space="preserve">978-303043363-5</t>
  </si>
  <si>
    <t xml:space="preserve">2-s2.0-85082474723</t>
  </si>
  <si>
    <t xml:space="preserve">Ragb H.K.; Dover I.T.; Ali R.</t>
  </si>
  <si>
    <t xml:space="preserve">Ragb, Hussin K. (57191541221); Dover, Ian T. (57221319945); Ali, Redha (57193927308)</t>
  </si>
  <si>
    <t xml:space="preserve">57191541221; 57221319945; 57193927308</t>
  </si>
  <si>
    <t xml:space="preserve">Deep convolutional neural network ensemble for improved malaria parasite detection</t>
  </si>
  <si>
    <t xml:space="preserve">Malaria prognosis, performed through the identification of parasites using microscopy, is a vital step in the early initiation of treatment. Malaria inducing parasites such as Plasmodium falciparum are difficult to identify and thus have a high mortality rate. For these reasons, a deep convolutional neural network algorithm is proposed in this paper to aid in accurately identifying parasitic cells from red blood smears. By using a mixture of machine learning techniques such as transfer learning, a cyclical and constant learning rate, and ensemble methods, we have developed a model capable of accurately identifying parasitic cells within red blood smears. 14 networks pretrained from the ImageNet database are retrained with the fully connected layers replaced. A cyclical and constant learning rate are used to traverse local minima in each network. The output of each trained neural network is representing a single vote that is used in the classification process. Majority voting criteria are applied in the final classification decision between the candidate malaria cells. Several experiments were conducted to evaluate the performance of the proposed model. The NIH Malaria Dataset from the National Institute of Health, a dataset of 27, 558 images formed from microscopic patches of red blood smears, is used in these experiments. The dataset is segmented into 80% training set, 10% validation set, and 10% test set. The validation set is used as the decision metric for choosing ensemble network architectures and the test set is used as the evaluation metric for each model. Different ensemble network architectures are experimented with and promising performance is observed on the test dataset with the best models achieving a test accuracy better than several state-of-the-art methodologies. © 2020 IEEE.</t>
  </si>
  <si>
    <t xml:space="preserve">10.1109/AIPR50011.2020.9425273</t>
  </si>
  <si>
    <t xml:space="preserve">https://www.scopus.com/inward/record.uri?eid=2-s2.0-85106193836&amp;doi=10.1109%2fAIPR50011.2020.9425273&amp;partnerID=40&amp;md5=bf05e3690452749cba8d83d55624999c</t>
  </si>
  <si>
    <t xml:space="preserve">Christian Brothers University, School of Electrical and Computer Engineering, Department of Engineering, Memphis, TN, United States; University of Dayton, Department of Electrical and Computer Engineering, Dayton, United States</t>
  </si>
  <si>
    <t xml:space="preserve">Ragb H.K., Christian Brothers University, School of Electrical and Computer Engineering, Department of Engineering, Memphis, TN, United States; Dover I.T., Christian Brothers University, School of Electrical and Computer Engineering, Department of Engineering, Memphis, TN, United States; Ali R., University of Dayton, Department of Electrical and Computer Engineering, Dayton, United States</t>
  </si>
  <si>
    <t xml:space="preserve">Bagging ensemble; Convolutional neural networks; Deep transfer learning; Ensemble neural networks; Majority vote classifier; Malaria; Microscopic blood smear images</t>
  </si>
  <si>
    <t xml:space="preserve">Blood; Convolution; Convolutional neural networks; Deep neural networks; Diseases; Learning systems; Pattern recognition; Statistical tests; Transfer learning; Classification decision; Classification process; Ensemble methods; Evaluation metrics; Machine learning techniques; National institute of healths; Plasmodium falciparum; Trained neural networks; Network architecture</t>
  </si>
  <si>
    <t xml:space="preserve">Malaria: Fact Sheet, (2014); Hector C., King K., Emergency department management of mosquitoborne illness: Malaria, dengue, and West Nile virus, Emergency Medicine Practice, 16, 5, pp. 1-23, (2014); Douglas G., Zimmermann C., Malaria: Disease Impacts and Long-run Income Differences., (2007); Aimon R., Zunair H., Rahman M.S., Yuki J.Q., Biswas S., Md Ashraful A., Nabila B.A., Mahdy M.R.C., Improving Malaria Parasite Detection from Red Blood Cell Using Deep Convolutional Neural Networks, (2019); Kalavathi Dr. A., Ajay Mr. K.B., Lingaiah D., An efficient malaria parasite detection using convolution neural networks, International Journal of Grid and Distributed Computing, 13, 1, pp. 2813-2820, (2020); Narayanan B.N., Ali R., Hardie R.C., Performance analysis of machine learning and deep learning architectures for malaria detection on cell images, Applications of Machine Learning, (2019); Sivaramakrishnan R., Et al., Pre-trained convolutional neural networks as feature extractors toward improved malaria parasite detection in thin blood smear images, PeerJ, 6, (2018); Gopakumar G.G.P., Swetha M., Sai S.G., Sai Subrahmanyam G.R.K., Convolutional neural network-based malaria diagnosis from focus stack of blood smear images acquired using custom-built slide scanner, Journal of Biophotonics, 11, (2018); Nair B., Punitha B.D., Nair M.S., Punitha P., Malaria parasite detection from peripheral blood smear images using deep belief networks, IEEE Access., 5, pp. 9099-9108, (2017); Dong Y., Jiang Z., Shen H., David Pan W., Williams L.A., Reddy V.V.B., Benjamin W.H., Bryan A.W., Evaluations of deep convolutional neural networks for automatic identification of malaria infected cells, IEEE EMBS International Conference on Biomedical and Health Informatics, BHI; Piscataway, pp. 101-104, (2017); Liang Z., Powell A., Ersoy I., Poostchi M., Silamut K., Palaniappan K., Guo P., Hossain M.A., Sameer A., Maude R.J., Huang J.X., Jaeger S., Thoma G., CNN-based image analysis for malaria diagnosis, 2017, Proceedings-2016 IEEE International Conference on Bioinformatics and Biomedicine, BIBM, pp. 493-496, (2016); Das D.K., Ghosh M., Pal M., Maiti A.K., Chakraborty C., Machine learning approach for automated screening of malaria parasite using light microscopic images, Micron., 45, pp. 97-106, (2013); Ross N.E., Pritchard C.J., Rubin D.M., Duse A.G., Automated image processing method for the diagnosis and classification of malaria on thin blood smears, Med Biol Eng Comput., 44, 5, pp. 427-436, (2006); Rajaraman S., Antani S.K., Poostchi M., Silamut K., Hossain M.A., Maude R.J., Jaeger S., Thoma G.R., Pre-trained convolutional neural networks as feature extractors toward improved malaria parasite detection in thin blood smear images, PeerJ., 6, (2018); Geert L., Kooi T., Bejnordi B.E., Setio A.A.A., Ciompi F., Ghafoorian M., Van Der Laak J.A., Van Ginneken B., Sanchez C.I., A survey on deep learning in medical image analysis, Medical Image Analysis, 42, pp. 60-88, (2017); Md Zahangir A., Taha T.M., Yakopcic C., Westberg S., Sidike P., Nasrin M.S., Van Esesn B.C., Abdul A.S.A., Asari V.K., The History Began from AlexNet: A Comprehensive Survey on Deep Learning Approaches, (2018); Chollet F., Xception: Deep Learning with Depthwise Separable Convolutions, (2018); Simonyan K., Zisserman A., Very Deep Convolutional Networks for Large-Scale Image Recognition., (2015); He K., Zhang X., Ren S., Sun J., Deep Residual Learning for Image Recognition, (2015); Szegedy C., Vanhoucke V., Ioffe S., Shlens J., Wojna Z., Rethinking the Inception Architecture for Computer Vision, (2015); Huang G., Liu Z., Van Der Maaten L., Weinberger K.Q., Densely Connected Convolutional Networks, (2018); Szegedy C., Liu W., Jia Y., Sermanet P., Reed S., Anguelov D., Erhan D., Vanhoucke V., Rabinovich A., Going Deeper with Convolutions, (2014); Krizhevsky A., Sutskever I., Hinton G.E., ImageNet Classification with Deep Convolutional Neural Networks, (2012); Howard A.G., Zhu M., Chen B., Kalenichenko D., Wang W., Weyand T., Andreetto M., Adam H., MobileNets: Efficient Convolutional Neural Networks for Mobile Vision Applications, (2017); Redmon J., Farhadi A., YOLO9000: Better, Faster, Stronger, (2016); Iandola F.N., Han S., Moskewicz M.W., Ashraf K., Dally W.J., Keutzer K., SqueezeNet: AlexNet-level Accuracy with 50x Fewer Parameters and ¡0.5MB Model Size., (2016); Zhang X., Zhou X., Lin M., Sun J., ShuffleNet: An Extremely Efficient Convolutional Neural Network for Mobile Devices, (2017); Ersoy I., Bunyak F., Higgins J.M., Palaniappan K., Coupled edge profile active contours for red blood cell flow analysis, 9th IEEE International Symposium on Biomedical Imaging (ISBI), Barcelona, pp. 748-751, (2012); Tan C., Sun F., Kong T., Zhang W., Yang C., Liu C., A Survey on Deep Transfer Learning, (2018); Yosinski J., Clune J., Bengio Y., Lipson H., How Transferable Are Features in Deep Neural Networks? In: Advances in Neural Information Processing Systems, pp. 3320-3328, (2014); Maclin R., Opitz D., Popular Ensemble Methods: An Empirical Study, (2011)</t>
  </si>
  <si>
    <t xml:space="preserve">2-s2.0-85106193836</t>
  </si>
  <si>
    <t xml:space="preserve">Joshi A.M.; Das A.K.; Dhal S.</t>
  </si>
  <si>
    <t xml:space="preserve">Joshi, Amogh Manoj (57223939719); Das, Ananta Kumar (57207691905); Dhal, Subhasish (56205109200)</t>
  </si>
  <si>
    <t xml:space="preserve">57223939719; 57207691905; 56205109200</t>
  </si>
  <si>
    <t xml:space="preserve">Deep learning based approach for malaria detection in blood cell images</t>
  </si>
  <si>
    <t xml:space="preserve">Malaria, a life-threatening disease, develops due to the bite of female Anopheles mosquito. It spreads the plasmodium parasites in human blood, killing hundreds of millions of people every year. Modern scientific advancements play a pivotal role to combat the disease, along with biomedical research by the medical experts to possibly eradicate this disease from all parts of the world. With the significant development in deep learning research, faultless identification of medical imaging has become an important factor in medical diagnosis and decision-making. To this end, we present a deep learning based approach using a convolutional neural network for detecting malaria from microscopic cell images using image classification. The proposed CNN model implemented using 5-fold cross validation approach outperforms all the existing methods in terms of accuracy and other evaluation metrics, thus achieving the best results till date in malaria detection using deep learning. © 2020 IEEE.</t>
  </si>
  <si>
    <t xml:space="preserve">10.1109/TENCON50793.2020.9293753</t>
  </si>
  <si>
    <t xml:space="preserve">https://www.scopus.com/inward/record.uri?eid=2-s2.0-85098963145&amp;doi=10.1109%2fTENCON50793.2020.9293753&amp;partnerID=40&amp;md5=d70a361644d8e808b5037a5d81347212</t>
  </si>
  <si>
    <t xml:space="preserve">Vivekanand Education Society's Institute of Technology, Department of Electronics and Telecommunication Engineering, Mumbai, India; International Institute of Information Technology, Department of Software Engineering, Bangalore, India; Indian Institute of Information Technology, Department of Computer Science and Engineering, Guwahati, India</t>
  </si>
  <si>
    <t xml:space="preserve">Joshi A.M., Vivekanand Education Society's Institute of Technology, Department of Electronics and Telecommunication Engineering, Mumbai, India; Das A.K., International Institute of Information Technology, Department of Software Engineering, Bangalore, India; Dhal S., Indian Institute of Information Technology, Department of Computer Science and Engineering, Guwahati, India</t>
  </si>
  <si>
    <t xml:space="preserve">Deep Learning; Image Classification; Malaria Detection</t>
  </si>
  <si>
    <t xml:space="preserve">Artificial life; Behavioral research; Blood; Convolutional neural networks; Decision making; Diagnosis; Diseases; Medical imaging; Anopheles mosquitoes; Biomedical research; Blood cell images; Cross validation; Evaluation metrics; Learning-based approach; Medical experts; Plasmodium parasites; Deep learning</t>
  </si>
  <si>
    <t xml:space="preserve">World Malaria Report, (2018); Mahdieh P., Kamolrat S., Richard J.M., Stefan J., George T., Image analysis and machine learning for detecting malaria, Translational Research, 194, pp. 36-55, (2018); LeCun Y., Bengio Y., Hinton G., Deep learning, Nature, 521, pp. 436-444, (2015); Jurgen S., Deep Learning in neural networks: An overview, Neural Networks, 61, pp. 85-117, (2015); Dhanya B., Madhu S.N., Punitha P., Malaria parasite detection from peripheral blood smear images using deep belief networks, IEEE Access, 5, pp. 9099-9108, (2017); Adedeji O., Zenghui W., Malaria parasite detection using different machine learning classifier, International Conference on Machine Learning and Cybernetics (ICMLC), pp. 246-250, (2017); Soner C.K., Ozgur K.S., Deep learning based classification of malaria from slide images, Scientific Meeting on Electrical-Electronics and Biomedical Engineering and Computer Science (EBBT), pp. 1-4, (2019); Yang F., Poostchi M., Yu H., Zhou Z., Silamut K., Yu J., Maude R., Jaeger S., Antani S., Deep learning for smartphone-based malaria parasite detection in thick blood smears, IEEE Journal of Biomedical and Health Informatics, 24, 5, pp. 1427-1438, (2020); Chowdhury A., Roberson J., Hukkoo A., Bodapati S., Cappelleri D., Automated complete blood cell count and malaria pathogen detection using convolution neural network, IEEE Robotics and Automation Letters, 5, 2, pp. 1047-1054, (2020); Nayak S., Kumar S., Jangid M., Malaria detection using multiple deep learning approaches, 2nd International Conference on Intelligent Communication and Computational Techniques (ICCT), (2019); Pattanaik P., Mittal M., Khan M., Unsupervised deep learning cad scheme for the detection of malaria in blood smear microscopic images, IEEE Access, 8, pp. 94936-94946, (2020); Militante S., Malaria disease recognition through adaptive deep learning models of convolutional neural network, IEEE 6th International Conference on Engineering Technologies and Applied Sciences (ICETAS), (2019); Krizhevsky A., Sutskever I., Hinton G.E., ImageNet classification with deep convolutional neural networks, Communications of the ACM, 60, 6, (2017); Redmon J., Divvala S., Girshick R., Farhadi A., You only look once: Unified, real-time object detection, IEEE Conference on Computer Vision and Pattern Recognition (CVPR), (2016); Khan S., Islam N., Jan Z., Din I.U., Rodrigues J.J.P.C., A novel deep learning based framework for the detection and classification of breast cancer using transfer learning, Pattern Recognition Letters, 125, 1, pp. 1-6, (2019); Fairuz S., Habaebi M.H., Elsheikh E.M.A., Finger vein identification based on transfer learning of alexnet, 7th International Conference on Computer and Communication Engineering (ICCCE), (2018); Chima J.S., Shah A., Shah K., Ramesh R., Malaria cell image classification using deep learning, International Journal of Recent Technology and Engineering (IJRTE), 8, 6, (2020); Talo M., Baloglu U.B., Yildirim O., Acharya U.R., Application of deep transfer learning for automated brain abnormality classification using MR images, Cognitive Systems Research, 54, pp. 176-188, (2018); Almisreb A., Jamil N., Din N.M., Utilizing alexnet deep transfer learning for ear recognition, Fourth International Conference on Information Retrieval and Knowledge Management (CAMP), (2018); He X., Yang X., Zhang S., Zhao J., Zhang Y., Xing E., Xie P., Sample-efficient deep learning for covid-19 diagnosis based on ct scans, IEEE TRANSACTIONS on MEDICAL IMAGING, (2020)</t>
  </si>
  <si>
    <t xml:space="preserve">2-s2.0-85098963145</t>
  </si>
  <si>
    <t xml:space="preserve">Sarma D.; Hossain S.; Mittra T.; Bhuiya M.A.M.; Saha I.; Chakma R.</t>
  </si>
  <si>
    <t xml:space="preserve">Sarma, Dhiman (57202219551); Hossain, Sohrab (35955923900); Mittra, Tanni (56524560800); Bhuiya, Md. Abdul Motaleb (57222254279); Saha, Ishita (57219282669); Chakma, Ravina (57217280860)</t>
  </si>
  <si>
    <t xml:space="preserve">57202219551; 35955923900; 56524560800; 57222254279; 57219282669; 57217280860</t>
  </si>
  <si>
    <t xml:space="preserve">Dengue Prediction using Machine Learning Algorithms</t>
  </si>
  <si>
    <t xml:space="preserve">Dengue is an arboviral disease caused by the Aedes mosquito-borne dengue viruses (DENVs). The World Health organization (WHO) reports an annual incidence of around 100-400 million infections in 2019 which is the largest number of dengue cases ever reported globally and prompted WHO to declare the virus as the world's top 10 public health threats. It can be turned into life-threatening dengue hemorrhagic fever which further evolves into dengue shock syndrome. Indispensable useful tools that precisely distinguish dengue and its subtypes in the early stage of disease progression are essential to convenient well-timed supportive care and therapy. In recent years, Bangladesh has seen a hike in the dengue outbreak and 101, 000 cases were reported to the WHO in 2019. Such an outbreak can create havoc in society. Because of the lack of vaccine and antiviral drugs, a timely prediction of the dengue outbreak is, therefore, crucial to reducing the casualty. In this paper, we proposed a new machine learning approach to predict dengue fever. A patient dataset, containing information of the patient's diagnosis report, medical history, and symptoms, was constructed through collecting real-time raw data samples of various types of dengue fever patients from the Medicine Department of Chittagong Medical College Hospital and Dhaka Medical College Hospital, Bangladesh. The whole dataset was split into 70:30 ratios using 70% for training and 30% for test purposes. We applied machine learning algorithms, namely decision tree (DT) and random forest (RF) in the proposed classification model. Finally, the decision tree resulted in an average accuracy of 79%, which is higher than the random forest.  © 2020 IEEE.</t>
  </si>
  <si>
    <t xml:space="preserve">IEEE Region 10 Humanitarian Technology Conference, R10-HTC</t>
  </si>
  <si>
    <t xml:space="preserve">10.1109/R10-HTC49770.2020.9357035</t>
  </si>
  <si>
    <t xml:space="preserve">https://www.scopus.com/inward/record.uri?eid=2-s2.0-85102047453&amp;doi=10.1109%2fR10-HTC49770.2020.9357035&amp;partnerID=40&amp;md5=648a9c0fa5c1fae56a5398fe7502fe40</t>
  </si>
  <si>
    <t xml:space="preserve">Rangamati Science and Technology University, Department of Computer Science and Engineering, Rangamati, Bangladesh; East Delta University, Department of Computer Science and Engineering, Chittagong, Bangladesh; East West University, Department of Computer Science and Engineering, Dhaka, Bangladesh; University of Science and Technology Chittagong, Department of Pharmacy, Chittagong, Bangladesh</t>
  </si>
  <si>
    <t xml:space="preserve">Sarma D., Rangamati Science and Technology University, Department of Computer Science and Engineering, Rangamati, Bangladesh; Hossain S., East Delta University, Department of Computer Science and Engineering, Chittagong, Bangladesh; Mittra T., East West University, Department of Computer Science and Engineering, Dhaka, Bangladesh; Bhuiya M.A.M., University of Science and Technology Chittagong, Department of Pharmacy, Chittagong, Bangladesh; Saha I., University of Science and Technology Chittagong, Department of Pharmacy, Chittagong, Bangladesh; Chakma R., Rangamati Science and Technology University, Department of Computer Science and Engineering, Rangamati, Bangladesh</t>
  </si>
  <si>
    <t xml:space="preserve">Artificial Intelligence; Clinical Decision Support System; Dengue Fever Prediction; Machine Learning</t>
  </si>
  <si>
    <t xml:space="preserve">Decision trees; Diagnosis; Disease control; Forecasting; Health risks; Hospitals; Predictive analytics; Random forests; Statistical tests; Viruses; Anti-viral drugs; Applied machine learning; Classification models; Dengue hemorrhagic fever; Disease progression; Machine learning approaches; Medical history; World Health Organization; Machine learning</t>
  </si>
  <si>
    <t xml:space="preserve">Hossain S., Sarma D., Chakma R.J., Alam W., Hoque M.M., Sarker I.H., A rule-based expert system to assess coronary artery disease under uncertainty, Computing Science, Communication and Security, pp. 143-159, (2020); Sarma D., Et al., Artificial neural network model for hepatitis C stage detection, EDU Journal of Computer and Electrical Engineering, 1, 1, pp. 11-16, (2020); Stolerman L.M., Maia P.D., Kutz J.N., Forecasting dengue fever in Brazil: An assessment of climate conditions, Plos One, 14, 8, (2019); Tan K.W., Et al., Dynamic dengue hemorrhagic fever calculators as clinical decision support tools in adult dengue, Transactions of the Royal Society of Tropical Medicine and Hygiene, 114, 1, pp. 7-15, (2020); Xu J.C., Et al., Forecast of dengue cases in 20 Chinese cities based on the deep learning method, International Journal of Environmental Research and Public Health, 17, 2, (2020); Davi C., Et al., Severe dengue prognosis using human genome data and machine learning, Ieee Transactions on Biomedical Engineering, 66, 10, pp. 2861-2868, (2019); Appice A., Gel Y.R., Iliev I., Lyubchich V., Malerba D., A multi-stage machine learning approach to predict dengue incidence: A case study in Mexico, Ieee Access, 8, pp. 52713-52725, (2020); Chen S., Et al., An operational machine learning approach to predict mosquito abundance based on socioeconomic and landscape patterns, Landscape Ecology, 34, 6, pp. 1295-1311, (2019); Mudele O., Bayer F.M., Zanandrez L.F.R., Eiras A.E., Gamba P., Modeling the temporal population distribution of Ae. aegypti mosquito using big earth observation data, Ieee Access, 8, pp. 14182-14194, (2020); Spear R.C., Cheng Q., Wu S.L., An example of augmenting regional sensitivity analysis using machine learning software, Water Resources Research, 56, 4, (2020); Zheng X.L., Zhong D.B., He Y.L., Zhou G.F., Seasonality modeling of the distribution of aedes albopictus in China based on climatic and environmental suitability, Infectious Diseases of Poverty, 8, 1, (2019); Sangkaew S., Tan L.K., Ng L.C., Ferguson N.M., Dorigatti I., Using cluster analysis to reconstruct dengue exposure patterns from cross-sectional serological studies in Singapore, Parasites &amp; Vectors, 13, 1, (2020); Hair G.M., Nobre F.F., Brasil P., Characterization of clinical patterns of dengue patients using an unsupervised machine learning approach, Bmc Infectious Diseases, 19, (2019); Marimuthu T., Balamurugan V.J.I.J.O.C.E., A novel bio-computational model for mining the dengue gene sequences, International Journal of Computer Engineering &amp; Technology, 6, 10, pp. 17-33, (2015); Rao N.K., Varma G.S., Rao N., Classification rules using decision tree for dengue disease, International Journal of Research in Computer and Communication Technology, 3, 3, pp. 340-343, (2014); Krishnaiah V., Narsimha G., Diagnosis of lung cancer prediction system using data mining classification techniques, International Journal of Computer Science and Information Technologies, 4, 1, pp. 39-45, (2013); Shaukat K., Masood N., Shafaat A.B., Jabbar K., Shabbir H., Shabbir S.J.A.P.A., Dengue fever in perspective of clustering algorithms, 2017 IEEE International Conference on Intelligent Techniques in Control, Optimization and Signal Processing (INCOS), pp. 1-5; Husin N.A., Salim N., Modeling of dengue outbreak prediction in Malaysia: A comparison of neural network and nonlinear regression model, 2008 International Symposium on Information Technology, 3, pp. 1-4, (2008); Subitha N., Padmapriya A.J.I.J.O.C.T., Diagnosis for dengue fever using spatial data mining, International Journal of Computer Trends and Technology, 4, 8, pp. 2646-2651, (2013); Sudsom N., Thammapalo S., Pengsakul T., Techato K.J.J.T., A spatial clustering approach to identify risk areas of dengue infection after insecticide spraying, Jurnal Teknologi, 78, 3-5, (2016); Sharef N.M., Husin N.A., Kasmiran K.A., Temporal trends analysis for dengue outbreak and network threats severity prediction accuracy improvement, Journal of Digital Information Management, 17, 3, (2019); Ahmed F., Fatema Tuj J., Chakma R.J., Hossain S., Sarma D., A combined belief rule based expert system to predict coronary artery disease, 2020 International Conference on Inventive Computation Technologies (ICICT), pp. 252-257, (2020); Hossain S., Sarma D., Tuj-Johora F., Bushra J., Sen S., Taher M., A belief rule based expert system to predict student performance under uncertainty, 2019 22nd International Conference on Computer and Information Technology (ICCIT), pp. 1-6, (2019); Sarma D., Security of Hard Disk Encryption, (2012); Hossain S., Abtahee A., Kashem I., Hoque M.M., Sarker I.H., Crime prediction using spatio-temporal data, Computing Science, Communication and Security, pp. 277-289, (2020); Alqahtani H., Et al., Cyber intrusion detection using machine learning classification techniques, Computing Science, Communication and Security, pp. 121-131, (2020); Hossain S., Et al., A critical comparison between distributed database approach and data warehousing approach, International Journal of Scientific &amp; Engineering Research, 5, 1, pp. 196-201, (2014); Alam M.N., Sarma D., Lima F.F., Saha I., Ulfath R.-E., Hossain S., Phishing attacks detection using machine learning approach, 2020 Third International Conference on Smart Systems and Inventive Technology (ICSSIT), pp. 1173-1179, (2020); Saha I., Sarma D., Chakma R.J., Alam M.N., Sultana A., Hossain S., Phishing attacks detection using deep learning approach, 2020 Third International Conference on Smart Systems and Inventive Technology (ICSSIT), pp. 1180-1185, (2020); Hossain S., Sarma D., Chakma R.J., Machine learning-based phishing attack detection, International Journal of Advanced Computer Science and Applications(IJACSA), 11, 9, pp. 378-388, (2020); Sarma D., Alam W., Saha I., Alam M.N., Alam M.J., Hossain S., Bank fraud detection using community detection algorithm, 2020 Second International Conference on Inventive Research in Computing Applications (ICIRCA), pp. 642-646, (2020); Hossain S., Sarma D., Mittra T., Alam M.N., Saha I., Johora F.T., Bengali hand sign gestures recognition using convolutional neural network, 2020 Second International Conference on Inventive Research in Computing Applications (ICIRCA), pp. 636-641, (2020); Sarma D., An asymmetric key based disk encryption scheme, International Journal of Computer Applications, 975</t>
  </si>
  <si>
    <t xml:space="preserve">8th IEEE R10 Humanitarian Technology Conference, R10-HTC 2020</t>
  </si>
  <si>
    <t xml:space="preserve">1 December 2020 through 3 December 2020</t>
  </si>
  <si>
    <t xml:space="preserve">Kuching</t>
  </si>
  <si>
    <t xml:space="preserve">978-172811110-0</t>
  </si>
  <si>
    <t xml:space="preserve">IEEE Reg. Humanit. Technol. Conf.: Sustain. Technol. Humanit., R10-HTC</t>
  </si>
  <si>
    <t xml:space="preserve">2-s2.0-85102047453</t>
  </si>
  <si>
    <t xml:space="preserve">Carmona Jaramillo D.; Escobar J.E.; Galeano J.; Torres-Madronero M.C.</t>
  </si>
  <si>
    <t xml:space="preserve">Carmona Jaramillo, Daniel (57215549739); Escobar, John E. (57215550462); Galeano, July (23102576600); Torres-Madronero, Maria C. (35099889700)</t>
  </si>
  <si>
    <t xml:space="preserve">57215549739; 57215550462; 23102576600; 35099889700</t>
  </si>
  <si>
    <t xml:space="preserve">Design of a multilayer neural network for the classification of skin ulcers' hyperspectral images: A proof of concept</t>
  </si>
  <si>
    <t xml:space="preserve">Cutaneous ulcer caused by Leishmaniasis is a neglected disease which is more common in low-income areas. The main challenge in this disease is its diagnosis; the lack of specialized physicians makes its diagnosis difficult since quite often it can be miss-diagnosed with other type of skin ulcers such us venous, diabetes, and others. Given the previous mentioned facts, cutaneous ulcers caused by cutaneous Leishmaniasis require for the creation of novel tools that could assist its diagnosis. Hyperspectral and multispectral images measure the radiance reflected and emitted by a surface in hundreds or tens of spectral bands along the electromagnetic spectrum. This type of systems has been used for the analysis of cutaneous pathologies such us cancer, vitiligo, melasma, among others. With a set of classified hyperspectral images of cutaneous ulcers caused by different pathologies, it is possible to create an algorithm based on a multilayer neural network in order to achieve a classification of different types of ulcers. In this article we present the design of a feed-forward artificial neural network for the classification of cutaneous ulcers' hyperspectral images in 4 kind of causes: occlusive vasculopathy, venous, Leishmaniasis, and diabetic. As result, a neural network structure is obtained that achieves a percentage of success higher than 72% in the classification of data. © COPYRIGHT SPIE. Downloading of the abstract is permitted for personal use only.</t>
  </si>
  <si>
    <t xml:space="preserve">10.1117/12.2542277</t>
  </si>
  <si>
    <t xml:space="preserve">https://www.scopus.com/inward/record.uri?eid=2-s2.0-85081138708&amp;doi=10.1117%2f12.2542277&amp;partnerID=40&amp;md5=d8e54e7bc1cde562a1f8203fd3b9534c</t>
  </si>
  <si>
    <t xml:space="preserve">Departamento de Sistemas, Instituto Tecnológico Metropolitano, Calle 54A No. 30-01, Medellín, Colombia; Grupo de Investigación Materiales Avanzados y Energía, Instituto Tecnológico Metropolitano, Medellín, Colombia; Grupo de Investigación Automática, Electrónica y Ciencias Computacionales, Instituto Tecnológico Metropolitano, Medellín, Colombia</t>
  </si>
  <si>
    <t xml:space="preserve">Carmona Jaramillo D., Departamento de Sistemas, Instituto Tecnológico Metropolitano, Calle 54A No. 30-01, Medellín, Colombia; Escobar J.E., Departamento de Sistemas, Instituto Tecnológico Metropolitano, Calle 54A No. 30-01, Medellín, Colombia; Galeano J., Departamento de Sistemas, Instituto Tecnológico Metropolitano, Calle 54A No. 30-01, Medellín, Colombia, Grupo de Investigación Materiales Avanzados y Energía, Instituto Tecnológico Metropolitano, Medellín, Colombia; Torres-Madronero M.C., Departamento de Sistemas, Instituto Tecnológico Metropolitano, Calle 54A No. 30-01, Medellín, Colombia, Grupo de Investigación Automática, Electrónica y Ciencias Computacionales, Instituto Tecnológico Metropolitano, Medellín, Colombia</t>
  </si>
  <si>
    <t xml:space="preserve">Cutaneous ulcers; Diabetic ulcer; Feed-forward artificial neural network; Hyperspectral images; Leishmaniasis ulcer; Occlusive vasculopathy ulcer; Venous ulcer</t>
  </si>
  <si>
    <t xml:space="preserve">Bioinformatics; Diagnosis; Diseases; Feedforward neural networks; Hyperspectral imaging; Image classification; Multilayers; Pathology; Spectroscopy; Cutaneous ulcers; Diabetic ulcers; Feed-forward artificial neural networks; Leishmaniasis ulcer; Occlusive vasculopathy ulcer; Venous ulcers; Multilayer neural networks</t>
  </si>
  <si>
    <t xml:space="preserve">Departamento Administrativo de Ciencia, Tecnología e Innovación (COLCIENCIAS); Universidad de Antioquia, UdeA; Universidad Pontificia Bolivariana, UPB, (57186); Instituto Tecnológico Metropolitano, ITM</t>
  </si>
  <si>
    <t xml:space="preserve">The authors would like to acknowledge the financial support given by Departamento Administrativo de Ciencia y Tecnología de Colombia -COLCIENCIAS-, Instituto Tecnológico Metropolitano, Universidad de Antioquia, Universidad Pontificia Bolivariana, and Kinetics Systems S.A.S (Medellín-Colombia), under the project number 57186.</t>
  </si>
  <si>
    <t xml:space="preserve">(2018); Yudovsky D., Nouvong A., Schomacker K., Pilon L., Monitoring temporal development and healing of diabetic foot ulceration using hyperspectral imaging, J. Biophotonics, 4, pp. 565-576, (2011); Nouri D., Lucas Y., Treuillet S., Jolivot R., Marzani F., Colour and multispectral imaging for wound healing evaluation in the context of a comparative preclinical study, Medical Imaging 2013: Image Processing, 8669; Galeano J., Tapia-Escalante P.J., Perez-Buitrago S.M., Hernandez-Hoyos Y., Arias-Munoz L.F., Zarzycki A., Marzani F., Light-tissue interaction model for the analysis of skin ulcer multi-spectral images, European Congress on Computational Methods in Applied Sciences and Engineering, pp. 754-761, (2017); Esteva A., Kuprel B., Novoa R.A., Ko J., Swetter S.M., Blau H.M., Thrun S., Dermatologist-level classification of skin cancer with deep neural networks, Nature., 542, 7639, pp. 115-118, (2017); Zhang X., Wang S., Liu J., Tao C., Towards improving diagnosis of skin diseases by combining deep neural network and human knowledge, BMC Medical Informatics and Decision Making, 18, 2, (2018); Ramezankhani R., Sajjadi N., Esmaeilzadeh R.N., Jozi S.A., Shirzadi M.R., Application of decision tree for prediction of cutaneous leishmaniasis incidence based on environmental and topographic factors in Isfahan Province, Iran, Geospatial Health, 13, 1, (2018); Bouharati K., Bounechada M., Bouharati S., Hamdi-Cherif M., Leishmaniasis Transmission Vectors Analysis Using Artificial Neural Networks, (2015); Mahalingam S., Kabra R., Singh S., Construction of Feed Forward MultiLayer Perceptron Model for Genetic Dataset in Leishmaniasis Using Cognitive Computing, BioRxiv, (2018); Jolivot R., Nugroho H., Vabresa P., Fadzil M.A., Marzani F., Validation of a 2d multispectral camera: Application to dermatology/cosmetology on a population covering five skin phototypes, European Conference on Biomedical Optics, (2011); Schmidhuber J., Deep learning in neural networks: An overview, Neural Networks, 61, pp. 85-117, (2015); Ng A., Katanforoosh K., CS229 Lecture Notes Deep Learning</t>
  </si>
  <si>
    <t xml:space="preserve">J. Galeano; Departamento de Sistemas, Instituto Tecnológico Metropolitano, Medellín, Calle 54A No. 30-01, Colombia; email: julygaleano@itm.edu.co</t>
  </si>
  <si>
    <t xml:space="preserve">Romero E.; Lepore N.; Brieva J.</t>
  </si>
  <si>
    <t xml:space="preserve">Instituto Tecnologico Metropolitano; SIPAIM Foundation; The Society of Photo-Optical Instrumentation Engineers (SPIE); Universidad Nacional de Colombia</t>
  </si>
  <si>
    <t xml:space="preserve">15th International Symposium on Medical Information Processing and Analysis, SIPAIM 2019</t>
  </si>
  <si>
    <t xml:space="preserve">6 November 2019 through 8 November 2019</t>
  </si>
  <si>
    <t xml:space="preserve">Medellin</t>
  </si>
  <si>
    <t xml:space="preserve">978-151063427-5</t>
  </si>
  <si>
    <t xml:space="preserve">2-s2.0-85081138708</t>
  </si>
  <si>
    <t xml:space="preserve">Nautre A.; Nugroho H.A.; Frannita E.L.; Nurfauzi R.</t>
  </si>
  <si>
    <t xml:space="preserve">Nautre, Adrien (57226764141); Nugroho, Hanung Adi (57210591699); Frannita, Eka Legya (57201854202); Nurfauzi, Rizki (57195617597)</t>
  </si>
  <si>
    <t xml:space="preserve">57226764141; 57210591699; 57201854202; 57195617597</t>
  </si>
  <si>
    <t xml:space="preserve">Detection of malaria parasites in thin red blood smear using a segmentation approach with U-Net</t>
  </si>
  <si>
    <t xml:space="preserve">Malaria is infected by Plasmodium parasite which was a plague in many countries in the world. An alternative way to decrease the number of deaths caused by malaria parasites was that conducting advanced diagnostic for detecting malaria parasite. However, this diagnostic required expert skills and was inclined to human errors. In this situation, automation of this process could greatly help lot of laboratory to handle the disease. In this paper, we presented an automated way to segment the Plasmodium parasites infected in red blood cells using U-net. We conducted our training approach in the three different color spaces which are RGB, HSV and GGB. The proposed method achieved accuracy of 0.9940, 0.9936 and 0.9947 in RGB, HSV and GGB color space respectively. © 2020 IEEE.</t>
  </si>
  <si>
    <t xml:space="preserve">IBIOMED 2020 - Proceedings of the 37th International Conference on Biomedical Engineering</t>
  </si>
  <si>
    <t xml:space="preserve">10.1109/IBIOMED50285.2020.9487603</t>
  </si>
  <si>
    <t xml:space="preserve">https://www.scopus.com/inward/record.uri?eid=2-s2.0-85112643525&amp;doi=10.1109%2fIBIOMED50285.2020.9487603&amp;partnerID=40&amp;md5=01acc30c2881af6e793b3feaf8909f81</t>
  </si>
  <si>
    <t xml:space="preserve">Ecole des Mines de Saint-Etienne, Mathematical Imaging and Spatial Pattern Analysis, Saint-Etienne, France; Universitas Gadjah Mada, Department of Electrical and Information Engineering, Yogyakarta, Indonesia</t>
  </si>
  <si>
    <t xml:space="preserve">Nautre A., Ecole des Mines de Saint-Etienne, Mathematical Imaging and Spatial Pattern Analysis, Saint-Etienne, France; Nugroho H.A., Universitas Gadjah Mada, Department of Electrical and Information Engineering, Yogyakarta, Indonesia; Frannita E.L., Universitas Gadjah Mada, Department of Electrical and Information Engineering, Yogyakarta, Indonesia; Nurfauzi R., Universitas Gadjah Mada, Department of Electrical and Information Engineering, Yogyakarta, Indonesia</t>
  </si>
  <si>
    <t xml:space="preserve">Convolutional neural network; Data augmentation; GGB color space; HSV color space; Image segmentation; malaria; U-net</t>
  </si>
  <si>
    <t xml:space="preserve">Biomedical engineering; Color; Diagnosis; Diseases; Advanced diagnostics; Blood smears; Color space; Human errors; Malaria parasite; Plasmodium parasites; Red blood cell; Blood</t>
  </si>
  <si>
    <t xml:space="preserve">Directorate General of Higher Education, Ministry of Research, Technology and Higher Education</t>
  </si>
  <si>
    <t xml:space="preserve">This study is funded by Directorate General of Higher Education, Ministry of Research, Technology and Higher Education through the Research Grant of ”Penelitian Dasar Unggulan Perguruan Tinggi”.</t>
  </si>
  <si>
    <t xml:space="preserve">Global Health Observatory; Poostchi M., Kamolrat S., Maude Richard J., Et al., Image analysis and machine learning for detecting malaria, Translational Research, 194, pp. 36-55, (2018); Tek F.B., Dempster A.G., Kale I., Parasite detection and identification for automated thin blood film malaria diagnosis, Computer Vision and Image Understanding, 114, pp. 21-32, (2010); Disease Burden of Malaria; Bekoe B.V., Asamoa-Adu A., Improving the accuracy of malaria-related laboratory tests in Ghana, Malar. J., 3, 38, (2004); Muralidharan V., Yuhang D., David P.W., A comparison of feature selection methods for machine learning based automatic malarial cell recognition in wholeslide images, 2016 IEEE-EMBS International Conference on Biomedical and Health Informatics (BHI), pp. 216-219, (2016); Hung J., Anne C., Applying faster R-CNN for object detection on malaria images, Proceedings of the IEEE Conference on Computer Vision and Pattern Recognition Workshops., pp. 56-61, (2017); Di Rubeto C., Andrew D., Shahid K., Et al., Segmentation of blood images using morphological operators, Proceedings 15th International Conference on Pattern Recognition. ICPR-2000., pp. 397-400, (2000); Makkapati V.V., Rao R.M., Segmentation of malaria parasites in peripheral blood smear images, 2009 IEEE International Conference on Acoustics, Speech and Signal Processing, pp. 1361-1364, (2009); Roy K., Sharmin S., Mukta R.B.M., Et al., Detection of malaria parasite in giemsa blood sample using image processing, International Journal of Computer Science and Information Technology, 10, 1, pp. 55-65, (2018); Nasir A.S.A., Mashor M.Y., Zeehaida M., Segmentation based approach for detection of malaria parasites using moving k-means clustering, 2012 IEEE EMBS Conference on Biomedical Engineering and Sciences, pp. 653-658, (2012); Nugroho H.A., Et al., Multithresholding approach for segmenting plasmodium parasites, 2019 11th International Conference on Information Technology and Electrical Engineering (ICITEE), pp. 1-5, (2019); Nugroho H.A., Et al., Segmentation of Plasmodium using Saturation Channel of HSV Color Space, 2019 International Conference on Information and Communications Technology (ICOIACT), pp. 91-94, (2019); Abraham J.B., Malaria parasite segmentation using U-Net: Comparative study of loss functions, Communications in Science and Technology, 4, 2, pp. 57-62, (2019); Ronneberger O., Fischer P., Brox T., U-net: Convolutional networks for biomedical image segmentation, International Conference on Medical Image Computing and Computerassisted Intervention., pp. 234-241, (2015); Loddo A., Di Ruberto C., Kocher M., Et al., MPIDB: The malaria parasite image database for image processing and analysis, Sipaim-Miccai Biomedical Workshop., pp. 57-65, (2018); Hegde R.B., Prasad K., Hebbar H., Et al., Development of a robust algorithm for detection of nuclei and classification of white blood cells in peripheral blood smear images, J Med Syst, 42, (2018)</t>
  </si>
  <si>
    <t xml:space="preserve">37th International Conference on Biomedical Engineering, IBIOMED 2020</t>
  </si>
  <si>
    <t xml:space="preserve">6 October 2020 through 8 October 2020</t>
  </si>
  <si>
    <t xml:space="preserve">978-172817156-2</t>
  </si>
  <si>
    <t xml:space="preserve">IBIOMED - Proc. Int. Conf. Biomed. Eng.</t>
  </si>
  <si>
    <t xml:space="preserve">2-s2.0-85112643525</t>
  </si>
  <si>
    <t xml:space="preserve">Oladele T.O.; Ogundokun R.O.; Awotunde J.B.; Adebiyi M.O.; Adeniyi J.K.</t>
  </si>
  <si>
    <t xml:space="preserve">Oladele, Tinuke Omolewa (57201388617); Ogundokun, Roseline Oluwaseun (57203967424); Awotunde, Joseph Bamidele (57211158827); Adebiyi, Marion Olubunmi (36011449300); Adeniyi, Jide Kehinde (57219422316)</t>
  </si>
  <si>
    <t xml:space="preserve">57201388617; 57203967424; 57211158827; 36011449300; 57219422316</t>
  </si>
  <si>
    <t xml:space="preserve">Diagmal: A Malaria Coactive Neuro-Fuzzy Expert System</t>
  </si>
  <si>
    <t xml:space="preserve">In the process of clarifying whether a patient or patients is suffering from a disease or not, diagnosis plays a significant role. The procedure is quite slow and cumbersome, and some patients may not be able to pursue the final test results and diagnosis. The method in this paper comprises many fact-finding and data-mining methods. Artificial Intelligence techniques such as Neural Networks and Fuzzy Logic were fussed together in emerging the Coactive Neuro-Fuzzy Expert System diagnostic tool. The authors conducted oral interviews with the medical practitioners whose knowledge were captured into the knowledge based of the Fuzzy Expert System. Neuro-Fuzzy expert system diagnostic software was implemented with Microsoft Visual C# (C Sharp) programming language and Microsoft SQL Server 2012 to manage the database. Questionnaires were administered to the patients and filled by the medical practitioners on behalf of the patients to capture the prevailing symptoms. The study demonstrated the practical application of neuro-fuzzy method in diagnosis of malaria. The hybrid learning rule has greatly enhanced the proposed system performance when compared with existing systems where only the back-propagation learning rule were used for implementation. It was concluded that the diagnostic expert system developed is as accurate as that of the medical experts in decision making. DIAGMAL is hereby recommended to medical practitioners as a diagnostic tool for malaria. © 2020, Springer Nature Switzerland AG.</t>
  </si>
  <si>
    <t xml:space="preserve">12254 LNCS</t>
  </si>
  <si>
    <t xml:space="preserve">10.1007/978-3-030-58817-5_32</t>
  </si>
  <si>
    <t xml:space="preserve">https://www.scopus.com/inward/record.uri?eid=2-s2.0-85092630966&amp;doi=10.1007%2f978-3-030-58817-5_32&amp;partnerID=40&amp;md5=06c7625f539ae0387234e47741909abc</t>
  </si>
  <si>
    <t xml:space="preserve">Department of Computer Science, University of Ilorin, Ilorin, Kwara State, Nigeria; Department of Computer Science, Landmark University Omu Aran, Omu Aran, Kwara State, Nigeria</t>
  </si>
  <si>
    <t xml:space="preserve">Oladele T.O., Department of Computer Science, University of Ilorin, Ilorin, Kwara State, Nigeria; Ogundokun R.O., Department of Computer Science, Landmark University Omu Aran, Omu Aran, Kwara State, Nigeria; Awotunde J.B., Department of Computer Science, University of Ilorin, Ilorin, Kwara State, Nigeria; Adebiyi M.O., Department of Computer Science, Landmark University Omu Aran, Omu Aran, Kwara State, Nigeria; Adeniyi J.K., Department of Computer Science, Landmark University Omu Aran, Omu Aran, Kwara State, Nigeria</t>
  </si>
  <si>
    <t xml:space="preserve">Diagnosis; Expert system; Fuzzy inference system; Malaria; Neuro-fuzzy modeling</t>
  </si>
  <si>
    <t xml:space="preserve">Backpropagation; Data mining; Decision making; Diagnostic products; Diseases; Expert systems; Fuzzy inference; Fuzzy logic; Fuzzy neural networks; Program diagnostics; Surveys; Visual languages; Windows operating system; Artificial intelligence techniques; Backpropagation learning; Diagnostic expert system; Fuzzy expert systems; Hybrid learning rule; Medical practitioner; Microsoft SQL Server; Neuro-fuzzy methods; Diagnosis</t>
  </si>
  <si>
    <t xml:space="preserve">Adebiyi M., Et al., Computational investigation of consistency and performance of the biochemical network of the malaria parasite, plasmodium falciparum, ICCSA 2019. LNCS, 11623, pp. 231-241, (2019); Carter R., Mendes K.N., Evolutionary and historical aspects of the burden of malaria, Clin. Microbiol. Rev., 15, pp. 564-594, (2002); White N.J., Antimalarial drug resistance, J. Clin. Invest., 113, pp. 1084-1092, (2004); Kettelhut M.M., Chiodini P.L., Edwards H., Moody A., External quality assessment schemes raise standards: Evidence from UKNEQAS parasitology subschemes, J. Clin. Pathol., 56, pp. 927-932, (2003); Coleman R.E., Et al., Comparison of field and expert laboratory microscopy for active surveillance for asymptomatic Plasmodium falaparum and Plasmodium vivax in western Thailand, Am. J. Trop. Med. Hyg., 67, pp. 144-154, (2002); Bates I., Bekoe V., Asamoa-Adu A., Improving the accuracy of malaria-related laboratory tests in Ghana, Malar. J., 3, (2004); Mitiku K., Mengistu G., Gelaw B., The reliability of blood film examination for malaria at the peripheral health unit, Ethiop. J. Health Dev., 17, pp. 197-204, (2003); Adebayo O., Asani E.O., Ogundokun R.O., Ananti E.C., Adegun A., A neuro-fuzzy based system for the classification of cells as cancerous of non-cancerous, Int. J. Med. Res. Health Sci., 7, 5, pp. 155-166, (2018); Djam X.Y., Kimbi Y.H., Fuzzy expert system for the management of hypertension. Pac, J. Sci. Technol., 12, 1, pp. 390-402, (2011); Donfack A.F., Abdullahi M., Ezugwu A.E., Alkali S.A., Online System for Diagnosis and Treatment of Malaria, (2009); Lala O.G., Emuoyibofarhe O.J., Fajuyigbe O., Onaolapo S.O., Diamaltycin for the diagnosis of malaria and typhoid fever: A decision support system for medical application, Proceedings of the First International Conference on Mobile Computing, Wireless Communication, E-Health, M-Health &amp; Telemedicine (Mwemtem 2008), (2008); Olabiyisi S.O., Omidiora E.O., Olaniyan M.O., Dorikoma O., A decision support system model for diagnosing tropical diseases using fuzzy logic, Afr. J. Comput. ICT, 4, 2, pp. 1-6, (2011); Adekoya A.F., Akinwale A.T., Oke O.E., A medical expert system for managing tropical diseases, Proceedings of the Third Conference on Science and National Development, pp. 74-86, (2008); Obot O.U., Uzoka F.M.E., Fuzzy rule-based framework for the management of tropical diseases, Int. J. Eng. Inform., 1, 1, pp. 7-17, (2008); Imhanlahimi R.E., John-Otumu A.M., Application of expert system for diagnosing medical conditions: A methodological review, Eur. J. Comput. Sci. Inf. Technol., 7, 2, pp. 12-25, (2019); Osubor and Chiemeke: An adaptive neuro fuzzy inference system for the diagnosis of malaria, NISEB J, 14, 4, pp. 212-222, (2015); Agboizebeta I.A., Chukwuyeni O.J., Application of neuro-fuzzy expert system for the probe and prognosis of thyroid disoder, Int. J. Fuzzy Log. Syst. (IJFLS), 2, 2, pp. 1-11, (2012); Ayo F.E., Et al., A fuzzy based method for diagnosis of acne skin disease severity. I-Manager’s, J. Pattern Recogn., 5, 2, (2018); Awotunde J.B., Matiluko O.E., Fatai O.W., Medical diagnosis system using fuzzy logic, Afr. J. Comput. ICT, 7, 2, pp. 99-106, (2014); Jimoh R.G., Afolayan A.A., Awotunde J.B., Matiluko E.O., Fuzzy logic based expert system in the diagnosis of Ebola virus, Ilorin J. Comput. Sci. Inf. Technol., 2, 1, pp. 73-94, (2017); Thompson T., Sowunmi O., Misra S., Fernandez-Sanz L., Crawford B., Soto R., An expert system for the diagnosis of sexually transmitted diseases–ESSTD, J. Intell. Fuzzy Syst., 33, 4, pp. 2007-2017, (2017); Azeez N.A., Et al., A fuzzy expert system for diagnosing and analyzing human diseases, IBICA 2018. AISC, 939, pp. 474-484, (2019); Lawanya Shri M., Ganga Devi E., Balusamy B., Kadry S., Misra S., Odusami M., A fuzzy based hybrid firefly optimization technique for load balancing in cloud datacenters, IBICA 2018. AISC, 939, pp. 463-473, (2019); Alhassan J.K., Misra S., Umar A., Maskeliunas R., Damasevicius R., Adewumi A., A fuzzy classifier-based penetration testing for web applications, ICITS 2018. AISC, 721, pp. 95-104, (2018); Ayo F.E., Awotunde J.B., Ogundokun R.O., Folorunso S.O., Adekunle A.O., A decision support system for multi-target disease diagnosis: A bioinformatics approach, Heliyon, 6, 3, (2020); Jimoh R.G., Awotunde J.B., Babatunde A.O., Ameen A.O., James T.R., Fatai O.W., Simulation of medical diagnosis system for malaria using fuzzy logic, Int. J. Inf. Process. Commun. (IJIPC), 2, 1, (2014); Oladele T.O., Ogundokun R.O., Adebiyi M.O., Datasets on malaria disease [data set], Zenodo, (2019)</t>
  </si>
  <si>
    <t xml:space="preserve">R.O. Ogundokun; Department of Computer Science, Landmark University Omu Aran, Omu Aran, Nigeria; email: ogundokun.roseline@lmu.edu.ng</t>
  </si>
  <si>
    <t xml:space="preserve">Gervasi O.; Murgante B.; Misra S.; Garau C.; Blecic I.; Taniar D.; Apduhan B.O.; Rocha A.M.A.C.; Tarantino E.; Torre C.M.; Karaca Y.</t>
  </si>
  <si>
    <t xml:space="preserve">20th International Conference on Computational Science and Its Applications, ICCSA 2020</t>
  </si>
  <si>
    <t xml:space="preserve">1 July 2020 through 4 July 2020</t>
  </si>
  <si>
    <t xml:space="preserve">Cagliari</t>
  </si>
  <si>
    <t xml:space="preserve">978-303058816-8</t>
  </si>
  <si>
    <t xml:space="preserve">2-s2.0-85092630966</t>
  </si>
  <si>
    <t xml:space="preserve">Saglam S.; Bayar S.</t>
  </si>
  <si>
    <t xml:space="preserve">Saglam, Serkan (57216706777); Bayar, Salih (24823785300)</t>
  </si>
  <si>
    <t xml:space="preserve">57216706777; 24823785300</t>
  </si>
  <si>
    <t xml:space="preserve">Effect of Different Threshold Levels for Binarization Method in Image Classification</t>
  </si>
  <si>
    <t xml:space="preserve">Image processing is the most preferred technique in Computer-Aided Design (CAD) studies, and therefore the enhancement of image processing plays an essential role in the advancement of technology. The primary purpose of this study is to examine the effect of fixed threshold value on images of different sizes when using the binarization method in image processing. The analyzes are made based on the change in the detection accuracy percentage of the K-Nearest Neighbor (k-NN), Support Vector Machine (SVM), and Convolutional Neural Networks (CNN) classification methods on the MATLAB software platform. At the same time, the effect of the binarization threshold value on images with different pixel dimensions (8x8, 16x16, 32x32, 64x64, and 128x128) are investigated. CNN classification obtained the best accuracy percentage in the used malaria disease blood cell data 97.5%, followed by k-NN with 95% and SVM with 91.5%. © 2020 IEEE.</t>
  </si>
  <si>
    <t xml:space="preserve">2020 International Symposium on Fundamentals of Electrical Engineering, ISFEE 2020</t>
  </si>
  <si>
    <t xml:space="preserve">10.1109/ISFEE51261.2020.9756173</t>
  </si>
  <si>
    <t xml:space="preserve">https://www.scopus.com/inward/record.uri?eid=2-s2.0-85129488169&amp;doi=10.1109%2fISFEE51261.2020.9756173&amp;partnerID=40&amp;md5=e343470f6009ddea9f3fb160365a551e</t>
  </si>
  <si>
    <t xml:space="preserve">Marmara University, Faculty of Engineering, Department of Electrical and Electronics Engineering, Istanbul, 34722, Turkey</t>
  </si>
  <si>
    <t xml:space="preserve">Saglam S., Marmara University, Faculty of Engineering, Department of Electrical and Electronics Engineering, Istanbul, 34722, Turkey; Bayar S., Marmara University, Faculty of Engineering, Department of Electrical and Electronics Engineering, Istanbul, 34722, Turkey</t>
  </si>
  <si>
    <t xml:space="preserve">Classification; CNN; Image Processing; k-NN; Malaria Detection; MATLAB; SVM</t>
  </si>
  <si>
    <t xml:space="preserve">Blood; Computer aided design; Computer aided diagnosis; Convolutional neural networks; Diseases; Image classification; Image enhancement; MATLAB; Nearest neighbor search; Accuracy percentages; Binarizations; Convolutional neural network; Images processing; K-near neighbor; Malaria detection; Nearest-neighbour; Neural network classification; Support vectors machine; Threshold-value; Support vector machines</t>
  </si>
  <si>
    <t xml:space="preserve">Su B., Luve C L Tan S., Combination of document image binarization techniques, 2011 International Conférence on Document Analysis and Récognition, (2011); Ve G.S.-G., Arias-Estrada M., FPGA based acceleration for image processing applications, Image Processing, pp. 477-492, (2009); Saglam S., Tat F., Bayar V.S., FPGA implementation of cnn algorithm for detecting malaria diseased blood cells, 2019 International Symposium on Advanced Electrical and Communication Technologies (ISAECT), (2019); U.S National Library ofMedicine, (2018); Noble W.S., What is a support vector machine?, Nature biotechnology, cilt24, pp. 1565-1567, (2006); Medjahed S.A., Saadi T.A., Benyettou V.A., Breast cancer diagnosis by using k-nearest neighbor with different distances and classification rules, International Journal of Computer Applications, cilt 62, (2013); Li Q., Cai W., Wang X., Zhou Y., Feng D.D., Chen V.M., Médical image classification with convolutional neural network, 2014 13th International Conférence on Control Automation Robotics &amp; Vision (ICARCV), (2014); Imandoust S.B., Bolandraftar V.M., Application of k-nearest neighbor (knn) approach for predicting economic events: Theoretical background, International Journal of Engineering Research and Applications, cilt 3, pp. 605-610, (2013); Huang S., Cai N., Pacheco P.P., Narrandes S., Wang Y., Xu V.W., Applications of support vector machine (SVM) learning in cancer genomics, Cancer Genomics-Proteomics, cilt 15, pp. 41-51, (2018); Goodfellow I., Bengio Y., Courville A., Bengio V.Y., Deep learning, (2016); Garg N., Garg V.N., Binarization Techniques used for grey scale images, International Journal of Computer Applications, cilt 71, (2013); Firdousi R., Parveen V.S., Local thresholding techniques in image binarization, International Journal Of Engineering And Computer Science, cilt 3, (2014)</t>
  </si>
  <si>
    <t xml:space="preserve">5 November 2020 through 7 November 2020</t>
  </si>
  <si>
    <t xml:space="preserve">Bucharest</t>
  </si>
  <si>
    <t xml:space="preserve">978-172819038-9</t>
  </si>
  <si>
    <t xml:space="preserve">Int. Symp. Fundam. Electr. Eng., ISFEE</t>
  </si>
  <si>
    <t xml:space="preserve">2-s2.0-85129488169</t>
  </si>
  <si>
    <t xml:space="preserve">Purnomo M.H.; Fahruzi I.; Anggraeni W.</t>
  </si>
  <si>
    <t xml:space="preserve">Purnomo, Mauridhi H (6602604153); Fahruzi, Iman (57204718675); Anggraeni, Wiwik (55876734400)</t>
  </si>
  <si>
    <t xml:space="preserve">6602604153; 57204718675; 55876734400</t>
  </si>
  <si>
    <t xml:space="preserve">Enhance computing performance through deep learning and blockchain integration for public health problems</t>
  </si>
  <si>
    <t xml:space="preserve">Blockchain is one of the most phenomenal innovations and becomes an attraction to be widely implemented in public health. Blockchain manages and accesses various data sets distributed across all users. It requires tools that can solve this data processing problem. Deep learning can be used to analyses and process public data efficiently and rapidly. Blockchain and deep learning integration support efforts to address accuracy, latency, centralization, security, and privacy issues. This research proposes the concept and architecture of blockchain and deep learning integration for public health problems. Results show that deep learning is capable of classifying cases with more than 80% accuracy and dengue fever cases forecasting with average RMSE 10,39  © 2020 IEEE.</t>
  </si>
  <si>
    <t xml:space="preserve">10.1109/IBIOMED50285.2020.9487632</t>
  </si>
  <si>
    <t xml:space="preserve">https://www.scopus.com/inward/record.uri?eid=2-s2.0-85112590469&amp;doi=10.1109%2fIBIOMED50285.2020.9487632&amp;partnerID=40&amp;md5=1bc096f73eb0eccb28af4d109d03e836</t>
  </si>
  <si>
    <t xml:space="preserve">Dept of Electrical Engineering, Dept of Computer Engineering, Faculty of Intelligent Electrical and Informatics Technology, Institut Teknologi Sepuluh Nopember, Surabaya, Indonesia; Dept of Electrical Engineering, Dept of Information Systems, Faculty of Intelligent Electrical and Informatics Technology, Institut Teknologi Sepuluh Nopember, Surabaya, Indonesia; University Center of Excellence on Artificial Intelligence for Healthcare and Society (UCE AIHeS)</t>
  </si>
  <si>
    <t xml:space="preserve">Purnomo M.H., Dept of Electrical Engineering, Dept of Computer Engineering, Faculty of Intelligent Electrical and Informatics Technology, Institut Teknologi Sepuluh Nopember, Surabaya, Indonesia, University Center of Excellence on Artificial Intelligence for Healthcare and Society (UCE AIHeS); Fahruzi I., Dept of Electrical Engineering, Dept of Computer Engineering, Faculty of Intelligent Electrical and Informatics Technology, Institut Teknologi Sepuluh Nopember, Surabaya, Indonesia; Anggraeni W., Dept of Electrical Engineering, Dept of Information Systems, Faculty of Intelligent Electrical and Informatics Technology, Institut Teknologi Sepuluh Nopember, Surabaya, Indonesia</t>
  </si>
  <si>
    <t xml:space="preserve">Blockchain; Classification; Deep learning; Forecasting; Public health</t>
  </si>
  <si>
    <t xml:space="preserve">Biomedical engineering; Blockchain; Integration; Privacy by design; Public health; Computing performance; Dengue fevers; Integration support; Privacy issue; Processing problems; Public data; Deep learning</t>
  </si>
  <si>
    <t xml:space="preserve">Zhang Q., Yang L.T., Chen Z., Li P., Deen M.J., Privacy-preserving double-projection deep computation model with crowdsourcing on cloud for big data feature learning, IEEE Internet of Things Journal, 5, 4, pp. 2896-2903, (2018); Bryatov S.R., Borodinov A.A., Blockchain technology in the pharmaceutical supply chain: Researching a business model based on hyperledger fabric, Information Technology and Nanotechnology, 2416, pp. 134-140, (2019); Ichikawa D., Kashiyama M., Ueno T., Tamper-resistant mobile health using blockchain technology, JMIR Health and Health, 5, 7, (2017); Shahnaz A., Qamar U., Khalid A., Using blockchain for electronic health records, IEEE Access, 7, pp. 147782-147795, (2019); Singh S.K., Rathore S., Park J.H., Blockiotintelligence: A blockchain-enabled intelligent iot architecture with artificial intelligence, Future Generation Computer Systems, (2019); Maxmen A., AI Researchers Embrace Bitcoin Technology; Huang X., Blockchain in healthcare: A patient-centered model, Biomedical Journal of Scientific &amp; Technical Research, 20, 3, (2019); Khatoon A., A blockchain-based smart contract system for healthcare management, Electronics, 9, 1, (2020); Fahruzi I., Eddy Purnama I.K., Takahashi H., Purnomo M.H., Classification of sleep disorder from single lead non-overlapping of ecg-apnea based non-linear analysis using ensemble approach, 2019 IEEE 10th International Conference on Awareness Science and Technology (ICAST), pp. 1-6, (2019); Leng B., Zhang X., Yao M., Xiong Z., 3d object classification using deep belief networks, MultiMedia Modeling, pp. 128-139, (2014); Islam S.M., Mahmood H., Al-Jumaily A.A., Claxton S., Deep learning of facial depth maps for obstructive sleep apnea prediction, 2018 International Conference on Machine Learning and Data Engineering (ICMLDE), pp. 154-157, (2018); Sanchez-Gutierrez M.E., Albornoz E.M., Martinez-Licona F., Rufiner H.L., Goddard J., Deep learning for emotional speech recognition, Pattern Recognition, 8495, pp. 311-320, (2014); Zhao J., Mao X., Chen L., Speech emotion recognition using deep 1D &amp; 2D CNN LSTM networks, Biomedical Signal Processing and Control, 47, pp. 312-323, (2019); Cui Z., Zheng X., Shao X., Cui L., Automatic Sleep Stage Classification Based on Convolutional Neural Network and Fine-Grained Segments., (2018); Werth J., Radha M., Andriessen P., Aarts R.M., Long X., Deep learning approach for ECG-based automatic sleep state classification in preterm infants, Biomedical Signal Processing and Control, 56, (2020); Cen L., Yu Z.L., Kluge T., Ser W., Automatic system for obstructive sleep apnea events detection using convolutional neural network, 2018 40th Annual International Conference of the IEEE Engineering in Medicine and Biology Society (EMBC), pp. 3975-3978, (2018); Penzel T., Moody G.B., Mark R.G., Goldberger A.L., Peter J.H., The apnea-ECG database, Computers in Cardiology 2000, 27, pp. 255-258, (2000); Banluesombatkul N., Rakthanmanon T., Wilaiprasitporn T., Single channel ecg for obstructive sleep apnea severity detection using a deep learning approach, TENCON 2018-2018 IEEE Region 10 Conference, pp. 2011-2016, (2018); Li K., Pan W., Li Y., Jiang Q., Liu G., A method to detect sleep apnea based on deep neural network and hidden Markov model using single-lead ECG signal, Neurocomputing, 294, pp. 94-101, (2018); System and Method for Verifying Data Integrity Using A Blockchain Network - Acronis International GmbH.; Ravi D., Et al., Deep learning for health informatics, IEEE J. Biomed. Health Inform., 21, 1, pp. 4-21, (2017); Akyol K., Comparing of deep neural networks and extreme learning machines based on growing and pruning approach, Expert Systems with Applications, 140, (2020)</t>
  </si>
  <si>
    <t xml:space="preserve">2-s2.0-85112590469</t>
  </si>
  <si>
    <t xml:space="preserve">Sinada F.; Reni S.K.; Kale I.</t>
  </si>
  <si>
    <t xml:space="preserve">Sinada, Farah (57215127733); Reni, Saumya Kareem (57190172332); Kale, Izzet (7005710520)</t>
  </si>
  <si>
    <t xml:space="preserve">57215127733; 57190172332; 7005710520</t>
  </si>
  <si>
    <t xml:space="preserve">Image Analysis and Feature Extraction of Kato-Katz Images for Neglected Tropical Diseases Diagnosis</t>
  </si>
  <si>
    <t xml:space="preserve">This paper provides an insight into a pioneering interdisciplinary research, amalgamating engineering principles and clinical diagnostic procedures. The research is underway to design and develop an automated parasite diagnostic tool, using machine learning based image processing operations. The preliminary findings of the work in which feature extraction algorithms are applied on clinical images as a base to a neural network model for diagnosis is described in this paper. Maximally Stable Extremal Regions (MSER) was used as a primary feature extractor in the detection of the parasitic eggs. Statistical information regarding the eggs was then collected and compared with background regions in the development of a search algorithm. Using the collected data, a range of values was obtained that could separate the eggs from the background of the images. All the images used are from Kato-katz slides. © 2020 IEEE.</t>
  </si>
  <si>
    <t xml:space="preserve">Midwest Symposium on Circuits and Systems</t>
  </si>
  <si>
    <t xml:space="preserve">10.1109/MWSCAS48704.2020.9184535</t>
  </si>
  <si>
    <t xml:space="preserve">https://www.scopus.com/inward/record.uri?eid=2-s2.0-85090578965&amp;doi=10.1109%2fMWSCAS48704.2020.9184535&amp;partnerID=40&amp;md5=616df25b635e5610820a01d42a6f5f17</t>
  </si>
  <si>
    <t xml:space="preserve">University of Westminster, Applied Dsp and Vlsi Research Group (ADVRG), School of Computer Science and Engineering College of Design, Creative Digital Industries, London, United Kingdom; College of Design, Creative Digital Industries, Research Director Applied Dsp and Vlsi Research Group (ADVRG), London, United Kingdom</t>
  </si>
  <si>
    <t xml:space="preserve">Sinada F., University of Westminster, Applied Dsp and Vlsi Research Group (ADVRG), School of Computer Science and Engineering College of Design, Creative Digital Industries, London, United Kingdom; Reni S.K., University of Westminster, Applied Dsp and Vlsi Research Group (ADVRG), School of Computer Science and Engineering College of Design, Creative Digital Industries, London, United Kingdom; Kale I., College of Design, Creative Digital Industries, Research Director Applied Dsp and Vlsi Research Group (ADVRG), London, United Kingdom</t>
  </si>
  <si>
    <t xml:space="preserve">Feature extraction; Helminthiasis; kato-Katz Images; Morphological Image processing; MSER; Neglected tropical diseases</t>
  </si>
  <si>
    <t xml:space="preserve">Clinical research; Diagnosis; Extraction; Feature extraction; Tropics; Clinical diagnostics; Engineering principles; Feature extraction algorithms; Interdisciplinary research; Maximally Stable Extremal Regions; Neglected tropical disease; Neural network model; Statistical information; Image processing</t>
  </si>
  <si>
    <t xml:space="preserve">University of Westminster</t>
  </si>
  <si>
    <t xml:space="preserve">ACKNOWLEDGMENTS Thanks to the Competitive Developer Research Grant from University of Westminster (UoW). Thanks to Dr. Polly Hayes, School of Lifesciences, Uow and the Parasitology division of University College London Hospital (UCLH), and Public Health England for providing us with the images and appropriate guidance and advice on the clinical aspects of the research.</t>
  </si>
  <si>
    <t xml:space="preserve">Soil-transmitted Helminth Infections [Act Sheet], (2018); World Health Assembly (WHA) Resolutions on Neglected Tropical Diseases: 1948-2019; Centre for Disease Control and Prevention (CDC); Hotez P.J., Brindley J.P., Bethony M.J., King H.C., Pearce J.E., Jacobson J., Helminth infections: The great neglected tropical diseases, The Journal of Clinical Investigation, 118, 4, pp. 1311-1321, (2008); The Special Programme for Research and Training in Tropical Diseases (TDR), (2017); Hedley L., Wani R.L.S., Helminth infections: Diagnosis and treatment, The Pharmaceutical Journal, 1370, (2015); Weatherhead J.E., Hotez P.J., Mejia R.R., The global state of helminth control and elimination in children, Pediatric Clinics of North America, 64, 4, pp. 867-877, (2017); Hotez P.J., Gurwith M., Europe's neglected infections of poverty, International Journal of Infectious Diseases, (2011); Worms: How Are They Diagnosed, (2009); Kato Katz Technique: Principle, Procedure and Results, (2016); Barda B., Albonico M., Ianniello D., Ame S.M., Keiser J., Speich B., Rinaldi L., Cringoli G., Burioni R., Montresor A., Utzinger J., How long can stool samples be fixed for an accurate diagnosis of soil-transmitted helminth infection using mini-flotac, PLOS Neglected Tropical Diseases, 9, 4, (2015); Turner H.C., Bettis A.A., Dunn J.C., Whitton J.M., Hollingsworth T.D., Fleming F.M., Anderson R.M., Economic considerations for moving beyond the kato-katz technique for diagnosing intestinal parasites as we move towards elimination, Trends in Parasitology, 33, 6, pp. 435-443, (2017); Sumeeta K., Sethi S., Laboratory diagnosis of soil transmitted helminthiasis 2017, Tropical Parasitology, 7, 2, pp. 86-91; Holmstrom O., Linder N., Ngasala B., Martensson A., Linder E., Lundin M., Moilanen H., Suutala A., Diwan V., Lundin J., Point-ofcare mobile digital microscopy and deep learning for the detection of soil-transmitted helminths and schistosoma haematobium, Global Health Action, (2017); Sinada F., Reni S., Kale I., A reflective analysis of image processing operations on kato-katz images for the pathological diagnosis of neglected tropical diseases, IEEE International Conference on E-Health and Bioengineering-EHB 2019, (2019); Hashemi N.S., Aghdam R.B., Ghiasi A.S.B., Fatemi P., Template Matching Advances and Applications in Image Analysis, (2016); Computer Vision: Concepts, Methodologies, Tools, and Applications, (2018)</t>
  </si>
  <si>
    <t xml:space="preserve">63rd IEEE International Midwest Symposium on Circuits and Systems, MWSCAS 2020</t>
  </si>
  <si>
    <t xml:space="preserve">9 August 2020 through 12 August 2020</t>
  </si>
  <si>
    <t xml:space="preserve">Springfield</t>
  </si>
  <si>
    <t xml:space="preserve">978-153862916-1</t>
  </si>
  <si>
    <t xml:space="preserve">MSCSD</t>
  </si>
  <si>
    <t xml:space="preserve">Midwest Symp Circuits Syst</t>
  </si>
  <si>
    <t xml:space="preserve">2-s2.0-85090578965</t>
  </si>
  <si>
    <t xml:space="preserve">Katwesige J.F.; Nabende P.; Kasasa S.; Ssenyonga R.; Nakafeero M.; Kissa J.</t>
  </si>
  <si>
    <t xml:space="preserve">Katwesige, Justine Fay (57219627305); Nabende, Peter (55369426500); Kasasa, Simon (9535898300); Ssenyonga, Ronald (57194681121); Nakafeero, Mary (56627022800); Kissa, John (36087511100)</t>
  </si>
  <si>
    <t xml:space="preserve">57219627305; 55369426500; 9535898300; 57194681121; 56627022800; 36087511100</t>
  </si>
  <si>
    <t xml:space="preserve">Integration of DHIS2 and Climatic Data for Disease Prediction: A Case of Malaria occurrence in Gulu District, Uganda</t>
  </si>
  <si>
    <t xml:space="preserve">Prediction models are important tools that can assist public health in evidence-based decision-making. Disease burden estimates for Uganda are currently based on only reported cases and rough estimates from seasonal weather changes. This paper incorporates other variables including weather factors with their time lags to predict future estimates of malaria cases in Gulu District. We used data on malaria cases from an electronic Health Management Information System powered by DHIS2 of the Ministry of Health and daily reported weather data from Uganda National Meteorological Authority for a time span of five years (2013 to 2017) to provide both machine learning and statistical predictive models. Results show that the integration of malaria cases data with two weeks' historical weather data leads to better prediction of future malaria cases compared to using only currently reported cases.  © 2020 IST-Africa Institute and Authors.</t>
  </si>
  <si>
    <t xml:space="preserve">2020 IST-Africa Conference, IST-Africa 2020</t>
  </si>
  <si>
    <t xml:space="preserve">https://www.scopus.com/inward/record.uri?eid=2-s2.0-85094324426&amp;partnerID=40&amp;md5=02a5d8d14cf0fcc41d9791808804f412</t>
  </si>
  <si>
    <t xml:space="preserve">Makerere University, Department of Epidemiology and Biostatistics, Kampala, 7062, Uganda; Makerere University, Department of Information Systems, Kampala, 7062, Uganda; Ministry of Health, Division of Health Information, Kampala, 7272, Uganda</t>
  </si>
  <si>
    <t xml:space="preserve">Katwesige J.F., Makerere University, Department of Epidemiology and Biostatistics, Kampala, 7062, Uganda; Nabende P., Makerere University, Department of Information Systems, Kampala, 7062, Uganda; Kasasa S., Makerere University, Department of Epidemiology and Biostatistics, Kampala, 7062, Uganda; Ssenyonga R., Makerere University, Department of Epidemiology and Biostatistics, Kampala, 7062, Uganda; Nakafeero M., Makerere University, Department of Epidemiology and Biostatistics, Kampala, 7062, Uganda; Kissa J., Ministry of Health, Division of Health Information, Kampala, 7272, Uganda</t>
  </si>
  <si>
    <t xml:space="preserve">Integration; Lagging; Malaria; Prediction; Weather</t>
  </si>
  <si>
    <t xml:space="preserve">Decision making; Diseases; Forecasting; Information management; Meteorology; Predictive analytics; Disease burdens; Electronic health; Evidence- based decisions; Historical weather datum; Prediction model; Predictive models; Weather change; Weather factors; Data integration</t>
  </si>
  <si>
    <t xml:space="preserve">Connor S.J., Et al., Health and Climate-Needs. Procedia Environmental Sciences, 1, pp. 27-36, (2010); Moran K.R., Et al., Epidemic forecasting is messier than weather forecasting: The role of human behavior and internet data streams in epidemic forecast, J Infect Dis, 214, pp. S404-S408, (2016); Wong Z.S.Y., Zhou J., Zhang Q., Artificial intelligence for infectious disease big data analytics. Infection, Disease &amp; Health, 24, 1, pp. 44-48, (2019); Talisuna A.O., Et al., The past, present and future use of epidemiological intelligence to plan malaria vector control and parasite prevention in Uganda, Malar J, 14, (2015); Kiberu V.M., Et al., Strengthening district-based health reporting through the district health management information software system: The Ugandan experience, Bmc Medical Informatics and Decision Making, 14, 1, (2014); Briet O.J., Et al., Temporal correlation between malaria and rainfall in Sri Lanka, Malar J, 7, (2008); Hay S.I., Et al., Climate change and the resurgence of malaria in the east African highlands, Nature, 415, 6874, pp. 905-909, (2002); Jury M., Kanemba A., A climate-based model for malaria prediction in southeastern Africa, South African Journal of Science, 103, 1-2, pp. 57-62, (2007); Mohammadkhani M., Et al., The relation between climatic factors and malaria incidence in kerman, south east of Iran, Parasite Epidemiology and Control, 1, 3, pp. 205-210, (2016); Wu Y., Et al., Describing interaction effect between lagged rainfalls on malaria: An epidemiological study in south-west China, Malaria Journal, 16, 1, (2017); Abiodun G.J., Et al., Modelling the influence of temperature and rainfall on the population dynamics of anopheles arabiensis, Malar J, 15, (2016); Midekisa A., Et al., Seasonal associations of climatic drivers and malaria in the highlands of Ethiopia, Parasit Vectors, 8, (2015); Esther Love Darkoh J.A.L., Adjei Lawer E., A weather-based prediction model of malaria prevalence in Amenfi West district Ghana, Malaria Research and Treament, 2017, (2017); Ikeda T., Et al., Seasonally lagged effects of climatic factors on malaria incidence in South Africa, Sci Rep, 7, 1, (2017); Thakur S., Dharavath R., Artificial neural network based prediction of malaria abundances using big data: A knowledge capturing approach, Clinical Epidemiology and Global Health, 7, 1, pp. 121-126, (2019)</t>
  </si>
  <si>
    <t xml:space="preserve">J.F. Katwesige; Makerere University, Department of Epidemiology and Biostatistics, Kampala, 7062, Uganda; email: fayjustine@gmail.com</t>
  </si>
  <si>
    <t xml:space="preserve">18 May 2020 through 22 May 2020</t>
  </si>
  <si>
    <t xml:space="preserve">978-190582465-6</t>
  </si>
  <si>
    <t xml:space="preserve">IST-Africa Conf., IST-Africa</t>
  </si>
  <si>
    <t xml:space="preserve">2-s2.0-85094324426</t>
  </si>
  <si>
    <t xml:space="preserve">Apolinario-Arzube Ó.; García-Díaz J.A.; Luna-Aveiga H.; Medina-Moreira J.; Valencia-García R.</t>
  </si>
  <si>
    <t xml:space="preserve">Apolinario-Arzube, Óscar (57220191787); García-Díaz, José Antonio (57201498591); Luna-Aveiga, Harry (57189869240); Medina-Moreira, José (57189872059); Valencia-García, Rafael (55887649000)</t>
  </si>
  <si>
    <t xml:space="preserve">57220191787; 57201498591; 57189869240; 57189872059; 55887649000</t>
  </si>
  <si>
    <t xml:space="preserve">Knowledge Extraction from Twitter Towards Infectious Diseases in Spanish</t>
  </si>
  <si>
    <t xml:space="preserve">Infodemiology consists in the extraction and analysis of data compiled on the Internet regarding public health. Among other applications, Infodemiology can be used to analyse trends on social networks in order to determine the prevalence of outbreaks of infectious diseases in certain regions. This valuable data provides better understanding of the spread of infectious diseases as well as a vision about social perception of citizens towards the strategies carried out by public healthcare institutions. In this work, we apply Natural Language Processing techniques to determine the impact of outbreaks of infectious diseases such as Zika, Dengue or Chikungunya from a compiled dataset with tweets written in Spanish. © 2020, Springer Nature Switzerland AG.</t>
  </si>
  <si>
    <t xml:space="preserve">10.1007/978-3-030-62015-8_4</t>
  </si>
  <si>
    <t xml:space="preserve">https://www.scopus.com/inward/record.uri?eid=2-s2.0-85096491877&amp;doi=10.1007%2f978-3-030-62015-8_4&amp;partnerID=40&amp;md5=9b2db071119126ab363cd2abc5db8887</t>
  </si>
  <si>
    <t xml:space="preserve">Facultad de Ciencias Matemáticas y Físicas, Universidad de Guayaquil, Cdla. Universitaria Salvador Allende, Guayaquil, 090514, Ecuador; Facultad de Informática, Universidad de Murcia, Campus de Espinardo, Murcia, 30100, Spain; Facultad de Ciencias Agrarias, Universidad Agraria del Ecuador, Av. 25 de Julio, Guayaquil, Ecuador</t>
  </si>
  <si>
    <t xml:space="preserve">Apolinario-Arzube Ó., Facultad de Ciencias Matemáticas y Físicas, Universidad de Guayaquil, Cdla. Universitaria Salvador Allende, Guayaquil, 090514, Ecuador; García-Díaz J.A., Facultad de Informática, Universidad de Murcia, Campus de Espinardo, Murcia, 30100, Spain; Luna-Aveiga H., Facultad de Ciencias Matemáticas y Físicas, Universidad de Guayaquil, Cdla. Universitaria Salvador Allende, Guayaquil, 090514, Ecuador; Medina-Moreira J., Facultad de Ciencias Agrarias, Universidad Agraria del Ecuador, Av. 25 de Julio, Guayaquil, Ecuador; Valencia-García R., Facultad de Informática, Universidad de Murcia, Campus de Espinardo, Murcia, 30100, Spain</t>
  </si>
  <si>
    <t xml:space="preserve">Infodemiology; Information retrieval; Machine learning; Opinion mining; Sentiment analysis</t>
  </si>
  <si>
    <t xml:space="preserve">Data mining; Extraction; Natural language processing systems; Analysis of data; Chikungunya; Infectious disease; Knowledge extraction; NAtural language processing; Public healthcares; Social perception; Diseases</t>
  </si>
  <si>
    <t xml:space="preserve">Spanish National Research Agency; Banco Santander; European Regional Development Fund, FEDER, (PID2019-107652RB-I00, TIN2016-76323-R); Agencia Estatal de Investigación, AEI</t>
  </si>
  <si>
    <t xml:space="preserve">Funding text 1: Acknowledgements. This work has been supported by the Spanish National; Funding text 2: This work has been supported by the Spanish National Research Agency (AEI) and the European Regional Development Fund (FEDER/ ERDF) through projects KBS4FIA (TIN2016-76323-R) and LaTe4PSP (PID2019-107652RB-I00). In addition, Jos? Antonio Garc?a-D?az has been supported by Banco Santander and University of Murcia through the Doctorado industrial programme.</t>
  </si>
  <si>
    <t xml:space="preserve">Ajao O., Bhowmik D., Zargari S., Fake news identification on twitter with hybrid CNN and RNN models, Proceedings of the 9Th International Conference on Social Media and Society, pp. 226-230, (2018); Apolinardo-Arzube O., Garcia-Diaz J.A., Medina-Moreira J., Luna-Aveiga H., Valencia-Garcia R., Evaluating information-retrieval models and machine-learning classifiers for measuring the social perception towards infectious diseases, Appl. Sci., (2019); Apolinario-Arzube O., Medina-Moreira J., Luna-Aveiga H., Garcia-Diaz J.A., Valencia-Garcia R., Estrade-Cabrera J.I., Prevención de enfermedades infecciosas basada en el análisis inteligente en rrss y participación ciudadana, Procesamiento Del Lenguaje Nat, 63, pp. 163-166, (2019); Baccianella S., Esuli A., Sebastiani F., SentiWordNet 3.0: An enhanced lexical resource for sentiment analysis and opinion mining, LREC, 10, pp. 2200-2204, (2010); Badillo S., Et al., An introduction to machine learning, Clin. Pharmacol. Ther., 107, 4, pp. 871-885, (2020); Baviera T., Técnicas para el análisis de sentimiento en twitter: Aprendizaje automático supervisado y sentistrength, Rev. Dígitos, 1, 3, pp. 33-50, (2017); Chandrasekaran N., Et al., The utility of social media in providing information on Zika virus, Cureus, 9, 10, (2017); Chew C., Eysenbach G., Pandemics in the age of Twitter: Content analysis of tweets during the 2009 H1N1 outbreak, Plos ONE, 5, 11, (2010); Cortes V.D., Velasquez J.D., Ibanez C.F., Twitter for marijuana infodemiology, Proceedings of the International Conference on Web Intelligence, pp. 730-736, (2017); Cuan-Baltazar J.Y., Munoz-Perez M.J., Robledo-Vega C., Perez-Zepeda M.F., Soto-Vega E., Misinformation of COVID-19 on the internet: Infodemiology study, JMIR Public Health Surveill., 6, 2, (2020); Dey L., Haque S.K., Opinion mining from noisy text data, Proceedings of SIGIR 2008 Workshop on Analytics for Noisy Unstructured Text Data, AND 2008, (2008); Espina K., Estuar M.R.J.E., Infodemiology for syndromic surveillance of dengue and typhoid fever in the Philippines, Procedia Comput. Sci., 121, pp. 554-561, (2017); Eysenbach G., SARS and population health technology, J. Med. Internet Res., 5, 2, (2003); Eysenbach G., Infodemiology: Tracking flu-related searches on the web for syndromic surveillance, AMIA Annual Symposium Proceedings, 2006, (2006); Eysenbach G., Medicine 2.0: Social networking, collaboration, participation, apo-mediation, and openness, J. Med. Internet Res., 10, 3, (2008); Eysenbach G., Infodemiology and infoveillance: Framework for an emerging set of public health informatics methods to analyze search, communication and publication behavior on the internet, J. Med. Internet Res., 11, 1, (2009); Fiesler C., Proferes N., “Participant” perceptions of Twitter research ethics, Soc. Media+ Soc., 4, 1, (2018); Garcia-Diaz J.A., Canovas-Garcia M., Valencia-Garcia R., Ontology-driven aspect-based sentiment analysis classification: An infodemiological case study regarding infectious diseases in Latin America, Future Gener. Comput. Syst. Impress, 112, pp. 641-657, (2020); Garcia-Diaz J.A., Canovas-Garcia M., Colomo-Palacios R., Valencia-Garcia R., Detecting misogyny in Spanish tweets: An approach based on linguistics features and word embeddings, Future Gener. Comput. Syst., 114, pp. 506-518, (2020); Gu Y., Qian Z.S., Chen F., From Twitter to detector: Real-time traffic incident detection using social media data, Transp. Res. Part C: Emerg. Technol., 67, pp. 321-342, (2016); Havrlant L., Kreinovich V., A simple probabilistic explanation of term frequency-inverse document frequency (TF-IDF) heuristic (and variations motivated by this explanation), Int. J. Gen. Syst., 46, 1, pp. 27-36, (2017); Hernandez-Garcia I., Gimenez-Julvez T., Assessment of health information about COVID-19 prevention on the internet: Infodemiological study, JMIR Public Health Surveill., 6, 2, (2020); Hockx-Yu H., The Web as History, (2018); Jeevan Nagendra Kumar Y., Mani Sai B., Shailaja V., Renuka S., Panduri B., Python NLTK sentiment inspection using Naïve Bayes classifier, Int. J. Recent Technol. Eng., (2019); Khan A., Baharudin B., Khan K., Sentiment classification using sentence-level lexical based, Trends Appl. Sci. Res., 6, 10, pp. 1141-1157, (2011); Kim S.M., Hovy E., Identifying and analyzing judgment opinions. In: HLT-NAACL 2006-Human Language Technology Conference of the North American Chapter of the Association of Computational Linguistics, Proceedings of the Main Conference, (2006); Larsson G., Maire M., Shakhnarovich G., Learning representations for automatic colorization, ECCV 2016. LNCS, 9908, pp. 577-593, (2016); Lim W.L., Ho C.C., Ting C.-Y., Tweet sentiment analysis using deep learning with nearby locations as features, Computational Science and Technology. LNEE, 603, pp. 291-299, (2020); Liu B., Sentiment analysis and opinion mining, Synth. Lect. Hum. Lang. Technol., 5, 1, pp. 1-167, (2012); Luna-Aveiga H., Et al., Sentiment polarity detection in social networks: An approach for asthma disease management, ICCSAMA 2017. AISC, 629, pp. 141-152, (2018); Mayer S.V., Tesh R.B., Vasilakis N., The emergence of arthropod-borne viral diseases: A global prospective on Dengue, Chikungunya and Zika Fevers. Acta Tropica, 166, pp. 155-163, (2017); Garcia-Diaz J.A., Et al., Opinion mining for measuring the social perception of infectious diseases. An infodemiology approach, CITI 2018. CCIS, 883, pp. 229-239, (2018); Mikolov T., Chen K., Corrado G., Dean J., Efficient Estimation of Word Representations in Vector Space, (2013); Mostafa M.M., More than words: Social networks’ text mining for consumer brand sentiments, Expert Syst. Appl., 40, 10, pp. 4241-4251, (2013); Pang B., Lee L., Et al., Opinion mining and sentiment analysis, Found. Trends ® Inf. Retrieval, 2, 1-2, pp. 1-135, (2008); Paredes-Valverde M.A., Colomo-Palacios R., Salas-Zarate M.D.P., Valencia-Garcia R., Sentiment analysis in Spanish for improvement of products and services: A deep learning approach, Sci. Program., 2017, (2017); Patterson J., Sammon M., Garg M., Dengue, Zika and Chikungunya: Emerging arboviruses in the new world, West. J. Emerg. Med., 17, 6, (2016); Pearce N., Traditional epidemiology, modern epidemiology, and public health, Am. J. Public Health, 86, 5, pp. 678-683, (1996); Ramteke J., Shah S., Godhia D., Shaikh A., Election result prediction using Twitter sentiment analysis, 2016 International Conference on Inventive Computation Technologies (ICICT), 1, pp. 1-5, (2016); Ruiz-Martinez J.M., Valencia-Garcia R., Garcia-Sanchez F., Et al., Semantic-based sentiment analysis in financial news, Proceedings of the 1St International Workshop on Finance and Economics on the Semantic Web, pp. 38-51, (2012); Salas-Zarate M.D.P., Medina-Moreira J., Lagos-Ortiz K., Luna-Aveiga H., Rodriguez-Garcia M.A., Valencia-Garcia R., Sentiment analysis on tweets about Diabetes: An aspect-level approach, Comput. Math. Methods Med., (2017); Salas-Zarate M.D.P., Paredes-Valverde M.A., Limon-Romero J., Tlapa D., Baez-Lopez Y., Sentiment classification of Spanish reviews: An approach based on feature selection and machine learning methods, J. UCS, 22, 5, pp. 691-708, (2016); Del Pilar Salas-Zarate M., Paredes-Valverde M.A., Rodriguez-Garcia M.A., Valencia-Garcia R., Alor-Hernandez G., Automatic detection of satire in Twitter: A psycholinguistic-based approach, Knowl. Based Syst., 128, pp. 20-33, (2017); Saldanha T.J., Krishnan M.S., Organizational adoption of web 2.0 technologies: An empirical analysis, J. Organ. Comput. Electron. Commer., 22, 4, pp. 301-333, (2012); Wolfe R.M., Sharp L.K., Vaccination or immunization? The impact of search terms on the internet, J. Health Commun., 10, 6, pp. 537-551, (2005); Young T., Hazarika D., Poria S., Cambria E., Recent trends in deep learning based natural language processing, IEEE Comput. Intell. Mag., 13, 3, pp. 55-75, (2018)</t>
  </si>
  <si>
    <t xml:space="preserve">R. Valencia-García; Facultad de Informática, Universidad de Murcia, Campus de Espinardo, Murcia, 30100, Spain; email: valencia@um.es</t>
  </si>
  <si>
    <t xml:space="preserve">Valencia-García R.; Alcaraz-Marmol G.; Del Cioppo-Morstadt J.; Vera-Lucio N.; Bucaram-Leverone M.</t>
  </si>
  <si>
    <t xml:space="preserve">6th International Conference on Technologies and Innovation, CITI 2020</t>
  </si>
  <si>
    <t xml:space="preserve">978-303062014-1</t>
  </si>
  <si>
    <t xml:space="preserve">2-s2.0-85096491877</t>
  </si>
  <si>
    <t xml:space="preserve">Mishra D.; Singh S.K.; Singh R.K.</t>
  </si>
  <si>
    <t xml:space="preserve">Mishra, Dipti (56957707900); Singh, Satish Kumar (56320377800); Singh, Rajat Kumar (57222238396)</t>
  </si>
  <si>
    <t xml:space="preserve">56957707900; 56320377800; 57222238396</t>
  </si>
  <si>
    <t xml:space="preserve">Lossy Medical Image Compression using Residual Learning-based Dual Autoencoder Model</t>
  </si>
  <si>
    <t xml:space="preserve">In this work, we propose a two-stage autoencoder based compressor-decompressor framework for compressing malaria RBC cell image patches. We know that the medical images used for disease diagnosis are around multiple gigabytes size, which is quite huge. The proposed residual-based dual autoencoder network is trained to extract the unique features which are then used to reconstruct the original image through the decompressor module. The two latent space representations (first for the original image and second for the residual image) are used to rebuild the final original image. Color-SSIM has been exclusively used to check the quality of the chrominance part of the cell images after decompression. The empirical results indicate that the proposed work outperformed other neural network related compression technique for medical images by approximately 35%, 10% and 5% in PSNR, Color SSIM and MS-SSIM respectively. The algorithm exhibits a significant improvement in bit savings of 76%, 78%, 75% 74% over JPEG-LS, JP2K-LM, CALIC and recent neural network approach respectively, making it a good compression-decompression technique. © 2020 IEEE.</t>
  </si>
  <si>
    <t xml:space="preserve">7th IEEE Uttar Pradesh Section International Conference on Electrical, Electronics and Computer Engineering, UPCON 2020</t>
  </si>
  <si>
    <t xml:space="preserve">10.1109/UPCON50219.2020.9376417</t>
  </si>
  <si>
    <t xml:space="preserve">https://www.scopus.com/inward/record.uri?eid=2-s2.0-85103685348&amp;doi=10.1109%2fUPCON50219.2020.9376417&amp;partnerID=40&amp;md5=a2127a7db0aaa143257351fb2880a1c2</t>
  </si>
  <si>
    <t xml:space="preserve">Department of Electronics and Communication Engineering, Indian Institute of Information Technology, Prayagraj, 211015, India; Department of Information Technology, Indian Institute of Information Technology, Prayagraj, 211015, India; Indian Institute of Information Technology, Department of Electronics and Communication Engineering, Prayagraj, 211015, India</t>
  </si>
  <si>
    <t xml:space="preserve">Mishra D., Department of Electronics and Communication Engineering, Indian Institute of Information Technology, Prayagraj, 211015, India; Singh S.K., Department of Information Technology, Indian Institute of Information Technology, Prayagraj, 211015, India; Singh R.K., Indian Institute of Information Technology, Department of Electronics and Communication Engineering, Prayagraj, 211015, India</t>
  </si>
  <si>
    <t xml:space="preserve">autoencoder; compression-decompression; convolutional neural network; deep learning based; encoder-decoder; lossy image compression; RBM; residual; whole slide images (WSI)</t>
  </si>
  <si>
    <t xml:space="preserve">Color; Diagnosis; Image compression; Learning systems; Neural networks; Auto encoders; Cell images; Compression techniques; Disease diagnosis; Know-that; Original images; Residual images; Unique features; Medical image processing</t>
  </si>
  <si>
    <t xml:space="preserve">Toderici G., Vincent D., Johnston N., Jin Hwang S., Minnen D., Shor J., Covell M., Full resolution image compression with recurrent neural networks, Proceedings of the IEEE Conference on Computer Vision and Pattern Recognition, pp. 5306-5314, (2017); Prakash A., Moran N., Garber S., DiLillo A., Storer J., Semantic perceptual image compression using deep convolution networks, 2017 Data Compression Conference (DCC). IEEE, pp. 250-259, (2017); Balle J., Laparra V., Simoncelli E.P., End-to-end optimized image compression, International Conference on Learning Representations, (2017); Theis L., Shi W., Cunningham A., Huszar F., Lossy Image Compression with Compressive Autoencoders, (2017); Kalinski T., Zwonitzer R., Grabellus F., Sheu S.-Y., Sel S., Hofmann H., Roessner A., Lossless compression of jpeg2000 whole slide images is not required for diagnostic virtual microscopy, American Journal of Clinical Pathology, 136, 6, pp. 889-895, (2011); Sharma A., Bautista P., Yagi Y., Balancing image quality and compression factor for special stains whole slide images, Analytical Cellular Pathology, 35, 2, pp. 101-106, (2012); Christopoulos C., Skodras A., Ebrahimi T., The jpeg2000 still image coding system: An overview, IEEE Transactions on Consumer Electronics, 46, 4, pp. 1103-1127, (2000); Weinberger M.J., Seroussi G., Sapiro G., The loco-i lossless image compression algorithm: Principles and standardization into jpegls, IEEE Transactions on Image Processing, 9, 8, pp. 1309-1324, (2000); Golomb S., Run-length encodings (corresp.), IEEE Transactions on Information Theory, 12, 3, pp. 399-401, (1966); Wu X., Memon N., Context-based lossless interband compressionextending calic, IEEE Transactions on Image Processing, 9, 6, pp. 994-1001, (2000); Li X., Orchard M.T., Edge-directed prediction for lossless compression of natural images, IEEE Transactions on Image Processing, 10, 6, pp. 813-817, (2001); Hesabi Z.R., Sardari M., Beirami A., Fekri F., Deriche M., Navarro A., A memory-assisted lossless compression algorithm for medical images, 2014 IEEE International Conference on Acoustics, Speech and Signal Processing (ICASSP). IEEE, pp. 2030-2034, (2014); Pearson K., Liii. On lines and planes of closest fit to systems of points in space, The London, Edinburgh, and Dublin Philosophical Magazine and Journal of Science, 2, 11, pp. 559-572, (1901); Wallace G.K., The jpeg still picture compression standard, IEEE Transactions on Consumer Electronics, 38, 1, pp. xviii-xxxiv, (1992); Dong Y., Shen H., Pan W.D., An interactive tool for roi extraction and compression on whole slide images, 2016 IEEE-EMBS International Conference on Biomedical and Health Informatics (BHI). IEEE, pp. 224-227, (2016); MacKay D.J., Mac Kay D.J., Information Theory, Inference and Learning Algorithms, (2003); Shen H., Pan W.D., Dong Y., Alim M., Lossless compression of curated erythrocyte images using deep autoencoders for malaria infection diagnosis, 2016 Picture Coding Symposium (PCS). IEEE, pp. 1-5, (2016); Hinton G.E., Salakhutdinov R.R., Reducing the dimensionality of data with neural networks, Science, 313, 5786, pp. 504-507, (2006); Bengio Y., Lamblin P., Popovici D., Larochelle H., Greedy layerwise training of deep networks, Advances in Neural Information Processing Systems, pp. 153-160, (2007); Thompson J.R., Some shrinkage techniques for estimating the mean, Journal of the American Statistical Association, 63, 321, pp. 113-122, (1968); Mishra D., Singh S.K., Singh R.K., Wavelet-based deep auto encoder-decoder (wdaed) based image compression, IEEE Trans. On Circuits and Systems for Video Technology, pp. 1-1, (2020); Salomon D., Data Compression: The Complete Reference, (2004); Wang Z., Simoncelli E.P., Bovik A.C., Multiscale structural similarity for image quality assessment, The Thrity-Seventh Asilomar Conference on Signals, Systems &amp; Computers, 2, pp. 1398-1402, (2003); Hassan M., Bhagvati C., Structural similarity measure for color images, International Journal of Computer Applications, 43, 14, pp. 7-12, (2012); Hassan M.A., Bashraheel M.S., Color-based structural similarity image quality assessment, 2017 8th International Conference on Information Technology (ICIT). IEEE, pp. 691-696, (2017)</t>
  </si>
  <si>
    <t xml:space="preserve">27 November 2020 through 29 November 2020</t>
  </si>
  <si>
    <t xml:space="preserve">Prayagraj, Uttar Pradesh</t>
  </si>
  <si>
    <t xml:space="preserve">978-073811151-3</t>
  </si>
  <si>
    <t xml:space="preserve">IEEE Uttar Pradesh Sect. Int. Conf. Electr., Electron. Comput. Eng., UPCON</t>
  </si>
  <si>
    <t xml:space="preserve">2-s2.0-85103685348</t>
  </si>
  <si>
    <t xml:space="preserve">Shekar G.; Revathy S.; Goud E.K.</t>
  </si>
  <si>
    <t xml:space="preserve">Shekar, Gautham (57201742127); Revathy, S. (54914992500); Goud, Ediga Karthick (57218676236)</t>
  </si>
  <si>
    <t xml:space="preserve">57201742127; 54914992500; 57218676236</t>
  </si>
  <si>
    <t xml:space="preserve">Malaria Detection using Deep Learning</t>
  </si>
  <si>
    <t xml:space="preserve">Malaria is the deadliest disease in the earth and big hectic work for the health department. The traditional way of diagnosing malaria is by schematic examining blood smears of human beings for parasite-infected red blood cells under the microscope by lab or qualified technicians. This process is inefficient and the diagnosis depends on the experience and well knowledgeable person needed for the examination. Deep Learning algorithms have been applied to malaria blood smears for diagnosis before. However, practical performance has not been sufficient so far. This paper proposes a new and highly robust machine learning model based on a convolutional neural network (CNN) which automatically classifies and predicts infected cells in thin blood smears on standard microscope slides. A ten-fold cross-validation layer of the convolutional neural network on 27,558 single-cell images is used to understand the parameter of the cell. Three types of CNN models are compared based on their accuracy and select the precise accurate - Basic CNN, VGG-19 Frozen CNN, and VGG-19 Fine Tuned CNN. Then by comparing the accuracy of the three models, the model with a higher rate of accuracy is acquired. © 2020 IEEE.</t>
  </si>
  <si>
    <t xml:space="preserve">Proceedings of the 4th International Conference on Trends in Electronics and Informatics, ICOEI 2020</t>
  </si>
  <si>
    <t xml:space="preserve">10.1109/ICOEI48184.2020.9143023</t>
  </si>
  <si>
    <t xml:space="preserve">https://www.scopus.com/inward/record.uri?eid=2-s2.0-85089960273&amp;doi=10.1109%2fICOEI48184.2020.9143023&amp;partnerID=40&amp;md5=49a55f15ff1ab8c84d4a95aafdd85a84</t>
  </si>
  <si>
    <t xml:space="preserve">Sathyabama Institute of Science and Technology, Department of Information Technology, Chennai, India</t>
  </si>
  <si>
    <t xml:space="preserve">Shekar G., Sathyabama Institute of Science and Technology, Department of Information Technology, Chennai, India; Revathy S., Sathyabama Institute of Science and Technology, Department of Information Technology, Chennai, India; Goud E.K., Sathyabama Institute of Science and Technology, Department of Information Technology, Chennai, India</t>
  </si>
  <si>
    <t xml:space="preserve">F-beta; F1 Score; Mathew correlation; SIANN; Softmax; Specificity; VGG</t>
  </si>
  <si>
    <t xml:space="preserve">Blood; Cells; Convolution; Convolutional neural networks; Cytology; Diagnosis; Diseases; Learning algorithms; Multilayer neural networks; Blood smears; Cross validation; Infected cells; Machine learning models; Microscope slide; Red blood cell; Single cells; Three models; Deep learning</t>
  </si>
  <si>
    <t xml:space="preserve">Liu S., Deng W., Very deep convolutional neural network based image classification using small training sample size, 2015 3rd IAPR Asian Conference on Pattern Recognition (ACPR); Hatami N., Gavet Y., Debayale J., Classification of time-series images using deep convolutional neural network, Tenth International Conference on Machine Vision (ICMV 2017); Ross N.E., Pitchard C.J., Rubin D.M., Duse A.G., Automated image processing method for the diagnosis and classification of malaria on thin blood smears, IEEE, 44; Khatri K.M., Ratnaparkhe V.R., Agarwal S.S., Bhalchandra A.S., Image processing approach for malarial parasite identification, International Journal of Computer Application (IJCA); Makkapati V.V., Rao R.M., Segmentation of malarial parasites in peripheral blood smear images, IEEE International Conference on Acoustics, Speech and Signal Processing; Dallet C., Kareem S., Kale I., Real time blood image processing application for malaria diagnosis using mobile phones, IEEE International Symposium on Circuits and Systems (ISCAS); Liang Z., Powell A., Ersoy I., Poostchi M., Silmaut K., Palani K., Cnn-based image analysis for malaria diagnosis, IEEE International Conference on Bioinformatics and Biomedicine (BIBM); Dong Y., Jiang Z., Shen H., David Pan W., Williams L.A., Reddy B.V.V., Evaluations of deep convolutional neural network for automatic identification of malaria infected cells, IEEE EMBS International Conference on Biomedical &amp; Health Informatics (BHI); Pillai Gopakumar G., Swetha M., Sai Siva G., Convolutional neural network-based malaria diagnosis from stack of blood smear images acquired using custom-built slide scanner, Journal of Biophontics, 11, 3; Gascoyne P., Satayavivad J., Ruchirawat M., Microfludic approaches to malaria detection, ActaTropica, 89, 3; Vadavalli A., Subhashini R., Deep learning based truth discovery algorithm for research the genuineness of given text corpus, International Journal of Recent Technology and Engineering, (2019); Subhashini R., Nithin T.N.R., Koushik U.M.S., Diabetic retinopathy detection using image processing (gui), International Journal of Recent Technology and Engineering, (2019); Madhu Keerthana Y., Jinila B., A review on rough set t heory in medical images, Research Journal of Pharmaceutical, Biological and Chemical Sciences, 7, 1, pp. 815-822, (2016); Revathy S., Bharathi B., Jeyanthi P., Ramesh M., Chronic kidney disease prediction using machine learning models, International Journal of Engineering and Advanced Technology (IJEAT), 9, 1, (2019); Subramanion R., Parvathavarthini B., Decision theoretic evaluation of rough fuzzy clustering, Arab Gulf Journal of Scientific Research, 32, (2014)</t>
  </si>
  <si>
    <t xml:space="preserve">4th International Conference on Trends in Electronics and Informatics, ICOEI 2020</t>
  </si>
  <si>
    <t xml:space="preserve">978-172815518-0</t>
  </si>
  <si>
    <t xml:space="preserve">Proc. Int. Conf. Trends Electron. Informatics, ICOEI</t>
  </si>
  <si>
    <t xml:space="preserve">2-s2.0-85089960273</t>
  </si>
  <si>
    <t xml:space="preserve">Shah D.; Kawale K.; Shah M.; Randive S.; Mapari R.</t>
  </si>
  <si>
    <t xml:space="preserve">Shah, Divyansh (57217632648); Kawale, Khushbu (57217631801); Shah, Masumi (57217633381); Randive, Santosh (57190404830); Mapari, Rahul (49961914900)</t>
  </si>
  <si>
    <t xml:space="preserve">57217632648; 57217631801; 57217633381; 57190404830; 49961914900</t>
  </si>
  <si>
    <t xml:space="preserve">Malaria Parasite Detection Using Deep Learning: (Beneficial to humankind)</t>
  </si>
  <si>
    <t xml:space="preserve">Malaria is one of the deadliest diseases across the globe. This is caused by the bite of female Anopheles mosquito that transmits the Plasmodium parasites. Some current malaria detection techniques include manual microscopic examination and RDT. These approaches are vulnerable to human mistakes. Early detection of malaria can help in reducing the death rates across the globe. Deep Learning can emerge as a highly beneficial solution in the diagnosis of disease. This model gives a faster and cheaper method for detecting plasmodium parasites. The custom convolutional neural network is primarily designed to distinguish between healthy and infected blood samples. The proposed model consists of three convolutional layers and fully connected layers each. The neural network presented is a cascade of several convolutional layers having multiple filters present in layers, which yields the exceptionally good accuracy as per the available resources. The model is trained and later several blood sample images are fed to test the accuracy of the designed system. The CNN classifier has performed exceptionally well under limited computational resources giving an accuracy of 95%. Blood smear sample analysis can also aid in the detection of certain other illnesses and the application of deep learning models will help in the greater good of humankind. © 2020 IEEE.</t>
  </si>
  <si>
    <t xml:space="preserve">Proceedings of the International Conference on Intelligent Computing and Control Systems, ICICCS 2020</t>
  </si>
  <si>
    <t xml:space="preserve">10.1109/ICICCS48265.2020.9121073</t>
  </si>
  <si>
    <t xml:space="preserve">https://www.scopus.com/inward/record.uri?eid=2-s2.0-85087437903&amp;doi=10.1109%2fICICCS48265.2020.9121073&amp;partnerID=40&amp;md5=4e14ac39e2a689c74558d1ce29a9eff3</t>
  </si>
  <si>
    <t xml:space="preserve">Pimpri Chinchwad College of Engineering and Research, Electronics and Telecommunication Department, Pune, India</t>
  </si>
  <si>
    <t xml:space="preserve">Shah D., Pimpri Chinchwad College of Engineering and Research, Electronics and Telecommunication Department, Pune, India; Kawale K., Pimpri Chinchwad College of Engineering and Research, Electronics and Telecommunication Department, Pune, India; Shah M., Pimpri Chinchwad College of Engineering and Research, Electronics and Telecommunication Department, Pune, India; Randive S., Pimpri Chinchwad College of Engineering and Research, Electronics and Telecommunication Department, Pune, India; Mapari R., Pimpri Chinchwad College of Engineering and Research, Electronics and Telecommunication Department, Pune, India</t>
  </si>
  <si>
    <t xml:space="preserve">blood smear; classifier; convolutional neural network; deep learning; Malaria; plasmodium</t>
  </si>
  <si>
    <t xml:space="preserve">Blood; Control systems; Convolution; Convolutional neural networks; Diagnosis; Diseases; Intelligent computing; Man machine systems; Multilayer neural networks; Anopheles mosquitoes; Blood samples; Blood smears; Computational resources; Learning models; Malaria parasite; Plasmodium parasites; Sample analysis; Deep learning</t>
  </si>
  <si>
    <t xml:space="preserve">World Malaria Report 2019, (2019); Centers for Disease Control and Prevention, (2012); Roy K., Sharmin S., Mukta R.B.M., Sen A., Detection of malaria parasite in giemsa blood sample using image processing, International Journal of Computer Science and Information Technology, 10, 1, pp. 55-65, (2018); Schmidhuber J., Deep learning in neural networks: An overview, Neural Networks, 61, pp. 85-117, (2015); Rajaraman S., Antani S., Poostchi M., Silamut K., Hossain Md., Maude R., Jaeger S., Thoma G., Pre-trained convolutional neural networks as feature extractors toward improved malaria parasite detection in thin blood smear images, PeerJ, 6, (2018); Krizhevsky A., Sutskever I., Hinton G., Imagenet classification with deep convolutional neural networks, Advances in Neural Information Processing Systems, (2012); Szegedy C., Et al., Going Deeper with Convolutions, (2014); Simonyan K., Zisserman A., Very Deep Convolutional Networks for Large-Scale Image Recognition, (2014); He K., Zhang X., Ren S., Sun J., Deep residual learning for image recognition, 2016 IEEE Co Nference on Computer Vision and Pattern Recognition (CVPR), pp. 770-778, (2016); Chollet F., Xception: Deep Learning with Depthwise Separable Convolutions, (2017); Deng J., Dong W., Socher R., Li L., Li K., Fei-Fei L., Imagenet: A large-scale hierarchical image database, 2009 IEEE Conference on Computer Vision and Pattern Recognition, pp. 248-255, (2009); Huang G., Liu Z., Vander Maaten L., Weinberger K., Densely Connected Convolutional Networks, (2018); Razavian A.S., Azizpour H., Sullivan J., Carlsson S., Cnn features off-the-shelf: An astounding baseline for recognition, 2014 IEEE Conference on Computer Vision and Pattern Recognition Workshops, pp. 512-519, (2014); Bousetouane F., Morris B., Off-the-shelf CNN features for fine-grained classification of vessels in a maritime environment, Advances in Visual Computing. Lecture Notes in Computer Science, 9475, pp. 379-388, (2015); Rajaraman S., Antani S., Xue Z., Candemir S., Jaeger S., Visualizing abnormalities in chest radiographs through salient network activations in deep learning, 2017 IEEE Life Sciences Conference (LSC), pp. 71-74, (2017); Dong Y., Jiang Z., Shen H., David Pan W., Williams L.A., Reddy V.V.B., Benjamin W.H., Bryan A.W., Evaluations of deep convolutional neural networks for automatic identification of malaria infected cells, 2017 IEEE EMBS International Conference on Biomedical &amp; Health Informatics (BHI), (2017); Liang Z., Powell A., Ersoy I., Poostchi M., Silamut K., Palaniappan K., Guo P., Ma H., Sameer A., Maude R.J., Huang J.X., Jaeger S., Thoma G., Cnn-based image analysis for malaria diagnosis, Proceedings-2016 IEEE International Conference on Bioinformatics and Biomedicine (BIBM), (2017); Gopakumar G.P., Swetha M., Sai Siva G., Sai Subrahmanyam G.R.K., Convolutional neural network-based malaria diagnosis from focus stack of blood smear images acquired using custom-built slide scanner, Journal of Biophotonics, 11, 3, (2018)</t>
  </si>
  <si>
    <t xml:space="preserve">2020 International Conference on Intelligent Computing and Control Systems, ICICCS 2020</t>
  </si>
  <si>
    <t xml:space="preserve">13 May 2020 through 15 May 2020</t>
  </si>
  <si>
    <t xml:space="preserve">978-172814876-2</t>
  </si>
  <si>
    <t xml:space="preserve">2-s2.0-85087437903</t>
  </si>
  <si>
    <t xml:space="preserve">El Hachimi C.; Aaroud A.</t>
  </si>
  <si>
    <t xml:space="preserve">El Hachimi, Chouaib (57214149174); Aaroud, Abdessadek (8708807400)</t>
  </si>
  <si>
    <t xml:space="preserve">57214149174; 8708807400</t>
  </si>
  <si>
    <t xml:space="preserve">Medical use of deep learning: Malaria testing using pre-trained ResNet</t>
  </si>
  <si>
    <t xml:space="preserve">Malaria is a contagious blood disease caused by Plasmodium parasites transmitted by the bite of an anopheles female mosquito, or in some case by humans. Malaria Test can be done ether using microscope or by Rapid Test. The first method is very accurate but time-consuming because it needs the intervention of human. On the other hand the second one is very fast but not accurate. Several works have contributed to this subject to combine the two criteria using Artificial Intelligence techniques. Our solution is based on the Deep Learning, it uses a Residual Neural Network Model applied to labeled images taken by a microscope and classified by the healthcare experts (Supervised Learning), the data set used is proposed by NIH (National Institutes of Health). In this study, we evaluate the performance of the ResNet model as a classifier. The validation of the results demonstrates the compromises: model size, training time and accuracy. We have used our model after, to build a desktop GUI application and a Web Service architecture that will automate the Malaria test process and help healthcare agents, doctors or normal person for a final goal of saving thousands of lives. © Springer Nature Switzerland AG 2020.</t>
  </si>
  <si>
    <t xml:space="preserve">1103 AISC</t>
  </si>
  <si>
    <t xml:space="preserve">10.1007/978-3-030-36664-3_31</t>
  </si>
  <si>
    <t xml:space="preserve">https://www.scopus.com/inward/record.uri?eid=2-s2.0-85080864592&amp;doi=10.1007%2f978-3-030-36664-3_31&amp;partnerID=40&amp;md5=7c552b8cb7f154904126344d8c2d1bf1</t>
  </si>
  <si>
    <t xml:space="preserve">Laboratory (LAROSERI), Computer Science Department, Chouaïb Doukkali University, El Jadida, Morocco</t>
  </si>
  <si>
    <t xml:space="preserve">El Hachimi C., Laboratory (LAROSERI), Computer Science Department, Chouaïb Doukkali University, El Jadida, Morocco; Aaroud A., Laboratory (LAROSERI), Computer Science Department, Chouaïb Doukkali University, El Jadida, Morocco</t>
  </si>
  <si>
    <t xml:space="preserve">Deep Learning; HealthCare; Malaria; ResNet; Web services</t>
  </si>
  <si>
    <t xml:space="preserve">Diseases; Health care; Intelligent systems; Planning; Sustainable development; Testing; Web services; Websites; Artificial intelligence techniques; GUI applications; Malaria; National Institutes of Health; Neural network model; Plasmodium parasites; ResNet; Web service architecture; Deep learning</t>
  </si>
  <si>
    <t xml:space="preserve">Bibin D., Nair M.S., Punitha P., Malaria parasite detection from peripheral blood smear images using deep belief networks, IEEE Access, 5, pp. 9099-9108, (2017); Centers for Disease Control and Prevention. CDC Malaria, (2012); Das D.K., Ghosh M., Pal M., Maiti A.K., Chakraborty C., Machine Learning Approach for Automated Screening of Malaria Parasite Using Light Microscopic Images, (2013); Dong Y., Jiang Z., Shen H., David Pan W., Williams L.A., Reddy V.V.B., Benjamin W.H., Bryan A.W., Evaluations of deep convolutional neural networks for automatic identification of malaria infected cells, 2017 IEEE EMBS International Conference on Biomedical and Health Informatics, BHI 2017, Piscataway. IEEE, (2017); Hawkes M., Katsuva J., Masumbuko C., Use and limitations of malaria rapid diagnostic testing by community health workers in wartorn Democratic Republic of Congo, Malaria J, 8, 1, (2009); Liang Z., Powell A., Ersoy I., Poostchi M., Silamut K., Palaniappan K., Guo P., Hossain M.A., Sameer A., Maude R.J., Huang J.X., Jaeger S., Thoma G., CNN-based image analysis for malaria diagnosis, Proceedings of 2016 IEEE International Conference on Bioinformatics and Biomedicine, BIBM 2016, Piscataway. IEEE, (2017); Poostchi M., Silamut K., Maude R.J., Jaeger S., Thoma G.R., Image analysis and machine learning for detecting malaria, Transl. Res., 8, pp. 36-55, (2018); Ross N.E., Pritchard C.J., Rubin D.M., Duse A.G., Automated image processing method for the diagnosis and classification of malaria on thin blood smears, Med. Biol. Eng. Comput., 44, 5, pp. 427-436, (2006); He K., Zhang X., Ren S., Sun J., Deep Residual Learning for Image Recognition Equipe De Recharche Chez Microsoft</t>
  </si>
  <si>
    <t xml:space="preserve">C. El Hachimi; Laboratory (LAROSERI), Computer Science Department, Chouaïb Doukkali University, El Jadida, Morocco; email: elhachimi.ch@gmail.com</t>
  </si>
  <si>
    <t xml:space="preserve">Ezziyyani M.</t>
  </si>
  <si>
    <t xml:space="preserve">2nd International Conference on Advanced Intelligent Systems for Sustainable Development, AI2SD 2019</t>
  </si>
  <si>
    <t xml:space="preserve">8 July 2019 through 11 July 2019</t>
  </si>
  <si>
    <t xml:space="preserve">Marrakech</t>
  </si>
  <si>
    <t xml:space="preserve">978-303036663-6</t>
  </si>
  <si>
    <t xml:space="preserve">2-s2.0-85080864592</t>
  </si>
  <si>
    <t xml:space="preserve">Damayanti A.; Hidayati N.L.; Pratiwi A.B.</t>
  </si>
  <si>
    <t xml:space="preserve">Damayanti, A. (56023999600); Hidayati, N.L. (58427202500); Pratiwi, A.B. (57193878663)</t>
  </si>
  <si>
    <t xml:space="preserve">56023999600; 58427202500; 57193878663</t>
  </si>
  <si>
    <t xml:space="preserve">Model identification for prediction of dengue fever disease spreading using Bat Algorithm and backpropagation</t>
  </si>
  <si>
    <t xml:space="preserve">Dengue fever disease is one of the public health problems in Indonesia growing rapidly and spreading widely. Dengue fever disease is caused by the dengue virus. The virus is spread by species mosquito Aides Aegypti and Aedes Alboctipus as primer vector as well as Aedes polynesiensis, Aedes scutellaris and AE (Finlaya) niveus as secondary vector. According to data from WHO, Pacific Asean bore 75 percent from dengue burden in the world during 2004 and 2010, while Indonesia is reported as the biggest second country with dengue fever disease cases between 30 endemic countries. One way to have a better understanding of the problem is by identifying the model based on the known data and do prediction. It is expected that the government would take action based on the prediction result. To solve this problem, the researcher using Bat Algorithm and artificial neural network backpropagation. In order to solve this problem. This paper purposes Bat Algorithm and Artificial Neural Network-Backpropagation to identify the spreading model. The purpose of the identification system using neural network backpropagation is to identify the ODE model of spreading dengue fever disease based on actual data. The first process is the estimation of parameters model using bat algorithm, with inquiring for a numeric solution from the ODE model spread of dengue fever disease as an objective function. The second process is model identification using artificial neural networks and the last, prediction of dengue fever spreading. T Based on the simulation result using dengue fever disease data start from January 2013 until December 2017 the MSE is 0.008 for identification process and 0,1728 for prediction process whereas The MSE value in validation process result is 0.1089 for identification process and 0.1617 for prediction process. © Published under licence by IOP Publishing Ltd.</t>
  </si>
  <si>
    <t xml:space="preserve">Institute of Physics Publishing</t>
  </si>
  <si>
    <t xml:space="preserve">10.1088/1742-6596/1494/1/012002</t>
  </si>
  <si>
    <t xml:space="preserve">https://www.scopus.com/inward/record.uri?eid=2-s2.0-85086360117&amp;doi=10.1088%2f1742-6596%2f1494%2f1%2f012002&amp;partnerID=40&amp;md5=5789c0aae4d966b6edc96041b5bc343d</t>
  </si>
  <si>
    <t xml:space="preserve">Department of Mathematics, Faculty of Science and Technology, Universitas Airlangga, Surabaya, Indonesia</t>
  </si>
  <si>
    <t xml:space="preserve">Damayanti A., Department of Mathematics, Faculty of Science and Technology, Universitas Airlangga, Surabaya, Indonesia; Hidayati N.L., Department of Mathematics, Faculty of Science and Technology, Universitas Airlangga, Surabaya, Indonesia; Pratiwi A.B., Department of Mathematics, Faculty of Science and Technology, Universitas Airlangga, Surabaya, Indonesia</t>
  </si>
  <si>
    <t xml:space="preserve">Backpropagation; Neural networks; Ordinary differential equations; Viruses; Disease spreading; Estimation of parameters; Identification process; Model identification; Numeric solutions; Objective functions; Prediction process; Validation process; Forecasting</t>
  </si>
  <si>
    <t xml:space="preserve">Fausett L., Fundamentals of Neural Networks, (1994); Foss T., A Simulation Study of the Model Evaluation Criterion MMRE, IEEE Transactions on Software Engineering, 29, 11, pp. 985-995, (2003); Janczak A., Identification of Nonlinear Systems Using Neural Networks and Polynomial Models, 310, (2005); Pandey A., Mubayi A., Medlock J., Comparing vector host and SIR Models for Dengue Transmission, Math Biosci., 246, 2, pp. 252-259, (2013); Prasetyo E., Data Mining Konsep Dan Aplikasi Menggunakan Matlab, (2012); Siang J., Jaringan Syaraf Tiruan Dan Pemrograman Menggunakan Matlab, (2005); Sun Z.L., Choi T.M., Au K.F., Yu Y., Sales Prediction using Extreme Learning Machine with Application in Fashion Retailing, Decision Support System, 46, 1, pp. 411-419, (2008); Timmreck T.C., An Introduction to Epidemiology Third Edition, (2002); Yang X.S., Nature Inspired Cooperative Strategies for Optimization (NICSO 2010), 284, pp. 65-74, (2010); Yang X.S., Nature Inspired Algorithms and Appliend Optimization, 744, (2018); Yoeyoen K.T.W., Infodatin Penyakit Demam Berdarah, (2017)</t>
  </si>
  <si>
    <t xml:space="preserve">Soedirman''s International Conference on Mathematics and Applied Sciences 2019, SICoMAS 2019</t>
  </si>
  <si>
    <t xml:space="preserve">23 October 2019 through 24 October 2019</t>
  </si>
  <si>
    <t xml:space="preserve">Purwokerto</t>
  </si>
  <si>
    <t xml:space="preserve">2-s2.0-85086360117</t>
  </si>
  <si>
    <t xml:space="preserve">Saifuzzaman T.A.; Lee K.Y.; Radzol A.R.M.; Wong P.S.; Looi I.</t>
  </si>
  <si>
    <t xml:space="preserve">Saifuzzaman, T.A. (57219012021); Lee, Khuan. Y. (57204619800); Radzol, A.R.M. (55232461000); Wong, P.S. (58332589700); Looi, I. (57222642532)</t>
  </si>
  <si>
    <t xml:space="preserve">57219012021; 57204619800; 55232461000; 58332589700; 57222642532</t>
  </si>
  <si>
    <t xml:space="preserve">Optimal Scree-CNN for Detecting NS1 Molecular Fingerprint from Salivary SERS Spectra</t>
  </si>
  <si>
    <t xml:space="preserve">Dengue fever (DF) is a viral infection with possible fatal consequence. NS1 is a recent antigen based biomarker for dengue fever (DF), as an alternative to current serum and antibody based biomarkers. Convolutional Neural Network (CNN) has demonstrated impressive performance in machine learning problems. Our previous research has captured NS1 molecular fingerprint in saliva using Surface Enhanced Raman Spectroscopy (SERS) with great potential as an early, noninvasive detection method. SERS is an enhanced variant of Raman spectroscopy, with extremely high amplification that enables spectra of low concentration matter, such as NS1 in saliva, readable. The spectrum contains 1801 features per sample, at a total of 284 samples. Principal Component Analysis (PCA) transforms high dimensional correlated signal to a lower dimension uncorrelated principal components (PCs), at no sacrifice of the original signal content. This paper aims to unravel an optimal Scree-CNN model for classification of salivary NS1 SERS spectra. Performances of a total of 490 classifier models were examined and compared in terms of performance indicators [accuracy, sensitivity, specificity, precision, kappa] against a WHO recommended clinical standard test for DF, enzyme-linked immunosorbent assay (ELISA). Effects of CNN parameters on performances of the classifier models were also observed. Results showed that Scree-CNN classifier model with learning rate of 0.01, mini-batch size of 64 and validation frequency of 50, reported an across-the-board 100% for all performance indicators. © 2020 IEEE.</t>
  </si>
  <si>
    <t xml:space="preserve">10.1109/EMBC44109.2020.9176003</t>
  </si>
  <si>
    <t xml:space="preserve">https://www.scopus.com/inward/record.uri?eid=2-s2.0-85091039639&amp;doi=10.1109%2fEMBC44109.2020.9176003&amp;partnerID=40&amp;md5=7bbcdc2432c5796ee2cd04b7fff13b98</t>
  </si>
  <si>
    <t xml:space="preserve">UiTM, Faculty of Electrical Engineering, Selangor, Malaysia; Hospital Pulau Pinang, Infectious Disease Unit, Malaysia; Hospital Seberang Jaya, Infectious Disease Unit, Malaysia</t>
  </si>
  <si>
    <t xml:space="preserve">Saifuzzaman T.A., UiTM, Faculty of Electrical Engineering, Selangor, Malaysia; Lee K.Y., UiTM, Faculty of Electrical Engineering, Selangor, Malaysia; Radzol A.R.M., UiTM, Faculty of Electrical Engineering, Selangor, Malaysia; Wong P.S., Hospital Pulau Pinang, Infectious Disease Unit, Malaysia; Looi I., Hospital Seberang Jaya, Infectious Disease Unit, Malaysia</t>
  </si>
  <si>
    <t xml:space="preserve">Benchmarking; Biomarkers; Biomedical signal processing; Convolutional neural networks; Palmprint recognition; Raman spectroscopy; Correlated signals; Enzyme linked immunosorbent assay; Machine learning problem; Molecular fingerprint; Non-invasive detection; Performance indicators; Principal Components; Surface enhanced Raman spectroscopy; Learning systems</t>
  </si>
  <si>
    <t xml:space="preserve">Velayudhan R., Global Strategy for Dengue Prevention and Control 2012-2020, (2009); Brady O.J., Et al., Refining the global spatial limits of dengue virus transmission by evidence-based consensus, PLoS Negl. Trop. Dis, 6, 8, (2012); Malavige G.N., Fernando S., Fernando D.J., Seneviratne S.L., Dengue viral infections, Postgrad. Med. J, 80, 948, pp. 588-601, (2004); Dengue Guidelines for Diagnosis, Treatment, Prevention and Control: New Edition, (2009); Chien Y.W., Et al., Prolonged persistence of igm against dengue virus detected by commonly used commercial assays, BMC Infect. Dis, 18, 1, pp. 1-7, (2018); Almehmadi L.M., Curley S.M., Tokranova N.A., Tenenbaum S.A., Lednev I.K., Surface enhanced raman spectroscopy for single molecule protein detection, Sci. Rep, 9, 1, pp. 1-9, (2019); Sur U.K., Surface-enhanced raman scattering, Resonance, 15, 2, pp. 154-164, (2010); Jiang R., Plasmonic Nanostructures for Surface-Enhanced Raman Spectroscopy, 2014, pp. 1-2, (2014); Radzol A.R.M., Lee K.Y., Mansor W., Raman molecular fingerprint of non-structural protein 1 in phosphate buffer saline with gold substrate, Proc. Annu. Int. Conf. IEEE Eng. Med. Biol. Soc., pp. 1438-1441, (2013); Martens W., Frost R.L., Kloprogge J.T., Williams P.A., Raman spectroscopic study of the basic copper sulphates-implications for copper corrosion and bronze disease, J. Raman Spectrosc, 34, pp. 145-151, (2003); Mishra D.S.P., Sarkar U., Taraphder S., Datta S., Swain S.P., Saikhom R., Laishram M., Multivariate statistical data analysis principal component analysis (PCA), Int. J. Livest. Res, 7, 5, pp. 2936-2942, (2017); Gupta V., Singh R., Singh G., Singh R., Singh H., An introduction to principal component analysis and its importance in biomedical signal processing, Proc. 2011 Int. Conf. Life Sci. Technol. IPCBEE, 3, pp. 29-33, (2011); Li X., Yang T., Wang R., Wen W., Samples A.S., Surface enhanced raman spectrum of saliva for detection of lung cancer, Proc. IEEE International Symposium on IT in Medicine and Education, pp. 688-690, (2011); Mahadevan-Jansen A., Richards-Kortum R., Raman spectroscopy for cancer detection: A review, Proc. 19th Annual International Conference of the IEEE Engineering in Medicine and Biology Society, pp. 2722-2728, (1997); Cao G., Et al., A potential method for non-invasive acute myocardial infarction detection based on saliva raman spectroscopy and multivariate analysis, Laser Phys. Lett, 12, pp. 1-6, (2015); Paraskevaidi M., Morais C.L.M., Lima K.M.G., Snowden J.S., Saxon J.A., Differential diagnosis of Alzheimer's disease using spectrochemical analysis of blood, Proc. National Academy of Sciences of the United States of America, pp. E7929-E7938, (2017); Uevara E.D.G., Et al., Use of raman spectroscopy to screen diabetes mellitus with machine learning tools, Biomed. Opt. Express, 9, pp. 4998-5010, (2018); Radzol A.R.M., Lee K.Y., Mansor W., Othman N.H., Principal component analysis for detection of ns1 molecules from raman spectra of saliva, Proc. 2015 IEEE 11th International Colloquium on Signal Processing and Its Applications, pp. 168-173, (2015); Yaseen A.F., A survey on the layers of convolutional neural networks, Int. J. Comput. Sci. Mob. Comput, 7, 12, pp. 191-196, (2018); Liu T., Fang S., Zhao Y., Wang P., Zhang J., Implementation of Training Convolutional Neural Networks, (2015); Ragab D., Sharkas M., Marshall S., Ren J., Breast cancer detection using deep convolutional neural networks and support vector machines, Peer J, 7, (2019); Jain R., Jain N., Aggarwal A., Hemanth D.J., Convolutional neural network based Alzheimer's disease classification from magnetic resonance brain images, Cognitive Systems Research, 57, pp. 147-159, (2019); Keel S., Wu J., Lee P.Y., Scheetz J., He M., Visualizing deep learning models for the detection of referable diabetic retinopathy and glaucoma, JAMA Ophthalmology, 137, 3, (2019); Sellami A., Hwang H., A robust deep convolutional neural network with batch-weighted loss for heartbeat classification, Expert Systems with Applications, 122, pp. 75-84, (2019); Zhang H., Li W., Wang J., Peng H., Che X., Chen X., Zhou Y., Ns1-based tests with diagnostic utility for confirming dengue infection: A meta-analysis, Int. J. Infect. Dis, 26, pp. 57-66, (2014); Blacksell S.D., Jarman R.G., Bailey M.S., Tanganu Chitcharnchai A., Et al., Evaluation of six commercial point-of care tests for diagnosis of acute dengue infections: The need for combining ns1 antigen and igm/igg antibody detection to achieve acceptable levels of accuracy, Clin. Vaccine Immunol, 18, 12, pp. 2095-2101, (2011); Karamizadeh S., Abdullah S.M., Manaf A.A., Zamani M., Hooman A., An overview of principal component analysis, J. Signal Inf. Process, 4, 3, pp. 173-175, (2013); Ledesma R.D., Valero-Mora P., Macbeth G., The scree test and the number of factors: A dynamic graphics approach, Span. J. Psychol, 18, (2015); Albawi S., Mohammed T.A., Al-Zawi S., Understanding of a convolutional neural network, Proc. 2017 Int. Conf. Eng. Technol. (ICET 2017), pp. 1-6, (2018); Indolia S., Goswami A.K., Mishra S.P., Asopa P., Conceptual understanding of convolutional neural network-a deep learning approach, Procedia Comput. Sci, 132, pp. 679-688, (2018); Navazesh M., Methods for collecting saliva, Ann. N. Y. Acad. Sci, 694, 1, pp. 72-77, (1993); Radzol A.R.M., Lee K.Y., Mansor W., Azman A., Optimization of savitzky-golay smoothing filter for salivary surface enhanced raman spectra of non-structural protein 1, Proc. TENCON 2014, pp. 1-6, (2014); Prie Y., Et al., Neural network toolbox user's guide, MathWorks, pp. 2-3, (2015)</t>
  </si>
  <si>
    <t xml:space="preserve">42nd Annual International Conferences of the IEEE Engineering in Medicine and Biology Society, EMBC 2020</t>
  </si>
  <si>
    <t xml:space="preserve">20 July 2020 through 24 July 2020</t>
  </si>
  <si>
    <t xml:space="preserve">Montreal</t>
  </si>
  <si>
    <t xml:space="preserve">978-172811990-8</t>
  </si>
  <si>
    <t xml:space="preserve">2-s2.0-85091039639</t>
  </si>
  <si>
    <t xml:space="preserve">Devi S.S.; Herojit Singh N.; Hussain Laskar R.</t>
  </si>
  <si>
    <t xml:space="preserve">Devi, Salam Shuleenda (58489473500); Herojit Singh, Ngangbam (57200287905); Hussain Laskar, Rabul (57210110576)</t>
  </si>
  <si>
    <t xml:space="preserve">58489473500; 57200287905; 57210110576</t>
  </si>
  <si>
    <t xml:space="preserve">Performance Analysis of Various Feature Sets for Malaria-Infected Erythrocyte Detection</t>
  </si>
  <si>
    <t xml:space="preserve">Malaria being prevalent disease in urban areas, demands its accurate and fast diagnosis. Due to malaria infection in human being, the erythrocyte features got distorted. To diagnose these, various techniques have been developed, i.e., machine learning-based system, rapid diagnostic test, quantitative buffy coat, etc. In machine learning, the system performance depends on the feature set and classifier model. In this paper, the analysis of the importance of the feature set on malaria-infected erythrocyte classification has been performed. Further, a classifier model based on ANN-GA has been developed to classify the erythrocyte. The process consists of illumination correction, erythrocyte segmentation, feature extraction with or without feature selection techniques, and classification. Erythrocytes segmentation is done using image binarization with marker-controlled watershed segmentation. The six feature sets (morphological feature, texture and intensity feature) have been evaluated using various classifiers such as support vector machine (SVM), k-nearest neighbor (k-NN), and Naive Bayes to choose the better feature set. From the experimental results, it has been observed that the feature set f6 (combination of morphological, texture and intensity feature ranked with ANOVA) outperforms other feature sets. Further, erythrocyte classification has been performed using ANN-GA with f6 feature set. It may also conclude that the various features such as morphological feature, texture and intensity feature are equally important to detect the malaria-infected erythrocyte. © 2020, Springer Nature Singapore Pte Ltd.</t>
  </si>
  <si>
    <t xml:space="preserve">10.1007/978-981-15-0184-5_24</t>
  </si>
  <si>
    <t xml:space="preserve">https://www.scopus.com/inward/record.uri?eid=2-s2.0-85076849192&amp;doi=10.1007%2f978-981-15-0184-5_24&amp;partnerID=40&amp;md5=a9d863bba729c302ac8a38e9a1ea92c1</t>
  </si>
  <si>
    <t xml:space="preserve">National Institute of Technology Mizoram, Aizawl, Mizoram, India; National Institute of Technology Silchar, Silchar, Assam, India</t>
  </si>
  <si>
    <t xml:space="preserve">Devi S.S., National Institute of Technology Mizoram, Aizawl, Mizoram, India; Herojit Singh N., National Institute of Technology Mizoram, Aizawl, Mizoram, India; Hussain Laskar R., National Institute of Technology Silchar, Silchar, Assam, India</t>
  </si>
  <si>
    <t xml:space="preserve">Erythrocyte; Feature selection; Intensity and texture feature; Malaria; Morphological feature</t>
  </si>
  <si>
    <t xml:space="preserve">Blood; Diagnosis; Diseases; Feature extraction; Image segmentation; Machine learning; Nearest neighbor search; Problem solving; Soft computing; Support vector machines; Textures; Erythrocyte; Illumination correction; Infected erythrocytes; Malaria; Marker-controlled watershed segmentation; Morphological features; Performance analysis; Texture features; Classification (of information)</t>
  </si>
  <si>
    <t xml:space="preserve">Cachar Cancer Hospital and Research Centre; Silchar Medical College and Hospital; National Institute of Technology, Silchar, NITS</t>
  </si>
  <si>
    <t xml:space="preserve">The research work has been done in the Speech and Image Processing Laboratory of NIT Silchar, Assam-788010. For malaria parasite identification and database collection, we would like to express our gratitude to Dr. S. A. Sheikh, Silchar Medical College and Hospital, Assam and Dr. A. Talukdar, Head of the Department, Pathology, Cachar Cancer Hospital and Research Centre, Assam.</t>
  </si>
  <si>
    <t xml:space="preserve">Cuomo M.J., Noel L.B., White D.B., Diagnosing Medical Parasites: A Public Health Officers Guide to Assisting Laboratory and Medical Officers, (2012); Diruberto C., Dempster A., Khan S., Jarra B., Analysis of infected blood cell images using morphological operators, Image Vis. Comput., 20, 2, pp. 133-146, (2002); Nicholas R.E., Charles J.P., David M.R., Adriano G.D., Automated image processing method for the diagnosis and classification of malaria on thin blood smears, Med Biol Eng Comput, 44, 5, pp. 427-436, (2006); Tek F.B., Dempster A.G., Kale I., Parasite detection and identification for automated thin blood film malaria diagnosis, Comput Vis Image Und, 114, 1, pp. 21-32, (2010); Diaz G., Gonzalez F.A., Romero E., A semi-automatic method for quantification and classification of erythrocytes infected with malaria parasites in microscopic images, J. Biomed. Inform., 42, 2, pp. 296-307, (2009); Springl V., Automatic Malaria Diagnosis through Microscopic Imaging, (2009); Das D.K., Ghosh M., Pal M., Maiti A.K., Chakraborty C., Machine learning approach for automated screening of malaria parasite using light microscopic images, Micron, 45, pp. 97-106, (2013); Devi S.S., Sheikh S.A., Laskar R.H., Erythrocyte features for malaria parasite detection in microscopic images of thin blood smear: A review, Int. J. Interact. Multimed Artif. Intel., 4, 2, pp. 35-39, (2016); Devi S.S., Kumar R., Laskar R.H., Recent advances on erythrocyte image segmentation for biomedical applications, Fourth International Conference on Soft Computing for Problem Solving, pp. 353-359, (2015); Devi S.S., Roy A., Singha J., Sheikh S.A., Laskar R.H., Malaria infected erythrocyte classification based on a hybrid classifier using microscopic images of thin blood smear, Multimedia Tools Appl, (2016); Otsu N., A threshold selection method from gray-level histograms, IEEE Trans. Sys. Man and Cyber, 9, 1, pp. 62-66, (1979); Devi S.S., Singha J., Sharma M., Laskar R.H., Erythrocyte segmentation for quantification in microscopic images of thin blood smears, J. Intell. Fuzzy Syst., 32, 4, pp. 2847-2856, (2017); Burges C.J.C., A tutorial on support vector machines for pattern recognition, Data Min. Knowl. Discov., 2, pp. 121-167, (1998); Weinberger K.Q., Saul L.K., Distance metric learning for large margin nearest neighbor classification, J. Mach. Learn Res., 10, pp. 207-244, (2009); Russell S., Norvig P., Artificial Intelligence: a Modern Approach, (2003); Ahmad F., Mat-Isa N.A., Hussain Z., Boudville R., Osman M.K., Genetic algorithm-artificial neural network (GA-ANN) hybrid intelligence for cancer diagnosis, 2Nd International Conference on Computational Intelligence, Communication Systems and Networks, pp. 78-83, (2010)</t>
  </si>
  <si>
    <t xml:space="preserve">S.S. Devi; National Institute of Technology Mizoram, Aizawl, India; email: shuleenda26@gmail.com</t>
  </si>
  <si>
    <t xml:space="preserve">Das K.N.; Bansal J.C.; Deep K.; Nagar A.K.; Pathipooranam P.; Naidu R.C.</t>
  </si>
  <si>
    <t xml:space="preserve">8th International Conference on Soft Computing for Problem Solving, SocProS 2018</t>
  </si>
  <si>
    <t xml:space="preserve">17 December 2018 through 19 December 2018</t>
  </si>
  <si>
    <t xml:space="preserve">Vellore</t>
  </si>
  <si>
    <t xml:space="preserve">978-981150183-8</t>
  </si>
  <si>
    <t xml:space="preserve">2-s2.0-85076849192</t>
  </si>
  <si>
    <t xml:space="preserve">Fahmi A.; Purwitasari D.; Sumpeno S.; Purnomo M.H.</t>
  </si>
  <si>
    <t xml:space="preserve">Fahmi, Amiq (57211503475); Purwitasari, Diana (23493277700); Sumpeno, Surya (42462707300); Purnomo, Mauridhi Hery (6602604153)</t>
  </si>
  <si>
    <t xml:space="preserve">57211503475; 23493277700; 42462707300; 6602604153</t>
  </si>
  <si>
    <t xml:space="preserve">Performance evaluation of classifiers for predicting infection cases of dengue virus based on clinical diagnosis criteria</t>
  </si>
  <si>
    <t xml:space="preserve">Dengue fever caused by dengue virus infection is a severe health threat that can lead to death. In the medical and health field, to classify data, data mining exploitation and classification methods have an essential role in predicting disease. Two main criteria are crucial to diagnosing dengue virus infection, namely the criteria clinical diagnosis and laboratory diagnosis. Dengue infection based on clinical signs and symptoms, as well as laboratory examinations, is made in three clinical diagnosis criteria, which consist of dengue fever (DF), dengue hemorrhagic fever (DHF), and dengue shock syndrome (DSS). This study was conducted with the primary objective to test and evaluate eight different classification algorithms to find the best algorithm in terms of efficiency and effectiveness. Classification algorithm used to predict dengue virus infection cases into three classes of DF, DHF, and DSS based on the performance of accuracy, precision, and recall. The classification algorithm used in this comparison were Neural Networks (NN), Support Vector Machine (SVM), K-Nearest Neighbor (KNN), Decision Tree, Random Forest, Naïve Bayes, AdaBoost, and Logistic Regression. The dataset called DBDDKK was collected from the Division of Disease Prevention and Control in the Semarang City Health Office, Central Java, Indonesia. Impute missing values, selection relevant feature, and normalize feature conducted in the preprocessing stage resulted in 14,019 records with 16 attributes for each record. Then the data were split into 70% for training data and 30% for testing data. Cross-validation with the number of folds 10 is applied to validate the accuracy during the dataset training process. The result of the comparison shows that the NN algorithm has the best accuracy that was over other algorithms.  © 2020 IEEE.</t>
  </si>
  <si>
    <t xml:space="preserve">IES 2020 - International Electronics Symposium: The Role of Autonomous and Intelligent Systems for Human Life and Comfort</t>
  </si>
  <si>
    <t xml:space="preserve">10.1109/IES50839.2020.9231728</t>
  </si>
  <si>
    <t xml:space="preserve">https://www.scopus.com/inward/record.uri?eid=2-s2.0-85096757342&amp;doi=10.1109%2fIES50839.2020.9231728&amp;partnerID=40&amp;md5=d04de86831b8183dbef2891ada6ac6de</t>
  </si>
  <si>
    <t xml:space="preserve">Institut Teknologi Sepuluh Nopember, Department of Electrical Engineering, Surabaya, Indonesia; Department of Information System, Universitas Dian Nuswantoro, Semarang, Indonesia; Department of Informatics, Institut Teknologi Sepuluh Nopember, Surabaya, Indonesia; Department of Computer Engineering, Institut Teknologi Sepuluh Nopember, Surabaya, Indonesia; University Center of Excellence on Artificial Intelligence for Healthcare and Society (UCE AIHeS), Indonesia</t>
  </si>
  <si>
    <t xml:space="preserve">Fahmi A., Institut Teknologi Sepuluh Nopember, Department of Electrical Engineering, Surabaya, Indonesia, Department of Information System, Universitas Dian Nuswantoro, Semarang, Indonesia; Purwitasari D., Department of Informatics, Institut Teknologi Sepuluh Nopember, Surabaya, Indonesia; Sumpeno S., Department of Computer Engineering, Institut Teknologi Sepuluh Nopember, Surabaya, Indonesia; Purnomo M.H., University Center of Excellence on Artificial Intelligence for Healthcare and Society (UCE AIHeS), Indonesia</t>
  </si>
  <si>
    <t xml:space="preserve">accuracy; classification performance; data mining; dengue virus infection; precision; recall</t>
  </si>
  <si>
    <t xml:space="preserve">Adaptive boosting; Classification (of information); Data mining; Decision trees; Disease control; Forecasting; Health risks; Intelligent systems; Logistic regression; Medical computing; Nearest neighbor search; Support vector machines; Support vector regression; Viruses; Classification algorithm; Classification methods; Clinical diagnosis; Dengue hemorrhagic fever; Disease prevention and controls; K nearest neighbor (KNN); Mining exploitation; Neural network (nn); Diagnosis</t>
  </si>
  <si>
    <t xml:space="preserve">Junxiong P., Yee-Sin L., Clustering, climate and dengue transmission, Expert Rev. Anti Infect. Ther, 13, 6, pp. 731-740, (2015); Katzelnick L.C., Coloma J., Harris E., Dengue: Knowledge gaps, unmet needs, and research priorities, Lancet Infect. Dis, 17, 3, pp. e88-e100, (2017); Kementerian Kesehatan Republik Indonesia Pencegahan Dan Pemberantasan Demam Berdarah Dengue di Indonesia Katalog Dalam Terbitan Kementerian Kesehatan Ri; Kementerian Kesehatan Republik Indonesia, Profil Kesehatan Indonesia Tahun 2018, Katalog Dalam Terbitan, (2019); Dengue: Guidelines for Diagnosis, Treatment, Prevention and Control-New Edition. A joint publication of the World Health Organization, WHO) and the Special Programme for Research and Training in Tropical Diseases TDR, (2009); Hossain M.S., Habib I.B., Andersson K., A Belief Rule Based Expert System to Diagnose Dengue Fever under Uncertainty 2017 Computing Conference, Jul. 2017, pp. 179-186; Waggoner J.J., Et al., Viremia and clinical presentation in Nicaraguan patients infected with Zika virus, chikungunya virus, and dengue virus, Clin. Infect. Dis, pp. 1584-1590, (2016); Gubler D.J., Dengue and Dengue Hemorrhagic Fever, Clin. Microbiol. Rev, 11, 3, pp. 480-496, (1998); Farooqi W., Ali S., Wahab A., Classification of Dengue Fever Using Decision Tree, Vawkum Trans. Comput. Sci, 3, 2, pp. 1522-1522, (2014); Manivannan P., Devi P.I., Dengue fever prediction using Kmeans clustering algorithm, 2017 Ieee International Conference on Intelligent Techniques in Control, Optimization and Signal Processing (INCOS), Mar. 2017, pp. 1-5; Shaufiah B., Siswanto P., Association rule mining for identifying Dengue Hemorrhagic Fever (DHF) and Typhoid Fever (TF) disease with IST-EFP algorithm, 2016 4th International Conference on Information and Communication Technology (ICoICT), May 2016, pp. 1-6; Raval D., Bhatt D., Kumhar M.K., Parikh V., Vyas D., Medical diagnosis system using machine learning, Int. J. Comput. Sci. Commun, 7, 1, pp. 177-182, (2016); Jahangir I., Hannan A.A., Javed S., Prediction of Dengue Disease through Data Mining by using Modified Apriori Algorithm, Proceedings of the 4th Acm International Conference of Computing for Engineering and Sciences, Kuala Lumpur, Malaysia, pp. 1-4, (2018); Sajana T., Navya M., Gayathri Y., Reshma N., Classification of Dengue using Machine Learning Techniques, Int. J. Eng. Technol, 7, 232, pp. 212-218, (2018); Mello-Roman J.D., Mello-Roman J.C., Gomez-Guerrero S., Garcia-Torres M., Predictive Models for the Medical Diagnosis of Dengue: A Case Study in Paraguay, Comput. Math. Methods Med, 2019, pp. 1-7, (2019); Anitha A., Wise D.C.J.W., Forecasting Dengue Fever using Classification Techniques in Data Mining, 2018 International Conference on Smart Systems and Inventive Technology (ICSSIT), Dec. 2018, pp. 398-401; Shaukat Dar K., Ulya Azmeen S.M., Dengue Fever Prediction: A Data Mining Problem, J. Data Min. Genomics Proteomics, 6, 3, pp. 1-5, (2015); Gambhir S., Kumar Y., Malik S.K., Yadav G., Malik A., Early Diagnostics Model for Dengue Disease Using Decision Tree-Based Approaches, pp. 69-87, (2019); Shakil K.A., Anis S., Alam M., Dengue Disease Prediction Using Weka Data Mining Tool, pp. 1-26, (2015); Priyanka N., Ravi Kumar P., Usage of data mining techniques in predicting the heart diseases-Naïve Bayes decision tree, 2017 International Conference on Circuit, Power and Computing Technologies (ICCPCT), Apr. 2017, pp. 1-7; Arafiyah R., Hermin F., Data mining for dengue hemorrhagic fever (DHF) prediction with naive Bayes method, Journal of Physics: Conference Series, 948, pp. 1-5, (2018); Farooqi W., Ali S., A Critical Study of Selected Classification Algorithms for Dengue Fever and Dengue Hemorrhagic Fever, 2013 11th International Conference on Frontiers of Information Technology, pp. 140-145, (2013); Orange Data Mining-License, (2020); Indrayani Y.A., Wahyudi T., Situasi Penyakit Demam Berdarah di Indonesia Tahun 2017, Pusat Data Dan Informasi Kementerian Kesehatan Ri, (2018); Anker M., Arima Y., Male-female differences in the number of reported incident dengue fever cases in six Asian countries, West. Pac. Surveill. Response J. Wpsar, 2, 2, pp. 17-23, (2011); Mahmood T., Et al., Raman spectral analysis for rapid screening of dengue infection, Spectrochim. Acta. A. Mol. Biomol. Spectrosc, 200, pp. 136-142, (2018); Rahmasari F.V., Wijayanti D., Khaerani N., The Correlation between Blood Parameters as Early Detection on Dengue Hemorrhagic Fever (DHF) and Dengue Shock Syndrome (DSS) in Children, Bangladesh J. Med. Sci, 19, 2, pp. 272-277, (2020); Tejaswini O., Aswath S.K.P., Geethika K.R., Brindha G.R., New Feature Selection Process to Enhance Naïve Bayes Classification, 2018 Second International Conference on Electronics, Communication and Aerospace Technology (ICECA), Mar. 2018, pp. 98-101; Chandrashekar G., Sahin F., A survey on feature selection methods, Comput. Electr. Eng, 40, 1, pp. 16-28, (2014); Novakovi J., Toward optimal feature selection using ranking methods and classification algorithms, Yugosl. J. Oper. Res, 21, 1, pp. 119-135, (2016); Mustaffa Z., Yusof Y., A comparison of normalization techniques in predicting dengue outbreak, International Conference on Business and Economics Research, 1, pp. 345-349, (2011); Fathima S., Hundewale N., Comparison of classification techniques-SVM and naives bayes to predict the Arboviral disease-Dengue, 2011 Ieee International Conference on Bioinformatics and Biomedicine Workshops (BIBMW), pp. 538-539, (2011); Fathima A.S., Manimeglai D., Analysis of significant factors for dengue infection prognosis using the random forest classifier, Int J Adv Comput Sci Appl, 6, 2, pp. 240-245, (2015); Fahmi A., Sugiarto E., Winarno A., Sumpeno S., Purnomo M.H., Waqf Lands Assets Classification Based on Productive Value for Business Development Using Naïve Bayes, 2018 International Seminar on Research of Information Technology and Intelligent Systems (ISRITI, pp. 622-626, (2018); Stamp M., Boost Your Knowledge of Adaboost, (2017); Permission S., Generative and Discriminative Classifiers: Naive Bayes and Logistic Regression, pp. 1-17, (2005); Ting K.M., Confusion Matrix, Encyclopedia of Machine Learning and Data Mining, pp. 260-260, (2017)</t>
  </si>
  <si>
    <t xml:space="preserve">Yunanto A.A.; Hermawan H.; Mu'arifin M.; Muliawati T.H.; Putra P.A.M.; Gamar F.; Ridwan M.; Kusuma N A.</t>
  </si>
  <si>
    <t xml:space="preserve">2020 International Electronics Symposium, IES 2020</t>
  </si>
  <si>
    <t xml:space="preserve">29 September 2020 through 30 September 2020</t>
  </si>
  <si>
    <t xml:space="preserve">Surabaya</t>
  </si>
  <si>
    <t xml:space="preserve">978-172819530-8</t>
  </si>
  <si>
    <t xml:space="preserve">IES - Int. Electron. Symp.: Role Auton. Intell. Syst. for Hum. Life Comf.</t>
  </si>
  <si>
    <t xml:space="preserve">2-s2.0-85096757342</t>
  </si>
  <si>
    <t xml:space="preserve">Cruz D.; Claro M.; Veras R.; Vogado L.; Portela H.; Moura N.; Luz D.</t>
  </si>
  <si>
    <t xml:space="preserve">Cruz, Daniel (57221097776); Claro, Maíla (57188625538); Veras, Rodrigo (55646621000); Vogado, Luis (57193615736); Portela, Helano (57215857969); Moura, Nayara (57203279711); Luz, Daniel (57221103941)</t>
  </si>
  <si>
    <t xml:space="preserve">57221097776; 57188625538; 55646621000; 57193615736; 57215857969; 57203279711; 57221103941</t>
  </si>
  <si>
    <t xml:space="preserve">P-FideNet: Plasmodium Falciparum Identification Neural Network</t>
  </si>
  <si>
    <t xml:space="preserve">Malaria is a blood disease caused by the Plasmodium parasites transmitted through the bite of female Anopheles mosquito. The identification of the parasitized blood cells is a laborious and challenging task as it involves very complex and time consuming methods such as spotting the parasite in the blood and counting the number of the parasites. This examination can be arduous for large-scale diagnoses, resulting in poor quality. This paper presents a new Convolutional Neural Network (CNN) architecture named P-FideNet aimed at the detection of Malaria. The proposed CNN model can be used to solve image classification problems of blood cells infected or not by parasite X. This tool makes the process of analysis by the specialist faster and more accurate. Comparative tests were carried out with state-of-the-art works, and P-FideNet achieved 98.53% recall, 98.88% accuracy and 99% precision. © 2020, Springer Nature Switzerland AG.</t>
  </si>
  <si>
    <t xml:space="preserve">12509 LNCS</t>
  </si>
  <si>
    <t xml:space="preserve">10.1007/978-3-030-64556-4_29</t>
  </si>
  <si>
    <t xml:space="preserve">https://www.scopus.com/inward/record.uri?eid=2-s2.0-85098201544&amp;doi=10.1007%2f978-3-030-64556-4_29&amp;partnerID=40&amp;md5=e7fa6c6592c96eb8291717bf3ef4097b</t>
  </si>
  <si>
    <t xml:space="preserve">Federal Institute of Education, Science and Technology of Piauí (IFPI), Picos, PI, Brazil; Department of Computing, Federal University of Piauí (UFPI), Teresina, PI, Brazil</t>
  </si>
  <si>
    <t xml:space="preserve">Cruz D., Federal Institute of Education, Science and Technology of Piauí (IFPI), Picos, PI, Brazil; Claro M., Department of Computing, Federal University of Piauí (UFPI), Teresina, PI, Brazil; Veras R., Department of Computing, Federal University of Piauí (UFPI), Teresina, PI, Brazil; Vogado L., Department of Computing, Federal University of Piauí (UFPI), Teresina, PI, Brazil; Portela H., Department of Computing, Federal University of Piauí (UFPI), Teresina, PI, Brazil; Moura N., Federal Institute of Education, Science and Technology of Piauí (IFPI), Picos, PI, Brazil; Luz D., Federal Institute of Education, Science and Technology of Piauí (IFPI), Picos, PI, Brazil</t>
  </si>
  <si>
    <t xml:space="preserve">Convolutional neural network; Malaria; Plasmodium falciparum</t>
  </si>
  <si>
    <t xml:space="preserve">Cells; Convolutional neural networks; Diagnosis; Diseases; Anopheles mosquitoes; Blood cells; CNN models; Comparative tests; Identification neural networks; Plasmodium falciparum; Plasmodium parasites; State of the art; Blood</t>
  </si>
  <si>
    <t xml:space="preserve">Onderzoeksprogramma Artificiële Intelligentie; Belgian Federal Science Policy Office, BELSPO; Vlaamse regering</t>
  </si>
  <si>
    <t xml:space="preserve">This research is supported by the Auditing Digitisation Outputs in the Cultural Heritage Sector (ADOCHS) project (Contract No. BR/154/A6/ADOCHS), financed by the Belgian Science Policy (Belspo) within the scope of the BRAIN programme and by funding from the Flemish Government under the “Onderzoeksprogramma Artificiële Intelligentie (AI) Vlaanderen” programme.</t>
  </si>
  <si>
    <t xml:space="preserve">Antonacopoulos A., Downton A.C., Special issue on the analysis of historical documents, Int. J. Doc. Anal. Recogn., 9, pp. 75-77, (2007); Bosse S., Maniry D., Muller K.R., Wiegand T., Samek W., Deep neural networks for no-reference and full-reference image quality assessment, IEEE Trans. Image Process., 27, pp. 206-219, (2018); Cai H., Li L., Yi Z., Gang M., Towards a blind image quality evaluator using multi-scale second-order statistics, Signal Process. Image Commun., 71, pp. 88-99, (2019); Goodfellow I.J., Et al., Generative adversarial nets, Proceedings 27Th International Conference on Neural Information Processing Systems, pp. 2672-2680, (2014); Kang L., Ye P., Li Y., Doermann D., Convolutional neural networks for no-reference image quality assessment, Proceedings 27Th IEEE Conference on Computer Vision and Pattern Recognition, pp. 1733-1740, (2014); Kang L., Ye P., Li Y., Doermann D., A deep learning approach to document image quality assessment, Proceedings 2014 IEEE International Conference on Image Processing (ICIP), pp. 2570-2574, (2014); Kim J., Nguyen A.D., Lee S., Deep cnn-based blind image quality predictor, IEEE Trans. Neural Netw. Learn. Syst., 30, pp. 11-24, (2019); Kim J., Zeng H., Ghadiyaram D., Lee S., Zhang L., Bovik A.C., Deep convolutional neural models for picture-quality prediction challenges and solutions to data-driven image quality assessment, IEEE Signal Process. Mag., 34, pp. 130-141, (2017); Kumar J., Ye P., Doermann D., A dataset for quality assessment of camera captured document images, CBDAR 2013. LNCS, 8357, pp. 113-125, (2014); Larson E.C., Chandler D.M., Most apparent distortion: Full-reference image quality assessment and the role of strategy, J. Electron. Imaging, 19, pp. 011006-11011, (2010); Li P., Peng L., Cai J., Ding X., Ge S., Attention based rnn model for document image quality assessment, Proceedings 2017 14Th IAPR International Conference on Document Analysis and Recognition (ICDAR), pp. 819-825, (2017); Li Q., Lin W., Xu J., Fang Y., Blind image quality assessment using statistical structural and luminance features, IEEE Trans. Multimedia, 21, pp. 3339-3352, (2013); Li Y., Po L.M., Feng L., Yuan F., No-reference image quality assessment with deep convolutional neural networks, Proceedings IEEE International Conference on Digital Signal Processing, pp. 685-689, (2016); Lin K.Y., Wang G., Hallucinated-iqa: No-reference image quality assessment via adversarial learning, Proceedings IEEE/CVF Conference on Computer Vision and Pattern Recognition, pp. 732-741, (2018); Liu L., Liu B., Huang H., Bovik A.C., No-reference image quality assessment based on spatial and spectral entropies, Signal Process. Image Commun., 29, pp. 856-863, (2014); Lu T., Dooms A., A deep transfer learning approach to document image quality assessment, Proceedings International Conference on Document Analysis and Recognition (ICDAR), pp. 1372-1377, (2019); Lu T., Dooms A., Towards content independent no-reference image quality assessment using deep learning, Proceedings IEEE 4Th International Conference on Image, Vision and Computing (ICIVC), pp. 276-280, (2019); Peng X., Cao H., Natarajan P., Document image ocr accuracy prediction via latent dirichlet allocation, Proceedings 13Th International Conference on Document Analysis and Recognition (ICDAR), pp. 771-775, (2015); Peng X., Cao H., Natarajan P., Document image quality assessment using discriminative sparse representation, Proceedings 12Th IAPR Workshop on Document Analysis Systems (DAS), pp. 227-232, (2016); Saad M.A., Bovik A.C., Charrier C., Blind image quality assessment-a natural scene statistics approach in the dct domain, IEEE Trans. Image Process., 21, pp. 3339-3352, (2013); Sheikh H.R., Wang Z., Cormack L., Bovik A.C., Live Image Quality Assessment Database Release, 2; Ye P., Kumar J., Kang L., Doermann D., Unsupervised feature learning framework for no-reference image quality assessment, Proceedings IEEE Conference on Computer Vision and Pattern Recognition, pp. 1098-1105, (2012); Zhu J.Y., Park T., Isola P., Efros A.A., Unpaired image-to-image translation using cycle-consistent adversarial networks, Proceedings IEEE International Conference on Computer Vision (ICCV), pp. 2242-2251, (2017)</t>
  </si>
  <si>
    <t xml:space="preserve">D. Cruz; Federal Institute of Education, Science and Technology of Piauí (IFPI), Picos, Brazil; email: danielknunes@gmail.com</t>
  </si>
  <si>
    <t xml:space="preserve">Bebis G.; Yin Z.; Kim E.; Bender J.; Subr K.; Kwon B.C.; Zhao J.; Kalkofen D.; Baciu G.</t>
  </si>
  <si>
    <t xml:space="preserve">15th International Symposium on Visual Computing, ISVC 2020</t>
  </si>
  <si>
    <t xml:space="preserve">5 October 2020 through 7 October 2020</t>
  </si>
  <si>
    <t xml:space="preserve">San Diego</t>
  </si>
  <si>
    <t xml:space="preserve">978-303064555-7</t>
  </si>
  <si>
    <t xml:space="preserve">2-s2.0-85098201544</t>
  </si>
  <si>
    <t xml:space="preserve">Da Silva Neto S.R.; De Oliveira T.T.; De Souza Sampaio V.; Lynn T.; Endo P.T.</t>
  </si>
  <si>
    <t xml:space="preserve">Da Silva Neto, Sebastiao Rogerio (57219266926); De Oliveira, Thomas Tabosa (57219267036); De Souza Sampaio, Vanderson (55835942000); Lynn, Theo (25825321500); Endo, Patricia Takako (36160299900)</t>
  </si>
  <si>
    <t xml:space="preserve">57219266926; 57219267036; 55835942000; 25825321500; 36160299900</t>
  </si>
  <si>
    <t xml:space="preserve">Platform for monitoring and clinical diagnosis of arboviruses using computational models</t>
  </si>
  <si>
    <t xml:space="preserve">As part of SDG, the members of the UN aim to end epidemics of neglected tropical diseases by 2030. These include wide range communicable diseases that prevail in tropical and subtropical conditions. These diseases are present in over 149 countries worldwide and are a significant burden on health systems and economies. One major category of neglected tropical disease are arthropod-borne viruses or arboviruses including West Nile virus, yellow fever, dengue, chikungunya and Zika. Arboviruses spread rapidly and as they present very similar symptoms, it is hard to diagnose and select the best treatment. The use of machine learning for the diagnosis and prognosis of these diseases has become increasingly common however there is a paucity of research on deep learning and associated decision support platforms for frontline staff. This work-in-progress proposes a platform for arbovirus monitoring and clinical diagnosis using deep learning models.  © 2020 IEEE.</t>
  </si>
  <si>
    <t xml:space="preserve">International Conference on Cyber Security and Protection of Digital Services, Cyber Security 2020</t>
  </si>
  <si>
    <t xml:space="preserve">10.1109/CyberSecurity49315.2020.9138880</t>
  </si>
  <si>
    <t xml:space="preserve">https://www.scopus.com/inward/record.uri?eid=2-s2.0-85091968395&amp;doi=10.1109%2fCyberSecurity49315.2020.9138880&amp;partnerID=40&amp;md5=e2ee7b99c0a2991dab378130a59b4fae</t>
  </si>
  <si>
    <t xml:space="preserve">Universidade de Pernambuco, Brazil; Fundação de Medicina Tropical, Brazil; Irish Institute of Digital Business, Ireland</t>
  </si>
  <si>
    <t xml:space="preserve">Da Silva Neto S.R., Universidade de Pernambuco, Brazil; De Oliveira T.T., Universidade de Pernambuco, Brazil; De Souza Sampaio V., Fundação de Medicina Tropical, Brazil; Lynn T., Irish Institute of Digital Business, Ireland; Endo P.T., Universidade de Pernambuco, Brazil</t>
  </si>
  <si>
    <t xml:space="preserve">Arbovirus; arthropod-borne viruses; clinical diagnosis; deep learning; machine learning; virus monitoring; virus surveillance</t>
  </si>
  <si>
    <t xml:space="preserve">Computer viruses; Decision support systems; Deep learning; Learning systems; Security of data; Tropics; Viruses; Arthropod-borne virus; Clinical diagnosis; Communicable disease; Computational model; Decision supports; Diagnosis and prognosis; Front-line staffs; Neglected tropical disease; Diagnosis</t>
  </si>
  <si>
    <t xml:space="preserve">Fundação de Amparo à Ciência e Tecnologia do Estado de Pernambuco, FACEPE</t>
  </si>
  <si>
    <t xml:space="preserve">ACKNOWLEDGMENT This work was partially funded by Fundac¸ão de Amparo a Ciência e Tecnologia do Estado de Pernambuco (FACEPE).</t>
  </si>
  <si>
    <t xml:space="preserve">Neglected Tropical Diseases, (2020); Keeping the Vector Out: Housing Improvements for Vector Control and Sustainable Development, (2017); Esser H.J., Mogling R., Cleton N.B., Van Der Jeugd H., Sprong H., Stroo A., Koopmans M.P., De Boer W.F., Reusken C.B., Risk factors associated with sustained circulation of six zoonotic arboviruses: A systematic review for selection of surveillance sites in non-endemic areas, Parasites &amp; Vectors, 12, 1, (2019); LaDeau S.L., Allan B.F., Leisnham P.T., Levy M.Z., The ecological foundations of transmission potential and vector-borne disease in urban landscapes, Functional Ecology, 29, 7, pp. 889-901, (2015); McDonald E., Martin S.W., Landry K., Gould C.V., Lehman J., Fischer M., Lindsey N.P., West nile virus and other domestic nationally notifiable arboviral diseases-United States, American Journal of Transplantation, 19, 10, pp. 2949-2954, (2019); Barzon L., Ongoing and emerging arbovirus threats in Europe, Journal of Clinical Virology, 107, pp. 38-47, (2018); Lima-Camara T.N., Emerging arboviruses and public health challenges in Brazil, Revista de Saude Publica, 50, (2016); Da Saude M., Boletim epidemiológico 22. monitoramento dos casos de arboviroses urbanas transmitidas pelo aedes (dengue, chikungunya e zika), Wkly Epidemiol Rec, 93, 36, pp. 457-476, (2018); De Vigilanciaem Saude S.E., Boletim arboviroses, Wkly Epidemiol Rec, 93, 36, pp. 457-476, (2018); Arista-Jalife A., Nakano M., Garcia-Nonoal Z., Robles-Camarillo D., Perez-Meana H., Arista-Viveros H.A., Aedes mosquito detection in its larval stage using deep neural networks, Knowledge-Based Systems, 189, (2020); Barros P.H., Lima B.G., Crispim F.C., Vieira T., Missier P., Fonseca B., Analyzing social network images with deep learning models to fight zika virus, International Conference Image Analysis and Recognition, pp. 605-610, (2018); Fanioudakis E., Geismar M., Potamitis I., Mosquito wingbeat analysis and classification using deep learning, 2018 26th European Signal Processing Conference (EUSIPCO). IEEE, pp. 2410-2414, (2018); Fujita H., Herrera-Viedma E., Deep learning employed in the recognition of the vector that spreads dengue, chikungunya and zika viruses, New Trends in Intelligent Software Methodologies, Tools and Techniques: Proceedings of the 17th International Conference SoMeT 18, 303, (2018); Chakraborty T., Chattopadhyay S., Ghosh I., Forecasting dengue epidemics using a hybrid methodology, Physica A: Statistical Mechanics and Its Applications, 527, (2019)</t>
  </si>
  <si>
    <t xml:space="preserve">Dublin City University (DCU); et al.; Global Cyber Security Capacity Centre; IEEE United Kingdom; IEEE Young Professionals; University of Oxford, Department of Computer Science</t>
  </si>
  <si>
    <t xml:space="preserve">2020 International Conference on Cyber Security and Protection of Digital Services, Cyber Security 2020</t>
  </si>
  <si>
    <t xml:space="preserve">15 June 2020 through 19 June 2020</t>
  </si>
  <si>
    <t xml:space="preserve">978-172816428-1</t>
  </si>
  <si>
    <t xml:space="preserve">Int. Conf. Cyber Secur. Prot. Digit. Serv., Cyber Security</t>
  </si>
  <si>
    <t xml:space="preserve">2-s2.0-85091968395</t>
  </si>
  <si>
    <t xml:space="preserve">Harumy T.H.F.; Chan H.Y.; Sodhy G.C.</t>
  </si>
  <si>
    <t xml:space="preserve">Harumy, T.H.F. (57189241356); Chan, H.Y. (57217873676); Sodhy, G.C. (6506466721)</t>
  </si>
  <si>
    <t xml:space="preserve">57189241356; 57217873676; 6506466721</t>
  </si>
  <si>
    <t xml:space="preserve">Prediction for Dengue Fever in Indonesia Using Neural Network and Regression Method</t>
  </si>
  <si>
    <t xml:space="preserve">Dengue fever is the most hurriedly diffused mosquito-borne viral disease in the world. More than 33% of the total population in the world is under risk. Currently the prediction of dengue can save a person 's life by alerting them to take proper diagnosis and care. The Objectives of this research is (1) To Predict The area with the most potential to suspend dengue fever In Indonesia, And (2) to Predict dengue fever cases. (3). To analyz how many percent the effect factor of dengue fever. There are many ways to predict one of them is Regression and Deep learning Approach. Reseacher tried to analyz the most accurate such as Regression Multyplied, Neural Network, and Sensitivity Analysis. Set of data have been used is timeseries from 1997 - 2017. The Variable has been used for this research is Humadity, Temperature, Wind, Airpressure, Rainfall Index, income, sunlight, Population density, and output is cases. The Result of this research is first The area with the most potential to suspend Dengue fever In Indonesia 2019 is Jambi, Lampung, Bangka Belitung, West Sumatera, Central java with average Accuracy 87,16%. The Prediction dengue fever cases 2019 is 80233 Cases with accuracy 87,16%. The Third All variable ( X1 s.d X8) have been to effect to Partial and Simultaneous to (Y) in the amount of 0.16 (16 % ) with a significance level of 0.001 (99%). While the remaining 100% - 16% = 84% is influenced by other variables outside of this research. © Published under licence by IOP Publishing Ltd.</t>
  </si>
  <si>
    <t xml:space="preserve">10.1088/1742-6596/1566/1/012019</t>
  </si>
  <si>
    <t xml:space="preserve">https://www.scopus.com/inward/record.uri?eid=2-s2.0-85087765306&amp;doi=10.1088%2f1742-6596%2f1566%2f1%2f012019&amp;partnerID=40&amp;md5=b31ae4ffaa430766f4a0caae7c910510</t>
  </si>
  <si>
    <t xml:space="preserve">School of Computer Sciences, Universiti Sains Malaysia, Pulau Pinang, 11800, Malaysia</t>
  </si>
  <si>
    <t xml:space="preserve">Harumy T.H.F., School of Computer Sciences, Universiti Sains Malaysia, Pulau Pinang, 11800, Malaysia; Chan H.Y., School of Computer Sciences, Universiti Sains Malaysia, Pulau Pinang, 11800, Malaysia; Sodhy G.C., School of Computer Sciences, Universiti Sains Malaysia, Pulau Pinang, 11800, Malaysia</t>
  </si>
  <si>
    <t xml:space="preserve">Deep learning; Diagnosis; Forecasting; Population statistics; Regression analysis; Sensitivity analysis; Dengue fevers; Effect factors; Learning approach; Population densities; Rainfall index; Regression method; Significance levels; Viral disease; Neural networks</t>
  </si>
  <si>
    <t xml:space="preserve">Kumar A.P.M., Chitra D., Karthick P., Ganesan M., Madhan A.S., Dengue Disease Prediction Using Decision Tree and Support Vector Machine, SSRG Int. J. Comput. Sci. Eng., (2017); Dom N.C., Hassan A.A., Latif Z.A., Ismail R., Geneating temporal model using climate variables for the prediction of dengue cases in Subang Jaya, Malaysia, Asian Pacific J. Trop. Dis., 3, 5, pp. 352-361, (2013); Choudhury M.A.H.Z.B., Banu S., Islam M.A.D., Foercasting dengue incidence in Dhaka, Bangladesh: A time series analysis, Dengue Bull, 32, pp. 29-37, (2008); Althouse B.M., Ng Y.Y., Cummings D.A.T., Perdiction of dengue incidence using search query surveillance, PLoS Negl. Trop. Dis., 5, 8, pp. e1258-e1267, (2011); Yusof Y., Mustaffa Z., Denge Outbreak Prediction : A Least Squares Support Vector Machines Approach, Int. J. Comput. Theory Eng., 3, pp. 489-493, (2011); Wu Y., Lee G., Fu X.J., Hung T., De tct climatic factors contributing to dengue outbreak based on wavelet, support vector machines and genetic algorithm, World Congr. Eng. 2008 Vols IIi, 1, pp. 303-307, (2008); Du Y., Shan J., Zhang M., Knee Osteoarthritis Prediction on MR Images Using Cartilage Damage Index and Machine Learning Methods, IEEE Int. Conf. Bioinforma. Biomed., (2017); Jayashree L.S., Lakshmi Devi R., Papandrianos N., Papageorgiou E.I., Applciation of Fuzzy Cognitive Map for geospatial dengue outbreak risk prediction of tropical regions of Southern India, Intell. Decis. Technol, 12, 2, (2018); Caicedo-Torres W., Montes-Grajales D., Miranda-Castro W., Fennix-Agudelo M., Agudelo-Herrera N., Kerenl-based machine learning models for the prediction of dengue and chikungunya morbidity in Colombia, Communications in Computer and Information Science, 735, (2017); Zhang Z., Introduction to machine learning: K-nearest neighbors, Ann. Transl. Med., 4, 11, (2016); Chato L., Latifi S., Machine Learning and Deep Learning Techniques to Predict Overall Survival of Brain Tumor Patients using MRI Images, 2017 IEEE 17th International Conference on Bioinformatics and Bioengineering Machine, (2017); Iqbal N., Islam M., Machine learning for dengue outbreak prediction: An outlook, Int. J. Adv. Res. Comput. Sci., 8, pp. 93-102, (2017); Lee V.J., Lye D.C., Sun Y., Leo Y.S., Decision tree algorithm in deciding hospitalization for adult patients with dengue haemorrhagic fever in Singapore, Trop. Med. Int. Heal, 14, 9, (2009); Alkhaldy I., ASpatial Analysis of Dengue Fever and, Desertation, (2014); Yang J., Rivard H., Zmeureanu R., O-nline building energy prediction using adaptive artificial neural networks, Energy Build, 37, 12, (2005); Ekici B.B., Aksoy U.T., Perdiction of building energy consumption by using artificial neural networks, Adv. Eng. Softw., 40, 5, (2009); Denge prevention and 35 years of vector control in Singapore, Emerg. Infect. Dis., 12, 6, pp. 887-893, (2006); Mallikarjuna P., Suresh Babu C.H., Reddy A.J.M., Raifall - Runoff modelling using artificial neural networks, ISH J. Hydraul. Eng., 15, 1, (2009); Babu C.N., Reddy B.E., Am oving-average filter based hybrid ARIMA-ANN model for forecasting time series data, Appl. Soft Comput. J., 23, (2014); Wu C.L., Chau K.W., Raifall-runoff modeling using artificial neural network coupled with singular spectrum analysis, J. Hydrol, 399, 3-4, (2011)</t>
  </si>
  <si>
    <t xml:space="preserve">4th International Conference on Computing and Applied Informatics 2019, ICCAI 2019</t>
  </si>
  <si>
    <t xml:space="preserve">26 November 2019 through 27 November 2019</t>
  </si>
  <si>
    <t xml:space="preserve">2-s2.0-85087765306</t>
  </si>
  <si>
    <t xml:space="preserve">Anggraeni W.; Sumpeno S.; Yuniarno E.M.; Rachmadi R.F.; Gumelar A.B.; Purnomo M.H.</t>
  </si>
  <si>
    <t xml:space="preserve">Anggraeni, Wiwik (55876734400); Sumpeno, Surya (42462707300); Yuniarno, Eko Mulyanto (56968173800); Rachmadi, Reza Fuad (57192980983); Gumelar, Agustinus Bimo (57208230337); Purnomo, Mauridhi H. (6602604153)</t>
  </si>
  <si>
    <t xml:space="preserve">55876734400; 42462707300; 56968173800; 57192980983; 57208230337; 6602604153</t>
  </si>
  <si>
    <t xml:space="preserve">Prediction of Dengue Fever Outbreak Based on Climate Factors Using Fuzzy-Logistic Regression</t>
  </si>
  <si>
    <t xml:space="preserve">Dengue fever outbreak prediction is said to be one way that can be used to restrain the spread of dengue fever. Thus, the accuracy of the outbreak prediction system becomes essential. Furthermore, the factors involved in the prediction are also crucial to note. This study combines temperature, rainfall, humidity, wind speed, and the number of dengue cases to predict the outbreak of dengue fever. The fuzzy-logistic regression model is used based on its compatibility with the input and output characteristics. The result shows that the fuzzy-logistic regression model can produce outbreak predictions for validation data in other regions with an average performance of 79.93%. This average performance is 14.95% higher than the average accuracy of the Neural Network, Random Forest, and Naive Bayes approaches. The prediction results for the next 24 periods show that the outbreak will occur seven times. Dengue fever case and temperature are two variables that have more influence than other variables.  © 2020 IEEE.</t>
  </si>
  <si>
    <t xml:space="preserve">Proceedings - 2020 International Seminar on Intelligent Technology and Its Application: Humanification of Reliable Intelligent Systems, ISITIA 2020</t>
  </si>
  <si>
    <t xml:space="preserve">10.1109/ISITIA49792.2020.9163708</t>
  </si>
  <si>
    <t xml:space="preserve">https://www.scopus.com/inward/record.uri?eid=2-s2.0-85091709223&amp;doi=10.1109%2fISITIA49792.2020.9163708&amp;partnerID=40&amp;md5=ba7570c151e99dd5d964bd86226b0c8d</t>
  </si>
  <si>
    <t xml:space="preserve">Faculty of Intelligent Electrical and Informatics Technology (ELECTICS), Institut Teknologi Sepuluh Nopember, Dept of Electrical Engineering, Dept of Information Sytems, Surabaya, Indonesia</t>
  </si>
  <si>
    <t xml:space="preserve">Anggraeni W., Faculty of Intelligent Electrical and Informatics Technology (ELECTICS), Institut Teknologi Sepuluh Nopember, Dept of Electrical Engineering, Dept of Information Sytems, Surabaya, Indonesia; Sumpeno S., Faculty of Intelligent Electrical and Informatics Technology (ELECTICS), Institut Teknologi Sepuluh Nopember, Dept of Electrical Engineering, Dept of Information Sytems, Surabaya, Indonesia; Yuniarno E.M., Faculty of Intelligent Electrical and Informatics Technology (ELECTICS), Institut Teknologi Sepuluh Nopember, Dept of Electrical Engineering, Dept of Information Sytems, Surabaya, Indonesia; Rachmadi R.F., Faculty of Intelligent Electrical and Informatics Technology (ELECTICS), Institut Teknologi Sepuluh Nopember, Dept of Electrical Engineering, Dept of Information Sytems, Surabaya, Indonesia; Gumelar A.B., Faculty of Intelligent Electrical and Informatics Technology (ELECTICS), Institut Teknologi Sepuluh Nopember, Dept of Electrical Engineering, Dept of Information Sytems, Surabaya, Indonesia; Purnomo M.H., Faculty of Intelligent Electrical and Informatics Technology (ELECTICS), Institut Teknologi Sepuluh Nopember, Dept of Electrical Engineering, Dept of Information Sytems, Surabaya, Indonesia</t>
  </si>
  <si>
    <t xml:space="preserve">climate factor; dengue fever; fuzzy; logistic regression; outbreak; prediction</t>
  </si>
  <si>
    <t xml:space="preserve">Decision trees; Forecasting; Intelligent systems; Wind; Climate factors; Dengue fevers; Input and output characteristics; Logistic Regression modeling; Naive Bayes approaches; Prediction systems; Validation data; Wind speed; Logistic regression</t>
  </si>
  <si>
    <t xml:space="preserve">Malang Regency Health Office; Ministry of Research and Technology</t>
  </si>
  <si>
    <t xml:space="preserve">ACKNOWLEDGMENT The authors thank the Ministry of Research and Technology, Republic of Indonesia/BRIN for funding this research under Excellent Research Universities and BPPDN grant schemas and the Malang Regency Health Office, which has supported the implementation of this research.</t>
  </si>
  <si>
    <t xml:space="preserve">Kesehatan K., Dengue Fever Usually Increases in January (in Indonesian: Demam Berdarah Biasanya Meningkat di Bulan Januari), (2015); Preparedness for the Increased Incidence of Dengue Hemorrhagic Fever in 2019 (in Indonesian: Kesiapsiagaan Menghadapi Peningkatan Kejadian Demam Berdarah Dengue Tahun 2019)"; Int W., Dengue and Severe Dengue, (2018); Who | Dengue Guidelines for Diagnosis, Treatment, Prevention and Control: New Edition, (2017); Kemenkes R.I., Dengue Fever Outbreak Region (In Indonesian: Wilayah Kejadian Luar Biasa Demam Berdarah)"., (2016); Indonesia C., Changes in the situation of dengue fever in indonesia (in indonesian: Situasi demam berdarah di indonesia naik turun), Gaya Hidup, (2019); Tingginya Kasus Dbd di Jatim, Pasien Dirawat di Lorong Rumah Sakit, (2019); Moch S., 10 Provinsi Dengan Kasus Dbd Tertinggi Jawa Timur Peringkat Satu-Kompas.com, (2019); Jardiyanto S., Januari 72 Warga di Kabupaten Malang Terjangkit Demam Berdarah-Radar Malang Online, (2019); Gabriel A.F.B., Alencar A.P., Miraglia S.G.E.K., Dengue outbreaks: Unpredictable incidence time series, Epidemiol Infect, 147, (2019); Adde A., Et al., Predicting dengue fever outbreaks in french guiana using climate indicators, Plos Neglected Tropical Diseases, 10, 4, (2016); Chuang T.-W., Chaves L.F., Chen P.-J., Effects of local and regional climatic fluctuations on dengue outbreaks in southern taiwan, Plos One, 12, 6, (2017); Lai Y.-H., The climatic factors affecting dengue fever outbreaks in southern taiwan: An application of symbolic data analysis, BioMedical Engineering OnLine, 17, 2, (2018); Xu L., Et al., Climate variation drives dengue dynamics, Pnas, 114, 1, pp. 113-118, (2017); Ramadona A.L., Lazuardi L., Hii Y.L., Holmner A., Kusnanto H., Rocklov J., Prediction of dengue outbreaks based on disease surveillance and meteorological data, Plos One, 11, 3, (2016); Atique S., Et al., Investigating spatio-temporal distribution and diffusion patterns of the dengue outbreak in swat, pakistan, Journal of Infection and Public Health, 11, 4, pp. 550-557, (2018); Ogashawara I., Li L., Moreno M.J., Madrinan D., Spatial-temporal assessment of environmental factors related to dengue outbreaks in são paulo, brazil, GeoHealth, 3, 8, pp. 202-217, (2019); Jain R., Sontisirikit S., Iamsirithaworn S., Prendinger H., Prediction of dengue outbreaks based on disease surveillance, meteorological and socio-economic data, Bmc Infect Dis, 19, 1, (2019); Atique S., Abdul S.S., Hsu C.-Y., Chuang T.-W., Meteorological influences on dengue transmission in pakistan, Asian Pacific Journal of Tropical Medicine, 9, 10, pp. 954-961, (2016); Identification of Significant Climatic Risk Factors and Machine Learning Models in Dengue Outbreak Prediction, (2019); Link H., Richter S.N., Leung V.J., Brost R.C., Phillips C.A., Staid A., Statistical models of dengue fever, Data Mining, Singapore, 14, pp. 175-186, (2019); Stats W., World statistics-free and easy access to international statistics, World Statistics, (2019); Applied Logistic Regression, 3rd Edition |; Agresti A., Introduction to Categorical Data Analysis; Siriyasatien P., Chadsuthi S., Jampachaisri K., Kesorn K., Dengue epidemics prediction: A survey of the state-of-the-Art based on data science processes, Ieee Access, 6, pp. 53757-53795, (2018); Hyndman R.J., Forecasting: Methods and Applications | Rob J Hyndman; Doszyh M., Intermittent demand forecasting in the enterprise: Empirical verification, Journal of Forecasting, P. for.2575, (2019)</t>
  </si>
  <si>
    <t xml:space="preserve">IEEE Indonesia Section; Industrial Electronics Society Indonesia Chapter</t>
  </si>
  <si>
    <t xml:space="preserve">2020 International Seminar on Intelligent Technology and Its Application, ISITIA 2020</t>
  </si>
  <si>
    <t xml:space="preserve">22 July 2020 through 23 July 2020</t>
  </si>
  <si>
    <t xml:space="preserve">978-172817413-6</t>
  </si>
  <si>
    <t xml:space="preserve">Proc. - Int. Semin. Intell. Technol. Appl.: Humanification Reliab. Intell. Syst., ISITIA</t>
  </si>
  <si>
    <t xml:space="preserve">2-s2.0-85091709223</t>
  </si>
  <si>
    <t xml:space="preserve">Saleh A.Y.; Medang S.A.; Ibrahim A.O.</t>
  </si>
  <si>
    <t xml:space="preserve">Saleh, Abdulrazak Yahya (55616317400); Medang, Shahrulnizam Anak (57213351117); Ibrahim, Ashraf Osman (55858232900)</t>
  </si>
  <si>
    <t xml:space="preserve">55616317400; 57213351117; 55858232900</t>
  </si>
  <si>
    <t xml:space="preserve">Rabies outbreak prediction using deep learning with long short-term memory</t>
  </si>
  <si>
    <t xml:space="preserve">The purpose of this article is to evaluate the Long Short-Term Memory (LSTM) model performance for rabies outbreak prediction (ROP). Successful forecasting of the initial epidemic outbreaks can decrease the incidence of the ailment and save lives, but this type of research is costly, and an erroneous result can trigger false alarms, and the trustworthiness of the warning system will be at stake. As such, biosurveillance system developers are looking for highly sensitive outbreak prediction algorithms that will minimise the number of false alarms. Using the epidemiological data such as those of rabies to forecast novel and vital directions is a significant issue of public health, and it involves the collective attention of the machine learning (ML) communities. In this study, the data are obtained from HealthData.com and utilised for the performance evaluation of the LSTM algorithm. The algorithm performance is evaluated based on Root Mean Square Error (RMSE) and Accuracy, and compared with that of the traditional algorithm– the Autoregressive integrated moving average (ARIMA) model. The results from this research prove that a deep learning LSTM network can predict the disease prevalence, using the rabies datasets, with a good accuracy. The performance of the proposed model is evaluated by comparing with the ARIMA model. The LSTM model attains the best result with 97.10% accuracy, while the traditional ARIMA obtains 72.10%. Moreover, the LSTM model scores the lowest value of RMSE (2.04) compared with the ARIMA model which scores the highest (3.12). Through this study, it is obvious that the LSTM prediction model is an effective method for determining this viral disease, evidenced by a very low RMSE value and a high accuracy score. © Springer Nature Switzerland AG 2020.</t>
  </si>
  <si>
    <t xml:space="preserve">10.1007/978-3-030-33582-3_32</t>
  </si>
  <si>
    <t xml:space="preserve">https://www.scopus.com/inward/record.uri?eid=2-s2.0-85077782766&amp;doi=10.1007%2f978-3-030-33582-3_32&amp;partnerID=40&amp;md5=30e073e61bda576ba59caf899d4885df</t>
  </si>
  <si>
    <t xml:space="preserve">FSKPM Faculty, Universiti Malaysia Sarawak (UNIMAS), Kota Samarahan, Sarawak, 94300, Malaysia; Faculty of Computer Science and Information Technology, Alzaiem Alazhari University, Khartoum North, 13311, Sudan; Faculty of Computer Science, Future University, Khartoum, Sudan</t>
  </si>
  <si>
    <t xml:space="preserve">Saleh A.Y., FSKPM Faculty, Universiti Malaysia Sarawak (UNIMAS), Kota Samarahan, Sarawak, 94300, Malaysia; Medang S.A., FSKPM Faculty, Universiti Malaysia Sarawak (UNIMAS), Kota Samarahan, Sarawak, 94300, Malaysia; Ibrahim A.O., Faculty of Computer Science and Information Technology, Alzaiem Alazhari University, Khartoum North, 13311, Sudan, Faculty of Computer Science, Future University, Khartoum, Sudan</t>
  </si>
  <si>
    <t xml:space="preserve">Autoregressive Integrated Moving Average (ARIMA); Long Short-Term Memory (LSTM); Machine Learning (ML); Rabies Outbreak Prediction (ROP)</t>
  </si>
  <si>
    <t xml:space="preserve">Brain; Deep learning; Errors; Forecasting; Intelligent computing; Machine learning; Mean square error; Algorithm performance; Auto-regressive integrated moving average; Autoregressive integrated moving average models; Model performance; Number of false alarms; Prediction algorithms; Rabies Outbreak Prediction (ROP); Root mean square errors; Long short-term memory</t>
  </si>
  <si>
    <t xml:space="preserve">Hemachudha T., Ugolini G., Wacharapluesadee S., Sungkarat W., Shuangshoti S., Laothamatas J., Human rabies: Neuropathogenesis, diagnosis, and management, Lancet Neurol, 12, 5, pp. 498-513, (2013); Hampson K., Coudeville L., Lembo T., Sambo M., Kieffer A., Attlan M., Et al., Estimating the global burden of endemic canine rabies, Plos Negl. Trop. Dis., 9, 4, (2015); Kole A.K., Roy R., Kole D.C., Human Rabies in India: A Problem Needing More Attention, (2014); Ramos J.M., Melendez N., Reyes F., Gudiso G., Biru D., Fano G., Et al., Epidemiology of Animal Bites and Other Potential Rabies Exposures and Anti-Rabies Vaccine Utilization in a Rural Area in Southern Ethiopia, (2015); Bueno-Mari R., Almeida A.P.G., Navarro J.C., Emerging zoonoses: Eco-epidemiology, involved mechanisms and public health implications, Front. Publ. Health., 3, (2015); Sparkes J., Fleming P.J.S., Ballard G., Scott-Orr H., Durr S., Ward M.P., Canine rabies in Australia: A review of preparedness and research needs, Zoonoses Publ. Health, 62, (2014); Mahl P., Cliquet F., Guiot A.L., Niin E., Fournials E., Saint-Jean N., Aubert M., Rupprecht C.E., Gueguen S., Twenty-year experience of the oral rabies vaccine SAG2 in wildlife: A global review, Vet. Res., 45, 1, (2014); Wu Y., Yang Y., Nishiura H., Saitoh M., Deep learning for epidemiological predictions, Ann. Agricul. Environ. Med. AAEM, 22, 1, pp. 76-79, (2018); Fricker R., Some methodological issues in biosurveillance, Stat. Med., 30, pp. 403-415, (2011); Bamaiyi H., 2015 outbreak of canine rabies in malaysia: Review, analysis and perspectives, J. Vet. Adv., 5, 12, (2015); He J., Luo L., Jin R.G., Li J.M., The application of ARIMA in forecasting the cases of rabies in China different human groups. Zhonghua lao dong wei sheng zhi ye bing za zhi = Zhonghua laodong weisheng zhiyebing zazhi = Chin, J. Ind. Hygiene Occup. Dis., 36, 7, pp. 512-515, (2018); Chae S., Kwon S., Lee D., Predicting infectious disease using deep learning and big data, Int. J. Environ. Res. Public Health, 15, 8, (2018); Wu Y., Yang Y., Nishiura H., Saitoh M., Deep learning for epidemiological predictions, SIGIR, (2018); Zhang Q., Yang L.T., Chen Z., Li P., A survey on deep learning for big data, Inform. Fusion, 42, pp. 146-157, (2018); Saleh A.Y., Tei R., Flood prediction using seasonal autoregressive integrated moving average (SARIMA) model, Int. J. Innov. Technol. Explor. Eng., 8, 8, pp. 1037-1042, (2019); Saleh A.Y., Francis C., A deep learning approach to Malware detection in android platform, Int. J. Innov. Technol. Explor. Eng., 8, 8, pp. 1043-1048, (2019); Lecun Y., Bengio Y., Hinton, G.: Deep Learning; Nature Publishing Group, a Division of Macmillan Publishers Limited, (2015); Staudemeyer R.C., Evaluating Performance of Long Short-Term Memory Recurrent Neural Networks on Intrusion Detection Data, (2013); Brownlee J., Time Series Prediction with Lstm Recurrent Neural Networks in Python with Keras, (2016); Bao W., Yue J., Rao Y., A deep learning framework for financial time series using stacked autoencoders and long-short term memory, Plos One, 12, (2017); Alex G., Supervised Sequence Labelling with Recurrent Neural Networks; Studies in Computational Intelligence, (2012); Rouse M., What is Data Preparation?-Definition from Whatis.Com, (2018)</t>
  </si>
  <si>
    <t xml:space="preserve">A.Y. Saleh; FSKPM Faculty, Universiti Malaysia Sarawak (UNIMAS), Kota Samarahan, Sarawak, 94300, Malaysia; email: ysahabdulrazak@unimas.my</t>
  </si>
  <si>
    <t xml:space="preserve">Saeed F.; Mohammed F.; Gazem N.</t>
  </si>
  <si>
    <t xml:space="preserve">4th International Conference of Reliable Information and Communication Technology, IRICT 2019</t>
  </si>
  <si>
    <t xml:space="preserve">22 September 2019 through 23 September 2019</t>
  </si>
  <si>
    <t xml:space="preserve">Johor Bahru</t>
  </si>
  <si>
    <t xml:space="preserve">978-303033581-6</t>
  </si>
  <si>
    <t xml:space="preserve">2-s2.0-85077782766</t>
  </si>
  <si>
    <t xml:space="preserve">Casuayan De Goma J.; Devaraj M.</t>
  </si>
  <si>
    <t xml:space="preserve">Casuayan De Goma, Joel (57202494372); Devaraj, Madhavi (57205878118)</t>
  </si>
  <si>
    <t xml:space="preserve">57202494372; 57205878118</t>
  </si>
  <si>
    <t xml:space="preserve">Recognizing Common Skin Diseases in the Philippines Using Image Processing and Machine Learning Classification</t>
  </si>
  <si>
    <t xml:space="preserve">Skin disease is prevalent in tropical climates, developing countries, people with poor hygiene, and polluted areas. It is a kind of disease that is visible to human eyes which makes carriers susceptible to shame and may cause people to keep distance from them. Even though it is visible to human eyes, people are unaware of what kind of skin disease they have, and with this, people would go to dermatological clinics to have their skin checked, and to have a diagnosis. In line with this, the proponents created a system that detects and classifies skin diseases, particularly acne vulgaris, atopic dermatitis, keratosis pilaris (Chicken Skin), psoriasis, leprosy, and warts. This research has used different pre-processing and segmentation algorithms to successfully extract features (texture, edge, and color). The extracted features were contained as a feature vector and were used to train the Support Vector Machine classifier and the Artificial Neural Network classifier. For the Support Vector Machine (SVM), the model peaked an average of 93.55% and 93.33% for precision and recall, respectively, and for the Artificial Neural Network (ANN) classifier, it peaked 96.55% for precision and 100% for recall.  © 2020 ACM.</t>
  </si>
  <si>
    <t xml:space="preserve">10.1145/3418688.3418700</t>
  </si>
  <si>
    <t xml:space="preserve">https://www.scopus.com/inward/record.uri?eid=2-s2.0-85096297786&amp;doi=10.1145%2f3418688.3418700&amp;partnerID=40&amp;md5=2cdf72a94484ddbe80cb33852c397e65</t>
  </si>
  <si>
    <t xml:space="preserve">Mapua University, Philippines</t>
  </si>
  <si>
    <t xml:space="preserve">Casuayan De Goma J., Mapua University, Philippines; Devaraj M., Mapua University, Philippines</t>
  </si>
  <si>
    <t xml:space="preserve">machine learning classification; pre-processing algorithms; Skin diseases</t>
  </si>
  <si>
    <t xml:space="preserve">Application programs; Big data; Dermatitis; Dermatology; Developing countries; Diagnosis; Image classification; Image segmentation; Neural networks; Textures; Artificial neural network classifiers; Atopic dermatitis; Feature vectors; Machine learning classification; Precision and recall; Segmentation algorithms; Support vector machine classifiers; Tropical climates; Support vector machines</t>
  </si>
  <si>
    <t xml:space="preserve">Kumar V.B., Kumar S.S., Saboo V., Dermatological disease detection using image processing and machine learning, Third International Conference on Artificial Intelligence and Pattern Recognition (AIPR), 2016, pp. 1-6, (2016); Ajith A., Goel V., Vazirani P., Roja M.M., Digital dermatology: Skin disease detection model using image processing, International Conference on Intelligent Computing and Control Systems (ICICCS). Madurai, 2017, pp. 168-173, (2017); Md Nazrul I., Et al., Skin disease recognition using texture analysis, Control and System Graduate Research Colloquium (ICSGRC, pp. 144-148, (2017); Roderick H., Et al., Priorities in Health. 37 Skin Diseases 2006, (2006); Manuel Grace C., RMT, MSCPD Science Research Specialist, (2018); Top 5 Most Common Skin Diseases in the Philippines and How to Prevent Them, (2017); Kolkur S., Kalbande D.R., Survey of texture based feature extraction for skin disease detection, International Conference on ICT in Business Industry &amp; Government (ICTBIG), 2016, pp. 1-6, (2016); Bajaj L., Et al., 2018. Automated system for prediction of skin disease using image processing and machine learning, International Journal of Computer Applications, 180, pp. 9-12, (2018); Deshpande A.S., Gajbar A., 2016. Automated detection of skin cancer and skin allergy, International Journal of Advance Research in Computer Science and Management Studies, 4, 1, pp. 284-261, (2016); What Is Atopic Dermatitis?, (2017); Mohanaiah P., Sathyanarayana P., Gurukumar L., 2013. Image texture feature extraction using GLCM approach, International Journal of Scientific and Research Publications, 3, pp. 1-5, (2013); Lee T., Et al., 1997 Dullrazor: A software approach to hair removal from images, Computers in Biology and Medicine, 27, 6, pp. 533-543, (1997); Manerkar Mugdha S., Et al., Classification of skin disease using multi SVM classifier, 3rd International Conference on Electrical, Electronics, Engineering Trends, Communication, Optimization and Sciences, 2016, (2016); Ansari U.B., Sarode T., Skin Cancer Detection Using Image Processing, 2017, (2017); Rathod J., Waghmode V., Sodha A., Bhavathankar P., Diagnosis of skin diseases using Convolutional Neural Networks 2018, Second International Conference on Electronics, Communication and Aerospace Technology (ICECA), Coimbatore, pp. 1048-1051, (2018); Hegde P.R., Shenoy M.M., Shekar B.H., Comparison of machine learning algorithms for skin disease classification using color and texture features 2018, International Conference on Advances in Computing, Communications and Informatics (ICACCI), Bangalore, pp. 1825-1828, (2018); Chatterjee S., Dey D., Munshi S., Development of a superpixel based local color feature extraction technique for the classification of skin lesions 2017, IEEE Calcutta Conference (CALCON), Kolkata, pp. 210-214, (2017); Alquran H., Et al., The melanoma skin cancer detection and classification using support vector machine 2017, IEEE Jordan Conference on Applied Electrical Engineering and Computing Technologies (AEECT), Aqaba, pp. 1-5, (2017); Petrellis N., Using color signatures for the classification of skin disorders 2018, 7th International Conference on Modern Circuits and Systems Technologies (MOCAST), Thessaloniki, pp. 1-4, (2018); Zulfikar Z., Zulhelmi Z., Arif T.Y., Afdhal A., Syawaldi P.N., Android application: Skin abnormality analysis based on edge detection technique 2018, International Conference on Electrical Engineering and Informatics (ICELTICs), Banda Aceh, pp. 89-94, (2018)</t>
  </si>
  <si>
    <t xml:space="preserve">3rd International Conference on Computing and Big Data, ICCBD 2020 and its Workshop the 2020 2nd International Conference on Computer, Software Engineering and Applications, CSEA 2020</t>
  </si>
  <si>
    <t xml:space="preserve">5 August 2020 through 7 August 2020</t>
  </si>
  <si>
    <t xml:space="preserve">978-145038786-6</t>
  </si>
  <si>
    <t xml:space="preserve">2-s2.0-85096297786</t>
  </si>
  <si>
    <t xml:space="preserve">Azar Ali S.; Phani Kumar S.</t>
  </si>
  <si>
    <t xml:space="preserve">Azar Ali, Syed (57214221783); Phani Kumar, S. (35812290500)</t>
  </si>
  <si>
    <t xml:space="preserve">Review of Decision Tree-Based Binary Classification Framework Using Robust 3D Image and Feature Selection for Malaria-Infected Erythrocyte Detection</t>
  </si>
  <si>
    <t xml:space="preserve">We start with a famous proverb ‘health is wealth.’ Malaria is one of the most rapidly spreading and contagious diseases, mostly spread through microbes. Efficient treatment of the disease requires early and accurate estimation to ensure control from spreading and treatment in early phases. Accordingly, several studies have been put forward during the past decade. Analyzing the blood smear’s images is one of the prominent works proposed in this context. This manuscript attempts to automate the process of diagnosis through machine learning techniques. The algorithm trains the model through different selected features of the input images and thereby uses the learning experience to classify the blood smears as disease prone or healthy. The cuckoo search algorithm is used for designing a heuristic scale, which is further assessed through multiple experiments to evaluate its accuracy. Different performance evaluation measures like precision, sensitivity, specificity, and accuracy are used to assess the robustness of the model toward early identification of malaria in the premature stage. © Springer Nature Singapore Pte Ltd 2020.</t>
  </si>
  <si>
    <t xml:space="preserve">10.1007/978-981-15-1097-7_64</t>
  </si>
  <si>
    <t xml:space="preserve">https://www.scopus.com/inward/record.uri?eid=2-s2.0-85078448177&amp;doi=10.1007%2f978-981-15-1097-7_64&amp;partnerID=40&amp;md5=f4456affeda948f8ea03747b4e1d8992</t>
  </si>
  <si>
    <t xml:space="preserve">Asst. Prof., Department of information Technology, Muffakham Jah College of Engineering &amp; Technology, Hyderabad, India; Prof. &amp; Head, Department of Computer Science &amp; Engg., GITAM University, Hyderabad, India</t>
  </si>
  <si>
    <t xml:space="preserve">Azar Ali S., Asst. Prof., Department of information Technology, Muffakham Jah College of Engineering &amp; Technology, Hyderabad, India; Phani Kumar S., Prof. &amp; Head, Department of Computer Science &amp; Engg., GITAM University, Hyderabad, India</t>
  </si>
  <si>
    <t xml:space="preserve">Blood smear; Canonical correlation analysis (CCA); Erythrocyte; K-means algorithm; Machine learning (ML) approaches like SVM and bayesian; Malaria; Principal component analysis (PCA); Red blood cells (RBCs)</t>
  </si>
  <si>
    <t xml:space="preserve">Binary trees; Decision trees; Diagnosis; Disease control; Diseases; Genetic algorithms; Image classification; K-means clustering; Learning algorithms; Machine learning; Principal component analysis; Support vector machines; Bayesian; Blood smears; Canonical correlation analysis; Erythrocyte; Malaria; Red blood cell; Blood</t>
  </si>
  <si>
    <t xml:space="preserve">Rougemont M., Et al., Detection of four plasmodium species in blood from humans by 18S rRNA gene subunit-based and species-specific real-time PCR assays, J. Clin. Microbiol., pp. 5636-5643, (2004); Florens L., Et al., A proteomic view of the plasmodium falciparum life cycle, Nature, 419, 6906, pp. 520-526, (2002); Pain A., Et al., The genome of the simian and human malaria parasite Plasmodium knowlesi, Nature, 455, 7214, pp. 799-803, (2008); Snow R.W., Et al., The global distribution of clinical episodes of Plasmodium falciparum malaria, Nature, 434, pp. 214-217, (2005); Guidelines for the Treatment of Malaria, pp. 9-12, (2010); Reyburn H., New WHO Guidelines for the Treatment of Malaria, (2010); Hu M.-K., Visual pattern recognition by moment invariants, Info. Theory IRE Trans., 8, 2, pp. 179-187, (1962); Galloway M.M., Texture classification using gray level run length, Comput. Graph. Image Process, 4, 2, pp. 172-179, (1975); Mandelbrot B.B., The Fractal Geometry of Nature, (1983); Chu A., Sehgal C.M., Greenleaf J.F., Use of gray value distribution of run lengths for texture analysis, Pattern Recogn. Lett., 11, 6, pp. 415-419, (1990); Dasarathy B.V., Holder E.B., Image characterizations based on joint gray level-run length distributions, Pattern Recogn. Lett., 12, 8, pp. 497-502, (1991); Sarkar N., Chaudhuri B.B., An efficient differential box-counting approach to compute fractal dimension of image, IEEE Trans. Syst. Man Cybernetics, 24, 1, pp. 115-120, (1994); Timo O., Matti P., Topi M., Multiresolution gray-scale and rotation invariant texture classification with local binary patterns, IEEE Trans. Pattern Anal. Mach. Intell., 24, 7, pp. 971-987, (2002); Gonzalez R.C., Richard E.W., Processing, (2002); Pharwaha A.P.S., Singh B., Shannon and non-shannon measures of entropy for statistical texture feature extraction in digitized mammograms, Proceedings of the World Congress on Engineering and Computer Science, 2, (2009); Ghosh M., Das D., Chakraborty C., Entropy based divergence for leukocyte image segmentation, 2010 International Conference on Systems in Medicine and Biology; Krishnan M., Muthu R., Et al., Textural characterization of histopathological images for oral sub-mucous fibrosis detection, Tissue Cell, 43, 5, pp. 318-330, (2011); Krishnan M., Muthu R., Et al., Statistical analysis of textural features for improved classification of oral histopathological images, J. Med. Syst., 2, 36, pp. 865-881, (2012); Celebi M.E., Et al., An improved objective evaluation measure for border detection in dermoscopy images, Skin Res. Technol. Offic. J. Int. Soc. Bioeng. Skin (ISBS); Int. Soc. Digital Imaging Skin (ISDIS); Int. Soc. Skin Imaging (ISSI), 15, 4, (2009); Yang X.-S., Cuckoo Search via Lévy Flights, (2010); Ross N.E., Et al., Automated image processing method for the diagnosis and classification of malaria on thin blood smears, Med. Biol. Eng. Comput., 44, 5, pp. 427-436, (2006); Kaewkamnerd S., Et al., An automatic device for detection and classification of malaria parasite species in thick blood film, BMC Bioinform, 13, (2012); Diaz G., Gonzalez F.A., Romero E., A semi-automatic method for quantification and classification of erythrocytes infected with malaria parasites in microscopic images, J. Biomed. Inform., 42, 2, pp. 296-307, (2009); Lai C.H., Et al., A protozoan parasite extraction scheme for digital microscopic images, Comput. Med. Imaging Graphics Official J. Comput. Med. Imaging Soc., 34, 2, (2010); Le M.T., A novel semi-automatic image processing approach to determine Plasmodium falciparum parasitemia in giemsa-stained thin blood smears, BMC Cell Biol, 9, 1, (2008); Diaz G., Gonzalez F., Romero E., Infected cell identification in thin blood images based on color pixel classification: Comparison and analysis, Proceedings of the Congress on Pattern Recognition 12Th Iberoamerican Conference on Progress in Pattern Recognition, Image Analysis and Applications., (2007); Tek F.B., Dempster A.G., Kale I., Computer vision for microscopy diagnosis of malaria, Malaria J, 8, pp. 153-153, (2009); Tek F.B., Dempster A.G., Kale I., Parasite detection and identification for automated thin blood film malaria diagnosis, Comput. Vision Image Underst., 114, 1, pp. 21-32, (2010); Memeu D.M., Et al., Detection of Plasmodium Parasites from Images of Thin Blood Smears, (2013); Yunda L., Alarcon A., Millan J., Automated image analysis method for p-vivax malaria parasite detection in thick film blood images, Sistemas Telemática, 10, 20, pp. 9-25, (2012); Sio S.W., Et al., MalariaCount: An image analysis-based program for the accurate determination of parasitemia, J. Microbiol. Methods, 68, 1, pp. 11-18, (2007); Tek F.B., Andrew G.D., Izzet K., Malaria parasite detection in peripheral blood images, Proceedings of British Machine Vision Conference, (2006); Makkapati V.V., Rao R.M., Segmentation of malaria parasites in peripheral blood smear images, 2009 IEEE International Conference on Acoustics, Speech and Signal Processing; Purwar Y., Et al., Automated and unsupervised detection of malarial parasites in microscopic images, Malaria J, 10, (2011); Somasekar J., Eswara Reddy B., Segmentation of erythrocytes infected with malaria parasites for the diagnosis using microscopy imaging, Comput. Electr. Eng., 45.C, pp. 336-351, (2015); Das D.K., Et al., Machine learning approach for automated screening of malaria parasite using light microscopic images, Micron, 45, pp. 97-106, (2013); Khan M.I., Et al., Content based image retrieval approaches for detection of malarial parasite in blood images, Int. J. Biometr. Bioinform. (IJBB), 5, 2, (2011); Hearst M.A., Et al., Support vector machines, IEEE Intell. Syst. Appl., 13, 4, pp. 18-28, (1998); Langley P., Sage S., Induction of selective bayesian classifiers, Conf. Uncertainty Artificial Intel, (1994); Tabachnick B.G., Fidell L.S., Using Multivariate Statistics. Ally and Bacon Pearson Education, (2001); Iwaki Y., (2014); Kanan C., Cottrell G.W., Color-to-grayscale: Does the method matter in image recognition, Plos ONE, 7, 1, (2012); Kovacevic J., Chebira A., An introduction to frames. Found, Trends Signal Process, 2, 1, pp. 1-94, (2008); Abdul-Nasir A.S., Mashor M.Y., Mohamed Z., Colour image segmentation approach for detection of malaria parasites, WSEAS Trans. Biol. Biomed., 10, pp. 41-55, (2013); Yeon J., Et al., Effective Grayscale Conversion Method for Malaria Parasite Detection, (2014); Kim J.-D., Et al., Comparison of grayscale conversion methods for malaria classification, Int. J. Bio-Sci. Bio-Technol, 7, pp. 141-150, (2015); Lai C.H., Et al., A protozoan parasite extraction scheme for digital microscopic images, Computer. Med. Imaging Graphics Official J. Comput. Med. Imaging Soc., 34, 2, (2010); Chokkalingam S.P., Komathy K., Sowmya M., Performance Analysis of Various Lymphocytes Images De-Noising Filters over a Microscopic Blood Smear Image; Wei Z., Et al., Median-Gaussian filtering framework for Moiré pattern noise removal from X-ray microscopy image, Micron, (2012); Astola J., Kuosmanen P., Fundamentals of Nonlinear Digital Filtering, 8, (1997); Medfilt2, (2011); Aizenberg I., Bregin T., Paliy D., New method for impulsive noise filtering using its preliminary detection, SPIE Proceedings, 4667, (2002); Gonzalez R.C., Woods R.E., Eddins S.L., Digital Image Processing Using MATLAB, (2004); Hartigan J.A., Wong M.A., Algorithm AS 136: A K-Means Clustering Algorithm, Appl. Stat., 28, 1, pp. 100-108, (1979); Christ M.J., Parvathi R.M.S., Segmentation of medical image using K-Means clustering and marker controlled watershed algorithm, European J. Sci. Res., 71, pp. 190-194, (2012); Das D., Et al., Invariant moment based feature analysis for abnormal erythrocyte recognition, 2010 International Conference on Systems in Medicine and Biology; Sadiq Jaffer M.D., Balaram V.V.S.S.S., OFS-Z: Optimal Features Selection by Z-Score for Malaria Infected Erythrocyte Detection using Supervised Learning, Proceedings of the First International Conference on Computational Intelligence and Informatics, (2018); Altman D.G., Et al., Statistical guidelines for contributors to medical journals, British Med. J. (Clin. Res. Ed.), 287, 6385, pp. 132-132, (1983); Schindelin J., Et al., Fiji: An open-source platform for biological-image analysis, Nature Methods, 9, 7, pp. 676-682, (2012); Jagtap C.D., Usha Rani N., Heuristic scale to estimate premature malaria parasites: Scope in microscopic blood smear images, Indian J. Sci. Technol, 10, 8, (2017); Sadiq M.J., Balaram V.V.S.S.S., DTBC: Decision tree based binary classification using with feature selection and optimization for malaria infected erythrocyte detection, Int. J. Appl. Eng. Res., 12, 24, pp. 15923-15934</t>
  </si>
  <si>
    <t xml:space="preserve">S. Azar Ali; Asst. Prof., Department of information Technology, Muffakham Jah College of Engineering &amp; Technology, Hyderabad, India; email: syedazarali@gmail.com</t>
  </si>
  <si>
    <t xml:space="preserve">Raju K.S.; Senkerik R.; Lanka S.P.; Rajagopal V.</t>
  </si>
  <si>
    <t xml:space="preserve">3rd International Conference on Data Engineering and Communication Technology, ICDECT 2019</t>
  </si>
  <si>
    <t xml:space="preserve">15 March 2019 through 16 March 2019</t>
  </si>
  <si>
    <t xml:space="preserve">978-981151096-0</t>
  </si>
  <si>
    <t xml:space="preserve">2-s2.0-85078448177</t>
  </si>
  <si>
    <t xml:space="preserve">Huq A.; Pervin M.T.</t>
  </si>
  <si>
    <t xml:space="preserve">Huq, Aminul (57203135342); Pervin, Mst. Tasnim (57203127356)</t>
  </si>
  <si>
    <t xml:space="preserve">57203135342; 57203127356</t>
  </si>
  <si>
    <t xml:space="preserve">Robust Deep Neural Network Model for Identification of Malaria Parasites in Cell Images</t>
  </si>
  <si>
    <t xml:space="preserve">Malaria is a common mosquito-borne disease that is transmitted through humans by mosquito bites. Severe cases of it lead to death. In the labs, tests are performed on the thick and thin blood smears to determine whether there is any presence of malaria parasites. Counting the number of parasitized and normal cells is a tremendously trivial and important task that relies mostly on the proficiency of the observer. Recent advancement in computer-aided diagnosis systems has enabled it to use sophisticated machine learning and deep learning algorithms. We propose the usage of CNN models for the classification of the cell images as CNN is capable of identifying many complex features and labeling them appropriately. Here we have implemented a variant of CNN called VGG16 model for the identification. In order to improve these models' robustness from adversarial attacks like from fast sign gradient attack, we have trained our model with adversarial images with correct labels to ensure accurate classification even when adversarial images are used for classification. Our model provides 95.96% accuracy before adversarial training and 95.79% accuracy after adversarial training. For adversarial images, we acquire 93.38% accuracy.  © 2020 IEEE.</t>
  </si>
  <si>
    <t xml:space="preserve">2020 IEEE Region 10 Symposium, TENSYMP 2020</t>
  </si>
  <si>
    <t xml:space="preserve">10.1109/TENSYMP50017.2020.9230832</t>
  </si>
  <si>
    <t xml:space="preserve">https://www.scopus.com/inward/record.uri?eid=2-s2.0-85096413077&amp;doi=10.1109%2fTENSYMP50017.2020.9230832&amp;partnerID=40&amp;md5=0c8fcb4f064496f6edde3c542c321d17</t>
  </si>
  <si>
    <t xml:space="preserve">Brac University, Dept. Computer Science and Technology, Bangladesh; Rajshahi University of Engineering Technology, Dept. Computer Science and Technology, Bangladesh</t>
  </si>
  <si>
    <t xml:space="preserve">Huq A., Brac University, Dept. Computer Science and Technology, Bangladesh; Pervin M.T., Rajshahi University of Engineering Technology, Dept. Computer Science and Technology, Bangladesh</t>
  </si>
  <si>
    <t xml:space="preserve">Adversarial Training; CNN; FGSM; Malaria Cell Image</t>
  </si>
  <si>
    <t xml:space="preserve">Computer aided diagnosis; Computer aided instruction; Deep learning; Deep neural networks; Diseases; Image classification; Learning algorithms; Neural networks; Blood smears; Cell images; CNN models; Computer aided diagnosis systems; Malaria parasite; Mosquito-borne disease; Neural network model; Sophisticated machines; Image enhancement</t>
  </si>
  <si>
    <t xml:space="preserve">World Malaria Report., (2019); Rajaraman S., Et al., Pre-Trained convolutional neural networks as feature extractors toward improved malaria parasite detection in thin blood smear images, PeerJ, 6, (2018); Szegedy C., Et al., Intriguing Properties of Neural Networks., (2013); Goodfellow I., Shlens J., Szegedy C., Explaining and Harnessing Adversarial Examples., (2014); Dezfooli M., Et al., Deepfool: A simple and accurate method to fool deep neural networks, Proceedings of the Ieee Conference on Computer Vision and Pattern Recognition., (2016); Carlini N., Wagner D., Towards evaluating the robustness of neural networks, 2017 Ieee Symposium on Security and Privacy (Sp)., (2017); Dong Y., Et al., Boosting adversarial attacks with momentum, Proceedings of the Ieee Conference on Computer Vision and Pattern Recognition., (2018); Guo C., Et al., Countering Adversarial Images Using Input Transformations., (2017); Prakash A., Et al., Deflecting adversarial attacks with pixel deflection, Proceedings of the Ieee Conference on Computer Vision and Pattern Recognition., (2018); Xie C., Et al., Feature denoising for improving adversarial robustness, Proceedings of the Ieee Conference on Computer Vision and Pattern Recognition., (2019); Kurakin A., Goodfellow I., Bengio S., Adversarial Machine Learning at Scale., (2016); Krizhevsky A., Sutskever I., Hinton G.E., Imagenet classification with deep convolutional neural networks, Advances in Neural Information Processing Systems., (2012); Simonyan K., Zisserman A., Very Deep Convolutional Networks for Large-scale Image Recognition., (2014); Sivaramakrishnan R., Et al., Visualizing abnormalities in chest radiographs through salient network activations in deep learning, 2017 Ieee Life Sciences Conference (LSC), pp. 71-74, (2017); Suzuki K., Overview of deep learning in medical imaging, Radiological Physics and Technology., 10, pp. 257-273, (2017); Dong Y., Et al., Evaluations of deep convolutional neural networks for automatic identification of malaria infected cells, 2017 Ieee Embs International Conference on Biomedical &amp; Health Informatics (BHI), pp. 101-104, (2017); Bibin D., Nair M.S., Punitha P., Malaria parasite detection from peripheral blood smear images using deep belief networks, Ieee Access, 5, pp. 9099-9108, (2017); Hung J., Carpenter A., Applying faster r-cnn for object detection on malaria images, Proceedings of the Ieee Conference on Computer Vision and Pattern Recognition Workshops., (2017); Vijayalakshmi A., Et al., Deep learning approach to detect malaria from microscopic images, Multimedia Tools and Applications, pp. 1-21, (2019)</t>
  </si>
  <si>
    <t xml:space="preserve">5 June 2020 through 7 June 2020</t>
  </si>
  <si>
    <t xml:space="preserve">Virtual, Dhaka</t>
  </si>
  <si>
    <t xml:space="preserve">978-172817366-5</t>
  </si>
  <si>
    <t xml:space="preserve">IEEE Reg. 10 Symp., TENSYMP</t>
  </si>
  <si>
    <t xml:space="preserve">2-s2.0-85096413077</t>
  </si>
  <si>
    <t xml:space="preserve">Addy M.; Chaudhuri A.K.; Das A.</t>
  </si>
  <si>
    <t xml:space="preserve">Addy, Madhumita (57217286530); Chaudhuri, Avijit Kumar (57203924579); Das, Anirban (57214490490)</t>
  </si>
  <si>
    <t xml:space="preserve">57217286530; 57203924579; 57214490490</t>
  </si>
  <si>
    <t xml:space="preserve">Role of Data Mining techniques and MCDM model in detection and severity monitoring to serve as precautionary methodologies against 'Dengue'</t>
  </si>
  <si>
    <t xml:space="preserve">Dengue is an Arboviral disease, it is majorly known as Dengue fever (DF) and dengue haemorrhagic fever (DHF). Both are basically the same vector borne diseases, which is notifiable in different countries all over the world. Untimely diagnosis is important for control measures or else it can form a severe spread will lead to further occurrences of outbreak cases and fatal situations. In this article we identify the major attributes to be used in determining outbreaks based on treatment data set. This demonstration is conducted using supervised learning with data mining techniques, such techniques/algorithms used over here-classification, Random forest, decision tree, and visualization. The outcomes are challenging when we can identify more than one attribute showing similar graph in same vector-borne diseases. Our study also performs in terms of symptoms and its severity, negative/positive clinical test data rate and overall physical precaution areas. We have proven through our experiment that more than one methods are effective to measure current disease situation to lower mortality rate and future precautions that needs to be taken care of. © 2020 IEEE.</t>
  </si>
  <si>
    <t xml:space="preserve">2020 International Conference on Computer Science, Engineering and Applications, ICCSEA 2020</t>
  </si>
  <si>
    <t xml:space="preserve">10.1109/ICCSEA49143.2020.9132879</t>
  </si>
  <si>
    <t xml:space="preserve">https://www.scopus.com/inward/record.uri?eid=2-s2.0-85089777173&amp;doi=10.1109%2fICCSEA49143.2020.9132879&amp;partnerID=40&amp;md5=1c988341c5963aee55ec81dbb3279768</t>
  </si>
  <si>
    <t xml:space="preserve">Technology Annamalai University, Annamalainagar, India; Techno Engineering College Banipur, Computer Science, Kolkata, India; University of Engineering Management, Computer Science, Kolkata, India</t>
  </si>
  <si>
    <t xml:space="preserve">Addy M., Technology Annamalai University, Annamalainagar, India; Chaudhuri A.K., Techno Engineering College Banipur, Computer Science, Kolkata, India; Das A., University of Engineering Management, Computer Science, Kolkata, India</t>
  </si>
  <si>
    <t xml:space="preserve">classification; decision tree for serotype recognition; dengue detection; dengue support care; Frequent dengue outbreaks using visualization; Multi Criteria Decision Making (MCDM) models for health care planning; Random forest; Supervised learning; symptom attributes</t>
  </si>
  <si>
    <t xml:space="preserve">Data visualization; Decision trees; Diagnosis; Clinical tests; Control measures; Data set; Dengue fevers; Dengue haemorrhagic fevers; Mortality rate; Vector-borne disease; Data mining</t>
  </si>
  <si>
    <t xml:space="preserve">Sharma S.K., Goel A., Dengue Hemorrhagic Fever and Dengue Shock Syndrome-Pertinent Issues in Management, pp. 629-633, (2007); Shameem Fathima A., Manimegalai D., Hundewale N., A review of data mining classification techniques applied for diagnosis and prognosis of the arbovirus-dengue, IJCSI International Journal of Computer Science Issues, 8, 6, (2011); Daphne L., Gunasekaran M., Varatharajan R., Abbas Kaja M., An intelligent decision support system to prevent and control of dengue, Journal of Ambient Intelligence and Humanized Computing, pp. 1-17, (2018); Pavanr. Todeschini M., Multicriteria decision-making methods, Reference Module in Chemistry, Molecular Sciences and Chemical Engineering, Comprehensive Chemometrics, Chemical and Biochemical Data Analysis, 1, pp. 591-629, (2009); Shameem Fathima A., Manimeglai D., Analysis of significant factors for dengue infection prognosis using the random forest classifier, " (ijacsa), International Journal of Advanced Computer Science and Applications, 6, 2, (2015); Tamibmaniam J., Hussin N., Kooi Cheah W., Sing Ng K., Muninathan P., Proposal of a clinical decision tree algorithm using factors associated with severe dengue infection, PLOSONE, 11, 8, (2016); Arafiyah R., Hermin F., Kartika I.R., Alimuddi A., Saraswati I., Classification of dengue haemorrhagic fever (dhf) using svm, naive bayes and random forest, 3rd Annual Applied Science and Engineering Conference (AASEC 2018), IOP Conf. Series: Materials Science and Engineering; Gajera V.V., Sahu S., Dhar R., Study of haematological profile of dengue fever and its clinical implication, Annals of Applied Bio-Sciences, 3, pp. 2455-10396, (2016); Chen X., Ishwaran H., Random forests for genomic data analysis, Genomics, 99, 6, pp. 323-329, (2012); Simmons C.P., Farrar J.J., Van Vinh Chau N., Wills B., Dengue, N Engl J Med, 366, pp. 1423-1432, (2012)</t>
  </si>
  <si>
    <t xml:space="preserve">13 March 2020 through 14 March 2020</t>
  </si>
  <si>
    <t xml:space="preserve">Gunupur</t>
  </si>
  <si>
    <t xml:space="preserve">978-172815830-3</t>
  </si>
  <si>
    <t xml:space="preserve">Int. Conf. Comput. Sci., Eng. Appl., ICCSEA</t>
  </si>
  <si>
    <t xml:space="preserve">2-s2.0-85089777173</t>
  </si>
  <si>
    <t xml:space="preserve">Carel Diehl J.; Oyibo P.; Agbana T.; Jujjavarapu S.; Van G.-Y.; Vdovin G.; Oyibo W.</t>
  </si>
  <si>
    <t xml:space="preserve">Carel Diehl, Jan (7102398256); Oyibo, Prosper (57222073176); Agbana, Temitope (56611914800); Jujjavarapu, Satyajith (57222067729); Van, G-Young (57216161386); Vdovin, Gleb (35569820200); Oyibo, Wellington (56350018500)</t>
  </si>
  <si>
    <t xml:space="preserve">7102398256; 57222073176; 56611914800; 57222067729; 57216161386; 35569820200; 56350018500</t>
  </si>
  <si>
    <t xml:space="preserve">Schistoscope: Smartphone versus Raspberry Pi based low-cost diagnostic device for urinary Schistosomiasis</t>
  </si>
  <si>
    <t xml:space="preserve">Schistosomiasis is a neglected tropical disease of Public Health importance affecting over 252 million people worldwide with Nigeria having a very high number of cases. It is caused by blood flukes of the genus Schistosoma and transmitted by freshwater snails. To achieve the current global elimination objectives, low-cost and easy-to-use diagnostic tools are critically needed. Recent innovations in optical and computer technologies have made handheld digital and smartphone-based microscopes a viable diagnostic approach. Development, validation and deployment of these diagnostic devices for field use, however, require the optimisation of its optical train for the registration of high-resolution images and the realisation of a robust system design that can be locally produced in low-income countries. Field research conducted in Nigeria with active involvement of key stakeholders in research and development (RD) led to the design of an initial prototype device for the diagnosis of urinary schistosomiasis, called Schistoscope 1.0. In this paper, we present further development of the Schistoscope 1.0 along two parallel design trajectories: A Raspberry Pi and a Smartphone-based Schistoscope. Specifically, we focused on the optimization of the optics, embodiment design and the electronics systems of the devices so as to produce a robust design with potential for local production.  © 2020 IEEE.</t>
  </si>
  <si>
    <t xml:space="preserve">2020 IEEE Global Humanitarian Technology Conference, GHTC 2020</t>
  </si>
  <si>
    <t xml:space="preserve">10.1109/GHTC46280.2020.9342871</t>
  </si>
  <si>
    <t xml:space="preserve">https://www.scopus.com/inward/record.uri?eid=2-s2.0-85095983663&amp;doi=10.1109%2fGHTC46280.2020.9342871&amp;partnerID=40&amp;md5=b2a1167999b5014c4323171458517269</t>
  </si>
  <si>
    <t xml:space="preserve">Delft University of Technology, Industrial Design Engineering, Delft, Netherlands; Delft University of Technology, Mechanical Engineering, Delft, Netherlands; University of Lagos, ANDI Centre of Excellence for Malaria Diagnosis, Lagos, Nigeria</t>
  </si>
  <si>
    <t xml:space="preserve">Carel Diehl J., Delft University of Technology, Industrial Design Engineering, Delft, Netherlands; Oyibo P., Delft University of Technology, Mechanical Engineering, Delft, Netherlands; Agbana T., Delft University of Technology, Mechanical Engineering, Delft, Netherlands; Jujjavarapu S., Delft University of Technology, Industrial Design Engineering, Delft, Netherlands; Van G.-Y., Delft University of Technology, Industrial Design Engineering, Delft, Netherlands; Vdovin G., Delft University of Technology, Mechanical Engineering, Delft, Netherlands; Oyibo W., University of Lagos, ANDI Centre of Excellence for Malaria Diagnosis, Lagos, Nigeria</t>
  </si>
  <si>
    <t xml:space="preserve">algorithms; artificial intelligence; diagnostics; global health; local production; Neglected tropical disease; Nigeria; schistosomiasis; technical optics</t>
  </si>
  <si>
    <t xml:space="preserve">Costs; Electronics industry; Smartphones; Computer technology; Diagnostic approach; Electronics system; High resolution image; Low income countries; Neglected tropical disease; Research and development; Robust system design; Diagnosis</t>
  </si>
  <si>
    <t xml:space="preserve">Bruun B., Aagaard-Hansen J., The Social Context of Schistosomiasis and Its Control: An Introduction and Annotated Bibliography, (2008); Silva-Moraes V., Et al., Diagnosis of Schistosoma Mansoni Infections: What Are the Choices in Brazilian Low-endemic Areas, (2019); Gryseels B., Polman K., Clerinx J., Kestens L., Human Schistosomiasis. The Lancet, 368, 9541, pp. 1106-1118, (2006); Steinmann P., Keiser J., Bos R., Tanner M., Utzinger J., Schistosomiasis and water resources development: Systematic review, meta-analysis, and estimates of people at risk, The Lancet Infectious Diseases, 6, 7, pp. 411-425, (2006); Utzinger J., Et al., Schistosomiasis and neglected tropical diseases: Towards integrated and sustainable control and a word of caution, Parasitology, 136, 13, pp. 1859-1874, (2009); Vander Werf M.J., Et al., Quantification of clinical morbidity associated with schistosome infection in sub-saharan africa, Acta Tropica, 86, 2-3, pp. 125-139, (2003); Holmstrom O., Et al., Point-of-care mobile digital microscopy and deep learning for the detection of soil-transmitted helminths and schistosoma haematobium, Global Health Action, 10, (2017); French M.D., Et al., Schistosomiasis in africa: Improving strategies for long-term and sustainable morbidity control, PLoS Neglected Tropical Diseases, 12, 6, (2018); Balsam J., Ossandon M., Bruck H.A., Lubensky I., Rasooly A., Low-cost technologies for medical diagnostics in lowresource settings, Expert Opinion on Medical Diagnostics, 7, 3, pp. 243-255, (2013); Bogoch I.I., Et al., Evaluation of portable microscopic devices for the diagnosis of schistosoma and soil-transmitted helminth infection, Parasitology, 141, 14, pp. 1811-1818, (2014); Koydemir H.C., Coulibaly J.T., Tseng D., Bogoch I.I., Ozcan A., Design and validation of a wide-field mobile phone microscope for the diagnosis of schistosomiasis, Travel Medicine and Infectious Disease, 30, (2019); Rajchgot J., Et al., Mobile-phone and handheld microscopy for neglected tropical diseases, PLoS Neglected Tropical Diseases, 11, 7, (2017); Agbana T., Van G.-Y., Oladepo O., Vdovin G., Oyibo W., Diehl J.C., Schistoscope: Towards a locally producible smart diagnostic device for schistosomiasis in nigeria, IEEE Global Humanitarian Technology Conference (GHTC), (2019); Switz N.A., D'Ambrosio M.V., Fletcher D.A., Low-cost mobile phone microscopy with a reversed mobile phone camera lens, PloS One, 9, 5, (2014); Jujjavarapu S., Automating the diagnosis and quantification of urinary schistosomiasis, Electrical Engineering, Mathematics and Computer Science, (2020)</t>
  </si>
  <si>
    <t xml:space="preserve">IEEE Region 6; IEEE Seattle Section; IEEE Society on Social Implications of Technology (SSIT)</t>
  </si>
  <si>
    <t xml:space="preserve">10th Annual IEEE Global Humanitarian Technology Conference, GHTC 2020</t>
  </si>
  <si>
    <t xml:space="preserve">29 October 2020 through 1 November 2020</t>
  </si>
  <si>
    <t xml:space="preserve">Virtual, Seattle</t>
  </si>
  <si>
    <t xml:space="preserve">978-172817388-7</t>
  </si>
  <si>
    <t xml:space="preserve">IEEE Glob. Humanit. Technol. Conf., GHTC</t>
  </si>
  <si>
    <t xml:space="preserve">2-s2.0-85095983663</t>
  </si>
  <si>
    <t xml:space="preserve">Siringi N.; Mala S.; Rawat A.</t>
  </si>
  <si>
    <t xml:space="preserve">Siringi, Nikhita (57202432042); Mala, Shuchi (57194570398); Rawat, Ashok (57197269344)</t>
  </si>
  <si>
    <t xml:space="preserve">57202432042; 57194570398; 57197269344</t>
  </si>
  <si>
    <t xml:space="preserve">Study of K-Means Clustering Algorithm for Identification of Dengue Fever Hotspots</t>
  </si>
  <si>
    <t xml:space="preserve">In India, several dengue outbreaks were reported like 2015 dengue outbreaks, increasing the need for control and prevention of such outbreaks. Cluster analysis is one of the most extensively used statistical data analysis due to its extensive use in machine learning. Clustering techniques can be integrated to determine potential real-world areas of infectious diseases. This paper presents the application of K-means in disease surveillance. K-means is one of the least difficult unsupervised learning calculations. It groups the dataset through a specific number of clusters. The primary thought is characterized k-centroids, one for each cluster. In India, several dengue outbreaks were reported like 2015 dengue outbreaks, thereby increasing the need for control and prevention of such outbreaks. This paper presents an experimental evaluation of the effectiveness of K-means using data of reported Dengue Fever (DF) which was maintained in the Health Department of Municipal Corporation of Delhi (MCD). A total of 4713 cases were seen in years 2011, 2012 and 2013. The paper successfully detected hotspots of DF and calculated the Silhouette coefficients to validate the clusters. © 2020, Springer Nature Singapore Pte Ltd.</t>
  </si>
  <si>
    <t xml:space="preserve">10.1007/978-981-15-1420-3_6</t>
  </si>
  <si>
    <t xml:space="preserve">https://www.scopus.com/inward/record.uri?eid=2-s2.0-85085515310&amp;doi=10.1007%2f978-981-15-1420-3_6&amp;partnerID=40&amp;md5=db6cac76b114912856101fe4cf16b43e</t>
  </si>
  <si>
    <t xml:space="preserve">Amity University, Noida, India; Municipal Corporation of Delhi, Delhi, India</t>
  </si>
  <si>
    <t xml:space="preserve">Siringi N., Amity University, Noida, India; Mala S., Amity University, Noida, India; Rawat A., Municipal Corporation of Delhi, Delhi, India</t>
  </si>
  <si>
    <t xml:space="preserve">Clustering; Dengue fever; Hotspot; K-means; Silhouette coefficient</t>
  </si>
  <si>
    <t xml:space="preserve">Cluster analysis; Learning systems; Unsupervised learning; Clustering techniques; Control and prevention; Dengue fevers; Disease surveillance; Experimental evaluation; Infectious disease; Number of clusters; Statistical data analysis; K-means clustering</t>
  </si>
  <si>
    <t xml:space="preserve">Manivannan P., Devi P.I., Dengue fever prediction using K-means clustering algorithm, 2017 IEEE International Conference Intelligent Techniques in Control, Optimization and Signal Processing (INCOS), pp. 1-5, (2017); Manivannan P., Isakki D.P., Dengue fever prediction using K-medoid clustering algorithm, Int J Innov Res Comput Commun Eng, 5, (2017); Kanungo T., Mount D.M., Netanyahu N.S., Piatko C.D., Silverman R., Wu A.Y., An efficient k-means clustering algorithm: Analysis and implementation, IEEE Trans Pattern Anal Mach Intell, 7, pp. 881-892, (2002); Yedla M., Pathakota S.R., Srinivasa T.M., Enhancing K-means clustering algorithm with improved initial center, Int J Comput Sci Inf Technol, 1, 2, pp. 121-125, (2010); Thakare Y.S., Bagal S.B., Performance evaluation of K-means clustering algorithm with various distance metrics, Int J Comput Appl, 110, 11, (2015); Wilkin G.A., Huang X., K-means clustering algorithms: Implementation and comparison. In: Second international multi-symposiums on computer and computational sciences, 2007 (IMSCCS 2007), IEEE, pp. 133-136, (2007); Na S., Xumin L., Yong G., Research on k-means clustering algorithm: An improved k-means clustering algorithm, 2010 Third International Symposium Intelligent Information Technology and Security Informatics (IITSI). IEEE, pp. 63-67, (2010); Ganguly D., Mukherjee S., Naskar S., Mukherjee P., A novel approach for determination of optimal number of cluster, International Conference on Computer and Automation Engineering. IEEE, pp. 113-117, (2009); Zhou S., Xu Z., Liu F., Method for determining the optimal number of clusters based on agglomerative hierarchical clustering, IEEE Trans Neural Netw Learn Syst, 28, 12, pp. 3007-3017, (2017); Bayati H., Davoudi H., Fatemizadeh E., A heuristic method for finding the optimal number of clusters with application in medical data, 30Th Annual International Conference of the IEEE Engineering in Medicine and Biology Society, 2008 (EMBS 2008), pp. 4684-4687, (2008); Bholowalia P., Kumar A., EBK-means: A clustering technique based on elbow and k-means in WSN, Int J Comput Appl, 105, 9, (2014); Aranganayagi S., Thangavel K., Clustering categorical data using silhouette coefficient as a relocating measure, IEEE International Conference on Computational Intelligence and Multimedia Applications, 2007, 2, pp. 13-17, (2007); Tibshirani R., Walther G., Hastie T., Estimating the number of clusters in a data set via the gap statistic, J Royal Stat Soc B (Statistical Methodology), 63, 2, pp. 411-423, (2001); Wu J., Advances in K-Means Clustering: A Data Mining Thinking, (2012); Patel V.R., Mehta R.G., Modified K-Means Clustering Algorithm. Computational Intelligence and Information Technology, pp. 307-312, (2011)</t>
  </si>
  <si>
    <t xml:space="preserve">N. Siringi; Amity University, Noida, India; email: nikhithasiringi@gmail.com</t>
  </si>
  <si>
    <t xml:space="preserve">Kumar A.; Paprzycki M.; Gunjan V.K.</t>
  </si>
  <si>
    <t xml:space="preserve">1st International Conference on Data Science, Machine Learning and Applications, 2019</t>
  </si>
  <si>
    <t xml:space="preserve">29 March 2019 through 30 March 2019</t>
  </si>
  <si>
    <t xml:space="preserve">978-981151419-7</t>
  </si>
  <si>
    <t xml:space="preserve">2-s2.0-85085515310</t>
  </si>
  <si>
    <t xml:space="preserve">de Vriendt M.; Sellars P.; Aviles-Rivero A.I.</t>
  </si>
  <si>
    <t xml:space="preserve">de Vriendt, Marianne (57204846204); Sellars, Philip (57212062078); Aviles-Rivero, Angelica I. (57200300191)</t>
  </si>
  <si>
    <t xml:space="preserve">57204846204; 57212062078; 57200300191</t>
  </si>
  <si>
    <t xml:space="preserve">The GraphNet Zoo: An All-in-One Graph Based Deep Semi-supervised Framework for Medical Image Classification</t>
  </si>
  <si>
    <t xml:space="preserve">We consider the problem of classifying a medical image dataset when we have a limited amounts of labels. This is very common yet challenging setting as labelled data is expensive, time consuming to collect and may require expert knowledge. The current classification go-to of deep supervised learning is unable to cope with such a problem setup. However, using semi-supervised learning, one can produce accurate classifications using a significantly reduced amount of labelled data. Therefore, semi-supervised learning is perfectly suited for medical image classification. However, there has almost been no uptake of semi-supervised methods in the medical domain. In this work, we propose an all-in-one framework for deep semi-supervised classification focusing on graph based approaches, which up to our knowledge it is the first time that an approach with minimal labels has been shown to such an unprecedented scale with medical data. We introduce the concept of hybrid models by defining a classifier as a combination between an energy-based model and a deep net. Our energy functional is built on the Dirichlet energy based on the graph p-Laplacian. Our framework includes energies based on the$$\ell _1$$ and$$\ell _2$$ norms. We then connected this energy model to a deep net to generate a much richer feature space to construct a stronger graph. Our framework can be set to be adapted to any complex dataset. We demonstrate, through extensive numerical comparisons, that our approach readily compete with fully-supervised state-of-the-art techniques for the applications of Malaria Cells, Mammograms and Chest X-ray classification whilst using only 20% of labels. © 2020, Springer Nature Switzerland AG.</t>
  </si>
  <si>
    <t xml:space="preserve">12443 LNCS</t>
  </si>
  <si>
    <t xml:space="preserve">10.1007/978-3-030-60365-6_18</t>
  </si>
  <si>
    <t xml:space="preserve">https://www.scopus.com/inward/record.uri?eid=2-s2.0-85093120418&amp;doi=10.1007%2f978-3-030-60365-6_18&amp;partnerID=40&amp;md5=70fdd2f807d8970a910e4f3f3a74f291</t>
  </si>
  <si>
    <t xml:space="preserve">Nabla Technologies, Paris, France; DAMPT, University of Cambridge, Cambridge, United Kingdom; DPMMS, University of Cambridge, Cambridge, United Kingdom</t>
  </si>
  <si>
    <t xml:space="preserve">de Vriendt M., Nabla Technologies, Paris, France; Sellars P., DAMPT, University of Cambridge, Cambridge, United Kingdom; Aviles-Rivero A.I., DPMMS, University of Cambridge, Cambridge, United Kingdom</t>
  </si>
  <si>
    <t xml:space="preserve">Chest-Xray; Deep learning; Deep semi-supervised learning; Image classification; Screening mammography</t>
  </si>
  <si>
    <t xml:space="preserve">Classification (of information); Computer aided analysis; Computer aided instruction; Deep learning; Graphic methods; Image analysis; Image classification; Learning systems; Medical imaging; Uncertainty analysis; Dirichlet energy; Energy functionals; Energy-based models; Expert knowledge; Numerical comparison; Semi-supervised classification; Semi-supervised method; State-of-the-art techniques; Semi-supervised learning</t>
  </si>
  <si>
    <t xml:space="preserve">Aviles-Rivero A.I., Et al., Graphx-Net – Chest X-Ray Classification under Extreme Minimal Supervision, pp. 504-512, (2019); Baltruschat I.M., Nickisch H., Grass M., Knopp T., Saalbach A., Comparison of deep learning approaches for multi-label chest x-ray classification, Sci. Rep., 9, 1, pp. 1-10, (2019); Bar Y., Diamant I., Wolf L., Lieberman S., Konen E., Greenspan H., Chest pathology detection using deep learning with non-medical training, 2015 IEEE 12Th International Symposium on Biomedical Imaging (ISBI), pp. 294-297, (2015); Chapelle O., Zien A., Semi-supervised classification by low density separation, 10Th International Workshop on Artificial Intelligence and Statistics, pp. 57-64, (2005); Chapelle O., Scholkopf B., Zien A., Semi-supervised learning, IEEE Trans. Neural Networks, 20, 3, (2009); Chen H., Et al., Inferring group-wise consistent multimodal brain networks via multi-view spectral clustering, IEEE Trans. Med. Imaging, 32, 9, pp. 1576-1586, (2013); Dodero L., Gozzi A., Liska A., Murino V., Sona D., Group-wise functional community detection through joint Laplacian diagonalization, MICCAI 2014. LNCS, 8674, pp. 708-715, (2014); Grandvalet Y., Bengio Y., Semi-supervised learning by entropy minimization, Advances in Neural Information Processing Systems, pp. 529-536, (2005); Iscen A., Tolias G., Avrithis Y., Chum O., Label propagation for deep semi-supervised learning, Proceedings of the IEEE Conference on Computer Vision and Pattern Recognition, pp. 5070-5079, (2019); Kingma D., Mohamed S., Rezende D.J., Welling M., Semi-supervised learning with deep generative models, Neural Information Processing Systems, (2014); Kipf T.N., Welling M., Semi-supervised classification with graph convolutional networks, Proceedings of the 6Th International Conference on Learning Representations, (2017); Kipf T.N., Welling M., Semi-Supervised Classification with Graph Convolutional Networks, (2017); Lee D.H., Pseudo-label: The simple and efficient semi-supervised learning method for deep neural networks, In: Workshop on Challenges in Representation Learning, ICML, 3, (2013); Lee R.S., Gimenez F., Hoogi A., Miyake K.K., Gorovoy M., Rubin D.L., A curated mammography data set for use in computer-aided detection and diagnosis research, Sci. Data, 4, (2017); Lehman C.D., Wellman R.D., Buist D.S., Kerlikowske K., Tosteson A.N., Miglioretti D.L., Diagnostic accuracy of digital screening mammography with and without computer-aided detection, JAMA Intern. Med., 175, 11, pp. 1828-1837, (2015); Miyato T., Maeda S.I., Koyama M., Ishii S., Virtual adversarial training: A regularization method for supervised and semi-supervised learning, IEEE Trans. Pattern Anal. Mach. Intell., 41, 8, pp. 1979-1993, (2018); Moradi E., Et al., Machine learning framework for early MRI-based Alzheimer’s conversion prediction in MCI subjects, Neuroimage, 104, pp. 398-412, (2015); Raghu M., Zhang C., Kleinberg J., Bengio S., Transfusion: Understanding transfer learning for medical imaging, Advances in Neural Information Processing Systems, pp. 3342-3352, (2019); Rajaraman S., Et al., Pre-trained convolutional neural networks as feature extractors toward improved malaria parasite detection in thin blood smear images, Peerj, (2018); Sellars P., Aviles-Rivero A., Schonlieb C.B., Two Cycle Learning: Clustering Based Regularisation for Deep Semi-Supervised Classification. Arxiv Preprint Arxiv, 2001, (2020); Shen L., End-To-End Training for Whole Image Breast Cancer Diagnosis Using an All Convolutional Design, (2017); Shen L., Margolies L.R., Rothstein J.H., Fluder E., McBride R., Sieh W., Deep learning to improve breast cancer detection on screening mammography, Sci. Rep., (2019); Tarvainen A., Valpola H., Mean teachers are better role models: Weight-averaged consistency targets improve semi-supervised deep learning results, Advances in Neural Information Processing Systems (NIPS), pp. 1195-1204, (2017); Tiwari P., Kurhanewicz J., Rosen M., Madabhushi A., Semi supervised multi kernel (SeSMiK) graph embedding: Identifying aggressive prostate cancer via magnetic resonance imaging and spectroscopy, MICCAI 2010. LNCS, 6363, pp. 666-673, (2010); Verma V., Lamb A., Kannala J., Bengio Y., Lopez-Paz D., Interpolation consistency training for semi-supervised learning, International Joint Conference on Artificial Intelligence (IJCAI), (2019); Wang X., Peng Y., Lu L., Lu Z., Bagheri M., Summers R.M., Chestx-ray8 hospital-scale chest x-ray database and benchmarks on weakly-supervised classification and localization of common thorax diseases, IEEE Conference on Computer Vision and Pattern Recognition, pp. 2097-2106, (2017); Wang Z., Et al., Progressive Graph-Based Transductive Learning for Multi-Modal Classification of Brain Disorder Disease; Yan C., Yao J., Li R., Xu Z., Huang J., Weakly supervised deep learning for thoracic disease classification and localization on chest x-rays, Proceedings of the 2018 ACM International Conference on Bioinformatics, Computational Biology, and Health Informatics, Pp. 103–110, (2018); Yao L., Prosky J., Poblenz E., Covington B., Lyman K., Weakly Supervised Medical Diagnosis and Localization from Multiple Resolutions, (2018); Zhao M., Chan R.H., Chow T.W., Tang P., Compact graph based semi-supervised learning for medical diagnosis in Alzheimer’s disease, IEEE Signal Process. Lett., 21, 10, pp. 1192-1196, (2014); Zhou D., Bousquet O., Lal T.N., Weston J., Scholkopf B., Learning with local and global consistency, Advances in Neural Information Processing Systems (NIPS), pp. 321-328, (2004); Zhu W., Lou Q., Vang Y.S., Xie X., Deep multi-instance networks with sparse label assignment for whole mammogram classification, MICCAI 2017. LNCS, 10435, pp. 603-611, (2017)</t>
  </si>
  <si>
    <t xml:space="preserve">A.I. Aviles-Rivero; DPMMS, University of Cambridge, Cambridge, United Kingdom; email: ai323@cam.ac.uk</t>
  </si>
  <si>
    <t xml:space="preserve">Sudre C.H.; Fehri H.; Arbel T.; Baumgartner C.F.; Dalca A.; Tanno R.; Van Leemput K.; Wells W.M.; Sotiras A.; Papiez B.; Ferrante E.; Parisot S.</t>
  </si>
  <si>
    <t xml:space="preserve">2nd International Workshop on Uncertainty for Safe Utilization of Machine Learning in Medical Imaging, UNSURE 2020, and the 3rd International Workshop on Graphs in Biomedical Image Analysis, GRAIL 2020, held in conjunction with the 23rd International Conference on Medical Image Computing and Computer-Assisted Intervention, MICCAI 2020</t>
  </si>
  <si>
    <t xml:space="preserve">8 October 2020 through 8 October 2020</t>
  </si>
  <si>
    <t xml:space="preserve">978-303060364-9</t>
  </si>
  <si>
    <t xml:space="preserve">2-s2.0-85093120418</t>
  </si>
  <si>
    <t xml:space="preserve">Song I.H.J.; Yazar W.; Tsang A.</t>
  </si>
  <si>
    <t xml:space="preserve">Song, Isabel H.J. (8861674800); Yazar, Wanzin (57216313508); Tsang, Austin (57216311897)</t>
  </si>
  <si>
    <t xml:space="preserve">8861674800; 57216313508; 57216311897</t>
  </si>
  <si>
    <t xml:space="preserve">The self- upgrading mobile application for the automatic malaria detection</t>
  </si>
  <si>
    <t xml:space="preserve">WHO set an ambitious vision of malaria control which includes reducing malaria case incidence by 90% by 2030. Many tools and approaches have been considered to enable the progress toward malaria vision. The use of portable smartphones and machine learning (ML) software is a promising one among them. Recently, many ML models have been proposed for malaria detection. From the interview with health workers in the field, we realized ML model should be continuously improved to provide higher accuracy and/or more capability to cover practical issues found in a real setting such as malaria mosquitoes with drug resistance. In this paper, we propose the mobile application for malaria detection which upgrades ML model on its own without depending on internet connection. Unavailability of internet connection is commonly observed in malaria epidemic countries. We also learned that ML model should be not only accurate but also resource-efficient. This motivated us to set up performance metrics for ML model. Based on the metrics, we chose the optimal ML model of Resnet-50. While most of the prior art ML models were optimized in terms of accuracy only, the optimal model of our choice satisfies both accuracy and resource efficiency. With adopting the model, we architect self-upgrading malaria-detection application and it is validated using ATAM (Architecture Tradeoff Analysis Method) to ensure the application works in the resource-constrained setting as desired. Lastly, we develop the prototype application and show it diagnoses malaria parasites as expected. To collect more blood samples and feedback from prospect users, we plan to do testing at local clinics in India and Myanmar. © 2020 IEEE.</t>
  </si>
  <si>
    <t xml:space="preserve">2020 10th Annual Computing and Communication Workshop and Conference, CCWC 2020</t>
  </si>
  <si>
    <t xml:space="preserve">10.1109/CCWC47524.2020.9031201</t>
  </si>
  <si>
    <t xml:space="preserve">https://www.scopus.com/inward/record.uri?eid=2-s2.0-85083080980&amp;doi=10.1109%2fCCWC47524.2020.9031201&amp;partnerID=40&amp;md5=b4ec11143b5c390d54b58c3005025c91</t>
  </si>
  <si>
    <t xml:space="preserve">SFSU, Dept. of Comp. Sci., United States; UC Berkeley, Dept. of Applied Mathematics, United States</t>
  </si>
  <si>
    <t xml:space="preserve">Song I.H.J., SFSU, Dept. of Comp. Sci., United States; Yazar W., UC Berkeley, Dept. of Applied Mathematics, United States; Tsang A., SFSU, Dept. of Comp. Sci., United States</t>
  </si>
  <si>
    <t xml:space="preserve">ATAM; machine learning; malaria detection</t>
  </si>
  <si>
    <t xml:space="preserve">Diseases; Mobile computing; Software prototyping; Architecture tradeoff analysis methods; Internet connection; Malaria mosquitoes; Mobile applications; Performance metrics; Practical issues; Resource efficiencies; Resource-efficient; Malaria control</t>
  </si>
  <si>
    <t xml:space="preserve">Shaikh S., Et al., Role of rapid diagnostic tests for guiding outpatient treatment of febrile illness in Liaquat University Hospital, Pakistan Journal of Medical Science, 29, pp. 1167-1172, (2013); Jaeger S., Malaria Datasets, (2019); Kazman R., Klein M., Clements P., ATAM: Method for Architecture Evaluation, (2000); Yang F., Yu H., Maude R.J., Jaeger S., Smartphonesupported automated malaria parasite detection, SlIM Conference on Machine Intelligence in Medical Imaging, (2018); Razavian A., Azizpour H., Sullivan J., Carlsson S., CNN features off-the-shelf: An astounding baseline for recognition, IEEE Computer Society Conference on Computer Vision and Pattern Recognition Workshops, pp. 512-519, (2014); Rajaraman S., Et al., Pre-trained convolutional neural networks as feature extractors toward improved malaria parasite detection in thin blood smear images, PeerJ, (2018); Rosebrock A., Deep Learning and medical image analysis with keras, The Book of Deep Learning for Compuetr Vision; Rajaraman S., Jaeger S., Antani S.K., Performance Evaluation of Deep Neural Ensembles Toward Malaria Parasite Detection in Thin-blood Smear Images, (2019); WiFi, Bluetooth, ZigBee and NFC, (2018); Jaeger S., Malaria screening: Research into image analysis and deep learning, The Report to the Board of Scientific Counselors, U.S. National Library of Medicine, (2018)</t>
  </si>
  <si>
    <t xml:space="preserve">Chakrabarti S.; Paul R.</t>
  </si>
  <si>
    <t xml:space="preserve">IEEE Region 1; IEEE Region 6; IEEE USA; Institute of Engineering and Management (IEM); University of Engineering and Management (UEM); UNLV</t>
  </si>
  <si>
    <t xml:space="preserve">10th Annual Computing and Communication Workshop and Conference, CCWC 2020</t>
  </si>
  <si>
    <t xml:space="preserve">6 January 2020 through 8 January 2020</t>
  </si>
  <si>
    <t xml:space="preserve">978-172813783-4</t>
  </si>
  <si>
    <t xml:space="preserve">Annu. Comput. Commun. Workshop Conf., CCWC</t>
  </si>
  <si>
    <t xml:space="preserve">2-s2.0-85083080980</t>
  </si>
  <si>
    <t xml:space="preserve">Meske C.; Bunde E.</t>
  </si>
  <si>
    <t xml:space="preserve">Meske, Christian (55806873000); Bunde, Enrico (57218312382)</t>
  </si>
  <si>
    <t xml:space="preserve">55806873000; 57218312382</t>
  </si>
  <si>
    <t xml:space="preserve">Transparency and trust in human-AI-interaction: The role of model-agnostic explanations in computer vision-based decision support</t>
  </si>
  <si>
    <t xml:space="preserve">Computer Vision, and hence Artificial Intelligence-based extraction of information from images, has increasingly received attention over the last years, for instance in medical diagnostics. While the algorithms’ complexity is a reason for their increased performance, it also leads to the ‘black box’ problem, consequently decreasing trust towards AI. In this regard, “Explainable Artificial Intelligence” (XAI) allows to open that black box and to improve the degree of AI transparency. In this paper, we first discuss the theoretical impact of explainability on trust towards AI, followed by showcasing how the usage of XAI in a health-related setting can look like. More specifically, we show how XAI can be applied to understand why Computer Vision, based on deep learning, did or did not detect a disease (malaria) on image data (thin blood smear slide images). Furthermore, we investigate, how XAI can be used to compare the detection strategy of two different deep learning models often used for Computer Vision: Convolutional Neural Network and Multi-Layer Perceptron. Our empirical results show that i) the AI sometimes used questionable or irrelevant data features of an image to detect malaria (even if correctly predicted), and ii) that there may be significant discrepancies in how different deep learning models explain the same prediction. Our theoretical discussion highlights that XAI can support trust in Computer Vision systems, and AI systems in general, especially through an increased understandability and predictability. © Springer Nature Switzerland AG 2020.</t>
  </si>
  <si>
    <t xml:space="preserve">diagnosis/policy planning</t>
  </si>
  <si>
    <t xml:space="preserve">12217 LNCS</t>
  </si>
  <si>
    <t xml:space="preserve">10.1007/978-3-030-50334-5_4</t>
  </si>
  <si>
    <t xml:space="preserve">https://www.scopus.com/inward/record.uri?eid=2-s2.0-85088749501&amp;doi=10.1007%2f978-3-030-50334-5_4&amp;partnerID=40&amp;md5=148e3c6a2b5a8b08ce89bbea3b044259</t>
  </si>
  <si>
    <t xml:space="preserve">Freie Universität Berlin, Garystraße 21, Berlin, 14195, Germany</t>
  </si>
  <si>
    <t xml:space="preserve">Meske C., Freie Universität Berlin, Garystraße 21, Berlin, 14195, Germany; Bunde E., Freie Universität Berlin, Garystraße 21, Berlin, 14195, Germany</t>
  </si>
  <si>
    <t xml:space="preserve">Artificial Intelligence; Computer Vision; Deep learning; Explainability; Healthcare; Trust</t>
  </si>
  <si>
    <t xml:space="preserve">Convolutional neural networks; Decision support systems; Deep learning; Diagnosis; Diseases; Human computer interaction; Learning systems; Medical imaging; Multilayer neural networks; Network layers; Transparency; Computer vision system; Data feature; Decision supports; Extraction of information; Learning models; Medical diagnostics; Multi layer perceptron; Understandability; Computer vision</t>
  </si>
  <si>
    <t xml:space="preserve">Grace K., Salvatier J., Dafoe A., Zhang B., Evans O., Viewpoint: when will AI exceed human performance? Evidence from AI experts, J. Artif. Intell. Res, 62, pp. 729-754, (2018); Maedche A., Et al., AI-based digital assistants, Bus. Inf. Syst. Eng, 61, 4, pp. 535-544, (2019); Ciresan D., Meier U., Masci J., Schmidhuber J., Multi-column deep neural network for traffic sign classification, Neural Netw, 32, pp. 333-338, (2012); Lu Y., Artificial intelligence: a survey on evolution, models, applications and future trends, J. Manag. Anal, 6, 1, pp. 1-29, (2019); Kulkarni S., Seneviratne N., Baig M.S., Khan A.H.H., Artificial intelligence in medicine: where are we now?, Acad. Radiol, 27, 1, pp. 62-70, (2020); Rajaraman S., Et al., Pre-trained convolutional neural networks as feature extractors toward improved malaria parasite detection in thin blood smear images, PeerJ, 6, pp. 1-17, (2018); Rajaraman S., Jaeger S., Antani S.K., Performance evaluation of deep neural ensembles toward malaria parasite detection in thin-blood smear images, PeerJ, 7, pp. 1-16, (2019); Teso S., Kersting K., Explanatory interactive machine learning, AIES’19: AAAI/ACM Conference on AI, Ethics, and Society, pp. 239-245, (2019); Schwartz-Ziv R., Tishby N., Opening the blackbox of Deep Neural Networks via Information, (2017); Zednik C., Solving the black box problem: a normative framework for explainable artificial intelligence, Philos. Technol, pp. 1-24, (2019); Gunning D., Aha D.W., DARPA’s Explainable Artificial Intelligence (XAI) program, AI Mag, 40, 2, pp. 44-58, (2019); Explainable Artificial Intelligence (XAI), DARPA program Update 2017, pp. 1-36; Corritore C.L., Kracher B., Wiedenbeck S., Online trust: concepts, evolving themes, a model, Int. J. Hum. Comput. Stud, 58, 6, pp. 737-758, (2003); Sollner M., Hoffmann A., Hoffmann H., Wacker A., Leimeister J.M., Understanding the formation of trust in it artifacts, Proceedings of the 33rd International Conference on Information Systems, ICIS 2012, pp. 1-18, (2012); Jayaraman P.P., Et al., Healthcare 4.0: a review of frontiers in digital health, Wiley Interdisc. Rev. Data Min. Knowl. Discov, 10, 2, (2019); Gilbert F.J., Smye S.W., Schonlieb C.-B., Artificial intelligence in clinical imaging: a health system approach, Clin. Radiol, 75, 1, pp. 3-6, (2020); Meske C., Amojo I., Social bots as initiators for human interaction in enterprise social networks, Proceedings of the 29th Australasian Conference on Information Systems (ACIS), pp. 1-22, (2018); Kemppainen L., Pikkarainen M., Hurmelinna-Laukkanen P., Reponen J., Connected health innovation: data access challenges in the interface of AI companies and hospitals, Technol. Innov. Manag. Rev, 9, 12, pp. 43-55, (2019); Poncette A.-S., Meske C., Mosch L., Balzer F., How to overcome barriers for the implementation of new information technologies in intensive care medicine, HCII 2019. LNCS, 11570, pp. 534-546, (2019); Stieglitz S., Meske C., Ross B., Mirbabaie M., Going back in time to predict the future-the complex role of the data collection period in social media analytics, Inf. Syst. Front, 22, 2, pp. 395-409, (2018); Walsh S., Et al., Decision support systems in oncology, JCO Clin. Cancer Inf, 3, pp. 1-9, (2019); Ferroni P., Et al., Breast cancer prognosis using a machine learning approach, Cancers, 11, 3, (2019); Song D.-Y., Kim S.Y., Bong G., Kim J.M., Yoo H.J., The use of artificial intelligence in screening and diagnosis of autism spectrum disorder: a literature review, J. Korean Acad. Child Adolesc. Psychiatry, 30, 4, pp. 145-152, (2019); Woldaregay A.Z., Et al., Data-driven modeling and prediction of blood glucose dynamics: machine learning applications in type 1 diabetes, Artif. Intell. Med, 98, pp. 109-134, (2019); Gi-Martin M., Montero J.M., San-Segundo R., Parkinson’s disease detection from drawing movements using convolutional neural networks, Electronics, 8, 8, (2019); Spathis D., Vlamos P., Diagnosing asthma and chronic obstructive pulmonary disease with machine learning, Health Inf. J, 25, 3, pp. 811-827, (2019); Eggerth A., Hayn D., Schreier G., Medication management needs information and communications technology-based approaches, including telehealth and artificial intelligence, Brit. J. Clin. Pharmacol, pp. 1-8, (2019); Khanna S., Artificial intelligence: contemporary applications and future compass, Int. Dent. J, 60, 4, pp. 269-272, (2010); Esteva A., Et al., A guide to deep learning in healthcare, Nat. Med, 25, 1, pp. 24-29, (2019); Lewis S.J., Gandomkar Z., Brennan P.C., Artificial intelligence in medical imaging practice: looking to the future, J. Med. Radiat. Sci, 66, pp. 292-295, (2019); Jiang F., Et al., Artificial intelligence in healthcare: past, present and future, Stroke Vascul. Neurol, 2, 4, pp. 230-243, (2017); Son J., Shin J.Y., Kim H.D., Jung K.-H., Park K.H., Park S.J., Development and validation of deep learning models for screening multiple abnormal findings in retinal fundus images, Ophthalmology, 127, 1, pp. 85-94, (2019); Chen M., Zhou P., Wu D., Hu L., Hassan M.M., Alamri A., AI-Skin: skin disease recognition based on self-learning and wide data collection through a closed-loop framework, Inf. Fusion, 54, pp. 1-9, (2020); Valliani A.A., Ranti D., Oermann E.K., Deep learning in neurology: a systematic review, Neurol. Ther, 8, 2, pp. 351-365, (2019); Rosenblatt F., The perceptron: a probabilistic model for information storage and organization in the brain, Psychol. Rev, 65, 6, pp. 386-408, (1958); Goodfellow I., Bengio Y., Courville A., Deep Learning, (2016); Jang D.-H., Et al., Developing neural network models for early detection of cardiac arrest in emergency department, Am. J. Emerg. Med, 38, 1, pp. 43-49, (2020); Kim M., Et al., Deep learning medical imaging, Neurospine, 16, 4, pp. 657-668, (2019); Saba L., Et al., The present and future of deep learning in radiology, Eur. J. Radiol, 114, pp. 14-24, (2019); Adadi A., Berrada M., Peeking inside the black-box: a survey on Explainable Artificial Intelligence (XAI), IEEE Access, 6, pp. 52138-52160, (2018); Gunning D., Stefik M., Choi J., Miller T., Stumpf S., Yang G.-Z., XAI – explainable artificial intelligence, Sci. Robot, 4, 37, (2019); Dosilovic F.K., Brcic M., Hlupic N., Explainable artificial intelligence: a survey, Proceedings of 41st International Convention on Information and Communication Technology, Electronics and Microelectronics, Opatija Croatia, pp. 210-215, (2018); Kuhl N., Lobana J., Meske C., Do you comply with AI? Personalized explanations of learning algorithms and their impact on employees compliance behavior, 40th International Conference on Information Systems, pp. 1-6, (2019); Guidotti R., Monreale A., Ruggieri S., Turini F., Giannotti F., Pedreschi D., A survey of methods for explaining black box models, ACM Comput. Surv. (CSUR), 51, 5, (2018); Ras G., van Gerven M., Haselager P., Explanation methods in deep learning: users, values, concerns and challenges, pp. 1-15; Meske C., Digital workplace transformation – on the role of self-determination in the context of transforming work environments, Proceedings of the 27th European Conference on Information Systems (ECIS), pp. 1-18, (2019); Yan Z., Kantola R., Zhang P., A research model for human-computer trust interaction, Proceedings of the 2011 IEEE 10th International Conference on Trust, Security and Privacy in Computing and Communications, pp. 274-281, (2011); Muhl K., Strauch C., Grabmaier C., Reithinger S., Huckauf A., Baumann M., Get ready for being chauffeured: passenger’s preferences and trust while being driven by human automation, Hum. Factors, pp. 1-17, (2019); Qasim A.F., Meziane F., Aspin R., Digital watermarking: applicability for developing trust in medical imaging workflows state of the art review, Comput. Sci. Rev, 27, pp. 45-60, (2018); Gulati S., Sousa S., Lamas D., Design, development and evaluation of a human-computer trust scale, Behav. Technol, 38, 10, pp. 1004-1015, (2019); McKnight D.H., Carter M., Thatcher J.B., Clay P.F., Trust in specific technology: an investigation of its components and measures, ACM Trans. Manag. Inf. Syst. (TMIS), 2, 2, pp. 12-32, (2011); Mayer R.C., Davis J.H., Schoorman F.D., An integrative model of organizational trust, Acad. Manag. Rev, 20, 3, pp. 709-734, (1995); Muir B.M., Moray N., Trust in automation. Part II. Experimental studies of trust and human intervention in a process control simulation, Ergonomics, 39, 3, pp. 429-460, (1996); Ribeiro M.T., Singh S., Guestrin C., “Why should I trust you?” Explaining the predictions of any classifier, Proceedings of the 22nd ACM SIGKDD International Conference on Knowledge Discovery and Data Mining, pp. 1135-1144, (2016); de Sousa I.P., Et al., Local interpretable model-agnostic explanations for classification of lymph node metastases, Sensors, 19, 13, (2019); Weitz K., Hassan T., Schmid U., Garbas J.-U., Deep-learned faces of pain and emotions: elucidating the differences of facial expressions with the help of explainable AI methods, TM-Tech. Mess, 86, 7–8, pp. 404-412, (2019); National Library of Medicine – Malaria Datasets</t>
  </si>
  <si>
    <t xml:space="preserve">C. Meske; Freie Universität Berlin, Berlin, Garystraße 21, 14195, Germany; email: c.meske@fu-berlin.de</t>
  </si>
  <si>
    <t xml:space="preserve">Degen H.; Reinerman-Jones L.</t>
  </si>
  <si>
    <t xml:space="preserve">1st International Conference on Artificial Intelligence in HCI, AI-HCI 2020, held as part of the 22nd International Conference on Human-Computer Interaction, HCII 2020</t>
  </si>
  <si>
    <t xml:space="preserve">19 July 2020 through 24 July 2020</t>
  </si>
  <si>
    <t xml:space="preserve">978-303050333-8</t>
  </si>
  <si>
    <t xml:space="preserve">2-s2.0-85088749501</t>
  </si>
  <si>
    <t xml:space="preserve">Vector borne disease outbreak prediction by machine learning</t>
  </si>
  <si>
    <t xml:space="preserve">Vector Borne Disease is a form of illness which is caused by parasites, viruses and bacteria. The infection is transferred through blood-feeding arthropods such as mosquitoes, fleas ticks etc. Every year from diseases such as yellow fever, Malaria more than 700, 000 deaths occur. These diseases are most common in tropical and subtropical areas and affect the underprivileged populations. Deep learning an essential part of Artificial Intelligence provides an uncanny power to systems to construct a complex network using layers of perceptrons which mimic the human neurons. This network Combined with algorithms of Machine Learning may serve as one of the most powerful tool in healthcare to classify and analyze huge amount of medical data and predict future trends through Supervised Learning. The paper we focused on effective prediction of the vector borne disease outbreak (Multiclass Classification) of three diseases (Chikungunya, Malaria, Dengue) across the Indian-subcontinent. We have examined and refined our model over data collected across India in 2013-2017. We have put forward a Convolutional Neural Network outbreak risk prediction algorithm using contrasting data. To our finest understanding, none of the previous works have centered on contrasting data in area of analysis of medical data. The prediction accuracy of our suggested CNN algorithm is 88%. © 2020 IEEE.</t>
  </si>
  <si>
    <t xml:space="preserve">Proceedings of the International Conference on Smart Technologies in Computing, Electrical and Electronics, ICSTCEE 2020</t>
  </si>
  <si>
    <t xml:space="preserve">10.1109/ICSTCEE49637.2020.9277286</t>
  </si>
  <si>
    <t xml:space="preserve">https://www.scopus.com/inward/record.uri?eid=2-s2.0-85099481885&amp;doi=10.1109%2fICSTCEE49637.2020.9277286&amp;partnerID=40&amp;md5=922d3414d401b8e17c12927466371443</t>
  </si>
  <si>
    <t xml:space="preserve">Amity University, Amity School of Engineering and Technology, Department of Computer Science, Noida, India</t>
  </si>
  <si>
    <t xml:space="preserve">Raizada S., Amity University, Amity School of Engineering and Technology, Department of Computer Science, Noida, India; Mala S., Amity University, Amity School of Engineering and Technology, Department of Computer Science, Noida, India; Shankar A., Amity University, Amity School of Engineering and Technology, Department of Computer Science, Noida, India</t>
  </si>
  <si>
    <t xml:space="preserve">Healthcare; Machine learning</t>
  </si>
  <si>
    <t xml:space="preserve">Complex networks; Convolutional neural networks; Deep learning; Forecasting; Health care; Network layers; Tropics; Viruses; Disease outbreaks; Future trends; Human neurons; Machine-learning; Medical data; Multi-class classification; Parasite-; Power; Subtropical area; Vector-borne disease; Diseases</t>
  </si>
  <si>
    <t xml:space="preserve">Usha Rani K., Analysis of heart diseases dataset using neural network approach, International Journal of Data Mining &amp; Knowledge Management Process (IJDKP), 1, 5, (2011); Shivhare S., Shrivastava On R., Automatic bone marrow white blood cell classification using morphological granulometric feature of nucleus, Oriental Journal of Computer Science &amp; Technology, 5, 1, pp. 75-85, (2012); Osman Goni Nayeem Md., Ning Wan M., Kamrul Hasan On Md., Prediction of disease level using multilayer perceptron of artificial neural network for patient monitoring, International Journal of Soft Computing and Engineering (IJSCE), 5, 4, pp. 17-23, (2015); Sivaranjani R., On Yuvaraj N., Artificial intelligence model for earlier prediction of cardiac functionalities using multilayer perceptron, International Conference on Physics and Photonics Processes in Nano Sciences; Anthimopoulos M., Christodoulidis S., Ebner L., Christe A., Mougiakakou On S., Lung pattern classification for interstitial lung diseases using a deep convolutional neural network, IEEE Transactions on Medical Imaging, 35, 5, (2016); Abiyev R.H., Khaleel Sallam Ma'Aitah M., Deep convolutional neural networks for chest diseases detection, Journal of Healthcare Engineering Volume, (2018); Qomaruddin Munir A., Winarko On E., Classification model disease risk areas endemicity dengue fever outbreak based prediction of patients, death, ir and cfr using forecasting techniques, International Journal of Computer Applications, (2015); Scavuzzoa J.M., Truccoa F., Espinosac M., Taurob C.B., Abrilc M., Scavuzzob C.M., On Modeling Freryd A.C., Dengue Vector Population Using Remotely Sensed Data and Machine Learning; Mahalakshmi, Suseendran G., Prediction of zika virus by multilayer perceptron neural network (mlpnn) using cloud b, International Journal of Recent Technology and Engineering (IJRTE), 8, 2 S11, pp. 249-254, (2019); Janani V., Maadhuryaa N., Pavithra D., Sree R.S., Dengue prediction using multilayer perceptron-a machine learning approach, International Journal of Research in Engineering, Science and Management, 3, 3, (2020); Mudele O., Bayer F.M., Zanandrez L., Eiras A.E., Gamba P., Modeling the Temporal Population Distribution of Ae. Aegypti Mosquito Using Big Earth Observation Data; Sharma V., Kumar A., Panat L., Karajkhede G., Lele On A., Malaria outbreak prediction model using machine learning, International Journal of Advanced Research in Computer Engineering &amp; Technology (IJARCET), 4, 12, (2015)</t>
  </si>
  <si>
    <t xml:space="preserve">Niranjan S.K.; Divakar B.P.; Manvi S.S.; Hulipalled V.R.; Kodabagi M.M.</t>
  </si>
  <si>
    <t xml:space="preserve">2020 International Conference on Smart Technologies in Computing, Electrical and Electronics, ICSTCEE 2020</t>
  </si>
  <si>
    <t xml:space="preserve">Virtual, Bengaluru</t>
  </si>
  <si>
    <t xml:space="preserve">978-172817213-2</t>
  </si>
  <si>
    <t xml:space="preserve">Proc. Int. Conf. Smart Technol. Comput., Electr. Electron., ICSTCEE</t>
  </si>
  <si>
    <t xml:space="preserve">2-s2.0-85099481885</t>
  </si>
  <si>
    <t xml:space="preserve">Saraiva R.M.; Scolin E.M.B.; Pacheco N.P.; Bouret M.E.; Mediano M.F.F.; Holanda M.T.; Da Costa A.R.</t>
  </si>
  <si>
    <t xml:space="preserve">Saraiva, Roberto M. (12774486600); Scolin, Eliza Maria B. (57212154686); Pacheco, Nicole P. (57212156081); Bouret, Maria Eduarda (57212154666); Mediano, Mauro Felippe Felix (13411342900); Holanda, Marcelo T. (55941532200); Da Costa, Andréa R. (8854276500)</t>
  </si>
  <si>
    <t xml:space="preserve">12774486600; 57212154686; 57212156081; 57212154666; 13411342900; 55941532200; 8854276500</t>
  </si>
  <si>
    <t xml:space="preserve">3-dimensional echocardiography and 2-D strain analysis of left ventricular, left atrial and right ventricular function in healthy brazilian volunteers; [Análise da função ventricular esquerda e direita e atrial esquerda pelo ecocardiograma tridimensional e análise da deformação bidimensional em voluntários saudáveis brasileiros]</t>
  </si>
  <si>
    <t xml:space="preserve">Background: New echocardiographic techniques are used in the diagnosis and prognosis of many heart diseases. However, reference values in different populations are still needed for several of these new indexes. We studied these new echocardiographic parameters in a group of Brazilians with no known cardiovascular disease. Objective: To study values for new echocardiographic indexes in Brazilians without known cardiovascular disease and their correlation with age. Methods: Cross-sectional study that included healthy individuals who underwent three-dimensional echocardiography (3DE) and two-dimensional speckle tracking echocardiography (STE) strain (ε) analysis. Left atrial (LA) and left ventricular (LV) function were analyzed by 3DE and STE, and right ventricular (RV) function by STE. P values &lt; 0.05 were considered significant. Results: Seventy-seven subjects (46.7% men; 40.4 ± 10.4 years) were included. Maximum, minimum and pre-atrial contraction (pre-A) LA volumes (ml/m2) were 21.2 ± 5.5, 7.8 ± 2.5, and 11.0 ± 3.1, respectively. Peak positive global LA ε (LAScd), peak negative global LA ε and total global LA ε (LASr) were 17.4 ± 5.2%, -13.2 ± 2.0% and 30.5 ± 5.9%, respectively. LV end-diastolic and end-systolic volumes (ml/m2) measured 57 ± 12 and 24 ± 6, and 3D LV ejection fraction measured 58 ± 6%. Global LV longitudinal, circumferential and radial ε were -19 ± 2%, -19 ± 3%, and 46 ± 12%, respectively. LV torsion measured 1.6 ± 0.70 /cm. Global longitudinal RV ε (RV-GLS) and RV free wall strain were -22 ± 3% and -24 ± 5%. Minimum LA and pre-A volumes, LV apical rotation, torsion and RV-GLS increased with age, while total and passive LA emptying fractions, LAScd, LASr, LV end-diastolic and end-systolic volumes decreased with age. Conclusion: Values for new echocardiographic indexes in Brazilians without known cardiovascular disease and their correlation with age are presented. (Arq Bras Cardiol. 2019; 113(5):935-945). © 2019, Arquivos Brasileiros de Cardiologia. All right reserved.</t>
  </si>
  <si>
    <t xml:space="preserve">10.5935/abc.20190155</t>
  </si>
  <si>
    <t xml:space="preserve">https://www.scopus.com/inward/record.uri?eid=2-s2.0-85076065345&amp;doi=10.5935%2fabc.20190155&amp;partnerID=40&amp;md5=6238f88706d0517a841e5097711356dc</t>
  </si>
  <si>
    <t xml:space="preserve">Instituto Nacional de Infectologia Evandro Chagas, Fundação Oswaldo Cruz, Rio de Janeiro, RJ, Brazil; Departamento de pesquisa e Educação, Instituto Nacional de Cardiologia, Rio de Janeiro, RJ, Brazil</t>
  </si>
  <si>
    <t xml:space="preserve">Saraiva R.M., Instituto Nacional de Infectologia Evandro Chagas, Fundação Oswaldo Cruz, Rio de Janeiro, RJ, Brazil; Scolin E.M.B., Instituto Nacional de Infectologia Evandro Chagas, Fundação Oswaldo Cruz, Rio de Janeiro, RJ, Brazil; Pacheco N.P., Instituto Nacional de Infectologia Evandro Chagas, Fundação Oswaldo Cruz, Rio de Janeiro, RJ, Brazil; Bouret M.E., Instituto Nacional de Infectologia Evandro Chagas, Fundação Oswaldo Cruz, Rio de Janeiro, RJ, Brazil; Mediano M.F.F., Instituto Nacional de Infectologia Evandro Chagas, Fundação Oswaldo Cruz, Rio de Janeiro, RJ, Brazil, Departamento de pesquisa e Educação, Instituto Nacional de Cardiologia, Rio de Janeiro, RJ, Brazil; Holanda M.T., Instituto Nacional de Infectologia Evandro Chagas, Fundação Oswaldo Cruz, Rio de Janeiro, RJ, Brazil; Da Costa A.R., Instituto Nacional de Infectologia Evandro Chagas, Fundação Oswaldo Cruz, Rio de Janeiro, RJ, Brazil</t>
  </si>
  <si>
    <t xml:space="preserve">Cardiovascular Diseases; Echocardiography; Left Ventricular Function; Reference Values; Right Ventricular Function; Speckle Tracking; Strain; Three-Dimensional</t>
  </si>
  <si>
    <t xml:space="preserve">acoustic analysis; adult; aged; Article; Chagas disease; cross-sectional study; Doppler flowmetry; female; heart atrium contraction; heart disease; heart left atrium muscle; heart left ventricle ejection fraction; heart left ventricle enddiastolic volume; heart left ventricle endsystolic volume; heart left ventricle function; heart muscle contractile force; heart performance; heart right ventricle function; heart size; human; human experiment; image quality; left atrial emptying fraction; left ventricular longitudinal length; left ventricular torsion; male; middle aged; normal human; P wave; parameters; peak early diastolic mitral annulus velocity; peak early wave diastolic filling velocity; peak late wave diastolic filling velocity; peak systolic mitral annulus velocity; prospective study; radial artery; serology; three dimensional echocardiography; two dimensional speckle tracking echocardiography; young adult</t>
  </si>
  <si>
    <t xml:space="preserve">Vivid 7, GE Healthcare</t>
  </si>
  <si>
    <t xml:space="preserve">Conselho Nacional de Desenvolvimento Científico e Tecnológico, CNPq, (305088/2013-0, 407655/2012-3, 421843/2017-9); Fundação Carlos Chagas Filho de Amparo à Pesquisa do Estado do Rio de Janeiro, FAPERJ, (E-26/110.176/2014, E-26/201.561/2014)</t>
  </si>
  <si>
    <t xml:space="preserve">Funding text 1: This study was funded by Fundação de Amparo a Pesquisa do Estado do Rio de Janeiro, Brazil (grant E-26/201.561/2014 and E-26/110.176/2014 to Dr Saraiva), Programa Estratégico de Apoio à Pesquisa em Saúde /Conselho Nacional de Desenvolvimento Científico e Tecnológico (CNPq), Brazil (grant 407655/2012-3 and 421843/2017-9 to Dr Saraiva), and Cnpq (grant 305088/2013-0 to Dr Saraiva).; Funding text 2: This study was funded by Fundação de Amparo a Pesquisa do Estado do Rio de Janeiro, Brazil (grant E-26/201.561/2014 and E-26/110.176/2014 to Dr Saraiva), Programa Estratégico de Apoio à Pesquisa em Saúde /Conselho Nacional de</t>
  </si>
  <si>
    <t xml:space="preserve">Lang R.M., Badano L.P., Mor-Avi V., Afilalo J., Armstrong A., Ernande L., Et al., Recommendations for cardiac chamber quantification by echocardiography in adults: An update from the American Society of Echocardiography and the European Association of Cardiovascular Imaging, J am Soc Echocardiogr, 28, 1, pp. 1-39, (2015); Plana J.C., Galderisi M., Barac A., Ewer M.S., Ky B., Scherrer-Crosbie M., Et al., Expert consensus for multimodality imaging evaluation of adult patients during and after cancer therapy: A report from the American Society of Echocardiography and the European Association of Cardiovascular Imaging, J am Soc Echocardiogr, 27, 9, pp. 911-939, (2014); Lang R.M., Badano L.P., Tsang W., Adams D.H., Agricola E., Buck T., Et al., EAE/ASE recommendations for image acquisition and display using three-dimensional echocardiography, J am Soc Echocardiogr, 25, 1, pp. 3-46, (2012); Gomes V.A., Alves G.F., Hadlich M., Azevedo C.F., Pereira I.M., Santos C.R., Et al., Analysis of Regional Left Ventricular Strain in Patients with Chagas Disease and Normal Left Ventricular Systolic Function, J am Soc Echocardiogr, 29, 7, pp. 679-688, (2016); Nascimento C.A., Gomes V.A., Silva S.K., Santos C.R., Chambela M.C., Madeira F.S., Et al., Left atrial and left ventricular diastolic function in chronic chagas disease, J am Soc Echocardiogr, 26, 12, pp. 1424-1433, (2013); Nagueh S.F., Appleton C.P., Gillebert T.C., Marino P.N., Oh J.K., Smiseth O.A., Et al., Recommendations for the evaluation of left ventricular diastolic function by echocardiography, J am Soc Echocardiogr, 22, 2, pp. 107-133, (2009); Saraiva R.M., Demirkol S., Buakhamsri A., Greenberg N., Popovic Z.B., Thomas J.D., Et al., Left atrial strain measured by two-dimensional speckle tracking represents a new tool to evaluate left atrial function, J am Soc Echocardiogr, 23, 2, pp. 172-180, (2010); Zegers M., De Bruijne M.C., Wagner C., Groenewegen P.P., Van Der W.G., De Vet H.C., The inter-rater agreement of retrospective assessments of adverse events does not improve with two reviewers per patient record, J Clin Epidemiol, 63, 1, pp. 94-102, (2010); Angelo L.C., Vieira M.L., Rodrigues S.L., Morelato R.L., Pereira A.C., Mill J.G., Et al., Echocardiographic reference values in a sample of asymptomatic adult Brazilian population, Arq Bras Cardiol, 89, 3, pp. 168-190, (2007); Schvartzman P.R., Fuchs F.D., Mello A.G., Coli M., Schvartzman M., Moreira L.B., Normal values of echocardiographic measurements. A population-based study, Arq Bras Cardiol, 75, 2, pp. 107-114, (2000); Dalen H., Thorstensen A., Vatten L.J., Aase S.A., Stoylen A., Reference values and distribution of conventional echocardiographic Doppler measures and longitudinal tissue Doppler velocities in a population free from cardiovascular disease, Circ Cardiovasc Imaging, 3, 5, pp. 614-622, (2010); Daimon M., Watanabe H., Abe Y., Hirata K., Hozumi T., Ishii K., Et al., Normal values of echocardiographic parameters in relation to age in a healthy Japanese population: The JAMP study, Circ J, 72, 11, pp. 1859-1866, (2008); Aune E., Baekkevar M., Roislien J., Rodevand O., Otterstad J.E., Normal reference ranges for left and right atrial volume indexes and ejection fractions obtained with real-time three-dimensional echocardiography, Eur J Echocardiogr, 10, 6, pp. 738-744, (2009); Badano L.P., Miglioranza M.H., Mihaila S., Peluso D., Xhaxho J., Marra M.P., Et al., Left Atrial Volumes and Function by Three-Dimensional Echocardiography: Reference Values, Accuracy, Reproducibility, and Comparison With Two-Dimensional Echocardiographic Measurements, Circ Cardiovasc Imaging, 9, 7, (2016); Pathan F., D'Elia N., Nolan M.T., Marwick T.H., Negishi K., Normal Ranges of Left Atrial Strain by Speckle-Tracking Echocardiography: A Systematic Review and Meta-Analysis, J am Soc Echocardiogr, 30, 1, pp. 59-70, (2017); Badano L.P., Kolias T.J., Muraru D., Abraham T.P., Aurigemma G., Edvardsen T., Et al., Standardization of left atrial, right ventricular, and right atrial deformation imaging using two-dimensional speckle tracking echocardiography: A consensus document of the EACVI/ASE/Industry Task Force to standardize deformation imaging, Eur Heart J Cardiovasc Imaging, 19, 6, pp. 591-600, (2018); Vieira M.J., Teixeira R., Goncalves L., Gersh B.J., Left atrial mechanics: Echocardiographic assessment and clinical implications, J am Soc Echocardiogr, 27, 5, pp. 463-478, (2014); Wakami K., Ohte N., Asada K., Fukuta H., Goto T., Mukai S., Et al., Correlation between left ventricular end-diastolic pressure and peak left atrial wall strain during left ventricular systole, J am Soc Echocardiogr, 22, 7, pp. 847-851, (2009); Tadic M., Cuspidi C., Ilic I., Suzic-Lazic J., Zivanovic V., Jozika L., Et al., The relationship between blood pressure variability, obesity and left atrial phasic function in hypertensive population, Int J Cardiovasc Imaging, 32, 4, pp. 603-612, (2016); Aune E., Baekkevar M., Rodevand O., Otterstad J.E., Reference values for left ventricular volumes with real-time 3-dimensional echocardiography, Scand Cardiovasc J, 44, 1, pp. 24-30, (2010); Bernard A., Addetia K., Dulgheru R., Caballero L., Sugimoto T., Akhaladze N., Et al., 3D echocardiographic reference ranges for normal left ventricular volumes and strain: Results from the EACVI NORRE study, Eur Heart J Cardiovasc Imaging, 18, 4, pp. 475-483, (2017); Fukuda S., Watanabe H., Daimon M., Abe Y., Hirashiki A., Hirata K., Et al., Normal values of real-time 3-dimensional echocardiographic parameters in a healthy Japanese population: The JAMP-3D Study, Circ J, 76, 5, pp. 1177-1181, (2012); Chahal N.S., Lim T.K., Jain P., Chambers J.C., Kooner J.S., Senior R., Populationbased reference values for 3D echocardiographic LV volumes and ejection fraction, JACC Cardiovasc Imaging, 5, 12, pp. 1191-1197, (2012); Marwick T.H., Leano R.L., Brown J., Sun J.P., Hoffmann R., Lysyansky P., Et al., Myocardial strain measurement with 2-dimensional speckle-tracking echocardiography: Definition of normal range, JACC Cardiovasc Imaging, 2, 1, pp. 80-84, (2009); Sun J.P., Lee A.P., Wu C., Lam Y.Y., Hung M.J., Chen L., Et al., Quantification of left ventricular regional myocardial function using two-dimensional speckle tracking echocardiography in healthy volunteers -A multi-center study, Int J Cardiol, 167, 2, pp. 495-501, (2013); Kocabay G., Muraru D., Peluso D., Cucchini U., Mihaila S., Padayattil-Jose S., Et al., Normal left ventricular mechanics by two-dimensional speckle-tracking echocardiography. Reference values in healthy adults, Rev Esp Cardiol, 67, 8, pp. 651-658, (2014); Cheng S., Larson M.G., McCabe E.L., Osypiuk E., Lehman B.T., Stanchev P., Et al., Age-and sex-based reference limits and clinical correlates of myocardial strain and synchrony: The Framingham Heart Study, Circ Cardiovasc Imaging, 6, 5, pp. 692-699, (2013); Maharaj N., Peters F., Khandheria B.K., Libhaber E., Essop M.R., Left ventricular twist in a normal African adult population, Eur Heart J Cardiovasc Imaging, 14, 6, pp. 526-533, (2013); Yingchoncharoen T., Agarwal S., Popovic Z.B., Marwick T.H., Normal ranges of left ventricular strain: A meta-analysis, J am Soc Echocardiogr, 26, 2, pp. 185-191, (2013); Helle-Valle T., Remme E.W., Lyseggen E., Pettersen E., Vartdal T., Opdahl A., Et al., Clinical assessment of left ventricular rotation and strain: A novel approach for quantification of function in infarcted myocardium and its border zones, Am J Physiol Heart Circ Physiol, 297, 1, pp. H257-H267, (2009); Kim H.K., Sohn D.W., Lee S.E., Choi S.Y., Park J.S., Kim Y.J., Et al., Assessment of left ventricular rotation and torsion with two-dimensional speckle tracking echocardiography, J am Soc Echocardiogr, 20, 1, pp. 45-53, (2007); Takigiku K., Takeuchi M., Izumi C., Yuda S., Sakata K., Ohte N., Et al., Normal range of left ventricular 2-dimensional strain: Japanese Ultrasound Speckle Tracking of the Left Ventricle (JUSTICE) study, Circ J, 76, 11, pp. 2623-2632, (2012); Chia E.M., Hsieh C.H., Boyd A., Pham P., Vidaic J., Leung D., Et al., Effects of age and gender on right ventricular systolic and diastolic function using two-dimensional speckle-tracking strain, J am Soc Echocardiogr, 27, 10, pp. 1079-1086, (2014); Guendouz S., Rappeneau S., Nahum J., Dubois-Rande J.L., Gueret P., Monin J.L., Et al., Prognostic significance and normal values of 2D strain to assess right ventricular systolic function in chronic heart failure, Circ J, 76, 1, pp. 127-136, (2012); Farsalinos K.E., Daraban A.M., Unlu S., Thomas J.D., Badano L.P., Voigt J.U., Headto-Head Comparison of Global Longitudinal Strain Measurements among Nine Different Vendors: The EACVI/ASE Inter-Vendor Comparison Study, J am Soc Echocardiogr, 28, 10, pp. 1171-1181, (2015); Spitzer E., Ren B., Zijlstra F., Mieghem N., Geleijnse M.L., The Role of Automated 3D Echocardiography for Left Ventricular Ejection Fraction Assessment, Card Fail Rev, 3, 2, pp. 97-101, (2017); Macron L., Lim P., Bensaid A., Nahum J., Dussault C., Mitchell-Heggs L., Et al., Single-beat versus multibeat real-time 3D echocardiography for assessing left ventricular volumes and ejection fraction: A comparison study with cardiac magnetic resonance, Circ Cardiovasc Imaging, 3, 4, pp. 450-455, (2010); Mor-Avi V., Yodwut C., Jenkins C., Kuhl H., Nesser H.J., Marwick T.H., Et al., Realtime 3D echocardiographic quantification of left atrial volume: Multicenter study for validation with CMR, JACC Cardiovasc Imaging, 5, 8, pp. 769-777, (2012); Artang R., Migrino R.Q., Harmann L., Bowers M., Woods T.D., Left atrial volume measurement with automated border detection by 3-dimensional echocardiography: Comparison with Magnetic Resonance Imaging, Cardiovasc Ultrasound, 7, (2009)</t>
  </si>
  <si>
    <t xml:space="preserve">R.M. Saraiva; Instituto Nacional de Infectologia Evandro Chagas - Fundação Oswaldo Cruz, Fundação Oswaldo Cruz, Rio de Janeiro, Av. Brasil, 4365, 21040-900, Brazil; email: roberto.saraiva@ini.fiocruz.br</t>
  </si>
  <si>
    <t xml:space="preserve">2-s2.0-85076065345</t>
  </si>
  <si>
    <t xml:space="preserve">Oguntimilehin A.; Babalola Gbemisola O.; Olatunji K.A.</t>
  </si>
  <si>
    <t xml:space="preserve">Oguntimilehin, A. (57210702113); Babalola Gbemisola, O. (57192856560); Olatunji, K.A. (57210703197)</t>
  </si>
  <si>
    <t xml:space="preserve">57210702113; 57192856560; 57210703197</t>
  </si>
  <si>
    <t xml:space="preserve">A clinical diagnostic model based on supervised learning</t>
  </si>
  <si>
    <t xml:space="preserve">Shortages of medical practitioners, medical facilities and complexity of diseases among others have given rise to the need for the use of computer programs to give helping hands in the health sector. Supervised Learning as a method of developing predictive systems has been proved to be powerful on classification problems, mostly when dealing with diseases. It was used on malaria fever datasets collected from a reputable hospital in Ado-Ekiti, Ekiti State, Nigeria in this work to create a classification model using Partial Tree (PART) Technique. The developed model was tested on both the training and the testing sets with the detection rates of 100% and 98.04% respectively, and adjudged promising. The final implementation and deployment of the model will be carryout as a mobile application so as to have a wider coverage in terms of accessibility and usability. It is hopeful it will be of immense benefits in the health sector. © 2019, World Academy of Research in Science and Engineering. All rights reserved.</t>
  </si>
  <si>
    <t xml:space="preserve">International Journal of Advanced Trends in Computer Science and Engineering</t>
  </si>
  <si>
    <t xml:space="preserve">World Academy of Research in Science and Engineering</t>
  </si>
  <si>
    <t xml:space="preserve">10.30534/ijatcse/2019/94832019</t>
  </si>
  <si>
    <t xml:space="preserve">https://www.scopus.com/inward/record.uri?eid=2-s2.0-85071222952&amp;doi=10.30534%2fijatcse%2f2019%2f94832019&amp;partnerID=40&amp;md5=ca5eacd7272cdc631cc222a761f3ac08</t>
  </si>
  <si>
    <t xml:space="preserve">Afe Babalola University, Ado-Ekiti, Nigeria; Afe Babalola University, Ado-Ekiti, Nigeria; Afe Babalola University, Ado-Ekiti, Nigeria</t>
  </si>
  <si>
    <t xml:space="preserve">Oguntimilehin A., Afe Babalola University, Ado-Ekiti, Nigeria; Babalola Gbemisola O., Afe Babalola University, Ado-Ekiti, Nigeria; Olatunji K.A., Afe Babalola University, Ado-Ekiti, Nigeria</t>
  </si>
  <si>
    <t xml:space="preserve">Diagnosis; Machine Learning; Malaria Fever; Supervised Learning; Therapy</t>
  </si>
  <si>
    <t xml:space="preserve">Adetunmbi A.O., Oguntimilehin A., Falaki S.O., Web-Based Medical Assistant System for Malaria Diagnosis and Therapy, GESJ: Computer Science and Telecommunications No, 1, 33, pp. 42-53, (2012); Machine Learning, Part1: Supervised and Unsupervised Learning, Aihorizon, (2010); Esposito F., Donato M., Glovanni S., Valentina T., The Effects of Pruning Methods on the Predictive Accuracy of Induced Decision Trees, Applied Stochastic Models in Business and Industry, 15, pp. 277-299, (1999); Haizan W.M., Mohd-Najib M.S., Abdul H.O., A Comparative Study of Reduced Error Pruning Method in Decision Tree Algorithms, IEEE Conference on Control, Computing and Engineering (978-4673-3141-8), (2012); Ian H.W., Eibe F., Mark A.H., Data Mining: Practical Machine Learning Tools and Techniques, (2011); Jiawei H., Micheline K., Jian P., Data Mining: Concepts and Techniques, (2012); Kotsiants S.B., Supervised Machine Learning: A review of Classification Techniques, International Journal of Computing and Informatics, 31, pp. 249-268, (2007); Nils J.N., Introduction to Machine Learning, (1998); Nikita P., Saurabh U., Study of various Decision Tree Pruning Methods with their Empirical Comparison, International Journal of Computer Applications, 60, 12, pp. 20-25, (2012); Malaria, Centre for Disease Control, Northern Territory Government(Ntg), (2012); Oguntimilehin A., Ademola E.O., (2014), A Review of Big Data Management, Benefits and Challenges, Journal of Emerging Trends in Computing and Information Sciences, 5, 6, pp. 433-438, (2014); Oguntimilehin A., Adetunmbi A.O., Abiola O.B., A Machine Learning Approach to Clinical Diagnosis of Typhoid Fever, International Journal of Computer and Information Technology, 2, 4, pp. 671-676, (2013); Olabiyisi S.O., Omidiora E.O., Olaniyan M.O., A Decision Support System Model for Diagnosing Tropical Diseases Using Fuzzy Logic, African Journal of Computing &amp; ICT, 4, 2, pp. 1-6, (2011); Olugbenga O., Uzoamaka O., Nwinyi O., A knowledge- Based Data Mining System for Diagnosing Malaria Related Cases in Healthcare Management, Egyptian Computer Science Journal, 34, 4, pp. 1-10, (2010); Priynka S., Singh D., Manoj K.B., Nidhi M., Decision Support System for Malaria and Dengue Disease Diagnosis (ASSMD), International Journal of Information and Communication Technology, 3, 7, pp. 633-640, (2013); Soomro A.A., Memon N.A., Menopn M.S., Knowledge Based Expert System for Symptomatic Automated HealthCare, Sindh University Research Journal (Science Series), pp. 79-84, (2011); Vadivu Senthil P., Bharathi D., Survey on Students’ Academic Failure and Dropout using Data Mining Techniques, International Journal of Advances in Computer Science and Technology, 3, 5, pp. 318-324, (2014); Vipul P., Pooja P., Archana S., Computer Automation for Malaria Parasite Detection using Linear Programming, International Journal of Advanced Research in Electrical, Electronics and Instrumentation Engineering, 2, 5, pp. 1984-1988, (2013)</t>
  </si>
  <si>
    <t xml:space="preserve">Int. J. Adv. Trends Comput. Sci. Eng.</t>
  </si>
  <si>
    <t xml:space="preserve">2-s2.0-85071222952</t>
  </si>
  <si>
    <t xml:space="preserve">Akhtar M.; Kraemer M.U.G.; Gardner L.M.</t>
  </si>
  <si>
    <t xml:space="preserve">Akhtar, Mahmood (55481528300); Kraemer, Moritz U. G. (56308225600); Gardner, Lauren M. (36109794700)</t>
  </si>
  <si>
    <t xml:space="preserve">55481528300; 56308225600; 36109794700</t>
  </si>
  <si>
    <t xml:space="preserve">A dynamic neural network model for predicting risk of Zika in real time</t>
  </si>
  <si>
    <t xml:space="preserve">Background: In 2015, the Zika virus spread from Brazil throughout the Americas, posing an unprecedented challenge to the public health community. During the epidemic, international public health officials lacked reliable predictions of the outbreak's expected geographic scale and prevalence of cases, and were therefore unable to plan and allocate surveillance resources in a timely and effective manner. Methods: In this work, we present a dynamic neural network model to predict the geographic spread of outbreaks in real time. The modeling framework is flexible in three main dimensions (i) selection of the chosen risk indicator, i.e., case counts or incidence rate; (ii) risk classification scheme, which defines the high-risk group based on a relative or absolute threshold; and (iii) prediction forecast window (1 up to 12 weeks). The proposed model can be applied dynamically throughout the course of an outbreak to identify the regions expected to be at greatest risk in the future. Results: The model is applied to the recent Zika epidemic in the Americas at a weekly temporal resolution and country spatial resolution, using epidemiological data, passenger air travel volumes, and vector habitat suitability, socioeconomic, and population data for all affected countries and territories in the Americas. The model performance is quantitatively evaluated based on the predictive accuracy of the model. We show that the model can accurately predict the geographic expansion of Zika in the Americas with the overall average accuracy remaining above 85% even for prediction windows of up to 12 weeks. Conclusions: Sensitivity analysis illustrated the model performance to be robust across a range of features. Critically, the model performed consistently well at various stages throughout the course of the outbreak, indicating its potential value at any time during an epidemic. The predictive capability was superior for shorter forecast windows and geographically isolated locations that are predominantly connected via air travel. The highly flexible nature of the proposed modeling framework enables policy makers to develop and plan vector control programs and case surveillance strategies which can be tailored to a range of objectives and resource constraints. © 2019 The Author(s).</t>
  </si>
  <si>
    <t xml:space="preserve">BMC Medicine</t>
  </si>
  <si>
    <t xml:space="preserve">10.1186/s12916-019-1389-3</t>
  </si>
  <si>
    <t xml:space="preserve">https://www.scopus.com/inward/record.uri?eid=2-s2.0-85071770137&amp;doi=10.1186%2fs12916-019-1389-3&amp;partnerID=40&amp;md5=0529f7f52f932e450337770e90d40c76</t>
  </si>
  <si>
    <t xml:space="preserve">School of Civil and Environment Engineering, UNSW Sydney, Sydney, NSW, Australia; School of Women's and Children's Health, UNSW Sydney, Sydney, NSW, Australia; Department of Zoology, University of Oxford, Oxford, United Kingdom; Computational Epidemiology Group, Boston Children's Hospital, Boston, MA, United States; Harvard Medical School, Boston, MA, United States; Department of Civil Engineering, Johns Hopkins University, Baltimore, MD, United States</t>
  </si>
  <si>
    <t xml:space="preserve">Akhtar M., School of Civil and Environment Engineering, UNSW Sydney, Sydney, NSW, Australia, School of Women's and Children's Health, UNSW Sydney, Sydney, NSW, Australia; Kraemer M.U.G., Department of Zoology, University of Oxford, Oxford, United Kingdom, Computational Epidemiology Group, Boston Children's Hospital, Boston, MA, United States, Harvard Medical School, Boston, MA, United States; Gardner L.M., School of Civil and Environment Engineering, UNSW Sydney, Sydney, NSW, Australia, Department of Civil Engineering, Johns Hopkins University, Baltimore, MD, United States</t>
  </si>
  <si>
    <t xml:space="preserve">Dynamic neural network; Epidemic risk prediction; Zika</t>
  </si>
  <si>
    <t xml:space="preserve">Americas; Brazil; Epidemics; Humans; Neural Networks, Computer; Public Health; Zika Virus Infection; Article; artificial neural network; aviation; disease classification; epidemic; epidemiological data; high risk population; human; incidence; infection risk; prediction; risk factor; sensitivity analysis; social status; vector control; Western Hemisphere; Zika fever; Brazil; epidemic; public health; Zika fever</t>
  </si>
  <si>
    <t xml:space="preserve">Chouin-Carneiro T., Vega-Rua A., Vazeille M., Yebakima A., Girod R., Goindin D., Et al., Differential susceptibilities of Aedes aegypti and Aedes albopictus from the Americas to Zika virus, PLoS Negl Trop Dis, 10, 3, pp. 1-11, (2016); Dick G.W., Zika virus. II. Pathogenicity and physical properties, Trans R Soc Trop Med Hyg, 46, 5, pp. 521-534, (1952); Duffy M.R., Chen T.H., Hancock W.T., Powers A.M., Kool J.L., Lanciotti R.S., Et al., Zika virus outbreak on Yap Island, Federated States of Micronesia, N Engl J Med, 360, 24, pp. 2536-2543, (2009); Hancock W.T., Marfel M., Bel M., Zika virus, French Polynesia, South Pacific, 2013, Emerg Infect Dis, 20, 11, (2014); Dupont-Rouzeyrol M., O'Connor O., Calvez E., Daures M., John M., Grangeon J.P., Et al., Co-infection with Zika and dengue viruses in 2 patients, New Caledonia, 2014, Emerg Infect Dis, 21, 2, pp. 381-382, (2015); Musso D., Nilles E.J., Cao-Lormeau V.M., Rapid spread of emerging Zika virus in the Pacific area, Clin Microbiol Infect, 20, 10, pp. O595-O596, (2014); Tognarelli J., Ulloa S., Villagra E., Lagos J., Aguayo C., Fasce R., Et al., A report on the outbreak of Zika virus on Easter Island, South Pacific, 2014, Arch Virol, 161, 3, pp. 665-668, (2016); Faria N.R., Azevedo R., Mug K., Souza R., Cunha M.S., Hill S.C., Et al., Zika virus in the Americas: Early epidemiological and genetic findings, Science, 352, 6283, pp. 345-349, (2016); Campos G.S., Bandeira A.C., Sardi S.I., Zika virus outbreak, Bahia, Brazil, Emerg Infect Dis, 21, 10, pp. 1885-1886, (2015); Pan American Health Organization / World Health Organization. Regional Zika Epidemiological Update; Zanluca C., Melo V.C., Mosimann A.L., Santos G.I., Santos C.N., Luz K., First report of autochthonous transmission of Zika virus in Brazil, Mem Inst Oswaldo Cruz, 110, 4, pp. 569-572, (2015); Scott T.W., Morrison A.C., Vector dynamics and transmission of dengue virus: Implications for dengue surveillance and prevention strategies: Vector dynamics and dengue prevention, Curr Top Microbiol Immunol, 338, pp. 115-128, (2010); Achee N.L., Gould F., Perkins T.A., Reiner R.C., Morrison A.C., Ritchie S.A., Et al., A critical assessment of vector control for dengue prevention, PLoS Negl Trop Dis, 9, 5, (2015); Vector Control with A Focus on Aedes Aegypti and Aedes Albopictus Mosquitoes: Literature Review and Analysis of Information, (2017); McGough S.F., Brownstein J.S., Hawkins J.B., Santillana M., Forecasting Zika incidence in the 2016 Latin America outbreak combining traditional disease surveillance with search, social media, and news report data, PLoS Negl Trop Dis, 11, 1, (2017); Martinez-Bello D.A., Lopez-Quilez A., Torres-Prieto A., Bayesian dynamic modeling of time series of dengue disease case counts, PLoS Negl Trop Dis, 11, 7, (2017); Guo P., Liu T., Zhang Q., Wang L., Xiao J., Zhang Q., Et al., Developing a dengue forecast model using machine learning: A case study in China, PLoS Negl Trop Dis, 11, 10, (2017); Johansson M.A., Reich N.G., Hota A., Brownstein J.S., Santillana M., Evaluating the performance of infectious disease forecasts: A comparison of climate-driven and seasonal dengue forecasts for Mexico, Sci Rep, 6, (2016); Earnest A., Tan S.B., Wilder-Smith A., Machin D., Comparing statistical models to predict dengue fever notifications, Comput Math Methods Med, 2012, (2012); Hii Y.L., Zhu H., Ng N., Ng L.C., Rocklov J., Forecast of dengue incidence using temperature and rainfall, PLoS Negl Trop Dis, 6, 11, (2012); Shi Y., Liu X., Kok S.Y., Rajarethinam J., Liang S., Yap G., Et al., Three-month real-time dengue forecast models: An early warning system for outbreak alerts and policy decision support in Singapore, Environ Health Perspect, 124, 9, pp. 1369-1375, (2016); Teng Y., Bi D., Xie G., Jin Y., Huang Y., Lin B., Et al., Dynamic forecasting of Zika epidemics using Google trends, PLoS One, 12, 1, (2017); Althouse B.M., Ng Y.Y., Cummings D.A.T., Prediction of dengue incidence using search query surveillance, PLoS Negl Trop Dis, 5, 8, (2011); Morsy S., Dang T.N., Kamel M.G., Zayan A.H., Makram O.M., Elhady M., Et al., Prediction of Zika-confirmed cases in Brazil and Colombia using Google Trends, Epidemiol Infect, 146, 13, pp. 1625-1627, (2018); Kraemer M.U.G., Faria N.R., Reiner R.C., Golding N., Nikolay B., Stasse S., Et al., Spread of yellow fever virus outbreak in Angola and the Democratic Republic of the Congo 2015-16: A modelling study, Lancet Infect Dis, 17, 3, pp. 330-338, (2017); Zhang Q., Sun K., Chinazzi M., Pastore Y.P.A., Dean N.E., Rojas D.P., Et al., Spread of Zika virus in the Americas, Proc Natl Acad Sci U S A, 114, 22, pp. E4334-E4E43, (2017); Ahmadi S., Bempong N.-E., De Santis O., Sheath D., Flahault A., The role of digital technologies in tackling the Zika outbreak: A scoping review, Journal of Public Health and Emergency, 2, (2018); Majumder M.S., Santillana M., Mekaru S.R., McGinnis D.P., Khan K., Brownstein J.S., Utilizing nontraditional data sources for near real-time estimation of transmission dynamics during the 2015-2016 Colombian Zika virus disease outbreak, JMIR Public Health Surveill, 2, 1, (2016); Beltr J.D., Boscor A., Wpd S., Massoni T., Kostkova P., ZIKA: A new system to empower health workers and local communities to improve surveillance protocols by E-learning and to forecast Zika virus in real time in Brazil, Proceedings of the 2018 International Conference on Digital Health, pp. 90-94, (2018); Cortes F., Turchi Martelli C.M., Arraes De Alencar Ximenes R., Montarroyos U.R., Siqueira Junior J.B., Goncalves Cruz O., Et al., Time series analysis of dengue surveillance data in two Brazilian cities, Acta Trop, 182, pp. 190-197, (2018); Abdur Rehman N., Kalyanaraman S., Ahmad T., Pervaiz F., Saif U., Subramanian L., Fine-grained dengue forecasting using telephone triage services, Science Advances, 2, 7, (2016); Lowe R., Stewart-Ibarra A.M., Petrova D., Garcia-Diez M., Borbor-Cordova M.J., Mejia R., Et al., Climate services for health: Predicting the evolution of the 2016 dengue season in Machala, Ecuador, Lancet Planet Health, 1, 4, pp. e142-ee51, (2017); Ramadona A.L., Lazuardi L., Hii Y.L., Holmner A., Kusnanto H., Rocklov J., Prediction of dengue outbreaks based on disease surveillance and meteorological data, PLoS One, 11, 3, (2016); Lauer S.A., Sakrejda K., Ray E.L., Keegan L.T., Bi Q., Suangtho P., Et al., Prospective forecasts of annual dengue hemorrhagic fever incidence in Thailand, 2010-2014, Proc Natl Acad Sci U S A, 115, 10, pp. E2175-E2E82, (2018); Baquero O.S., Santana L.M.R., Chiaravalloti-Neto F., Dengue forecasting in Sao Paulo city with generalized additive models, artificial neural networks and seasonal autoregressive integrated moving average models, PLoS One, 13, 4, (2018); Sirisena P., Noordeen F., Kurukulasuriya H., Romesh T.A., Fernando L., Effect of climatic factors and population density on the distribution of dengue in Sri Lanka: A GIS based evaluation for prediction of outbreaks, PLoS One, 12, 1, (2017); Anggraeni W., Aristiani L., Using Google Trend data in forecasting number of dengue fever cases with ARIMAX method case study: Surabaya, Indonesia, 2016 International Conference on Information &amp; Communication Technology and Systems (ICTS), (2016); Marques-Toledo C.A., Degener C.M., Vinhal L., Coelho G., Meira W., Codeco C.T., Et al., Dengue prediction by the web: Tweets are a useful tool for estimating and forecasting dengue at country and city level, PLoS Negl Trop Dis, 11, 7, (2017); Cheong Y.L., Leitao P.J., Lakes T., Assessment of land use factors associated with dengue cases in Malaysia using boosted regression trees, Spat Spatiotemporal Epidemiol, 10, pp. 75-84, (2014); Wesolowski A., Qureshi T., Boni M.F., Sundsoy P.R., Johansson M.A., Rasheed S.B., Et al., Impact of human mobility on the emergence of dengue epidemics in Pakistan, Proc Natl Acad Sci U S A, 112, 38, pp. 11887-11892, (2015); Zhu G., Liu J., Tan Q., Shi B., Inferring the spatio-temporal patterns of dengue transmission from surveillance data in Guangzhou, China, PLoS Negl Trop Dis, 10, 4, (2016); Zhu G., Xiao J., Zhang B., Liu T., Lin H., Li X., Et al., The spatiotemporal transmission of dengue and its driving mechanism: A case study on the 2014 dengue outbreak in Guangdong, China, Sci Total Environ, 622-623, pp. 252-259, (2018); Liu K., Zhu Y., Xia Y., Zhang Y., Huang X., Huang J., Et al., Dynamic spatiotemporal analysis of indigenous dengue fever at street-level in Guangzhou city, China, PloS Negl Trop Dis, 12, 3, (2018); Li Q., Cao W., Ren H., Ji Z., Jiang H., Spatiotemporal responses of dengue fever transmission to the road network in an urban area, Acta Trop, 183, pp. 8-13, (2018); Chen Y., Ong J.H.Y., Rajarethinam J., Yap G., Ng L.C., Cook A.R., Neighbourhood level real-time forecasting of dengue cases in tropical urban Singapore, BMC Med, 16, 1, (2018); Gardner L., Sarkar S., A global airport-based risk model for the spread of dengue infection via the air transport network, PLoS One, 8, 8, (2013); Gardner L.M., Fajardo D., Waller S.T., Wang O., Sarkar S., A Predictive Spatial Model to Quantify the Risk of Air-Travel-Associated Dengue Importation into the United States and Europe, Journal of Tropical Medicine, 2012, pp. 1-11, (2012); Grubaugh N.D., Ladner J.T., Kraemer M.U.G., Dudas G., Tan A.L., Gangavarapu K., Et al., Genomic epidemiology reveals multiple introductions of Zika virus into the United States, Nature., 546, (2017); Wilder-Smith A., Gubler D.J., Geographic expansion of dengue: The impact of international travel, Med Clin North Am, 92, 6, pp. 1377-1390, (2008); Gardner L.M., Bota A., Gangavarapu K., Kraemer M.U.G., Grubaugh N.D., Inferring the risk factors behind the geographical spread and transmission of Zika in the Americas, PLoS Negl Trop Dis, 12, 1, (2018); Tatem A.J., Hay S.I., Climatic similarity and biological exchange in the worldwide airline transportation network, Proc R Soc B Biol Sci, 274, 1617, (2007); Siriyasatien P., Phumee A., Ongruk P., Jampachaisri K., Kesorn K., Analysis of significant factors for dengue fever incidence prediction, BMC Bioinformatics, 17, 1, (2016); Nishanthi P.H.M., Perera A.A.I., Wijekoon H.P., Prediction of dengue outbreaks in Sri Lanka using artificial neural networks, Int J Comput Appl, 101, 15, pp. 1-5, (2014); Aburas H.M., Cetiner B.G., Sari M., Dengue confirmed-cases prediction: A neural network model, Expert Syst Appl, 37, 6, pp. 4256-4260, (2010); Baquero O.S., Santana L.M.R., Chiaravalloti-Neto F., Dengue forecasting in São Paulo city with generalized additive models, artificial neural networks and seasonal autoregressive integrated moving average models, PLoS One, 13, 4, (2018); Faisal T., Taib M.N., Ibrahim F., Neural network diagnostic system for dengue patients risk classification, J Med Syst, 36, 2, pp. 661-676, (2012); Laureano-Rosario A., Duncan A., Mendez-Lazaro P., Garcia-Rejon J., Gomez-Carro S., Farfan-Ale J., Savic D., Muller-Karger F., Application of Artificial Neural Networks for Dengue Fever Outbreak Predictions in the Northwest Coast of Yucatan, Mexico and San Juan, Puerto Rico, Tropical Medicine and Infectious Disease, 3, 1, (2018); Kiskin I.O.B., Windebank T., Zilli D., Sinka M., Willis K., Roberts S., Mosquito Detection with Neural Networks: The Buzz of Deep Learning; Scavuzzo J.M., Trucco F.C., Tauro C.B., German A., Espinosa M., Abril M., Modeling the temporal pattern of dengue, Chicungunya and Zika vector using satellite data and neural networks, 2017 XVII Workshop on Information Processing and Control (RPIC), (2017); Sanchez-Ortiz A., Fierro-Radilla A., Arista-Jalife A., Cedillo-Hernandez M., Nakano-Miyatake M., Robles-Camarillo D., Et al., Mosquito larva classification method based on convolutional neural networks, 2017 International Conference on Electronics, Communications and Computers (CONIELECOMP), (2017); Nguyen T., Khosravi A., Creighton D., Nahavandi S., Epidemiological dynamics modeling by fusion of soft computing techniques, The 2013 International Joint Conference on Neural Networks (IJCNN), (2013); Jiang D., Hao M., Ding F., Fu J., Li M., Mapping the transmission risk of Zika virus using machine learning models, Acta Trop, 185, pp. 391-399, (2018); Wahba G., Spline Models for Observational Data: Society for Industrial and Applied Mathematics, (1990); Countries and Territories with Autochthonous Transmission in the Americas Reported in 2015-2017, (2017); Gardner L., Chen N., Sarkar S., Vector status of Aedes species determines geographical risk of autochthonous Zika virus establishment, PLoS Negl Trop Dis, 11, 3, (2017); Gardner L.M., Chen N., Sarkar S., Global risk of Zika virus depends critically on vector status of Aedes albopictus, Lancet Infect Dis, 16, 5, pp. 522-523, (2016); Kraemer M.U., Sinka M.E., Duda K.A., Mylne A.Q., Shearer F.M., Barker C.M., Et al., The global distribution of the arbovirus vectors Aedes aegypti and Ae. Albopictus, Elife, 4, (2015); Theze J., Li T., Du Plessis L., Bouquet J., Kraemer M.U.G., Somasekar S., Et al., Genomic epidemiology reconstructs the introduction and spread of Zika virus in Central America and Mexico, Cell Host Microbe, 23, 6, pp. 855-864, (2018); International Comparison Program Database. GDP per Capita, PPP, (2016); GDP by State; Health, United States, (2015); WHO World Health Statistics; PLISA Health Indication Platform for the Americas, (2017); Population Density (People per Sq. Km of Land Area), (2016); International Air Travel Association (IATA)-Passenger Intelligence Services (PaxIS); Pigott D., Deshpande A., Letourneau I., Morozoff C., Reiner R., Kraemer M., Et al., Local, national, and regional viral haemorrhagic fever pandemic potential in Africa: A multistage analysis, Lancet., 390, pp. 2662-2672, (2017); Leontaritis I.J., Billings S.A., Input-output parametric models for non-linear systems part I: Deterministic non-linear systems, Int J Control, 41, 2, pp. 303-328, (1985); Narendra K.S., Parthasarathy K., Identification and control of dynamical systems using neural networks, IEEE Trans Neural Netw, 1, 1, pp. 4-27, (1990); Chen S., Billings S.A., Grant P.M., Non-linear system identification using neural networks, Int J Control, 51, 6, pp. 1191-1214, (1990); Siegelmann H.T., Horne B.G., Giles C.L., Computational capabilities of recurrent NARX neural networks, IEEE Trans Syst Man Cybern B Cybern, 27, 2, pp. 208-215, (1997); Tsungnan L., Bill G.H., Peter T., Giles C.L., Learning Long-term Dependencies Is Not As Difficult with NARX Recurrent Neural Networks, (1995); Boussaada Z., Curea O., Remaci A., Camblong H., Mrabet Bellaaj N., A Nonlinear Autoregressive Exogenous (NARX) Neural Network Model for the Prediction of the Daily Direct Solar Radiation, Energies, 11, 3, (2018); Fawcett T., ROC graphs: Notes and practical considerations for researchers, Mach Learn, 31, pp. 1-38, (2004); Bogoch I.I., Brady O.J., Kraemer M.U.G., German M., Creatore M.I., Kulkarni M.A., Et al., Anticipating the international spread of Zika virus from Brazil, Lancet., 387, pp. 335-336, (2016); Faria N.R., Quick J., Claro I.M., Theze J., De Jesus J.G., Giovanetti M., Et al., Establishment and cryptic transmission of Zika virus in Brazil and the Americas, Nature., 546, (2017); Brockmann D., Helbing D., The hidden geometry of complex, network-driven contagion phenomena, Science, 342, pp. 1337-1342, (2013)</t>
  </si>
  <si>
    <t xml:space="preserve">L.M. Gardner; School of Civil and Environment Engineering, UNSW Sydney, Sydney, Australia; email: l.gardner@jhu.edu</t>
  </si>
  <si>
    <t xml:space="preserve">BMC Med.</t>
  </si>
  <si>
    <t xml:space="preserve">2-s2.0-85071770137</t>
  </si>
  <si>
    <t xml:space="preserve">Syed A.H.; Khan T.</t>
  </si>
  <si>
    <t xml:space="preserve">Syed, Asif Hassan (57220954108); Khan, Tabrej (57202834083)</t>
  </si>
  <si>
    <t xml:space="preserve">57220954108; 57202834083</t>
  </si>
  <si>
    <t xml:space="preserve">A supervised classifier based chemoinformatics model to predict inhibitors essential for sexual reproduction and transmission of the P. falciparum parasite into mosquitoes</t>
  </si>
  <si>
    <t xml:space="preserve">The falciparum malaria is a significant life-threatening disease caused by Plasmodium falciparum a protozoan parasite transmitted by the female Anopheles mosquito. The resistance of P. falciparum parasite to a limited class of antimalarial medicine has accelerated the process of screening a novel drug for falciparum malaria. In recent years the implementation of Machine Learning (ML) approaches to build a predictive model to facilitate the target-specific drug discovery process for both infectious and noninfectious pathogen has gained significance. The availability of High-throughput Screening (HTS) anti-malarial bioassay dataset has provided an opportunity to build ML-based chemoinformatics, predictive models, using features extracted from different Feature Selection (FS) algorithms. In the present study, a combination of feature selection algorithms namely Greedy Stepwise algorithm in association with CfsSubsetEval and Principal Components Analysis (PCA) in conjunction with Ranker method was used on the HTS dataset. The dataset comprising of P. Falciparum Calcium-Dependent Protein Kinase4 (PfCDPK4) inhibitors and non-inhibitors were used to train and build four state-of-art classifiers based model for predicting inhibitors of PfCDPK4 protein from an independent test dataset accurately. The classification models were evaluated based on specific statistical measures of the Weka software tool. The J48 classifier based predictive model was found to accurately predict active anti-PfCDPK4 molecule based on better Accuracy, Recall, Precision, and Area under the Curve (AUC) values. Thus, the authors conclude that the J48-based classification model will be efficient and cost-effective in screening future active anti-CDPK4 molecule against P. falciparum malaria parasite. © 2019 The Authors. Published by IASE.</t>
  </si>
  <si>
    <t xml:space="preserve">International Journal of Advanced and Applied Sciences</t>
  </si>
  <si>
    <t xml:space="preserve">Institute of Advanced Science Extension (IASE)</t>
  </si>
  <si>
    <t xml:space="preserve">10.21833/ijaas.2019.10.011</t>
  </si>
  <si>
    <t xml:space="preserve">https://www.scopus.com/inward/record.uri?eid=2-s2.0-85141105729&amp;doi=10.21833%2fijaas.2019.10.011&amp;partnerID=40&amp;md5=56d933190e0b6df8b5e3cc400a41cef8</t>
  </si>
  <si>
    <t xml:space="preserve">Department of Computer Science, Faculty of Computing and Information Technology Rabigh (FCITR), King Abdulaziz University, Jeddah, Saudi Arabia</t>
  </si>
  <si>
    <t xml:space="preserve">Syed A.H., Department of Computer Science, Faculty of Computing and Information Technology Rabigh (FCITR), King Abdulaziz University, Jeddah, Saudi Arabia; Khan T., Department of Computer Science, Faculty of Computing and Information Technology Rabigh (FCITR), King Abdulaziz University, Jeddah, Saudi Arabia</t>
  </si>
  <si>
    <t xml:space="preserve">Falciparum malaria; High-throughput screening dataset; Precision; Recall; Supervised learning based model</t>
  </si>
  <si>
    <t xml:space="preserve">King Abdulaziz University, KAU</t>
  </si>
  <si>
    <t xml:space="preserve">The Authors are grateful to the Dean of Faculty of Computing and Information Technology, King Abdulaziz University to provide an excellent platform for conducting various machine learning experiments.</t>
  </si>
  <si>
    <t xml:space="preserve">Barbara F, High-yield behavioural science (high-yield series), (2008); Bharti DR, Lynn AM, QSAR based predictive modeling for anti-malarial molecules, Bioinformation, 13, 5, pp. 154-159, (2017); Billker O, Dechamps S, Tewari R, Wenig G, Franke-Fayard B, Brinkmann V, Calcium and a calcium-dependent protein kinase regulate gamete formation and mosquito transmission in a malaria parasite, Cell, 117, 4, pp. 503-514, (2004); Bouckaert RR, Frank E, Hall MA, Holmes G, Pfahringer B, Reutemann P, Witten IH, WEKA-Experiences with a java open-source project, Journal of Machine Learning Research, 11, pp. 2533-2541, (2010); Burrows JN, van Huijsduijnen RH, Mohrle JJ, Oeuvray C, Wells TN, Designing the next generation of medicines for malaria control and eradication, Malaria Journal, 12, (2013); Chang CC, Lin CJ, LIBSVM: A library for support vector machines, ACM Transactions on Intelligent Systems and Technology, 2, 3, (2011); Chawla NV, Bowyer KW, Hall LO, Kegelmeyer WP, SMOTE: Synthetic minority over-sampling technique, Journal of Artificial Intelligence Research, 16, pp. 321-357, (2002); Chen T, Guestrin C, XGBoost: A scalable tree boosting system,  ACM SIGKDD International Conference on Knowledge Discovery and Data Mining, pp. 785-794, (2016); Dixit S, Singla D, CAPi: Computational model for apicoplast inhibitors prediction against plasmodium parasite, Current Computer-Aided Drug Design, 13, 4, pp. 303-310, (2017); Dua VK, Dev V, Phookan S, Gupta NC, Sharma VP, Subbarao SK, Multi-drug resistant Plasmodium falciparum malaria in Assam, India: Timing of recurrence and anti-malarial drug concentrations in whole blood, The American Journal of Tropical Medicine and Hygiene, 69, 5, pp. 555-557, (2003); Egieyeh S, Syce J, Malan SF, Christoffels A, Predictive classifier models built from natural products with antimalarial bioactivity using machine learning approach, PloS One, 13, 9, (2018); Friedman N, Geiger D, Goldszmidt M, Bayesian network classifiers, Machine Learning, 29, 2-3, pp. 131-163, (1997); Han H, Wang WY, Mao BH, Borderline-SMOTE: A new over-sampling method in imbalanced data sets learning, the International Conference on Intelligent Computing, pp. 878-887, (2005); Jamal S, Periwal V, Scaria V, Predictive modeling of anti-malarial molecules inhibiting apicoplast formation, BMC Bioinformatics, 14, (2013); Kumari M, Chandra S, In silico prediction of anti–malarial hit molecules based on machine learning methods, International Journal of Computational Biology and Drug Design, 8, 1, pp. 40-53, (2015); Liu K, Feng J, Young SS, PowerMV: A software environment for molecular viewing, descriptor generation, data analysis and hit evaluation, Journal of Chemical Information and Modeling, 45, 2, pp. 515-522, (2005); Mehta SR, Das S, Management of malaria: Recent trends, Journal of Communicable Diseases, 38, 2, pp. 130-138, (2006); Melville JL, Burke EK, Hirst JD, Machine learning in virtual screening, Combinatorial Chemistry and High Throughput Screening, 12, 4, pp. 332-343, (2009); Biochemical screen of P. falciparum CDPK4, (2016); Powers DM, Evaluation: From precision, recall and f-measure to ROC, informedness, markedness and correlation, Journal of Machine Learning Technologies, 2, 1, pp. 37-63, (2011); Quinlan JR, C4.5: Programs for machine learning, (1993); Rio ALD, Llorach-Pares L, Perera-Lluna A, Avila C, Nonell-Canals A, Sanchez-Martinez M, Machine-learning QSAR model for predicting activity against malaria parasite’s ion pump PfATP4 and in silico binding assay validation, Multidisciplinary Digital Publishing Institute Proceedings, 1, 6, (2017); Schierz AC, Virtual screening of bioassay data, Journal of Cheminformatics, 1, (2009); Solyakov L, Halbert J, Alam MM, Semblat JP, Dorin-Semblat D, Reininger L, Holland Z, Global kinomic and phospho-proteomic analyses of the human malaria parasite plasmodium falciparum, Nature Communications, 2, (2011); The probable error of a mean, Biometrika, 6, 1, pp. 1-25, (1908); Subramaniam S, Mehrotra M, Gupta D, Support vector machine based classification model for screening plasmodium falciparum proliferation inhibitors and non-inhibitors, Biomedical Engineering and Computational Biology, (2011); Sud M, MayaChemTools: An open source package for computational drug discovery, Journal of Chemical Information and Modeling, 56, 12, pp. 2292-2297, (2016); Tewari R, Straschil U, Bateman A, Bohme U, Cherevach I, Gong P, Billker O, The systematic functional analysis of Plasmodium protein kinases identifies essential regulators of mosquito transmission, Cell Host and Microbe, 8, 4, pp. 377-387, (2010); Trenholme GM, Carson PE, Therapy and prophylaxis of malaria, Journal of the American Medical Association, 240, 21, pp. 2293-2295, (1978); Wang Y, Xiao J, Suzek TO, Zhang J, Wang J, Bryant SH, PubChem: A public information system for analyzing bioactivities of small molecules, Nucleic Acids Research, 37, pp. W623-W633, (2009); Malaria, (2017); Wongsrichanalai C, Pickard AL, Wernsdorfer WH, Meshnick SR, Epidemiology of drug-resistant malaria, The Lancet Infectious Diseases, 2, 4, pp. 209-218, (2002); Wongsrichanalai C, Webster HK, Wimonwattrawatee T, Sookto P, Chuanak N, Thimasarn K, Wernsdorfer WH, Emergence of multidrug-resistant plasmodium falciparum in Thailand: In vitro tracking, The American Journal of Tropical Medicine and Hygiene, 47, 1, pp. 112-116, (1992); Yang Z, Li C, Miao M, Zhang Z, Sun X, Meng H, Cui L, Multidrug-resistant genotypes of Plasmodium falciparum, Myanmar, Emerging Infectious Diseases, 17, 3, pp. 498-501, (2011)</t>
  </si>
  <si>
    <t xml:space="preserve">A.H. Syed; Department of Computer Science, Faculty of Computing and Information Technology Rabigh (FCITR), King Abdulaziz University, Jeddah, Saudi Arabia; email: shassan1@kau.edu.sa</t>
  </si>
  <si>
    <t xml:space="preserve">2313626X</t>
  </si>
  <si>
    <t xml:space="preserve">2-s2.0-85141105729</t>
  </si>
  <si>
    <t xml:space="preserve">Hossain M.S.; Sultana Z.; Nahar L.; Andersson K.</t>
  </si>
  <si>
    <t xml:space="preserve">Hossain, Mohammad Shahadat (55871122455); Sultana, Zinnia (55490548600); Nahar, Lutfun (57213768382); Andersson, Karl (7402136130)</t>
  </si>
  <si>
    <t xml:space="preserve">55871122455; 55490548600; 57213768382; 7402136130</t>
  </si>
  <si>
    <t xml:space="preserve">An intelligent system to diagnose Chikungunya under uncertainty</t>
  </si>
  <si>
    <t xml:space="preserve">Chikungunya is a virus-related disease, bring about by the virus called CHIKV that spreads through mosquito biting. This virus first found in Tanzania, while blood from patients was isolated. The common signs and symptoms, associated with Chikungunya are considered as fever, joint swelling, joint pain, muscle pain and headache. The examination of these signs and symptoms by the physician constitutes the typical preliminary diagnosis of this disease. However, the physician is unable to measure them with accuracy. Therefore, the preliminary diagnosis in most of the cases could suffer from inaccuracy, which leads to wrong treatment. Hence, this paper introduces the design and implementation of a belief rule based expert system (BRBES) which is capable to represent uncertain knowledge as well as inference under uncertainty. Here, the knowledge is illustrated by employing belief rule base while deduction is carried out by evidential reasoning. The real patient data of 250 have been considered to demonstrate the accuracy and the robustness of the expert system. A comparison has been performed with the results of BRBES and Fuzzy Logic Based Expert System (FLBES) as well as with the expert judgment. Furthermore, the result of BRBES has been contrasted with various data-driven machine learning approaches, including ANN (Artificial Neural networks) and SVM (Support Vector Machine). The reliability of BRBESs was found better than those of datadriven machine learning approaches. Therefore, the BRBES presented in this paper could enable the physician to conduct the analysis of Chikungunya more accurately. © 2019, Innovative Information Science and Technology Research Group. All rights reserved.</t>
  </si>
  <si>
    <t xml:space="preserve">Journal of Wireless Mobile Networks, Ubiquitous Computing, and Dependable Applications</t>
  </si>
  <si>
    <t xml:space="preserve">Innovative Information Science and Technology Research Group</t>
  </si>
  <si>
    <t xml:space="preserve">10.22667/JOWUA.2019.06.30.037</t>
  </si>
  <si>
    <t xml:space="preserve">https://www.scopus.com/inward/record.uri?eid=2-s2.0-85074814452&amp;doi=10.22667%2fJOWUA.2019.06.30.037&amp;partnerID=40&amp;md5=3c342b1ff1378e5351b5c9200307c0b8</t>
  </si>
  <si>
    <t xml:space="preserve">Dept. of Computer Science &amp; Engineering, University of Chittagong, Bangladesh; Dept. of Computer Science &amp; Engineering, International Islamic University Chittagong, Bangladesh; Pervasive and Mobile Computing Laboratory, Luleå University of Technology, Skellefteå, Sweden</t>
  </si>
  <si>
    <t xml:space="preserve">Hossain M.S., Dept. of Computer Science &amp; Engineering, University of Chittagong, Bangladesh; Sultana Z., Dept. of Computer Science &amp; Engineering, International Islamic University Chittagong, Bangladesh; Nahar L., Dept. of Computer Science &amp; Engineering, International Islamic University Chittagong, Bangladesh; Andersson K., Pervasive and Mobile Computing Laboratory, Luleå University of Technology, Skellefteå, Sweden</t>
  </si>
  <si>
    <t xml:space="preserve">Belief rule base; Chikungunya; Evidential reasoning; Expert system; Uncertainty</t>
  </si>
  <si>
    <t xml:space="preserve">Vetenskapsrådet, VR, (2014-4251)</t>
  </si>
  <si>
    <t xml:space="preserve">This study was supported by the Swedish Research Council under grant 2014-4251.</t>
  </si>
  <si>
    <t xml:space="preserve">Schuffenecker I., Iteman I., Michault A., Murri S., Frangeul L., Vaney M.-C., Lavenir R., Pardigon N., Reynes J.-M., Pettinelli F., Biscornet L., Diancourt L., Michel S., Duquerroy S., Guigon G., Frenkiel M.-P., Brehin A.-C., Cubito N., Despres P., Kunst F., Rey F.A., Zeller H., Brisse S., Genome microevolution of chikungunya viruses causing the indian ocean outbreak, PLoS Medicine, 3, 7, pp. 1058-1070, (2006); Kong G., Xu D.-L., Yang J.-B., Clinical decision support systems: A review on knowledge representation and inference under uncertainties, International Journal of Computational Intelligence Systems, 1, 2, pp. 159-167, (2012); Han P.K., Klein W.M., Arora N.K., Varieties of uncertainty in health care: A conceptual taxonomy, Medical Decision Making, 31, 6, pp. 828-838, (2011); Richards L., Flutists in red: Increasing discoverability of female flute players in the world? Most used reference source, (2018); Goossens M., Mittelbach F., Samarin A., The wounded storyteller: Body, Illness, and Ethics, (2013); Yang J.-B., Singh M.G., An evidential reasoning approach for multiple-attribute decision making with uncertainty, IEEE Transactions on Systems, Man, and Cybernetics, 24, 1, pp. 1-18, (1994); Staples J.E., Breiman R.F., Powers A.M., Chikungunya fever: An epidemiological review of a reemerging infectious disease, Clinical infectious diseases, 49, 6, pp. 942-948, (2009); Hossain M.S., Ahmed F., Fatema-Tuj-Johora, Andersson K., A belief rule based expert system to assess tuberculosis under uncertainty, Journal of Medical Systems, 41, 43, pp. 1-11, (2017); Rahaman S., Hossain M.S., A belief rule based clinical decision support system to assess suspicion of heart failure from signs, symptoms and risk factors, Proc. of the 2013 International Conference in Informatics, Electronics and Vision (ICIEV’13), pp. 1-6, (2013); Hossain M.S., Rahaman S., Mustafa R., Andersson K., A belief rule-based expert system to assess suspicion of acute coronary syndrome (ACS) under uncertainty, Soft Computing, 22, 22, pp. 7571-7586, (2018); Antunes R., Gonzalez V., A production model for construction: A theoretical framework, Buildings, 5, 1, pp. 209-228, (2015); Thunnissen D.P., Uncertainty classification for the design and development of complex systems, Proc. of the 3rd annual predictive methods conference (PMC’03), Newport Beach, California, USA, pp. 1-16, (2003); Adams J., Bruckner H., Wikipedia, sociology, and the promise and pitfalls of big data, Big Data and Society, 2, 2, pp. 1-5, (2015); Hossain M.S., Zander P.O., Kamal M.S., Chowdhury L., Belief-rule-based expert systems for evaluation of e-government: A case study, Expert Systems, 32, 5, pp. 563-577, (2015); Mankad K.B., Design of genetic-fuzzy based diagnostic system to identify chikungunya, International Research Journal of Engineering and Technology, 2, 4, pp. 153-161, (2015); Adeli A., Neshat M., A fuzzy expert system for heart disease diagnosis, Proc. of the International Multi Conference of Engineers and Computer Scientists (IMECS’10), Hong Kong, 1, pp. 134-139, (2010); Lee C.-S., Wang M.-H., A fuzzy expert system for diabetes decision support application, IEEE Transactions on Systems, Man, and Cybernetics, Part B (Cybernetics), 41, 1, pp. 139-153, (2011); Zarandi M.F., Zolnoori M., Moin M., Heidarnejad H., A fuzzy rule-based expert system for diagnosing asthma, Scientia Iranica Transaction E: Industrial Engineering, 17, 2, pp. 129-142, (2010); Lee C.-S., Wang M.-H., A fuzzy expert system for diabetes decision support application, IEEE Transactions on Systems, Man, and Cybernetics, Part B (Cybernetics), 41, 1, pp. 139-153, (2011); Lam S., Chua K., Hooi P., Rahimah M., Kumari S., Tharmaratnam M., Chuah S., Smith D., Sampson I., Chikungunya infection- an emerging disease in Malaysia, The Southeast Asian Journal of Tropical Medicine and Public Health, 32, 3, pp. 447-451, (2001); Ganesan V.K., Duan B., Reid S., Chikungunya virus: Pathophysiology, mechanism, and modeling, Viruses, 9, 12, (2017); Rahman S., Suchana S., Rashid S., Pave O., A review article on chikungunya virus, World Journal of Pharmaceutical Research, 6, 13, pp. 100-107, (2017); Da Cunha R.V., Trinta K.S., Chikungunya virus: Clinical aspects and treatment - a review, Memórias do Instituto Oswaldo Cruz, 112, 8, pp. 523-531, (2017); Yang J.-B., Rule and utility based evidential reasoning approach for multiattribute decision analysis under uncertainties, European journal of operational research, 131, 1, pp. 31-61, (2011); Liu J., Yang J.-B., Wang J., Wang H.-S., Wang Y.-M., Fuzzy rule-based evidential reasoning approach for safety analysis, International Journal of General Systems, 33, 2-3, pp. 183-204, (2004); Shenoy P.P., Shafer G., Axioms for probability and belief-function propagation, Classic Works of the Dempster-Shafer Theory of Belief Functions, 219, pp. 499-528, (2008); Kecman V., Learning and soft computing: Support vector machines, neural networks, and fuzzy logic models, (2001); Yan X., Su X., Linear regression analysis: Theory and computing, (2009); Yu P.-S., Chen S.-T., Chang I.-F., Support vector regression for real-time flood stage forecasting, Journal of Hydrology, 328, 3-4, pp. 704-716, (2006); Han D., Chan L., Zhu N., Flood forecasting using support vector machine, Journal of Hydroinformaticsg, 9, 4, pp. 267-276, (2007); He Z., Wen X., Liu H., Du J., A comparative study of artificial neural network, adaptive neuro fuzzy inference system and support vector machine for forecasting river flow in the semiarid mountain region, Journal of Hydrology, 509, pp. 379-386, (2014); Reis M.S., Saraiva P.M., Integration of data uncertainty in linear regression and process optimization, AIChE journal, 51, 11, pp. 3007-3019, (2005)</t>
  </si>
  <si>
    <t xml:space="preserve">M.S. Hossain; Luleå University of Technology, Skellefteå, S-931 87, Sweden; email: hossainms@cu.ac.bd</t>
  </si>
  <si>
    <t xml:space="preserve">"Journal of Wireless Mobile Networks, Ubiquitous Computing, and Dependable Applications"</t>
  </si>
  <si>
    <t xml:space="preserve">2-s2.0-85074814452</t>
  </si>
  <si>
    <t xml:space="preserve">Thakur S.; Dharavath R.</t>
  </si>
  <si>
    <t xml:space="preserve">Thakur, Santosh (57210613729); Dharavath, Ramesh (54405698700)</t>
  </si>
  <si>
    <t xml:space="preserve">57210613729; 54405698700</t>
  </si>
  <si>
    <t xml:space="preserve">Artificial neural network based prediction of malaria abundances using big data: A knowledge capturing approach</t>
  </si>
  <si>
    <t xml:space="preserve">Background and objective: Malaria is one of the most prevalent diseases in urban areas. Malaria flourishes in sub-tropical countries and affect the public health. The impact is very high, where health monitoring facilities are very limited. To minimize the impact of malaria population in sub-tropical domains, a suitable disease prediction model is required. The objective of this study is to determine the malaria abundances using clinical and environmental variables with Big Data on the geographical location of Khammam district, Telanagana, India. Methods: Prediction model is based on the data collected from primary health centres of department of vector borne diseases (DVBD) of Khammam district and satellite data such as rain fall, relative humidity, temperature and vegetation taken for the time period of 1995–2014. In this study, we test the efficacy of the artificial neural network (ANN) for mosquito abundance prediction. Prediction model was developed for the period of 2015 using a feed forward neural network and compared with the observed values. Results and conclusions: The results vary from area to area based on clinical variables and rainfall in the prediction model corresponding to areas. The average error of the prediction model ranges from 18% to 117%. Clinical data such as number of patients treated with symptoms and without symptoms can improve the prediction level when combined with environmental variables. We perform preliminary findings of malaria abundances by collecting clinical big data across different seasons. Further, more exploration is required in prediction of malaria using big data to improve the accuracy in real practice. In this manuscript, we perform some preliminary findings of malaria abundances by collecting larger data across different seasons. Till today, many models have been developed to examine the malaria prediction with different approaches, but malaria prediction with environmental and clinical data is a new approach with big data analysis. © 2018 INDIACLEN</t>
  </si>
  <si>
    <t xml:space="preserve">Clinical Epidemiology and Global Health</t>
  </si>
  <si>
    <t xml:space="preserve">10.1016/j.cegh.2018.03.001</t>
  </si>
  <si>
    <t xml:space="preserve">https://www.scopus.com/inward/record.uri?eid=2-s2.0-85043527530&amp;doi=10.1016%2fj.cegh.2018.03.001&amp;partnerID=40&amp;md5=af3898fda258b794a67ffdead03739b6</t>
  </si>
  <si>
    <t xml:space="preserve">Department of Computer Science and Engineering, Indian Institute of Technology(Indian School of Mines), Dhanbad, 826004, Jharkhand, India</t>
  </si>
  <si>
    <t xml:space="preserve">Thakur S., Department of Computer Science and Engineering, Indian Institute of Technology(Indian School of Mines), Dhanbad, 826004, Jharkhand, India; Dharavath R., Department of Computer Science and Engineering, Indian Institute of Technology(Indian School of Mines), Dhanbad, 826004, Jharkhand, India</t>
  </si>
  <si>
    <t xml:space="preserve">Artificial neural networks (ANNs); Big data; Malaria prediction; Primary health centers (PHCs)</t>
  </si>
  <si>
    <t xml:space="preserve">rain; Article; artificial neural network; big data; data analysis; geographic distribution; health center; human; humidity; India; knowledge discovery; malaria; mosquito; nonhuman; population abundance; predictive value; priority journal; temperature; vegetation</t>
  </si>
  <si>
    <t xml:space="preserve">IIRS; Indian School of Mines; Institute of Remote Sensing and Digital Earth, RADI</t>
  </si>
  <si>
    <t xml:space="preserve">The authors would like to thank Doctor Rambabu, District Medical Officer (DMO), Khammam, Telangana for his support in collecting different seasonal malaria data and Mr. Suresh &amp; Mrs. Mansi, Indian Institute of Remote Sensing (IIRS) for assisting remote sensing data. The authors also like to thank Department of Computer Science and Engineering, Indian Institute of Technology (Indian School of Mines), Dhanbad, Govt. of India for providing necessary support for carrying the research work.</t>
  </si>
  <si>
    <t xml:space="preserve">Christophers S., Rickard Epidemic malaria of the Punjab: with a note of a method of predicting epidemic years, Trans Committee Stud Malar India, 2, pp. 17-26, (1911); Zinszer K., Kigozi R., Charland K., Dorsey G., Brewer T.F., Brownstein J.S., Kamya M.R., Buckeridge D.L., Forecasting malaria in a highly endemic country using environmental and clinical predictors, Malar J, 14, 1, pp. 1-9, (2015); Gopal D.N., Dhiman S., Talukdar P.K., Goswami D., Rabha B., Baruah I., Veer V., Role of asymptomatic carriers and weather variables in persistent transmission of malaria in an endemic district of Assam, India, Infection Ecol Epidemiol, 5, (2015); Lauderdale J.M., Caminade C., Heath A.E., Jones A.E., MacLeod D.A., Gouda K.C., Murty U.S., Goswami P., Mutheneni S.R., Morse A.P., Towards seasonal forecasting of malaria in India, Malar J, 13, 1, (2014); Who World Malaria Report 2013, (2014); Forest Report, (2011); Hay S.I., George D.B., Moyes C.L., Brownstein J.S., Big data opportunities for global infectious disease surveillance, PLoS Med, 10, 4, (2013); Mckinsey, (2011); NCBI, (2014); Andreu-Perez J., Poon C.C., Merrifield R.D., Wong S.T., Yang G.-Z., Big data for health, IEEE J. Biomed. Health. Inf., 19, 4, pp. 1193-1208, (2015); Hiba A., Mousannif H., Moatassime H.A., Noel T., Big data in healthcare: challenges and opportunities, Cloud Technologies and Applications (CloudTech), 2015 International Conference on IEEE, pp. 1-7, (2015); Barrett M.A., Humblet O., Hiatt R.A., Adler N.E., Big data and disease prevention: from quantified self to quantified communities, Big data, 1, 3, pp. 168-175, (2013); Boonkiatpong K., Sinthupinyo S., Applying multiple neural networks on large scale data, Proceedings of International Conference on Information and Electronics Engineering (ICIEE 2011), (2011); Neuro Solutions, (2015); Chen A.-S., Leung M.T., Daouk H., Application of neural networks to an emerging financial market: forecasting and trading the Taiwan stock index, Comput Oper Res, 30, 6, pp. 901-923, (2003); Lee K.Y., Chung N., Hwang S., Application of an artificial neural network (ANN) model for predicting mosquito abundances in urban areas, Ecol Inf, (2015); Zhang G., Patuwo B.E., Hu M.Y., Forecasting with artificial neural networks: the state of the art, Int J Forecasting, 14, 1, pp. 35-62, (1998); Gunther F., Fritsch S., neuralnet: training of neural networks, R Journal, 2, 1, pp. 30-38, (2010); Birkhead G.S., Klompas M., Shah N.R., Uses of electronic health records for public health surveillance to advance public health, Annu Rev Public Health, 36, pp. 345-359, (2015); Cohen I.G., Amarasingham R., Shah A., Xie B., Lo B., The legal and ethical concerns that arise from using complex predictive analytics in health care, Health Affairs, 33, 7, pp. 1139-1147, (2014); Kiang R., Adimi F., Soika V., Nigro J., Singhasivanon P., Sirichaisinthop J., Leemingsawat S., Apiwathnasorn C., Looareesuwan S., Meteorological, environmental remote sensing and neural network analysis of the epidemiology of malaria transmission in Thailand, Geospat. Health, 1, 1, pp. 71-84, (2006); Gao C.Y., Xiong H.Y., Yi D., Chai G.J., Yang X.W., Liu L., Study on meteorological factors-based neural network model of malaria, Zhonghua liu xing bing xue za zhi = Zhonghua liuxingbingxue zazhi, 24, 9, pp. 831-834, (2003); Healthcare Data Institute, (2015); Ram S., Zhang W., Williams M., Pengetnze Y., Predicting asthma-related emergency department visits using big data, IEEE J Biomed Health Inf, 19, 4, pp. 1216-1223, (2015); Chai T., Draxler R.R., Root mean square error (RMSE) or mean absolute error (MAE)?–Arguments against avoiding RMSE in the literature, Geosci Model Dev, 7, 3, pp. 1247-1250, (2014); Revich B., Tokarevich N., Parkinson A.J., Climate change and zoonotic infections in the Russian Arctic, Int J Circumpolar Health, 71, (2012); Shone S.M., Curriero F.C., Lesser C.R., Glass G.E., Characterizing population dynamics of Aedes sollicitans (Diptera: culicidae) using meteorological data, J Med Entomol, 43, 2, pp. 393-402, (2006); Ahumada J.A., Laoointe D., Samuel M.D., Modeling the population dynamics of Culex quinquefasciatus (Diptera: culicidae), along an elevational gradient in Hawaii, J Med Entomol, 41, 6, pp. 1157-1170, (2004); Dopazo J., Wang H., Carazo J.M., A new type of unsupervised growing neural network for biological sequence classification that adopts the topology of a phylogenetic tree, Biological and Artificial Computation: From Neuroscience to Technology, pp. 932-941, (1997); Sahoo G.B., Schladow S.G., Reuter J.E., Forecasting stream water temperature using regression analysis, artificial neural network, and chaotic non-linear dynamic models, J Hydrol, 378, 3, pp. 325-342, (2009); Tsai M.-H., Yu S.-S., Chan Y.-K., Jen C.-C., Blood smear image based malaria parasite and infected-erythrocyte detection and segmentation, J Med Syst, 39, 10, pp. 1-14, (2015); Shah N.K., Dhillon G.P.S., Dash A.P., Arora U., Meshnick S.R., Valecha N., Antimalarial drug resistance of Plasmodium falciparum in India: changes over time and space, Lancet Infect. Dis., 11, 1, pp. 57-64, (2011); Potharaju S.P., Sreedevi M., An improved prediction of kidney disease using SMOTE, Indian J. Sci. Technol., 9, 31, (2016); Ramesh D., Suraj P., Saini L., Big data analytics in healthcare: a survey approach, Microelectronics, Computing and Communications (MicroCom), 2016 International Conference on IEEE, pp. 1-6, (2016); Murdoch T.B., Detsky A.S., The inevitable application of big data to health care, JAMA, 309, 13, pp. 1351-1352, (2013); Fritsch S., Guenther F., Guenther M.F., Package ‘neuralnet’, (2016)</t>
  </si>
  <si>
    <t xml:space="preserve">R. Dharavath; Department of Computer Science and Engineering, Indian Institute of Technology(Indian School of Mines), Dhanbad, 826004, India; email: drramesh@iitism.ac.in</t>
  </si>
  <si>
    <t xml:space="preserve">Clin. Epidemiol. Global Health</t>
  </si>
  <si>
    <t xml:space="preserve">2-s2.0-85043527530</t>
  </si>
  <si>
    <t xml:space="preserve">Chaya Jagtap D.; Usha Rani N.</t>
  </si>
  <si>
    <t xml:space="preserve">Chaya Jagtap, D. (57209498764); Usha Rani, N. (55644818000)</t>
  </si>
  <si>
    <t xml:space="preserve">57209498764; 55644818000</t>
  </si>
  <si>
    <t xml:space="preserve">Cuckoo search based ensemble classifier for predictive analysis of malaria infection scope on thin blood smears</t>
  </si>
  <si>
    <t xml:space="preserve">Classification of machine learning models had an ultimate achievement by means of supervised learning, but the “state of the art models” have not yet extensively applied the “biological image data”. To categorize the erythrocytes as malaria infested or not, we categorize erythrocytes thru ensemble classification method. With this regard, the script strived to prolong our former “decision tree based binary classifier” to accomplish the ensemble classification. Training data which is given clustered into diverse groups that are based on the variety perceived in all probable features projection. Every cluster is engaged to a greater extent to train single classifier. In this esteem, morphological features and entropy-based features are included. From legitimate pathology laboratories, the investigation carried on the real time inputs and combination of benchmark datasets composed as anonymous data. Unlike the existing methods, proposal of this document executed experiments on voluminous data that proliferate in size when compared to present benchmark datasets. With the statistical assessment the execution of proposal is evaluated by comparative analysis amid the two existing models “Malaria infected erythrocyte classification based on a hybrid classifier using microscopic images of thin blood smear (Hybrid Classification Approach)” and “Scale to Estimate Premature Malaria Parasites Scope (SEMPS)”and the proposed model “Cuckoo Search Based Ensemble Classifier (CSEC)”. As depicted by the experimental study the suggested model is surpassing the two existing models. © 2019, Indian Journal of Public Health Research and Development. All rights reserved.</t>
  </si>
  <si>
    <t xml:space="preserve">Indian Journal of Public Health Research and Development</t>
  </si>
  <si>
    <t xml:space="preserve">Institute of Medico-Legal Publications</t>
  </si>
  <si>
    <t xml:space="preserve">10.5958/0976-5506.2019.01209.9</t>
  </si>
  <si>
    <t xml:space="preserve">https://www.scopus.com/inward/record.uri?eid=2-s2.0-85067979725&amp;doi=10.5958%2f0976-5506.2019.01209.9&amp;partnerID=40&amp;md5=fd87549da71d66cc0551d17d8699eb3b</t>
  </si>
  <si>
    <t xml:space="preserve">Department of ECE, Vignan University, Guntur, Andhra Pradesh, India</t>
  </si>
  <si>
    <t xml:space="preserve">Chaya Jagtap D., Department of ECE, Vignan University, Guntur, Andhra Pradesh, India; Usha Rani N., Department of ECE, Vignan University, Guntur, Andhra Pradesh, India</t>
  </si>
  <si>
    <t xml:space="preserve">Geometricfeatures; Gray scale histogram; Neural Networks; Rapid diagnosis tests; ROI; WHO</t>
  </si>
  <si>
    <t xml:space="preserve">accuracy; Article; blood smear; classification algorithm; classifier; comparative study; diagnostic accuracy; erythrocyte; Gray scale echography; histogram; image analysis; image retrieval; image segmentation; learning algorithm; machine learning; malaria; mathematical model; microscopy; morphology; nerve cell network; nonhuman; Plasmodium vivax; predictive validity; sensitivity and specificity</t>
  </si>
  <si>
    <t xml:space="preserve">(2013); Cuomo M.J., Noel L.B., White D.B., Diagnosing Medical Parasites: A Public Health Officers Guide to Assisting Laboratory and Medical Officers, (2009); Dhiman S., Baruah I., Singh L., Military malaria in northeast region of India, Defence Science Journal, 60, 2, (2010); Devi S.S., Kumar R., Laskar R.H., Recent advances on erythrocyte image segmentation for biomedical applications, Proceedings of Fourth International Conference on Soft Computing for Problem Solving, pp. 353-359, (2015); Eun S.J., Kim H., Park J.W., Whangbo T.K., Effective object segmentation based on physical theory in an MR image, Multimedia Tools and Applications, 74, 16, pp. 6273-6286, (2015); Fan D., Wei L., Cao M., Extraction of target region in lung immunohistochemical image based on artificial neural network, Multimedia Tools and Applications, 75, 19, pp. 12227-12244, (2016); Sertel O., Dogdas B., Chiu C.S., Gurcan M.N., Microscopic image analysis for quantitative characterization of muscle fiber type composition, Computerized Medical Imaging and Graphics, 35, 7-8, pp. 616-628, (2011); Zhu W., Huang W., Lin Z., Yang Y., Huang S., Zhou J., Data and feature mixed ensemble based extreme learning machine for medical object detection and segmentation, Multimedia Tools and Applications, 75, 5, pp. 2815-2837, (2016); Di Ruberto C., Dempster A., Khan S., Jarra B., Analysis of infected blood cell images using morphological operators, Image and Vision Computing, 20, 2, pp. 133-146, (2002); Ross N.E., Pritchard C.J., Rubin D.M., Duse A.G., Automated image processing method for the diagnosis and classification of malaria on thin blood smears, Medical and Biological Engineering and Computing, 44, 5, pp. 427-436, (2006); Rodriguez A., Guil N., Shotton D.M., Trelles O., Analysis and description of the semantic content of cell biological videos, Multimedia Tools and Applications, 25, 1, pp. 37-58, (2005); Tek F.B., Dempster A.G., Kale I., Malaria Parasite Detection in Peripheral Blood Images, Inbmvc, pp. 347-356, (2006); Tek F.B., Dempster A.G., Kale I., Parasite detection and identification for automated thin blood film malaria diagnosis, Computer Vision and Image Understanding, 114, 1, pp. 21-32, (2010); Diaz G., Gonzalez F., Romero E., Infected cell identification in thin blood images based on color pixel classification: Comparison and analysis, Iberoamerican Congress on Pattern Recognition, pp. 812-821, (2007); Diaz G., Gonzalez F.A., Romero E., A semi-automatic method for quantification and classification of erythrocytes infected with malaria parasites in microscopic images, Journal of Biomedical Informatics, 42, 2, pp. 296-307, (2009); Springl V., Automatic malaria diagnosis through microscopy imaging, Faculty of Electrical Engineering, (2009); Khan M.I., Acharya B., Singh B.K., Soni J., Content based image retrieval approaches for detection of malarial parasite in blood images, International Journal of Biometrics and Bioinformatics (IJBB), 5, 2, (2011); Soni J., Mishra N., Kamargaonkar N.C., Automatic difference between RBC and malaria parasites based on morphology with first order features using image processing, Int J Adv Eng Tech, 1, 5, pp. 290-297, (2011); Prasad K., Winter J., Bhat U.M., Acharya R.V., Prabhu G.K., Image analysis approach for development of a decision support system for detection of malaria parasites in thin blood smear images, Journal of Digital Imaging, 25, 4, pp. 542-549, (2012); Abdul-Nasir A.S., Mashor M.Y., Mohamed Z., Colour image segmentation approach for detection of malaria parasites using various colour models and k-means clustering, WSEAS Transactions on Biology and Biomedicine, 10, 1, pp. 41-55, (2013); Savkare S.S., Narote S.P., Automatic detection of malaria parasites for estimating parasitemia, International Journal of Computer Science and Security (IJCSS), 5, 3, pp. 310-315, (2011); Das D.K., Maiti A.K., Chakraborty C., Textural pattern classification of microscopic images for malaria screening, Advances in Therapeutic Engineering, 3, pp. 419-446, (2012); Das D.K., Ghosh M., Pal M., Maiti A.K., Chakraborty C., Machine learning approach for automated screening of malaria parasite using light microscopic images, Micron, 45, pp. 97-106, (2013); Ghosh M., Das D., Chakraborty C., Ray A.K., Quantitative characterisation of Plasmodium vivax in infected erythrocytes: A textural approach, International Journal of Artificial Intelligence and Soft Computing, 3, 3, pp. 203-221, (2013); Maity M., Maity A.K., Dutta P.K., Chakraborty C., A web-accessible framework for automated storage with compression and textural classification of malaria parasite images, International Journal of Computer Applications, 52, 15, (2012); Kumarasamy S.K., Ong S.H., Tan K.S., Robust contour reconstruction of red blood cells and parasites in the automated identification of the stages of malarial infection, Machine Vision and Applications, 22, 3, pp. 461-469, (2011); Das D., Ghosh M., Chakraborty C., Maiti A.K., Pal M., Probabilistic prediction of malaria using morphological and textural information, Image Information Processing (ICIIP), 2011 International Conference On, pp. 1-6, (2011); Gitonga L., Memeu D.M., Kaduki K.A., Kale M.A., Muriuki N.S., Determination of plasmodium parasite life stages and species in images of thin blood smears using artificial neural network, Open Journal of Clinical Diagnostics, 4, 2, (2014); Memeu D.M., A Rapid Malaria Diagnostic Method Based on Automatic Detection and Classification of Plasmodium Parasites in Stained Thin Blood Smear Images, (2014); Purwar Y., Shah S.L., Clarke G., Almugairi A., Muehlenbachs A., Automated and unsupervised detection of malarial parasites in microscopic images, Malaria Journal, 10, 1, (2011); Annaldas S., Shirgan S.S., Marathe V.R., Automatic identification of malaria parasites using image processing, International Journal of Emerging Engineering Research and Technology, 2, 4, pp. 107-112, (2014); Bairagi V.K., Charpe K.C., Comparison of texture features used for classification of life stages of malaria parasite, Journal of Biomedical Imaging, (2016); Devi S.S., Et al., Malaria infected erythrocyte classification based on a hybrid classifier using microscopic images of thin blood smear, Multimedia Tools and Applications, 77, 1, pp. 631-660, (2018); Jagtap C.D., Usha Rani N., Heuristic Scale to Estimate Premature Malaria Parasites: Scope in Microscopic Blood Smear Images, Indian Journal of Science and Technology, 10, (2017); Russ J.C., Russ J.C., Introduction to image processing and analysis, CRC Press, (2007); Lai C.H., Yu S.S., Tseng H.Y., Tsai M.H., A protozoan parasite extraction scheme for digital microscopic images, Computerized Medical Imaging and Graphics, 34, 2, pp. 122-130, (2010); Gonzalez R.C., Woods R.E., Digital Image Processing, (2012); Wei Z., Wang J., Nichol H., Wiebe S., Chapman D., A median-Gaussian filtering framework for Moiré pattern noise removal from X-ray microscopy image, Micron, 43, 2-3, pp. 170-176, (2012); Chokkalingam K.A., Komathy K., Sowmya M., Performance analysis of various lymphocytes images de-noising filters over a microscopic blood smear image, International Journal of Pharma and Bio Sciences, 4, 4, pp. 1250-1258, (2013); Gonzalez R.C., Eddins S.L., Woods R.E., Digital Image Publishing Using MATLAB, (2004); Hatamlou A., In search of optimal centroids on data clustering using a binary search algorithm, Pattern Recognition Letters, 33, 13, pp. 1756-1760, (2012); Budak H., Tasabat S.E., A Modified T-Score For Feature Selection, Anadolu Üniversitesi Bilim Ve Teknoloji Dergisi A-Uygulamalı Bilimler Ve Mühendislik, 17, 5, pp. 845-852, (2016); Kummer O., Savoy J., Argand R.E., Feature Selection in Sentiment Analysis, (2012); Sahoo P.R., Theorems T.M., (1998); Pelleg D., Moore A.W., X-Means: Extending K-Means with Efficient Estimation of the Number of Clusters, 1, pp. 727-734, (2000); Altman D.G., Gore S.M., Gardner M.J., Pocock S.J., Statistical guidelines for contributors to medical journals, British Medical Journal, 286, 6376, (1983); Schindelin J., Arganda-Carreras I., Frise E., Kaynig V., Longair M., Pietzsch T., Preibisch S., Rueden C., Saalfeld S., Schmid B., Tinevez J.Y., Fiji: An opensource platform for biological-image analysis, Nature Methods, 9, 7, (2012); Howard R.J., Uni S., Aikawa M., Aley S.B., Leech J.H., Lew A.M., Wellems T.E., Rener J., Taylor D.W., Secretion of a malarial histidine-rich protein (Pf HRP II) from Plasmodium falciparum-infected erythrocytes, The Journal of Cell Biology, 103, 4, pp. 1269-1277, (1986)</t>
  </si>
  <si>
    <t xml:space="preserve">Indian J. Public Health Res. Dev.</t>
  </si>
  <si>
    <t xml:space="preserve">2-s2.0-85067979725</t>
  </si>
  <si>
    <t xml:space="preserve">Feldman J.; Thomas-Bachli A.; Forsyth J.; Patel Z.H.; Khan K.</t>
  </si>
  <si>
    <t xml:space="preserve">Feldman, Joshua (57211261660); Thomas-Bachli, Andrea (54883968300); Forsyth, Jack (57211261337); Patel, Zaki Hasnain (57211262487); Khan, Kamran (35275226600)</t>
  </si>
  <si>
    <t xml:space="preserve">57211261660; 54883968300; 57211261337; 57211262487; 35275226600</t>
  </si>
  <si>
    <t xml:space="preserve">Development of a global infectious disease activity database using natural language processing, machine learning, and human expertise</t>
  </si>
  <si>
    <t xml:space="preserve">Objective: We assessed whether machine learning can be utilized to allow efficient extraction of infectious disease activity information from online media reports. Materials and Methods: We curated a data set of labeled media reports (n = 8322) indicating which articles contain updates about disease activity. We trained a classifier on this data set. To validate our system, we used a held out test set and compared our articles to the World Health Organization Disease Outbreak News reports. Results: Our classifier achieved a recall and precision of 88.8% and 86.1%, respectively. The overall surveillance system detected 94% of the outbreaks identified by the WHO covered by online media (89%) and did so 43.4 (IQR: 9.5-61) days earlier on average. Discussion: We constructed a global real-time disease activity database surveilling 114 illnesses and syndromes. We must further assess our system for bias, representativeness, granularity, and accuracy. Conclusion: Machine learning, natural language processing, and human expertise can be used to efficiently identify disease activity from digital media reports. © 2019 The Author(s).</t>
  </si>
  <si>
    <t xml:space="preserve">Journal of the American Medical Informatics Association</t>
  </si>
  <si>
    <t xml:space="preserve">10.1093/jamia/ocz112</t>
  </si>
  <si>
    <t xml:space="preserve">https://www.scopus.com/inward/record.uri?eid=2-s2.0-85073184126&amp;doi=10.1093%2fjamia%2focz112&amp;partnerID=40&amp;md5=ba9167ee14ce4b2603974ec7d03b9126</t>
  </si>
  <si>
    <t xml:space="preserve">Harvard University, School of Engineering and Applied Sciences, Cambridge, MA, United States; Li Ka Shing Knowledge Institute, St. Michaels Hospital, Toronto, ON, Canada; BlueDot, Toronto, ON, Canada; Division of Infectious Diseases, Department of Medicine, University of Toronto, Toronto, ON, Canada</t>
  </si>
  <si>
    <t xml:space="preserve">Feldman J., Harvard University, School of Engineering and Applied Sciences, Cambridge, MA, United States; Thomas-Bachli A., Li Ka Shing Knowledge Institute, St. Michaels Hospital, Toronto, ON, Canada, BlueDot, Toronto, ON, Canada; Forsyth J., Li Ka Shing Knowledge Institute, St. Michaels Hospital, Toronto, ON, Canada, BlueDot, Toronto, ON, Canada; Patel Z.H., Li Ka Shing Knowledge Institute, St. Michaels Hospital, Toronto, ON, Canada, BlueDot, Toronto, ON, Canada; Khan K., Li Ka Shing Knowledge Institute, St. Michaels Hospital, Toronto, ON, Canada, BlueDot, Toronto, ON, Canada, Division of Infectious Diseases, Department of Medicine, University of Toronto, Toronto, ON, Canada</t>
  </si>
  <si>
    <t xml:space="preserve">communicable diseases; health information systems; internet; machine learning; public health surveillance</t>
  </si>
  <si>
    <t xml:space="preserve">Communicable Diseases; Databases, Factual; Disease Outbreaks; Global Health; Humans; Information Storage and Retrieval; Machine Learning; Natural Language Processing; Population Surveillance; User-Computer Interface; anthrax; Article; avian influenza; cholera; communicable disease; controlled study; data base; dengue; diphtheria; disease activity; disease surveillance; Ebola hemorrhagic fever; epidemic meningitis; false positive result; hepatitis A; hepatitis B; hepatitis C; hepatitis E; human; infection; infectious disease activity database; Lassa fever; leprosy; long short term memory network; Lyme disease; machine learning; major clinical study; malaria falciparum; measles; monkeypox; mumps; natural language processing; online system; plague; predictive value; rabies; seasonal influenza; swine influenza; tick borne encephalitis; tuberculosis; typhoid fever; World Health Organization; yellow fever; Zika fever; communicable disease; computer interface; epidemic; factual database; global health; health survey; information retrieval; procedures</t>
  </si>
  <si>
    <t xml:space="preserve">Yan S.J., Chughtai A.A., Macintyre C.R., Utility and potential of rapid epidemic intelligence from internet-based sources, Int J Infect Dis, 63, pp. 77-87, (2017); O'Shea J., Digital disease detection: A systematic review of event-based internet biosurveillance systems, Int J Med Inform, 101, pp. 15-22, (2017); Barboza P., Vaillant L., Mawudeku A., Et al., Evaluation of epidemic intelligence systems integrated in the early alerting and reporting project for the detection of A/H5N1 influenza events, PLoS ONE, 8, 3, (2013); Lyon A., Nunn M., Grossel G., Burgman M., Comparison of web-based biosecurity intelligence systems: BioCaster, EpiSPIDER and HealthMap, Transbound Emerg Dis, 59, 3, pp. 223-232, (2012); Mondor L., Brownstein J.S., Chan E., Et al., Timeliness of nongovernmental versus governmental global outbreak communications, Emerg Infect Dis, 18, 7, pp. 1184-1187, (2012); Hoen A.G., Keller M., Verma A.D., Buckeridge D.L., Brownstein J.S., Electronic event-based surveillance for monitoring dengue, Latin America, Emerg Infect Dis, 18, 7, pp. 1147-1150, (2012); Bansal S., Chowell G., Simonsen L., Vespignani A., Viboud C., Big data for infectious disease surveillance and modeling, J Infect Dis, 214, pp. S375-S379, (2016); Hay S.I., George D.B., Moyes C.L., Brownstein J.S., Big data opportunities for global infectious disease surveillance, PLoS Med, 10, 4, (2013); Leetaru K., Schrodt P.A., GDELT: Global Data on Events, Location and Tone 1979-2012, (2013); The GDELT Project 2013-2018.; Disease Outbreak News, (2018); Wu Y., Schuster M., Chen Z., Et al., Google's Neural Machine Translation System: Bridging the Gap between Human and Machine Translation, (2016); Hartley D.M., Nelson N.P., Arthur R.R., Et al., An overview of internet biosurveillance, Clin Microbiol Infect, 19, 11, pp. 1006-1013, (2013); Scales D., Zelenev A., Brownstein J.S., Quantifying the effect of media limitations on outbreak data in a global online web-crawling epidemic intelligence system, 2008-2011, J Emerg Health Threats, 6, 1, (2013); Schwind J.S., Wolking D.J., Brownstein J.S., Mazet J.A., Smith W.A., Evaluation of local media surveillance for improved disease recognition and monitoring in global hotspot regions, PLoS One, 9, 10, (2014); ProMed-Mail, (2010); Ghosh S., Chakraborty P., Nsoesie E.O., Et al., Temporal topic modeling to assess associations between news trends and infectious disease outbreaks, Sci Rep, 7, (2017); API Portal</t>
  </si>
  <si>
    <t xml:space="preserve">A. Thomas-Bachli; Toronto, 209 Victoria Street, M5B 1T8, Canada; email: andrea@bluedot.global</t>
  </si>
  <si>
    <t xml:space="preserve">JAMAF</t>
  </si>
  <si>
    <t xml:space="preserve">J. Am. Med. Informatics Assoc.</t>
  </si>
  <si>
    <t xml:space="preserve">2-s2.0-85073184126</t>
  </si>
  <si>
    <t xml:space="preserve">Sengupta P.P.; Rudramurthy G.R.; Ligi M.; Jacob S.S.; Rahman H.; Roy P.</t>
  </si>
  <si>
    <t xml:space="preserve">Sengupta, P.P. (7103155119); Rudramurthy, G.R. (54901933500); Ligi, M. (56400687300); Jacob, S.S. (53663739900); Rahman, H. (57225857366); Roy, P. (7402230990)</t>
  </si>
  <si>
    <t xml:space="preserve">7103155119; 54901933500; 56400687300; 53663739900; 57225857366; 7402230990</t>
  </si>
  <si>
    <t xml:space="preserve">Development of an antigen ELISA using monoclonal antibodies against recombinant VSG for the detection of active infections of Trypanosoma evansi in animals</t>
  </si>
  <si>
    <t xml:space="preserve">Trypanosoma evansi, a haemo-flagellated protozoan parasite causes chronic wasting disease in a wide range of animals. For its diagnosis, blood smear examination is useful in clinical cases for direct identification of the parasite but in latent infection the carrier animals are difficult to screen out by conventional blood smear test. Harboring low level of parasites and showing no symptom, the carrier animals for surra can act as a source of infection. The level of parasitaemia fluctuates, especially during latent infection; moreover the antibodies which are not found early in the infection may persist even after recovery or chemotherapy. In the present study a double antibody sandwich ELISA exploring, monoclonal antibodies and hyperimmune serum, raised against recombinant variable surface glycoprotein has been developed to detect circulating trypanosome antigens. The developed antigen detection ELISA (Ag-ELISA) was evaluated using 652 blood samples collected from cattle, buffalo, equine and camel. The statistical analysis of the data showed diagnostic sensitivity and specificity at 97.4% and 96.4% respectively, with a positive-negative cut-off OD value &gt;0.28. Furthermore, the detection limit of the assay was found to 7.15 trypanosomes per mL. The present finding revealed that the developed assay can be exploited as a potential diagnostic test in the detection of circulating trypanosome antigens and also can be used as a population screening test for multiple animal species for detection of active infection for further treatment and control of the disease. © 2019 Elsevier B.V.</t>
  </si>
  <si>
    <t xml:space="preserve">Veterinary Parasitology</t>
  </si>
  <si>
    <t xml:space="preserve">10.1016/j.vetpar.2018.12.018</t>
  </si>
  <si>
    <t xml:space="preserve">https://www.scopus.com/inward/record.uri?eid=2-s2.0-85060099986&amp;doi=10.1016%2fj.vetpar.2018.12.018&amp;partnerID=40&amp;md5=393a4875d58f1764c2c48c3eef880809</t>
  </si>
  <si>
    <t xml:space="preserve">National Institute of Veterinary Epidemiology and Disease Informatics (NIVEDI), Ramagondanahalli, Yelahanka, Bengaluru, 560064, Karnataka, India</t>
  </si>
  <si>
    <t xml:space="preserve">Sengupta P.P., National Institute of Veterinary Epidemiology and Disease Informatics (NIVEDI), Ramagondanahalli, Yelahanka, Bengaluru, 560064, Karnataka, India; Rudramurthy G.R., National Institute of Veterinary Epidemiology and Disease Informatics (NIVEDI), Ramagondanahalli, Yelahanka, Bengaluru, 560064, Karnataka, India; Ligi M., National Institute of Veterinary Epidemiology and Disease Informatics (NIVEDI), Ramagondanahalli, Yelahanka, Bengaluru, 560064, Karnataka, India; Jacob S.S., National Institute of Veterinary Epidemiology and Disease Informatics (NIVEDI), Ramagondanahalli, Yelahanka, Bengaluru, 560064, Karnataka, India; Rahman H., National Institute of Veterinary Epidemiology and Disease Informatics (NIVEDI), Ramagondanahalli, Yelahanka, Bengaluru, 560064, Karnataka, India; Roy P., National Institute of Veterinary Epidemiology and Disease Informatics (NIVEDI), Ramagondanahalli, Yelahanka, Bengaluru, 560064, Karnataka, India</t>
  </si>
  <si>
    <t xml:space="preserve">Antigen ELISA; Circulating antigens; Monoclonal antibody; Trypanosoma evansi; VSG</t>
  </si>
  <si>
    <t xml:space="preserve">Animals; Antibodies, Monoclonal; Antigens, Protozoan; Buffaloes; Camelus; Cattle; Enzyme-Linked Immunosorbent Assay; Horses; Membrane Glycoproteins; Protozoan Proteins; Recombinant Proteins; Sensitivity and Specificity; Trypanosoma; Trypanosomiasis; hyperimmune globulin; monoclonal antibody; recombinant protein; variant surface glycoprotein; membrane protein; monoclonal antibody; parasite antigen; protozoal protein; animal experiment; antigen detection; Article; bovine; buffalo; camel; comparative study; controlled study; diagnostic accuracy; diagnostic test; diagnostic test accuracy study; disease control; double antibody sandwich enzyme linked immunosorbent assay; false positive result; gene expression; gene targeting; horse; limit of detection; nonhuman; polymerase chain reaction; rat; screening test; sensitivity and specificity; surra; Trypanosoma evansi; VSG gene; animal; blood; enzyme linked immunosorbent assay; genetics; immunology; parasitology; Trypanosoma; trypanosomiasis; veterinary medicine</t>
  </si>
  <si>
    <t xml:space="preserve">Antibodies, Monoclonal, ; Antigens, Protozoan, ; Membrane Glycoproteins, ; Protozoan Proteins, ; Recombinant Proteins, </t>
  </si>
  <si>
    <t xml:space="preserve">Department of Biotechnology, Government of West Bengal, DBT-WB, (BT/PR3478/ADV/90/122/2011)</t>
  </si>
  <si>
    <t xml:space="preserve">The work was done under the financial support by the Department of Biotechnology (DBT), Government of India (Project number: BT/PR3478/ADV/90/122/2011). The authors are thankful to those who helped in getting samples from animals.</t>
  </si>
  <si>
    <t xml:space="preserve">Bajyana Songa E., Hamers R., A card agglutination test (CATT) for veterinaryuse based on an early VAT Ro Tat 1: 2 of Trypanosoma evansi, Ann. Soc. Belg.Med. Trop., 68, pp. 233-240, (1988); Bosompem K.M., Assoku R.K., Nantulya V.M., Production and characterization of a monoclonal antibody specific for Trypanosoma simiae, Ann.Trop. Med. Parasitol., 89, pp. 611-620, (1995); Caffrey C.R., Hansell E., Lucas K.D., Brinen L.S., Alvarez Hernandez A., Cheng J., Gwaltney S.L., Roush W.R., Stierhof Y.D., Bogyo M., Steverding D., McKerrow J.H., Active site mapping, biochemical properties and sub cellular localization of rhodesain, the major cysteine protease of Trypanosoma brucei rhodesiense, Mol. Biochem. Parasitol., 118, pp. 61-73, (2001); Davison H.C., Thrusfield M.V., Muharsini S., Husein A., Partoutomo S., Masake R., Luckins A.G., Evaluation of antigen- and antibody-detection tests for Trypanosoma evansi infections of buffaloes in Indonesia, Epidemiol. Infect., 123, pp. 149-155, (1999); Department of Animal Husbandry, Dairying and Fisheries,                                      18                                     &lt;sup&gt;th&lt;/sup&gt;                                      Livestock Census                                 , (2007); Diall O., Nantulya V.M., Luckins A.G., Diarra B., Kouyate B., Evaluation of mono- and polyclonal antibody-based antigen detection immunoassays for diagnosis of Trypanosoma evansi infection in the dromedary camel, Rev. Elev. Med. Vet. Pays Trop., 45, pp. 149-153, (1992); Fernandez D., Gonzalez-Baradat B., Eleizalde M., Gonzalez-Marcano E., Perrone T., Mendoza M., Trypanosoma evansi: a comparison of PCR and parasitological diagnostic tests in experimentally infected mice, Exp. Parasitol., 121, pp. 1-7, (2009); Field M.C., Carrington M., The trypanosome flagellar pocket, Nat. Rev. Microbiol., 7, pp. 775-786, (2009); Holland W.G., Thanh N.G., My L.N., Do T.T., Goddeeris B.M., Vercruysse J., Prevalence of Trypanosoma evansi in water buffaloes in remote areas in northern Vietnam using PCR and serological methods, Trop. Anim. Health Prod., 36, pp. 45-48, (2004); Huson L.E.J., Authie E., Boulange A.F., Goldring J.P., Coetzer T.H., Modulation of the immunogenicity of the Trypanosoma congolense cysteine protease, congopain, through complexation with alpha (2)-macroglobulin, Vet. Res., 40, pp. 52-64, (2009); Lanham S.M., Godfrey D.G., Isolation of salivarian trypanosomes from man and other mammals using DEAE-cellulose, Exp. Parasitol., 28, pp. 521-534, (1970); Laroy W., Contreras R., Cloning of Trypanosoma cruzi trans-Sialidase and expression in Pichia pastoris, Protein Expr. Purif., 20, pp. 389-393, (2002); Ligi M., Sengupta P.P., Rudramurthy G.R., Rahman H., Flagellar antigen based CI-ELISA for sero-surveillance of surra, Vet. Parasitol., 219, pp. 17-23, (2016); Luckins A.G., Diagnostic methods for trypanosomiasis in livestock, World Anim. Rev., 71, pp. 15-20, (1992); Manas I., Lozano J., Campos M., Gonzalez J., Ruiz-Cabello F., Garrido F., Production of monoclonal antibodies to metacyclic trypomastigotes of Trypanosoma cruzi, Hybridoma, 5, pp. 147-154, (1986); Mathieu-Daude F., Tibayrenc M., Isoenzyme variability of Trypanosoma brucei sl.: genetic, taxonomic and epidemiological significance, Exp. Parasitol., 78, pp. 1-19, (1994); Nantulya V.M., Suratex: A simple latex agglutination antigen test for diagnosis ofTrypanosoma evansi infections (surra), Trop. Med. Parasitol., 45, pp. 9-12, (1994); Rudramurthy G.R., Sengupta P.P., Balamurugan V., Prabhudas K., Rahman H., PCR based diagnosis of trypanosomiasis exploring invariant surface glycoprotein (ISG) 75 gene, Vet. Parasitol., 193, pp. 47-58, (2013); Rudramurthy G.R., Sengupta P.P., Metilda B., Balamurugan V., Prabhudas K., Rahman H., Development of an enzyme immunoassay using recombinant invariant surface glycoprotein (rISG) 75 for serodiagnosis of bovine trypanosomosis, Indian J. Exp. Biol., 53, pp. 7-15, (2015); Rudramurthy G.R., Sengupta P.P., Ligi M., Balamurugan V., Suresh K.P., Rahman H., Serodiagnosis of animal trypanosomosis using a recombinant invariant surface glycoprotein of Trypanosoma evansi, Indian J. Exp. Biol., 55, pp. 209-216, (2017); Rudramurthy G.R., Sengupta P.P., Ligi M., Rahman H., An inhibition enzyme immuno assay exploring recombinant invariant surface glycoprotein and monoclonal antibodies for surveillance of surra in animals, Biologicals, 46, pp. 148-152, (2017); Rudramurthy G.R., Sengupta P.P., Ligi M., Rahman H., Antigen detection ELISA: a sensitive and reliable tool for the detection of active infection of surra, Acta Trop., 187, pp. 23-27, (2018); Sengupta P.P., Balumahendiran M., Suryanarayana V.V.S., Raghavendra A.G., Shome B.R., Ganjendragad M.R., Prabhudas K., PCR-based diagnosis of surra-targeting VSG gene: experimental studies in small laboratory rodents and buffalo, Vet. Parasitol., 171, pp. 22-31, (2010); Sengupta P.P., Balumahendiran M., Balamurugan V., Rudramurthy G.R., Prabhudas K., Expressed truncated N-terminal variable surface glycoprotein (VSG) of Trypanosoma evansi in E. coli exhibits immuno-reactivity, Vet. Parasitol., 187, 1, (2012); Sengupta P.P., Rudramurthy G.R., Ligi M., Roy M., Balamurugan V., Krishnamoorthy P., Nagalingam M., Singh L., Rahman H., Sero-diagnosis of surra exploiting recombinant VSG antigen based ELISA for surveillance, Vet. Parasitol., 205, pp. 490-498, (2014); Sengupta P.P., Rudramurthy G.R., Ligi M., Balamurugan V., Rahman H., Development of ELISA exploring recombinant variable surface glycoprotein for diagnosis of surra in animals, Curr. Sci., pp. 2022-2027, (2016); Sengupta P.P., Rudramurthy G.R., Ligi M., Jacob S.S., Rahman H., Roy P., Development and evaluation of recombinant antigen and monoclonal antibody based competition ELISA for the sero- surveillance of surra in animals, J. Immunol. Methods, 460, pp. 87-92, (2018); Snedecor G.W., Cochran W.G., Statistical Methods, pp. 1-593, (1968); Stevens J.R., Godfrey D.G., Numerical taxonomy of Trypanozoon based on polymorphism in a reduced range of enzymes, Parasitology, 104, pp. 75-86, (1992); Takasu N., Masuko T., Sugahara K., Hashimoto Y., Production and characterization of monoclonal antibodies against Trypanosoma cruzi-associated antigens, Tohoku J. Exp. Med., 159, pp. 313-321, (1989); Urakawa T., Verloo D., Moens L., Buscher P., Majiwa P.A.O., Trypanosoma evansi: cloning and expression in Spodoptera fugiperda insect cells of the diagnostic antigen RoTat1.2, Exp. Parasitol., 99, pp. 181-189, (2001); Vandersall-Nairn A.S., Merkle R.K., O Brien K., Oeltmann T.N., Moremen K.W., Cloning, expression, purification, and characterization ofthe acid alpha-mannosidase from Trypanosoma cruzi, Glycobiology, 8, pp. 1183-1194, (1998); Verloo D., Tibayrenc R., Magnus E., Buscher P., Van Meirvenne N., Performance of serological tests for Trypanosoma evansi infections in camels from Niger, J. Protozool. Res., 8, pp. 190-193, (1998); Verloo D., Holland W., My L.N., Thanh N.G., Tam P.T., Goddeeris B., Vercruysse J., Buscher P., Comparison of serological tests for Trypanosoma evansi natural infections in water buffaloes from North Vietnam, Vet. Parasitol., 29, pp. 87-96, (2000); Yadav S.C., Kumar R., Manuja A., Goyal L., Gupta A.K., Early detection of Trypanosoma evansi infection and monitoring of antibody levels by ELISA following treatment, J. Parasit. Dis., 38, pp. 124-127, (2014); Zhang Z.Q., Baltz T., Identification of Trypanosoma evansi, Trypanosoma equiperdum and Trypanosoma brucei brucei using repetitive DNA probes, Vet. Parasitol., 53, pp. 197-208, (1994)</t>
  </si>
  <si>
    <t xml:space="preserve">P.P. Sengupta; Parasitology Laboratory, ICAR-National Institute of Veterinary Epidemiology and Disease Informatics (ICAR-NIVEDI), Bengaluru, Ramagondanahalli, P.B. No. 6450, 560064, India; email: pinakiprasad_s@rediffmail.com</t>
  </si>
  <si>
    <t xml:space="preserve">VPARD</t>
  </si>
  <si>
    <t xml:space="preserve">Vet. Parasitol.</t>
  </si>
  <si>
    <t xml:space="preserve">2-s2.0-85060099986</t>
  </si>
  <si>
    <t xml:space="preserve">Blohmke C.J.; Muller J.; Gibani M.M.; Dobinson H.; Shrestha S.; Perinparajah S.; Jin C.; Hughes H.; Blackwell L.; Dongol S.; Karkey A.; Schreiber F.; Pickard D.; Basnyat B.; Dougan G.; Baker S.; Pollard A.J.; Darton T.C.</t>
  </si>
  <si>
    <t xml:space="preserve">Blohmke, Christoph J (24467220700); Muller, Julius (24394527300); Gibani, Malick M (56087385900); Dobinson, Hazel (56959133200); Shrestha, Sonu (57169623500); Perinparajah, Soumya (57210743992); Jin, Celina (36246381100); Hughes, Harri (57210746977); Blackwell, Luke (57209733349); Dongol, Sabina (22134108000); Karkey, Abhilasha (26532900700); Schreiber, Fernanda (8603284400); Pickard, Derek (7005484533); Basnyat, Buddha (57203081912); Dougan, Gordon (7102366949); Baker, Stephen (57203188765); Pollard, Andrew J (7103193821); Darton, Thomas C (26027413200)</t>
  </si>
  <si>
    <t xml:space="preserve">24467220700; 24394527300; 56087385900; 56959133200; 57169623500; 57210743992; 36246381100; 57210746977; 57209733349; 22134108000; 26532900700; 8603284400; 7005484533; 57203081912; 7102366949; 57203188765; 7103193821; 26027413200</t>
  </si>
  <si>
    <t xml:space="preserve">Diagnostic host gene signature for distinguishing enteric fever from other febrile diseases</t>
  </si>
  <si>
    <t xml:space="preserve">Misdiagnosis of enteric fever is a major global health problem, resulting in patient mismanagement, antimicrobial misuse and inaccurate disease burden estimates. Applying a machine learning algorithm to host gene expression profiles, we identified a diagnostic signature, which could distinguish culture-confirmed enteric fever cases from other febrile illnesses (area under receiver operating characteristic curve ' 95%). Applying this signature to a culture-negative suspected enteric fever cohort in Nepal identified a further 12.6% as likely true cases. Our analysis highlights the power of data-driven approaches to identify host response patterns for the diagnosis of febrile illnesses. Expression signatures were validated using qPCR, highlighting their utility as PCR-based diagnostics for use in endemic settings. © 2019 The Authors. Published under the terms of the CC BY 4.0 license</t>
  </si>
  <si>
    <t xml:space="preserve">EMBO Molecular Medicine</t>
  </si>
  <si>
    <t xml:space="preserve">Blackwell Publishing Ltd</t>
  </si>
  <si>
    <t xml:space="preserve">e10431</t>
  </si>
  <si>
    <t xml:space="preserve">10.15252/emmm.201910431</t>
  </si>
  <si>
    <t xml:space="preserve">https://www.scopus.com/inward/record.uri?eid=2-s2.0-85071372299&amp;doi=10.15252%2femmm.201910431&amp;partnerID=40&amp;md5=5d348731ac93f656edb7e39a3e3adfe6</t>
  </si>
  <si>
    <t xml:space="preserve">Department of Paediatrics, Centre for Clinical Vaccinology and Tropical Medicine, Oxford Vaccine Group, Oxford, United Kingdom; Oxford National Institute of Health Research Biomedical Centre, University of Oxford, Oxford, United Kingdom; The Jenner Institute, University of Oxford, Oxford, United Kingdom; Patan Academy of Healthy Sciences, Oxford University Clinical Research Unit, Kathmandu, Nepal; Infection Genomics Program, The Wellcome Trust Sanger Institute, Hinxton, United Kingdom; The Hospital for Tropical Diseases, Wellcome Trust Major Overseas Programme, Oxford University Clinical Research Unit, Ho Chi Minh City, Viet Nam; Department of Infection, Immunity and Cardiovascular Disease, University of Sheffield, Sheffield, United Kingdom</t>
  </si>
  <si>
    <t xml:space="preserve">Blohmke C.J., Department of Paediatrics, Centre for Clinical Vaccinology and Tropical Medicine, Oxford Vaccine Group, Oxford, United Kingdom, Oxford National Institute of Health Research Biomedical Centre, University of Oxford, Oxford, United Kingdom; Muller J., The Jenner Institute, University of Oxford, Oxford, United Kingdom; Gibani M.M., Department of Paediatrics, Centre for Clinical Vaccinology and Tropical Medicine, Oxford Vaccine Group, Oxford, United Kingdom, Oxford National Institute of Health Research Biomedical Centre, University of Oxford, Oxford, United Kingdom; Dobinson H., Department of Paediatrics, Centre for Clinical Vaccinology and Tropical Medicine, Oxford Vaccine Group, Oxford, United Kingdom, Oxford National Institute of Health Research Biomedical Centre, University of Oxford, Oxford, United Kingdom; Shrestha S., Department of Paediatrics, Centre for Clinical Vaccinology and Tropical Medicine, Oxford Vaccine Group, Oxford, United Kingdom, Oxford National Institute of Health Research Biomedical Centre, University of Oxford, Oxford, United Kingdom; Perinparajah S., Department of Paediatrics, Centre for Clinical Vaccinology and Tropical Medicine, Oxford Vaccine Group, Oxford, United Kingdom, Oxford National Institute of Health Research Biomedical Centre, University of Oxford, Oxford, United Kingdom; Jin C., Department of Paediatrics, Centre for Clinical Vaccinology and Tropical Medicine, Oxford Vaccine Group, Oxford, United Kingdom, Oxford National Institute of Health Research Biomedical Centre, University of Oxford, Oxford, United Kingdom; Hughes H., Department of Paediatrics, Centre for Clinical Vaccinology and Tropical Medicine, Oxford Vaccine Group, Oxford, United Kingdom, Oxford National Institute of Health Research Biomedical Centre, University of Oxford, Oxford, United Kingdom; Blackwell L., Department of Paediatrics, Centre for Clinical Vaccinology and Tropical Medicine, Oxford Vaccine Group, Oxford, United Kingdom, Oxford National Institute of Health Research Biomedical Centre, University of Oxford, Oxford, United Kingdom; Dongol S., Patan Academy of Healthy Sciences, Oxford University Clinical Research Unit, Kathmandu, Nepal; Karkey A., Patan Academy of Healthy Sciences, Oxford University Clinical Research Unit, Kathmandu, Nepal; Schreiber F., Infection Genomics Program, The Wellcome Trust Sanger Institute, Hinxton, United Kingdom; Pickard D., Infection Genomics Program, The Wellcome Trust Sanger Institute, Hinxton, United Kingdom; Basnyat B., Patan Academy of Healthy Sciences, Oxford University Clinical Research Unit, Kathmandu, Nepal; Dougan G., Infection Genomics Program, The Wellcome Trust Sanger Institute, Hinxton, United Kingdom; Baker S., The Hospital for Tropical Diseases, Wellcome Trust Major Overseas Programme, Oxford University Clinical Research Unit, Ho Chi Minh City, Viet Nam; Pollard A.J., Department of Paediatrics, Centre for Clinical Vaccinology and Tropical Medicine, Oxford Vaccine Group, Oxford, United Kingdom, Oxford National Institute of Health Research Biomedical Centre, University of Oxford, Oxford, United Kingdom; Darton T.C., Department of Paediatrics, Centre for Clinical Vaccinology and Tropical Medicine, Oxford Vaccine Group, Oxford, United Kingdom, Oxford National Institute of Health Research Biomedical Centre, University of Oxford, Oxford, United Kingdom, The Hospital for Tropical Diseases, Wellcome Trust Major Overseas Programme, Oxford University Clinical Research Unit, Ho Chi Minh City, Viet Nam, Department of Infection, Immunity and Cardiovascular Disease, University of Sheffield, Sheffield, United Kingdom</t>
  </si>
  <si>
    <t xml:space="preserve">biomarker; enteric fever; machine learning; transcriptomics</t>
  </si>
  <si>
    <t xml:space="preserve">Diagnosis, Differential; Gene Expression Profiling; Humans; Machine Learning; Molecular Diagnostic Techniques; Nepal; Polymerase Chain Reaction; ROC Curve; Typhoid Fever; C reactive protein; adult; Article; bacterial virulence; child; cohort analysis; controlled study; dengue; differential diagnosis; down regulation; fever; gene; gene expression; gene identification; genetic transcription; human; human cell; immune response; lung tuberculosis; machine learning; malaria falciparum; Nepal; nonhuman; polymerase chain reaction; priority journal; PSME2 gene; quantitative analysis; SLAMF8 gene; STAT1 gene; typhoid fever; validation study; WARS gene; differential diagnosis; gene expression profiling; molecular diagnosis; pathology; procedures; receiver operating characteristic; typhoid fever</t>
  </si>
  <si>
    <t xml:space="preserve">C reactive protein, 9007-41-4</t>
  </si>
  <si>
    <t xml:space="preserve">ADITEC; European Commission FP7; European Vaccine Initiative; MRC-funded; NIHR-funded; Oxford-Wellcome Trust; Oxford‐Wellcome Trust Institutional Strategic Support Fund; Weatherall Institute of Molecular Medicine; Bill and Melinda Gates Foundation, BMGF, (OPP1084259, OPP1089317); Bill and Melinda Gates Foundation, BMGF; Center for Global Health, CGH, (NVGH308); Center for Global Health, CGH; Wellcome Trust, WT, (092661); Wellcome Trust, WT; Medical Research Council, MRC, (MR/M00919X/1); Medical Research Council, MRC; National Institute for Health Research, NIHR; Royal Society, (100087/Z/12/Z); Royal Society; European Commission, EC; Trinity College Dublin, TCD; GlaxoSmithKline foundation, GSK; Department of Health, Australian Government; Oxford University Hospitals NHS Foundation Trust, OUH; NIHR Oxford Biomedical Research Centre, OxBRC</t>
  </si>
  <si>
    <t xml:space="preserve">Funding text 1: We gratefully acknowledge the assistance of the participants who have taken part in the study both in Oxford and in Nepal. We are also grateful for the support from Laura B. Martin and GSK Vaccines for Global Health for setting up the paratyphoid challenge model and providing the . Paratyphi O:2 antigen and the . Paratyphi A challenge strain (NVGH308). We are grateful for the support from Myron M. Levine for providing the . Typhi Quailes strain used in the typhoid CHIM. This work was supported by the Bill and Melinda Gates Foundation (OPP1089317 and OPP1084259); funding for the challenge studies was provided by a Wellcome Trust Strategic Translational Award (grant number 092661 to AJP); the European Vaccine Initiative (ref: PIM); European Commission FP7 grant “Advanced Immunization Technologies” (ADITEC); and the NIHR Oxford Biomedical Research Centre (Clinical Research Fellowship to TCD; oxfordbrc.nihr.ac.uk). For the support of the Fluidigm experiment, we acknowledge the Weatherall Institute of Molecular Medicine (WIMM) single‐cell facility, which was supported by the MRC‐funded Oxford Consortium for Single‐cell Biology (MR/M00919X/1) and the Oxford‐Wellcome Trust Institutional Strategic Support Fund. TCD, CJ, CJB, CSW and AJP are supported by the NIHR Oxford Biomedical Research Centre (Oxford University Hospitals NHS Trust, Oxford), TCD is NIHR‐funded Academic Clinical Lecturer; SB is Sir Henry Dale Fellow, jointly funded by the Wellcome Trust and the Royal Society (100087/Z/12/Z); AJP is Jenner Investigator, James Martin Senior Fellow and NIHR Senior Investigator. The views expressed in this article are those of the author(s) and not necessarily those of the NHS, the NIHR or the Department of Health. S S S ; Funding text 2: We gratefully acknowledge the assistance of the participants who have taken part in the study both in Oxford and in Nepal. We are also grateful for the support from Laura B. Martin and GSK Vaccines for Global Health for setting up the paratyphoid challenge model and providing the S. Paratyphi O:2 antigen and the S. Paratyphi A challenge strain (NVGH308). We are grateful for the support from Myron M. Levine for providing the S. Typhi Quailes strain used in the typhoid CHIM. This work was supported by the Bill and Melinda Gates Foundation (OPP1089317 and OPP1084259); funding for the challenge studies was provided by a Wellcome Trust Strategic Translational Award (grant number 092661 to AJP); the European Vaccine Initiative (ref: PIM); European Commission FP7 grant ?Advanced Immunization Technologies? (ADITEC); and the NIHR Oxford Biomedical Research Centre (Clinical Research Fellowship to TCD; oxfordbrc.nihr.ac.uk). For the support of the Fluidigm experiment, we acknowledge the Weatherall Institute of Molecular Medicine (WIMM) single-cell facility, which was supported by the MRC-funded Oxford Consortium for Single-cell Biology (MR/M00919X/1) and the Oxford-Wellcome Trust Institutional Strategic Support Fund. TCD, CJ, CJB, CSW and AJP are supported by the NIHR Oxford Biomedical Research Centre (Oxford University Hospitals NHS Trust, Oxford), TCD is NIHR-funded Academic Clinical Lecturer; SB is Sir Henry Dale Fellow, jointly funded by the Wellcome Trust and the Royal Society (100087/Z/12/Z); AJP is Jenner Investigator, James Martin Senior Fellow and NIHR Senior Investigator. The views expressed in this article are those of the author(s) and not necessarily those of the NHS, the NIHR or the Department of Health.</t>
  </si>
  <si>
    <t xml:space="preserve">Anderson S.T., Kaforou M., Brent A.J., Wright V.J., Banwell C.M., Chagaluka G., Crampin A.C., Dockrell H.M., French N., Hamilton M.S., Et al., Diagnosis of childhood tuberculosis and host RNA expression in Africa, N Engl J Med, 370, pp. 1712-1723, (2014); Andres-Terre M., McGuire H.M., Pouliot Y., Bongen E., Sweeney T.E., Tato C.M., Khatri P., Integrated, multi-cohort analysis identifies conserved transcriptional signatures across multiple respiratory viruses, Immunity, 43, pp. 1199-1211, (2015); Andrews J.R., Baker S., Marks F., Alsan M., Garrett D., Gellin B.G., Saha S.K., Qamar F.N., Yousafzai M.T., Bogoch I.I., Et al., Typhoid conjugate vaccines: a new tool in the fight against antimicrobial resistance, Lancet Infect Dis, 19, pp. e26-e30, (2018); Arjyal A., Basnyat B., Nhan H.T., Koirala S., Giri A., Joshi N., Shakya M., Pathak K.R., Mahat S.P., Prajapati S.P., Et al., Gatifloxacin versus ceftriaxone for uncomplicated enteric fever in Nepal: an open-label, two-centre, randomised controlled trial, Lancet Infect Dis, 16, pp. 535-545, (2016); Baker S., Genomic medicine has failed the poor, Nature, 478, (2011); Berry M.P., Graham C.M., McNab F.W., Xu Z., Bloch S.A., Oni T., Wilkinson K.A., Banchereau R., Skinner J., Wilkinson R.J., Et al., An interferon-inducible neutrophil-driven blood transcriptional signature in human tuberculosis, Nature, 466, pp. 973-977, (2010); Berry M.P., Graham C.M., McNab F.W., Xu Z., Bloch S.A., Oni T., Wilkinson K.A., Banchereau R., Skinner J., Wilkinson R.J., Et al., Gene Expression Omnibus, (2010); Blohmke C.J., Darton T.C., Jones C., Suarez N.M., Waddington C.S., Angus B., Zhou L., Hill J., Clare S., Kane L., Et al., Interferon-driven alterations of the host's amino acid metabolism in the pathogenesis of typhoid fever, J Exp Med, 213, pp. 1061-1077, (2016); Blohmke C.J., Darton T.C., Jones C., Suarez N.M., Waddington C.S., Angus B., Zhou L., Hill J., Clare S., Kane L., Et al., EMBL-EBI ArrayExpress, (2016); Blohmke C.J., Hill J., Darton T.C., Carvalho-Burger M., Eustace A., Jones C., Schreiber F., Goodier M.R., Dougan G., Nakaya H.I., Et al., Induction of cell cycle and NK cell responses by live-attenuated oral vaccines against typhoid fever, Front Immunol, 8, (2017); Bolger A.M., Lohse M., Usadel B., Trimmomatic: a flexible trimmer for Illumina sequence data, Bioinformatics, 30, pp. 2114-2120, (2014); Brodersen K.H., Ong C.S., Stephan K.E., Buhmann J.M., The balanced accuracy and its posterior distribution, (2010); Buckle G.C., Walker C.L., Black R.E., Typhoid fever and paratyphoid fever: Systematic review to estimate global morbidity and mortality for 2010, J Glob Health, 2, (2012); Chaussabel D., Baldwin N., Democratizing systems immunology with modular transcriptional repertoire analyses, Nat Rev Immunol, 14, pp. 271-280, (2014); Cirillo S.L., Subbian S., Chen B., Weisbrod T.R., Jacobs W.R., Cirillo J.D., Protection of Mycobacterium tuberculosis from reactive oxygen species conferred by the mel2 locus impacts persistence and dissemination, Infect Immun, 77, pp. 2557-2567, (2009); Darton T.C., Jones C., Blohmke C.J., Waddington C.S., Zhou L., Peters A., Haworth K., Sie R., Green C.A., Jeppesen C.A., Et al., Using a human challenge model of infection to measure vaccine efficacy: a randomised, controlled trial comparing the typhoid vaccines M01ZH09 with Placebo and Ty21a, PLoS Negl Trop Dis, 10, (2016); Darton T.C., Baker S., Randall A., Dongol S., Karkey A., Voysey M., Carter M.J., Jones C., Trappl K., Pablo J., Et al., Identification of novel serodiagnostic signatures of typhoid fever using a Salmonella Proteome Array, Front Microbiol, 8, (2017); Davis S., Meltzer P.S., GEOquery: a bridge between the Gene Expression Omnibus (GEO) and BioConductor, Bioinformatics, 23, pp. 1846-1847, (2007); De La Cruz Hernandez S.I., Puerta-Guardo H., Flores-Aguilar H., Gonzalez-Mateos S., Lopez-Martinez I., Ortiz-Navarrete V., Ludert J.E., Del Angel R.M., A strong interferon response correlates with a milder dengue clinical condition, J Clin Virol, 60, pp. 196-199, (2014); Deng H., Guided random forest in the RRF package, arXiv, (2013); Deng H., Runger G., Gene selection with guided regularized random forest, Pattern Recogn, 46, pp. 3483-3489, (2013); Dobinson H.C., Gibani M.M., Jones C., Thomaides-Brears H.B., Voysey M., Darton T.C., Waddington C.S., Campbell D., Milligan I., Zhou L., Et al., Evaluation of the clinical and microbiological response to Salmonella Paratyphi A infection in the first paratyphoid human challenge model, Clin Infect Dis, 64, pp. 1066-1073, (2017); van Driel B.J., Liao G., Engel P., Terhorst C., Responses to microbial challenges by SLAMF receptors, Front Immunol, 7, (2016); Dubiel W., Pratt G., Ferrell K., Rechsteiner M., Purification of an 11 S regulator of the multicatalytic protease, J Biol Chem, 267, pp. 22369-22377, (1992); Escadafal C., Nsanzabana C., Archer J., Chihota V., Rodriguez W., Dittrich S., New biomarkers and diagnostic tools for the management of fever in low- and middle-income countries: an Overview of the Challenges, Diagnostics (Basel), 7, (2017); Fang F.C., Antimicrobial actions of reactive oxygen species, MBio, 2, (2011); Herberg J.A., Kaforou M., Wright V.J., Shailes H., Eleftherohorinou H., Hoggart C.J., Cebey-Lopez M., Carter M.J., Janes V.A., Gormley S., Et al., Diagnostic test accuracy of a 2-transcript host RNA signature for discriminating bacterial vs viral infection in febrile children, JAMA, 316, pp. 835-845, (2016); Hoang L.T., Lynn D.J., Henn M., Birren B.W., Lennon N.J., Le P.T., Duong K.T., Nguyen T.T., Mai L.N., Farrar J.J., Et al., The early whole-blood transcriptional signature of dengue virus and features associated with progression to dengue shock syndrome in Vietnamese children and young adults, J Virol, 84, pp. 12982-12994, (2010); Hoang L.T., Lynn D.J., Henn M., Birren B.W., Lennon N.J., Le P.T., Duong K.T., Nguyen T.T., Mai L.N., Farrar J.J., Et al., Gene Expression Omnibus, (2010); Huang X., Lin X., Urmann K., Li L., Xie X., Jiang S., Hoffmann M.R., Smartphone-based in-gel Loop-Mediated Isothermal Amplification (gLAMP) system enables rapid Coliphage MS2 quantification in environmental waters, Environ Sci Technol, 52, pp. 6399-6407, (2018); Idaghdour Y., Quinlan J., Goulet J.P., Berghout J., Gbeha E., Bruat V., de Malliard T., Grenier J.C., Gomez S., Gros P., Et al., Evidence for additive and interaction effects of host genotype and infection in malaria, Proc Natl Acad Sci USA, 109, pp. 16786-16793, (2012); Idaghdour Y., Quinlan J., Goulet J.P., Berghout J., Gbeha E., Bruat V., de Malliard T., Grenier J.C., Gomez S., Gros P., Et al., Gene Expression Omnibus, (2012); Iwata M., Hirakiyama A., Eshima Y., Kagechika H., Kato C., Song S.Y., Retinoic acid imprints gut-homing specificity on T cells, Immunity, 21, pp. 527-538, (2004); Jiang L., Mancuso M., Lu Z., Akar G., Cesarman E., Erickson D., Solar thermal polymerase chain reaction for smartphone-assisted molecular diagnostics, Sci Rep, 4, (2014); Jin C., Gibani M.M., Moore M., Juel H.B., Jones E., Meiring J., Harris V., Gardner J., Nebykova A., Kerridge S.A., Et al., Efficacy and immunogenicity of a Vi-tetanus toxoid conjugate vaccine in the prevention of typhoid fever using a controlled human infection model of Salmonella Typhi: a randomised controlled, phase 2b trial, Lancet, 390, pp. 2472-2480, (2017); Kaforou M., Wright V.J., Oni T., French N., Anderson S.T., Bangani N., Banwell C.M., Brent A.J., Crampin A.C., Dockrell H.M., Et al., Detection of tuberculosis in HIV-infected and -uninfected African adults using whole blood RNA expression signatures: a case-control study, PLoS Med, 10, (2013); Kaforou M., Wright V.J., Oni T., French N., Anderson S.T., Bangani N., Banwell C.M., Brent A.J., Crampin A.C., Dockrell H.M., Et al., Gene Expression Omnibus, (2013); Kwissa M., Nakaya H.I., Onlamoon N., Wrammert J., Villinger F., Perng G.C., Yoksan S., Pattanapanyasat K., Chokephaibulkit K., Ahmed R., Et al., Dengue virus infection induces expansion of a CD14(+)CD16(+) monocyte population that stimulates plasmablast differentiation, Cell Host Microbe, 16, pp. 115-127, (2014); Kwissa M., Nakaya H.I., Onlamoon N., Wrammert J., Villinger F., Perng G.C., Yoksan S., Pattanapanyasat K., Chokephaibulkit K., Ahmed R., Et al., Gene Expression Omnibus, (2014); Leek J.T., Johnson W.E., Parker H.S., Fertig E.J., Jaffe A.E., Storey J.D., Zhang Y., Torres L.C., sva: Surrogate variable analysis, (2017); Li S., Rouphael N., Duraisingham S., Romero-Steiner S., Presnell S., Davis C., Schmidt D.S., Johnson S.E., Milton A., Rajam G., Et al., Molecular signatures of antibody responses derived from a systems biology study of five human vaccines, Nat Immunol, 15, pp. 195-204, (2014); Mahajan P., Kuppermann N., Mejias A., Suarez N., Chaussabel D., Casper T.C., Smith B., Alpern E.R., Anders J., Atabaki S.M., Et al., Association of RNA biosignatures with bacterial infections in febrile infants aged 60 days or younger, JAMA, 316, pp. 846-857, (2016); Manca C., Tsenova L., Freeman S., Barczak A.K., Tovey M., Murray P.J., Barry C., Kaplan G., Hypervirulent M. tuberculosis W/Beijing strains upregulate type I IFNs and increase expression of negative regulators of the Jak-Stat pathway, J Interferon Cytokine Res, 25, pp. 694-701, (2005); McClelland M., Sanderson K.E., Clifton S.W., Latreille P., Porwollik S., Sabo A., Meyer R., Bieri T., Ozersky P., McLellan M., Et al., Comparison of genome degradation in Paratyphi A and Typhi, human-restricted serovars of Salmonella enterica that cause typhoid, Nat Genet, 36, pp. 1268-1274, (2004); Miller J.L., Sack B.K., Baldwin M., Vaughan A.M., Kappe S.H., Interferon-mediated innate immune responses against malaria parasite liver stages, Cell Rep, 7, pp. 436-447, (2014); Mogasale V., Maskery B., Ochiai R.L., Lee J.S., Mogasale V.V., Ramani E., Kim Y.E., Park J.K., Wierzba T.F., Burden of typhoid fever in low-income and middle-income countries: a systematic, literature-based update with risk-factor adjustment, Lancet Glob Health, 2, pp. e570-e580, (2014); Molotkov A., Duester G., Genetic evidence that retinaldehyde dehydrogenase Raldh1 (Aldh1a1) functions downstream of alcohol dehydrogenase Adh1 in metabolism of retinol to retinoic acid, J Biol Chem, 278, pp. 36085-36090, (2003); Munoz-Jordan J.L., Sanchez-Burgos G.G., Laurent-Rolle M., Garcia-Sastre A., Inhibition of interferon signaling by dengue virus, Proc Natl Acad Sci USA, 100, pp. 14333-14338, (2003); Naim A.N., Tolfvenstam T., Fink K., Hibberd M.L., Gene Expression Omnibus, (2011); Nandi D., Jiang H., Monaco J.J., Identification of MECL-1 (LMP-10) as the third IFN-gamma-inducible proteasome subunit, J Immunol, 156, pp. 2361-2364, (1996); Nish S., Medzhitov R., Host defense pathways: role of redundancy and compensation in infectious disease phenotypes, Immunity, 34, pp. 629-636, (2011); Obermeyer Z., Emanuel E.J., Predicting the future - big data, machine learning, and clinical medicine, N Engl J Med, 375, pp. 1216-1219, (2016); Obiero J.M., Shekalaghe S., Hermsen C.C., Mpina M., Bijker E.M., Roestenberg M., Teelen K., Billingsley P.F., Sim B.K., James E.R., Et al., Impact of malaria preexposure on antiparasite cellular and humoral immune responses after controlled human malaria infection, Infect Immun, 83, pp. 2185-2196, (2015); Parry C.M., Wijedoru L., Arjyal A., Baker S., The utility of diagnostic tests for enteric fever in endemic locations, Expert Rev Anti Infect Ther, 9, pp. 711-725, (2011); Ritchie M.E., Phipson B., Wu D., Hu Y., Law C.W., Shi W., Smyth G.K., limma powers differential expression analyses for RNA-sequencing and microarray studies, Nucleic Acids Res, 43, (2015); Robinson M.D., McCarthy D.J., Smyth G.K., edgeR: a Bioconductor package for differential expression analysis of digital gene expression data, Bioinformatics, 26, pp. 139-140, (2010); Salerno-Goncalves R., Luo D., Fresnay S., Magder L., Darton T.C., Jones C., Waddington C.S., Blohmke C.J., Angus B., Levine M.M., Et al., Challenge of humans with wild-type Salmonella enterica serovar Typhi elicits changes in the activation and homing characteristics of mucosal-associated invariant T cells, Front Immunol, 8, (2017); Seifert U., Bialy L.P., Ebstein F., Bech-Otschir D., Voigt A., Schroter F., Prozorovski T., Lange N., Steffen J., Rieger M., Et al., Immunoproteasomes preserve protein homeostasis upon interferon-induced oxidative stress, Cell, 142, pp. 613-624, (2010); Spees A.M., Kingsbury D.D., Wangdi T., Xavier M.N., Tsolis R.M., Baumler A.J., Neutrophils are a source of gamma interferon during acute Salmonella enterica serovar Typhimurium colitis, Infect Immun, 82, pp. 1692-1697, (2014); Spooner R., Yilmaz O., The role of reactive-oxygen-species in microbial persistence and inflammation, Int J Mol Sci, 12, pp. 334-352, (2011); Subramaniam K.S., Spaulding E., Ivan E., Mutimura E., Kim R.S., Liu X., Dong C., Feintuch C.M., Zhang X., Anastos K., Et al., The T-cell inhibitory molecule Butyrophilin-Like 2 is up-regulated in mild Plasmodium falciparum infection and is protective during experimental cerebral Malaria, J Infect Dis, 212, pp. 1322-1331, (2015); Subramaniam K.S., Spaulding E., Ivan E., Mutimura E., Kim R.S., Liu X., Dong C., Feintuch C.M., Zhang X., Anastos K., Et al., Gene Expression Omnibus, (2015); Subramanian A., Tamayo P., Mootha V.K., Mukherjee S., Ebert B.L., Gillette M.A., Paulovich A., Pomeroy S.L., Golub T.R., Lander E.S., Et al., Gene set enrichment analysis: a knowledge-based approach for interpreting genome-wide expression profiles, Proc Natl Acad Sci USA, 102, pp. 15545-15550, (2005); Sweeney T.E., Braviak L., Tato C.M., Khatri P., Genome-wide expression for diagnosis of pulmonary tuberculosis: a multicohort analysis, Lancet Respir Med, 4, pp. 213-224, (2016); Thompson L.J., Dunstan S.J., Dolecek C., Perkins T., House D., Dougan G., Nguyen T.H., Tran T.P., Doan C.D., Le T.P., Et al., Transcriptional response in the peripheral blood of patients infected with Salmonella enterica serovar Typhi, Proc Natl Acad Sci USA, 106, pp. 22433-22438, (2009); Tolfvenstam T., Lindblom A., Schreiber M.J., Ling L., Chow A., Ooi E.E., Hibberd M.L., Characterization of early host responses in adults with dengue disease, BMC Infect Dis, 11, (2011); Tolfvenstam T., Lindblom A., Schreiber M.J., Ling L., Chow A., Ooi E.E., Hibberd M.L., Gene Expression Omnibus, (2011); Waddington C.S., Darton T.C., Jones C., Haworth K., Peters A., John T., Thompson B.A., Kerridge S.A., Kingsley R.A., Zhou L., Et al., An outpatient, ambulant-design, controlled human infection model using escalating doses of Salmonella Typhi challenge delivered in sodium bicarbonate solution, Clin Infect Dis, 58, pp. 1230-1240, (2014); Wang G., Abadia-Molina A.C., Berger S.B., Romero X., O'Keeffe M.S., Rojas-Barros D.I., Aleman M., Liao G., Maganto-Garcia E., Fresno M., Et al., Cutting edge: Slamf8 is a negative regulator of Nox2 activity in macrophages, J Immunol, 188, pp. 5829-5832, (2012); Wang G., van Driel B.J., Liao G., O'Keeffe M.S., Halibozek P.J., Flipse J., Yigit B., Azcutia V., Luscinskas F.W., Wang N., Et al., Migration of myeloid cells during inflammation is differentially regulated by the cell surface receptors Slamf1 and Slamf8, PLoS One, 10, (2015); Typhoid and other invasive salmonellosis, (2018); Yin J., Fu W., Dai L., Jiang Z., Liao H., Chen W., Pan L., Zhao J., ANKRD22 promotes progression of non-small cell lung cancer through transcriptional up-regulation of E2F1, Sci Rep, 7, (2017); Zaas A.K., Chen M., Varkey J., Veldman T., Hero A.O., Lucas J., Huang Y., Turner R., Gilbert A., Lambkin-Williams R., Et al., Gene expression signatures diagnose influenza and other symptomatic respiratory viral infections in humans, Cell Host Microbe, 6, pp. 207-2117, (2009); Zak D.E., Penn-Nicholson A., Scriba T.J., Thompson E., Suliman S., Amon L.M., Mahomed H., Erasmus M., Whatney W., Hussey G.D., Et al., A blood RNA signature for tuberculosis disease risk: a prospective cohort study, Lancet, 387, pp. 2312-2322, (2016); Zellweger R.M., Basnyat B., Shrestha P., Prajapati K.G., Dongol S., Sharma P.K., Koirala S., Darton T.C., Boinett C., Thompson C.N., Et al., Changing antimicrobial resistance trends in Kathmandu, Nepal: a 23-year retrospective analysis of Bacteraemia, Front Med (Lausanne), 5, (2018); Zhang Y.J., Reddy M.C., Ioerger T.R., Rothchild A.C., Dartois V., Schuster B.M., Trauner A., Wallis D., Galaviz S., Huttenhower C., Et al., Tryptophan biosynthesis protects mycobacteria from CD4 T-cell-mediated killing, Cell, 155, pp. 1296-1308, (2013)</t>
  </si>
  <si>
    <t xml:space="preserve">C.J. Blohmke; Department of Paediatrics, Centre for Clinical Vaccinology and Tropical Medicine, Oxford Vaccine Group, Oxford, United Kingdom; email: christoph.j.blohmke@gsk.com</t>
  </si>
  <si>
    <t xml:space="preserve">EMBO Mol. Med.</t>
  </si>
  <si>
    <t xml:space="preserve">2-s2.0-85071372299</t>
  </si>
  <si>
    <t xml:space="preserve">Melo-Filho C.C.; Braga R.C.; Muratov E.N.; Franco C.H.; Moraes C.B.; Freitas-Junior L.H.; Andrade C.H.</t>
  </si>
  <si>
    <t xml:space="preserve">Melo-Filho, Cleber C. (56071757400); Braga, Rodolpho C. (36514094800); Muratov, Eugene N. (57000654800); Franco, Caio Haddad (55953470500); Moraes, Carolina B. (24577844400); Freitas-Junior, Lucio H. (6507355684); Andrade, Carolina Horta (24436635900)</t>
  </si>
  <si>
    <t xml:space="preserve">56071757400; 36514094800; 57000654800; 55953470500; 24577844400; 6507355684; 24436635900</t>
  </si>
  <si>
    <t xml:space="preserve">Discovery of new potent hits against intracellular Trypanosoma cruzi by QSAR-based virtual screening</t>
  </si>
  <si>
    <t xml:space="preserve">Chagas disease is a neglected tropical disease (NTD) caused by the protozoan parasite Trypanosoma cruzi and is primarily transmitted to humans by the feces of infected Triatominae insects during their blood meal. The disease affects 6–8 million people, mostly in Latin America countries, and kills more people in the region each year than any other parasite-born disease, including malaria. Moreover, patient numbers are currently increasing in non-endemic, developed countries, such as Australia, Japan, Canada, and the United States. The treatment is limited to one drug, benznidazole, which is only effective in the acute phase of the disease and is very toxic. Thus, there is an urgent need to develop new, safer, and effective drugs against the chronic phase of Chagas disease. Using a QSAR-based virtual screening followed by in vitro experimental evaluation, we report herein the identification of novel potent and selective hits against T. cruzi intracellular stage. We developed and validated binary QSAR models for prediction of anti-trypanosomal activity and cytotoxicity against mammalian cells using the best practices for QSAR modeling. These models were then used for virtual screening of a commercial database, leading to the identification of 39 virtual hits. Further in vitro assays showed that seven compounds were potent against intracellular T. cruzi at submicromolar concentrations (EC50 &lt; 1 μM) and were very selective (SI &gt; 30). Furthermore, other six compounds were also inside the hit criteria for Chagas disease, which presented activity at low micromolar concentrations (EC50 &lt; 10 μM) against intracellular T. cruzi and were also selective (SI &gt; 15). Moreover, we performed a multi-parameter analysis for the comparison of tested compounds regarding their balance between potency, selectivity, and predicted ADMET properties. In the next studies, the most promising compounds will be submitted to additional in vitro and in vivo assays in acute model of Chagas disease, and can be further optimized for the development of new promising drug candidates against this important yet neglected disease. © 2018</t>
  </si>
  <si>
    <t xml:space="preserve">European Journal of Medicinal Chemistry</t>
  </si>
  <si>
    <t xml:space="preserve">Elsevier Masson SAS</t>
  </si>
  <si>
    <t xml:space="preserve">10.1016/j.ejmech.2018.11.062</t>
  </si>
  <si>
    <t xml:space="preserve">https://www.scopus.com/inward/record.uri?eid=2-s2.0-85058407994&amp;doi=10.1016%2fj.ejmech.2018.11.062&amp;partnerID=40&amp;md5=408341be36495f2627a8943e87c0f495</t>
  </si>
  <si>
    <t xml:space="preserve">LabMol - Laboratory for Molecular Modeling and Drug Design, Faculdade de Farmacia, Universidade Federal de Goiás - UFG, Rua 240, Qd.87, Goiania, 74605-510, GO, Brazil; Laboratory for Molecular Modeling, Division of Chemical Biology and Medicinal Chemistry, Eshelman School of Pharmacy, University of North Carolina, Chapel Hill, 27599, NC, United States; Department of Chemical Technology, Odessa National Polytechnic University, 1. Shevchenko Ave., Odessa, 65000, Ukraine; National Laboratory of Biosciences (LNBio), Centro Nacional de Pesquisa em Energia e Materiais (CNPEM), Campinas, 13083-970, SP, Brazil; Department of Microbiology, Institute of Biomedical Sciences, University of São Paulo, São Paulo, 05508-900, SP, Brazil</t>
  </si>
  <si>
    <t xml:space="preserve">Melo-Filho C.C., LabMol - Laboratory for Molecular Modeling and Drug Design, Faculdade de Farmacia, Universidade Federal de Goiás - UFG, Rua 240, Qd.87, Goiania, 74605-510, GO, Brazil; Braga R.C., LabMol - Laboratory for Molecular Modeling and Drug Design, Faculdade de Farmacia, Universidade Federal de Goiás - UFG, Rua 240, Qd.87, Goiania, 74605-510, GO, Brazil; Muratov E.N., Laboratory for Molecular Modeling, Division of Chemical Biology and Medicinal Chemistry, Eshelman School of Pharmacy, University of North Carolina, Chapel Hill, 27599, NC, United States, Department of Chemical Technology, Odessa National Polytechnic University, 1. Shevchenko Ave., Odessa, 65000, Ukraine; Franco C.H., National Laboratory of Biosciences (LNBio), Centro Nacional de Pesquisa em Energia e Materiais (CNPEM), Campinas, 13083-970, SP, Brazil; Moraes C.B., National Laboratory of Biosciences (LNBio), Centro Nacional de Pesquisa em Energia e Materiais (CNPEM), Campinas, 13083-970, SP, Brazil, Department of Microbiology, Institute of Biomedical Sciences, University of São Paulo, São Paulo, 05508-900, SP, Brazil; Freitas-Junior L.H., National Laboratory of Biosciences (LNBio), Centro Nacional de Pesquisa em Energia e Materiais (CNPEM), Campinas, 13083-970, SP, Brazil, Department of Microbiology, Institute of Biomedical Sciences, University of São Paulo, São Paulo, 05508-900, SP, Brazil; Andrade C.H., LabMol - Laboratory for Molecular Modeling and Drug Design, Faculdade de Farmacia, Universidade Federal de Goiás - UFG, Rua 240, Qd.87, Goiania, 74605-510, GO, Brazil</t>
  </si>
  <si>
    <t xml:space="preserve">AATNXLRILQHNNJ-UHFFFAOYSA-N; ADMET; ADURSCIXNLSVQS-UHFFFAOYSA-N; AOKMDMGBLJTZGR-UHFFFAOYSA-N; BYOLMMOSOOWSCY-UHFFFAOYSA-N; Chagas disease; CXTFKBZEJHZYLK-UHFFFAOYSA-N; DDVVNKRYLQKSGG-UHFFFAOYSA-N; DRTFDDDOEPZMBV-UHFFFAOYSA-N; DXFMQYJFEFGUOP-UHFFFAOYSA-N; FPGVBDJFGIPBOP-UHFFFAOYSA-N; GEKWYGVEXDUQMM-YBFXNURJSA-N; GVDVCLSVHXYYLI-UHFFFAOYSA-N; GZLOHJDOCVFGGT-UHFFFAOYSA-N; HFGPYNFXBGMMSA-UHFFFAOYSA-N; High content screening; HRXHGCHJYURSOR-UHFFFAOYSA-N; HTCCIUHRGFQLQN-UHFFFAOYSA-N; IDFBBTXKWWRWRE-UHFFFAOYSA-N; IFKWKGQLVLTMRK-UHFFFAOYSA-N; INFUOHFIFLJRQU-UHFFFAOYSA-N; JGTKOGPGZTZRHR-UHFFFAOYSA-N; JJCWPJGSCGYDJY-UHFFFAOYSA-N; KCFFGQZFWUERFK-UHFFFAOYSA-N; MNTNUJRSUUCIQU-UHFFFAOYSA-N; NOYMFFNOKLQSBC-UHFFFAOYSA-N; OMGYDFJDQNSOID-UHFFFAOYSA-N; PVNVQDOMOBPOJT-UHFFFAOYSA-N; QSAR; QSIMVHYUETVKLU-UHFFFAOYSA-N; RFAFVASFJZRVSO-UHFFFAOYSA-N; RWVBBRPYWDKZHZ-UHFFFAOYSA-N; SQRZBVGHYBLYAV-UHFFFAOYSA-N; SYSNWVRIFFGJMH-IYLWIWFWSA-N; TWQKFBMUPUVCBS-UHFFFAOYSA-N; Validated hits; Virtual screening; WYPKEYYHHGXWMF-UHFFFAOYSA-N; XIHFGQFLZWWLPW-UHFFFAOYSA-N; XOPJDZYCKZQCOE-UHFFFAOYSA-N; YDUBFYIHZUAMSD-UHFFFAOYSA-N; YWJZRAHEPABBHR-UHFFFAOYSA-N; YZFKPFBMODFUJJ-UHFFFAOYSA-N; ZSGOAOORBZJWLL-UHFFFAOYSA-N; ZWIWAKSDZPSANW-UHFFFAOYSA-N</t>
  </si>
  <si>
    <t xml:space="preserve">Chagas Disease; Drug Discovery; Drug Evaluation, Preclinical; Humans; Quantitative Structure-Activity Relationship; Trypanocidal Agents; Trypanosoma cruzi; antitrypanosomal agent; benzamide derivative; benznidazole; benzylbenzamide; cytochrome P450 2C9; cytochrome P450 2D6; new drug; oxadiazole derivative; potassium channel HERG; quinoline derivative; sulfanylacetamide; sulfonamide; tetrahydroquinoline; thiazole derivative; unclassified drug; antitrypanosomal agent; Article; Australia; Canada; Chagas disease; chemical database; chemical structure; cytotoxicity; cytotoxicity assay; dose response; drug efficacy; drug potency; drug safety; drug selectivity; drug stability; EC50; false negative result; false positive result; high throughput screening; in vitro study; in vivo study; Japan; LLC-MK2 cell line; machine learning; mammal cell; metabolic stability; NIH 3T3 cell line; nonhuman; parameters; prediction; predictive value; quantitative structure activity relation; selectivity index; sensitivity and specificity; South and Central America; Trypanosoma cruzi; trypomastigote; U2OS cell line; United States; Chagas disease; chemistry; drug development; drug effect; human; preclinical study; procedures; Trypanosoma cruzi</t>
  </si>
  <si>
    <t xml:space="preserve">benznidazole, 22994-85-0; Trypanocidal Agents, </t>
  </si>
  <si>
    <t xml:space="preserve">UNESCO International Rising Talents; National Institutes of Health, NIH, (1U01CA207160, R01-GM114015); National Institutes of Health, NIH; Coordenação de Aperfeiçoamento de Pessoal de Nível Superior, CAPES; Conselho Nacional de Desenvolvimento Científico e Tecnológico, CNPq; Fundação de Amparo à Pesquisa do Estado de Goiás, FAPEG</t>
  </si>
  <si>
    <t xml:space="preserve">The authors would like to thank Brazilian funding agencies, CNPq, CAPES and FAPEG for financial support and fellowships. E.M. acknowledges NIH for his financial support (grants 1U01CA207160 and R01-GM114015 ). CHA thanks the “L'Oréal-UNESCO-ABC Para Mulheres na Ciência” and “L’Oréal-UNESCO International Rising Talents” for the awards and fellowships received, which partially funded this work. We are also grateful to OpenEye Scientific Software Inc. and ChemAxon for providing us with academic licenses for their software. CHA is CNPq productivity research fellow. </t>
  </si>
  <si>
    <t xml:space="preserve">Bern C., Chagas’ Disease, N. Engl. J. Med., 373, pp. 456-466, (2015); WHO, Integrating Neglected Tropical Diseases into Global Health and Development: Fourth WHO Report on Neglected Tropical Diseases, (2017); DNDi, What is Chagas disease?, (2018); WHO, Chagas disease (american trypanosomiasis) fact sheet, (2018); WHO, Investing to Overcome the Global Impact of Neglected Tropical Diseases: Third WHO Report on Neglected Diseases, pp. 118-126, (2015); Center for Disease Control and Prevention, Triatomine bug FAQs, (2016); Shikanai-Yasuda M.A., Carvalho N.B., Oral transmission of Chagas disease, Clin. Infect. Dis., 54, pp. 845-852, (2012); Grinnage-Pulley T., Scott B., Petersen C.A., Mother's Gift A., Congenital transmission of trypanosoma and leishmania species, PLoS Pathog., 12, pp. 1-7, (2016); Flores-Chavez M., Fernandez B., Puente S., Torres P., Rodriguez M., Monedero C., Et al., Transfusional Chagas disease: parasitological and serological monitoring of an infected recipient and blood donor, Clin. Infect. Dis., 46, pp. e44-e47, (2008); Kransdorf E.P., Zakowski P.C., Kobashigawa J.A., Chagas disease in solid organ and heart transplantation, Curr. Opin. Infect. Dis., 27, pp. 418-424, (2014); Rodriguez J.B., Falcone B.N., Szajnman S.H., Detection and treatment of Trypanosoma cruzi: a patent review (2011-2015), Expert Opin. Ther. Pat., 26, pp. 993-1015, (2016); Salomao K., Menna-Barreto R.F.S., de Castro S.L., Stairway to heaven or hell? Perspectives and limitations of Chagas disease chemotherapy, Curr. Top. Med. Chem., 16, pp. 2266-2289, (2016); Field M.C., Horn D., Fairlamb A.H., Ferguson M.A.J., Gray D.W., Read K.D., Et al., Anti-trypanosomatid drug discovery: an ongoing challenge and a continuing need, Nat. Rev. Microbiol., 15, pp. 217-231, (2017); Neves B.J., Muratov E., Machado R.B., Andrade C.H., Cravo P.V.L., Modern approaches to accelerate discovery of new antischistosomal drugs, Expet Opin. Drug Discov., 11, pp. 557-567, (2016); Neves B.J., Dantas R.F., Senger M.R., Melo-Filho C.C., Valente W.C.G., De Almeida A.C.M., Et al., Discovery of new anti-schistosomal hits by integration of QSAR-based virtual screening and high content screening, J. Med. Chem., 59, pp. 7075-7088, (2016); Melo-Filho C.C., Dantas R.F., Braga R.C., Neves B.J., Senger M.R., Valente W.C.G.G., Et al., QSAR-driven discovery of novel chemical scaffolds active against schistosoma mansoni, J. Chem. Inf. Model., 56, pp. 1357-1372, (2016); Gomes M.N., Alcantara L.M., Neves B.J., Melo-Filho C.C., Freitas-Junior L.H., Moraes C.B., Et al., Computer-aided discovery of two novel chalcone-like compounds active and selective against leishmania infantum, Bioorg. Med. Chem. Lett, 27, pp. 1-6, (2017); Cherkasov A., Muratov E.N., Fourches D., Varnek A., Baskin I.I., Cronin M., Et al., QSAR modeling: where have you been? Where are you going to?, J. Med. Chem., 57, pp. 4977-5010, (2014); Fujita T., Winkler D.A., Understanding the roles of the “two QSARs, J. Chem. Inf. Model., 56, pp. 269-274, (2016); Wang T., Wu M.-B., Lin J.-P., Yang L.-R., Quantitative structure–activity relationship: promising advances in drug discovery platforms, Expet Opin. Drug Discov., 10, pp. 1283-1300, (2015); Tropsha A., Best practices for QSAR model development, validation, and exploitation, Mol. Inform., 29, pp. 476-488, (2010); Luminescence cell-based/microorganism dose confirmation HTS to identify inhibitors of T.cruzi replication, (2018); Luminescence cell-based dose response HTS screen to identify cytotoxic compounds of NIH3T3 cells, (2018); Fourches D., Muratov E., Tropsha A., Trust, but verify: on the importance of chemical structure curation in cheminformatics and QSAR modeling research, J. Chem. Inf. Model., 50, pp. 1189-1204, (2010); Fourches D., Muratov E.N., Tropsha A., Trust, but verify II: a practical guide to chemogenomics data curation, J. Chem. Inf. Model., (2016); Fourches D., Muratov E., Tropsha A., Curation of chemogenomics data, Nat. Chem. Biol., 11, (2015); Braga R., Alves V., Silva M., Muratov E., Fourches D., Tropsha A., Et al., Tuning hERG out: antitarget QSAR models for drug development, Curr. Top. Med. Chem., 14, pp. 1399-1415, (2014); Berthold M.R., Cebron N., Dill F., Gabriel T.R., Kotter T., Meinl T., Et al., KNIME: the konstanz information miner., SIGKDD Explor, 11, pp. 26-31, (2009); R Development Core Team, Language R.A., And Environment for Statistical Computing, (2008); Altman N.S., An introduction to kernel and nearest-neighbor nonparametric regression, Am. Statistician, 46, pp. 175-185, (1992); Riniker S., Landrum G.A., Open-source platform to benchmark fingerprints for ligand-based virtual screening, J. Cheminf., 5, (2013); Rogers D., Hahn M., Extended-connectivity fingerprints, J. Chem. Inf. Model., 50, pp. 742-754, (2010); Python Software Foundation; Breiman L., Random forests, Mach. Learn., 45, pp. 5-32, (2001); Polishchuk P.G., Muratov E.N., Artemenko A.G., Kolumbin O.G., Muratov N.N., Kuz'min V.E., Application of random forest approach to QSAR prediction of aquatic toxicity, J. Chem. Inf. Model., 49, pp. 2481-2488, (2009); Kovdienko N.A., Polishchuk P.G., Muratov E.N., Artemenko A.G., Kuz'min V.E., Gorb L., Et al., Application of random forest and multiple linear regression techniques to QSPR prediction of an aqueous solubility for military compounds, Mol. Inform., 29, pp. 394-406, (2010); Braga R.C., Alves V.M., Silva M.F.B., Muratov E., Fourches D., Liao L.M., Pred-hERG, Et al., A novel web-accessible computational tool for predicting cardiac toxicity, Mol. Inform., 34, pp. 698-701, (2015); Alves V.M., Muratov E.N., Fourches D., Strickland J., Kleinstreuer N., Andrade C.H., Et al., Predicting chemically-induced skin reactions. Part I: QSAR models of skin sensitization and their application to identify potentially hazardous compounds, Toxicol. Appl. Pharmacol., 284, pp. 262-272, (2015); Alves V.M., Muratov E., Fourches D., Strickland J., Kleinstreuer N., Andrade C.H., Et al., Predicting chemically-induced skin reactions. Part II: QSAR models of skin permeability and the relationships between skin permeability and skin sensitization, Toxicol. Appl. Pharmacol., 284, pp. 273-280, (2015); Svetnik V., Liaw A., Tong C., Culberson J.C., Sheridan R.P., Feuston B.P., Random forest: a classification and regression tool for compound classification and QSAR modeling, J. Chem. Inf. Comput. Sci., 43, (2003); Pedregosa F., Varoquaux G., Gramfort A., Michel V., Thirion B., Grisel O., Et al., Scikit-learn: machine learning in Python, J. Mach. Learn. Res., 12, pp. 2825-2830, (2012); Zhang S., Golbraikh A., Oloff S., Kohn H., Tropsha A., A novel automated lazy learning QSAR (ALL-QSAR) approach: method development, applications, and virtual screening of chemical databases using validated ALL-QSAR models, J. Chem. Inf. Model., 46, pp. 1984-1995, (2006); (2018); Hawkins P.C.D., Skillman A.G., Warren G.L., Ellingson B.A., Stahl M.T., Conformer generation with OMEGA: algorithm and validation using high quality structures from the Protein Databank and Cambridge Structural Database, J. Chem. Inf. Model., 50, pp. 572-584, (2010); Veber D.F., Johnson S.R., Cheng H.-Y., Smith B.R., Ward K.W., Kopple K.D., Molecular properties that influence the oral bioavailability of drug candidates, J. Med. Chem., 45, pp. 2615-2623, (2002); Lipinski C.A., Lombardo F., Dominy B.W., Feeney P.J., Experimental and computational approaches to estimate solubility and permeability in drug discovery and development settings, Adv. Drug Deliv. Rev., 23, pp. 3-25, (1997); Moraes C.B., Giardini M.A., Kim H., Franco C.H., Araujo-Junior A.M., Schenkman S., Et al., Nitroheterocyclic compounds are more efficacious than CYP51 inhibitors against Trypanosoma cruzi: implications for Chagas disease drug discovery and development, Sci. Rep., 4, (2014); Optibrium, ADME QSAR Models: Predict Key ADME and Physicochemical Properties Prior to Synthesis, (2017)</t>
  </si>
  <si>
    <t xml:space="preserve">C.H. Andrade; LabMol - Laboratory for Molecular Modeling and Drug Design, Faculdade de Farmacia, Universidade Federal de Goiás - UFG, Goiania, Rua 240, Qd.87, 74605-510, Brazil; email: carolina@ufg.br</t>
  </si>
  <si>
    <t xml:space="preserve">EJMCA</t>
  </si>
  <si>
    <t xml:space="preserve">Eur. J. Med. Chem.</t>
  </si>
  <si>
    <t xml:space="preserve">2-s2.0-85058407994</t>
  </si>
  <si>
    <t xml:space="preserve">Weinberg D.; Lanfri M.; Scavuzzo C.M.; Abril M.; Lanfri S.</t>
  </si>
  <si>
    <t xml:space="preserve">Weinberg, Diego (35171887200); Lanfri, Mario (24512330900); Scavuzzo, Carlos M. (6603254408); Abril, Marcelo (55378261000); Lanfri, Sofía (55376394600)</t>
  </si>
  <si>
    <t xml:space="preserve">35171887200; 24512330900; 6603254408; 55378261000; 55376394600</t>
  </si>
  <si>
    <t xml:space="preserve">Evaluation and planning of chagas control activities using geospatial tools</t>
  </si>
  <si>
    <t xml:space="preserve">Chagas continues to be a relevant public health problem in Latin America. In this work, we present a spatiotemporal analysis applied for the evaluation and planning of Chagas vector control strategies. We analysed the spatial distribution of the vector Triatoma infestans infestation related to ongoing control interventions cycles in rural communities near Añatuya, Santiago del Estero, Argentina. A geographical information system was developed for the spatial analysis obtaining, for each house, variables that describe the history of spraying and infestation at each time of interventions. Bi-dimensional histograms were used to describe the spatiotemporal pattern of these activities and peri-domestic infestation at the last intervention was modelled by a neural network model. We qualitatively evaluate control programmes considering the history of infestation and spraying from a spatiotemporal point of view, incorporating new ways of visualising this information. Predictions are based on novel, non-linear models and spatiotemporal indices, which should be useful for strategical-.; ly allocating Chagas control resources in the future and thus help to better plan spraying strategies. © the Author(s), 2019 Licensee PAGEPress, Italy.</t>
  </si>
  <si>
    <t xml:space="preserve">10.4081/gh.2019.786</t>
  </si>
  <si>
    <t xml:space="preserve">https://www.scopus.com/inward/record.uri?eid=2-s2.0-85074958098&amp;doi=10.4081%2fgh.2019.786&amp;partnerID=40&amp;md5=922adcfae978066d23723b0aaacfacd6</t>
  </si>
  <si>
    <t xml:space="preserve">Mundo Sano Foundation, Buenos Aires, Argentina; National Commission for Space Activities, Córdoba, Argentina</t>
  </si>
  <si>
    <t xml:space="preserve">Weinberg D., Mundo Sano Foundation, Buenos Aires, Argentina; Lanfri M., National Commission for Space Activities, Córdoba, Argentina; Scavuzzo C.M., National Commission for Space Activities, Córdoba, Argentina; Abril M., Mundo Sano Foundation, Buenos Aires, Argentina; Lanfri S., Mundo Sano Foundation, Buenos Aires, Argentina</t>
  </si>
  <si>
    <t xml:space="preserve">Argentina; Chagas vector control; Geographical information systems; Neural network model; Spatiotemporal analysis</t>
  </si>
  <si>
    <t xml:space="preserve">Animals; Argentina; Chagas Disease; Geographic Information Systems; Humans; Insect Control; Insect Vectors; Insecticides; Rural Population; Spatio-Temporal Analysis; Triatoma; insecticide; animal; Argentina; Chagas disease; geographic information system; human; insect control; insect vector; procedures; rural population; spatiotemporal analysis; Triatoma</t>
  </si>
  <si>
    <t xml:space="preserve">Insecticides, </t>
  </si>
  <si>
    <t xml:space="preserve">National Ministry of Health</t>
  </si>
  <si>
    <t xml:space="preserve">we would like to acknowledge the National Ministry of Health (Argentina), the Vector-Borne Transmission Direction from Santiago del Estero, and the Municipality of Añatuya (Santiago del Estero). We would also like to thank Dr. Oscar Ledesma Patiño.</t>
  </si>
  <si>
    <t xml:space="preserve">Abad-Franch F., Diotaiuti L., Gurgel-Goncalves R., Gurtler R.E., Certifying the interruption of Chagas disease transmission by native vectors: Cui bono?, Mem Inst Oswaldo Cruz, 108, pp. 251-254, (2013); Abril M., Coto H., Weinberg D., Coppede M.E., Cejas R.G., Mejoramiento de viviendas con participación comunitaria para la prevención y el control de la enfermedad de Chagas en comunidades rurales del sureste de Santiago del Estero, República Argentina. Emf Emerg, 11, pp. 28-33, (2009); Cecere M.C., Canale D.M., Gurtler R.E., Effects of refuge availability on the population dynamics of Triatoma infestans in central Argentina, J Appl Ecol, 40, pp. 742-751, (2003); Chu H.J., Chan T.C., Jao F.J., GIS-aided planning of insecticide spraying to control dengue transmission, Int J Health Geogr, 12, (2013); Cramer S., Kampouridis M., Freitas A.A., Alexandridis A.K., An extensive evaluation of seven machine learning methods for rainfall prediction in weather derivatives, Expert Syst Appl, 85, pp. 169-181, (2017); de Urioste-Stone S.M., Pennington P.M., Pellecer E., Aguilar T.M., Samayoa G., Perdomo H.D., Enriquez H., Juarez J.G., Development of a community-based intervention for the control of Chagas disease based on peridomestic animal management: An eco-bio-social perspective, Trans R Soc Trop Med Hyg, 109, pp. 159-167, (2015); Dias J.C., Prata A., Correia D., Problems and perspectives for Chagas disease control: In search of a realistic analysis, Rev Soc Bras Med Trop, 41, pp. 193-196, (2008); Dias J.C.P., O controle da doença de Chagas no Brasil, El Control De La Enfermedad De Chagas En Los Países Del Cono Sur De América. Historia De Una Iniciativa Internacional, 1991/2001. Faculty of Medicine, Triângulo Mineiro, Uberaba, pp. 145-250, (2002); Dias J.C.P., Schofield C.J., The evolution of Chagas disease (American Trypanosomiasis) control after 90 years since Carlos Chagas discovery, Mem Inst Oswaldo Cruz, 94, pp. 103-121, (1999); Gorla D.E., Vargas Ortiz R., Catala S.S., Control of rural house infestation by Triatoma infestans in the Bolivian Chaco using a microencapsulated insecticide formulation, Parasite Vector, 8, (2015); Gurtler R.E., Canale D.M., Spillmann C., Stariolo R., Salomon O.D., Blanco S., Segura E.L., Effectiveness of residual spaying of peridomestic ecotopes with deltamethrin and permethrin on Triatoma infestans in rural western Argentina: A district wide randomized trial, Bull WHO, 82, pp. 196-205, (2004); National Institute of Statistics and Census of the Republic of Argentina, (2001); Jaishankar R., Jhonson C.P., Geomatics and public health, Indian J Public Health, 50, pp. 24-27, (2006); Lopez-Ibanez M., Dubois-Lacoste J., Perez Caceres L., Birattari M., Stutzle T., The irace package: Iterated racing for automatic algorithm configuration, Operat Res Perspect, 3, pp. 43-58, (2016); Moncayo A., Chagas disease: Current epidemiological trends after the interruption of vectorial and transfusional transmission in the Southern Cone countries, Mem Inst Oswaldo Cruz, 98, pp. 577-591, (2003); Moreno M.L., Hoyos L., Cabido M., Catala S.S., Gorla D.E., Exploring the association between Trypanosoma cruzi infection in rural communities and environmental changes in the southern Gran Chaco, Mem Inst Oswaldo Cruz, 107, pp. 231-237, (2012); Programa nacional de Chagas, Ministerio de Salud de la Nación, Guía Para El Control Vectorial De La Enfermedad De Chagas, (2012); Remme J.H.F., Feenstra P., Lever P.R., Medici A.C., Morel C.M., Noma M., Ramaiak K., Richards F., Sketeli A., Schmunis G., Brakel W.H., Vassall A., Tropical diseases targeted for elimination: Chagas disease, lymphatic filariasis, onchocerciasis and leprosy, Disease Control Priorities in Developing Countries, pp. 433-449, (2006); Scavuzzo J.M., Trucco F., Espinosa M., Tauro C.B., Abril M., Scavuzzo C.M., Frery A.C., Modeling dengue vector population using remotely sensed data and machine learning, Acta Trop, 185, pp. 167-175, (2018); Schofield C.J., Jannin J., Salvatella R., The future of Chagas disease control, Trends Parasitol, 22, pp. 583-588, (2006); Silveira A., Vinhaes M., Elimination of vector-borne transmission of Chagas disease, Mem Inst Oswaldo Cruz, 94, pp. 405-411, (1999); Spagnuolo A.M., Shillor M., Stryker G.A., A model for Chagas disease with controlled spraying, J Biol Dynam, 5, pp. 299-317, (2011); Waleckx E., Gourbiere S., Dumonteil E., Intrusive triatomines and the challenge of adapting vector control practices, Mem Inst Oswaldo Cruz, 110, pp. 324-338, (2015); Weinberg D., Porcasi X., Lanfri S., Abril M., Scavuzzo C.M., Spatial analysis of triatomine infestation indices and their association to the actions of a Chagas disease program and environmental variables during a 5-year intervention period, Acta Trop, 188, pp. 41-49, (2018); The World Health Report 2003, annex 2. Deaths by cause, sex and mortality stratum in WHO regions, estimates for 2002, World Health Organization, (2003); Chagas Disease (American Trypanosomiasis), (2016); Neglected Tropical Diseases, (2019)</t>
  </si>
  <si>
    <t xml:space="preserve">D. Weinberg; Mundo Sano Foundation, Buenos Aires, Paraguay 1535, C1061 ABC, Argentina; email: dweinberg@mundosano.org</t>
  </si>
  <si>
    <t xml:space="preserve">2-s2.0-85074958098</t>
  </si>
  <si>
    <t xml:space="preserve">Onzo-Aboki A.; Ibikounlé M.; Boko P.M.; Savassi B.S.; Doritchamou J.; Siko E.J.; Daré A.; Batcho W.; Massougbodji A.; Tougoue J.J.; Kaboré A.</t>
  </si>
  <si>
    <t xml:space="preserve">Onzo-Aboki, Ablavi (57191666141); Ibikounlé, Moudachirou (26040699700); Boko, Pélagie Mimonnou (16202028500); Savassi, Boris S. (57201491410); Doritchamou, Justin (25654937300); Siko, Edoux Joel (57201495547); Daré, Aboudou (22134326500); Batcho, Wilfrid (56049531100); Massougbodji, Achille (7003414712); Tougoue, Jean Jacques (57191665408); Kaboré, Achille (35740690700)</t>
  </si>
  <si>
    <t xml:space="preserve">57191666141; 26040699700; 16202028500; 57201491410; 25654937300; 57201495547; 22134326500; 56049531100; 7003414712; 57191665408; 35740690700</t>
  </si>
  <si>
    <t xml:space="preserve">Human schistosomiasis in Benin: Countrywide evidence of Schistosoma haematobium predominance</t>
  </si>
  <si>
    <t xml:space="preserve">Background: A national mapping of human schistosomiasis was conducted in Benin to provide the baseline epidemiological data required to implement the national strategy for schistosomiasis control and elimination to achieve the WHO's goal of reaching at least 75% of school-age children in endemic areas by 2020. Methods: Parasitological surveys were conducted from 2013 to 2015, among 19,250 children aged 8–14 years randomly sampled in 385 units (schools/villages) across all districts. Urine and stool samples were examined using parasite-egg filtration for urine samples and the Kato-Katz technique for stool specimens. Results: Human schistosome eggs from two major species (S. haematobium and S. mansoni) were detected in the surveyed population with variable prevalence and parasite intensity. Urinary schistosomiasis due to S. haematobium was widely distributed and detected in 76/77 districts with a national average prevalence of 17.56% (95 °CI:16.80%– 18.32%), compared to S. mansoni detected in 28/77 districts with a national prevalence of 2.45% (95 °CI:2.14%–2.76%). The combined national prevalence of schistosomiasis, defined by infections with either or both schistosome species was 19.78% (95% CI:18.90% –20.49%), and was detected in 76/77 districts. Based on our findings, 31 districts were classified as low-risk (&gt;0% and &lt;10%); 37 as moderate-risk (≥10% and &lt;50%); and 8 as high-risk (≥50%) of schistosome infection. No infection was detected in Kpomassè district in this study. In several districts where the two species were endemic with prevalence ≥10%, S. haematobium was the most prevalent schistosome species. Boys were relatively more infected than girls (18.29% v 16.82%, p = 0.007). Of note, heavy infections with S. haematobium (&gt;50 eggs/10 mL) were detected in several districts of Atacora, Donga, Borgou, Collines, Ouémé and Atlantique departments. Conclusions: The schistosomiasis mapping reported here clearly present a nationwide view of the epidemiological pattern of Schistosoma infections and the baseline data for implementing an effective control strategy by preventive chemotherapy (PCT). Although PCT might not be required in 32/77 districts, a yearly and bi-annual deworming is needed in 2 and 43 districts, respectively. If no environmental change occurs, and no mass treatment is delivered, prevalence is likely to remain stable for many years owing to poor hygiene and sanitation. © 2019 Elsevier B.V.</t>
  </si>
  <si>
    <t xml:space="preserve">10.1016/j.actatropica.2019.01.004</t>
  </si>
  <si>
    <t xml:space="preserve">https://www.scopus.com/inward/record.uri?eid=2-s2.0-85059800143&amp;doi=10.1016%2fj.actatropica.2019.01.004&amp;partnerID=40&amp;md5=0b75313af2356cd0e0fccd5c14d813fc</t>
  </si>
  <si>
    <t xml:space="preserve">Department of Zoology, Faculty of Sciences and Techniques, University of Abomey-Calavi, Cotonou, 01BP526, Benin; National Control Program of Communicable Diseases, Ministry of Health of Benin, Cotonou, 01BP882, Benin; Research Triangle Institute, District of Columbia, Washington, United States; Department of Parasitology and Mycology, Faculty of Health Sciences, University of Abomey-Calavi, Cotonou, 01BP 526, Benin</t>
  </si>
  <si>
    <t xml:space="preserve">Onzo-Aboki A., Department of Zoology, Faculty of Sciences and Techniques, University of Abomey-Calavi, Cotonou, 01BP526, Benin; Ibikounlé M., Department of Zoology, Faculty of Sciences and Techniques, University of Abomey-Calavi, Cotonou, 01BP526, Benin, National Control Program of Communicable Diseases, Ministry of Health of Benin, Cotonou, 01BP882, Benin; Boko P.M., Department of Zoology, Faculty of Sciences and Techniques, University of Abomey-Calavi, Cotonou, 01BP526, Benin, National Control Program of Communicable Diseases, Ministry of Health of Benin, Cotonou, 01BP882, Benin; Savassi B.S., Department of Zoology, Faculty of Sciences and Techniques, University of Abomey-Calavi, Cotonou, 01BP526, Benin; Doritchamou J., Department of Zoology, Faculty of Sciences and Techniques, University of Abomey-Calavi, Cotonou, 01BP526, Benin; Siko E.J., Department of Zoology, Faculty of Sciences and Techniques, University of Abomey-Calavi, Cotonou, 01BP526, Benin; Daré A., Research Triangle Institute, District of Columbia, Washington, United States, Department of Parasitology and Mycology, Faculty of Health Sciences, University of Abomey-Calavi, Cotonou, 01BP 526, Benin; Batcho W., National Control Program of Communicable Diseases, Ministry of Health of Benin, Cotonou, 01BP882, Benin; Massougbodji A., Department of Parasitology and Mycology, Faculty of Health Sciences, University of Abomey-Calavi, Cotonou, 01BP 526, Benin; Tougoue J.J., Research Triangle Institute, District of Columbia, Washington, United States; Kaboré A., Research Triangle Institute, District of Columbia, Washington, United States</t>
  </si>
  <si>
    <t xml:space="preserve">Benin; Neglected tropical diseases; S. haematobium; S. mansoni; Schistosomiasis; West Africa</t>
  </si>
  <si>
    <t xml:space="preserve">Adolescent; Animals; Benin; Child; Cross-Sectional Studies; Feces; Female; Geography; Humans; Male; Prevalence; Risk Assessment; Schistosoma haematobium; Schistosomiasis haematobia; Surveys and Questionnaires; Benin [West Africa]; Schistosoma; Schistosoma haematobium; disease control; disease prevalence; epidemiology; hygiene; parasitology; sanitation; schistosomiasis; young population; adolescent; age; Article; Benin; child; child health; endemic disease; feces analysis; female; high risk population; human; infection control; infection risk; intermediate risk population; low risk population; male; parasite clearance; parasite egg count; parasite load; prevalence; Schistosoma haematobium; Schistosoma mansoni; schistosomiasis; schistosomiasis haematobia; schistosomiasis mansoni; urinalysis; World Health Organization; animal; cross-sectional study; feces; geography; isolation and purification; parasitology; prevalence; questionnaire; risk assessment; Schistosoma haematobium; schistosomiasis haematobia</t>
  </si>
  <si>
    <t xml:space="preserve">Division of Intramural Research; National Institutes of Health, NIH; National Institute of Allergy and Infectious Diseases, NIAID; United States Agency for International Development, USAID</t>
  </si>
  <si>
    <t xml:space="preserve">Funding text 1: The authors thank the schoolchildren who participated in this study, the teachers, the PTA and local authorities for facilitation and laboratory technicians for collaboration during the field and laboratory work. JD is currently supported by the Division of Intramural Research, National Institute of Allergy and Infectious Diseases of the National Institutes of Health. Authors thank Mr Parfait Houngbégnon for statistical analysis review.  ; Funding text 2: This study was made possible with funding from the United States Agency for International Development (USAID) . USAID support for NTD control in Benin led by RTI International under Cooperative Agreement No 0213210-000-012-003 through the ENVISION project. The contents of this manuscript are the responsibility of the authors and do not necessarily reflect the views of USAID or RTI or the United States Government. The funder had no role in study design, data collection and analysis, decision to publish, or preparation of the manuscript. </t>
  </si>
  <si>
    <t xml:space="preserve">Assare R.K., Tra M.B.I., Ouattara M., Hurlimann E., Coulibaly J.T., N'Goran E.K., Utzinger J., Sensitivity of the point-of-care circulating cathodic antigen urine cassette test for diagnosis of Schistosoma mansoni in low-endemicity settings in Côte d'Ivoire, Am. J. Trop. Med. Hyg., October, (2018); Bazongo M., Ouedraogo A.S., Zida M., Bonkoungou G.P., Ouangre E., Sanou A., Doamba N.R., Zongo N., Sawadogo Y.E., Traore S.S., Acute appendicitis due to schistosomiasis: four cases at the Yalgado Ouédraogo University Hospital of Ouagadougou, Med. Sante Trop., 27, 3, pp. 333-335, (2017); Bennett S., Woods T., Liyanage W.M., Smith D.L., A simplified general method for cluster-sample surveys of health in developing countries, Rapp. Trimest. Statist. Sanit. Mond., 44, 3, pp. 98-104, (1991); Boissier J., Mone H., Mitta G., Bargues M.D., Molyneux D., Mas-Coma S., Schistosomiasis reaches Europe, Lancet Inf. Dis., 15, 7, pp. 757-758, (2015); Boko P.M., Ibikounle M., Onzo-Aboki A., Tougoue J.-J., Sissinto Y., Batcho W., Et al., Schistosomiasis and soil transmitted helminths distribution in Benin: a baseline prevalence survey in 30 districts, PLoS One, 11, 9, (2016); Chalotte W., Stecher M., Sacko H., Madsen S., Wilson C., Adama W., Keita Aly Landoure Mamadou D., Traore Per Kallestrup Eskild Petersen S., Et al., Anemia and growth retardation associated with Schistosoma haematobium infection in Mali: a possible subtle impact of a neglected tropical disease, Trans. R. Soc. Trop. Med. Hyg., 111, 4, pp. 144-153, (2017); Chippaux J.P., Massougbodji A., Zomadi A., Kindafodji B.M., Epidemiological study of schistosomes in a coastal lake of recent formation, Bull. Soc. Pathol. Exot., 83, 4, pp. 498-508, (1990); Chitsulo L., Engels D., Montresor A., Savioli L., The global status of schistosomiasis and its control, Acta Trop., 77, 1, pp. 41-51, (2000); Chitsulo L., Loverde P., Engels D., Schistosomiasis, Nat. Rev. Microbiol., 2, (2004); Clarke N.E., Llewellyn S., Traub R.J., McCarthy J., Richardson A., Nery S.V., Quantitative polymerase chain reaction for diagnosis of soil-transmitted helminth infections: a comparison with a flotation-based technique and an investigation of variability in DNA detection, Am. J. Trop. Med. Hyg., 99, 4, pp. 1033-1040, (2018); Fuss A., Mazigo H.D., Tappe D., Kasang C., Mueller A., Comparison of sensitivity and specificity of three diagnostic tests to detect Schistosoma mansoni infections in schoolchildren in Mwanza region, Tanzania, PLoS One, 13, 8, (2018); Gall S., Muller I., Walter C., Seelig H., Steenkamp L., Puhse U., Et al., Associations between selective attention and soil-transmitted helminth infections, socioeconomic status, and physical fitness in disadvantaged children in Port Elizabeth, South Africa: An observational study, PLoS Negl Trop Dis, 11, 5, (2017); Garba A., Kinde-Gazard D., Makoutode M., Boyer N., Ernould J.C., Chippaux J.P., Massougbodji A., ). Preliminary evaluation of morbidity due to S. haematobium and S. mansoniin the area of the future Adjarala Dam in Benin, Sante, 10, 5, pp. 323-328, (2000); Guan B., Li X.H., Wang L., Zhou M., Dong Z.W., Luo G.J., Meng L.P., Hu J., Jin W.Y., Gastric fundus splenosis with hemangioma masquerading as a gastrointestinal stromal tumor in a patient with schistosomiasis and cirrhosis who underwent splenectomy: a case report and literature review, Medicine (Baltimore), 97, 27, (2018); Holtfreter M.C., Mone H., Muller-Stover I., Mouahid G., Richter J., Schistosoma haematobiuminfections acquired in Corsica, France, Eurosurveillance, 19, (2014); Hotez P.J., Kamath A., Neglected tropical diseases in Sub-Saharan Africa: review of their prevalence, distribution, and disease burden, PLoS Negl. Trop. Dis., 3, 8, (2009); Hotez P.J., Bundy D.A.P., Beegle K., Brooker S., Drake L., de Silva N., Montresor A., Engels D., Jukes M., Chitsulo L., Et al., Helminth infections: soil-transmitted helminth infections and schistosomiasis, Disease Control Priorities in Developing Countries, (2006); Ibikounle M., Mouahid G., Sakiti N.G., Massougbodji A., Mone H., Freshwater snail diversity in Benin (West Africa) with a focus on human schistosomiasis, ActaTrop, 111, pp. 29-34, (2009); Ibikounle M., Gbedjissi L.G., Ogouyemi-Hounto A., Batcho W., Kinde-Gazard D., Massougbodji A., Schistosomiasis and soil-transmitted helminthiasis among schoolchildren of Nikki and Perere, two northeastern towns of Benin, Bull. Soc. Pathol. Exot., 107, 3, pp. 171-176, (2014); Ibikounle M., Ogouyemi-Hounto A., Sissinto-Savi de Tove Y., Dansou A., Courtin D., Kinde-Gazard D., Mouahid G., Mone H., Massougbodji A., Freshwater snails and epidemiology of urinary schistosome among schoolchildren in Pehunco area, North West of Benin. Malacologycal survey, Bull. Soc. Pathol. Exot., 107, pp. 177-184, (2014); Ibikounle M., Onzo-Aboki A., Doritchamou J., Tougoue J.-J., Boko P.M., Savassi B.S., Et al., Results of the first mapping of soil-transmitted helminths in Benin: evidence of countrywide hookworm predominance, PLoS Negl. Trop. Dis., 12, 3, (2018); Inobaya M.T., Thao N.C., Shu-Kay N., Colin M., Remigio M.O., Et al., Mass drug administration and the sustainable control of schistosomiasis: an evaluation of treatment compliance in the rural Philippines, Parasit. Vectors, 11, (2018); INSAE &amp; ICF, Enquête Démographique et de Santé du Bénin 2011–2012, (2015); Katz N., Chaves A., Pellegring J.A., Simple device for quantitative stool thick-smear technique in schistosomiasis Mansoni, Rev. Inst. Med. Trop., 14, pp. 397-400, (1972); Malhotra I., McKibben M., Mungai P., Et al., Effect of antenatal parasitic infections on anti-vaccine IgG levels in children: a prospective birth cohort study in Kenya, PLoS Negl. Trop. Dis., 9, 1, (2015); Mireku M.O., Boivin M.J., Davidson L.L., Ouedraogo S., Koura G.K., Alao M.J., Et al., Impact of helminth infection during pregnancy on cognitive and motor functions of one-year-old children, PLoS Negl. Trop. Dis., 9, 3, (2015); Mireku M.O., Davidson L.L., Zoumenou R., Massougbodji A., Cot M., Bodeau-Livinec F., Consequences of prenatal geophagy for maternal prenatal health, risk of childhood geophagy and child psychomotor development, Trop. Med. Int. Health, 23, 8, pp. 841-849, (2018); Mpairwe H., Tweyongyere R., Elliott A., Pregnancy and helminth infections, Parasite Immunol., 36, 8, pp. 328-337, (2014); Ouedraogo S., Koura G.K., Accrombessi M.M., Bodeau-Livinec F., Massougbodji A., Cot M., Maternal anemia at first antenatal visit: prevalence and risk factors in a malaria-endemic area in Benin, Am. J. Trop. Med. Hyg., 87, 3, pp. 418-424, (2012); Ramalli L., Mulero S., Noel H., Chiappini J.D., Vincent J., Barre-Cardi H., Malfait P., Et al., Persistence of schistosomal transmission linked to the Cavu river in southern Corsica since 2013, Euro Surveill., 23, 4, (2018); Sady H., Al-Mekhlafi H.M., Atroosh W.M., Al-Delaimy A.K., Nasr N.A., Dawaki S., Al-Areeqi M.A., Et al., Knowledge, attitude, and practices towards schistosomiasis among rural population in Yemen, Parasit. Vectors, 8, (2015); Senra C., Gomes L.I., Siqueira L.M.V., Coelho P.M.Z., Rabello A., Oliveira E., Development of a laboratorial platform for diagnosis of schistosomiasis mansoni by PCR-ELISA, BMC Res. Notes, 11, (2018); Stothard J.R., Campbell S.J., Osei-Atweneboana M.Y., Durant T., Stanton M.C., Biritwum N.K., Et al., Towards interruption of schistosomiasis transmission in sub-Saharan Africa: developing an appropriate environmental surveillance framework to guide and to support end game interventions, Infect. Dis. Poverty, 6, (2017); Tarafder M., Carabin H., Joseph L., Balolong E., Olveda R., Et al., Estimating the sensitivity and specificity of Kato-Katz stool examination technique for detection of hookworms, Ascaris lumbricoides and Trichuris trichiura infections in humans in the absence of a ‘gold standard’, Int. J. Parasitol., 40, pp. 399-404, (2010); Van der Werf M.J., de Vlas S.J., Brooker S., Looman C.W., Nagelkerke N.J., Habbema J.D., Engels D., Quantification of clinical morbidity associated with schistosome infection in sub-Saharan Africa, Acta Trop., 86, 2-3, pp. 125-139, (2003); Welch V.A., Ghogomu E., Hossain A., Awasthi S., Bhutta Z.A., Cumberbatch C., Et al., Mass deworming to improve developmental health and wellbeing of children in low-income and middle-income countries: a systematic review and network meta-analysis, Lancet Glob. Health, 5, 1, pp. e40-e50, (2017); WHO, Stool Examination Kit; Kato-katz Technique Cellophane Faecal Thick Smear, (1996); WHO, Preventive Chemotherapy in Human Helminthiasis-coordinated Use of Anthelminthic Drugs in Control Interventions: a Manual for Health Professionals and Programme Managers, (2006); WHO, Helminth Control in School-age Children. A Guide for Managers for Control Programmes, (2011); WHO, Schistosomiasis. Fact Sheets Updated, (2018); Zida A., Briegel J., Kabre I., Sawadogo M.P., Sangare I., Bamba S., Yacouba A.O., Et al., Epidemiological and clinical aspects of urogenital schistosomiasis in women, in Burkina Faso, West Africa, Infect. Dis. Poverty, 5, (2016)</t>
  </si>
  <si>
    <t xml:space="preserve">M. Ibikounlé; Department of Zoology, Faculty of Sciences and Techniques, University of Abomey-Calavi, Cotonou, 01BP526, Benin; email: mibikounle@gmail.com</t>
  </si>
  <si>
    <t xml:space="preserve">2-s2.0-85059800143</t>
  </si>
  <si>
    <t xml:space="preserve">Kashtriya V.; Doegar A.; Gupta V.; Kashtriya P.</t>
  </si>
  <si>
    <t xml:space="preserve">Kashtriya, Vikas (57211288938); Doegar, Amit (39361254600); Gupta, Varun (57211780740); Kashtriya, Poonam (57208738673)</t>
  </si>
  <si>
    <t xml:space="preserve">57211288938; 39361254600; 57211780740; 57208738673</t>
  </si>
  <si>
    <t xml:space="preserve">Identifying Malaria infection in red blood cells using optimized step-increase convolutional neural network model</t>
  </si>
  <si>
    <t xml:space="preserve">A vast number of image processing and neural network approaches are currently being utilized in the analysis of various medical conditions. Malaria is a disease which can be diagnosed by examining blood smears. But when it is examined manually by the microscopist, the accuracy of diagnosis can be error-prone because it depends upon the quality of the smear and the expertise of microscopist in examining the smears. Among the various machine learning techniques, convolutional neural networks (CNN) promise relatively higher accuracy. We propose an Optimized Step-Increase CNN (OSICNN) model to classify red blood cell images taken from thin blood smear samples into infected and non-infected with the malaria parasite. The proposed OSICNN model consists of four convolutional layers and is showing comparable results when compared with other state of the art models. The accuracy of identifying parasite in RBC has been found to be 98.3% with the proposed model. ©BEIESP.</t>
  </si>
  <si>
    <t xml:space="preserve">International Journal of Innovative Technology and Exploring Engineering</t>
  </si>
  <si>
    <t xml:space="preserve">Blue Eyes Intelligence Engineering and Sciences Publication</t>
  </si>
  <si>
    <t xml:space="preserve">9 Special Issue</t>
  </si>
  <si>
    <t xml:space="preserve">10.35940/ijitee.I1131.0789S19</t>
  </si>
  <si>
    <t xml:space="preserve">https://www.scopus.com/inward/record.uri?eid=2-s2.0-85073355538&amp;doi=10.35940%2fijitee.I1131.0789S19&amp;partnerID=40&amp;md5=95965269c6413c54bf91c95711f4df76</t>
  </si>
  <si>
    <t xml:space="preserve">CSE Department, NITTTR, Chandigarh, Chandigarh, India; CSE Department, CCET, Chandigarh, India; CSE Department, NIT, Hamirpur, India</t>
  </si>
  <si>
    <t xml:space="preserve">Kashtriya V., CSE Department, NITTTR, Chandigarh, Chandigarh, India; Doegar A., CSE Department, NITTTR, Chandigarh, Chandigarh, India; Gupta V., CSE Department, CCET, Chandigarh, India; Kashtriya P., CSE Department, NIT, Hamirpur, India</t>
  </si>
  <si>
    <t xml:space="preserve">CNN; Deep learning; Image classification; Machine learning; Malaria; Medical diagnosis; Neural networks</t>
  </si>
  <si>
    <t xml:space="preserve">May Z., Aziz S.S.A.M., Salamat R., Automated quantification and classification of malaria parasites in thin blood smears, 2013IEEE International Conference on Signal and Image Processing Applications, (2013); (2018); Chavan S., Nagmode M., Malaria Disease Identification and Analysis Using Image Processing, IJLTET, (2014); Poostchi M., Silamut K., Maude R.J., Jaeger S., Thoma G.R., Image analysis and machine learning for detecting malaria, Transl. Res, 194, pp. 36-55, (2018); Lecun Y., Bengio Y., Hinton G., Deep learning, Nature, 521, 7553, pp. 436-444, (2015); Das D.K., Maiti A.K., Chakraborty C., Automated system for characterization and classification of malaria‐infected stages using light microscopic images of thin blood smears, J. Microsc, 257, 3, pp. 238-252, (2015); Arco J.E., Gorriz J.M., Ramirez J., Alvarez I., Puntonet C.G., Digital image analysis for automatic enumeration of malaria parasites using morphological operations, Expert Syst. Appl, 42, 6, pp. 3041-3047, (2015); Diaz G., Gonzalez F.A., Romero E., A semi-automatic method for quantification and classification of erythrocytes infected with malaria parasites in microscopic images, J. Biomed. Inform, 42, 2, pp. 296-307, (2009); Soni J., Mishra N., Kamargaonkar C., Automatic difference between RBC and malaria parasites based on morphology with first order features using image processing, IJAET, 1, 5, pp. 290-297, (2011); Savkare S.S., Narote S.P., Automated system for malaria parasite identification, 2015 International Conference on Communication, Information &amp; Computing Technology (ICCICT), pp. 1-4, (2015); Tek F.B., Dempster A.G., Kale I., Parasite detection and identification for automated thin blood film malaria diagnosis, Comput. Vis. Image Underst, 114, 1, pp. 21-32, (2010); Suradkar P.T., Detection of malarial parasite in blood using image processing, Int J Eng Inn Technol (IJEIT), 2, 10, pp. 124-126, (2013); Abbas N., Mohamad D., Microscopic rgb color images enhancement for blood cells segmentation in ycbcr color space for k-means clustering, J. Theor. Appl. Inf. Technol, 55, 1, pp. 117-125, (2013); Khan N.A., Pervaz H., Latif A.K., Musharraf A., Saniya, “Unsupervised identification of malaria parasites using computer vision, Computer Science and Software Engineering (JCSSE), 2014 11Th International Joint Conference On, pp. 263-267, (2014); Chayadevi M., Raju G., Usage of art for automatic malaria parasite identification based on fractal features, Int J Video Image Proc Netw Sec, 14, 4, pp. 7-15, (2014); Damahe L.B., Krishna R.K., Janwe N.J., Nileshsingh V.T., Segmentation Based Approach to Detect Parasites and RBCs in Blood Cell Images, Int J Comput Sci Appl, 4, 2, pp. 71-81, (2011); Malihi L., Ansari-Asl K., Behbahani A., Malaria parasite detection in giemsa-stained blood cell images, 2013 8Th Iranian Conference on Machine Vision and Image Processing (MVIP), pp. 360-365, (2013); Seman N.A., Isa N.A.M., Li L.C., Mohamed Z., Ngah U.K., Zamli K.Z., Classification Of Malaria Parasite Species Based On Thin Blood Smears Using Multilayer Perceptron Network, Int. J. Comput. Internet Manag, 16, 1, pp. 46-52, (2008); Springl V., Automatic malaria diagnosis through microscopy imaging, Fac. Electr. Eng, 128, (2009); Khot S.T., Prasad R.K., Optimal Computer Based Analysis for Detecting Malarial Parasites, FICTA, 1, pp. 69-80, (2015); Anggraini D., Nugroho A.S., Pratama C., Rozi I.E., Pragesjvara V., Gunawan M., Automated status identification of microscopic images obtained from malaria thin blood smears using bayes decision: A study case in plasmodium falciparum, 2011 International Conference on Advanced Computer Science and Information Systems, pp. 347-352, (2011); Mandal S., Kumar A., Chatterjee J., Manjunatha M., Ray A.K., Segmentation of blood smear images using normalized cuts for detection of malarial parasites, 2010 Annual IEEE India Conference (INDICON), pp. 1-4, (2010); Yunda L., Ramirez A.A., Millan J., Automated image analysis method for p-vivax malaria parasite detection in thick film blood images, Sist. Y Telemática, 10, 20, pp. 9-25, (2012); Le M.T., Bretschneider T.R., Kuss C., Preiser P.R., A novel semi-automatic image processing approach to determine Plasmodium falciparum parasitemia in Giemsa-stained thin blood smears, BMC Cell Biol, 9, 1, (2008); Memeu D.M., A Rapid Malaria Diagnostic Method Based on Automatic Detection and Classification of Plasmodium Parasites in Stained Thin Blood Smear Images, (2014); Prasad K., Winter J., Bhat U.M., Acharya R.V., Prabhu G.K., Image analysis approach for development of a decision support system for detection of malaria parasites in thin blood smear images, J. Digit. Imaging, 25, 4, pp. 542-549, (2012); Kumarasamy S.K., Ong S.H., Tan K.S.W., Robust contour reconstruction of red blood cells and parasites in the automated identification of the stages of malarial infection, Mach. Vis. Appl, 22, 3, pp. 461-469, (2011); Kermany D.S., Et al., Identifying medical diagnoses and treatable diseases by image-based deep learning, Cell, 172, 5, pp. 1122-1131, (2018); Zhang Y.D., Pan C., Chen X., Wang F., Abnormal breast identification by nine-layer convolutional neural network with parametric rectified linear unit and rank-based stochastic pooling, J. Comput. Sci, 27, pp. 57-68, (2018); Rajaraman S., Et al., Pre-trained convolutional neural networks as feature extractors toward improved malaria parasite detection in thin blood smear images, Peerj, 6, (2018); Xu B., Wang N., Chen T., Li M., Empirical Evaluation of Rectified Activations in Convolutional Network, Journal of Machine Learning Research, 15, 1, pp. 1929-1958, (2015); Bergstra J., Bengio Y., Random search for hyper-parameter optimization, J. Mach. Learn. Res, 13, pp. 281-305, (2012); Kingma D.P., Ba J.L., Adam: A Method for Stochastic Optimization, Int. Conf. Learn. Represent., (2015); Gopakumar G.P., Swetha M., Siva G.S., Subrahmanyam G.R.K.S., Convolutional Neural Network-based malaria Diagnosis from Focus Stack of Blood Smear Images Acquired Using Custom-built Slide Scanner, J. Biophotonics, 11, 3, (2018); Bibin D., Nair M.S., Punitha P., Malaria Parasite Detection From Peripheral Blood Smear Images Using Deep Belief Networks, IEEE Access, 5, pp. 9099-9108, (2017); Liang Z., Et al., CNN-based image analysis for malaria diagnosis, 2016 IEEE International Conference on Bioinformatics and Biomedicine (BIBM), pp. 493-496, (2016); Ross N.E., Pritchard C.J., Rubin D.M., Duse A.G., Automated image processing method for the diagnosis and classification of malaria on thin blood smears, Med. Biol. Eng. Comput, 44, 5, pp. 427-436, (2006); Vijayalakshmi A., Rajesh Kanna B., Deep learning approach to detect malaria from microscopic images, Multimed. Tools Appl., (2019)</t>
  </si>
  <si>
    <t xml:space="preserve">Int. J. Innov. Technol. Explor. Eng.</t>
  </si>
  <si>
    <t xml:space="preserve">2-s2.0-85073355538</t>
  </si>
  <si>
    <t xml:space="preserve">Lydia E.L.; Moses G.J.; Sharmili N.; Shankar K.; Maseleno A.</t>
  </si>
  <si>
    <t xml:space="preserve">Lydia, E. Laxmi (57196059278); Moses, G. Jose (55532461200); Sharmili, N. (57191575400); Shankar, K. (56884031900); Maseleno, Andino (55354910900)</t>
  </si>
  <si>
    <t xml:space="preserve">57196059278; 55532461200; 57191575400; 56884031900; 55354910900</t>
  </si>
  <si>
    <t xml:space="preserve">Image classification using deep neural networks for malaria disease detection</t>
  </si>
  <si>
    <t xml:space="preserve">Since the 19th century, Malaria has become a terrifying life-threating disease in most of the countries. Its been identified that five countries namely Nigeria with 25%, Congo with a ratio of 11%, Mozambique with ratio of 5%, India with ratio of 4% and Uganda with ratio of 4%. World Health Organization stated that above 90% of malaria death cases were recorded every year. Most of the Indian states like Odisha, Madhya Pradesh, Maharastra, northern countries, Chhattisgarh got affected by Malaria. India spotted death cases of malaria from millions to thousands that have reduced in recent years. Directorate of National vector Bore disease control program has started malaria control strategies using early case detection and treatments, vector control, protective measures against mosquito bites and management of Environment. The major challenge was to identify the disease at early stage. The key contributions avoid malaria disease is to provide antimalaria drugs, using indoor spray with residual insecticides, mosquito nets. For the treatment, medical technologies, deep learning architectures related to Convolutional Neural Networks to train and test performing different combinations for image classification using ResNet34 which helps patient go through prior examination for microscopic diagnosis. For patients examination, this paper considers Malaria Cell Images dataset with Parasitized and uninfected images. Thus, this clearly shows that one can easily identify person’s condition whether he is infected or uninfected by enabling open-source Artificial Intelligence. It shows the start-of-the-art accuracy by checking individual details. © 2019, Research Trend. All rights reserved.</t>
  </si>
  <si>
    <t xml:space="preserve">https://www.scopus.com/inward/record.uri?eid=2-s2.0-85075476143&amp;partnerID=40&amp;md5=3af1047aac55883fff13691f62de58a6</t>
  </si>
  <si>
    <t xml:space="preserve">Vignan's Institute of Information Technology, India; Raghu Engineering College (Autonomous), Viskahpatnam, Andhra Pradesh, India; CSE Department, Gayatri Vidya Parishad College of Engineering for Women, Viskahpatnam, Andhra Pradesh, India; Department of Computer Applications, Alagappa University, India; Institute of Informatics and Computing Energy, University Tenaga National, Malaysia</t>
  </si>
  <si>
    <t xml:space="preserve">Lydia E.L., Vignan's Institute of Information Technology, India; Moses G.J., Raghu Engineering College (Autonomous), Viskahpatnam, Andhra Pradesh, India; Sharmili N., CSE Department, Gayatri Vidya Parishad College of Engineering for Women, Viskahpatnam, Andhra Pradesh, India; Shankar K., Department of Computer Applications, Alagappa University, India; Maseleno A., Institute of Informatics and Computing Energy, University Tenaga National, Malaysia</t>
  </si>
  <si>
    <t xml:space="preserve">Convolution Neural Network; Convolutional; Image Classification; Malaria; Neural network; ResNet34</t>
  </si>
  <si>
    <t xml:space="preserve">Vijayalakshmi A., Deep learning approach to detect malaria from microscopic images, Multimedia Tools and Applications, pp. 1-21, (2019); Poostchi M., Ersoy L., McMenamin K., Gordon E., Palaniappan N., Pierce S., Maude R.J., Bansai A., Srinivasan P., Miller L., Palaniappan K., Thoma G., Jaeger S., Malaria parasite detection and cell counting for human and mouse using this blood smear microscopy, Journal of Medical Imaging, 5, 4, pp. 044506-044513, (2018); Devi S.S., Sheikh S.A., Talukdar A., Laskar R.H., Malaria infected erythrocyte classification based on the histogram features using microscopic images of thin blood smear, Indian Journal of Science and Technology, 9, 45, pp. 1-10, (2016); Bibin D., Nair M.S., Punitha P., Malaria parasite detection from peripheral blood smear images using deep belief networks, IEEE Access, 5, pp. 9099-9108, (2017); Parveen R., Jalbani A.H., Shaikh M., Memon K.H., Siraj S., Nabi M., Lakho S., Prediction of Malaria using Artificial Neural Network, International Journal of Computer Science and Network Security, 17, 12, pp. 79-86, (2017); Chakrabortya K., Chattopadhyayb A., Chakrabarti A., Acharyad T., Dasguptae A.K., A combined algorithm for malaria detection from thick smear blood slides, Journal of Health Medical Informatics, 6, 1, pp. 645-652, (2015); Loddo A., Di Ruberto C., Kocher M., Recent advances of malaria parasites detection systems based on mathematical morphology, Sensors, 18, 2, (2018); Pattanaik P.A., Swarnkar T., Visionbased malaria parasite image analysis: A systematic review, International Journal of Bioinformatics Research and Applications, 15, 1, pp. 1-32, (2019); Bashir A., Mustafa Z.A., Abdelhameid I., Ibrahem R., Detection of malaria parasites using digital image processing, 2017 International Conference on Communication, Control, Computing and Electronics Engineering (ICCCCEE), pp. 1-5, (2017); Mehrjou A., Abbasian T., Izadi M., Automatic malaria diagnosis system, 2013 First RSI/ISM International Conference on Robotics and Mechatronics (Icrom), pp. 205-211, (2013); Mohammed H.A., Abdelrahman I.A.M., Detection and classification of malaria in thin blood thin images, International Conference on Communication, Control, Computing, and Electronics Engineering, (2017); Pattanaik P.A., Swarnkar T., Sheet D., Object detection technique for malaria parasite in thin blood smear images, 2017 IEEE International Conference on Bioinformatics and Biomedicine (BIBM), pp. 2120-2123, (2017); Penas K.E.D., Rivera P.T., Naval P.C., Malaria parasite detection and species identification on thin blood smears using a convolutional neural network, 2017 IEEE/ACM International Conference on Connected Health: Applications, Systems and Engineering Technologies (CHASE), pp. 1-6, (2017); Demirev P.A., Feldman A.B., Kongkasuriyachai D., Scholl P., Sullivan D., Kumar N., Detection of malaria parasites in blood by laser desorption mass spectrometry, Analytical Chemistry, 74, 14, pp. 3262-3266, (2002); Oguntimilehin A., Adetunmbi A.O., Abiola O.B., A review of predictive models on diagnosis and treatment of malaria fever, International Journal of Computer Science and Mobile Computing, 4, 5, pp. 1087-1093, (2015); Poostchi M., Silamut K., Maude R.J., Jaeger S., Thoma G., Image analysis and machine learning for detection malaria, Translational Research, 2018, (2018); Dharpal S.N., Malviya A.V., Diagnosis of Malaria parasite based on Image processing, International Research Journal of Engineering Technology, 5, 5, pp. 2962-2965, (2018); Sajana T., Narasingarao M.R., Machine learning techniques for malaria disease diagnosis-a review, Journal of Advanced Research in Dynamical and Control Systems, 9, pp. 349-369, (2017); Ersoy I., Bunyak F., Higgins J.M., Palaniappan K., Coupled edge profile active contours for red blood cell flow analysis, In 2012 9Th IEEE International Symposium on Biomedical Imaging (ISBI), pp. 748-751, (2012); Dong Y., Jiang Z., Shen H., Pan W.D., Williams L.A., Reddy V.V., Bryan A.W., Evaluations of deep convolutional neural networks for automatic identification of malaria infected cells, 2017 IEEE EMBS International Conference on Biomedical &amp; Health Informatics (BHI), pp. 101-104, (2017); Rajaraman S., Antani S.K., Poostchi M., Silamut K., Hossain M.A., Maude R.J., Jaeger S., Thoma G.R., Pre-trained convolutional neural networks as feature extractors toward improved malaria parasite detection in thin blood smear images, Peer J, 6, (2018); Rajaraman S., Jaeger S., Antani S.K., Performance evaluation of deep neural ensembles toward malaria parasite detection in thin-blood smear images, Peer J., 7, (2019); Var E., Tek F.B., Malaria parasite detection with deep transfer learning, 2018 3Rd International Conference on Computer Science and Engineering (UBMK), pp. 298-302, (2018); Byanyima P., Lubega W., Andama A., Deep Convolutional neural networks for microscopy-based point of care diagnostics, Proceedings of the International Conference on Machine Learning for Healthcare, 56, pp. 1-12, (2016); Raut B.P., Marathe R.V., Image Retrieval and classification using Image text extraction, International Journal of Research in Electronics and Computer Engineering, (IJRECE), 7, 1, pp. 413-417, (2019); Singh R., Singh B., Improved leaf disease detection and classification convolution-based particle swarm optimization, International Journal of Research in Electronics and Computer Engineering (IJRECE), 7, 2, pp. 3124-3132, (2019); Rao N.Y., Kumari V.T., Satyavathi C., Mounika L.G., Sandeep P., A deep learning enhanced technique for classification of blood cell images, International Journal of Research in Electronics and Computer Engineering (IJRECE), 7, 1, pp. 1857-1862, (2019); Fegade G.K., Namdeo V., Gupta R., Predictive Modelling for E-commerce Data Classification Tasks: An Azure Machine Learning Approach, International Journal of Electrical, Electronics and Computer Engineering (IJEECE), 6, 1, pp. 45-50, (2017); Lydia L.E., Prasad B., Mahesh B.C., Shankar K., Kumar V.K., An unsupervised deep learning methods for fabricating text mining analysis based on topic modeling and document clustering techniques, International Journal on Emerging Technologies, 10, 2, pp. 103-109, (2019); Lydia L.E., Sharmili N., Shankar K., Masseleno A., Analysing the performance of classification algorithms on diseases datasets, International Journal on Emerging Technologies, 10, 3, pp. 224-230, (2019); Lydia L.E., Pandi Selvam B., Saranya R., Kirutikaa U.S., Iiayaraja M., Shankar K., Maseleno A., Data Integration and Data Privacy through. Pay-As-You-Go, Approach, International Journal on Emerging Technologies, 10, 2, pp. 167-173, (2019); Lydia L.E., Pandi Selvam B., Kirutikaa U.S., Saranya R., Iiayaraja M., Shankar K., Transforming healthcare Big Data Implementing through Aprior-Map Reduce, International Journal on Emerging Technologies, 10, 2, pp. 71-77, (2019)</t>
  </si>
  <si>
    <t xml:space="preserve">2-s2.0-85075476143</t>
  </si>
  <si>
    <t xml:space="preserve">Ukibe N.R.; Onyenekwe C.C.; Anojulu A.A.; Onwubuya E.I.; Kalu O.A.; Ukibe S.N.</t>
  </si>
  <si>
    <t xml:space="preserve">Ukibe, Nkiruka R. (23037248800); Onyenekwe, Charles C. (6602803491); Anojulu, Amara A. (58619519400); Onwubuya, Emmanuel I. (55479616800); Kalu, Ofia A. (55632977000); Ukibe, Solomon N. (55918948000)</t>
  </si>
  <si>
    <t xml:space="preserve">23037248800; 6602803491; 58619519400; 55479616800; 55632977000; 55918948000</t>
  </si>
  <si>
    <t xml:space="preserve">Impact of Plasmodium falciparum malaria infection on serum cortisol, adrenocorticotropic hormone, pregnancy associated plasma protein-A and alpha-fetoprotein in pregnant women at Nnewi</t>
  </si>
  <si>
    <t xml:space="preserve">The present study assessed the maternal cortisol, Adrenocorticotropic hormone (ACTH), Pregnancy associated plasma protein-A (PAPP-A) and alpha-fetoprotein (AFP) concentrations in malaria infected pregnant women. A total of 76 (40 apparently healthy pregnant and 36 malaria-infected pregnant) women aged 18-40 years were prospectively recruited. Early morning blood samples (5 ml) were collected from each subject at 1st and 2nd trimesters. 1 ml of whole blood was used for the diagnosis of P. falciparum malaria using malaria Plasmodium falciparum Rapid Test Device (RTD) and Giemsa stained thick blood smears for microscopic detection of P. falciparum parasites while the remaining 4 ml was centrifuged, separated and serum used for estimation of cortisol, ACTH, AFP and PAPP-A using ELISA-based method. The mean cortisol (125.80 ±30.80 ng/ml) and AFP (1.9 ±0.7 MoM) concentrations in malaria-infected pregnant women were significantly (p&lt;0.05) higher than those of normal pregnant women (86.70 ±3.30 and 1.5 ±0.7 respectively). Malaria-infected pregnant women had higher percentage of low birth weight babies (27.8%), preeclampsia (11.1%), premature rupture of membrane (11.1%), preterm delivery (30.6%), miscarriages (27.8%) and low APGAR score at one minute (2.8%). This shows the possible impact of malaria infection on pregnancy and birth outcomes. The increased cortisol concentration in malaria infected pregnant women shows that malaria infection in pregnancy increases the stress pregnant women are exposed to but the placental defect associated with increased placental permeability to AFP is not related to the effect of the stress (cortisol) and thus does not influence birth outcomes. © 2019 International Formulae Group. All rights reserved.</t>
  </si>
  <si>
    <t xml:space="preserve">10.4314/ijbcs.v13i3.1</t>
  </si>
  <si>
    <t xml:space="preserve">https://www.scopus.com/inward/record.uri?eid=2-s2.0-85172405285&amp;doi=10.4314%2fijbcs.v13i3.1&amp;partnerID=40&amp;md5=58dc1f4f767bc6d0d628cdeaa00832a5</t>
  </si>
  <si>
    <t xml:space="preserve">Department of Medical Laboratory Science, College of Health Sciences, NnamdiAzikiwe University, Nnewi Campus, P. M. B 5025, Anambra State, Nigeria; Department of Medicine, Faculty of Medicine, College of Health Sciences, NnamdiAzikiwe University, Nnewi Campus, P.M. B 5025, Anambra State, Nigeria; Department of Prosthesis and Orthotics, Federal University of Technology, Imo State, Owerri, Nigeria</t>
  </si>
  <si>
    <t xml:space="preserve">Ukibe N.R., Department of Medical Laboratory Science, College of Health Sciences, NnamdiAzikiwe University, Nnewi Campus, P. M. B 5025, Anambra State, Nigeria; Onyenekwe C.C., Department of Medical Laboratory Science, College of Health Sciences, NnamdiAzikiwe University, Nnewi Campus, P. M. B 5025, Anambra State, Nigeria; Anojulu A.A., Department of Medical Laboratory Science, College of Health Sciences, NnamdiAzikiwe University, Nnewi Campus, P. M. B 5025, Anambra State, Nigeria; Onwubuya E.I., Department of Medicine, Faculty of Medicine, College of Health Sciences, NnamdiAzikiwe University, Nnewi Campus, P.M. B 5025, Anambra State, Nigeria; Kalu O.A., Department of Medicine, Faculty of Medicine, College of Health Sciences, NnamdiAzikiwe University, Nnewi Campus, P.M. B 5025, Anambra State, Nigeria; Ukibe S.N., Department of Prosthesis and Orthotics, Federal University of Technology, Imo State, Owerri, Nigeria</t>
  </si>
  <si>
    <t xml:space="preserve">cortisol; maternal serum markers; Plasmodium falciparum; pregnancy; pregnancy outcome</t>
  </si>
  <si>
    <t xml:space="preserve">Beeson JG, Rogerson SJ, Cooke BM, Reeder JC, Chai W., Adhesion of Plasmodium falciparum-infected erythrocytes to hyaluronic acid in placental malaria, Nat Med, 6, 1, pp. 86-90, (2000); Behrman RE, Butler AS., Preterm Birth: Causes, Consequences, and Prevention, pp. 69-72, (2007); Bouyou-Akotet MK, Ionete-Collard DI, Mabika-Manfoumbi I, Kendjo E, Matsiegui PB, Mavoungou E., Prevalence of Plasmodium falciparum infection in pregnant women in Gabon, Malaria J, 18, (2005); Campos IM, Uribe ML, Cuesta C, Franco-Gallego A, Carmona FJ, Maestre A., Diagnosis of Gestational, Congenital, and Placental Malaria in Colombia: Comparison of the Efficacy of Microscopy, Nested Polymerase Chain Reaction, and Histopathology, Am. J. Trop. Med. Hyg, 84, 6, pp. 929-235, (2011); Chinedum CO, Chidebere FE, Adamma RA, Chukwuemeka SM, Igwegbe A, Ifeanyichukwu MO, Chukwudi ME, Ilika A, Okonkwo C, Anyiam A., Serum iron markers in HIV and HIV-malaria infected participants residing in malaria endemic area of South-Eastern Nigeria, Int. J. Bio. Chem. Sci, 4, pp. 2409-2414, (2010); Conroy AL, McDonald CR, Kain KC., Malaria in pregnancy: diagnosing infection and identifying fetal risk, Expert Review Anti Infect. Thera, 10, 11, pp. 1331-1342, (2012); Ezechi OC, Makinde ON, Kalu BE, Nnatu SN., Risk factors for preterm delivery in South Western Nigeria, Obstet. Gynaecol, 23, pp. 387-391, (2003); Gentile M, Schifano M, Lunardi S, Moscuzza F., Maternal PAPP-A levels at 11-13 weeks of gestation predict fetal and neonatal growth, Open J. Obstet. Gynaecol, 5, 6, pp. 365-372, (2015); Goffinet F., Epidemiological research unit on women and children’s health, Br. J. Obstet. Gyneocol, 112, pp. 38-47, (2005); Hilary T., Sex hormones' link to stress, depression explored, UBC reports, 48, (2002); Ibrahim EY, Adam I, Nour BY, Almahi YW, Omer EM, Ali NY., Cortisol susceptibility to malaria in pregnant women in an area of unstable malaria transmission in eastern Sudan, Inter. J. Gynecol. Obstet, 98, pp. 260-261, (2011); Ikpa TF, Kiliobas KSA, Ishaya KA., Molecular markers of sulfadixine-pyrimethamine resistant malaria pirior to intermittent preventive treatment among pregnancies in Makurdi, Nigeria, Int. J. Bio. Chem. Sci, 85, pp. 1961-1968, (2014); Krantz D, Goetzl L, Simpson JL, Thom E, Zachary J, Hallahan TW, Silver R, Pergament E, Platt LD, Filkins K, Johnson A, Mahoney M, Hogge WA, Wilson RD, Mohide P, Hershey D, Wapner R., Association of extreme first-trimester free human chorionic gonadotropin-beta, pregnancy-associated plasma protein A, and nuchal translucency with intrauterine growth restriction and other adverse pregnancy outcomes, Am. J. Obstet. Gynecol, 191, 4, pp. 1452-1458, (2004); Lalita S, Geeta S., Placental Malaria: A New Insight into the Pathophysiology, Front Med (Lausanne), 4, (2017); Li F, Wu T, Lei X, Zhang H, Mao M, Zhang J., The Apgar score and infant mortality, PLoS One, 8, (2016); Mastorakos G, Ilias I., Maternal and fetal hypothalamic-pituitary-adrenal axes during pregnancy and postpartum, Ann. New York Acad. Sci, 997, pp. 136-149, (2003); Menendez C, Ordi J, Ismail MR, Ventura PJ, Aponte JJ, Kahigwa E., The impact of placental malaria on gestational age and birth weight, J Infect Dis, 181, pp. 1740-1745, (2000); Muehlenbein MP, Alger J, Cogswell F, James M, Krogstad D., The reproductive endocrine response to Plasmodium vivax infection in Hondurans, Am. J. Trop. Med. Hyg, 73, pp. 178-187, (2005); Murphy SC, Breman JG., Gaps in the childhood malaria burden in Africa: cerebral malaria, neurological sequelae, anemia, respiratory distress, hypoglycemia, and complications of pregnancy, Am J Trop Med Hyg, 64, pp. 57-67, (2001); Nosten F, McGready R, Mutabingwa T., Case management of malaria in pregnancy, Lancet Infect. Dis, 7, 2, pp. 118-125, (2007); Rogerson SJ, Hviid L, Duffy PE, Leke RF, Taylor DW., Malaria in pregnancy: pathogenesis and immunity, Lancet Infect. Dis, 7, 2, pp. 105-117, (2007); Rogerson SJ, Mwapasa V, Meshnick ST., Malaria in Pregnancy: Linking Immunity and Pathogenesis to Prevention, Am Soc Trop Med Hyg, (2007); Ukibe NR, Onyenekwe CC, Ahaneku JE, Meludu SC, Ukibe SN, Ilika A, Ifeanyi M, Igwegbe AO, Ezeani M, Onochie P, Ofiaeli N, Abor N., CD4&lt;sup&gt;+&lt;/sup&gt; T-cell Count in HIV-Malaria Co-infection in Adult population in Nnewi South Eastern Nigeria, Int. J. Biol. Chem. Sci, 4, 5, pp. 1593-1601, (2010); Ukibe NR, Onyenekwe CC, Ahaneku JE, Meludu SC, Ukibe SN, Ilika A, Ifeanyi M, Igwegbe AO, Ezeani M, Onochie P, Ofiaeli N., Packed Cell Volume and Serum Iron in Subjects with HIV-Malaria Co-infection in Nnewi, South Eastern Nigeria, Int. J. Biol. Chem. Sci, 4, 2, pp. 471-478, (2010); Shah J, Baxi B., Identification of biomarkers for prediction of preterm delivery, J Med Soc, 30, pp. 3-14, (2016); Schantz-Dunn J, Nour NM., Malaria and pregnancy: a global health perspective, Rev. Obstet. Gynecol, 2, 3, pp. 186-192, (2009); Sibmooh N, Pipitaporn B, Wilairatana P, Dangdoungjai J, Udomsangpetch R, Looareesuwan S., Effect of artemisinin on lipid peroxidation and fluidity of the erythrocyte membrane in malaria, Bio. Pharm. Bull, 23, pp. 1275-1280, (2000); Smith GC, Stenhouse EJ, Crossley JA, Aitken DA, Cameron AD, Connor JM., Early pregnancy levels of pregnancy-associated plasma protein A and the risk of intrauterine growth restriction, premature birth, preeclampsia and stillbirth, J. Clin. Endocrinol. Metab, 87, pp. 1762-1767, (2002); Takem EN, D'Alessandro U., Malaria in Pregnancy, Mediterr J Hematol Infect Dis, 5, 1, (2013); Wilson M, Davis TM, Binh TQ, Long TT, Danh PT, Robertson K., Pituitary-adrenal function FV in uncomplicated falciparum malaria, Southeast Asian J. Trop. Med. Pub. Health, 32, pp. 689-695, (2001); Yuan Y, Jiang F, Hua S, Du B, Hao Y, Liang Y., Feasibility study of semiconductor sequencing for noninvasive prenatal detection of fetal aneuploidy, Clin. Chem, 59, pp. 846-849, (2009)</t>
  </si>
  <si>
    <t xml:space="preserve">N.R. Ukibe; Department of Medical Laboratory Science, College of Health Sciences, NnamdiAzikiwe University, Nnewi Campus, P. M. B 5025, Anambra State, Nigeria; email: nr.ukibe@unizik.edu.ng</t>
  </si>
  <si>
    <t xml:space="preserve">2-s2.0-85172405285</t>
  </si>
  <si>
    <t xml:space="preserve">Muthumbi A.; Chaware A.; Kim K.; Zhou K.C.; Konda P.C.; Chen R.; Judkewitz B.; Erdmann A.; Kappes B.; Horstmeyer R.</t>
  </si>
  <si>
    <t xml:space="preserve">Muthumbi, Alex (57214364552); Chaware, Amey (57214363917); Kim, Kanghyun (57214365702); Zhou, Kevin C. (56247066000); Konda, Pavan Chandra (57164762100); Chen, Richard (57219460890); Judkewitz, Benjamin (13007764400); Erdmann, Andreas (7005715563); Kappes, Barbara (55947084300); Horstmeyer, Roarke (24921098400)</t>
  </si>
  <si>
    <t xml:space="preserve">57214364552; 57214363917; 57214365702; 56247066000; 57164762100; 57219460890; 13007764400; 7005715563; 55947084300; 24921098400</t>
  </si>
  <si>
    <t xml:space="preserve">Learned sensing: Jointly optimized microscope hardware for accurate image classification</t>
  </si>
  <si>
    <t xml:space="preserve">Since its invention, the microscope has been optimized for interpretation by a human observer. With the recent development of deep learning algorithms for automated image analysis, there is now a clear need to re-design the microscope’s hardware for specific interpretation tasks. To increase the speed and accuracy of automated image classification, this work presents a method to co-optimize how a sample is illuminated in a microscope, along with a pipeline to automatically classify the resulting image, using a deep neural network. By adding a “physical layer” to a deep classification network, we are able to jointly optimize for specific illumination patterns that highlight the most important sample features for the particular learning task at hand, which may not be obvious under standard illumination. We demonstrate how our learned sensing approach for illumination design can automatically identify malaria-infected cells with up to 5-10% greater accuracy than standard and alternative microscope lighting designs. We show that this joint hardware-software design procedure generalizes to offer accurate diagnoses for two different blood smear types, and experimentally show how our new procedure can translate across different experimental setups while maintaining high accuracy. © 2019 Optical Society of America under the terms of the OSA Open Access Publishing Agreement</t>
  </si>
  <si>
    <t xml:space="preserve">Biomedical Optics Express</t>
  </si>
  <si>
    <t xml:space="preserve">OSA - The Optical Society</t>
  </si>
  <si>
    <t xml:space="preserve">10.1364/BOE.10.006351</t>
  </si>
  <si>
    <t xml:space="preserve">https://www.scopus.com/inward/record.uri?eid=2-s2.0-85076097119&amp;doi=10.1364%2fBOE.10.006351&amp;partnerID=40&amp;md5=5958bb89663f76f0f4ea887815af4263</t>
  </si>
  <si>
    <t xml:space="preserve">School of Advanced Optical Technologies, Friedrich-Alexander University, Erlangen, 91052, Germany; Department of Electrical and Computer Engineering, Duke University, Durham, 27708, NC, United States; Department of Biomedical Engineering, Duke University, Durham, 27708, NC, United States; Y Combinator Research, San Francisco, 94103, CA, United States; NeuroCure Cluster of Excellence, Charitè Universitätsmedizin and Humboldt University, Berlin, 10117, Germany; Fraunhofer IISB, Erlangen, 91058, Germany; Department of Chemical and Biological Engineering, Friedrich-Alexander University, Erlangen, 91054, Germany</t>
  </si>
  <si>
    <t xml:space="preserve">Muthumbi A., School of Advanced Optical Technologies, Friedrich-Alexander University, Erlangen, 91052, Germany; Chaware A., Department of Electrical and Computer Engineering, Duke University, Durham, 27708, NC, United States; Kim K., Department of Electrical and Computer Engineering, Duke University, Durham, 27708, NC, United States; Zhou K.C., Department of Biomedical Engineering, Duke University, Durham, 27708, NC, United States; Konda P.C., Department of Biomedical Engineering, Duke University, Durham, 27708, NC, United States; Chen R., Y Combinator Research, San Francisco, 94103, CA, United States; Judkewitz B., NeuroCure Cluster of Excellence, Charitè Universitätsmedizin and Humboldt University, Berlin, 10117, Germany; Erdmann A., School of Advanced Optical Technologies, Friedrich-Alexander University, Erlangen, 91052, Germany, Fraunhofer IISB, Erlangen, 91058, Germany; Kappes B., Department of Chemical and Biological Engineering, Friedrich-Alexander University, Erlangen, 91054, Germany; Horstmeyer R., Department of Electrical and Computer Engineering, Duke University, Durham, 27708, NC, United States, Department of Biomedical Engineering, Duke University, Durham, 27708, NC, United States</t>
  </si>
  <si>
    <t xml:space="preserve">Deep neural networks; Learning algorithms; Microscopes; Network layers; Software design; Automated image analysis; Deep classifications; Hardware-software design; Illumination design; Illumination patterns; Lighting designs; Physical layers; Sample features; Article; automation; blood smear; brightness; classification algorithm; convolutional neural network; diagnostic accuracy; feature detection; illumination; image analysis; intermethod comparison; malaria falciparum; measurement accuracy; microscope image; nonhuman; Plasmodium falciparum; preliminary data; process optimization; software design; standard; velocity; Image classification</t>
  </si>
  <si>
    <t xml:space="preserve">Deutsche Forschungsgemeinschaft, DFG; Erlangen Graduate School of Advanced Optical Technologies, SAOT</t>
  </si>
  <si>
    <t xml:space="preserve">We thank Xiaoze Ou, Jaebum Chung and Prof. Changhuei Yang for sharing thin smear slide images and thank the labs of both Prof. Ana Rodriguez and Prof. Barbara Kappes for preparing and providing the malaria-infected cells. The authors gratefully acknowledge funding of the Erlangen Graduate School in Advanced Optical Technologies (SAOT) by the German Research Foundation (DFG) in the framework of the German excellence initiative.</t>
  </si>
  <si>
    <t xml:space="preserve">LeCun Y., Bengio Y., Hinton G., Deep learning, Nature, 521, 7553, pp. 436-444, (2015); Buggenthin F., Buettner F., Hoppe P.S., Endele M., Kroiss M., Strasser M., Schwarzfischer M., Loeffler D., Kokkaliaris K.D., Hilsenbeck O., Schroeder T., Theis F.J., Marr C., Prospective identification of hematopoietic lineage choice by deep learning, Nat. Methods, 14, 4, pp. 403-406, (2017); Eulenberg P., Kohler N., Blasi T., Filby A., Carpenter A.E., Rees P., Theis F.J., Wolf F.A., Reconstructing cell cycle and disease progression using deep learning, Nat. Commun., 8, 1, (2017); Esteva A., Kuprel B., Novoa R.A., Ko J., Swetter S.M., Blau H.M., Thrun S., Dermatologist-level classification of skin cancer with deep neural networks, Nature, 542, 7639, pp. 115-118, (2017); Apthorpe N., Riordan A., Aguilar R., Homann J., Gu Y., Tank D., Seung H.S., Automatic neuron detection in calcium imaging data using convolutional networks, Advances in Neural Information Processing Systems, 29, pp. 3270-3278, (2016); Quinn J.A., Nakasi R., Mugagga P.K.B., Byanyima P., Lubega W., Andama A., Deep convolutional neural networks for microscopy-based point of care diagnostics, Proceedings of the 1st Machine Learning for Healthcare Conference, 56, pp. 271-281, (2016); Zheng G., Horstmeyer R., Yang C., Wide-field, high-resolution Fourier ptychographic microscopy, Nat. Photonics, 7, 9, pp. 739-745, (2013); Zarella M.D., Bowman D., Aeffner F., Farahani N., Xthona A., Absar S.F., Parwani A., Bui M., Hartman D.J., A practical guide to whole slide imaging: A white paper from the digital pathology association, Arch. Pathol. Lab. Med., 143, 2, pp. 222-234, (2019); Poostchi M., Silamut K., Maude R.J., Jaeger S., Thoma G., Image analysis and machine learning for detecting malaria, Transl. Res., 194, pp. 36-55, (2018); Malaria Microscopy Quality Assurance Manual, (2009); Zheng G., Ou X., Horstmeyer R., Chung J., Yang C., Fourier ptychographic microscopy: A gigapixel superscope for biomedicine, Opt. Photonics News, 25, 4, (2014); Bench Aids for the Diagnosis of Malaria Infections, (2000); Das D.K., Mukherjee R., Chakraborty C., Computational microscopic imaging for malaria parasite detection: A systematic review, J. Microsc., 260, 1, pp. 1-19, (2015); Li H., Soto-Montoya H., Voisin M., Valenzuela L.F., Prakash M., OCTOPI: Open configurable high-throughput imaging platform for infectious disease diagnosis in the field, bioRxiv, 25, (2019); Park H.S., Rinehart M.T., Walzer K.A., Ashley Chi J.T., Wax A., Automated detection of P. Falciparum using machine learning algorithms with quantitative phase images of unstained cells, PLoS One, 11, 9, (2016); Bishara W., Sikora U., Mudanyali O., Su T.W., Yaglidere O., Luckhart S., Ozcan A., Holographic pixel super-resolution in portable lensless on-chip microscopy using a fiber-optic array, Lab Chip, 11, 7, (2011); Roobsoong W., Maher S.P., Rachaphaew N., Barnes S.J., Williamson K.C., Sattabongkot J., Adams J.H., A rapid sensitive, flow cytometry-based method for the detection of Plasmodium vivax-infected blood cells, Malar. J., 13, 1, (2014); Christiansen E.M., Yang S.J., Ando D.M., Javaherian A., Skibinski G., Lipnick S., Mount E., O'Neil A., Shah K., Lee A.K., Goyal P., Fedus W., Poplin R., Esteva A., Berndl M., Rubin L.L., Nelson P., Finkbeiner S., In silico labeling: Predicting fluorescent labels in unlabeled images, Cell, 173, 3, pp. 792-803, (2018); Rivenson Y., Wang H., Wei Z., de Haan K., Zhang Y., Wu Y., Gunaydin H., Zuckerman J.E., Chong T., Sisk A.E., Westbrook L.M., Wallace W.D., Ozcan A., Virtual histological staining of unlabelled tissue-autofluorescence images via deep learning, Nat. Biomed. Eng., 3, 6, pp. 466-477, (2019); Goy A., Rughoobur G., Li S., Arthur K., Akinwande A.I., Barbastathis G., High-Resolution Limited-Angle Phase Tomography of Dense Layered Objects Using Deep Neural Networks, (2018); Ou X., Horstmeyer R., Zheng G., Yang C., High numerical aperture Fourier ptychography: Principle, implementation and characterization, Opt. Express, 23, 3, (2015); Lu G., Fei B., Medical hyperspectral imaging: A review, J. Biomed. Opt., 19, 1, (2014); Zhang T., Osborn S., Brandow C., Dwyre D., Green R., Lane S., Wachsmann-Hogiu S., Structured illumination-based super-resolution optical microscopy for hemato- And cyto-pathology applications, Anal. Cell. Pathol., 36, 1-2, pp. 27-35, (2013); Chakrabarti A., Learning Sensor Multiplexing Design through Back-Propagation, (2016); Sitzmann V., Diamond S., Peng Y., Dun X., Boyd S., Heidrich W., Heide F., Wetzstein G., End-to-end optimization of optics and image processing for achromatic extended depth of field and super-resolution imaging, ACM Trans. Graph., 37, 4, pp. 1-13, (2018); Chang J., Sitzmann V., Dun X., Heidrich W., Wetzstein G., Hybrid optical-electronic convolutional neural networks with optimized diffractive optics for image classification, Sci. Rep., 8, 1, (2018); Chang J., Wetzstein G., Deep optics for monocular depth estimation and 3d object detection, Proc. IEEE ICCV, (2019); Hershko E., Weiss L.E., Michaeli T., Shechtman Y., Multicolor Localization Microscopy by Deep Learning, (2018); Hershko E., Weiss L.E., Michaeli T., Shechtman Y., Multicolor localization microscopy and point-spread-function engineering by deep learning, Opt. Express, 27, 5, (2019); Nehme E., Freedman D., Gordon R., Ferdman B., Michaeli T., Shechtman Y., Dense Three Dimensional Localization Microscopy by Deep Learning, (2019); Diederich B., Wartmann R., Schadwinkel H., Heintzmann R., Using machine-learning to optimize phase contrast in a low-cost cellphone microscope, PLoS One, 13, 3, (2018); Kellman M., Bostan E., Repina N., Waller L., Physics-based Learned Design: Optimized coded-illumination for quantitative phase imaging, IEEE Trans. Comput. Imaging, 5, 3, pp. 344-353, (2019); Xue Y., Cheng S., Li Y., Tian L., Reliable deep-learning-based phase imaging with uncertainty quantification, Optica, 6, (2019); Jiang S., Guo K., Liao J., Zheng G., Solving Fourier ptychographic imaging problems via neural network modeling and TensorFlow, Biomed. Opt. Express, 9, 7, (2018); Cheng Y.F., Strachan M., Weiss Z., Deb M., Carone D., Ganapati V., Illumination pattern design with deep learning for single-shot Fourier ptychographic microscopy, Opt. Express, 27, 2, (2019); Nguyen T., Xue Y., Li Y., Tian L., Nehmetallah G., Deep learning approach for Fourier ptychography microscopy, Opt. Express, 26, 20, (2018); Belthangady C., Royer L.A., Applications, promises, and pitfalls of deep learning for fluorescence image reconstruction, Nat. Methods, 458, (2019); Horstmeyer R., Chen R.Y., Kappes B., Judkewitz B., Convolutional Neural Networks That Teach Microscopes How to Image, (2017); Tian L., Li X., Ramchandran K., Waller L., Multiplexed coded illumination for Fourier Ptychography with an LED array microscope, Biomed. Opt. Express, 5, 7, (2014); Bian L., Suo J., Situ G., Zheng G., Chen F., Dai Q., Content adaptive illumination for Fourier ptychography, Opt. Lett., 39, 23, (2014); Zhang Y., Jiang W., Tian L., Waller L., Dai Q., Self-learning based Fourier ptychographic microscopy, Opt. Express, 23, 14, (2015); Eckert R., Phillips Z.F., Waller L., Efficient illumination angle self-calibration in Fourier ptychography, Appl. Opt., 57, 19, (2018); Mehta S.B., Sheppard C.J.R., Quantitative phase-gradient imaging at high resolution with asymmetric illumination-based differential phase contrast, Opt. Lett., 34, 13, (2009); Tian L., Waller L., Quantitative differential phase contrast imaging in an LED array microscope, Opt. Express, 23, 9, (2015); Chen M., Tian L., Waller L., 3D differential phase contrast microscopy, Biomed. Opt. Express, 7, 10, (2016); Phillips Z.F., Chen M., Waller L., Single-shot quantitative phase microscopy with color-multiplexed differential phase contrast (cDPC), PLoS One, 12, 2, (2017); Chen M., Phillips Z.F., Waller L., Quantitative differential phase contrast (DPC) microscopy with computational aberration correction, Opt. Express, 26, 25, (2018); Dietterich T.G., Machine learning for sequential data: A review, Structural, Syntactic, and Statistical Pattern Recognition, pp. 15-30, (2002); Wu N., Phang J., Park J., Shen Y., Huang Z., Zorin M., Jastrzebski S., Fevry T., Katsnelson J., Kim E., Wolfson S., Parikh U., Gaddam S., Lin L.L.Y., Ho K., Weinstein J.D., Reig B., Gao Y., Toth H., Pysarenko K., Lewin A., Lee J., Airola K., Mema E., Chung S., Hwang E., Samreen N., Kim S.G., Heacock L., Moy L., Cho K., Geras K.J., Deep Neural Networks Improve Radiologists’ Performance in Breast Cancer Screening, (2019); Del Hougne P., Imani M.F., Diebold A.V., Horstmeyer R., Smith D.R., Artificial Neural Network with Physical Dynamic Metasurface Layer for Optimal Sensing, (2019); Aidukas T., Eckert R., Harvey A.R., Waller L., Konda P.C., Low-cost, sub-micron resolution, wide-field computational microscopy using opensource hardware, Sci. Rep., 9, 1, (2019); Shin H.C., Roth H.R., Gao M., Lu L., Xu Z., Nogues I., Yao J., Mollura D., Summers R.M., Deep convolutional neural networks for computer-aided detection: CNN architectures, dataset characteristics and transfer learning, IEEE Trans. Med. Imaging, 35, 5, pp. 1285-1298, (2016); Szegedy C., Toshev A., Erhan D., Deep neural networks for object detection, Nips 2013, (2013); Madabhushi A., Lee G., Image analysis and machine learning in digital pathology: Challenges and opportunities, Med. Image Anal., 33, pp. 170-175, (2016)</t>
  </si>
  <si>
    <t xml:space="preserve">R. Horstmeyer; Department of Electrical and Computer Engineering, Duke University, Durham, 27708, United States; email: roarke.w.horstmeyer@duke.edu</t>
  </si>
  <si>
    <t xml:space="preserve">Biomed. Opt. Express</t>
  </si>
  <si>
    <t xml:space="preserve">2-s2.0-85076097119</t>
  </si>
  <si>
    <t xml:space="preserve">Amoani B.; Adu B.; Frempong M.T.; Sarkodie-Addo T.; Nuvor S.V.; Wilson M.D.; Gyan B.</t>
  </si>
  <si>
    <t xml:space="preserve">Amoani, Benjamin (56652197000); Adu, Bright (54792622600); Frempong, Margaret T. (56667572500); Sarkodie-Addo, Tracy (57210987608); Nuvor, Samuel Victor (6507259671); Wilson, Michael D. (56909224500); Gyan, Ben (6602608075)</t>
  </si>
  <si>
    <t xml:space="preserve">56652197000; 54792622600; 56667572500; 57210987608; 6507259671; 56909224500; 6602608075</t>
  </si>
  <si>
    <t xml:space="preserve">Levels of serum eosinophil cationic protein are associated with hookworm infection and intensity in endemic communities in Ghana</t>
  </si>
  <si>
    <t xml:space="preserve">Background The eosinophil cationic protein (ECP) is a cytotoxic protein mainly secreted by eosinophils granulocytes and plays a role in host defense against parasitic infections. Infection with Necator americanus (hookworm) is traditionally diagnosed by the Kato-Katz method which is inherently tedious, subjective and known to underestimate infection intensity. This study aimed to assess levels of serum ECP in relation to hookworm infection intensity. Methods Stool samples from 984 (aged 4 to 80 years) participants in a cross-sectional study conducted in the Kintampo North Municipality of Ghana were examined using the Kato-Katz and formol-ether concentration methods. Serum ECP levels were measured by ECP assay kit and compared between 40 individuals infected with hookworm only, 63 with hookworm- Plasmodium falciparum co-infection, 59 with P. falciparum infection and 36 with no infection. Results Hookworm infection prevalence was 18.1% (178/984). ECP levels were significantly higher in individuals infected with hookworm only (β = 2.96, 95%CI = 2.69, 3.23, p&lt;0.001) or coinfected with P. falciparum (β = 3.15, 95%CI = 2.91, 3.39, p&lt;0.001) compared to the negative control. Levels of ECP were similar between those with only P. falciparum infection and the uninfected control (p&gt;0.05). Increased hookworm intensity was associated with a significant increase in ECP level (β = 4.45, 95%CI = 2.25, 9.11, rs = 0.193, n = 103, p&lt;0.01). ECP threshold of 84.98ng/ml was associated with a positive predictive value (PPV) of 98% (95% CI = 92, 100), and negative predictive value (NPV) of 76% (95% CI = 62, 87) in classifying hookworm infection status with an AUROC of 96.3%.Conclusion Serum ECP level may be a good biomarker of hookworm infection and intensity and warrant further investigations to help improve current hookworm diagnosis. © 2019 Amoani et al. This is an open access article distributed under the terms of the Creative Commons Attribution License, which permits unrestricted use, distribution, and reproduction in any medium, provided the original author and source are credited.</t>
  </si>
  <si>
    <t xml:space="preserve">e0222382</t>
  </si>
  <si>
    <t xml:space="preserve">10.1371/journal.pone.0222382</t>
  </si>
  <si>
    <t xml:space="preserve">https://www.scopus.com/inward/record.uri?eid=2-s2.0-85072143238&amp;doi=10.1371%2fjournal.pone.0222382&amp;partnerID=40&amp;md5=d5fe99dab5c479b3c5cdc03fb8e6648f</t>
  </si>
  <si>
    <t xml:space="preserve">Department of Biomedical Science, College of Health Sciences, University of Cape Coast, Cape Coast, Ghana; Noguchi Memorial Institute for Medical Research, College of Health Sciences, University of Ghana, Legon, Ghana; Molecular Medicine Department, School of Medical Sciences, Kwame Nkrumah University of Science and Technology, Ghana; Department of Microbiology, College of Health Sciences, University of Cape Coast, Cape Coast, Ghana; Parasitology Department, College of Health Sciences, University of Ghana, Legon, Ghana</t>
  </si>
  <si>
    <t xml:space="preserve">Amoani B., Department of Biomedical Science, College of Health Sciences, University of Cape Coast, Cape Coast, Ghana, Noguchi Memorial Institute for Medical Research, College of Health Sciences, University of Ghana, Legon, Ghana, Molecular Medicine Department, School of Medical Sciences, Kwame Nkrumah University of Science and Technology, Ghana; Adu B., Noguchi Memorial Institute for Medical Research, College of Health Sciences, University of Ghana, Legon, Ghana; Frempong M.T., Molecular Medicine Department, School of Medical Sciences, Kwame Nkrumah University of Science and Technology, Ghana; Sarkodie-Addo T., Noguchi Memorial Institute for Medical Research, College of Health Sciences, University of Ghana, Legon, Ghana; Nuvor S.V., Department of Microbiology, College of Health Sciences, University of Cape Coast, Cape Coast, Ghana; Wilson M.D., Parasitology Department, College of Health Sciences, University of Ghana, Legon, Ghana; Gyan B., Noguchi Memorial Institute for Medical Research, College of Health Sciences, University of Ghana, Legon, Ghana</t>
  </si>
  <si>
    <t xml:space="preserve">Adolescent; Adult; Aged; Aged, 80 and over; Ancylostomatoidea; Animals; Biomarkers; Child; Child, Preschool; Cross-Sectional Studies; Eosinophil Cationic Protein; Feces; Female; Ghana; Hookworm Infections; Humans; Malaria, Falciparum; Male; Middle Aged; Prevalence; eosinophil cationic protein; biological marker; eosinophil cationic protein; adolescent; adult; aged; Article; child; controlled study; cross-sectional study; disease association; disease classification; feces analysis; female; Ghana; health status; hookworm infection; human; major clinical study; malaria falciparum; male; mixed infection; predictive value; prevalence; protein blood level; protein determination; animal; blood; feces; hookworm; hookworm infection; metabolism; middle aged; parasitology; pathogenicity; preschool child; very elderly</t>
  </si>
  <si>
    <t xml:space="preserve">Biomarkers, ; Eosinophil Cationic Protein, </t>
  </si>
  <si>
    <t xml:space="preserve">National Institute of Allergy and Infectious Diseases, NIAID, (R01AI099623)</t>
  </si>
  <si>
    <t xml:space="preserve">De Silva N.R., Brooker S., Hotez P.J., Montresor A., Engels D., Savioli L., Soil-transmitted helminth infections: Updating the global picture, Trends in Parasitology, 19, 12, pp. 547-551, (2003); Humphries D., Mosites E., Otchere J., Twum W.A., Woo L., Jones-Sanpei H., Et al., Epidemiology of hookworm infection in Kintampo North Municipality, Ghana: Patterns of malaria coinfection, anemia, and albendazole treatment failure, The American Journal of Tropical Medicine and Hygiene, 84, 5, pp. 792-800, (2011); Loukas A., Prociv P., Immune responses in hookworm infections, Clinical Microbiology Reviews, 14, 4, pp. 689-703, (2001); Dickson R., Awasthi S., Williamson P., Demellweek C., Garner P., Effects of treatment for intestinal helminth infection on growth and cognitive performance in children: Systematic review of randomised trials, Bmj, 320, 7251, pp. 1697-1701, (2000); Ndyomugyenyi R., Kabatereine N., Olsen A., Magnussen P., Efficacy of ivermectin and albendazole alone and in combination for treatment of soil-transmitted helminths in pregnancy and adverse events: A randomized open label controlled intervention trial in Masindi district, western Uganda, The American Journal of Tropical Medicine and Hygiene, 79, 6, pp. 856-863, (2008); Stoltzfus R.J., Kvalsvig J.D., Chwaya H.M., Montresor A., Albonico M., Tielsch J.M., Et al., Effects of iron supplementation and anthelmintic treatment on motor and language development of preschool children in Zanzibar: Double blind, placebo controlled study, Bmj, 323, 7326, (2001); Bethony J., Brooker S., Albonico M., Geiger S.M., Loukas A., Diemert D., Et al., Soil-transmitted helminth infections: Ascariasis, trichuriasis, and hookworm, The Lancet, 367, 9521, pp. 1521-1532, (2006); Crompton D.W.T., Nesheim M., Nutritional impact of intestinal helminthiasis during the human life cycle, Annual Review of Nutrition, 22, 1, pp. 35-59, (2002); Humphries D., Nguyen S., Kumar S., Quagraine J.E., Otchere J., Harrison L.M., Et al., Effectiveness of Albendazole for Hookworm Varies Widely by Community and Correlates with Nutritional Factors: A Cross-Sectional Study of School-Age Children in Ghana, The American Journal of Tropical Medicine and Hygiene, 96, 2, pp. 347-354, (2017); Bystrom J., Amin K., Bishop-Bailey D., Analysing the eosinophil cationic protein - A clue to the function of the eosinophil granulocyte, Respiratory Research, 12, 1, (2011); Booth M., Vounatsou P., N'Goran E., Tanner M., Utzinger J., The influence of sampling effort and the performance of the Kato-Katz technique in diagnosing Schistosoma mansoni and hookworm co-infections in rural Côte d'Ivoire, Parasitology, 127, 6, pp. 525-531, (2003); Reimert C., Venge P., Kharazmi A., Bendtzen K., Detection of eosinophil cationic protein (ECP) by an enzyme-linked immunosorbent assay, Journal of Immunological Methods, 138, 2, pp. 285-290, (1991); Niedworok M., Sordyl B., Borecka A., Gawor J., Malecka-Panas E., Estimation of eosinophilia, immunoglobulin E and eosinophilic cationic protein concentration during the treatment of toxocariasis, Wiadomosci Parazytologiczne, 54, 3, pp. 225-230, (2007); Asuming-Brempong E., Gyan B., Amoah A.S., Wvd P., Bimi L., Boakye D., Et al., Relationship between eosinophil cationic protein and infection intensity in a Schistosomiasis endemic community in Ghana, Research and Reports in Tropical Medicine, 6, (2015); The Immune System ( 2nd Edition), pp. 318-319, (2004); 'Guidelines for the Evaluation of Soil-transmitted Helminthiasis and Schistosomiasis Atcommunity Level, (1998); Amoani B., Gyan B., Armah F.A., Otabil C., Tchum K., Frempong M.T., Et al., Comparative analysis of haematological parameters in hookworm and plasmodium falciparum co-infected individuals in kintampo north municipality, Ghana, International Journal of TROPICAL DISEASE &amp; Health, pp. 1-9, (2018); Shete P.B., The Immunoepidemiology of Hookworm Infection in the Peruvian Amazon, (2008); Zhan B., Li T., Xiao S., Zheng F., Hawdon J., Species-specific identification of human hookworms by PCR of the mitochondrial cytochrome oxidase I gene, Journal of Parasitology, 87, 5, pp. 1227-1229, (2001); Tischendorf F., Brattig N., Buttner D., Pieper A., Lintzel M., Serum levels of eosinophil cationic protein, eosinophil-derived neurotoxin and myeloperoxidase in infections with filariea and schistosomes, Acta Tropica, 62, 3, pp. 171-182, (1996); Hassan M., El-Motaim M., Mattar M., Afify H., E-S E., Assessing the morbidity of schistosomiasis by measuring eosinophil cationic protein in serum, Journal of the Egyptian Society of Parasitology, 32, 2, pp. 517-524, (2002); Sugai T., Sakiyama Y., Matumoto S., Eosinophil cationic protein in peripheral blood of pediatric patients with allergic diseases, Clinical &amp; Experimental Allergy, 22, 2, pp. 275-281, (1992); Slobodna M.S., Jasna L., Vesna Z., Karmela H., Branka M., Serum eosinophil cationic protein in children with atopic dermatitis, International Journal of Dermatology, 45, 10, pp. 1156-1160, (2006); Bethony J., Loukas A., Smout M., Brooker S., Mendez S., Plieskatt J., Et al., Antibodies against a secreted protein from hookworm larvae reduce the intensity of hookworm infection in humans and vaccinated laboratory animals, The FASEB Journal, 19, 12, pp. 1743-1745, (2005); Reimert C.M., Fitzsimmons C.M., Joseph S., Mwatha J.K., Jones F.M., Kimani G., Et al., Eosinophil activity in Schistosoma mansoni infections in vivo and in vitro in relation to plasma cytokine profile pre-and posttreatment with praziquantel, Clinical and Vaccine Immunology, 13, 5, pp. 584-593, (2006)</t>
  </si>
  <si>
    <t xml:space="preserve">B. Gyan; Noguchi Memorial Institute for Medical Research, College of Health Sciences, University of Ghana, Legon, Ghana; email: bgyan@noguchi.ug.edu.gh</t>
  </si>
  <si>
    <t xml:space="preserve">2-s2.0-85072143238</t>
  </si>
  <si>
    <t xml:space="preserve">Iqbal N.; Islam M.</t>
  </si>
  <si>
    <t xml:space="preserve">Iqbal, Naiyar (57210898283); Islam, Mohammad (57263730600)</t>
  </si>
  <si>
    <t xml:space="preserve">57210898283; 57263730600</t>
  </si>
  <si>
    <t xml:space="preserve">Machine learning for dengue outbreak prediction: A performance evaluation of different prominent classifiers</t>
  </si>
  <si>
    <t xml:space="preserve">Dengue disease patients are increasing rapidly and actually dengue has recorded in every continent today according to the World Health Organization (WHO) record. By WHO report the number of dengue outbreak cases announced every year has expanded from 0.4 to 1.3 million during the period of 1996 to 2005 and then it has reached to 2.2 to 3.2 million during the year of 2010 to 2015 respectively. Consequently, it is fundamental to have a structure that can adequately perceive the pervasiveness of dengue outbreak in a large number of specimens momentarily. At this critical moment, the capability of seven prominent machine learning systems was assessed for the forecast of the dengue outbreak. These methods are evaluated by eight miscellaneous performance parameters. LogitBoost ensemble model is reported as the topmost classification accuracy of 92% with sensitivity and specificity of 90 and 94 % respectively. © 2019 Slovene Society Informatika. All rights reserved.</t>
  </si>
  <si>
    <t xml:space="preserve">Informatica (Slovenia)</t>
  </si>
  <si>
    <t xml:space="preserve">Slovene Society Informatika</t>
  </si>
  <si>
    <t xml:space="preserve">10.31449/inf.v43i1.1548</t>
  </si>
  <si>
    <t xml:space="preserve">https://www.scopus.com/inward/record.uri?eid=2-s2.0-85077159756&amp;doi=10.31449%2finf.v43i1.1548&amp;partnerID=40&amp;md5=485b21e37d28ffa231281c63cc6941b6</t>
  </si>
  <si>
    <t xml:space="preserve">Department of Computer Science and Information Technology, Maulana Azad National Urdu University, Hyderabad, Telangana, India</t>
  </si>
  <si>
    <t xml:space="preserve">Iqbal N., Department of Computer Science and Information Technology, Maulana Azad National Urdu University, Hyderabad, Telangana, India; Islam M., Department of Computer Science and Information Technology, Maulana Azad National Urdu University, Hyderabad, Telangana, India</t>
  </si>
  <si>
    <t xml:space="preserve">Classification; Clinical symptoms; Dengue fever; Ensemble classifier; Machine learning</t>
  </si>
  <si>
    <t xml:space="preserve">Classification (of information); Learning systems; Classification accuracy; Clinical symptoms; Dengue fevers; Ensemble classifiers; Ensemble modeling; Performance parameters; Sensitivity and specificity; World Health Organization; Machine learning</t>
  </si>
  <si>
    <t xml:space="preserve">Althouse B.M., Ng Y.Y., Cummings D.A., Prediction of dengue incidence using search query surveillance, PLoS Negl Trop Dis, 5, 8, (2011); Arunachalam N., Tana S., Espino F., Kittayapong P., Abeyewickrem W., Wai K.T., Petzold M., Eco-bio-social determinants of dengue vector breeding: A multicountry study in urban and periurban Asia, Bulletin of the World Health Organization, 88, 3, pp. 173-184, (2010); Brasier A.R., Ju H., Garcia J., Spratt H.M., Victor S.S., Forshey B.M., Rocha C., A three-component biomarker panel for prediction of dengue hemorrhagic fever, The American Journal of Tropical Medicine and Hygiene, 86, 2, pp. 341-348, (2012); Chadwick D., Arch B., Wilder-Smith A., Paton N., Distinguishing dengue fever from other infections on the basis of simple clinical and laboratory features: Application of logistic regression analysis, Journal of Clinical Virology, 35, 2, pp. 147-153, (2006); Fathima A.S., Manimeglai D., Analysis of significant factors for dengue infection prognosis using the random forest classifier, Analysis, 6, 2, (2015); Fathima A., Manimegalai D., Predictive analysis for the arbovirus-dengue using SVM classification, International Journal of Engineering and Technology, 2, 3, pp. 521-527, (2012); Gibbons R.V., Vaughn D.W., Dengue: An escalating problem, BMJ: British Medical Journal, 324, 7353, (2002); Horstick O., Farrar J., Lum L., Martinez E., San Martin J.L., Ehrenberg J., Kroeger A., Reviewing the development, evidence base, and application of the revised dengue case classification, Pathogens and Global Health, 106, 2, pp. 94-101, (2012); Ibrahim F., Taib M.N., Abas W.A.B.W., Guan C.C., Sulaiman S., A novel dengue fever (DF) and dengue haemorrhagic fever (DHF) analysis using artificial neural network (ANN), Computer Methods and Programs in Biomedicine, 79, 3, pp. 273-281, (2005); Iqbal N., Islam M., Machine learning for Dengue outbreak prediction: An outlook, International Journal of Advanced Research in Computer Science, 8, 1, pp. 93-102, (2017); Kumar M.N., Alternating Decision Trees for Early Diagnosis of Dengue Fever, (2013); Nandini V., Sriranjitha R., Yazhini T.P., Dengue detection and prediction System using data mining with Frequency analysis, Computer Science &amp; Information Technology, (2016); Rachata N., Charoenkwan P., Yooyativong T., Chamnongthal K., Lursinsap C., Higuchi K., Automatic prediction system of dengue haemorrhagic-fever outbreak risk by using entropy and artificial neural network, Communications and Information Technologies, 2008. ISCIT 2008. International Symposium on, pp. 210-214, (2008); Raza K., Improving the prediction accuracy of heart disease with ensemble learning and majority voting rule, U-Healthcare Monitoring Systems, pp. 179-196, (2019); Santamaria R., Martinez E., Kratochwill S., Soria C., Tan L.H., Nunez A., Castelobranco I., Comparison and critical appraisal of dengue clinical guidelines and their use in Asia and Latin America, International Health, 1, 2, pp. 133-140, (2009); Shakil K.A., Anis S., Alam M., Dengue Disease Prediction Using Weka Data Mining Tool, (2015); Shaukat K., Masood N., Mehreen S., Azmeen U., Dengue fever prediction: A data mining problem, Journal of Data Mining in Genomics &amp; Proteomics, (2015); Souza L.J.D., Nogueira R.M.R., Soares L.C., Soares C.E.C., Ribas B.F., Alves F.P., Pessanha F.E.B., The impact of dengue on liver function as evaluated by aminotransferase levels, Brazilian Journal of Infectious Diseases, 11, 4, pp. 407-410, (2007); Stany Leena Princy S., Muruganandam A., An implementation of dengue fever disease spread using informatica tool with special reference to Dharmapuri district, International Journal of Innovative Research in Computer and Communication Engineering, 4, 9, (2016); Tanner L., Schreiber M., Low J.G., Ong A., Tolfvenstam T., Lai Y.L., Simmons C.P., Decision tree algorithms predict the diagnosis and outcome of dengue fever in the early phase of illness, PLoS Negl Trop Dis, 2, 3, (2008); Wolpert D.H., Macready W.G., No free lunch theorems for optimization, IEEE Transactions on Evolutionary Computation, 1, 1, pp. 67-82, (1997)</t>
  </si>
  <si>
    <t xml:space="preserve">INFOF</t>
  </si>
  <si>
    <t xml:space="preserve">Informatica</t>
  </si>
  <si>
    <t xml:space="preserve">2-s2.0-85077159756</t>
  </si>
  <si>
    <t xml:space="preserve">Eneanya O.A.; Fronterre C.; Anagbogu I.; Okoronkwo C.; Garske T.; Cano J.; Donnelly C.A.</t>
  </si>
  <si>
    <t xml:space="preserve">Eneanya, Obiora A. (57203910368); Fronterre, Claudio (57202786323); Anagbogu, Ifeoma (26634784400); Okoronkwo, Chukwu (23482129400); Garske, Tini (15135817600); Cano, Jorge (7201865982); Donnelly, Christl A. (35468127900)</t>
  </si>
  <si>
    <t xml:space="preserve">57203910368; 57202786323; 26634784400; 23482129400; 15135817600; 7201865982; 35468127900</t>
  </si>
  <si>
    <t xml:space="preserve">Mapping the baseline prevalence of lymphatic filariasis across Nigeria</t>
  </si>
  <si>
    <t xml:space="preserve">Introduction: The baseline endemicity profile of lymphatic filariasis (LF) is a key benchmark for planning control programmes, monitoring their impact on transmission and assessing the feasibility of achieving elimination. Presented in this work is the modelled serological and parasitological prevalence of LF prior to the scale-up of mass drug administration (MDA) in Nigeria using a machine learning based approach. Methods: LF prevalence data generated by the Nigeria Lymphatic Filariasis Control Programme during country-wide mapping surveys conducted between 2000 and 2013 were used to build the models. The dataset comprised of 1103 community-level surveys based on the detection of filarial antigenemia using rapid immunochromatographic card tests (ICT) and 184 prevalence surveys testing for the presence of microfilaria (Mf) in blood. Using a suite of climate and environmental continuous gridded variables and compiled site-level prevalence data, a quantile regression forest (QRF) model was fitted for both antigenemia and microfilaraemia LF prevalence. Model predictions were projected across a continuous 5 × 5 km gridded map of Nigeria. The number of individuals potentially infected by LF prior to MDA interventions was subsequently estimated. Results: Maps presented predict a heterogeneous distribution of LF antigenemia and microfilaraemia in Nigeria. The North-Central, North-West, and South-East regions displayed the highest predicted LF seroprevalence, whereas predicted Mf prevalence was highest in the southern regions. Overall, 8.7 million and 3.3 million infections were predicted for ICT and Mf, respectively. Conclusions: QRF is a machine learning-based algorithm capable of handling high-dimensional data and fitting complex relationships between response and predictor variables. Our models provide a benchmark through which the progress of ongoing LF control efforts can be monitored. © 2019 The Author(s).</t>
  </si>
  <si>
    <t xml:space="preserve">10.1186/s13071-019-3682-6</t>
  </si>
  <si>
    <t xml:space="preserve">https://www.scopus.com/inward/record.uri?eid=2-s2.0-85072218798&amp;doi=10.1186%2fs13071-019-3682-6&amp;partnerID=40&amp;md5=848df2f29f6c9793ebe9819b443263b1</t>
  </si>
  <si>
    <t xml:space="preserve">MRC Centre for Global Infectious Disease Analysis, Department of Infectious Disease Epidemiology, Imperial College London, London, United Kingdom; Faculty of Infectious and Tropical Diseases, London School of Hygiene and Tropical Medicine, London, United Kingdom; Federal Ministry of Health, Abuja, Nigeria; Department of Statistics, University of Oxford, Oxford, United Kingdom</t>
  </si>
  <si>
    <t xml:space="preserve">Eneanya O.A., MRC Centre for Global Infectious Disease Analysis, Department of Infectious Disease Epidemiology, Imperial College London, London, United Kingdom; Fronterre C., Faculty of Infectious and Tropical Diseases, London School of Hygiene and Tropical Medicine, London, United Kingdom; Anagbogu I., Federal Ministry of Health, Abuja, Nigeria; Okoronkwo C., Federal Ministry of Health, Abuja, Nigeria; Garske T., MRC Centre for Global Infectious Disease Analysis, Department of Infectious Disease Epidemiology, Imperial College London, London, United Kingdom; Cano J., Faculty of Infectious and Tropical Diseases, London School of Hygiene and Tropical Medicine, London, United Kingdom; Donnelly C.A., MRC Centre for Global Infectious Disease Analysis, Department of Infectious Disease Epidemiology, Imperial College London, London, United Kingdom, Department of Statistics, University of Oxford, Oxford, United Kingdom</t>
  </si>
  <si>
    <t xml:space="preserve">Antigenaemia; Lymphatic filariasis; Machine learning; Microfilaraemia</t>
  </si>
  <si>
    <t xml:space="preserve">Adolescent; Adult; Aged; Aged, 80 and over; Elephantiasis, Filarial; Epidemiologic Methods; Female; Humans; Immunoassay; Machine Learning; Male; Middle Aged; Nigeria; Parasitology; Prevalence; Topography, Medical; Young Adult; antifilarial agent; parasite antigen; Article; blood examination; climate; community care; disease surveillance; environmental factor; epidemiological data; geographic distribution; human; immunoaffinity chromatography; learning algorithm; lymphatic filariasis; machine learning; major clinical study; mass drug administration; Microfilaria; Nigeria; nonhuman; parasite control; parasitology; prediction; prevalence; preventive medicine; regression analysis; serology; statistical model; adolescent; adult; aged; female; immunoassay; lymphatic filariasis; male; middle aged; prevalence; topography; very elderly; young adult</t>
  </si>
  <si>
    <t xml:space="preserve">Medical Research Council, MRC, (MR/R015600/1)</t>
  </si>
  <si>
    <t xml:space="preserve">Neglected Tropical Diseases Nigeria Multi-Year Master Plan 2015-2020, (2016); Expanded Special Project for Elimination of Neglected Tropical Diseases W-A. ESPEN-NTD Portal Brazzaville, (2017); Michael E., Malecela-Lazaro M.N., Kabali C., Snow L.C., Kazura J.W., Mathematical models and lymphatic filariasis control: Endpoints and optimal interventions, Trends Parasitol., 22, pp. 226-233, (2006); Monitoring and Epidemiological Assessment of Mass Drug Administration for the Global Programme to Eliminate Lymphatic Filariasis (GPELF). A Manual for National Elimination Programmes WHO/HTM/NTD/PCT/2011.4, (2011); Weil G.J., Lammie P.J., Weiss N., The ICT filariasis test: A rapid-format antigen test for diagnosis of bancroftian filariasis, Parasitol Today., 13, pp. 401-404, (1997); Weil G.J., Ramzy R.M.R., Diagnostic tools for filariasis elimination programs, Trends Parasitol., 23, pp. 78-82, (2007); Gyapong J.O., Remme J.H.F., The use of grid sampling methodology for rapid assessment of the distribution of bancroftian filariasis, Trans Roy Soc Trop Med Hyg., 95, pp. 681-686, (2001); Operational Guidelines for Rapid Mapping of Bancroftian Filariasis in Africa (WHO/CDS/CPE/CEE/2000.9), (2000); O'Hanlon S.J., Slater H.C., Cheke R.A., Boatin B.A., Coffeng L.E., Pion S.D.S., Et al., Model-based geostatistical mapping of the prevalence of Onchocerca volvulus in West Africa, PLoS Negl Trop Dis., 10, (2016); Slater H., Michael E., Mapping, Bayesian geostatistical analysis and spatial prediction of lymphatic filariasis prevalence in Africa, PloS One., 8, (2013); Moraga P., Cano J., Baggaley R.F., Gyapong J.O., Njenga S.M., Nikolay B., Et al., Modelling the distribution and transmission intensity of lymphatic filariasis in sub-Saharan Africa prior to scaling up interventions: Integrated use of geostatistical and mathematical modelling, Parasit Vectors., 8, pp. 221-237, (2015); Adigun A.B., Gajere E.N., Oresanya O., Penelope V., Malaria risk in Nigeria: Bayesian geostatistical modelling of 2010 malaria indicator survey data, Malar J., 14, pp. 77-85, (2015); Ekpo U.F., Hurlimann E., Schur N., Oluwole A.S., Abe E.M., Mafe M.A., Et al., Mapping and prediction of schistosomiasis in Nigeria using compiled survey data and Bayesian geospatial modelling, Geospatial Health., 7, pp. 355-366, (2013); Deribe K., Cano J., Newport M.J., Golding N., Pullan R.L., Sime H., Et al., Mapping and modelling the geographical distribution and environmental limits of podoconiosis in Ethiopia, PLoS Negl Trop Dis., 9, (2015); Deribe K., Cano J., Giorgi E., Pigott D., Golding N., Pullan R., Et al., Estimating the Number of Cases of Podoconiosis in Ethiopia Using Geostatistical Methods Wellcome Open Res., 2, (2017); Carsten F.D., Jana M.M., Miguel B.A., Roger B., Janine B., Gudrun C., Et al., Methods to account for spatial autocorrelation in the analysis of species distributional data: A review, Ecography., 30, pp. 609-628, (2007); Lunn D.J., Thomas A., Best N., Spiegelhalter D., WinBUGS - A Bayesian modelling framework: Concepts, structure, and extensibility, Stat Comput., 10, pp. 325-337, (2000); Diggle P.J., Tawn J.A., Moyeed R.A., Model-based geostatistics, J R Stat Soc ser C, 47, pp. 299-350, (1998); Paterson S., Lello J., Mixed models: Getting the best use of parasitological data, Trends Parasitol., 19, pp. 370-375, (2003); Raso G., Matthys B., N'Goran E.K., Tanner M., Vounatsou P., Utzinger J., Spatial risk prediction and mapping of Schistosoma mansoni infections among schoolchildren living in western Côte d'Ivoire, Parasitology., 131, pp. 97-108, (2005); Clements A.C., Lwambo N., Blair L., Nyandindi U., Kaatano G., Kinung'Hi S., Et al., Bayesian spatial analysis and disease mapping: Tools to enhance planning and implementation of a schistosomiasis control programme in Tanzania, Trop Med Int Health., 11, pp. 490-503, (2006); Kleinschmidt I., Bagayoko M., Clarke G.P.Y., Craig M., Le Sueur D., A spatial statistical approach to malaria mapping, Int J Epidemiol., 29, pp. 355-361, (2000); Cade B.S., Noon B.R., A gentle introduction to quantile regression for ecologists, Front Ecol Environ., 1, pp. 412-420, (2003); Singh A., Thakur N., Sharma A., A review of supervised machine learning algorithms, 3rd International Conference on Computing for Sustainable Global Development (INDIACom), (2016); Dey A., Machine learning algorithms: A review, Int J Comput Sci Inf Technol., 7, pp. 1174-1179, (2016); Guo P., Liu T., Zhang Q., Wang L., Xiao J., Zhang Q., Et al., Developing a dengue forecast model using machine learning: A case study in China, PLoS Negl Trop Dis., 11, (2017); Cano J., Rebollo M.P., Golding N., Pullan R.L., Crellen T., Soler A., Et al., The global distribution and transmission limits of lymphatic filariasis: Past and present, Parasit Vectors., 7, pp. 101-121, (2014); Eneanya O.A., Cano J., Dorigatti I., Anagbogu I., Okoronkwo C., Garske T., Et al., Environmental suitability for lymphatic filariasis in Nigeria, Parasit Vectors., 11, pp. 513-526, (2018); Okorie P.N., McKenzie F.E., Ademowo O.G., Bockarie M., Kelly-Hope L., Nigeria Anopheles vector database: An overview of 100 yearsʼ research, PLoS One., 6, (2011); WorldClim. Free Climate Data for Ecological Modeling and GIS, (2017); Yates D., Gangopadhyay S., Rajagopalan B., Strzepek K., A technique for generating regional climate scenarios using a nearest-neighbor algorithm, Water Resour Res., 39, pp. 1199-1214, (2003); Meinshausen N., Quantile regression forests, J Mach Learn Res., 7, pp. 983-999, (2006); Breiman L., Random forests, Mach Learn., 45, pp. 5-32, (2001); Roy M.-H., Larocque D., Robustness of random forests for regression, J Nonparametr Stat., 24, pp. 1-14, (2012); Swatantran A., Dubayah R., Goetz S., Hofton M., Betts M.G., Sun M., Et al., Mapping migratory bird prevalence using remote sensing data fusion, PLoS One., 7, (2012); Bandreddy N., Devabhaktuni V., Alam M., Kumar A., Estimation of unmeasured radon concentrations in Ohio using quantile regression forest, ProQuest Dissertations and Thesis, (2014); Vaysse K., Lagacherie P., Using quantile regression forest to estimate uncertainty of digital soil mapping products, Geoderma., 291, pp. 55-64, (2017); Kampichler C., Sierdsema H., On the usefulness of prediction intervals for local species distribution model forecasts, Ecol Inf., 47, pp. 67-72, (2017); Liaw A., Wiener M., Classification and Regression by randomForest, R News., 2, pp. 18-22, (2002); R: A Language and Environment for Statistical Computing, (2013); Esri-ArcGIS 10.3. Geographic Information System Software, (2017); Forkuor G., Hounkpatin O.K.L., Welp G., Thiel M., High resolution mapping of soil properties using remote sensing variables in south-western Burkina Faso: A comparison of machine learning and multiple linear regression models, PLoS One., 12, (2017); Tatem A.J., WorldPop, open data for spatial demography, Sci Data., 4, (2017); Linard C., Gilbert M., Snow R.W., Noor A.M., Tatem A.J., Population distribution, settlement patterns and accessibility across Africa in 2010, PLoS One., 7, (2012); Marmion M., Parviainen M., Luoto M., Heikkinen R.K., Thuiller W., Evaluation of consensus methods in predictive species distribution modelling, Divers Distrib., 15, pp. 59-69, (2009); Irvine M.A., Njenga S.M., Gunawardena S., Njeri Wamae C., Cano J., Brooker S.J., Et al., Understanding the relationship between prevalence of microfilariae and antigenemia using a model of lymphatic filariasis infection, Tran R Soc Trop Med Hyg., 110, pp. 118-124, (2016); Cano J., Moraga P., Nikolaya B., Rebollob M.P., Okorie P.N., Davies E., Et al., An investigation of the disparity in estimates of microfilaraemia and antigenemia in lymphatic filariasis surveys, Tran R Soc Trop Med Hyg., 109, pp. 529-531, (2015); Taylor M.J., Hoerauf A., Bockarie M., Lymphatic filariasis and onchocerciasis, Lancet., 376, pp. 1175-1185, (2010); Okorie P.N., Ademowo G.O., Saka Y., Davies E., Okoronkwo C., Bockarie M.J., Et al., Lymphatic filariasis in Nigeria; Micro-stratification overlap mapping (MOM) as a prerequisite for cost-effective resource utilization in control and surveillance, PLoS Negl Trop Dis., 7, (2013); Brant T.A., Okorie P.N., Ogunmola O., Ojeyode N.B., Fatunade S.B., Davies E., Et al., Integrated risk mapping and landscape characterisation of lymphatic filariasis and loiasis in South West Nigeria, Parasit Epidemiol Control., 3, pp. 21-35, (2018); Allouche O., Tsoar A., Kadmon R., Assessing the accuracy of species distribution models: Prevalence, kappa and the true skill statistic (TSS), J Appl Ecol., 43, pp. 1223-1232, (2006); Adigun A.B., Gajere E.N., Oresanya O., Vounatsou P., Malaria risk in Nigeria: Bayesian geostatistical modelling of 2010 malaria indicator survey data, Malar J., 14, (2015); Bhatt S., Weiss D.J., Cameron E., Bisanzio D., Mappin B., Dalrymple U., Et al., The effect of malaria control on Plasmodium falciparum in Africa between 2000 and 2015, Nature, 526, pp. 207-211, (2015); Kelly-Hope L.A., Molyneux D.H., Bockarie M.J., Can malaria vector control accelerate the interruption of lymphatic filariasis transmission in Africa; Capturing a window of opportunity?, Parasit Vectors., 6, pp. 52-64, (2013); World Bank Open Data, (2018); Kaindoa E.W., Finda M., Kiplagat J., Mkandawile G., Nyoni A., Coetzee M., Et al., Housing gaps, mosquitoes and public viewpoints: A mixed methods assessment of relationships between house characteristics, malaria vector biting risk and community perspectives in rural Tanzania, Malar J., 17, pp. 298-314, (2018); Hengl T., Nussbaum M., Wright M.N., Heuvelink G.B.M., Graler B., Random forest as a generic framework for predictive modeling of spatial and spatio-temporal variables, PeerJ., 6, (2018); Two States in Nigeria Eliminate Disfiguring Parasitic Disease Lymphatic Filariasis As Public Health Problem, (2017); Irish S.R., Al-Amin H.M., Paulin H.N., Mahmood A.S.M.S., Khan R.K., Muraduzzaman A.K.M., Et al., Molecular xenomonitoring for Wuchereria bancrofti in Culex quinquefasciatus in two districts in Bangladesh supports transmission assessment survey findings, PLoS Negl Trop Dis., 12, (2018); Expanded Special Projects for Elimination of Neglected Tropical Diseases (ESPEN). Status of Lymphatic Filariasis MDA (2005-2016)-Nigeria WHO, (2018); Smith M.E., Singh B.K., Irvine M.A., Stolk W.A., Subramanian S., Hollingsworth T.D., Et al., Predicting lymphatic filariasis transmission and elimination dynamics using a multi-model ensemble framework, Epidemics., 18, pp. 16-28, (2017); Norman R.A., Chan M.S., Srividya A., Pani S.P., Ramaiah K.D., Vanamail P., Et al., EPIFIL: The development of an age-structured model for describing the transmission dynamics and control of lymphatic filariasis, Epidemiol Infect., 124, pp. 529-541, (2000); Irvine M.A., Hollingsworth T.D., Making transmission models accessible to end-users: The example of TRANSFIL, PLoS Negl Trop Dis., 11, (2017); Stolk W.A., De Vlas S.J., Borsboom G.J., Habbema J.D., LYMFASIM, a simulation model for predicting the impact of lymphatic filariasis control: Quantification for African villages, Parasitology., 135, SPECIAL ISSUE 13, pp. 1583-1598, (2008); Gyapong J.O., Webber R.H., Morris J., Bennett S., Prevalence of hydrocele as a rapid diagnostic index for lymphatic filariasis, Tran R Soc Trop Med Hyg., 92, pp. 40-43, (1998)</t>
  </si>
  <si>
    <t xml:space="preserve">O.A. Eneanya; MRC Centre for Global Infectious Disease Analysis, Department of Infectious Disease Epidemiology, Imperial College London, London, United Kingdom; email: o.eneanya13@imperial.ac.uk</t>
  </si>
  <si>
    <t xml:space="preserve">2-s2.0-85072218798</t>
  </si>
  <si>
    <t xml:space="preserve">Kiruba J.; Visalakshi R.; Vaishnavi A.; Ahalya R.; Keerthi R.</t>
  </si>
  <si>
    <t xml:space="preserve">Kiruba, J. (57200175511); Visalakshi, R. (57211220205); Vaishnavi, A. (55810605300); Ahalya, R. (57211220237); Keerthi, Ra (57211220150)</t>
  </si>
  <si>
    <t xml:space="preserve">57200175511; 57211220205; 55810605300; 57211220237; 57211220150</t>
  </si>
  <si>
    <t xml:space="preserve">Medical diagnosis using machine learning</t>
  </si>
  <si>
    <t xml:space="preserve">Machine learning is one of the fast growing aspect in current world. Machine learning (ML) and Artificial neural network (ANN) are helpful in medical diagnostic task, detection and diagnosis of various disease. The information required for diagnosis is typically gathered from a history and physical examination of the person who is in need of medical care. The aim of this paper to examine the applications of machine learning and artificial neural network in medical and data science field. In specific, we have chosen the disease dengue. This targets on dengue fever prediction, symptoms of a patient, using a data mining tool for the accurateness. Climate change is the main cause of dengue. There is a need for active input from health sector to ensure development and prevention about local and global environment. © 2019, Indian Journal of Public Health Research and Development. All right reserved.</t>
  </si>
  <si>
    <t xml:space="preserve">10.5958/0976-5506.2019.00898.2</t>
  </si>
  <si>
    <t xml:space="preserve">https://www.scopus.com/inward/record.uri?eid=2-s2.0-85073039729&amp;doi=10.5958%2f0976-5506.2019.00898.2&amp;partnerID=40&amp;md5=75f9ec8ef05eeb7609806a80fd967fdb</t>
  </si>
  <si>
    <t xml:space="preserve">Department of CSE, Karpagam College of Engineering, Coimbatore, 32, India</t>
  </si>
  <si>
    <t xml:space="preserve">Kiruba J., Department of CSE, Karpagam College of Engineering, Coimbatore, 32, India; Visalakshi R., Department of CSE, Karpagam College of Engineering, Coimbatore, 32, India; Vaishnavi A., Department of CSE, Karpagam College of Engineering, Coimbatore, 32, India; Ahalya R., Department of CSE, Karpagam College of Engineering, Coimbatore, 32, India; Keerthi R., Department of CSE, Karpagam College of Engineering, Coimbatore, 32, India</t>
  </si>
  <si>
    <t xml:space="preserve">Artificial Neural Network; Dengue; Health Sector; Machine Learning</t>
  </si>
  <si>
    <t xml:space="preserve">Article; artificial neural network; climate change; clinical feature; data base; data mining; dengue; Dengue virus; diabetes mellitus; diagnostic accuracy; diagnostic test; disease classification; disease surveillance; incidence; information processing; machine learning; malignant neoplasm; mortality; prediction; sensitivity and specificity; symptom</t>
  </si>
  <si>
    <t xml:space="preserve">Kesorn K., Ongruk P., Chompoosri J., Phumee A., Thavara U., Tawatsin A., Siriyasatien P., Morbidity Rate Prediction of Dengue Hemorrhagic Fever (DHF) Using the Support Vector Machine and the Aedesaegypti Infection Rate in Similar Climates and Geographical Areas, Plos ONE Journal, 10, 5, pp. 1-16, (2015); Thu H.M., Aye K.M., Thein S., The effect of temperature and humidity on dengue virus propagation in Aedes aegypti mosquitoes, Southeast Asian Journal of Tropical Medicine Public Health, 29, 2, pp. 280-284, (1998); Wangroongsarb Y., Dengue Control through School children in Thailand, Dengue Bulletin, 21, pp. 52-65, (1997); Kajan S., Pernechy D., Goga J., Application of Neural Network in Medical Diagostics; Rama Kalaivani E., Ramesh Mari Vendhan E., Suma N., Prediction of diabetes with hybrid prediction model using, International Journal of Engineering &amp; Technology, 7, 1-3, pp. 21-23, (2018); Whitehead S.S., Blaney J.E., Durbin A.P., Murphy B.R., Prospects for a dengue virus vaccine, Nature Publishing Group, 5, pp. 518-528, (2007)</t>
  </si>
  <si>
    <t xml:space="preserve">2-s2.0-85073039729</t>
  </si>
  <si>
    <t xml:space="preserve">Fernández-Ruiz M.; Albert E.; Giménez E.; Ruiz-Merlo T.; Parra P.; López-Medrano F.; San Juan R.; Polanco N.; Andrés A.; Navarro D.; Aguado J.M.</t>
  </si>
  <si>
    <t xml:space="preserve">Fernández-Ruiz, Mario (20734264700); Albert, Eliseo (59157657700); Giménez, Estela (55485325600); Ruiz-Merlo, Tamara (56515351300); Parra, Patricia (38661826100); López-Medrano, Francisco (56517105700); San Juan, Rafael (8340315100); Polanco, Natalia (22954132800); Andrés, Amado (57882641600); Navarro, David (7004873661); Aguado, José María (56517102500)</t>
  </si>
  <si>
    <t xml:space="preserve">20734264700; 59157657700; 55485325600; 56515351300; 38661826100; 56517105700; 8340315100; 22954132800; 57882641600; 7004873661; 56517102500</t>
  </si>
  <si>
    <t xml:space="preserve">Monitoring of alphatorquevirus DNA levels for the prediction of immunosuppression-related complications after kidney transplantation</t>
  </si>
  <si>
    <t xml:space="preserve">                             The replication kinetics of nonpathogenic anelloviruses belonging to the Alphatorquevirus genus (such as torque teno virus) might reflect the overall state of posttransplant immunosuppression. We analyzed 221 kidney transplant (KT) recipients in whom plasma alphatorquevirus DNA load was quantified by real-time polymerase chain reaction at baseline and regularly through the first 12 posttransplant months. Study outcomes included posttransplant infection and a composite of opportunistic infection and/or de novo malignancy (immunosuppression-related adverse event [iRAE]). Alphatorquevirus DNA loads at month 1 were higher among patients who subsequently developed posttransplant infection (P =.023) or iRAE (P =.009). Likewise, those with iRAE beyond months 3 and 6 also exhibited higher peak viral loads over the preceding periods. Areas under the curve for log                             10                              alphatorquevirus DNAemia estimated by months 1 or 6 were significantly higher in patients experiencing study outcomes. Alphatorquevirus DNA loads above 3.15 and 4.56 log                             10                              copies/mL at month 1 predicted the occurrence of posttransplant infection (adjusted hazard ratio [aHR]: 2.88; 95% confidence interval [CI]: 1.13-7.36; P =.027) and iRAE (aHR: 5.17; 95% CI: 2.01-13.33; P =.001). In conclusion, posttransplant monitoring of plasma alphatorquevirus DNA kinetics may be useful to identify KT recipients at increased risk of immunosuppression-related complications.                          © 2018 The American Society of Transplantation and the American Society of Transplant Surgeons</t>
  </si>
  <si>
    <t xml:space="preserve">American Journal of Transplantation</t>
  </si>
  <si>
    <t xml:space="preserve">10.1111/ajt.15145</t>
  </si>
  <si>
    <t xml:space="preserve">https://www.scopus.com/inward/record.uri?eid=2-s2.0-85056329945&amp;doi=10.1111%2fajt.15145&amp;partnerID=40&amp;md5=1256686b034058302dae0dd492d262c1</t>
  </si>
  <si>
    <t xml:space="preserve">Unit of Infectious Diseases, Hospital Universitario “12 de Octubre,” Instituto de Investigación Sanitaria Hospital “12 de Octubre” (imas12), School of Medicine, Universidad Complutense, Madrid, Spain; Spanish Network for Research in Infectious Diseases (REIPI RD16/0016), Instituto de Salud Carlos III, Madrid, Spain; Microbiology Service, Hospital Clínico Universitario, Instituto de Investigación Sanitaria INCLIVA, Valencia, Spain; Department of Nephrology, Hospital Universitario “12 de Octubre”, Instituto de Investigación Sanitaria Hospital “12 de Octubre” (imas12), School of Medicine, Universidad Complutense, Madrid, Spain; Department of Microbiology, School of Medicine, University of Valencia, Valencia, Spain</t>
  </si>
  <si>
    <t xml:space="preserve">Fernández-Ruiz M., Unit of Infectious Diseases, Hospital Universitario “12 de Octubre,” Instituto de Investigación Sanitaria Hospital “12 de Octubre” (imas12), School of Medicine, Universidad Complutense, Madrid, Spain, Spanish Network for Research in Infectious Diseases (REIPI RD16/0016), Instituto de Salud Carlos III, Madrid, Spain; Albert E., Microbiology Service, Hospital Clínico Universitario, Instituto de Investigación Sanitaria INCLIVA, Valencia, Spain; Giménez E., Microbiology Service, Hospital Clínico Universitario, Instituto de Investigación Sanitaria INCLIVA, Valencia, Spain; Ruiz-Merlo T., Unit of Infectious Diseases, Hospital Universitario “12 de Octubre,” Instituto de Investigación Sanitaria Hospital “12 de Octubre” (imas12), School of Medicine, Universidad Complutense, Madrid, Spain, Spanish Network for Research in Infectious Diseases (REIPI RD16/0016), Instituto de Salud Carlos III, Madrid, Spain; Parra P., Unit of Infectious Diseases, Hospital Universitario “12 de Octubre,” Instituto de Investigación Sanitaria Hospital “12 de Octubre” (imas12), School of Medicine, Universidad Complutense, Madrid, Spain, Spanish Network for Research in Infectious Diseases (REIPI RD16/0016), Instituto de Salud Carlos III, Madrid, Spain; López-Medrano F., Unit of Infectious Diseases, Hospital Universitario “12 de Octubre,” Instituto de Investigación Sanitaria Hospital “12 de Octubre” (imas12), School of Medicine, Universidad Complutense, Madrid, Spain, Spanish Network for Research in Infectious Diseases (REIPI RD16/0016), Instituto de Salud Carlos III, Madrid, Spain; San Juan R., Unit of Infectious Diseases, Hospital Universitario “12 de Octubre,” Instituto de Investigación Sanitaria Hospital “12 de Octubre” (imas12), School of Medicine, Universidad Complutense, Madrid, Spain, Spanish Network for Research in Infectious Diseases (REIPI RD16/0016), Instituto de Salud Carlos III, Madrid, Spain; Polanco N., Department of Nephrology, Hospital Universitario “12 de Octubre”, Instituto de Investigación Sanitaria Hospital “12 de Octubre” (imas12), School of Medicine, Universidad Complutense, Madrid, Spain; Andrés A., Department of Nephrology, Hospital Universitario “12 de Octubre”, Instituto de Investigación Sanitaria Hospital “12 de Octubre” (imas12), School of Medicine, Universidad Complutense, Madrid, Spain; Navarro D., Microbiology Service, Hospital Clínico Universitario, Instituto de Investigación Sanitaria INCLIVA, Valencia, Spain, Department of Microbiology, School of Medicine, University of Valencia, Valencia, Spain; Aguado J.M., Unit of Infectious Diseases, Hospital Universitario “12 de Octubre,” Instituto de Investigación Sanitaria Hospital “12 de Octubre” (imas12), School of Medicine, Universidad Complutense, Madrid, Spain, Spanish Network for Research in Infectious Diseases (REIPI RD16/0016), Instituto de Salud Carlos III, Madrid, Spain</t>
  </si>
  <si>
    <t xml:space="preserve">biomarker; clinical research/practice; complication: infectious; complication: malignant; infection and infectious agents; infection and infectious agents – viral; infectious disease; kidney transplantation/nephrology</t>
  </si>
  <si>
    <t xml:space="preserve">Adult; Aged; Anelloviridae; DNA, Viral; Female; Humans; Immunosuppressive Agents; Kidney Transplantation; Male; Middle Aged; Prospective Studies; azathioprine; basiliximab; DNA; mycophenolate mofetil; mycophenolic acid; steroid; tacrolimus; thymocyte antibody; immunosuppressive agent; virus DNA; acute graft rejection; adult; Alphatorquevirus; Article; body mass; cohort analysis; colitis; comparative study; controlled study; cryptococcosis; cytomegalovirus infection; delayed graft function; female; follow up; herpes zoster; human; invasive aspergillosis; kidney artery stenosis; kidney transplantation; limit of quantitation; major clinical study; male; middle aged; mucormycosis; nocardiosis; non melanoma skin cancer; nucleic acid amplification; observational study; opportunistic infection; polymerase chain reaction; postoperative complication; prediction; priority journal; prospective study; real time polymerase chain reaction; treatment duration; treatment outcome; virus load; visceral leishmaniasis; aged; Anelloviridae; genetics; metabolism</t>
  </si>
  <si>
    <t xml:space="preserve">azathioprine, 446-86-6; DNA, 9007-49-2; mycophenolate mofetil, 116680-01-4, 128794-94-5; mycophenolic acid, 23047-11-2, 24280-93-1; tacrolimus, 104987-11-3; DNA, Viral, ; Immunosuppressive Agents, </t>
  </si>
  <si>
    <t xml:space="preserve">Plan Nacional de I+D+I; Spanish Network for Research in Infectious Diseases, (REIPI RD16/0016); Ministerio de Economía y Competitividad, MINECO; Instituto de Salud Carlos III, ISCIII, (13/00045, 15/01953); Instituto de Salud Carlos III, ISCIII; European Regional Development Fund, ERDF, (JR14/00036); European Regional Development Fund, ERDF</t>
  </si>
  <si>
    <t xml:space="preserve">The authors thank bioMérieux for kindly providing the reagents for the measurement of alphatorquevirus DNA load (DNA extraction system and real‐time PCR assay) free of charge. This research was supported by “Plan Nacional de I+D+I” and Instituto de Salud Carlos III (Fondo de Investigaciones Sanitarias [FIS] 15/01953 and Proyecto Integrado de Excelencia [PIE] 13/00045), SubdirecciD? Gneneral de Redes y Centros de InvestigaciD? Cnooperativa, Spanish Ministry of Economy and Competitiveness, Spanish Network for Research in Infectious Diseases (REIPI RD16/0016) co‐financed by the European Development Regional Fund (EDRF) “A way to achieve Europe.” M.F.R. has held a clinical research contract “Juan Rodés” (JR14/00036) from the Instituto de Salud Carlos III, Spanish Ministry of Economy and Competitiveness.</t>
  </si>
  <si>
    <t xml:space="preserve">Wolfe R.A., Ashby V.B., Milford E.L., Et al., Comparison of mortality in all patients on dialysis, patients on dialysis awaiting transplantation, and recipients of a first cadaveric transplant, N Engl J Med, 341, pp. 1725-1730, (1999); Wavamunno M.D., Chapman J.R., Individualization of immunosuppression: concepts and rationale, Curr Opin Organ Transplant, 13, pp. 604-608, (2008); Kuypers D.R., Le Meur Y., Cantarovich M., Et al., Consensus report on therapeutic drug monitoring of mycophenolic acid in solid organ transplantation, Clin J Am Soc Nephrol, 5, pp. 341-358, (2010); Fernandez-Ruiz M., Kumar D., Humar A., Clinical immune-monitoring strategies for predicting infection risk in solid organ transplantation, Clin Transl Immunology, 3, (2014); De Vlaminck I., Khush K.K., Strehl C., Et al., Temporal response of the human virome to immunosuppression and antiviral therapy, Cell, 155, pp. 1178-1187, (2013); Focosi D., Antonelli G., Pistello M., Maggi F., Torquetenovirus: the human virome from bench to bedside, Clin Microbiol Infect, 22, pp. 589-593, (2016); Nishizawa T., Okamoto H., Konishi K., Yoshizawa H., Miyakawa Y., Mayumi M., A novel DNA virus (TTV) associated with elevated transaminase levels in posttransfusion hepatitis of unknown etiology, Biochem Biophys Res Commun, 241, pp. 92-97, (1997); Okamoto H., History of discoveries and pathogenicity of TT viruses, Curr Top Microbiol Immunol, 331, pp. 1-20, (2009); Haloschan M., Bettesch R., Gorzer I., Weseslindtner L., Kundi M., Puchhammer-Stockl E., TTV DNA plasma load and its association with age, gender, and HCMV IgG serostatus in healthy adults, Age (Dordr), 36, (2014); Maggi F., Pistello M., Vatteroni M., Et al., Dynamics of persistent TT virus infection, as determined in patients treated with alpha interferon for concomitant hepatitis C virus infection, J Virol, 75, pp. 11999-12004, (2001); Tyagi A.K., Pradier A., Baumer O., Et al., Validation of SYBR Green based quantification assay for the detection of human Torque Teno virus titers from plasma, Virol J, 10, (2013); Wolff C., Diekmann A., Boomgaarden M., Korner M.M., Kleesiek K., Viremia and excretion of TT virus in immunosuppressed heart transplant recipients and in immunocompetent individuals, Transplantation, 69, pp. 351-356, (2000); Beland K., Dore-Nguyen M., Gagne M.J., Et al., Torque Teno virus in children who underwent orthotopic liver transplantation: new insights about a common pathogen, J Infect Dis, 209, pp. 247-254, (2014); Focosi D., Macera L., Pistello M., Maggi F., Torque Teno virus viremia correlates with intensity of maintenance immunosuppression in adult orthotopic liver transplant, J Infect Dis, 210, pp. 667-668, (2014); Gorzer I., Jaksch P., Kundi M., Seitz T., Klepetko W., Puchhammer-Stockl E., Pretransplant plasma Torque Teno virus load and increase dynamics after lung transplantation, PLoS ONE, 10, (2015); Kanda Y., Tanaka Y., Kami M., Et al., TT virus in bone marrow transplant recipients, Blood, 93, pp. 2485-2490, (1999); Focosi D., Maggi F., Albani M., Et al., Torquetenovirus viremia kinetics after autologous stem cell transplantation are predictable and may serve as a surrogate marker of functional immune reconstitution, J Clin Virol, 47, pp. 189-192, (2010); Albert E., Solano C., Pascual T., Et al., Dynamics of Torque Teno virus plasma DNAemia in allogeneic stem cell transplant recipients, J Clin Virol, 94, pp. 22-28, (2017); Albert E., Solano C., Gimenez E., Et al., The kinetics of torque teno virus plasma DNA load shortly after engraftment predicts the risk of high-level CMV DNAemia in allogeneic hematopoietic stem cell transplant recipients, Bone Marrow Transplant, 53, pp. 180-187, (2018); Shibayama T., Masuda G., Ajisawa A., Et al., Inverse relationship between the titre of TT virus DNA and the CD4 cell count in patients infected with HIV, AIDS, 15, pp. 563-570, (2001); Madsen C.D., Eugen-Olsen J., Kirk O., Et al., TTV viral load as a marker for immune reconstitution after initiation of HAART in HIV-infected patients, HIV Clin Trials, 3, pp. 287-295, (2002); Simonetta F., Pradier A., Masouridi-Levrat S., Et al., Torque Teno virus load and acute rejection after orthotopic liver transplantation, Transplantation, 101, pp. e219-e221, (2017); Schiemann M., Puchhammer-Stockl E., Eskandary F., Et al., Torque Teno virus load-inverse association with antibody-mediated rejection after kidney transplantation, Transplantation, 101, pp. 360-367, (2017); Gorzer I., Jaksch P., Strassl R., Klepetko W., Puchhammer-Stockl E., Association between plasma Torque teno virus level and chronic lung allograft dysfunction after lung transplantation, J Heart Lung Transplant, 36, pp. 366-368, (2017); Gorzer I., Haloschan M., Jaksch P., Klepetko W., Puchhammer-Stockl E., Plasma DNA levels of Torque teno virus and immunosuppression after lung transplantation, J Heart Lung Transplant, 33, pp. 320-323, (2014); San-Juan R., De Dios B., Navarro D., Et al., Epstein-Barr virus DNAemia is an early surrogate marker of the net state of immunosuppression in solid organ transplant recipients, Transplantation, 95, pp. 688-693, (2013); Maggi F., Pifferi M., Fornai C., Et al., TT virus in the nasal secretions of children with acute respiratory diseases: relations to viremia and disease severity, J Virol, 77, pp. 2418-2425, (2003); Kulifaj D., Durgueil-Lariviere B., Meynier F., Et al., Development of a standardized real time PCR for Torque teno viruses (TTV) viral load detection and quantification: a new tool for immune monitoring, J Clin Virol, 105, pp. 118-127, (2018); Fernandez-Ruiz M., Kumar D., Husain S., Et al., Utility of a monitoring strategy for human herpesviruses 6 and 7 viremia after liver transplantation: a randomized clinical trial, Transplantation, 99, pp. 106-113, (2015); Hirsch H.H., Randhawa P., BK polyomavirus in solid organ transplantation, Am J Transplant, 13, pp. 179-188, (2013); Ljungman P., Boeckh M., Hirsch H.H., Et al., Definitions of cytomegalovirus infection and disease in transplant patients for use in clinical trials, Clin Infect Dis, 64, pp. 87-91, (2017); De Pauw B., Walsh T.J., Donnelly J.P., Et al., Revised definitions of invasive fungal disease from the European Organization for Research and Treatment of Cancer/Invasive Fungal Infections Cooperative Group and the National Institute of Allergy and Infectious Diseases Mycoses Study Group (EORTC/MSG) Consensus Group, Clin Infect Dis, 46, pp. 1813-1821, (2008); Youden W.J., Index for rating diagnostic tests, Cancer, 3, pp. 32-35, (1950); Gimenez E., Solano C., Vinuesa V., Et al., Cytomegalovirus DNAemia burden and mortality following allogeneic hematopoietic stem cell transplantation: an area under a curve-based investigational approach, Clin Infect Dis, 67, pp. 805-807, (2018); Emery V.C., Cope A.V., Bowen E.F., Gor D., Griffiths P.D., The dynamics of human cytomegalovirus replication in vivo, J Exp Med, 190, pp. 177-182, (1999); Focosi D., Macera L., Boggi U., Nelli L.C., Maggi F., Short-term kinetics of torque teno virus viraemia after induction immunosuppression confirm T lymphocytes as the main replication-competent cells, J Gen Virol, 96, pp. 115-117, (2015); Biagini P., Gallian P., Touinssi M., Et al., High prevalence of TT virus infection in French blood donors revealed by the use of three PCR systems, Transfusion, 40, pp. 590-595, (2000); Salakova M., Nemecek V., Konig J., Tachezy R., Age-specific prevalence, transmission and phylogeny of TT virus in the Czech Republic, BMC Infect Dis, 4, (2004); Garcia-Alvarez M., Berenguer J., Alvarez E., Et al., Association of torque teno virus (TTV) and torque teno mini virus (TTMV) with liver disease among patients coinfected with human immunodeficiency virus and hepatitis C virus, Eur J Clin Microbiol Infect Dis, 32, pp. 289-297, (2013); Pifferi M., Maggi F., Caramella D., Et al., High torquetenovirus loads are correlated with bronchiectasis and peripheral airflow limitation in children, Pediatr Infect Dis J, 25, pp. 804-808, (2006); Bando M., Nakayama M., Takahashi M., Et al., Serum torque teno virus DNA titer in idiopathic pulmonary fibrosis patients with acute respiratory worsening, Intern Med, 54, pp. 1015-1019, (2015); Tu W., Rao S., Mechanisms underlying T cell immunosenescence: aging and cytomegalovirus infection, Front Microbiol, 7, (2016); Crepin T., Carron C., Roubiou C., Et al., ATG-induced accelerated immune senescence: clinical implications in renal transplant recipients, Am J Transplant, 15, pp. 1028-1038, (2015); Norden R., Magnusson J., Lundin A., Et al., Quantification of Torque Teno virus and Epstein-Barr virus is of limited value for predicting the net state of immunosuppression after lung transplantation, Open Forum Infect Dis, 5, (2018)</t>
  </si>
  <si>
    <t xml:space="preserve">M. Fernández-Ruiz; Unit of Infectious Diseases, Hospital Universitario “12 de Octubre,” Instituto de Investigación Sanitaria Hospital “12 de Octubre” (imas12), School of Medicine, Universidad Complutense, Madrid, Spain; email: mario_fdezruiz@yahoo.es</t>
  </si>
  <si>
    <t xml:space="preserve">AJTMB</t>
  </si>
  <si>
    <t xml:space="preserve">Am. J. Transplant.</t>
  </si>
  <si>
    <t xml:space="preserve">2-s2.0-85056329945</t>
  </si>
  <si>
    <t xml:space="preserve">Pandey M.K.; Subbiah K.</t>
  </si>
  <si>
    <t xml:space="preserve">Pandey, Manish Kumar (57212154057); Subbiah, Karthikeyan (55763046400)</t>
  </si>
  <si>
    <t xml:space="preserve">57212154057; 55763046400</t>
  </si>
  <si>
    <t xml:space="preserve">Performance analysis of time series forecasting using machine learning algorithms for prediction of ebola casualties</t>
  </si>
  <si>
    <t xml:space="preserve">There is an immense concern on our vigilance for controlling the spread of pandemics such as Ebola, Zika, and H1N1 etc. through state of art technology. The dynamics become very complex of epidemics in sweeping population. Efficient descriptive, predictive, preventive and prescriptive analyses on the huge data generated by SMAC are very crucial for valuable arrangement and associated responsive tactics. In this paper, we have proposed the use of machine learning techniques for performance evaluation of time series forecasting of Ebola casualties. By experimenting without lag creation, we achieved the best results in the MAE of 7.85%, RMSE value of 61.14%, and Direction Accuracy of 85.99% with Random Tree Classifier. Thus we can conclude that by using these models for forecasting epidemic spread and developing public health policies leads the health authorities to ensure the appropriate actions for the control of the outbreak. © Springer Nature Singapore Pte Ltd. 2018.</t>
  </si>
  <si>
    <t xml:space="preserve">Springer Verlag</t>
  </si>
  <si>
    <t xml:space="preserve">10.1007/978-981-13-2035-4_28</t>
  </si>
  <si>
    <t xml:space="preserve">https://www.scopus.com/inward/record.uri?eid=2-s2.0-85070894598&amp;doi=10.1007%2f978-981-13-2035-4_28&amp;partnerID=40&amp;md5=6fac5ac28102ccd848b287936b8a2924</t>
  </si>
  <si>
    <t xml:space="preserve">Department of Computer Science, Institute of Science, Banaras Hindu University, Varanasi, 221005, India</t>
  </si>
  <si>
    <t xml:space="preserve">Pandey M.K., Department of Computer Science, Institute of Science, Banaras Hindu University, Varanasi, 221005, India; Subbiah K., Department of Computer Science, Institute of Science, Banaras Hindu University, Varanasi, 221005, India</t>
  </si>
  <si>
    <t xml:space="preserve">Ebola; Epidemic Forecasting; SMAC; Time series forecasting Random tree</t>
  </si>
  <si>
    <t xml:space="preserve">Disease control; Diseases; Forecasting; Learning algorithms; Time series; Time series analysis; Ebola; Machine learning techniques; Performance analysis; Public health policies; Random tree; SMAC; State-of-art technology; Time series forecasting; Machine learning</t>
  </si>
  <si>
    <t xml:space="preserve">Pyne S., Vullikanti A.K.S., Marathe M.V., Big Data applications in health sciences and epidemiology, Handbook of Statistics, 33, pp. 171-202, (2015); Ebola Virus Disease: Fact Sheet, (2018); Last J., A Dictionary of Epidemiology, (2001); Brauer F., van den Driessche P., Wu J., Mathematical Epidemiology, LNM, 1945, (2008); IDC Predictions 2013: Competing on the 3Rd Platform, (2012); The Nexus of Forces: Social, Mobile, Cloud and Information (2012); Pandey M.K., Subbiah K., A novel storage architecture for facilitating efficient analytics of health informatics Big Data in cloud, IEEE International Conference on Computer and Information Technology (CIT), pp. 578-585, (2016); Bisset K., Chen J., Feng X., Vullikanti A., Marathe M., EpiFast: A fast algorithm for large scale realistic epidemic simulation s on distributed memory systems, Proceeding of 23 ACM International Conference on Supercomputing (ICS-2009), (2009); Salathe M., Et al., Digital epidemiology, Plos Comput. Biol., 8, 7, (2012); Nsoesie E.O., Brownstein J.S., Ramakrishnan N., Marathe M., A systematic review of studies on forecasting the dynamics of influenza outbreaks, Influenza Other Respir. Viruses, 8, 3, pp. 309-316, (2013); Nishiura H., Real-time forecasting of an epidemic using a discrete time stochastic model: A case study of pandemic influenza (H1N1-2009), Biomed. Eng. Online, 10, 1, (2011); Ohkusa Y., Sugawara T., Taniguchi K., Okabe N., Real-time estimation and prediction for pandemic A/H1N1(2009) in Japan, J. Infect. Chemother., 17, 4, pp. 468-472, (2011); Hall I.M., Gani R., Hughes H.E., Leach S., Real-time epidemic forecasting for pandemic influenza, Epidemiol. Infect., 135, 3, pp. 372-385, (2007); Tizzoni M., Bajardi P., Poletto C., Ramasco J., Balcan D., Goncalves B., Perra N., Colizza V., Vespignani A., Real-time numerical forecast of global epidemic spreading: Case study of 2009 A/H1N1pdm, BMC Med, 10, 1, (2012); Shaman J., Karspeck A., Forecasting seasonal outbreaks of influenza, Proc. Natl. Acad. Sci. U.S.A., 109, 50, pp. 20425-20430, (2012); Shaman J., Goldstein E., Lipsitch M., Absolute humidity and pandemic versus epidemic influenza, Am. J. Epidemiol., 173, 2, pp. 127-135, (2010); Shaman J., Pitzer V.E., Viboud C., Grenfell B.T., Lipsitch M., Absolute humidity and the seasonal onset of influenza in the continental United States, Plos Biol, 8, 2, (2010); Chakraborty P., Khadivi P., Lewis B., Mahendiran A., Chen J., Butler P., Nsoesie E.O., Mekaru S.R., Brownstein J.S., Marathe M.V., Ramakrishnan N., Forecasting a moving target: Ensemble models for ILI case count predictions, Proceedings of the 2014 SIAM International Conference on Data Mining, pp. 262-270, (2014); Pandey M.K., Karthikeyan S., Performance Analysis of Time Series Forecasting of Ebola Casualties Using Machine Learning Algorithm; Ramadona A.L., Lazuardi L., Hii Y.L., Holmner A., Kusnanto H., Rocklov J., Prediction of dengue outbreaks based on disease surveillance and meteorological data, Plos ONE, 11, 3, (2016); Liao Y., Et al., A new method for assessing the risk of infectious disease outbreak, Sci. Rep., 7, (2017); Sharma S., Mangat V., Relevance vector machine classification for Big Data on Ebola outbreak, 1St International Conference on Next Generation Computing Technologies (NGCT), Dehradun, pp. 639-643, (2015); Marathe M., Assisting H1N1 and ebola outbreak response through high performance networked epidemiology, 2015 IEEE International Parallel and Distributed Processing Symposium, Hyderabad; Ristic B., Dawson P., Real-time forecasting of an epidemic outbreak: Ebola 2014/2015 case study, 2016 19Th International Conference on Information Fusion (FUSION), pp. 1983-1990, (2016); Buendia R.J.M., Solano G.A., A disease outbreak detection system using autoregressive moving average in time series analysis, 6Th International Conference on Information, Intelligence, Systems and Applications (IISA), Corfu, pp. 1-5, (2015); Wang Y., Gu J., A hybrid prediction model applied to diarrhea time series, 12Th International Conference on Fuzzy Systems and Knowledge Discovery (FSKD), Zhangjiajie, pp. 1096-1102, (2015); Hall M., Frank E., Holmes G., Pfahringer B., Reutemann P., Witten I.H., The WEKA data mining software: An update, SIGKDD Explor. Newsl., 11, pp. 10-18, (2009); Shevade S.K., Keerthi S.S., Bhattacharyya C., Murthy K.R.K., Improvements to the SMO algorithm for SVM regression, IEEE Trans. Neural Networks, 11, 5, pp. 1189-1193, (1999); Smola A.J., Schoelkopf B., A Tutorial on Support Vector Regression, (1998); Caruana R., Niculescu A., Crew G., Ksikes A., Ensemble selection from libraries of models, The International Conference on Machine Learning (ICML 2004), (2004); Breiman L., Bagging predictors, Mach. Learn., 24, 2, pp. 123-140, (1996); Breiman L., Random forests, Mach. Learn., 45, 1, pp. 5-32, (2001)</t>
  </si>
  <si>
    <t xml:space="preserve">M.K. Pandey; Department of Computer Science, Institute of Science, Banaras Hindu University, Varanasi, 221005, India; email: pandey.manish@live.com</t>
  </si>
  <si>
    <t xml:space="preserve">2-s2.0-85070894598</t>
  </si>
  <si>
    <t xml:space="preserve">Kannimuthu S.; Bhuvaneshwari K.S.; Bhanu D.; Vaishnavi A.; Ahalya S.</t>
  </si>
  <si>
    <t xml:space="preserve">Kannimuthu, S. (37114593300); Bhuvaneshwari, K.S. (57191953272); Bhanu, D. (57191960002); Vaishnavi, A. (55810605300); Ahalya, S. (57214718904)</t>
  </si>
  <si>
    <t xml:space="preserve">37114593300; 57191953272; 57191960002; 55810605300; 57214718904</t>
  </si>
  <si>
    <t xml:space="preserve">Performance evaluation of machine learning algorithms for dengue disease prediction</t>
  </si>
  <si>
    <t xml:space="preserve">Dengue is a dangerous disease caused by female mosquitoes. Dengue fever (also called as break-bone fever) is a infection that can cause to a severe illness which is happened by four different viruses and spread by Aedes mosquitoes. It is the necessary to devise effective methodology for dengue disease prognosis. Machine learning is a sub-filed of artificial intelligence (AI) which offers systems the ability to learn and improve from experience without human intervention and being explicitly programmed. In this research work, the performance analysis of various prediction models is done for dengue disease prediction. It is observed that C4.5 algorithm outperforms well in terms of performance measures such as accuracy (89.33%), prediction (88.9%), recall (89.77%) and other measures. Copyright © 2019 American Scientific Publishers All rights reserved.</t>
  </si>
  <si>
    <t xml:space="preserve">Journal of Computational and Theoretical Nanoscience</t>
  </si>
  <si>
    <t xml:space="preserve">American Scientific Publishers</t>
  </si>
  <si>
    <t xml:space="preserve">10.1166/jctn.2019.8570</t>
  </si>
  <si>
    <t xml:space="preserve">https://www.scopus.com/inward/record.uri?eid=2-s2.0-85078961171&amp;doi=10.1166%2fjctn.2019.8570&amp;partnerID=40&amp;md5=345f99bf37bffab9c0fa8899b1d547e1</t>
  </si>
  <si>
    <t xml:space="preserve">Department of Computer Science and Engineering, Karpagam College of Engineering, Coimbatore, Tamilnadu, 641032, India; Karpagam Institute of Technology, Coimbatore, Tamilnadu, 641021, India</t>
  </si>
  <si>
    <t xml:space="preserve">Kannimuthu S., Department of Computer Science and Engineering, Karpagam College of Engineering, Coimbatore, Tamilnadu, 641032, India; Bhuvaneshwari K.S., Department of Computer Science and Engineering, Karpagam College of Engineering, Coimbatore, Tamilnadu, 641032, India; Bhanu D., Karpagam Institute of Technology, Coimbatore, Tamilnadu, 641021, India; Vaishnavi A., Department of Computer Science and Engineering, Karpagam College of Engineering, Coimbatore, Tamilnadu, 641032, India; Ahalya S., Department of Computer Science and Engineering, Karpagam College of Engineering, Coimbatore, Tamilnadu, 641032, India</t>
  </si>
  <si>
    <t xml:space="preserve">Dengue Disease; Machine Learning; Performance Analysis; Prediction</t>
  </si>
  <si>
    <t xml:space="preserve">Kesorn K., Ongruk P., Chompoosri J., Phumee A., Thavara U., Tawatsin A., Siriyasatien P., Morbidity rate prediction of dengue hemorrhagic fever (DHF) using the support vector machine and the Aedesaegypti infection rate in similar climates and geographical areas, PLOS ONE Journal, 10, 5, pp. 1-16; Thu H.M., Aye K.M., Thein S., The effect of temperature and humidity on dengue virus propagation in Aedes aegypti mosquitoes, The Southeast Asian Journal of Tropical Medicine and Public Health, 29, 2, pp. 280-284, (1998); Johansson M.A., Cummings D.A.T., Glass G.E., Multi-year climate variability and dengue-El Nino southern oscillation, weather, and dengue incidence in Puerto Rico, Mexico, and Thailand: A longitudinal data analysis, PLOS Medicine, 6, 11, (2009); Wongkoon S., Jaroensutasinee M., Jaroensutasinee K., Development of temporal modeling for prediction of dengue infection in Northeastern Thailand, Asian Pacific Journal of Tropical Medicine, pp. 249-252, (2012); Hii Y.-L., Zhu H., Ng N., Ng L.-C., Rocklov J., Forecast of dengue incidence using temperature and rainfall, PLOS Neglected Tropical Diseases, 6, 11, (2012); Wangroongsarb Y., Dengue control through school children in Thailand, Dengue Bulletin, 21, pp. 52-65, (1997); Huang X., Williams G., Clements A.C., Hu W., Imported dengue cases, weather variation and autochthonous dengue incidence in Cairns, Australia, PLOS ONE, 8, 12, (2013); Kannimuthu S., Premalatha K., UP-GNIV: An expeditious high utility pattern mining algorithm for itemsets with negative utility values, International Journal of Information Technology and Management, 14, 1, pp. 26-42, (2015); Kannimuthu S., Premalatha K., Discovery of high utility itemsets using genetic algorithm, International Journal of Engineering and Technology, 5, 6, pp. 4866-4880, (2013); Gharbi M., Quenel P., Gustave J., Cassadou S., Ruche G.L., Girdary L., Marrama L., Time series analysis of dengue incidence in Guadeloupe, French West Indies: Forecasting models using climate variables as predictors, BMC Infectious Diseases, 11, 166, (2011)</t>
  </si>
  <si>
    <t xml:space="preserve">J. Comput. Theor. Nanosci.</t>
  </si>
  <si>
    <t xml:space="preserve">2-s2.0-85078961171</t>
  </si>
  <si>
    <t xml:space="preserve">Khan R.; Ahirwar M.; Shukla P.K.</t>
  </si>
  <si>
    <t xml:space="preserve">Khan, Rahamuddin (57211921785); Ahirwar, Manish (56600585100); Shukla, Piyush Kumar (56599752300)</t>
  </si>
  <si>
    <t xml:space="preserve">57211921785; 56600585100; 56599752300</t>
  </si>
  <si>
    <t xml:space="preserve">Predicting malnutrition disease using various machine learning algorithms</t>
  </si>
  <si>
    <t xml:space="preserve">Healthcare evaluates clinical datasets regularly by specialist's learning and action. In the clinical field, computer-supported with prediction system is used in the healthcare department. Malnutrition is a situation that comes by eating a diet in which one or more nutrients are in imbalance or are too much such that the food causes health related problems. It may involve carbohydrates, vitamins or minerals proteins, calorie. Malnutrition can lead to complications such as gastroenteritis, pneumonia, malaria, and measles. Enhanced predictive analysis for malnutrition disease using regression algorithms is a confronted task to help doctors for diagnosing the malnutrition patients. In this paper the work sets out to make comparative evaluation of classifiers for achieving higher classification accuracy using WEKA tool and at last, the result is obtained. The experiment results shown are about prediction accuracy, precision, recall and ROC curve. The results in this work on Malnutrition dataset show that processing efficiency and prediction accuracy of linear regression is better than that of, k-nearest neighbor, decision tree, and multilayer perceptron regression algorithms. © IJSTR 2019.</t>
  </si>
  <si>
    <t xml:space="preserve">International Journal of Scientific and Technology Research</t>
  </si>
  <si>
    <t xml:space="preserve">https://www.scopus.com/inward/record.uri?eid=2-s2.0-85075395032&amp;partnerID=40&amp;md5=d3f39d7d26060b49b6990d62210e8218</t>
  </si>
  <si>
    <t xml:space="preserve">Department of Computer Science, Rajiv Gandhi Proudyogiki Vishwavidyalaya, Bhopal, India</t>
  </si>
  <si>
    <t xml:space="preserve">Khan R., Department of Computer Science, Rajiv Gandhi Proudyogiki Vishwavidyalaya, Bhopal, India; Ahirwar M., Department of Computer Science, Rajiv Gandhi Proudyogiki Vishwavidyalaya, Bhopal, India; Shukla P.K., Department of Computer Science, Rajiv Gandhi Proudyogiki Vishwavidyalaya, Bhopal, India</t>
  </si>
  <si>
    <t xml:space="preserve">Decision tree; Healthcare; KNN; Linear regression; Machine learning; Malnutrition; Multilayer perceptron; Prediction</t>
  </si>
  <si>
    <t xml:space="preserve">Islam T., Chisty T.A., Roy P., Rafa I.S., Sasthyakathan-A Health Based Social Robot, IEEE, (2019); Ribeiro J., Ribeiro D., Schwarz A., Maria Joao M., Vasconcelos, Filomena Gerardo, Ciska van Harten, Riccardo Succu, Robbie Davisonk, Tiago Oliveira, Tiago Silva, Marlos Silva, "Cordon Gris: Integrated Solution for Meal Recommendations" Perhealth'18-3Rd IEEE Percom Workshop on Pervasive Health Technologies.; , Liliana Swastina, Husnul Maad Junaidi, IT Application to Mapping the Potential of Malnutrition Problems, (2018); Kumar V., Bhat N., AnuPathTM: Novel Sensing Chemistry to Lab on Palm Sensor System for Diabetes and its Complications, IEEE, (2018); Baranyi R., Steyrer B., Lechner L., Agbektas G.N., Lederer N., Grechenig T., Nutritionrush-A Serious Game to Support People with the Awareness of Their Nutrition Intake; Watcharapasorn P., Kurubanjerdjit N., The Surgical Patient Mortality Rate Prediction by machine learning algorithms, 2016 13Th International Joint Conference on Computer Science and Software Engineering (JCSSE); Arista-Jalife A., Arista-Viveros H.A., Artificial Neural Networks as Auxiliary Tools in the Diagnosis of Malnutrition Related Diseases, IEEE, (2016); Dunham M.H., Sridhar S., Data Mining Introductory and Advanced Topics, (2003); Artificial neural networks for automatic ecg analysis, IJCSI, 46, pp. 1417-1425, (1998); Ahmed F.E., Artificial neural networks for diagnosis and survival prediction in colon cancer, Molecular Cancer, (2005); Miculan D.S.W., Reflujo gastroesofágico en pediatría, 3Er Curso Anual De actualización En pediatría Ambulatoria, (2005); William H., Saunders, Tratado De otorrinolaringología, (2009); Reddy P.S.C., Palagijaya P., HEART DISEASE PREDICTION USING ANN ALGORITHM IN DATA MINING, International Journal of Computer Science and Mobile Computing, 6, 4, pp. 168-172, (2017)</t>
  </si>
  <si>
    <t xml:space="preserve">R. Khan; Department of Computer Science, Rajiv Gandhi Proudyogiki Vishwavidyalaya, Bhopal, India; email: khanrk056@gmail.com</t>
  </si>
  <si>
    <t xml:space="preserve">Int. J. Sci. Technol. Res.</t>
  </si>
  <si>
    <t xml:space="preserve">2-s2.0-85075395032</t>
  </si>
  <si>
    <t xml:space="preserve">Kimaro F.D.; Jumanne S.; Sindato E.M.; Kayange N.; Chami N.</t>
  </si>
  <si>
    <t xml:space="preserve">Kimaro, Fransisca D. (57207466589); Jumanne, Shakilu (57091746500); Sindato, Emmanuel M. (6504197714); Kayange, Neema (36144095000); Chami, Neema (57195266477)</t>
  </si>
  <si>
    <t xml:space="preserve">57207466589; 57091746500; 6504197714; 36144095000; 57195266477</t>
  </si>
  <si>
    <t xml:space="preserve">Prevalence and factors associated with renal dysfunction among children with sickle cell disease attending the sickle cell disease clinic at a tertiary hospital in Northwestern Tanzania</t>
  </si>
  <si>
    <t xml:space="preserve">Background Little is known on how the interaction between Sickle Cell Disease (SCD) and renal insults caused by other coexisting conditions in Sub Saharan Africa such as urinary schistosomiasis, malnutrition and HIV affect the prevalence of renal dysfunction in children with SCD. Objectives To determine the prevalence and factors associated with renal dysfunction among children with SCD aged 6 months to 12 years attended at a tertiary hospital in Northwestern Tanzania. Methods A cross sectional hospital-based study with a short follow up component of 3 months for 153 children with SCD was done to document demographics, clinical characteristics and features of renal dysfunction including urine dipstick albuminuria (&gt;20mg/l) and eGFR (&lt;60ml/ ml/min/1.73m2). Other potential renal insults such as HIV infection and Schistosomiasis were also evaluated. Results At enrollment, 48/153(31.37%) children had renal dysfunction declining to 31(20.3%) at 3 months follow up. Acute chest syndrome (OR 3.04, 95% CI [1.08–8.96], p = 0.044), severe anemia (OR 0.44, 95% CI [0.26–0.76],p = 0.003), urinary schistosomiasis (OR 7.43, 95% CI [2.10–26.32] p&lt;0.002) and acute malnutrition (OR 4.92, 95% CI [1.29–18.84], p = 0.020). were associated with renal dysfunction. Conclusion Where prevalent, urinary schistosomiasis and acute malnutrition increase the risk for renal dysfunction in children with SCD. We recommend albuminuria routine screening in children with SCD especially those presenting with acute chest syndrome, severe anemia and features of acute malnutrition for early detection of renal dysfunction among children with SCD. © 2019 Kimaro et al. This is an open access article distributed under the terms of the Creative Commons Attribution License, which permits unrestricted use, distribution, and reproduction in any medium, provided the original author and source are credited.</t>
  </si>
  <si>
    <t xml:space="preserve">e0218024</t>
  </si>
  <si>
    <t xml:space="preserve">10.1371/journal.pone.0218024</t>
  </si>
  <si>
    <t xml:space="preserve">https://www.scopus.com/inward/record.uri?eid=2-s2.0-85067407983&amp;doi=10.1371%2fjournal.pone.0218024&amp;partnerID=40&amp;md5=7a24d0847b1a5a65e5f4156682ce1139</t>
  </si>
  <si>
    <t xml:space="preserve">Department of Paediatrics and Child Health, College of Health Sciences, University of Dodoma, Dodoma, Tanzania; Department of Internal Medicine, College of Health Sciences, University of Dodoma, Dodoma, Tanzania; Department of Paediatrics, Catholic University of Health and Allied Sciences, Bugando Medical Center, Mwanza, Tanzania</t>
  </si>
  <si>
    <t xml:space="preserve">Kimaro F.D., Department of Paediatrics and Child Health, College of Health Sciences, University of Dodoma, Dodoma, Tanzania; Jumanne S., Department of Paediatrics and Child Health, College of Health Sciences, University of Dodoma, Dodoma, Tanzania; Sindato E.M., Department of Internal Medicine, College of Health Sciences, University of Dodoma, Dodoma, Tanzania; Kayange N., Department of Paediatrics, Catholic University of Health and Allied Sciences, Bugando Medical Center, Mwanza, Tanzania; Chami N., Department of Paediatrics, Catholic University of Health and Allied Sciences, Bugando Medical Center, Mwanza, Tanzania</t>
  </si>
  <si>
    <t xml:space="preserve">Albuminuria; Ambulatory Care Facilities; Anemia, Sickle Cell; Child; Child, Preschool; Female; Glomerular Filtration Rate; HIV Infections; Humans; Infant; Kidney; Male; Renal Insufficiency; Schistosomiasis; Tanzania; Tertiary Care Centers; acute chest syndrome; albuminuria; Article; child; child health; clinical evaluation; clinical feature; cross-sectional study; demography; disease association; disease severity; disease surveillance; estimated glomerular filtration rate; female; follow up; hospital care; human; Human immunodeficiency virus infection; infant; kidney dysfunction; major clinical study; male; malnutrition; prevalence; schistosomiasis; sickle cell anemia; Tanzania; tertiary care center; urinary schistosomiasis; urinary tract infection; albuminuria; complication; glomerulus filtration rate; Human immunodeficiency virus infection; kidney; kidney failure; outpatient department; pathophysiology; preschool child; schistosomiasis; sickle cell anemia</t>
  </si>
  <si>
    <t xml:space="preserve">Tanzania Commission for Science and Technology, COSTECH</t>
  </si>
  <si>
    <t xml:space="preserve">This study was funded by a grant from Tanzania Commission of Science and Technology (COSTECH) but the funder had no role in study design, data collection and analysis, decision to publish or preparation of the manuscript.</t>
  </si>
  <si>
    <t xml:space="preserve">Derebail V.K., Sickle cell nephropathy, Natl. Kidney Found. Prim. Kidney Dis. Sixth Ed., pp. 357-361, (2013); Nath K.A., Hebbel R.P., Sickle cell disease: Renal manifestations and mechanisms, Nat. Rev. Nephrol. Nature, 11, pp. 161-171, (2015); Sharpe C.C., Thein S.L., Sickle cell nephropathy—a practical approach, Br. J. Haematol., pp. 287-297, (2011); Van Eps L.W.S., Pinedo-Veels C., De Vries G.H., De Koning J., Nature of concentrating defect in sickle-cell nephropathy. Microradioangiographic studies, Lancet, 295, pp. 450-452, (1970); Hirschberg R., Glomerular hyperfiltration in sickle cell disease, Clin. J. Am. Soc. Nephrol., 5, pp. 748-749, (2010); Aygun B., Mortier N.A., Smeltzer M.P., Hankins J.S., Ware R.E., Glomerular hyperfiltration and albuminuria in children with sickle cell anemia, Pediatr. Nephrol., 26, pp. 1285-1290, (2011); Ashley-Koch A., Yang Q., Olney R.S., Sickle hemoglobin (Hb S) allele and sickle cell disease: A HuGE review, Am. J. Epidemiol., pp. 839-845, (2000); Platt O.S., Brambilla D.J., Rosse W.F., Milner P.F., Castro O., Steinberg M.H., Et al., Mortality in sickle cell disease. Life expectancy and risk factors for early death, N. Engl. J. Med., 330, pp. 1639-1644, (1994); Kato G.J., Gladwin M.T., Steinberg M.H., Deconstructing sickle cell disease: Reappraisal of the role of hemolysis in the development of clinical subphenotypes, Blood Rev, 21, pp. 37-47, (2007); Morris C.R., Kato G.J., Poljakovic M., Wang X., Blackwelder W.C., Sachdev V., Et al., Dysregulated arginine metabolism, hemolysis-associated pulmonary hypertension, and mortality in sickle cell disease, JAMA, 294, (2005); Nath K.A., Katusic Z.S., Vasculature and kidney complications in sickle cell disease, J. Am. Soc. Nephrol., 23, pp. 781-784, (2012); Sola-Del Valle D.A., Mohan S., Cheng J.T., Paragas N.A., Sise M.E., D'Agati V.D., Et al., Urinary NGAL is a useful clinical biomarker of HIV-associated nephropathy, Nephrol. Dial. Transplant., 26, pp. 2387-2390, (2011); Lopez Revuelta K., Ricard Andres M.P., Kidney abnormalities in sickle cell disease, Nefrologia, 31, pp. 591-601, (2011); Gryseels B., Schistosomiasis, Infect. Dis. Clin. North Am., pp. 383-397, (2012); Ambrose E.E., Makani J., Chami N., Masoza T., Kabyemera R., Peck R.N., Et al., High birth prevalence of sickle cell disease in Northwestern Tanzania, Pediatr. Blood Cancer, 65, (2018); Solarin A.U., Njokanma F.O., The Micral-Test as a screening tool to detect micro—albuminuria in children 5—15 years old with sickle cell anaemia, Lagos State University Teaching Hospital, S Afr J CH, (2015); Schwartz G.J., Haycock G.B., Edelmann C.M., Spitzer A., A simple estimate of glomerular filtration rate in children derived from body length and plasma creatinine, Pediatrics, 58, pp. 259-263, (1976); Schwartz G.J., Feld L.G., Langford D.J., A simple estimate of glomerular filtration rate in full-term infants during the first year of life, J. Pediatr., 104, pp. 849-854, (1984); Kayange N.M., Smart L.R., Downs J.A., Maskini M., Fitzgerald D.W., Peck R.N., The influence of HIV and schistosomiasis on renal function: A cross-sectional study among children at a hospital in Tanzania, PLoS Negl. Trop. Dis., 9, (2015); Saidia P., Prevalence of Renal Failure in Sickle Cell Disease Patients Attending Muhimbili National Hospital in, (2011); Gurkan S., Scarponi K.J., Hotchkiss H., Savage B., Drachtman R., Lactate dehydrogenase as a predictor of kidney involvement in patients with sickle cell anemia, Pediatr. Nephrol., 25, pp. 2123-2127, (2010); Aloni M.N., Mabidi J.-L.L., Ngiyulu R.M., Ekulu P.M., Mbutiwi F.I., Makulo J.R., Et al., Prevalence and determinants of microalbuminuria in children suffering from sickle cell anemia in steady state, Clin. Kidney J., 10, pp. 479-486, (2017); Aloni M.N., Ngiyulu R.M., Gini-Ehungu J.-L., Nsibu C.N., Ekila M.B., Lepira F.B., Et al., Renal function in children suffering from sickle cell disease: Challenge of early detection in highly resource-scarce settings, PLoS One, 9, (2014); Bodas P., Huang A., O'Riordan M.A., Sedor J.R., Dell K.M., The prevalence of hypertension and abnormal kidney function in children with sickle cell disease -a cross sectional review, BMC Nephrol, 14, (2013); Marsenic O., Couloures K.G., Wiley J.M., Proteinuria in children with sickle cell disease, Nephrol. Dial. Transplant., 23, pp. 715-720, (2008); King L., MooSang M., Miller M., Reid M., Prevalence and predictors of microalbuminuria in Jamaican children with sickle cell disease, Arch. Dis. Child., 96, pp. 1135-1139, (2011); Aoki R.Y., Saad S.T., Microalbuminuria in sickle cell disease, Braz. J. Med. Biol. Res., 23, pp. 1103-1106, (1990); Imuetinyan B.A.-I., Okoeguale M.I., Egberue G.O., Microalbuminuria in children with sickle cell anemia, Saudi J. Kidney Dis. Transpl., 22, pp. 733-738, (2011); McPherson Yee M., Jabbar S.F., Osunkwo I., Clement L., Lane P.A., Eckman J.R., Et al., Chronic kidney disease and albuminuria in children with sickle cell disease, Clin. J. Am. Soc. Nephrol., 6, pp. 2628-2633, (2011); Sesso R., Almeida M.A., Figueiredo M.S., Bordin J.O., Renal dysfunction in patients with sickle cell anemia or sickle cell trait, Braz J Med Biol Res, 31, pp. 1257-1262, (1998); Kim N.H., Pavkov M.E., Knowler W.C., Hanson R.L., Weil E.J., Curtis J.M., Et al., Predictive value of albuminuria in American Indian youth with or without type 2 diabetes, Pediatrics, (2010); Stallworth J.R., Tripathi A., Jerrell J.M., Prevalence, treatment, and outcomes of renal conditions in pediatric sickle cell disease, South. Med. J., 104, pp. 752-756, (2011); Christopher R., Microalbuminuria as Predictor of Early Glomerular Injury in Children and Adolescents with Sickle Cell Anaemia at Muhimbili National Hospital Dar es Salaam, Tanzania 2012f, (2012); Eke C.B., Okafor H.U., Ibe B.C., Prevalence and correlates of microalbuminuria in children with sickle cell anaemia: Experience in a tertiary health facility in Enugu, Nigeria, Int. J. Nephrol., 2012, (2012); Datta V., Raju Ayengar J., Karpate S., Chaturvedi P., Microalbuminuria as a predictor of early glomerular injury in children with sickle cell disease, Indian J. Pediatr., (2003); Ranque B., Menet A., Diop I.B., Thiam M.M., Diallo D., Diop S., Et al., Early renal damage in patients with sickle cell disease in sub-Saharan Africa: A multinational, prospective, cross-sectional study, Lancet Haematol, 1, pp. e64-e73, (2014); Alvarez O., Montane B., Lopez G., Wilkinson J., Miller T., Early blood transfusions protect against microalbuminuria in children with sickle cell disease, Pediatr. Blood Cancer, 47, pp. 71-76, (2006); Usmani A., Machado R.F., Vascular complications of sickle cell disease, Clin. Hemor-Heol. Microcirc., 68, pp. 205-221, (2018); Noubiap J.J., Mengnjo M.K., Nicastro N., Kamtchum-Tatuene J., Neurologic complications of sickle cell disease in Africa: A systematic review and meta-analysis, Neurology, 89, pp. 1516-1524, (2017); Sobh M.A., Moustafa F.E., El-Housseini F., Basta M.T., Deelder A.M., Ghoniem M.A., Schistosomal specific nephropathy leading to end-stage renal failure, Kidney Int, 31, pp. 1006-1011, (1987); Martinelli R., Noblat A.C., Brito E., Rocha H., Schistosoma mansoni-induced mesangiocapillary glomerulonephritis: Influence of therapy, Kidney Int, 35, pp. 1227-1233, (1989); Fuss A., Mazigo H.D., Tappe D., Kasang C., Mueller A., Comparison of sensitivity and specificity of three diagnostic tests to detect Schistosoma mansoni infections in school children in Mwanza region, Tanzania, PLoS One, 13, (2018); Barsoum R.S., Schistosomiasis and the kidney, Semin. Nephrol., 23, (2003); Sousa-Figueiredo J.C., Basanez M.-G., Khamis I.S., Garba A., Rollinson D., Stothard J.R., Measuring morbidity associated with urinary schistosomiasis: Assessing levels of excreted urine albumin and urinary tract pathologies, PLoS Negl. Trop. Dis., 3, (2009); Russell Stothard J., Sousa-Figueiredo J.C., Simba Khamis I., Garba A., Rollinson D., Urinary schistosomiasis-associated morbidity in schoolchildren detected with urine albumin-to-creatinine ratio (UACR) reagent strips, J. Pediatr. Urol., (2009); Audard V., Bartolucci P., Stehle T., Sickle cell disease and albuminuria: Recent advances in our understanding of sickle cell nephropathy, Clin. Kidney J., 10, pp. 475-478, (2017)</t>
  </si>
  <si>
    <t xml:space="preserve">S. Jumanne; Department of Paediatrics and Child Health, College of Health Sciences, University of Dodoma, Dodoma, Tanzania; email: shakiluj@gmail.com</t>
  </si>
  <si>
    <t xml:space="preserve">2-s2.0-85067407983</t>
  </si>
  <si>
    <t xml:space="preserve">Zheng X.; Zhong D.; He Y.; Zhou G.</t>
  </si>
  <si>
    <t xml:space="preserve">Zheng, Xueli (13309854700); Zhong, Daibin (7102032554); He, Yulan (57211947478); Zhou, Guofa (7403685986)</t>
  </si>
  <si>
    <t xml:space="preserve">13309854700; 7102032554; 57211947478; 7403685986</t>
  </si>
  <si>
    <t xml:space="preserve">Seasonality modeling of the distribution of Aedes albopictus in China based on climatic and environmental suitability</t>
  </si>
  <si>
    <t xml:space="preserve">Background: Aedes albopictus is a highly invasive mosquito species and a major vector of numerous viral pathogens. Many recent dengue fever outbreaks in China have been caused solely by the vector. Mapping of the potential distribution ranges of Ae. albopictus is crucial for epidemic preparedness and the monitoring of vector populations for disease control. Climate is a key factor influencing the distribution of the species. Despite field studies indicating seasonal population variations, very little modeling work has been done to analyze how environmental conditions influence the seasonality of Ae. albopictus. The aim of the present study was to develop a model based on available observations, climatic and environmental data, and machine learning methods for the prediction of the potential seasonal ranges of Ae. albopictus in China. Methods: We collected comprehensive up-to-date surveillance data in China, particularly records from the northern distribution margin of Ae. albopictus. All records were assigned long-term (1970-2000) climatic data averages based on the WorldClim 2.0 data set. Machine learning regression tree models were developed using a 10-fold cross-validation method to predict the potential seasonal (or monthly) distribution ranges of Ae. albopictus in China at high resolution based on environmental conditions. The models were assessed based on sensitivity, specificity, and accuracy, using area under curve (AUC). WorldClim 2.0 and climatic and environmental data were used to produce environmental conduciveness (probability) prediction surfaces. Predicted probabilities were generated based on the averages of the 10 models. Results: During 1998-2017, Ae. albopictus was observed at 200 out of the 242 localities surveyed. In addition, at least 15 new Ae. albopictus occurrence sites lay outside the potential ranges that have been predicted using models previously. The average accuracy was 98.4% (97.1-99.5%), and the average AUC was 99.1% (95.6-99.9%). The predicted Ae. albopictus distribution in winter (December-February) was limited to a small subtropical-tropical area of China, and Ae. albopictus was predicted to occur in northern China only during the short summer season (usually June-September). The predicted distribution areas in summer could reach northeastern China bordering Russia and the eastern part of the Qinghai-Tibet Plateau in southwestern China. Ae. albopictus could remain active in expansive areas from central to southern China in October and November. Conclusions: Climate and environmental conditions are key factors influencing the seasonal distribution of Ae. albopictus in China. The areas predicted to potentially host Ae. albopictus seasonally in the present study could reach northeastern China and the eastern slope of the Qinghai-Tibet Plateau. Our results present new evidence and suggest the expansion of systematic vector population monitoring activities and regular re-assessment of epidemic risk potential. © 2019 The Author(s).</t>
  </si>
  <si>
    <t xml:space="preserve">10.1186/s40249-019-0612-y</t>
  </si>
  <si>
    <t xml:space="preserve">https://www.scopus.com/inward/record.uri?eid=2-s2.0-85075926985&amp;doi=10.1186%2fs40249-019-0612-y&amp;partnerID=40&amp;md5=619d3a1ba188f6dcfd3b831dccaf9219</t>
  </si>
  <si>
    <t xml:space="preserve">Department of Pathogen Biology, School of Public Health, Southern Medical University, 1838 Guangzhou North Avenue, Guangzhou, 510515, China; Program in Public Health, University of California, Irvine, CA, United States</t>
  </si>
  <si>
    <t xml:space="preserve">Zheng X., Department of Pathogen Biology, School of Public Health, Southern Medical University, 1838 Guangzhou North Avenue, Guangzhou, 510515, China; Zhong D., Program in Public Health, University of California, Irvine, CA, United States; He Y., Department of Pathogen Biology, School of Public Health, Southern Medical University, 1838 Guangzhou North Avenue, Guangzhou, 510515, China; Zhou G., Program in Public Health, University of California, Irvine, CA, United States</t>
  </si>
  <si>
    <t xml:space="preserve">Aedes albopictus; China; Climate; Distribution; Environment; Northern margin</t>
  </si>
  <si>
    <t xml:space="preserve">Aedes; Animal Distribution; Animals; China; Climate; Environment; Machine Learning; Models, Biological; Mosquito Control; Mosquito Vectors; Seasons; Aedes albopictus; Article; China; climate; disease surveillance; environmental factor; health survey; machine learning; nonhuman; priority journal; regression analysis; Russian Federation; seasonal variation; summer; Tibet; winter; Aedes; animal; animal dispersal; biological model; China; climate; environment; machine learning; mosquito control; mosquito vector; physiology; season</t>
  </si>
  <si>
    <t xml:space="preserve">Lambrechts L., Scott T.W., Gubler D.J., Consequences of the expanding global distribution of Aedes albopictus for dengue virus transmission, PLoS Negl Trop Dis, 4, (2010); Cao-Lormeau V.M., Musso D., Emerging arboviruses in the Pacific, Lancet, 384, pp. 1571-1572, (2014); Medlock J.M., Hansford K.M., Schaffner F., Versteirt V., Hendrickx G., Zeller H., Et al., A review of the invasive mosquitoes in Europe: Ecology, public health risks, and control options, Vector Borne Zoonotic Dis, 12, pp. 435-447, (2012); Weaver S.C., Lecuit M., Chikungunya virus and the global spread of a mosquito-borne disease, N Engl J Med, 372, pp. 1231-1239, (2015); Bonizzoni M., Gasperi G., Chen X., James A., The invasive mosquito species Aedes albopictus: Current knowledge and future perspectives, Trends Parasitol, 29, pp. 460-468, (2013); Sun J., Lu L., Wu H., Yang J., Xu L., Sang S., Et al., Epidemiological trends of dengue in mainland China, 2005-2015, Int J Infect Dis, 57, pp. 86-91, (2017); Wu D., Wu J., Zhang Q., Zhong H., Ke C., Deng X., Et al., Chikungunya outbreak in Guangdong Province, China, 2010, Emerg Infect Dis, 18, pp. 493-495, (2012); Luo L., Jiang L.Y., Xiao X.C., Di B., Jing Q.L., Wang S.Y., Et al., The dengue preface to endemic in mainland China: The historical largest outbreak by Aedes albopictus in Guangzhou, 2014, Infect Dis Poverty, 6, (2017); Yang T.C., Fu G.M., Investigation on the distribution of dengue vector Aedes albopictus in Zhejiang province, Chinese J Hyg Insecticide Equip, 12, pp. 189-191, (2006); Li Y., Kamara F., Zhou G., Puthiyakunnon S., Li C., Liu Y., Et al., Urbanization increases Aedes albopictus larval habitats and accelerates mosquito development and survivorship, PLoS Negl Trop Dis, 8, (2014); Aida H.N., Dieng H., Ahmad A.H., Satho T., Nurita A.T., Salmah M.R.C., Et al., The biology and demographic parameters of Aedes albopictus in northern peninsular Malaysia, Asian Pac J Trop Biomed, 1, pp. 472-477, (2011); Hahn M.B., Eisen L., McAllister J., Savage H.M., Mutebi J.P., Eisen R.J., Updated reported distribution of Aedes (Stegomyia) aegypti and Aedes (Stegomyia) albopictus (Diptera: Culicidae) in the United States, 1995-2016, J Med Entomol, 54, pp. 1420-1424, (2017); Cunze S., Kochmann J., Koch L.K., Klimpel S., Aedes albopictus and its environmental limits in Europe, PLoS One, 11, (2016); Mosquito maps: New information about areas with Aedes albopictus and Aedes aegypti in Europe; Moore C.G., Mitchell C.J., Aedes albopictus in the United States: Ten-year presence and public health implications, Emerg Infect Dis., 3, pp. 329-334, (1997); Cunze S., Koch L.K., Kochmann J., Klimpel S., Aedes albopictus and Aedes japonicus-two invasive mosquito species with different temperature niches in Europe, Parasit Vectors, 9, (2016); Kobayashi A.M., Nihei N., Kurihara T., Analysis of northern distribution of Aedes albopictus (Diptera: Culicidae) in Japan by geographical information system, J Med Entomol, 39, pp. 4-11, (2002); Caminade C., Medlock J.M., Ducheyne E., McIntyre K.M., Leach S., Baylis M., Et al., Suitability of European climate for the Asian tiger mosquito Aedes albopictus: Recent trends and future scenarios, J R Soc Interface, 9, pp. 2708-2717, (2012); Campbell L.P., Luther C., Moo-Llanes D., Ramsey J.M., Danis-Lozano R., Peterson A.T., Climate change influences on global vector distributions for dengue and chikungunya viruses, Phil Trans R Soc B, 370, (2015); Kamal M., Kenawy M.A., Rady M.H., Khaled A.S., Samy A.M., Mapping the global potential distributions of two arboviral vectors Aedes aegypti and Ae. albopictus under changing climate, PLoS ONE, 13, 12, (2018); Zheng J., Yin Y., Li B., A new scheme for climate regionalization in China, Acta Geograph Sin, 65, pp. 3-13, (2010); Wu F., Liu Q., Lu L., Wang J., Song X., Ren D., Distribution of Aedes albopictus (Diptera: Culicidae) in northwestern China, Vector Borne Zoonotic Dis, 11, pp. 1181-1186, (2011); Wu H.X., Liu Q.Y., Liu X.B., Lu L., Guo Y.H., Yue Y.J., Surveillance for Aedes albopictus in China, 2006-2013, Dis Surveill, 30, pp. 310-315, (2015); Zitko T., Merdic E., Seasonal and spatial oviposition activity of Aedes albopictus (Diptera: Culicidae) in Adriatic Croatia, J Med Entomol, 51, pp. 760-768, (2014); Sota T., Mogi M., Hayamizu E., Seasonal distribution and habitat selection by Aedes albopictus and Ae. riversi (Diptera: Culicidae) in northern Kyushu, Japan, Med Entomol, 29, pp. 296-304, (1992); Mogi M., Armbruster P.A., Tuno N., Aranda C., Yong H.S., The Climate Range Expansion of Aedes albopictus (Diptera: Culicidae) in Asia Inferred from the Distribution of Albopictus Subgroup Species of Aedes (Stegomyia), Journal of Medical Entomology, 54, 6, pp. 1615-1625, (2017); Komagata O., Higa Y., Muto A., Hirabayashi K., Yoshida M., Sato T., Nihei N., Sawabe K., Kobayashi M., Predicting the Start of the Aedes albopictus (Diptera: Culicidae) Female Adult Biting Season Using the Spring Temperature in Japan, Journal of Medical Entomology, 54, 6, pp. 1519-1524, (2017); Armstrong P.M., Andreadis T.G., Shepard J.J., Thomas M.C., Northern range expansion of the Asian tiger mosquito (Aedes albopictus): Analysis of mosquito data from Connecticut, USA PLoS Negl Trop Dis., 11, (2017); Lin H.S., Zhang W., Wang S.W., Chen H.S., Analysis and monitoring of dengue fever vector in Leizhou city in 2006, Chin J Vector Bio Control, 19, pp. 464-466, (2008); Kong F., Wang H., Song H., Zheng J., Kong Y., Kong F., Survey of Aedes and its control at Confucious Forest in Qufu, Chin J Vector Biol Control, 12, pp. 195-196, (2001); Tjaden N.B., Suk J.E., Fischer D., Thomas S.M., Beierkuhnlein C., Semenza J.C., Modelling the effects of global climate change on Chikungunya transmission in the 21st century, Sci Report, 7, (2017); Kraemer M.U., Sinka M.E., Duda K.A., Mylne A.Q., Shearer F.M., Barker C.M., Et al., The global distribution of the arbovirus vectors Aedes aegypti and Ae albopictus, Elife, 4, (2015); Fick S.E., Hijmans R.J., WorldClim 2: New 1-km spatial resolution climate surfaces for global land areas, Int J Climatol, 37, pp. 4302-4315, (2017); Escobar L.E., Qiao H., Peterson A.T., Forecasting Chikungunya spread in the Americas via data-driven empirical approaches, Parasit Vectors, 9, (2016); Kaufman L., Rousseeuw P.J., Finding groups in data: An introduction to cluster analysis, (1990); Liu C., Berry P.M., Dawson T.P., Pearson R.G., Selecting thresholds of occurrence in the prediction of species distributions, Ecography, 28, pp. 385-393, (2005); James G., Witten D., Hastie T., Tibshirani R., An Introduction to Statistical Learning: With Applications in R, (2017); Kuhn M., Johnson K., Applied Predictive Modeling, (2018); Jin Y.M., Wu W.X., Sun L.Y., Su X.Y., Jia P.B., Li Z., Et al., Survey on the distribution of Aedes mosquitoes transmitting dengue fever of Hainan Province in 2007, Chin Trop Med, 8, pp. 2096-2098, (2008); Shu L.P., Zuo L., Zhao X., Chen A.Y., Wei L.H., Susceptibility of 15 collections of Aedes albopictus from Guizhou to dengue virus oral infection, Chin J Exp Clin Virol, 18, pp. 234-238, (2004); Fu G.M., Yang T.C., Ren Z.Y., Population surveillance of mosquitoes in Zhejiang province in 2006, Chin J Hyg Insect Equip, 14, pp. 107-108, (2008); Han X., Zhang Y., Liu Z., Li L., Distribution of Aedes albopictus in Shaanxi province, Chin J Hyg Insect Equip., 4, pp. 434-435, (2015); Huang X.Y., Ma H.X., Wang H.F., Du H.F., Su J., Li X.L., Et al., Outbreak of dengue fever in Central China, 2013, Biomed Environ Sci, 27, pp. 894-897, (2014); Lai S., Huang Z., Zhou H., Anders K.L., Perkins T.A., Yin W., Et al., The changing epidemiology of dengue in China, 1990-2014: A descriptive analysis of 25 years of nationwide surveillance data, BMC Med, 13, (2015); Alto B.W., Juliano S.A., Precipitation and temperature effects on populations of Aedes albopictus (Diptera: Culicidae): Implications for range expansion, J Med Entomol, 38, pp. 646-656, (2001); Humphrey J.M., Cleton N.B., Reusken C.B.E.M., Glesby M.J., Koopmans M.P.G., Abu-Raddad L.J., Dengue in the Middle East and North Africa: A systematic review, PLoS Negl Trop Dis, 10, (2016); Khan J., Khan I., Amin I., A comprehensive entomological, serological and molecular study of 2013 dengue outbreak of swat, Khyber Pakhtunkhwa, Pakistan, PLoS One, 11, (2016); Pandey B.D., Nabeshima T., Pandey K., Rajendra S.P., Shah Y., Adhikari B.R., Et al., First isolation of dengue virus from the 2010 epidemic in Nepal, Trop Med Health, 41, pp. 103-111, (2013); Dhimal M., Gautam I., Joshi H.D., O'Hara R.B., Ahrens B., Kuch U., Risk factors for the presence of chikungunya and dengue vectors (Aedes aegypti and Aedes albopictus), their altitudinal distribution and climatic determinants of their abundance in Central Nepal, PLoS Negl Trop Dis, 9, (2015); Dhimal M., Gautam I., Kress A., Muller R., Kuch U., Spatio-temporal distribution of dengue and lymphatic filariasis vectors along an altitudinal transect in Central Nepal, PLoS Negl Trop Dis, 8, (2014); Jing X., Li Z.-H., Huo X.-B., Zhang S.-S., Gong X.-S., Analysis and study on the population bionomics of the Aedes albopictus in Shandong, Chin J Hyg Insecticides Equip, 12, pp. 216-218, (2006); Erguler K., Smith-Unna S.E., Waldock J., Proestos Y., Christophides G.K., Lelieveld J., Et al., Large-scale modelling of the environmentally-driven population dynamics of temperate Aedes albopictus (Skuse), PLoS One, 11, (2016); Johnson T.L., Haque U., Monaghan A.J., Eisen L., Hahn M.B., Hayden M.H., Et al., Modeling the environmental suitability for Aedes (Stegomyia) aegypti and Aedes (Stegomyia) albopictus (Diptera: Culicidae) in the contiguous United States, J Med Entomol, 54, pp. 1605-1614, (2017); Ho S.H., Speldewinde P., Cook A., Predicting arboviral disease emergence using Bayesian networks: A case study of dengue virus in Western Australia, Epidemiol Infect, 145, pp. 54-66, (2017); Eisen L., Monaghan A.J., Lozano-Fuentes S., Steinhoff D.F., Hayden M.H., Bieringer P.E., The impact of temperature on the bionomics of Aedes (Stegomyia) aegypti, with special reference to the cool geographic range margins, J Med Entomol, 51, pp. 496-516, (2014)</t>
  </si>
  <si>
    <t xml:space="preserve">X. Zheng; Department of Pathogen Biology, School of Public Health, Southern Medical University, Guangzhou, 1838 Guangzhou North Avenue, 510515, China; email: zhengxueli2001@126.com</t>
  </si>
  <si>
    <t xml:space="preserve">2-s2.0-85075926985</t>
  </si>
  <si>
    <t xml:space="preserve">Anno S.; Hara T.; Kai H.; Lee M.-A.; Chang Y.; Oyoshi K.; Mizukami Y.; Tadono T.</t>
  </si>
  <si>
    <t xml:space="preserve">Anno, Sumiko (24178818000); Hara, Takeshi (57211769926); Kai, Hiroki (56041120500); Lee, Ming-An (7409102487); Chang, Yi (57300377300); Oyoshi, Kei (55348682300); Mizukami, Yousei (57211767586); Tadono, Takeo (6602942477)</t>
  </si>
  <si>
    <t xml:space="preserve">24178818000; 57211769926; 56041120500; 7409102487; 57300377300; 55348682300; 57211767586; 6602942477</t>
  </si>
  <si>
    <t xml:space="preserve">Spatiotemporal dengue fever hotspots associated with climatic factors in taiwan including outbreak predictions based on machine-learning</t>
  </si>
  <si>
    <t xml:space="preserve">Early warning systems (EWS) have been proposed as a measure for controlling and preventing dengue fever outbreaks in countries where this infection is endemic. A vaccine is not available and has yet to reach the market due to the economic burden of development, introduction and safety concerns. Understanding how dengue spreads and identifying the risk factors will facilitate the development of a dengue EWS, for which a climate-based model is still needed. An analysis was conducted to examine emerging spatiotemporal hotspots of dengue fever at the township level in Taiwan, associated with climatic factors obtained from remotely sensed data in order to identify the risk factors. Machine-learning was applied to support the search for factors with a spatiotemporal correlation with dengue fever outbreaks. Three dengue fever hotspot categories were found in southwest Taiwan and shown to be spatiotemporally associated with five kinds of sea surface temperatures. Machine-learning, based on the deep AlexNet model trained by transfer learning, yielded an accuracy of 100% on an 8-fold cross-validation test dataset of longitude-time sea surface temperature images. © the Author(s), 2019 Licensee PAGEPress, Italy.</t>
  </si>
  <si>
    <t xml:space="preserve">10.4081/gh.2019.771</t>
  </si>
  <si>
    <t xml:space="preserve">https://www.scopus.com/inward/record.uri?eid=2-s2.0-85074959972&amp;doi=10.4081%2fgh.2019.771&amp;partnerID=40&amp;md5=ff46709c0f61e61a5925d9b83c5a2c78</t>
  </si>
  <si>
    <t xml:space="preserve">Graduate School of Global Environmental Studies, Sophia University, Tokyo, Japan; Department of Engineering, Gifu University, Gifu, Japan; Department of Research Development, Remote Sensing Technology Centre of Japan, Tokyo, Japan; Centre of Excellence for Ocean Engineering and Department of Environmental Biology and Fisheries Science, National Taiwan Ocean University, Keelung, Taiwan; Department of Hydraulic and Ocean Engineering and Institute of Ocean Technology and Marine Affairs, National Cheng Kung University, Tainan, Taiwan; Earth Observation Research Centre, Japan Aerospace Exploration Agency, Ibaraki, Japan</t>
  </si>
  <si>
    <t xml:space="preserve">Anno S., Graduate School of Global Environmental Studies, Sophia University, Tokyo, Japan; Hara T., Department of Engineering, Gifu University, Gifu, Japan; Kai H., Department of Research Development, Remote Sensing Technology Centre of Japan, Tokyo, Japan; Lee M.-A., Centre of Excellence for Ocean Engineering and Department of Environmental Biology and Fisheries Science, National Taiwan Ocean University, Keelung, Taiwan; Chang Y., Department of Hydraulic and Ocean Engineering and Institute of Ocean Technology and Marine Affairs, National Cheng Kung University, Tainan, Taiwan; Oyoshi K., Earth Observation Research Centre, Japan Aerospace Exploration Agency, Ibaraki, Japan; Mizukami Y., Earth Observation Research Centre, Japan Aerospace Exploration Agency, Ibaraki, Japan; Tadono T., Earth Observation Research Centre, Japan Aerospace Exploration Agency, Ibaraki, Japan</t>
  </si>
  <si>
    <t xml:space="preserve">Dengue fever; Machine-learning; Remote sensing; Spatiotemporal hotspot analysis; Taiwan</t>
  </si>
  <si>
    <t xml:space="preserve">Climate; Dengue; Disease Outbreaks; Geographic Information Systems; Humans; Machine Learning; Reproducibility of Results; Risk Factors; Spatio-Temporal Analysis; Taiwan; Temperature; climate; dengue; epidemic; geographic information system; human; machine learning; reproducibility; risk factor; spatiotemporal analysis; Taiwan; temperature</t>
  </si>
  <si>
    <t xml:space="preserve">Japan Aerospace Exploration Agency, JAXA, (RA1R803); Japan Aerospace Exploration Agency, JAXA</t>
  </si>
  <si>
    <t xml:space="preserve">Funding text 1: the work was supported by a Japan Aerospace Exploration Agency grant, PI No. RA1R803.; Funding text 2: of 100% on an 8-fold cross-validation test dataset of longitude-Agency grant, PI No. RA1R803.Funding: the work was supported by a Japan Aerospace Exploration time sea surface temperature images.</t>
  </si>
  <si>
    <t xml:space="preserve">Adde A., Roucou P., Mangeas M., Ardillon V., Desenclos J.C., Rousset D., Girod R., Briolant S., Quenel P., Flamand C., Predicting dengue fever outbreaks in French Guiana using climate indicators, Plos Negl Trop Dis, 10, (2016); Azimi S.M., Britz D., Engstler M., Fritz M., Mucklich F., Advanced steel microstructural classification by deep learning methods, Sci Rep, 8, (2018); Brunkard J.M., Cifuentes E., Rothenberg S.J., Assessing the roles of temperature, precipitation, and ENSO in dengue re-emergence on the Texas-Mexico border region, Salud Publica Mex, 50, pp. 227-234, (2008); Canyon D.V., Hii J.L., Muller R., Adaptation of Aedes aegypti (Diptera: Culicidae) oviposition behavior in response to humidity and diet, J Insect Physiol, 45, pp. 959-964, (1999); Chan M., Johansson M.A., The incubation periods of dengue viruses, Plos One, 7, (2012); Chretien J.P., Anyamba A., Small J., Britch S., Sanchez J.L., Halbach A.C., Tucker C., Linthicum K.J., Global climate anomalies and potential infectious disease risks: 2014-2015, Plos Curr, 7, pp. 1-19, (2015); Ciresan D., Meier U., Schmidhuber J., Multi-column deep neural networks for image classification, 2012 IEEE Conference on Computer Vision and Pattern Recognition. Institute of Electrical and Electronics Engineers (IEEE), pp. 3642-3649, (2012); Douglas D.L., Deroeck D.A., Mahoney R.T., Wichmann O., Will dengue vaccines be used in the public sector and, if so, how? Findings from an 8-country survey of policymakers and opinion leaders, Plos Negl Trop Dis, 7, (2013); Ellegard K., Svedin U., Torsten Hägerstrand’s time-geogra-phy as the cradle of the activity approach in transport geography, J Transp Geogr, 23, pp. 17-25, (2012); Create Space Time Cube. ESRI, Redlands, (2016); Creation of the Space Time Cube (STC) and Trend Analysis, (2016); Emerging Hotspot Analysis, (2016); Hotspot Analysis by Getis-Ord GI*, (2016); Fan J., Wei W., Bai Z., Fan C., Li S., Liu Q., Yang K., A systematic review and meta-analysis of dengue risk with temperature change, Int J Environ Res Public Health, 12, pp. 1-15, (2015); Ferreira M.C., Geographical distribution of the association between El Niño south oscillation and dengue fever in the Americas: A continental analysis using geographical information system-based techniques, Geospat Health, 9, pp. 141-151, (2014); Goodfellow I., Bengio Y., Courville A., Deep Learning, (2016); Gu H., Leung R.K., Jing Q., Zhang W., Yang Z., Lu J., Hao Y., Zhang D., Meteorological Factors for Dengue Fever Control and Prevention in South China. Int J Environ Res Public Health 13:Pii:E867, (2016); Gubler D.J., Dengue and dengue hemorrhagic fever, Clin Microbiol Rev, 11, pp. 480-496, (1998); Hagerstrand T., What about people in regional science?, Pap Reg Sci Assoc, 24, pp. 6-21, (1970); Hales S., de Wet N., Maindonald J., Woodward A., Potential effect of population and climate changes on global distribution of dengue fever: An empirical model, Lancet, 360, pp. 830-834, (2002); Harris N.L., Goldman E., Gabris C., Nordling J., Minnemeyer S., Ansari S., Lippmann M., Bennett L., Raad M., Hansen M., Potapov P., Using spatial statistics to identify emerging hot spots of forest loss, Environ Res Lett, 12, (2017); Harris N.L., Goldman E., The Climate Data Guide: TRMM: Tropical Rainfall Measuring Mission, (2019); Johansson M.A., Cummings D.A., Glass G.E., Multiyear climate variability and dengue – El Ninõ southern oscillation, weather, and dengue incidence in Puerto Rico, Mexico, and Thailand: A longitudinal data analysis, Plos Med, 6, pp. 1-9, (2009); Johansson M.A., Dominici F., Glass G.E., Local and global effects of climate on dengue transmission in Puerto Rico, Plos Negl Trop Dis, 3, (2009); Kendall M.G., Gibbons J.D., Rank Correlation Methods, (1990); Krizhevsky A., Sutskever I., Hinton G.E., ImageNet classification with deep convolutional neural networks, Proc Adv Neural Inf Process Syst, 25, pp. 1090-1098, (2012); Kubota T., Shige S., Hashizume H., Aonashi K., Takahashi N., Seto S., Hirose M., Takayabu Y.N., Ushio T., Nakagawa K., Iwanami K., Kachi M., Okamoto K., Global precipitation map using satellite borne microwave radiometers by the GSMaP project: Production and validation, IEEE T Geosci Remote, 45, pp. 2259-2275, (2007); Lim S.P., Wang Q.Y., Noble C.G., Chen Y.L., Dong H., Zou B., Yokokawa F., Nilar S., Smith P., Beer D., Lescar J., Shi P.Y., Ten years of dengue drug discovery: Progress and prospects, Antiviral Res, 100, pp. 500-519, (2013); Lowe R., Barcellos C., Coelho C.A., Bailey T.C., Coelho G.E., Graham R., Jupp T., Ramalho W.M., Carvalho M.S., Stephenson D.B., Rodo X., Dengue outlook for the World Cup in Brazil: An early warning model framework driven by real-time seasonal climate forecasts, Lancet Infect Dis, 14, pp. 619-626, (2014); Mann H.B., Nonparametric tests against trend, Econometrica, 13, pp. 245-259, (1945); Mendez-Lazaro P., Muller-Karger F.E., Otis D., McCarthy M.J., Pena-Orellana M., Assessing climate variability effects on dengue incidence in San Juan, Puerto Rico, Int J Environ Res Public Health, 11, pp. 9409-9428, (2014); Normile D., Safety concerns derail dengue vaccination program, Science, 358, pp. 1514-1515, (2017); Ord K., Getis A., Local spatial autocorrelation statistics: Distributional issues and an application, Geogr Anal, 27, pp. 286-306, (1995); Sasaki Y.N., Minobe S., Asai T., Inatsu M., Influence of the Kuroshio in the East China Sea on the early summer (Baiu) rain, J Clim, 25, pp. 6627-6645, (2012); Shi Y., Liu X., Kok S.Y., Rajarethinam J., Liang S., Yap G., Chong C.S., Lee K.S., Tan S.S., Chin C.K., Lo A., Kong W., Ng L.C., Cook A.R., Three-month real-time dengue forecast models: An early warning system for outbreak alerts and policy decision support in Singapore, Environ Health Perspect, 124, pp. 1369-1375, (2016); Taiwan C.D.C., Taiwan National Infectious Disease Statistics System. Taiwan Centers for Disease Control, (2016); Tipayamongkholgul M., Fang C.T., Klinchan S., Liu C.M., King C.C., Effects of the El Niño-southern oscillation on dengue epidemics in Thailand, 1996-2005, BMC Public Health, 9, pp. 1-15, (2009); Werneck G.L., Georeferenced data in epidemiologic research, Ciên Saúde Colet, 13, pp. 1753-1766, (2008)</t>
  </si>
  <si>
    <t xml:space="preserve">S. Anno; Graduate School of Global Environmental Studies, Sophia University, Tokyo, 1520 Bldg No. 2, 7-1 Kioi-cho, Chiyoda-ku, 102-8554, Japan; email: sumiko_anno@sophia.ac.jp</t>
  </si>
  <si>
    <t xml:space="preserve">2-s2.0-85074959972</t>
  </si>
  <si>
    <t xml:space="preserve">Van Nieuwenhove M.D.M.; Damanet B.; Soentjens P.</t>
  </si>
  <si>
    <t xml:space="preserve">Van Nieuwenhove, Mathias D. M (57212345765); Damanet, Benjamin (57207926505); Soentjens, Patrick (8640257600)</t>
  </si>
  <si>
    <t xml:space="preserve">57212345765; 57207926505; 8640257600</t>
  </si>
  <si>
    <t xml:space="preserve">Timing of Intradermal Rabies Pre-exposure Prophylaxis Injections: Immunological Effect on Vaccination Response</t>
  </si>
  <si>
    <t xml:space="preserve">Rabies remains a global threat, with annually over 59,000 deaths. Intradermal (ID) pre-exposure prophylaxis (PrEP) is very efficient and reduces the need for rabies immunoglobulins. Not much is known about factors that influence the immune response to ID administered rabies vaccine. The aim of this study is to determine if variations in timing of vaccine administration and serology determination, age and gender have an influence on the levels of rabies virus neutralizing antibody (RVNA) after ID rabies vaccination. Materials and Methods: This is a retrospective study based on electronic health record vaccination data of Belgian military personnel who received ID rabies PrEP with a three injections regimen during the period 2014-2017. Serology was determined by using the RFFIT method. Fischer's exacts tests were used to evaluate the effect of each independent variable on RVNA levels. Results: In this study, 2,112 subjects were included. All but one seroconverted with a RVNA level ≥0.5 IU/mL. About 48% of subjects developed an antibody titer of &gt;10 IU/mL, 36% had antibody levels 3-10 IU/mL and 16% had an antibody level 0.5-2.99 IU/mL. Statistically significant (p = 0.0018) higher RVNA levels are observed in the groups that received vaccination doses later as planned. Timing of serology determination also influenced RVNA levels significantly (p = 0.000). Antibody levels were significantly higher in females than in males (p = 0.000). Age did influence RVNA levels significantly (p = 0.022). Conclusions: Timing of vaccine dose administration, timing of serology testing, sex and age do significantly influence the humoral B-cell response to ID administered rabies vaccine. © 2019 Association of Military Surgeons of the United States 2019. All rights reserved.</t>
  </si>
  <si>
    <t xml:space="preserve">Military Medicine</t>
  </si>
  <si>
    <t xml:space="preserve">E512</t>
  </si>
  <si>
    <t xml:space="preserve">E518</t>
  </si>
  <si>
    <t xml:space="preserve">10.1093/milmed/usz048</t>
  </si>
  <si>
    <t xml:space="preserve">https://www.scopus.com/inward/record.uri?eid=2-s2.0-85076474594&amp;doi=10.1093%2fmilmed%2fusz048&amp;partnerID=40&amp;md5=b93e87b1b56414f0d4fce1279f0c0630</t>
  </si>
  <si>
    <t xml:space="preserve">Belgian Military Medical Service, Royal Military Academy, Avenue de la Renaissance 30, Brussels, 1000, Belgium; Travel Clinic, Centre for Infectious Diseases, Military Hospital Queen Astrid, Rue Bruyn 1 1120 Neder-Over-Heembeek, Belgium; Policlinic Department of Clinical Sciences, Institute of Tropical Medicine, Nationalestraat 155, Antwerp, 2000, Belgium</t>
  </si>
  <si>
    <t xml:space="preserve">Van Nieuwenhove M.D.M., Belgian Military Medical Service, Royal Military Academy, Avenue de la Renaissance 30, Brussels, 1000, Belgium; Damanet B., Travel Clinic, Centre for Infectious Diseases, Military Hospital Queen Astrid, Rue Bruyn 1 1120 Neder-Over-Heembeek, Belgium; Soentjens P., Travel Clinic, Centre for Infectious Diseases, Military Hospital Queen Astrid, Rue Bruyn 1 1120 Neder-Over-Heembeek, Belgium, Policlinic Department of Clinical Sciences, Institute of Tropical Medicine, Nationalestraat 155, Antwerp, 2000, Belgium</t>
  </si>
  <si>
    <t xml:space="preserve">immunization schedule; intradermal; military personnel; pre-exposure prophylaxis; rabies vaccines</t>
  </si>
  <si>
    <t xml:space="preserve">Adult; Antibodies; Belgium; Female; Humans; Injections, Intradermal; Male; Middle Aged; Pre-Exposure Prophylaxis; Rabies; Rabies Vaccines; Retrospective Studies; Seroconversion; Time Factors; antibody; rabies vaccine; adult; Belgium; blood; classification; drug effect; female; human; intradermal drug administration; male; middle aged; pre-exposure prophylaxis; procedures; rabies; retrospective study; seroconversion; time factor</t>
  </si>
  <si>
    <t xml:space="preserve">Antibodies, ; Rabies Vaccines, ; rabivax, </t>
  </si>
  <si>
    <t xml:space="preserve">Warrell M.J., Warrell D.A., Rabies and other lyssavirus diseases, Lancet, 363, 9413, pp. 959-969, (2004); Hemachudha T., Ugolini G., Wacharapluesadee S., Sungkarat W., Shuangshoti S., Laothamatas J., Human rabies: Neuropathogenesis, diagnosis, and management, Lancet Neurol, 12, 5, pp. 498-513, (2013); Knobel D.L., Cleaveland S., Coleman P.G., Et al., Re-evaluating the burden of rabies in Africa and Asia, Bull World Health Organ, 83, 5, pp. 360-368, (2005); Hampson K., Coudeville L., Lembo T., Et al., Estimating the global burden of endemic canine rabies, PLoS Negl Trop Dis, 9, 4, (2015); Carrara P., Parola P., Brouqui P., Gautret P., Imported human rabies cases worldwide, 1990-2012, PLoS Negl Trop Dis, 7, 5, (2013); Gautret P., Schwartz E., Shaw M., Et al., Animal-associated injuries and related diseases among returned travellers: A review of the GeoSentinel Surveillance Network, Vaccine, 25, 14, pp. 2656-2663, (2007); Piyaphanee W., Kittitrakul C., Lawpoolsri S., Et al., Risk of potentially rabid animal exposure among foreign travelers in Southeast Asia, PLoS Negl Trop Dis, 6, 9, (2012); Steffen R., Behrens R.H., Hill D.R., Greenaway C., Leder K., Vaccinepreventable travel health risks: What is the evidence-what are the gaps?, J Travel Med, 22, 1, pp. 1-12, (2015); Animal Bites, Active and Reserve Components, 18, 9, pp. 12-15, (2011); MMWR Morb Mortal Wkly Rep, 61, 17, pp. 302-305, (2012); Warrell M.J., Current rabies vaccines and prophylaxis schedules: Preventing rabies before and after exposure, Travel Med Infect Dis, 10, 1, pp. 1-15, (2012); Ziesenitz V.C., Mazer-Amirshahi M., Zocchi M.S., Fox E.R., Lsus M., Vaccine and immune globulin product shortages, 2001-15, Am J Health Syst Pharm, 74, 22, pp. 1879-1886, (2017); Rabies vaccines: WHO position paper-recommendations, Vaccine, 28, 44, pp. 7140-7142, (2010); Moe C.D., Keiser P.B., Should U. S troops routinely get rabies preexposure prophylaxis, Mil Med, 179, 7, pp. 702-703, (2014); Warrell M.J., Intradermal rabies vaccination: The evolution and future of pre-and post-exposure prophylaxis, Curr Top Microbiol Immunol, 351, pp. 139-157, (2012); Roukens A.H., Vossen A.C., Van Dissel J.T., Visser L.G., Reduced dose pre-exposure primary and booster intradermal rabies vaccination with a purified chick embryo cell vaccine (PCECV) is immunogenic and safe in adults, Vaccine, 26, 27-28, pp. 3438-3442, (2008); Lau C., Sisson J., The effectiveness of intradermal pre-exposure rabies vaccination in an Australian travel medicine clinic, J Travel Med, 9, 6, pp. 285-288, (2002); Rabies vaccines: WHO position paper, April 2018-recommendations, Vaccine, 36, 37, pp. 5500-5503, (2018); Kroger A.T., Atkinson W.L., Marcuse E.K., Pickering L.K., Et al., Advisory committee on immunization practices (acip) centers for disease control and prevention (CDC), MMWR Recomm Rep, 60, 2, pp. 1-64, (2011); Mills D.J., Lau C.L., Fearnley E.J., Weinstein P., The immunogenicity of a modified intradermal pre-exposure rabies vaccination schedule-a case series of 420 travelers, J Travel Med, 18, 5, pp. 327-332, (2011); Cook I.F., Sexual dimorphism of humoral immunity with human vaccines, Vaccine, 26, 29-30, pp. 3551-3555, (2008); Castelo-Branco C., Soveral I., The immune system and aging: A review, Gynecol Endocrinol, 30, 1, pp. 16-22, (2014); Manning S.E., Rupprecht C.E., Fishbein D., Et al., Human rabies prevention-United States, 2008: Recommendations of the Advisory Committee on Immunization Practices, MMWR Recomm Rep, 57, pp. 1-28, (2008); WHO expert consultation on rabies, Second Report. World Health Organ Tech Rep ser, 982, pp. 1-139, (2013); Moore S.M., Hanlon C.A., Rabies-specific antibodies: Measuring surrogates of protection against a fatal disease, PLoS Negl Trop Dis, 4, 3, (2010); WHO Expert Committee on Biological Standardization, 941, pp. 1-340, (2007); Brown D., Featherstone J.J., Fooks A.R., Gettner S., Lloyd E., Schweiger M., Intradermal pre-exposure rabies vaccine elicits long lasting immunity, Vaccine, 26, 31, pp. 3909-3912, (2008); Shaw M.M., Leggat P.A., Williams M.L., Intradermal pre-exposure rabies immunisation in New Zealand, Travel Med Infect Dis, 4, 1, pp. 29-33, (2006); Haasova L., Matouch O., Jilek D., Kral V., Richter J., Svedjda J., What is next in antirabies immunization?, Cas Lek Cesk, 130, 2, pp. 54-56, (1991); Verthelyi D., Sex hormones as immunomodulators in health and disease, Int Immunopharmacol, 1, 6, pp. 983-993, (2001); Soentjens P., Andries P., Aerssens A., Et al., Pre-exposure intradermal rabies vaccination: A non-inferiority trial in healthy adults on shortening the vaccination schedule from 28 to 7 days, Clin Infect Dis, 68, 4, pp. 607-614, (2019); Soentjens P., De Koninck K., Tsoumanis A., Et al., A comparative immunogenicity and safety trial of two different schedules of single-visit intradermal rabies post-exposure vaccination following a single visit pre-exposure vaccination, Clin Infect Dis, (2018)</t>
  </si>
  <si>
    <t xml:space="preserve">MMEDA</t>
  </si>
  <si>
    <t xml:space="preserve">Mil. Med.</t>
  </si>
  <si>
    <t xml:space="preserve">2-s2.0-85076474594</t>
  </si>
  <si>
    <t xml:space="preserve">Kempster S.L.; Dougall T.; Morris C.; Gonzalez-Escobar G.; Almond N.; Anderson R.</t>
  </si>
  <si>
    <t xml:space="preserve">Kempster, Sarah L. (6603238167); Dougall, Thomas (56501994400); Morris, Clare (55423505300); Gonzalez-Escobar, Gabriel (57209582689); Almond, Neil (35560340800); Anderson, Rob (57203291135)</t>
  </si>
  <si>
    <t xml:space="preserve">6603238167; 56501994400; 55423505300; 57209582689; 35560340800; 57203291135</t>
  </si>
  <si>
    <t xml:space="preserve">Utility of reference materials for Zika Virus nucleic acid testing</t>
  </si>
  <si>
    <t xml:space="preserve">The emergence of Zika virus (ZIKV) in the Americas has resulted in increased nucleic acid amplification testing (NAT) of clinical samples and blood donations. New molecular diagnostic assays have been developed resulting in a corollary requirement for ZIKV reference material. To address this we have produced and calibrated two African lineage ZIKV reference materials: a highly concentrated secondary standard (NIBSC: 16/110) and a lower concentration external quality control (QC) reagent (NIBSC: 16/124) and compared their performance in three ZIKV NAT assays in relation with the First International Standard (IS) for Zika Virus NAT assays (PEI: 11468/16). In summary the African lineage ZIKV reference materials were detected by all three assays. The ZIKV lineage did not affect the performance of the secondary standard. The external QC reagent (16/124) was detected by all three assays highlighting its suitability for use as a low positive control to monitor assay performance on a regular basis. The relative potency of 16/110 to the IS was 5.49E+06IU/mL (95% CI: 1.46E+06–2.06E+07) and 16/124 to 16/110 was 8.36E+03 (95% CI: 7.83E+03–8.92E+03). The global availability of African lineage ZIKV reference materials will facilitate standardization of ZIKV molecular diagnostic assays between and within laboratories whilst preserving the IS. © 2019</t>
  </si>
  <si>
    <t xml:space="preserve">Biologicals</t>
  </si>
  <si>
    <t xml:space="preserve">10.1016/j.biologicals.2019.06.007</t>
  </si>
  <si>
    <t xml:space="preserve">https://www.scopus.com/inward/record.uri?eid=2-s2.0-85068185382&amp;doi=10.1016%2fj.biologicals.2019.06.007&amp;partnerID=40&amp;md5=38c0f7ea4152836c45cebb3615004cc7</t>
  </si>
  <si>
    <t xml:space="preserve">National Institute for Biological Standards and Control (NIBSC), Blanche Lane, South Mimms, Potters Bar, Hertfordshire, EN6 3QG, United Kingdom; Caribbean Public Health Agency (CARPHA), 16-18, Jamaica Bvd, Federation Park, Port of Spain, Trinidad and Tobago</t>
  </si>
  <si>
    <t xml:space="preserve">Kempster S.L., National Institute for Biological Standards and Control (NIBSC), Blanche Lane, South Mimms, Potters Bar, Hertfordshire, EN6 3QG, United Kingdom; Dougall T., National Institute for Biological Standards and Control (NIBSC), Blanche Lane, South Mimms, Potters Bar, Hertfordshire, EN6 3QG, United Kingdom; Morris C., National Institute for Biological Standards and Control (NIBSC), Blanche Lane, South Mimms, Potters Bar, Hertfordshire, EN6 3QG, United Kingdom; Gonzalez-Escobar G., Caribbean Public Health Agency (CARPHA), 16-18, Jamaica Bvd, Federation Park, Port of Spain, Trinidad and Tobago; Almond N., National Institute for Biological Standards and Control (NIBSC), Blanche Lane, South Mimms, Potters Bar, Hertfordshire, EN6 3QG, United Kingdom; Anderson R., National Institute for Biological Standards and Control (NIBSC), Blanche Lane, South Mimms, Potters Bar, Hertfordshire, EN6 3QG, United Kingdom</t>
  </si>
  <si>
    <t xml:space="preserve">Molecular virus diagnostics; NAT; PCR; Zika virus</t>
  </si>
  <si>
    <t xml:space="preserve">Animals; Blood Donors; Chlorocebus aethiops; Humans; Nucleic Acid Amplification Techniques; Reference Standards; Vero Cells; Zika Virus; Zika Virus Infection; nucleic acid; Article; blood donor; controlled study; cytopathogenic effect; molecular diagnosis; nonhuman; nucleic acid amplification; priority journal; qualitative analysis; quality control; quantitative analysis; reproducibility; standardization; Vero cell line; virus inactivation; virus isolation; Zika virus; animal; blood; blood donor; Chlorocebus aethiops; genetics; human; standard; Zika fever; Zika virus</t>
  </si>
  <si>
    <t xml:space="preserve">CARPHA; Department of Health &amp; Social Care, UK; NIBSC; Department of Health &amp; Social Care, DH; University of Glasgow</t>
  </si>
  <si>
    <t xml:space="preserve">Funding text 1: We would like to acknowledge NCPV for providing ZIKV strains, CARPHA for contributing clinical samples and Dr Alain Kohl at the University of Glasgow for providing the isolate Brazil/PE243/2015. We would also like to acknowledge Dr Mark Page and James Ashall of NIBSC for coordinating and collecting samples from CARPHA. This work was funded by the Department of Health &amp; Social Care, UK.; Funding text 2: We would like to acknowledge NCPV for providing ZIKV strains, CARPHA for contributing clinical samples and Dr Alain Kohl at the University of Glasgow for providing the isolate Brazil/PE243/2015. We would also like to acknowledge Dr Mark Page and James Ashall of NIBSC for coordinating and collecting samples from CARPHA. This work was funded by the Department of Health &amp; Social Care, UK .  </t>
  </si>
  <si>
    <t xml:space="preserve">Dick G.W., Kitchen S.F., Haddow A.J., Zika virus. I. Isolations and serological specificity, Trans R Soc Trop Med Hyg, 46, pp. 509-520, (1952); Ioos S., Mallet H.P., Leparc Goffart I., Gauthier V., Cardoso T., Herida M., Current Zika virus epidemiology and recent epidemics, Med Maladies Infect, 44, pp. 302-307, (2014); Cauchemez S., Besnard M., Bompard P., Dub T., Guillemette-Artur P., Eyrolle-Guignot D., Et al., Association between Zika virus and microcephaly in French Polynesia, 2013-15: a retrospective study, Lancet, 387, pp. 2125-2132, (2016); Malkki H., CNS infections: mouse studies confirm the link between Zika virus infection and microcephaly, Nat Rev Neurol, 12, (2016); Arias A., Torres-Tobar L., Hernandez G., Paipilla D., Palacios E., Torres Y., Et al., Guillain-Barre syndrome in patients with a recent history of Zika in Cucuta, Colombia: a descriptive case series of 19 patients from December 2015 to March 2016, J Crit Care, 37, pp. 19-23, (2017); Corman V.M., Rasche A., Baronti C., Aldabbagh S., Cadar D., Reusken C.B., Et al., Assay optimization for molecular detection of Zika virus, Bull World Health Organ, 94, pp. 880-892, (2016); Charrel R., Mogling R., Pas S., Papa A., Baronti C., Koopmans M., Et al., Variable sensitivity in molecular detection of zika virus in european expert laboratories: external quality assessment, november 2016, J Clin Microbiol, 55, pp. 3219-3226, (2017); Lanciotti R.S., Lambert A.J., Holodniy M., Saavedra S., Signor Ldel C., Phylogeny of zika virus in western hemisphere, 2015, Emerg Infect Dis, 22, pp. 933-935, (2016); Baylis S.A., Hanschmann K.O., Schnierle B.S., Trosemeier J.H., Blumel J., Zika Virus Collaborative Study G., Harmonization of nucleic acid testing for zika virus: development of the 1st world Health organization international standard, Transfusion, 57, pp. 748-761, (2017); Donald C.L., Brennan B., Cumberworth S.L., Rezelj V.V., Clark J.J., Cordeiro M.T., Et al., Full genome sequence and sfRNA interferon antagonist activity of zika virus from recife, Brazil, PLoS Neglected Trop Dis, 10, (2016); Lanciotti R.S., Kosoy O.L., Laven J.J., Velez J.O., Lambert A.J., Johnson A.J., Et al., Genetic and serologic properties of Zika virus associated with an epidemic, Yap State, Micronesia, 2007, Emerg Infect Dis, 14, pp. 1232-1239, (2008); Saldanha J., Lelie N., Heath A., Establishment of the first international standard for nucleic acid amplification technology (NAT) assays for HCV RNA. WHO Collaborative Study Group, Vox Sang, 76, pp. 149-158, (1999); Pyke A.T., Daly M.T., Cameron J.N., Moore P.R., Taylor C.T., Hewitson G.R., Et al., Imported zika virus infection from the Cook Islands into Australia, 2014, PLoS Curr, 6, (2014); CDC U., Interim guidance for zika virus testing of urine - United States, 2016, MMWR Morb Mortal Wkly Rep, 65, (2016); Herrera B.B., Chang C.A., Hamel D.J., Mboup S., Ndiaye D., Imade G., Et al., Continued transmission of zika virus in humans in west Africa, 1992-2016, J Infect Dis, 215, pp. 1546-1550, (2017); Fang Y., Brault A.C., Reisen W.K., Comparative thermostability of West Nile, St. Louis encephalitis, and western equine encephalomyelitis viruses during heat inactivation for serologic diagnostics, Am J Trop Med Hyg, 80, pp. 862-863, (2009); Nowak T., Niedrig M., Bernhardt D., Hilfenhaus J., Inactivation of HIV, HBV, HCV related viruses and other viruses in human plasma derivatives by pasteurisation, Dev Biol Stand, 81, pp. 169-176, (1993); Bae H.G., Nitsche A., Teichmann A., Biel S.S., Niedrig M., Detection of yellow fever virus: a comparison of quantitative real-time PCR and plaque assay, J Virol Methods, 110, pp. 185-191, (2003); Thompson K.A., Yin J., Population dynamics of an RNA virus and its defective interfering particles in passage cultures, Virol J, 7, (2010); Baylis S.A., Chudy M., Nubling C.M., Standardization of NAT for blood-borne pathogens, Transfus Med Hemotherapy, 42, pp. 211-218, (2015); St George K., Sohi I.S., Dufort E.M., Dean A.B., White J.L., Limberger R., Et al., Zika virus testing considerations: lessons learned from the first 80 real-time reverse transcription-PCR-positive cases diagnosed in New York state, J Clin Microbiol, 55, pp. 535-544, (2017); Westgard J.O., Barry P.L., Hunt M.R., Groth T., A multi-rule Shewhart chart for quality control in clinical chemistry, Clin Chem, 27, pp. 493-501, (1981); Atkinson B., Thorburn F., Petridou C., Bailey D., Hewson R., Simpson A.J., Et al., Presence and persistence of zika virus RNA in semen, United Kingdom, 2016, Emerg Infect Dis, 23, (2017)</t>
  </si>
  <si>
    <t xml:space="preserve">S.L. Kempster; National Institute for Biological Standards and Control (NIBSC), Hertfordshire, Blanche Lane, South Mimms, Potters Bar, EN6 3QG, United Kingdom; email: sarah.kempster@nibsc.org</t>
  </si>
  <si>
    <t xml:space="preserve">BILSE</t>
  </si>
  <si>
    <t xml:space="preserve">2-s2.0-85068185382</t>
  </si>
  <si>
    <t xml:space="preserve">Simon A.; Vinayakumar R.; Sowmya V.; Soman K.P.; Gopalakrishnan E.A.A.</t>
  </si>
  <si>
    <t xml:space="preserve">Simon, Anson (57205209305); Vinayakumar, Ravi (56755324000); Sowmya, Viswanathan (36096164300); Soman, Kutti Padannayil (57205365723); Gopalakrishnan, Ennappadam Anathanarayanan A. (43761171400)</t>
  </si>
  <si>
    <t xml:space="preserve">57205209305; 56755324000; 36096164300; 57205365723; 43761171400</t>
  </si>
  <si>
    <t xml:space="preserve">A deep learning approach for patch-based disease diagnosis from microscopic images</t>
  </si>
  <si>
    <t xml:space="preserve">Disease diagnosis classifies patients’ health conditions into specific grades and helps to make appropriate decisions for better treatment. Advancement in the field of microscopy and computer vision enables efficient disease diagnosis, a requirement for economical healthcare. Recently, deep learning recasts the face of computer vision, which outperforms humans in object recognition tasks. Usually, convolutional neural networks (CNNs) are used for image recognition tasks due to the fact that such a network architecture considers the spatial structure of the images. Instead of depending on CNN alone, here we introduce a new architecture, which consists of a shallow CNN appended with a single recurrent layer. Performance comparison of the proposed architectures on microscopic images have been done by using three different types of recurrent layers, such as recurrent neural network, long short term memory, and gated recurrent unit. We also evaluated the performance of all these models on three different disease diagnosis tasks from microscopic images: tuberculosis in sputum samples, intestinal parasite eggs in stool samples, and malaria in thick blood smears. In all cases, the proposed models produce better performance than state-of-the-art models. The proposed deep architectures for disease diagnosis fewer trainable parameters when compared to the existing state-of-the-art deep architecture. © 2019 Elsevier Inc. All rights reserved.</t>
  </si>
  <si>
    <t xml:space="preserve">Classification Techniques for Medical Image Analysis and Computer Aided Diagnosis</t>
  </si>
  <si>
    <t xml:space="preserve">10.1016/B978-0-12-818004-4.00005-4</t>
  </si>
  <si>
    <t xml:space="preserve">https://www.scopus.com/inward/record.uri?eid=2-s2.0-85096614450&amp;doi=10.1016%2fB978-0-12-818004-4.00005-4&amp;partnerID=40&amp;md5=58b6236179c891669a0fedc2a04774fb</t>
  </si>
  <si>
    <t xml:space="preserve">Center for Computational Engineering and Networking (CEN), Amrita School of Engineering, Coimbatore, India</t>
  </si>
  <si>
    <t xml:space="preserve">Simon A., Center for Computational Engineering and Networking (CEN), Amrita School of Engineering, Coimbatore, India; Vinayakumar R., Center for Computational Engineering and Networking (CEN), Amrita School of Engineering, Coimbatore, India; Sowmya V., Center for Computational Engineering and Networking (CEN), Amrita School of Engineering, Coimbatore, India; Soman K.P., Center for Computational Engineering and Networking (CEN), Amrita School of Engineering, Coimbatore, India; Gopalakrishnan E.A.A., Center for Computational Engineering and Networking (CEN), Amrita School of Engineering, Coimbatore, India</t>
  </si>
  <si>
    <t xml:space="preserve">CNN; Computer vision; Deep learning; Disease diagnosis; GRU; Intestinal parasites; LSTM; Malaria; Microscopy; RNN; Tuberculosis</t>
  </si>
  <si>
    <t xml:space="preserve">Quinn J.A., Nakasi R., Mugagga P.K.B., Byanyima P., Lubega W., Andama A., Deep convolutional neural networks for microscopy-based point of care diagnostics, Machine Learning for Healthcare Conference, pp. 271-281, (2016); Lang K., Wang D., Fong S., Et al., A survey of data mining and deep learning in bioinformatics, Appl. Soft Comput., 42, 8, (2018); Beagum S., Dey N., Ashour A.S., Nonparametric de-noising filter optimization using structure-based microscopic image classification, Microsc. Res. Tech., 80, 4, pp. 419-429, (2017); LeCun Y., Bengio Y., Hinton G., Deep learning, Nature, 521, 7553, pp. 436-444, (2015); He K., Zhang X., Ren S., Sun J., Delving deep into rectifiers: Surpassing human-level performance on ImageNet classification, Proceedings of the IEEE International Conference on Computer Vision, pp. 1026-1034, (2015); Usaj M.M., Styles E.B., Verster A.J., Friesen H., Boone C., Andrews B.J., High-content screening for quantitative cell biology, Trends Cell Biol., 26, 8, pp. 598-611, (2016); Yu W., Et al., Mice liver cirrhosis microscopic image analysis using gray level co-occurrence matrix and support vector machines. Frontiers in artificial intelligence and applications, International Conference on Information Technology and Intelligent Transportation Systems (ITITS), pp. 509-515, (2017); Wang Y., Et al., Classification of mice hepatic granuloma microscopic images based on a deep convolutional neural network, Appl. Soft Comput., 74, 1, pp. 40-50, (2018); Laufer C., Fischer B., Billmann M., Huber W., Boutros M., Mapping genetic interactions in human cancer cells with RNAi and multiparametric phenotyping, Nat. Methods, 10, 5, (2013); Ljosa V., Caie P.D., Ter Horst R., Sokolnicki K.L., Jenkins E.L., Daya S., Roberts M.E., Jones T.R., Singh S., Genovesio A., Et al., Comparison of methods for image-based profiling of cellular morphological responses to small-molecule treatment, J. Biomol. Screen., 18, 10, pp. 1321-1329, (2013); Chong Y.T., Koh J.L.Y., Friesen H., Duffy S.K., Cox M.J., Moses A., Moffat J., Boone C., Andrews B.J., Yeast proteome dynamics from single cell imaging and automated analysis, Cell, 161, 6, pp. 1413-1424, (2015); Breker M., Schuldiner M., The emergence of proteome-wide technologies: Systematic analysis of proteins comes of age, Nat. Rev. Mol. Cell Biol., 15, 7, (2014); Grys B.T., Lo D.S., Sahin N., Kraus O.Z., Morris Q., Boone C., Andrews B.J., Machine learning and computer vision approaches for phenotypic profiling, J. Cell Biol., 216, 1, pp. 65-71, (2017); Chen S.-C., Zhao T., Gordon G.J., Murphy R.F., Automated image analysis of protein localization in budding yeast, Bioinformatics, 23, 13, pp. i66-i71, (2007); Denervaud N., Becker J., Delgado-Gonzalo R., Damay P., Rajkumar A.S., Unser M., Shore D., Naef F., Maerkl S.J., A chemostat array enables the spatio-temporal analysis of the yeast proteome, Proc. Natl Acad. Sci. USA, 110, 39, pp. 15842-15847, (2013); Lu A.X., Moses A.M., An unsupervised kNN method to systematically detect changes in protein localization in high-throughput microscopy images, PLoS ONE, 11, 7, (2016); Liberali P., Snijder B., Pelkmans L., Single-cell and multivariate approaches in genetic perturbation screens, Nat. Rev. Genet., 16, 1, (2015); Kraus O.Z., Frey B.J., Computer vision for high content screening, Crit. Rev. Biochem. Mol. Biol., 51, 2, pp. 102-109, (2016); Li Z., Dey N., Et al., Convolutional neural network based clustering and manifold learning method for diabetic plantar pressure imaging dataset, J. Med. Imaging Health Inf., 7, 3, pp. 639-652, (2017); Durr O., Sick B., Single-cell phenotype classification using deep convolutional neural networks, J. Biomol. Screen., 21, 9, pp. 998-1003, (2016); Kraus O.Z., Ba J.L., Frey B.J., Classifying and segmenting microscopy images with deep multiple instance learning, Bioinformatics, 32, 12, pp. i52-i59, (2016); Parnamaa T., Parts L., Accurate classification of protein subcellular localization from high-throughput microscopy images using deep learning, G3 Genes Genomes Genet., 7, 5, pp. 1385-1392, (2017); Eulenberg P., Koehler N., Blasi T., Filby A., Carpenter A.E., Rees P., Theis F.J., Wolf F.A., Deep learning for imaging flow cytometry: Cell cycle analysis of Jurkat cells, Nat. Commun., (2016); Ciresan D.C., Giusti A., Gambardella L.M., Schmidhuber J., Mitosis detection in breast cancer histology images with deep neural networks, International Conference on Medical Image Computing and Computer-Assisted Intervention, pp. 411-418, (2013); Ning F., Delhomme D., LeCun Y., Piano F., Bottou L., Barbano P.E., Toward automatic phenotyping of developing embryos from videos, IEEE Trans. Image Process., 14, 9, pp. 1360-1371, (2005); Qiu Y., Lu X., Yan S., Tan M., Cheng S., Li S., Liu H., Zheng B., Applying deep learning technology to automatically identify metaphase chromosomes using scanning microscopic images: An initial investigation, Biophotonics and Immune Responses XI, 9709, (2016); Xie W., Noble J.A., Zisserman A., Microscopy cell counting and detection with fully convolutional regression networks, Comput. Methods Biomech. Biomed. Eng. Imaging Vis., 6, pp. 283-292, (2016); Rosado L., Correia da Costa J.M., Elias D., Cardoso J.S., A review of automatic malaria parasites detection and segmentation in microscopic images, Anti-Infect. Agents, 14, 1, pp. 11-22, (2016); Beagum S., Ashour A.S., Dey N., Bag-of-features in microscopic images classification, Medical Imaging: Concepts, Methodologies, Tools, and Applications, 1, pp. 435-456, (2017); Rico-Garcia M., Salazar A., Madrigal C.-A., Morantes-Guzman L.-J., Cortes-Mancera F.M., Detection of Mycobacterium tuberculosis in microscopic images of Ziehl-Neelsen-stained sputum smears, pp. 1-6, (2015); Yang Y.S., Park D.K., Kim H.C., Choi M.-H., Chai J.-Y., Automatic identification of human helminth eggs on microscopic fecal specimens using digital image processing and an artificial neural network, IEEE Trans. Biomed. Eng., 48, 6, pp. 718-730, (2001); Avci D., Varol A., An expert diagnosis system for classification of human parasite eggs based on multi-class SVM, Expert Syst. Appl., 36, 1, pp. 43-48, (2009); Visin F., Kastner K., Cho K., Matteucci M., Courville A., Bengio Y., Renet: A recurrent neural network based alternative to convolutional networks, Computing Research Repository (CoRR)abs/1505.00393, (2015); Sachin R., Sowmya V., Govind D., Soman K.P., Dependency of various color and intensity planes on CNN based image classification, International Symposium on Signal Processing and Intelligent Recognition Systems, pp. 167-177, (2017); Vinayakumar R., Soman K.P., Poornachandran P., Sachin Kumar S., Detecting Android malware using long short-term memory (LSTM), J. Intell. Fuzzy Syst., 34, 3, pp. 1277-1288, (2018)</t>
  </si>
  <si>
    <t xml:space="preserve">978-012818004-4; 978-012818005-1</t>
  </si>
  <si>
    <t xml:space="preserve">2-s2.0-85096614450</t>
  </si>
  <si>
    <t xml:space="preserve">Mohanty I.; Pattanaik P.A.; Swarnkar T.</t>
  </si>
  <si>
    <t xml:space="preserve">Mohanty, Itishree (57214009928); Pattanaik, P.A. (57193904578); Swarnkar, Tripti (34881196300)</t>
  </si>
  <si>
    <t xml:space="preserve">57214009928; 57193904578; 34881196300</t>
  </si>
  <si>
    <t xml:space="preserve">Automatic detection of malaria parasites using unsupervised techniques</t>
  </si>
  <si>
    <t xml:space="preserve">The focus of this paper is towards comparing the computational paradigms of two unsupervised data reduction techniques, namely Auto encoder and Self-organizing Maps. The domain of inquiry in this paper is for automatic malaria identification from blood smear images, which has a great relevance in healthcare informatics and requires a good treatment for the patients. Extensive experiments are performed using the microscopically thick blood smear image datasets. Our results reveal that the deep-learning-based Auto encoder technique is better than the Self-organizing Maps technique in terms of accuracy of 87.5%. The Auto encoder technique is computationally efficient, which may further facilitate its malaria identification in the clinical routine. © Springer Nature Switzerland AG 2019.</t>
  </si>
  <si>
    <t xml:space="preserve">Springer Netherlands</t>
  </si>
  <si>
    <t xml:space="preserve">10.1007/978-3-030-00665-5_5</t>
  </si>
  <si>
    <t xml:space="preserve">https://www.scopus.com/inward/record.uri?eid=2-s2.0-85060255005&amp;doi=10.1007%2f978-3-030-00665-5_5&amp;partnerID=40&amp;md5=3b6b5cd8b364d2aa5b3c00f5095d4e0a</t>
  </si>
  <si>
    <t xml:space="preserve">Department of Computer Science &amp; Engineering, S ‘O’ A (Deemed to be University), Bhubaneswar, 751030, India</t>
  </si>
  <si>
    <t xml:space="preserve">Mohanty I., Department of Computer Science &amp; Engineering, S ‘O’ A (Deemed to be University), Bhubaneswar, 751030, India; Pattanaik P.A., Department of Computer Science &amp; Engineering, S ‘O’ A (Deemed to be University), Bhubaneswar, 751030, India; Swarnkar T., Department of Computer Science &amp; Engineering, S ‘O’ A (Deemed to be University), Bhubaneswar, 751030, India</t>
  </si>
  <si>
    <t xml:space="preserve">Auto encoder; Malaria; Microscopic blood smear images; Self-organizing maps (SOM)</t>
  </si>
  <si>
    <t xml:space="preserve">Malaria Microscopy Quality Assurance Manual-Version 2. World Health Organization, (2016); World Malaria Report 2016. World Health Organization, (2016); Tek F.B., Dempster A.G., Kale I., Computer vision for microscopy diagnosis of malaria, Malaria J, 8, 1, (2009); Das D., Mukherjee R., Chakraborty C., Computational microscopic imaging for malaria parasite detection: A systematic review, J Microsc, 260, 1, pp. 1-19, (2015); Jan Z., Khan A., Sajjad M., Muhammad K., Rho S., Mehmood I., A review on automated diagnosis of malaria parasite in microscopic blood smears images, Multimedia Tools Appl, 77, pp. 1-26, (2017); Devi S.S., Sheikh S.A., Laskar R.H., Erythrocyte features for malaria parasite detection in microscopic images of thin blood smear: A review, Int J Interact Multimed Artif Intell, 4, 2, pp. 34-39, (2016); Poostchi M., Silamut K., Maude R., Jaeger S., Thoma G., Image analysis and machine learning for detecting malaria, Transl Res, 194, (2018); Shen H., Pan W.D., Dong Y., Alim M., Lossless compression of curated erythrocyte images using deep autoencoders for malaria infection diagnosis, Picture Coding Symposium (PCS), pp. 1-5, (2016); Bustamam A., Aldila D., Fatimah A.M.D., Clustering self-organizing maps (SOM) method for human papillomavirus (HPV) DNA as the main cause of cervical cancer disease, AIP Conference Proceedings, 1862, 1, pp. 30-155, (2017); Corral J.A., Guerrero M., Zufiria P.J., Image compression via optimal vector quantization: A comparison between SOM, LBG and k-means algorithms, 1994 IEEE International Conference on Neural Network. IEEE World Congress on Computational Intelligence, 6, pp. 4113-4118, (1994); Marghescu D., Rajanen M.J., Assessing the USE of the SOM technique in data mining, Databases and Applications, pp. 181-186, (2005); Razzak M.I., Naz S., Zaib A., Deep learning for medical image processing: Overview, challenges and the future, Classification in Bioapps, pp. 323-350, (2018)</t>
  </si>
  <si>
    <t xml:space="preserve">I. Mohanty; Department of Computer Science &amp; Engineering, S ‘O’ A (Deemed to be University), Bhubaneswar, 751030, India; email: itishreemohantym@gmail.com</t>
  </si>
  <si>
    <t xml:space="preserve">2-s2.0-85060255005</t>
  </si>
  <si>
    <t xml:space="preserve">Pelaez E.</t>
  </si>
  <si>
    <t xml:space="preserve">Pelaez, Enrique (57350001200)</t>
  </si>
  <si>
    <t xml:space="preserve">A fuzzy cognitive map (FCM) as a learning model for early prognosis of seasonal related virus diseases in tropical regions</t>
  </si>
  <si>
    <t xml:space="preserve">Fuzzy Cognitive Maps (FCMs) and current developments in Machine Learning have been contributing in capturing human behaviors through data and learning models, which focus on predicting, interpreting or identifying behavioral patterns on systems and their relationships. In recent years seasonal diseases caused by vectors that transport viral pathogens in tropical regions, such as the Aedes Aegypti mosquito, have caused noticeable impacts both on public health and country's economies in Latin America. This work proposes a model for early prognosis based on FCMs for making a risk assessment of potential presence of seasonal virus-related diseases in a specific region of the Ecuadorian coast. The FCM is used as a knowledge representation strategy for the cause-effect relationships; and, learning models for gaining the identification of the underlying cause of symptoms. The model aims to improve the chances of proper prognosis of seasonal diseases, which could impact not only the prescription and correct decisions, but also the actions taken for preventing the spread of seasonal diseases. © 2019 IEEE.</t>
  </si>
  <si>
    <t xml:space="preserve">2019 6th International Conference on eDemocracy and eGovernment, ICEDEG 2019</t>
  </si>
  <si>
    <t xml:space="preserve">10.1109/ICEDEG.2019.8734354</t>
  </si>
  <si>
    <t xml:space="preserve">https://www.scopus.com/inward/record.uri?eid=2-s2.0-85068391764&amp;doi=10.1109%2fICEDEG.2019.8734354&amp;partnerID=40&amp;md5=629c5a3e0ae36b65673c6125a25c1f18</t>
  </si>
  <si>
    <t xml:space="preserve">Facultad de Ingeniería en Electricidad y Computación, ESPOL Polytechnic University, Escuela Superior Politécnica Del Litoral, ESPOL, Campus Gustavo Galindo Km. 30.5 Vía, Perimetral Box 09-01-5863, Guayaquil, Ecuador</t>
  </si>
  <si>
    <t xml:space="preserve">Pelaez E., Facultad de Ingeniería en Electricidad y Computación, ESPOL Polytechnic University, Escuela Superior Politécnica Del Litoral, ESPOL, Campus Gustavo Galindo Km. 30.5 Vía, Perimetral Box 09-01-5863, Guayaquil, Ecuador</t>
  </si>
  <si>
    <t xml:space="preserve">Causal Complex Systems; Dengue Fever; Fuzzy Cognitive Maps; Knowledge Representation; Machine Learning; Tropical Seasonal Diseases</t>
  </si>
  <si>
    <t xml:space="preserve">Behavioral research; Cognitive systems; Fuzzy rules; Knowledge representation; Large scale systems; Learning systems; Machine learning; Risk assessment; Tropical engineering; Tropics; Viruses; Behavioral patterns; Cause-effect relationships; Dengue fevers; Fuzzy cognitive map; Fuzzy cognitive maps (FCMs); Human behaviors; Tropical regions; Underlying cause; Diagnosis</t>
  </si>
  <si>
    <t xml:space="preserve">Kosko B., Fuzzy cognitive maps, International Journal of Man-Machine Studies, 24, pp. 65-75, (1986); Axelrod R., Structure of Decision, the Cognitive Maps of Political Elites, (1976); Handel A.S., Ayala E.B., Borbor-Cordova M.J., Fessler A.G., Finkelstein J.L., Espinoza R.X.R., Ryan S.J., Stewart-Ibarra A.M., Knowledge, attitudes, and practices regarding dengue infection among public sector healthcare providers in Machala, Ecuador, Troprical Diseases Travel Medicines and Vaccines, 8, (2016); Heydari N., Larsen D.A., Neira M., Beltran Ayala E., Fernandez P., Adrian J., Rochford R., Stewart-Ibarra A.M., Household dengue prevention interventions, expenditures, and barriers to aedes aedes aegypti control in machala, Ecuador, International Journal of Environmental Research and Public Health. 2017 Feb 16, 14, 2; Clerk Maxwell J., A Treatise on Electricity and Magnetism, 2, pp. 68-73, (1892); Institute of Medicine (US) Forum on Microbial Threats. Vector-Borne Diseases: Understanding the Environmental, Human Health, and Ecological Connections, (2008); Valenzuela J.G., Aksoy S., Impact of vector biology research on old and emerging neglected tropical diseases, PLoS Neglected Tropical Diseases Journal., 12, 5, (2018); Goodfellow I., Bengio Y., Courville A., Deep Learning, (2016); Oja E., Ogawa H., Wangviwattana J., Learning in nonlinear constrained Hebbian networks, Artificial Neural Networks, pp. 385-390, (1991); Papageorgiou E.I., Stylios C.D., Groumpos P.P., Fuzzy cognitive map learning based on nonlinear hebbian rule, Lecture Notes in Artificial Intelligence, 2903, pp. 254-266, (2003); Papageorgiou E.I., Stylios C., Groumpos P.P., Unsupervised learning techniques for fine-tuning fuzzy cognitive map causal links, International Journal of Human-Computer Studies, 64, pp. 727-743, (2006); Elpiniki I., Papageorgiou: Fuzzy cognitive maps for applied sciences and engineering-from fundamentals to extensions and learning algorithms, Intelligent Systems Reference Library, 54, (2014); Amirkhani A., Papageorgiou E.I., Mohseni A., Mosavi M.R., A review of fuzzy cognitive maps in medicine: Taxonomy, methods, and applications, Computer Methods and Programs in Biomedicine, 142, pp. 129-145, (2017); Lowe R., Stewart-Ibarra A.M., Petrova D., Garcia-Diez M., Borbor-Cordova M.J., Mejia R., Regato M., Rodo X., Climate services for health: Predicting the evolution of the 2016 dengue season in machala, Ecuador, The Lancet, Planetary Health, 1, 4, pp. PE142-E151, (2017); Kenneson A., Beltran-Ayala E., Borbor-Cordova M.J., Polhemus M.E., Ryan S.J., Endy T.P., Stewart-Ibarra A.M., Social-ecological factors and preventive actions decrease the risk of dengue infection at the household-level: Results from a prospective dengue surveillance study in Machala, Ecuador, PLOS Neglected Tropical Diseases, (2017); Lowe R., Stewart-Ibarra A.M., Petrova D., Garcia-Diez M., Borbor-Cordova M.J., Mejia R., Regato M., Rodo X., Climate services for health: Predicting the evolution of the 2016 dengue season in machala, Ecuador, The Lancet Planetary Health, 1, 4, pp. e142-e151, (2017); Ibarra Stewart A.M., Luzadis V.A., Cordova Borbor M.J., Silva M., Ordonez T., Beltran Ayala E., Ryan S.J., A social-ecological analysis of community perceptions of dengue fever and aedes aegypti in machala, Ecuador, BMC Public Health, 14, (2014); Stewart-Ibarra A.M., Ngel Munoz G.A., Ryan S.J., BeltrAn Ayala E., Borbor-Cordova M.J., Finkelstein J.L., Mejia R., Ordonez T., Cristina Recalde-Coronel G., Rivero K., Spatiotemporal clustering, climate periodicity, and social-ecological risk factors for dengue during an outbreak in Machala, Ecuador, in 2010, BMC Infectious Diseases, 14, (2014)</t>
  </si>
  <si>
    <t xml:space="preserve">E. Pelaez; Facultad de Ingeniería en Electricidad y Computación, ESPOL Polytechnic University, Escuela Superior Politécnica Del Litoral, ESPOL, Campus Gustavo Galindo Km. 30.5 Vía, Guayaquil, Perimetral Box 09-01-5863, Ecuador; email: epelaez@espol.edu.ec</t>
  </si>
  <si>
    <t xml:space="preserve">Teran L.; Teran L.; Universidad de las Fuerzas Armadas (ESPE), Departamento de Ciencias de la Computacion, Av. General Ruminahui s/n, Quito; Meier A.; Pincay J.</t>
  </si>
  <si>
    <t xml:space="preserve">6th International Conference on eDemocracy and eGovernment, ICEDEG 2019</t>
  </si>
  <si>
    <t xml:space="preserve">24 April 2019 through 26 April 2019</t>
  </si>
  <si>
    <t xml:space="preserve">Quito</t>
  </si>
  <si>
    <t xml:space="preserve">978-172811704-1</t>
  </si>
  <si>
    <t xml:space="preserve">Int. Conf. eDemocracy eGovernment, ICEDEG</t>
  </si>
  <si>
    <t xml:space="preserve">2-s2.0-85068391764</t>
  </si>
  <si>
    <t xml:space="preserve">Jarrin E.P.; Cordeiro F.B.; Medranda W.C.; Barrett M.; Zambrano M.; Regato M.</t>
  </si>
  <si>
    <t xml:space="preserve">Jarrin, Enrique Pelaez (57350001200); Cordeiro, Fernanda Bertuccez (55353001200); Medranda, Washington Cardenas (57216318006); Barrett, Michael (7202188382); Zambrano, Mildred (57216321702); Regato, Mary (23025921100)</t>
  </si>
  <si>
    <t xml:space="preserve">57350001200; 55353001200; 57216318006; 7202188382; 57216321702; 23025921100</t>
  </si>
  <si>
    <t xml:space="preserve">A Machine Learning-Based algorithm for the assessment of clinical metabolomic fingerprints in Zika virus disease</t>
  </si>
  <si>
    <t xml:space="preserve">Data analysis for metabolomic studies is challenging considering the number of statistical tools and standardization processes, which provides different results and projection in a single study. In addition, generation of high complexity data is common for untargeted metabolomics, requiring careful analysis and interpretation of results. In order to propose an innovative method for the analysis of a mass spectrometry metabolomics dataset, data from a Zika virus study was used. The analysis of this dataset combined principal component analysis and supervised learning methods such as support vector machines and logistic regression, to provide a truthful prediction model for discriminating samples of individuals with Zika virus infection and healthy controls. These supervised methods were used to learn the features that configured the 'fingerprint' for the viral infection, showing over 98% of accuracy in a validation set. This model could be used as a fast and reliable test for determining Zika virus infections as part of healthcare services. Furthermore, this novel method shows potential for diagnosing other arboviral diseases. © 2019 IEEE.</t>
  </si>
  <si>
    <t xml:space="preserve">2019 IEEE Latin American Conference on Computational Intelligence, LA-CCI 2019</t>
  </si>
  <si>
    <t xml:space="preserve">10.1109/LA-CCI47412.2019.9037029</t>
  </si>
  <si>
    <t xml:space="preserve">https://www.scopus.com/inward/record.uri?eid=2-s2.0-85083095877&amp;doi=10.1109%2fLA-CCI47412.2019.9037029&amp;partnerID=40&amp;md5=efb836f12a3969ba08b7a89659741c65</t>
  </si>
  <si>
    <t xml:space="preserve">Escuela Superior Politécnica Del Litoral (ESPOL), Facultad de Ingeniería en Electricidad y Computación, Guayaquil, Ecuador; Escuela Superior Politécnica Del Litoral (ESPOL), Laboratorio Para Investigaciones Biomedicas, Guayaquil, Ecuador; University of Glasgow, Centre for Integrative Parasitology, Glasgow, United Kingdom; Hospital de Niños Dr. Roberto Gilbert, Servicio de Infectología e Epidemiologías, Guayaquil, Ecuador; Instituto Nacional de Investigación en Salud Pública (INSPI), Guayaquil, Ecuador</t>
  </si>
  <si>
    <t xml:space="preserve">Jarrin E.P., Escuela Superior Politécnica Del Litoral (ESPOL), Facultad de Ingeniería en Electricidad y Computación, Guayaquil, Ecuador; Cordeiro F.B., Escuela Superior Politécnica Del Litoral (ESPOL), Laboratorio Para Investigaciones Biomedicas, Guayaquil, Ecuador; Medranda W.C., Escuela Superior Politécnica Del Litoral (ESPOL), Laboratorio Para Investigaciones Biomedicas, Guayaquil, Ecuador; Barrett M., University of Glasgow, Centre for Integrative Parasitology, Glasgow, United Kingdom; Zambrano M., Hospital de Niños Dr. Roberto Gilbert, Servicio de Infectología e Epidemiologías, Guayaquil, Ecuador; Regato M., Instituto Nacional de Investigación en Salud Pública (INSPI), Guayaquil, Ecuador</t>
  </si>
  <si>
    <t xml:space="preserve">Logistic Regression; Machine Learning; PCA; SVM; Zika virus</t>
  </si>
  <si>
    <t xml:space="preserve">Diagnosis; Intelligent computing; Learning algorithms; Logistic regression; Mass spectrometry; Predictive analytics; Statistical mechanics; Support vector machines; Support vector regression; Turing machines; Viruses; Healthcare services; Innovative method; Metabolomic study; Standardization process; Statistical tools; Supervised learning methods; Supervised methods; Viral infections; Learning systems</t>
  </si>
  <si>
    <t xml:space="preserve">Hastie T., Tibshirani R., Friedman J., The Elements of Statistical Learning, (2009); Deo R.C., Machine learning in medicine, Circulation., 132, 20, pp. 1920-1930, (2015); De Bruijne M., Machine learning approaches in medical image analysis: From detection to diagnosis, Medical Image Analysis, 33, pp. 94-97, (2016); Zheng B., Yoon S.W., Lam S.S., Breast cancer diagnosis based on feature extraction using a hybrid of k-means and support vector machine algorithms, Expert Syst. Appl., 41, pp. 1476-1482, (2014); Murata T., Yanagisawa T., Kurihara T., Kaneko M., Ota S., Enomoto A., Tomita M., Sugimoto M., Sunamura M., Hayashida T., Kitagawa Y., Jinno H., Salivary metabolomics with alternative decision tree-based machine learning methods for breast cancer discrimination, Breast Cancer Res Treat., (2019); Gao Q., Su X., Annabi M.H., Schreiter B.R., Prince T., Ackerman A., Morgas S., Mata V., Williams H., Lee W.Y., Application of urinary volatile organic compounds (vocs) for the diagnosis of prostate cancer, Clin Genitourin Cancer., 17, 3, pp. 183-190, (2019); Iyer A., Jeyalatha S., Sumbaly R., Diagnosis of diabetes using classification mining techniques, International Journal of Data Mining &amp; Knowledge Management Process (IJDKP), 5, pp. 1-14, (2015); Wang J., Yan D., Zhao A., Hou X., Zheng X., Chen P., Bao Y., Jia W., Hu C., Zhang Z.L., Jia W., Discovery of potential biomarkers for osteoporosis using lc-ms/ms metabolomic methods, Osteoporos Int., 30, 7, pp. 1491-1499, (2019); Han B.A., Majumdar S., Calmon F.P., Glicksberg B.S., Horesh R., Kumar A., Perer A., Von Marschall E.B., Wei D., Mojsilovic A., Varshney K.R., Confronting data sparsity to identify potential sources of zika virus spillover infection among primates, Epidemics., 27, pp. 59-65, (2019); Guo P., Liu T., Zhang Q., Wang L., Xiao J., Zhang Q., Luo G., Li Z., He J., Zhang Y., Ma W., Developing a dengue forecast model using machine learning: A case study in China, PLoS Negl Trop Dis., 11, 10, (2017); Rather I.A., Lone J.B., Bajpai V.K., Park Y.-H., Zika virus infection during pregnancy and congenital abnormalities, Frontiers in Microbiology., 8, (2017); Hazin A.N., Poretti A., Turchi Martelli C.M., Huisman T.A., Computed tomographic findings in microcephaly associated with zika virus, N Engl J Med., 374, 22, pp. 2193-2195, (2016); Paixao E.S., Barreto Teixeira F M.D.G., Costa M.D.C., Rodrigues L.C., History, epidemiology, and clinical manifestations of zika: A systematic review, Am. J. Public Health, 106, pp. 606-612, (2016); Zika Cumulative Cases, (2018); Edwards T., Del Carmen Castillo S.L., Williams C., Larcher C., Espinel M., Theaker J., Donis E., Cuevas L.E., Adams E.R., Analytical and clinical performance of a chikungunya qrt-PCR for central and South America, Diagn Microbiol Infect Dis., 89, pp. 35-39, (2017); Schuler-Faccini L., Ribeiro E.M., Feitosa I.M.L., Horovitz D.D.G., Cavalcanti D.P., Pessoa A., Et al., Possible association between zika virus infection and microcephaly -Brazil, 2015, MMWR Morb. Mortal. Wkly. Rep., 65, pp. 59-62, (2016); Pardee K., Green A.A., Takahashi M.K., Braff D., Lambert G., Lee J.W., Et al., Rapid, Low-cost Detection of Zika Virus Using Programmable Biomolecular Components, (2016); Cao-Lormeau V.-M., Blake A., Mons S., Lastere S., Roche C., Vanhomwegen J., Dub T., Baudouin L., Teissier A., Larre P., Vial A.-L., Decam C., Choumet V., Halstead S.K., Willison H.J., Musset L., Manuguerra J.-C., Despres P., Fournier E., Mallet H.-P., Musso D., Fontanet A., Neil J., Ghawche F., Guillain-barre syndrome outbreak associated with zika virus infection in French polynesia: A case-control study, Lancet., (2016); Hennessey M., Fischer M., Staples J.E., Zika virus spreads to new areas-region of the americas, may 2015-January 2016, MMWR Morb Mortal Wkly Rep., 65, pp. 55-58, (2016); Takayama T., Tsutsui H., Shimizu I., Toyama T., Yoshimoto N., Endo Y., Et al., Diagnostic approach to breast cancer patients based on target metabolomics in saliva by liquid chromatography with tandem mass spectrometry, Clin. Chim. Acta, 452, pp. 18-26, (2016); Beirnaert C., Peeters L., Meysman P., Bittremieux W., Foubert K., Custers D., Van Der Auwera A., Cuykx M., Pieters L., Covaci A., Laukens K., Using expert driven machine learning to enhance dynamic metabolomics data analysis, Metabolites., 9, 3, (2019); Melo C.F.O.R., Delafiori J., Oliveira D.N., Guerreiro T.M., Esteves C.Z., Lima E.O., Et al., Serum metabolic alterations upon zika infection, Front. Microbiol., 8, (2017); Vincent I.M., Creek D.J., Burgess K., Woods D.J., Burchmore R.J., Barrett M.P., Untargeted metabolomics reveals a lack of synergy between nifurtimox and eflornithine against trypanosoma brucei, PLoS Negl Trop Dis., 6, 5, (2012); Diop F., Vial T., Ferraris P., Wichit S., Bengue M., Hamel R., Talignani L., Liegeois F., Pompon J., Yssel H., Marti G., Misse D., Zika virus infection modulates the metabolomic profile of microglial cells, PLoS One., 13, 10, (2018)</t>
  </si>
  <si>
    <t xml:space="preserve">Alcaldia Guayaquil; Espol; et al.; Guayaquil esmi Destino; IEEE; IEEE Computational Intelligence Society</t>
  </si>
  <si>
    <t xml:space="preserve">6th IEEE Latin American Conference on Computational Intelligence, LA-CCI 2019</t>
  </si>
  <si>
    <t xml:space="preserve">11 November 2019 through 15 November 2019</t>
  </si>
  <si>
    <t xml:space="preserve">978-172815666-8</t>
  </si>
  <si>
    <t xml:space="preserve">IEEE Lat. Am. Conf. Comput.Intell. LA-CCI</t>
  </si>
  <si>
    <t xml:space="preserve">2-s2.0-85083095877</t>
  </si>
  <si>
    <t xml:space="preserve">Islam C.S.; Mollah Md.S.H.</t>
  </si>
  <si>
    <t xml:space="preserve">Islam, Chowdhury Sajadul (24821465600); Mollah, Md. Sarwar Hossain (59430610200)</t>
  </si>
  <si>
    <t xml:space="preserve">24821465600; 59430610200</t>
  </si>
  <si>
    <t xml:space="preserve">A novel idea of malaria identification using Convolutional Neural Networks (CNN)</t>
  </si>
  <si>
    <t xml:space="preserve">The research introduces a novel method to the difficulty of automated malaria diagnosis. Here we concentrate mainly on the automated diagnosis of malaria from low - quality blood spread photographs taken by a smartphone with a lens. The objective is to locate and classify the healthful and harmed erythrocytes in an impure blood spread in order to determine parasitemia. Despite the lower quality camera lens with modern digital phone equivalence with conventional high-end light microscopes, these photographs cannot be processed using conventional algorithms. This is why we use a pixel classifier framework in the Convolutional Neural Networks (CNN) to concentrate erythrocytes. We also classify them with a convolutional neural network since object classifier. The area of malaria diagnosis, our system can offer experts to reduce the workload and increase the accuracy of the conclusion without human intercession or as a guide. The algorithm effectively locates erythrocytes with a normal affectability of 97.33% and an accuracy of 92.32%. In terms of low competition with two human specialists, the classification was inadequate. It know how to because of the moderate photograph standard or the constrained measure of preparing information that can be gotten to around then. © 2018 IEEE</t>
  </si>
  <si>
    <t xml:space="preserve">2018 IEEE EMBS Conference on Biomedical Engineering and Sciences, IECBES 2018 - Proceedings</t>
  </si>
  <si>
    <t xml:space="preserve">10.1109/IECBES.2018.8626669</t>
  </si>
  <si>
    <t xml:space="preserve">https://www.scopus.com/inward/record.uri?eid=2-s2.0-85062778682&amp;doi=10.1109%2fIECBES.2018.8626669&amp;partnerID=40&amp;md5=fdddd843baf869ef18509450852c2705</t>
  </si>
  <si>
    <t xml:space="preserve">Department of Computer Science and Engineering, Uttara University, Dhaka, Bangladesh; Department of CIS, Daffodil International University (DIU), Dhaka, Bangladesh</t>
  </si>
  <si>
    <t xml:space="preserve">Islam C.S., Department of Computer Science and Engineering, Uttara University, Dhaka, Bangladesh; Mollah Md.S.H., Department of CIS, Daffodil International University (DIU), Dhaka, Bangladesh</t>
  </si>
  <si>
    <t xml:space="preserve">Convolutional Neural Network; Data captured; Image processing; Pixel classifier; Smart mobile phone</t>
  </si>
  <si>
    <t xml:space="preserve">Biomedical engineering; Convolution; Diseases; Image processing; Neural networks; Photography; Pixels; Smartphones; Technology transfer; Automated diagnosis; Conventional algorithms; Convolutional neural network; Data captured; Light microscopes; Low qualities; Malaria diagnosis; Smart Mobile Phones; Blood</t>
  </si>
  <si>
    <t xml:space="preserve">Agbana T.E., Diehl J.-C., Pul F.V., Khan S.M., Verhaegen M., Vdovin G., Imaging Identification of Malaria Parasites Using Cellphone Microscope with A Ball Lens, (2017); Ciresan D.C., Giusti A., Gambardella L.M., Schmidhuber J., Mitosis detection in breast cancer histology photos with deep neural networks, International Conference on Medical Image Computing and Computer-Assisted Interven- Tion, pp. 411-418, (2013); Mehanian C., Jaiswal M.E., Delahunt C.S., Thompson C., Horning M., Computer-Automated Malaria Diagnosis and Quantitation Using Convolutional Neural Networks, IEEE International Conference on Computer Vision Workshops (ICCVW), (2017); Ciresan D., Meier U., Masci J., Schmidhuber J., Multi- Column deep neural network for traffic sign classification, Neural Networks, 32, pp. 333-338, (2012); Krizhevsky A., Sutskever I., Hinton G.E., Imagenet classification with deep convolutional neural networks, Advances in Neural Information Processing Systems, pp. 1097-1105, (2012); Ciresan D.C., Meier U., Schmidhuber J., Transfer learning for Latin and Chinese characters with deep neural networks, Neural Networks (IJCNN), The 2012 International Joint Conference on, pp. 1-6; Meyer F., Topographic distance and watershed lines, Signal Processing, 38, 1, pp. 113-125, (1994); He K., Zhang X., Ren S., Sun J., Deep Residual Learning for Image Recognition, IEEE Conference on Computer Vision and Pattern Recognition, (2016); Linder N., Turkki R., Walliander M., Martensson A., Diwan V., Rahtu E., Pietikainen M., Lundin M., Lundin J., A malaria diagnostic tool based on computer vision screening and visualization of plasmodium falciparum candidate areas in digitized blood smears, PLoS One, 9, 8, (2014); World Malaria Report 2018, (2018)</t>
  </si>
  <si>
    <t xml:space="preserve">Physiological Measurement; Sarawak Convention Bureau</t>
  </si>
  <si>
    <t xml:space="preserve">2018 IEEE EMBS Conference on Biomedical Engineering and Sciences, IECBES 2018</t>
  </si>
  <si>
    <t xml:space="preserve">3 December 2018 through 6 December 2018</t>
  </si>
  <si>
    <t xml:space="preserve">978-153862471-5</t>
  </si>
  <si>
    <t xml:space="preserve">IEEE EMBS Conf. Biomed. Eng. Sci., IECBES - Proc.</t>
  </si>
  <si>
    <t xml:space="preserve">2-s2.0-85062778682</t>
  </si>
  <si>
    <t xml:space="preserve">Gezahegn Y.G.; Gebreslassie A.K.; Hagos M.A.; Ibenthal A.; Etsub E.A.</t>
  </si>
  <si>
    <t xml:space="preserve">Gezahegn, Yaecob Girmay (6507267443); Gebreslassie, Abel Kahsay (57210411747); Hagos, Maarig Aregawi (58371693700); Ibenthal, Achim (6603205449); Etsub, Eneyew Adugna (57202948824)</t>
  </si>
  <si>
    <t xml:space="preserve">6507267443; 57210411747; 58371693700; 6603205449; 57202948824</t>
  </si>
  <si>
    <t xml:space="preserve">Classical Machine Learning Algorithms and Shallower Convolutional Neural Networks Towards Computationally Efficient and Accurate Classification of Malaria Parasites</t>
  </si>
  <si>
    <t xml:space="preserve">Malaria and its diagnosis methods need significant attention in Ethiopia. Studies show that for 46 laboratory professionals who were given 6 different positive and negative malaria slides, the detection error rates for plasmodium falciparum and vivax were 43.5% and 37%, respectively. Another similar study reports that the overall malaria diagnosis error rate is 40.4%. To circumvent these challenges, there needs to be a system that automatically and instantly analyzes and manipulates data with less bias so as to reduce misdiagnosis error, cost, workload of physicians and experts, and thereby improving the livelihood of the society. In this study, classical machine learning algorithms and shallow Convolutional Neural Networks (CNN) based classification for parasitized and uninfected malaria images are applied. While classical machine learning algorithms are requiring a feature design step for classification, CNNs learn to recognize objects end to end, implicitly without the need for feature engineering. Many machine learning algorithms such as K-Nearest Neighbors, Random Forest, Gradient Boosting, CNNs etc. are compared in this contribution. From our experimental observation, some of the classical models such as Gradient Boost, Random Forest and Stacked ensemble using color, texture and shape features achieved a classification accuracy of 96%, precision of 97%, recall of 97% and f1-score of 97% for the parasitized samples. A model ensemble of two custom CNNs and mini-VGGNet achieved a precision of 99%, recall of 96% and f1-score of 97% for the parasitized. These results of the CNN models are reproducible for each of them. All the approaches have comparable results, however, the classical machine learning models are resource efficient. © 2019, Springer Nature Switzerland AG.</t>
  </si>
  <si>
    <t xml:space="preserve">10.1007/978-3-030-26630-1_5</t>
  </si>
  <si>
    <t xml:space="preserve">https://www.scopus.com/inward/record.uri?eid=2-s2.0-85070588431&amp;doi=10.1007%2f978-3-030-26630-1_5&amp;partnerID=40&amp;md5=051c54529cd800bc74325d35688b85c7</t>
  </si>
  <si>
    <t xml:space="preserve">Mekelle Institute of Technology, Mekelle University, Mekelle, Ethiopia; HAWK University of Applied Sciences and Arts, Goettingen, Germany; Addis Ababa Instittute of Technology, Addis Ababa University, Addis Ababa, Ethiopia</t>
  </si>
  <si>
    <t xml:space="preserve">Gezahegn Y.G., Mekelle Institute of Technology, Mekelle University, Mekelle, Ethiopia, Addis Ababa Instittute of Technology, Addis Ababa University, Addis Ababa, Ethiopia; Gebreslassie A.K., Mekelle Institute of Technology, Mekelle University, Mekelle, Ethiopia; Hagos M.A., Mekelle Institute of Technology, Mekelle University, Mekelle, Ethiopia; Ibenthal A., HAWK University of Applied Sciences and Arts, Goettingen, Germany; Etsub E.A., Addis Ababa Instittute of Technology, Addis Ababa University, Addis Ababa, Ethiopia</t>
  </si>
  <si>
    <t xml:space="preserve">Automatic diagnosis; Classical machine learning; Classification; CNN; Ensemble; Malaria</t>
  </si>
  <si>
    <t xml:space="preserve">Adaptive boosting; Classification (of information); Computer aided diagnosis; Convolution; Decision trees; Diseases; Errors; Nearest neighbor search; Neural networks; Textures; Automatic diagnosis; Classification accuracy; Computationally efficient; Convolutional neural network; Ensemble; Machine learning models; Malaria; Plasmodium falciparum; Machine learning</t>
  </si>
  <si>
    <t xml:space="preserve">Poostchi M., Et al., Image analysis and machine learning for detecting malaria, Transl. Res., 194, pp. 36-55, (2017); Gallup J., Sachs J., The economic burden of malaria, J. Trop. Med., 64, pp. 85-96, (2001); Korenromp E., Et al., World Malaria Report 2005, (2005); (2017); (2019); World Health Organization: Investing in Knowledge for Resilient Health Systems: Strategic Plan 2016–2020, (2016); Agalu A., Et al., Medication prescribing errors in the intensive care unit of Jimma University specialized hospital, Southwest Ethiopia, J. Multidiscip. Healthc., 4, pp. 377-382, (2011); Technical Series on Safer Primary Care. Geneva, World Heal Organization; Licence: CC BY-NC-SA 3.0 IGO, (2016); Megbaru A., Et al., Performance of laboratory professionals working on malaria microscopy in Tigray, North Ethiopia, Hindawi J. Parasitol. Res., 2017, pp. 1-6, (2017); Ayalew F., Tilahun B., Taye B., Performance evaluation of laboratory professionals on malaria microscopy in Hawassa Town, Southern Ethiopia, BMC Res. Notes, 2014, pp. 1-8, (2014); Yitbarek T., Nega D., Tasew G., Taye B., Desta K., Performance evaluation of malaria microscopists at defense health facilities in Addis Ababa and its surrounding areas, Ethiopia. Plos ONE, 11, 11, (2016); Malaria microscopy quality assurance manual-version 2, World Health Organization, (2016); David E., Newman-Toker M.D., Diagnostic Errors More Common, Costly and Harmful than Treatment Mistakes, (2013); Reisenwitz C., How Deep Learning is Changing Healthcare Part 1: Diagnosis, (2017); Bhatia R., Understanding the Deep Learning Advantage in Medical Imaging and How Tech Giants are Rushing to Capitalize on It, (2017); Pre-trained convolutional neural networks as feature extractors toward improved malaria parasite detection in thin blood smear images, Peerj, 6, (2018); Razzak M.I., Naz S., Zaib A., Deep Learning for Medical Image Processing: Overview, Challenges and Future.; Lecun Y., Kavukcuoglu K., Farabet C., Convolutional networks and applications in vision, Proceedings of 2010 IEEE International Symposium on Circuits and Systems (ISCAS), pp. 253-256, (2010); Esteva A., Kuprel B., Et al., Dermatologist-Level Classification of Skin Cancer with Deep Neural Networks, (2017); Chollet F., Deep Learning with Python, (2018); Breiman L., Bagging Predictors., (1994); (2018); Jan Z., Khan A., Sajjad M., Et al., A review on automated diagnosis of malaria parasite in microscopic blood smears images, Multimed. Tools Appl., 77, (2018); Dias G., Gonzalez F.A., Romero E., A semi-automatic method for quantification and classification of erythrocytes infected with malaria parasites in microscopic images, J. Biomed. Inform., 42, 2, pp. 296-307, (2009); Quinn J.A., Et al., Deep Convolutional Neural Networks for Microscopy-Based Point of Care Diagnostics, (2015)</t>
  </si>
  <si>
    <t xml:space="preserve">Y.G. Gezahegn; Mekelle Institute of Technology, Mekelle University, Mekelle, Ethiopia; email: yaecob.girmay@gmail.com</t>
  </si>
  <si>
    <t xml:space="preserve">Mekuria F.; Nigussie E.; Tegegne T.</t>
  </si>
  <si>
    <t xml:space="preserve">2nd International Conference on Information and Communication Technology for Development for Africa, ICT4DA 2019</t>
  </si>
  <si>
    <t xml:space="preserve">28 May 2019 through 30 May 2019</t>
  </si>
  <si>
    <t xml:space="preserve">Bahir Dar</t>
  </si>
  <si>
    <t xml:space="preserve">978-303026629-5</t>
  </si>
  <si>
    <t xml:space="preserve">2-s2.0-85070588431</t>
  </si>
  <si>
    <t xml:space="preserve">Al-Dhaibani R.; Bamatraf M.A.M.; Shaafal K.Q.</t>
  </si>
  <si>
    <t xml:space="preserve">Al-Dhaibani, R. (57216312013); Bamatraf, Mohammed A.M (36633970800); Shaafal, Khalid.Q. (57216313810)</t>
  </si>
  <si>
    <t xml:space="preserve">57216312013; 36633970800; 57216313810</t>
  </si>
  <si>
    <t xml:space="preserve">Data Benchmark Collection of Patients with Malaria for Machine Learning: A study in Hadhramout-Yemen</t>
  </si>
  <si>
    <t xml:space="preserve">Studies on data collection of health and medicine are lacking; especially in endemic diseases. This study aimed to create and publish a data benchmark and make it available for researchers. Malaria is one of the endemic and infectious diseases consistently in many countries. must attention. Such diseases need high attention to diagnose, predict, and control by physicians and stakeholders. The initial step of data mining and data analysis is data collection to draw knowledge of this data and speed in the elicitation information. Using data mining techniques can enable one to build predictive models. About a thousand cases of finally diagnosed malaria patients have been collected under the direct supervision of specialized doctors and preprocessed for future use. We reported the percentage of patients with data recorded for 40 attributes and selected 27 signs and symptoms. Data quality was assessed based on statistical scores. Later, Basic analysis is presented in this paper too, employing common statistics metrics and data mining as well. This study uses the SPSS tool for statistical analysis and WEKA as a tool for data mining. © 2019 IEEE.</t>
  </si>
  <si>
    <t xml:space="preserve">2019 1st International Conference of Intelligent Computing and Engineering: Toward Intelligent Solutions for Developing and Empowering our Societies, ICOICE 2019</t>
  </si>
  <si>
    <t xml:space="preserve">10.1109/ICOICE48418.2019.9035166</t>
  </si>
  <si>
    <t xml:space="preserve">https://www.scopus.com/inward/record.uri?eid=2-s2.0-85083081417&amp;doi=10.1109%2fICOICE48418.2019.9035166&amp;partnerID=40&amp;md5=f2e92c69150256362307c5697a673020</t>
  </si>
  <si>
    <t xml:space="preserve">Faculty of Engineering Al-Rayan University, Department of Information Technology, Yemen; Hadhramout University, College of Computer and IT, Yemen; Aden University, Faculty of Education, Yemen</t>
  </si>
  <si>
    <t xml:space="preserve">Al-Dhaibani R., Faculty of Engineering Al-Rayan University, Department of Information Technology, Yemen; Bamatraf M.A.M., Hadhramout University, College of Computer and IT, Yemen; Shaafal K.Q., Aden University, Faculty of Education, Yemen</t>
  </si>
  <si>
    <t xml:space="preserve">Correlations; Data Collection; Data Mining; Diagnosis; Malaria</t>
  </si>
  <si>
    <t xml:space="preserve">Data acquisition; Disease control; Diseases; Intelligent computing; Machine learning; Data collection; Data quality; Infectious disease; Predictive models; Data mining</t>
  </si>
  <si>
    <t xml:space="preserve">Knobloch B., A Framework for Organizational Data Analysis and Organizational Data Mining, Organizational Data Mining, pp. 334-356, (2004); Hart M., Progress of Organizational Data Mining in South Africa, South African Computer Journal, pp. 4-15, (2006); Hilbert A., Critical Success Factors for Data Mining Projects, Data Analysis and Decision Support, pp. 231-240, (2005); Han J., Kamber M., Data Mining: Concept and Techniques, (2006); Nisbet R., Elder J., Miner G., Handbook of Statistical Analysis and Data Mining Applications: Academic Press, (2009); Fayyad U., Piatetsky-Shapiro G., Smyth P., From Data Mining to Knowledge Discovery in Databases, Ai Magazine, pp. 37-54, (1996); Yiying Zhang Y., Yu Y., Liang S.K., Overview of Data Mining and Visual Analytics Towards Big Data in Smart Grid, (2016); Portugal I., Alencar P., Cowan D., A Preliminary Survey on Domain-Specific Languages for Machine Learning in Big Data, IEEE International Conference on Software Science, Technology and Engineering (SWSTE, (2016); Landset S., Khoshgoftaar T.M., Richter A.N., Hasanin T., A Survey of Open Source Tools for Machine Learning with Big Data in the Hadoop Ecosystem, Journal of Big Data, 2, 24, (2015); Biswas S.D., Panse B.N., Shinde N., Disease Diagnosis System, (2011); Liang A., Powell I., Ersoy M., Poostchi K., Silamut K., Palaniappan P., Guo M.A., Hossain A., Sameer R.J., Maude J.X., Huang S., Jaeger G., Thoma" CNN-Based Image Analysis for Malaria Diagnosis, (2016); Lina M.Q.A., Mohammed A.K.M., Lau Y., Mun-Yik Fong R., Abdul-Ghani R., Mahmud" Molecular Markers Associated with Resistance to Commonly Used Antimalarial Drugs among Plasmodium Falciparum Isolates from A Malaria-endemic Area in Taiz Governorate, Yemen during the Transmission Season, (2016); Al-Taiar A., Assabri M., Al-Habori A., Azazy A., Algabri M., Alganadi D., Christopher J.M., Jaffar W.S., Socioeconomic and Environmental Factors Important for Acquiring Non-severe Malaria in Children InYemen: A Case-control Study, (2009); WHO, (2017)</t>
  </si>
  <si>
    <t xml:space="preserve">1st International Conference of Intelligent Computing and Engineering, ICOICE 2019</t>
  </si>
  <si>
    <t xml:space="preserve">15 December 2019 through 16 December 2019</t>
  </si>
  <si>
    <t xml:space="preserve">Hadhramout</t>
  </si>
  <si>
    <t xml:space="preserve">978-172814487-0</t>
  </si>
  <si>
    <t xml:space="preserve">Int. Conf. Intell. Comput. Eng.: Toward Intell. Solut. Dev. Empower. Soc., ICOICE</t>
  </si>
  <si>
    <t xml:space="preserve">2-s2.0-85083081417</t>
  </si>
  <si>
    <t xml:space="preserve">Halim S.; Octavia T.; Felecia; Handojo A.</t>
  </si>
  <si>
    <t xml:space="preserve">Halim, Siana (23974215900); Octavia, Tanti (57142512500); Felecia (57142548700); Handojo, Andreas (36447305300)</t>
  </si>
  <si>
    <t xml:space="preserve">23974215900; 57142512500; 57142548700; 36447305300</t>
  </si>
  <si>
    <t xml:space="preserve">Dengue Fever Outbreak Prediction in Surabaya using A Geographically Weighted Regression</t>
  </si>
  <si>
    <t xml:space="preserve">Dengue Fever is one of the viral diseases of the tropics that are easily spread in high density and humid area such as in Surabaya. Many researchers in various expertise have studied this disease. Some of them use statistical and machine learning approach to predict the outbreak of the disease, so that the government can prevent that incident. In this paper we use the geographically weighted regression for predicting the dengue fever outbreak in Surabaya. The geographically weighted regression has superiority in estimating the coefficient of the explanatory variables locally. So that, we can put more attention into the region with has high estimates coefficient parameters. Here, we look at the locally estimates of the dengue fever infected in the year 2016, 2017, population density and poverty percentage for predicting the dengue fever outbreak in the year 2018. In this study, the pattern of the predicted model can follow the pattern of the true dataset. © 2019 IEEE.</t>
  </si>
  <si>
    <t xml:space="preserve">TIMES-iCON 2019 - 2019 4th Technology Innovation Management and Engineering Science International Conference</t>
  </si>
  <si>
    <t xml:space="preserve">10.1109/TIMES-iCON47539.2019.9024438</t>
  </si>
  <si>
    <t xml:space="preserve">https://www.scopus.com/inward/record.uri?eid=2-s2.0-85082381765&amp;doi=10.1109%2fTIMES-iCON47539.2019.9024438&amp;partnerID=40&amp;md5=2c28ec411b288f220eb7c9df10a2aaa2</t>
  </si>
  <si>
    <t xml:space="preserve">Petra Christian University, Industrial Engineering Department, Surabaya, Indonesia; Petra Christian University, Informatics Department, Surabaya, Indonesia</t>
  </si>
  <si>
    <t xml:space="preserve">Halim S., Petra Christian University, Industrial Engineering Department, Surabaya, Indonesia; Octavia T., Petra Christian University, Industrial Engineering Department, Surabaya, Indonesia; Felecia, Petra Christian University, Industrial Engineering Department, Surabaya, Indonesia; Handojo A., Petra Christian University, Informatics Department, Surabaya, Indonesia</t>
  </si>
  <si>
    <t xml:space="preserve">Dengue fever outbreak; Geographically Weighted Regression; Global Moran I statistics; Local Moran I statistics; locally parameters estimate</t>
  </si>
  <si>
    <t xml:space="preserve">Forecasting; Population statistics; Regression analysis; Coefficient parameters; Dengue fevers; Explanatory variables; Geographically weighted regression; Machine learning approaches; Moran I; Parameters estimates; Population densities; Engineering research</t>
  </si>
  <si>
    <t xml:space="preserve">Directorate of Higher Education of The Republic of Indonesia</t>
  </si>
  <si>
    <t xml:space="preserve">The authors are very grateful to the Directorate of Higher Education of The Republic of Indonesia for financial support of this research. We also thank to the Surabaya Public Health Office for providing the data.</t>
  </si>
  <si>
    <t xml:space="preserve">Indonesia S., Surabaya municipality in figures 2017, pp. 1-4; Kularatne S.A., BMJ, 351; Dengue and Severe Dengue Fact Sheet N°117, (2016); Demam K., Di B., Timur J.; Jongmuenwai B., Lowanichchai S., Jabjone S., Prediction model of dengue hemorrhagic fever outbreak using artificial neural networks in northeast of thailand, International Journal of Pure and Applied Mathematics, 118, 18, pp. 3407-3417, (2018); Herath P.H.M.N., Perera A.A.I., Wijekoon H.P., Prediction of dengue outbreaks in srilanka using artificial neural network, International Journal of Computer Applications, 101, pp. 1-5; Laureano-Rosario A.E., Duncan A.P., Mendez-Lazaro P.A., Garcia-Rejon J.E., Gomez-Carro S., Farfan-Ale J., Savic D.A., Muller-Karger F.E., Application of artificial neural networks for dengue fever outbreak predictions in the northwest coast of yucatan, mexico and San Juan, Puerto Rico, Tropical Medicine Infectious Disease, 3, 5, pp. 1-16, (2018); Hartanto S., Halim S., Yuliana O.Y., Pemetaan penderita pneumonia di Surabaya dengan menggunakan geostatistika, Jurnal Teknik Industri, 12, 1, pp. 41-46, (2010); Mahdiana D., Winarko E., Ashari A., Kusnanto H., A model for forecasting the number of cases and distribution pattern of Dengue Hemorrhagic fever in Indonesia, International Journal of Advanced Computer Science and Applications, 8, 11, pp. 143-150, (2017); Ver Hoef J.M., Peterson E.E., Hooten M.B., Hanks E.M., Fortin M.J., Spatial autoregressive models for statistical inference from ecological data, Ecological Society of America, 88, 1, pp. 36-59, (2018); Fotheringham A.S., Brunsdon C.C., Charlton M.E., Geographically Weighted Regression: The Analysis of Spatially Varying Relationships, (2002); Hongfei L., Calder C.A., Cressie N., Beyond Moran?s I: Testing for spatial dependence based on the spatial autoregressive model, Geographical Analysis, 39, 4, pp. 357-375, (2007); Anselin L., Local indicators of spatial association-LISA, Geographical Analysis, 27, pp. 93-115, (1995); Zhang C., Luo L., Xu W., Ledwith V., Use of local moran ?s i and gis to identify pollution hotspots of pb in urban soils of galway, ireland, Science of the Total Environment, 398, 1-3, pp. 212-221, (2008); Yuan Y., Cave M., Zhang C., Using local Moran?s i to identify contamination hotspots of rare earth elements in urban soils of London, Applied Geochemistry, 88, pp. 167-178, (2018); Jumantik; Biro Pusat Statistika Surabaya</t>
  </si>
  <si>
    <t xml:space="preserve">The Association of Thai Digital Industries (ATDI)</t>
  </si>
  <si>
    <t xml:space="preserve">4th Technology Innovation Management and Engineering Science International Conference, TIMES-iCON 2019</t>
  </si>
  <si>
    <t xml:space="preserve">11 December 2019 through 13 December 2019</t>
  </si>
  <si>
    <t xml:space="preserve">978-172813755-1</t>
  </si>
  <si>
    <t xml:space="preserve">TIMES-iCON - Technol. Innov. Manag. Eng. Sci. Int. Conf.</t>
  </si>
  <si>
    <t xml:space="preserve">2-s2.0-85082381765</t>
  </si>
  <si>
    <t xml:space="preserve">Yang X.; Kumagai K.; Sun G.; Ishibashi K.; Hoi L.T.; Vu Trung N.; Kinh N.V.</t>
  </si>
  <si>
    <t xml:space="preserve">Yang, Xiaofeng (57196185658); Kumagai, Koki (57208835504); Sun, Guanghao (54409399600); Ishibashi, Koichiro (35463115200); Hoi, Le Thi (57189223409); Vu Trung, Nguyen (54994169800); Kinh, Nguyen Van (56261103100)</t>
  </si>
  <si>
    <t xml:space="preserve">57196185658; 57208835504; 54409399600; 35463115200; 57189223409; 54994169800; 56261103100</t>
  </si>
  <si>
    <t xml:space="preserve">Dengue Fever Screening Using Vital Signs by Contactless Microwave Radar and Machine Learning</t>
  </si>
  <si>
    <t xml:space="preserve">In order to carry out high-precision and low-cost infection screening, our group is working on the development of a contactless infection screening system using multiple vital signs detected from a microwave sensor. In this study, we focused on sensor signal processing to extract respiration and heart beat signals with high accuracy and constructed a machine learning model suitable for screening infectious diseases using Neural Network and SoftMax function. The effect of respiration while measuring the heart rate was reduced by correcting the phase shift of the respiration signal and subtracting the respiratory component measured from the microwave sensor. The machine learning model of Neural Network was Logistic Regression using SoftMax function as an activation function. A total of 158 subjects (79 normal subjects, 79 infected subjects) were tested with the proposed system. Since the SoftMax function can provide a stochastic expression as output, it is now possible to not only determine whether the disease is an infectious one but also to express the probability of infection. We obtained a highly generalized training model by evaluating the generalization of the training model with the cross-entropy loss function and achieved a classification accuracy of 98%. © 2019 IEEE.</t>
  </si>
  <si>
    <t xml:space="preserve">SAS 2019 - 2019 IEEE Sensors Applications Symposium, Conference Proceedings</t>
  </si>
  <si>
    <t xml:space="preserve">10.1109/SAS.2019.8705968</t>
  </si>
  <si>
    <t xml:space="preserve">https://www.scopus.com/inward/record.uri?eid=2-s2.0-85065912964&amp;doi=10.1109%2fSAS.2019.8705968&amp;partnerID=40&amp;md5=8f3ca1088ea7ea56f62be665332b7cdd</t>
  </si>
  <si>
    <t xml:space="preserve">Graduate School of Informatics and Engineering, University of Electro-Communications, Tokyo, Japan, Japan; National Hospital of Tropical Diseases, Hanoi, Viet Nam</t>
  </si>
  <si>
    <t xml:space="preserve">Yang X., Graduate School of Informatics and Engineering, University of Electro-Communications, Tokyo, Japan, Japan; Kumagai K., Graduate School of Informatics and Engineering, University of Electro-Communications, Tokyo, Japan, Japan; Sun G., Graduate School of Informatics and Engineering, University of Electro-Communications, Tokyo, Japan, Japan; Ishibashi K., Graduate School of Informatics and Engineering, University of Electro-Communications, Tokyo, Japan, Japan; Hoi L.T., National Hospital of Tropical Diseases, Hanoi, Viet Nam; Vu Trung N., National Hospital of Tropical Diseases, Hanoi, Viet Nam; Kinh N.V., National Hospital of Tropical Diseases, Hanoi, Viet Nam</t>
  </si>
  <si>
    <t xml:space="preserve">Infection screening system; Microwave sensor; Neural Network; Vital signs</t>
  </si>
  <si>
    <t xml:space="preserve">Diagnosis; Machine learning; Microwaves; Neural networks; Signal processing; Stochastic systems; Activation functions; Classification accuracy; Logistic regressions; Machine learning models; Respiration signals; Screening system; Stochastic expression; Vital sign; Microwave sensors</t>
  </si>
  <si>
    <t xml:space="preserve">Nishiura H., Kamiya K., Fever screening during the inuenza (H1N1-2009) pan-demic at Narita Airport Japan, BMC Infectious Diseases, 11, (2011); Matsuyama S., Middle east respiratory syndrome (MERS) Coronavirus, TheJournal of Veterinary Epidemiology, 17, 2, pp. 112-116, (2013); Gao R., Cao B., Hu Y., Human infection with a novel avian-origin influenza a(h7n9) virus, New England Journal of Medicine, 368, 20, pp. 1888-1897, (2013); Masuda M., Ebola hemorrhagic fever/ ebola virus diseases, Dokkyo Journal of Medical Sciences, 42, 3, pp. 171-177, (2015); Chiu W.T., Lin P.W., Chiou H.Y., Et al., Infrared thermography to mass-screen suspected SARS patients with fever, Asia-Pacific Journal of Public Health, 17, 1, pp. 26-28, (2005); Nishiura H., Kamiya K., Fever screening during the influenza (H1N1-2009) pandemic at Narita International Airport, Japan, BMC Infectious Diseases, 11, (2011); Sun G., Design an easy-to-use infection screening system for noncontact monitoring of vital-signs to prevent the spread of pandemic diseases, Engineering in Medicine and Biology Society (EMBC), 2014 36th Annual International Conference of the IEEE. IEEE, (2014); Sun G., An infectious disease/fever screening radar system which stratifies higher-risk patients within ten seconds using a neural network and the fuzzy grouping method, Journal of Infection, 70, pp. 230-236, (2015); Yang X., Sun G., Ishibashi K., Short time and contact-less virus infection screening system with discriminate function using doppler radar, Bio-inspired Computing: Theories and Applications, Springer, Communications in Computer and Information Science, 791, pp. 263-273, (2017); Sun G., Miyata K., A compact and hand-held infection-screening system for use in rapid medical inspection at airport quarantine stations: System design and preliminary validation, Journal of Medical Engineering &amp; Technology, 39, 3, pp. 185-190, (2015); Yorozu Y., Hirano M., Oka K., Tagawa Y., Electron spectroscopy studies on magneto-optical media and plastic substrate interface, IEEE Transl. J. Magn. Japan, 2, pp. 740-741, (1987); Yang X., Sun G., Ishibashi K., Dengue fever detecting system using peak-detection of data from contactless doppler radar, Engineering in Medicine and Biology Society (EMBC), 2018 40th Annual International Conference of the IEEE. IEEE, (2018); Yasuma F., Hayano J., Respiratory sinus arrhythmia, why does the heartbeat synchronize with respiratory rhythm, CHEST Journal, 125, 2, pp. 683-690, (2004)</t>
  </si>
  <si>
    <t xml:space="preserve">IEEE; IEEE Instrumnetation and Measurement Society</t>
  </si>
  <si>
    <t xml:space="preserve">14th IEEE Sensors Applications Symposium, SAS 2019</t>
  </si>
  <si>
    <t xml:space="preserve">11 March 2019 through 13 March 2019</t>
  </si>
  <si>
    <t xml:space="preserve">Sophia Antipolis</t>
  </si>
  <si>
    <t xml:space="preserve">978-153867713-1</t>
  </si>
  <si>
    <t xml:space="preserve">SAS - IEEE Sensors Appl. Symp., Conf. Proc.</t>
  </si>
  <si>
    <t xml:space="preserve">2-s2.0-85065912964</t>
  </si>
  <si>
    <t xml:space="preserve">Kasbe T.; Pippal R.S.</t>
  </si>
  <si>
    <t xml:space="preserve">Kasbe, Tanmay (57202983956); Pippal, Ravi Singh (36701790600)</t>
  </si>
  <si>
    <t xml:space="preserve">57202983956; 36701790600</t>
  </si>
  <si>
    <t xml:space="preserve">Design and Implementation of Fuzzy Expert System for Dengue Diagnosis</t>
  </si>
  <si>
    <t xml:space="preserve">Medical diagnosis expert system is one among the best elements of expert system. This paper utilizes fuzzy expert system to raise the diagnosis level of dengue fever and early detection of dengue in patient. Fuzzy expert system is one of the most traditional artificial intelligence techniques to diagnose any disease. This paper uses MATLAB fuzzy logic toolbox to create an expert system, which is based on crisp values, rules, and defuzzification. The design of fuzzy expert system relies on patient symptoms with diagnosing report as input variable. To analyze the proposed system, accuracy, sensitivity, and specificity are measured. © Springer Nature Singapore Pte Ltd. 2019.</t>
  </si>
  <si>
    <t xml:space="preserve">10.1007/978-981-13-2673-8_1</t>
  </si>
  <si>
    <t xml:space="preserve">https://www.scopus.com/inward/record.uri?eid=2-s2.0-85058271601&amp;doi=10.1007%2f978-981-13-2673-8_1&amp;partnerID=40&amp;md5=838d2cea8f4581a13e87b731cf18a760</t>
  </si>
  <si>
    <t xml:space="preserve">RKDF University, Bhopal, India</t>
  </si>
  <si>
    <t xml:space="preserve">Kasbe T., RKDF University, Bhopal, India; Pippal R.S., RKDF University, Bhopal, India</t>
  </si>
  <si>
    <t xml:space="preserve">Dengue; DF; DHF; DSS; Fuzzy expert system; MATLAB; Medical diagnosis</t>
  </si>
  <si>
    <t xml:space="preserve">Expert systems; Fuzzy logic; MATLAB; Artificial intelligence techniques; Defuzzifications; Dengue; Dengue fevers; Design and implementations; Fuzzy expert systems; Input variables; Matlab fuzzy logic toolbox; Diagnosis</t>
  </si>
  <si>
    <t xml:space="preserve">Pabbi V., Fuzzy expert system for medical diagnosis, Int. J. Sci. Res. Publ., 5, 1, pp. 1-7, (2015); Kaur R., Kaur S., Rehani V., Fuzzy based automated system for predicting viral infections, Int. J. Innovat. Res. Multidiscip. Field, 2, 11, pp. 426-434, (2016); Faisal T., Taib M.N., Ibrahim F., Adaptive Neuro fuzzy-interface system for daignosis risk in dengue patients, Expert Syst. Appl., 39, 4, pp. 4483-4493, (2012); Princy S.S.L., Muruganandam A., An implementation of dengue fever disease spread using informatica tool with special reference to Dharampuri district, Int. J. Innovat. Res. Comput. Commun. Eng., 4, 9, pp. 16215-16222, (2016); Sharma P., Singh D., Bandil M.K., Mishra N., Decision support system for Malaria and Dengue disease diagnosis, Int. J. Informat. Comput. Technol., 3, 7, pp. 633-640, (2013); Rachmt B., Nurhayati O.D., Prediction the number of patients at Dengue H fever cases using adaptive neural Fuzzy interface system, Int. J. Innovat. Res. Advanc. Eng., 3, 4, pp. 23-28, (2016); Saqib M.A.N., Rafique I., Bashir S., Salam A.A., A Retrospective Analysis of Dengue Fever Case Management and Frequency of Co-Morbidities Associated with Deaths, pp. 1-5, (2014); Dom N.C., Ahmed A.H., Adawiyah R., Ismail R., Spatial Mapping of Temporal Risk Characteristics of Dengue Cases in Subang Jaya, in Proceedings of the 2010 IEEE International Conference on Science and Social Research (CSSR 2010), pp. 361-366, (2010); Saikia D., Dutta J.C., Early Diagnosis of Dengue Disease Using Fuzzy Interface System, in Proceedings of the 2016 IEEE International Conference on Microelectronics, Computing and Communication (Microcom 20016), (2016); Shaukat K., Masood N., Mahreen S., Azmeen U., Dengue fever prediction–a data mining problem, Data Mining Genom. Proteom., 6, 3, pp. 1-5, (2015); Pardeshi A., Shinde R., Jagtap A., Kembhavi R., Giri M., Kavathekar S., Retrospective cross-sectional study of Dengue cases in IPD with reference to treatment-monitoring &amp; outcome in KEM hospital. Mumbai, Am. J. Epidemiol Infect. Disease, 2, 4, pp. 97-100, (2014); Dagar P., Jatain A., Gaur D., Medical diagnosis system using Fuzzy logic, Proceedings of the 2015 IEEE International Conference on Computing, Communication and Automation (ICCCA 2015), Noida, India, pp. 193-197, (2015); Singh S., Singh A., Singh Samson M., Recommender system for Dengue using Fuzzy logic, Int. J. Comput. Eng. Technol., 7, 2, pp. 44-52, (2016); Kasbe T., Pippal R.S., Dengue fever: State-of-the-art symptoms and diagnosis, Int. J. Comput. Sci. Eng., 4, 6, pp. 1-5, (2016); Prihatini P.M., Putra I.K.G.D., Fuzzy knowledge based system with uncertainty for tropical infectious disease daignosis, Int. J. Comput. Sci., 9, 4, pp. 157-163, (2012); Razak T.R.B., Ramli M.H., Wahab R.A., Dengue Notification System Using Fuzzy Logic, in Proceedings of the 2010 IEEE International Conference on Computer, Control, Informatics and Its Application (IC3INA 2013), pp. 231-235, (2013)</t>
  </si>
  <si>
    <t xml:space="preserve">T. Kasbe; RKDF University, Bhopal, India; email: tanmay.kasbe@gmail.com</t>
  </si>
  <si>
    <t xml:space="preserve">Kamal R.; Nair P.S.; Henshaw M.</t>
  </si>
  <si>
    <t xml:space="preserve">International Conference on Advanced Computing, Networking and Informatics, ICANI 2018</t>
  </si>
  <si>
    <t xml:space="preserve">22 February 2018 through 24 February 2018</t>
  </si>
  <si>
    <t xml:space="preserve">Indore</t>
  </si>
  <si>
    <t xml:space="preserve">978-981132672-1</t>
  </si>
  <si>
    <t xml:space="preserve">2-s2.0-85058271601</t>
  </si>
  <si>
    <t xml:space="preserve">Adias Sabara M.; Somantri O.; Nurcahyo H.; Kurnia Achmadi N.; Latifah U.; Harsono</t>
  </si>
  <si>
    <t xml:space="preserve">Adias Sabara, Martselani (57209460271); Somantri, Oman (57208898676); Nurcahyo, Heru (57209454426); Kurnia Achmadi, Nanang (57209460859); Latifah, Ulfatul (57209451210); Harsono (57845126800)</t>
  </si>
  <si>
    <t xml:space="preserve">57209460271; 57208898676; 57209454426; 57209460859; 57209451210; 57845126800</t>
  </si>
  <si>
    <t xml:space="preserve">Diagnosis classification of dengue fever based on Neural Networks and Genetic algorithms</t>
  </si>
  <si>
    <t xml:space="preserve">To classify the diagnosis of dengue fever is not easy, an accurate accuracy is needed for doctors and health workers in making a decision related to the diagnosis of dengue fever. In the classification of diagnosis of dengue fever, the Neural Network is used as the model applied. To implement the Neural Network there are several parameters that we must determine such as learning rate and momentum, the problem is the absence of standard guidelines in determining the parameters to be used in this method whom the experimental method is used. For this reason, a method that can solve the problem is needed, with the parameters obtained can be optimized. The solution that can be applied with applying the Genetic Algorithm (GA) on the Neural Network, in order to optimize the learning rate parameter value and momentum. The results obtained are apparently the application of optimization techniques with Genetic Algorithms which can make it easier to find parameter values optimally and can increase the accuracy value in the Neural Network algorithm, thus the model obtained can be used for doctors and health workers in determining the classification of dengue fever diagnosis. © Published under licence by IOP Publishing Ltd.</t>
  </si>
  <si>
    <t xml:space="preserve">10.1088/1742-6596/1175/1/012065</t>
  </si>
  <si>
    <t xml:space="preserve">https://www.scopus.com/inward/record.uri?eid=2-s2.0-85067827432&amp;doi=10.1088%2f1742-6596%2f1175%2f1%2f012065&amp;partnerID=40&amp;md5=c288d48f974675bebee57bab64e3aa13</t>
  </si>
  <si>
    <t xml:space="preserve">Department of Electrical Engineering, Politeknik Harapan Bersama Tegal, Indonesia; Department of Informatics, Politeknik Harapan Bersama Tegal, Indonesia; Department of Pharmacy, Politeknik Harapan Bersama Tegal, Indonesia; Department of Midwifery, Politeknik Harapan Bersama Tegal, Indonesia; Department of Computer Engineering, Politeknik Harapan Bersama Tegal, Indonesia</t>
  </si>
  <si>
    <t xml:space="preserve">Adias Sabara M., Department of Electrical Engineering, Politeknik Harapan Bersama Tegal, Indonesia; Somantri O., Department of Informatics, Politeknik Harapan Bersama Tegal, Indonesia; Nurcahyo H., Department of Pharmacy, Politeknik Harapan Bersama Tegal, Indonesia; Kurnia Achmadi N., Department of Pharmacy, Politeknik Harapan Bersama Tegal, Indonesia; Latifah U., Department of Midwifery, Politeknik Harapan Bersama Tegal, Indonesia; Harsono, Department of Computer Engineering, Politeknik Harapan Bersama Tegal, Indonesia</t>
  </si>
  <si>
    <t xml:space="preserve">Data mining; Genetic algorithms; Learning algorithms; Parameter estimation; Dengue fevers; Experimental methods; Learning rates; Neural network algorithm; Neural networks and genetic algorithms; Optimization techniques; Standard guidelines; Computer aided diagnosis</t>
  </si>
  <si>
    <t xml:space="preserve">Srikiatkhachorn A., Plasma Leakage in Dengue Hemorrhagic Fever Thrombosis and Haemostasis, 102, (2009); Dengue Hemorrhagic Fever: Diagnosis, Treatment, Prevention and Control, (1997); Yusof Y., Mustaffa Z., Dengue outbreak prediction: A least squares support vector machines approach, Int. J. Comput. Theory Eng., 3, (2011); Suhaeri S., Tundjungsari V., Qomariyah Q., Pamuji S., Sistem Pendukung Keputusan Untuk Diagnosis Penyakit DBD Menggunakan Metode Back Propagation Jaringan Syaraf Tiruan in, Seminar Nasional Informatika Medis (SNIMed), pp. 27-37, (2014); Supriyadi D., Kusworo A., Sarwoko E., Sistem Informasi Penyebaran Penyakit Demam Berdarah Menggunakan Metode Jaringan Syaraf Tiruan Backpropagation, (2012); Fausett L.V., Fundamentals of Neural Networks: Architectures, Algorithms, and Applications, (1994); Liao G.-C., An Improved Fuzzy Neural Networks Approach for Short-Term Electrical Load Forecasting, Control Conf. (ASCC), 2011 8th Asian, pp. 596-601, (2011); Karimi H., Yousefi F., Application of artificial neural network-genetic algorithm (ANN-GA) to correlation of density in nanofluids, Fluid Phase Equilib., 336, pp. 79-83, (2012); Liu G., Wang L., Chen G., Hua S., Parameters Optimization of Plasma Hardening Process Using Genetic Algorithm and Neural Network, J. Iron Steel Res. Int., 18, 12, pp. 57-64, (2011); Melanie M., An introduction to genetic algorithms, Cambridge, Massachusetts London, England, ., (1996)</t>
  </si>
  <si>
    <t xml:space="preserve">1st International Conference on Advance and Scientific Innovation, ICASI 2018</t>
  </si>
  <si>
    <t xml:space="preserve">23 April 2018 through 24 April 2018</t>
  </si>
  <si>
    <t xml:space="preserve">2-s2.0-85067827432</t>
  </si>
  <si>
    <t xml:space="preserve">Somboonsak P.</t>
  </si>
  <si>
    <t xml:space="preserve">Somboonsak, Patsaraporn (37071615400)</t>
  </si>
  <si>
    <t xml:space="preserve">Forecasting Dengue Fever Epidemics using ARIMA Model</t>
  </si>
  <si>
    <t xml:space="preserve">Despite the control and surveillance of dengue fever in various ways, but still found many dengue patients in Thailand every year. The main objective of the research is to develop a model for the prediction of dengue fever. Model development on data of dengue fever outbreaks in Northeast Thailand. The ARIMA model and the Gaussian Distribution model to predict the incidence of dengue fever. Dengue patient data from 2015 to 2019 are used to validate the accuracy of predictive models. The autocorrelation function is measured as the correlation between dengue fever data of lag suggested parameters ARIMA (2,1,2), and partial autocorrelation function is defined as the difference between the autocorrelation coefficient at a certain lag 20 with ARIMA (1,2,2). The best models are ARIMA (2,1,2) evaluated a great forecast dengue fever epidemic with a lower mean absolute percentage error (MAPE) of 1148.319, lower Bayesian information criterion (BIC) of 13679.5133 and Akaike information criterion (AIC) of 13710.0388. The results will benefit health professionals. Moreover, the model can be used for policymaking and planning of resource allocation for the people and continue to improve public health services. © 2019 ACM.</t>
  </si>
  <si>
    <t xml:space="preserve">10.1145/3375959.3375970</t>
  </si>
  <si>
    <t xml:space="preserve">https://www.scopus.com/inward/record.uri?eid=2-s2.0-85089227969&amp;doi=10.1145%2f3375959.3375970&amp;partnerID=40&amp;md5=77ad44e2a56bca949e62859a31049958</t>
  </si>
  <si>
    <t xml:space="preserve">Information Technology, Faculty of Science, Chandrakasem Rajabhat University, Bangkok, Thailand</t>
  </si>
  <si>
    <t xml:space="preserve">Somboonsak P., Information Technology, Faculty of Science, Chandrakasem Rajabhat University, Bangkok, Thailand</t>
  </si>
  <si>
    <t xml:space="preserve">ARIMA; Dengue fever; Forecasting; Time Series</t>
  </si>
  <si>
    <t xml:space="preserve">Artificial intelligence; Autocorrelation; Cloud computing; Forecasting; Hospital data processing; Predictive analytics; Akaike information criterion; Autocorrelation coefficient; Autocorrelation functions; Bayesian information criterion; Gaussian distribution model; Mean absolute percentage error; Partial autocorrelation function; Public health services; Autoregressive moving average model</t>
  </si>
  <si>
    <t xml:space="preserve">Chandrakasem Rajabhat University; Ministry of Higher Education, Science, Research and Innovation</t>
  </si>
  <si>
    <t xml:space="preserve">The researcher would like to thank you. Qualified experts who scrutinize the research by emphasizing this research until receiving research funding from the Ministry of Higher Education, Science, Research and Innovation, and thanking the research institute Chandrakasem Rajabhat University for supporting the place for research. Besides, I would like to thank the Bureau of Communicable Diseases by insect Thailand for providing support information for research, and finally, the researcher would like to thank Prof. Dr. Thanaruk Theeramunkong for taking the time to advise until this research was completed.</t>
  </si>
  <si>
    <t xml:space="preserve">Dengue and dengue hemorrhagic fever, 11, Clinicalmicrobiology Reviews, 3, pp. 480-496, (1998); Falcon-Lezama J.A., Betancourt-Cravioto M., Tapia-Conyer R., Dengue Fever: A Resilient Threat in the Face OfInnovation, (2019); Dengue and Severe Dengue; Dengue and Severe Dengue, (2019); Dengue: An escalating problem, BMJ: British Medical Journal, 324, 7353, (2002); Dengue and Severedengue, (2019); Gubler D.J., Ooi E.E., Vasudevan S., Farrar J., Dengueand Dengue Hemorrhagic Fever, (2014); Dengue Fever Situation in 2019disease Surveillance Report, (2019); Hyndman R.J., Athanasopoulos G., Forecasting:principles and Practice, (2018); Hyndman R., Koehler A.B., Ord J.K., Snyder R.D., Forecasting with exponential smoothing: The state spaceapproach, Springer Series in Statistics, Illustrated Ed, (2008); Box G.E.P., Jenkins G.M., Time Series Analysis:forecasting and Control., (1970); Box G.E.P., Jenkins G.M., Reinsel G.C., Ljung G.M., Time Series Analysis: Forecasting and Control, 5 Ed, (2015); Kleiber C., Zeileis A., Illustrated, (2008); Engle R.F., Autoregressive conditional heteroscedasticitywith estimates of the variance of United Kingdom inflation, Econometrica, 50, 4, pp. 987-1007, (1982); A History of Economic Thought, 10th Edition, (2018); Matyjaszeka M., Fernandezb P., Krzemienc A., Wodarskid K., Valverdeb G.F., Forecasting coking coal prices by means of ARIMA models and neural networks, considering thetransgenic timeseries theory, Resources Policy, 61, pp. 283-292, (2019); Francq C., Zakoian J.-M., Garch Models: Structure Statistical Inference and Financial Applications, (2011); Yaffee R.A., McGee M., An Introduction to Time SeriesAnalysis and Forecasting: With Applications of Sas® AndSPSS, Illustrated Ed., (2000); Hu Y.H., Hwang J.-N., Handbook of Neural NetworkSignal Processing Electrical Engineering &amp; Applied Signal Processing Series, (2018); R. Society. Geographic Region Division; Northeast Thailand, (2019); (2019); Pikovsky A., Kurths M.R.J.K.J., And Synchronization: A Universal Concept in Nonlinear Sciences (Cambridge Nonlinear Science Series), (2003); Engle R.F., Autoregressive conditional heteroscedasticitywith estimates of the variance of United Kingdom inflation, Econometrica, 50, pp. 987-1007, (1982); Engle F.T.R., Nelson D.B., Arch models, Handbook of Econometrics, 4, pp. 2959-3038, (1994); Kitagawa G., Gersch W., Smoothness Priors Analysis ofTime Series, Mathematics &gt; Probability &amp; Statistics &gt; General, 116, (2012); Lahiri P., Model selection, Ims, (2001); Konishi S., Kitagawa G., Information Criteria and Statistical Modeling., (2008); Rutkowski L., Computational Intelligence: Methods AndTechniques (Leszek Rutkowski)., (2008)</t>
  </si>
  <si>
    <t xml:space="preserve">P. Somboonsak; Information Technology, Faculty of Science, Chandrakasem Rajabhat University, Bangkok, Thailand; email: patsaraporn.s@chandra.ac.th</t>
  </si>
  <si>
    <t xml:space="preserve">Kobe University</t>
  </si>
  <si>
    <t xml:space="preserve">2nd Artificial Intelligence and Cloud Computing Conference, AICCC 2019</t>
  </si>
  <si>
    <t xml:space="preserve">21 December 2019 through 23 December 2019</t>
  </si>
  <si>
    <t xml:space="preserve">Kobe</t>
  </si>
  <si>
    <t xml:space="preserve">978-145037263-3</t>
  </si>
  <si>
    <t xml:space="preserve">2-s2.0-85089227969</t>
  </si>
  <si>
    <t xml:space="preserve">Saglam S.; Tat F.; Bayar S.</t>
  </si>
  <si>
    <t xml:space="preserve">Saglam, Serkan (57216706777); Tat, Fatih (57211587849); Bayar, Salih (24823785300)</t>
  </si>
  <si>
    <t xml:space="preserve">57216706777; 57211587849; 24823785300</t>
  </si>
  <si>
    <t xml:space="preserve">FPGA Implementation of CNN Algorithm for Detecting Malaria Diseased Blood Cells</t>
  </si>
  <si>
    <t xml:space="preserve">In this study, Field Programmable Gate Array (FPGA) implementation of Convolutional Neural Network (CNN) for classification of malaria diseased cell is done. The hardware is designed and implemented on Xilinx Zynq-7000 FPGA using Very High-Speed Integrated Circuit Hardware Description Language (VHDL). In accordance with this purpose, Convolutional Neural Network (CNN) classification method used by image processing to make it easier for experts to comment on diseased cells. The classification method allows us to make a simpler interpretation by classifying complex images. Thanks to this research, it facilitates early diagnosis using image processing in the medical field as soon as reduces death and treatment costs. According to the experimental results, the accuracy rate for finding malaria diseased cell using CNN method is 94.76% for 200 8x8 binary images. The average execution time of CNN algorithm using Matlab on desktop PC is 174 microseconds. On the other hand, the maximum achievable frequency on Zynq FPGA is 168MHz (i.e. the longest critical path is 5.93 nanoseconds). The occupied area of CNN on Xilinx Zynq FPGA is only 783 six-input Look Up Tables (LUTs) of 17600, which is about 4.34% of Xilinx Zynq-7000 (XC7Z010-1CLG400C) FPGA. © 2019 IEEE.</t>
  </si>
  <si>
    <t xml:space="preserve">2019 International Symposium on Advanced Electrical and Communication Technologies, ISAECT 2019</t>
  </si>
  <si>
    <t xml:space="preserve">10.1109/ISAECT47714.2019.9069724</t>
  </si>
  <si>
    <t xml:space="preserve">https://www.scopus.com/inward/record.uri?eid=2-s2.0-85084377268&amp;doi=10.1109%2fISAECT47714.2019.9069724&amp;partnerID=40&amp;md5=f798ccb57e4e003249e50bad8e4e12a4</t>
  </si>
  <si>
    <t xml:space="preserve">Marmara University, Electrical and Electronic Engineering, Istanbul, Turkey; Marmara University, Electrical and Electronic Engineering Faculty of Engineering, Istanbul, Turkey</t>
  </si>
  <si>
    <t xml:space="preserve">Saglam S., Marmara University, Electrical and Electronic Engineering, Istanbul, Turkey; Tat F., Marmara University, Electrical and Electronic Engineering, Istanbul, Turkey; Bayar S., Marmara University, Electrical and Electronic Engineering Faculty of Engineering, Istanbul, Turkey</t>
  </si>
  <si>
    <t xml:space="preserve">Classification; CNN; FPGA; Image Processing; Malaria Detection; Matlab; VHDL</t>
  </si>
  <si>
    <t xml:space="preserve">Binary images; Blood; Cells; Computer hardware description languages; Convolution; Convolutional neural networks; Cytology; Diagnosis; Diseases; Image classification; MATLAB; Medical imaging; Table lookup; Average Execution Time; Classification methods; Early diagnosis; Field-programmable gate array implementations; FPGA implementations; Medical fields; Treatment costs; Very high speed integrated circuits; Field programmable gate arrays (FPGA)</t>
  </si>
  <si>
    <t xml:space="preserve">Basavaprasad B., Ravi M., A study on the importance of image processing and its applications, IJRET: International Journal of Research in Engineering and Technology, 3, (2014); Li Q., Cai W., Wang X., Zhou Y., Dagan Feng D., Chen M., Medical image classification with convolutional neural network, 2014 13th International Conference on Control Automation Robotics &amp; Vision (ICARCV), pp. 844-848, (2014); Mittal S., Gupta S., Dasgupta S., FPGA: An efficient and promising platform for real-time image processing applications, National Conference on Research and Development in Hardware Systems (CSI-RDHS), (2008); Prasoon A., Petersen K., Igel C., Lauze F., Dam E., Nielsen M., Deep feature learning for knee cartilage segmentation using a triplanar convolutional neural network, International Conference on Medical Image Computing and Computer-assisted Intervention, pp. 246-253, (2013); Claudiu Ciresan D., Meier U., Masci J., Maria Gambardella L., Schmidhuber J., Flexible, high performance convolutional neural networks for image classification, Twenty-Second International Joint Conference on Artificial Intelligence, (2011); Scherer D., Muller A., Behnke S., Evaluation of pooling operations in convolutional architectures for object recognition, International Conference on Artificial Neural Networks, pp. 92-101, (2010); Chiuchisan I., Geman O., An approach of FPGA technology in skin lesion detection, 2018 International Conference and Exposition on Electrical and Power Engineering (EPE), pp. 0175-0178, (2018); Linsangan N.B., Adtoon J.J., Torres J.L., Geometric analysis of skin lesion for skin cancer using image processing, 2018 IEEE 10th International Conference on Humanoid, Nanotechnology, Information Technology, Communication and Control, Environment and Management (HNICEM), pp. 1-5; Afifi S., GholamHosseini H., Sinha R., A low-cost FPGA-based SVM classifier for melanoma detection, 2016 IEEE EMBS Conference on Biomedical Engineering and Sciences (IECBES), pp. 631-636, (2016); Liang Z., Powell A., Ersoy I., Poostchi M., Silamut K., Palaniappan K., Guo P., Amir Hossain M., Sameer A., James Maude R., Et al., Cnn-based image analysis for malaria diagnosis, 2016 IEEE International Conference on Bioinformatics and Biomedicine (BIBM), pp. 493-496, (2016); U. S National Library of Medicine, (2018)</t>
  </si>
  <si>
    <t xml:space="preserve">27 November 2019 through 29 November 2019</t>
  </si>
  <si>
    <t xml:space="preserve">978-172813729-2</t>
  </si>
  <si>
    <t xml:space="preserve">Int. Symp. Adv. Electr. Commun. Technol., ISAECT</t>
  </si>
  <si>
    <t xml:space="preserve">2-s2.0-85084377268</t>
  </si>
  <si>
    <t xml:space="preserve">Stanley N.; Jacob B.G.; Masys A.J.; Parikh J.; Izurieta R.; Reina M.</t>
  </si>
  <si>
    <t xml:space="preserve">Stanley, Nathanael (57194196838); Jacob, Benjamin G. (7102943623); Masys, Anthony J. (7801326939); Parikh, Jeegan (57224221407); Izurieta, Ricardo (6603139704); Reina, Miguel (58534648400)</t>
  </si>
  <si>
    <t xml:space="preserve">57194196838; 7102943623; 7801326939; 57224221407; 6603139704; 58534648400</t>
  </si>
  <si>
    <t xml:space="preserve">GLOBAL HEALTH SECURITY AND DISASTER FORENSICS: A SOLUTION ORIENTED APPROACH TO MAPPING PUBLIC HEALTH VULNERABILITIES THROUGH PREDICTIVE ANALYTICS</t>
  </si>
  <si>
    <t xml:space="preserve">Heyman et al., (2015:1888) argues that, “the world is ill-prepared” to handle any “sustained and threatening public-health emergency”. Such public health emergencies stemming from infectious disease outbreaks is creating a serious threat to global health security. For example, climate change and extreme weather events threaten to alter and affect geographic areas pertaining to disease vulnerability, such as greater risks of mosquito-borne diseases (dengue, malaria, yellow fever and Zika). The emergence of these disease outbreaks and their influence globally has sparked a renewed attention on global health security. In the Chatham House report ‘Preparing for High Impact, Low Probability Events’, Lee et al (2012:vii) ‘found that governments and businesses remain unprepared for such events’. Recent outbreaks characterize the ‘new normal’ and has unveiled major deficiencies in preparedness, response and recovery initiatives. For example, Ae. aegypti is one of the most significant mosquito species as it is capable of transmitting dengue fever, chikungunya, Zika, and yellow fever viruses. Understanding the emerging threat employing landscape real time epidemiological tools may ‘experimental futuring’ and scenario planning, this paper presents novel methods to predictively understand the processes by which species colonize and adapt to human habitats with a focus on the case of a virulent disease-vectoring arthropod such as Ae. aegypti. In this paper, we introduce real time ArcGIS machine learning (ML), spectral signatures in unmanned semi-Autonomous drone aircraft platform for controlling Ae. aegypti. mosquito habitats. The multivariate real time platform regressed the spatial risk of human exposure to Ae. aegypti pathogens to forecast unknown capture point georeferenceable geolocations of elevated risk. In so doing, the methodology described strengthens mitigation, preparedness, response and recovery through vulnerability analysis and predictive analytics. © 2019, IAHR.</t>
  </si>
  <si>
    <t xml:space="preserve">Proceedings of the IAHR World Congress</t>
  </si>
  <si>
    <t xml:space="preserve">International Association for Hydro-Environment Engineering and Research</t>
  </si>
  <si>
    <t xml:space="preserve">10.3850/38WC092019-1883</t>
  </si>
  <si>
    <t xml:space="preserve">https://www.scopus.com/inward/record.uri?eid=2-s2.0-85087178548&amp;doi=10.3850%2f38WC092019-1883&amp;partnerID=40&amp;md5=231071f67f51fa034be0ecd70984eecf</t>
  </si>
  <si>
    <t xml:space="preserve">College of Public Health, University of South Florida, United States</t>
  </si>
  <si>
    <t xml:space="preserve">Stanley N., College of Public Health, University of South Florida, United States; Jacob B.G., College of Public Health, University of South Florida, United States; Masys A.J., College of Public Health, University of South Florida, United States; Parikh J., College of Public Health, University of South Florida, United States; Izurieta R., College of Public Health, University of South Florida, United States; Reina M., College of Public Health, University of South Florida, United States</t>
  </si>
  <si>
    <t xml:space="preserve">disaster forensics; experimental futures analysis; GIS; predictive analytics; scenario planning</t>
  </si>
  <si>
    <t xml:space="preserve">Bardosh K.L., Ryan S.J., Ebi K., Welburn S., Singer B., Addressing vulnerability, building resilience: community-based adaptation to vector-borne diseases in the context of global change, Infectious Diseases of Poverty, 6, (2017); Berrang-Ford L, Harper SL, Eckhardt R., Vector-borne diseases: Reconciling the debate between climatic and social determinants, Can Comm Dis Rep, 42, pp. 211-212, (2016); Cressie N., Statistics for Spatial Data, (1993); Cutter S.L., Mitchell J.T., Scott M.S., Revealing the Vulnerability of People and Places: A Case Study of Georgetown County, South Carolina, Annals of the Association of American Geographers, 90, 4, pp. 713-737, (2000); Heyman, Et al., Global health security: the wider lessons from the west African Ebola virus disease epidemic, 385, 7, pp. 6-73, (2015); Jacob BG, Novak RJ, Pernicious quasi-normal non-monotonic Poissionian non-negativity constraints for optimally rectifying incompatibilistic endeogeneity in sub-meter resolution pseudo-Euclidean regression space employing analogs of the Pythagorean theorem and parallelogram laws for semi-parametrically demarcating non-trivial land cover wavelength filters and time series impulse-response metrological functions in an invertible Hermitian transjugate matrix while consolidating synergistic semi-logarithmic non- ordinate axis-scaled covariances in C++ for forecasting episodical yellow fever sylvatic, case distributions in an eco-geo referenceable irrigated riceland complex in Gulu, Uganda Journal of Applied Mathematics and Statistics, 3, 4, pp. 42-366, (2016); Jacob BG, Shafer S, Alinda P, Loun D, Mc Kinnon A, Et al., Lexicographically, cartesian-ordered, differential calculi in canonically extractable in-situ near infra-red fluorescence quantum spectroscopic sub-surface continuous geodesic fluxions for metaheuristic chlorophyll- a translucent emissivty mapping intermittently canopied immature narrow riverine tributary Simulism damnosum sl oviposition sites for bio-optically delineating multivariate normalized Gaussian processes elucidative administrated by prior covariances and a spline within a reproducing non-frequentist simultaneous diagonalization of amalgamized positive definite kernels in Hilbert space: Implementation of a ‘Slash and Clear’ control intervention in two eco-georeferenceable agro-village complexes in northern Uganda Uganda, Journal of Geophysics and Remote sensing, 4, 5, pp. 26-221, (2017); Jacob BG, Novak RJ, Integrating a Trimble Recon X 400 MHz Intel PXA255 Xscale CPU®Mobile Field Data Collection System Using Differentially Corrected Global Positioning System Technology and a Real Time Bidirectional Actionable Platform within an ArcGIS Cyberenvironment for Implementing Mosquito Control, Advances in Remote Sensing, 3, 3, pp. 141-196, (2014); Jacob BG, Morris JA, Caamano EX, Griffith DA, Novak RJ, Geomapping generalized eigenvalue frequency distributions for predicting prolific Aedes albopictus and Culex quinquefasciatus habitats based on spatiotemporal field-sampled count data, Acta Tropica, 2, pp. 61-68, (2011); Jacob BG, Novak RJ, Toe LD, Sanfo M, Griffith DA, Lakwo TL, Et al., Validation of a Remote Sensing Model to Identify Simulium damnosum s.l. Breeding Sites in Sub-Saharan Africa, PLoS Neglected Tropical Diseases, 7, 7, pp. 32-42, (2013); Jacob BG., Mwangangi JM, Mbogo CB, Novak RJ, A Taxonomy of Unmixing Algorithms Using Li- StrahlerGeometric- Optical Model and other Spectral Endmember Extraction Techniques for Decomposing a QuickBirdVisible and Near Infra-red Pixel of an Anopheles arabiensis, Habitat Open Remote Sensing, 17, 3, pp. 11-24, (2011); Lee B., Preston F., Green G., Preparing for High-impact, Low-probability Events: Lessons from Eyjafjallajökull, (2012); Reina Ortiz R., Le N.K., Sharma V., Hoare I., Quizhpe E., Teran E., Naik E., Salihu H.M., Izurieta, Post-earthquake Zika virus surge: Disaster and public health threat amid climatic conduciveness, (2017); Schwarz J.O., Ram C., Rohrbeck R., Combining scenario planning and business wargaming to better anticipate future competitive dynamics, Futures, 105, pp. 133-142, (2019); Sheehan M.C., Fox M.A., Kaye C., Resnick B., Integrating Health into Local Climate Response: Lessons from the U.S. CDC Climate-Ready States and Cities Initiative, Environmental Health Perspectives, (2017)</t>
  </si>
  <si>
    <t xml:space="preserve">A.J. Masys; College of Public Health, University of South Florida, United States; email: tmasys@health.usf.edu</t>
  </si>
  <si>
    <t xml:space="preserve">Calvo L.</t>
  </si>
  <si>
    <t xml:space="preserve">38th IAHR World Congress, 2019</t>
  </si>
  <si>
    <t xml:space="preserve">1 September 2019 through 6 September 2019</t>
  </si>
  <si>
    <t xml:space="preserve">Panama</t>
  </si>
  <si>
    <t xml:space="preserve">Proc. IAHR World. Congr.</t>
  </si>
  <si>
    <t xml:space="preserve">2-s2.0-85087178548</t>
  </si>
  <si>
    <t xml:space="preserve">Saranya V.; Porkodi R.</t>
  </si>
  <si>
    <t xml:space="preserve">Saranya, V. (58955475700); Porkodi, R. (26639726400)</t>
  </si>
  <si>
    <t xml:space="preserve">58955475700; 26639726400</t>
  </si>
  <si>
    <t xml:space="preserve">Identifying Significant Gene Interaction Networks Using Machine Learning and Statistical Techniques</t>
  </si>
  <si>
    <t xml:space="preserve">Nowadays, a massive library of Data Mining techniques has been expanded to undertake a plenty of problems in fields such as medical imaging, traffic analysis, business administration, marketing and sales, manufacturing process astronomy and etc. At present, Data Mining had a major impact on the information industry, due to the broad availability of vast datasets. Classification technique is one category of broadly applied methods of data mining in healthcare. It utilized to classifies each item in a collection of data into one of a predefined collection of groups. The proposed research work focuses on categorizing the dengue microarray dataset using SVM classifier to identify the significant genes, discrimination between various classes present in the dengue dataset and interaction among the significant genes with constructing gene networks using Pearson Correlation Method. The Significant genes have been identified depends on gene ranking with its posterior probability threshold value 0.95 and there are 554, 172, 271 and 762 significant genes are extracted for convalescent, dengue hemorrhagic fever, dengue fever and healthy control respectively. From the confusion matrix observed that SVM Classification algorithm gives 100% accuracy for top 30 genes in each class of samples. From the top 30 classified genes in three sample groups, it is observed that 16 significant genes interacted with each other in Convalescent group, 18 significant genes interacted with each other in Dengue Hemorrhagic Fever group, 17 significant genes interacted with each other in Dengue Fever group and 20 significant genes interacted with each other in Healthy Control group. © 2019 IEEE.</t>
  </si>
  <si>
    <t xml:space="preserve">Proceedings of 2019 3rd IEEE International Conference on Electrical, Computer and Communication Technologies, ICECCT 2019</t>
  </si>
  <si>
    <t xml:space="preserve">10.1109/ICECCT.2019.8869103</t>
  </si>
  <si>
    <t xml:space="preserve">https://www.scopus.com/inward/record.uri?eid=2-s2.0-85074325339&amp;doi=10.1109%2fICECCT.2019.8869103&amp;partnerID=40&amp;md5=9ba20a76e1b3c50154d0244d834dc0f1</t>
  </si>
  <si>
    <t xml:space="preserve">Department of Computer science, Bharathiar University, Coimbatore, India</t>
  </si>
  <si>
    <t xml:space="preserve">Saranya V., Department of Computer science, Bharathiar University, Coimbatore, India; Porkodi R., Department of Computer science, Bharathiar University, Coimbatore, India</t>
  </si>
  <si>
    <t xml:space="preserve">Classification; Data mining; Microarray; Pearson Correlation method.; Significant genes; SVM Classifier</t>
  </si>
  <si>
    <t xml:space="preserve">Classification (of information); Correlation methods; Engineering research; Genes; Machine learning; Medical computing; Medical imaging; Medical problems; Microarrays; Support vector machines; Business administration; Classification technique; Dengue hemorrhagic fever; Gene interaction networks; Manufacturing process; Pearson correlation methods; Statistical techniques; SVM classifiers; Data mining</t>
  </si>
  <si>
    <t xml:space="preserve">Li Y., Beaubouef T., Data mining: Concepts, Background and methods of integrating uncertainity in Data Mining; Pujari A.K., Data Mining Techniques, (2010); Sudir, Gorade M., Deo A., Purohit P., A study of some data mining classification techniques, International Research Journal of Engineering and Technology (IRJET), 4, 4, pp. 3112-3115, (2017); Raza K., Applications of data mining in bioinformatics, Indian Journal of Computer Science and Engineering, 1, 2, pp. 114-118; Diniz W.J.A., Canduri F., Bioinformatics: An overview and its applications, Genetics Molecular Research, 16, 1, (2007); Selvaraj S., Natarajan J., Microarray data analysis and mining tools, Bioinformatics, 6, 3, pp. 95-99, (2011); Dogra A.K., Wala T., A review paper on data mining techniques and algorithms, International Journal of Advanced Research in Computer Engineering &amp; Technology (IJARCET), 4, 5, pp. 1976-1979, (2015); Kumar P., Nitin, Sehgal V.K., Chauhan D.S., A benchmark to select data mining based classification algorithms for business intelligence and decision support systems, International Journal of Data Mining &amp; Knowledge Management Process (IJDKP), 2, 5, pp. 25-42, (2012); Rajput K., Oza B.A., A comparative study of classification techniques in data mining, International Journal of Creative Research Thoughts (IJCRT), 5, 3, pp. 154-163, (2017); Zhao L., Chen D.-F., Xu S.-J., Lu J., The research of data mining classification algorithm that based on sjep, International Journal of Database Theory and Application, 8, 2, pp. 223-234, (2015); Patel B., Gondaliya C., Student performance analysis using data mining technique, International Journal of Computer Science and Mobile Computing (IJCSMC), 6, 5, pp. 64-71, (2017); Gopinath M.P., Murali S., Comparative study on classification algorithm for diabetes data set, International Journal of Pure and Applied Mathematics, 117, 7, pp. 47-52, (2017); Chen A.H., Tsau Y.-W., Lin C.-H., Novel methods to identify biologically relevant genes for leukemia and prostate cancer from gene expression profiles, BMC Genomics, (2010); Arunkumar C., Ramakrishnan S., Attribute selection using fuzzy roughset based customized similarity measure for lung cancer microarray gene expression data, Future Computing and Informatics Journal, 3, (2018); Natsoulis G., El Ghaoui L., Lanckriet G.R.G., Tolley A.M., Leroy F., Dunlea S., Eynon B.P., Pearson C.I., Tugendreich S., Jarnagin K., Classification of a large microarray data set: Algorithm compare, Cold Spring Harbor Laboratory Press, pp. 724-736, (2018); Aibar S., Fontanillo C., Droste C., Roson-Burgo B., Campos-Laborie F.J., Hernandez-Rivas J.M., De Las Rivas J., Analyse multiple disease subtypes and build associated gene networks using genome-wide expression profiles, BMC Genomics, (2015); Falcon S., Morgan M., Gentleman R., An Introduction to Bioconductor's ExpressionSet Class, (2007); Feng C., Wang H., Naiji Lu., Chen T., He H., Lu Y., Tu M., Log-transformation and its implications for data analysis, Biostatistics in Psychiatry, 26, 2, pp. 105-109, (2014); Petrone S., Rizzelli S., Rousseau J., Scricciolo C., Empirical bayes methods in classical and Bayesian inference, METRON, 72, 2, pp. 202-215, (2014); Morris C.N., Parametric empirical bayes inference: Theory and applications, Journal of the American Statistical Association, 78, 381, pp. 47-55, (1983); Lessmann S., Stahlbock R., Crone S.F., Genetic algorithms for support vector machine model selection, International Joint Conference on Neural Networks, pp. 3063-3069, (2006); Pradhan A., Support vector machine-A survey, International Journal of Emerging Technology and Advanced Engineering, 2, 8, pp. 82-85, (2012); Brownz M.P.S., Grundyz W.N., Linz D., Cristianinix N., Sugnet C., Ares M., Haussler D., Support Vector Machine Classification of Microarray Gene Expression Data, (1999); Majd H.A., Talebi A., Gilany K., Khayyer N., Two-Way Gene Interaction From Microarray Data Based on Correlation Methods, 18, 6, (2016); Zhu D., Hero A.O., Gene Co-Expression Network Discovery with Controlled Statistical and Biological Significance</t>
  </si>
  <si>
    <t xml:space="preserve">3rd IEEE International Conference on Electrical, Computer and Communication Technologies: Computer Science and Engineering, ICECCT 2019</t>
  </si>
  <si>
    <t xml:space="preserve">20 February 2019 through 22 February 2019</t>
  </si>
  <si>
    <t xml:space="preserve">Coimbatore, Tamil Nadu</t>
  </si>
  <si>
    <t xml:space="preserve">978-153868157-2</t>
  </si>
  <si>
    <t xml:space="preserve">Proc. IEEE Int. Conf. Electr., Comput. Commun. Technol., ICECCT</t>
  </si>
  <si>
    <t xml:space="preserve">2-s2.0-85074325339</t>
  </si>
  <si>
    <t xml:space="preserve">Manning K.; Zhai X.; Yu W.</t>
  </si>
  <si>
    <t xml:space="preserve">Manning, Kyle (57216983704); Zhai, Xiaojun (37053084600); Yu, Wangyang (55657477200)</t>
  </si>
  <si>
    <t xml:space="preserve">57216983704; 37053084600; 55657477200</t>
  </si>
  <si>
    <t xml:space="preserve">Image analysis based system for assessing malaria</t>
  </si>
  <si>
    <t xml:space="preserve">Malaria, a not only widespread but also a potentially fatal disease that can be found mainly in tropical regions of the world, with the World Health Organization reporting an estimated 219 million cases worldwide as of 2017 of which 435,000 were mortal. Diagnosis currently involves taking a blood sample from a patient who is presumed to be infected, which is examined under a microscope by trained experts, although reliable the process is tedious. This disease is an ever-increasing problem thereby creating a need for an automated solution to the diagnosis of malaria. The primary objective of this project is to design a tool that can diagnose malaria from an image of a blood smear that has been stained with the commonly used Giemsa stain (which highlights the parasites in a red blood cell by turning them dark purple). In this paper, we have developed a graphical user interface to assist with the separation of red blood cells and extraction of the cells infected with the malaria parasite as well as an ANN (Artificial Neural Network) for cell classification. The graphical user interface allows the user to analyse the blood sample by running a series of image processing techniques followed by the extraction of infected cells, the results have shown that these techniques could be potentially used to detect malaria. Currently, the achieved results shown that the proposed system has 92% accuracy of a database contains a large number of ground-truth images. © Springer Nature Singapore Pte Ltd. 2019.</t>
  </si>
  <si>
    <t xml:space="preserve">1138 CCIS</t>
  </si>
  <si>
    <t xml:space="preserve">10.1007/978-981-15-1925-3_34</t>
  </si>
  <si>
    <t xml:space="preserve">https://www.scopus.com/inward/record.uri?eid=2-s2.0-85076890187&amp;doi=10.1007%2f978-981-15-1925-3_34&amp;partnerID=40&amp;md5=4875e0bff89bbd3a22b1aba266bea645</t>
  </si>
  <si>
    <t xml:space="preserve">School of Computer Science and Electronic Engineering, University of Essex, Colchester, CO4 3SQ, United Kingdom; Key Laboratory of Modern Teaching Technology, Ministry of Education, School of Computer Science, Shaanxi Normal University, Xi’an, China</t>
  </si>
  <si>
    <t xml:space="preserve">Manning K., School of Computer Science and Electronic Engineering, University of Essex, Colchester, CO4 3SQ, United Kingdom; Zhai X., School of Computer Science and Electronic Engineering, University of Essex, Colchester, CO4 3SQ, United Kingdom; Yu W., Key Laboratory of Modern Teaching Technology, Ministry of Education, School of Computer Science, Shaanxi Normal University, Xi’an, China</t>
  </si>
  <si>
    <t xml:space="preserve">Artificial intelligence; Image analysis; Malaria</t>
  </si>
  <si>
    <t xml:space="preserve">Artificial intelligence; Blood; Cells; Computers; Cytology; Diagnosis; Diseases; Extraction; Graphical user interfaces; Neural networks; ANN (artificial neural network); Automated solutions; Cell classification; Image processing technique; Malaria; Potentially fatal; Primary objective; World Health Organization; Image analysis</t>
  </si>
  <si>
    <t xml:space="preserve">National Natural Science Foundation of China, NSFC, (61602289); Fundamental Research Funds for the Central Universities, (GK201803081)</t>
  </si>
  <si>
    <t xml:space="preserve">This work is supported by the National Natural Science Foundation of China (Grant No.: 61602289), the Fundamental Research Funds for the Central Universities of China (Grant No.: GK201803081).</t>
  </si>
  <si>
    <t xml:space="preserve">Cox F.E., Et al., History of the Discovery of the Malaria Parasites and Their Vectors, (2010); Mace K.E., Arguin P.M., Tan K.R., Cdc-Malaria, (2019); World Health Organization: Disease Information-Malaria, (2019); NHS: Malaria-Causes, (2019); Wwarn-Worldwide Antimalarial Resistance Network: Plasmodium Vivax and Drug Resistance.; Mmv-Medicines for Malaria Venture: Definitions and Symptoms of Malaria, (2019); Lo E., Et al., Plasmodium malariae prevalence and csp gene diversity, Kenya, 2014 and 2015, Emerg. Infect. Dis., 23, pp. 601-610, (2017); Maximumyield: What is Genus?-Definition from Maximumyield; Russ J., The Image Processing Handbook, (2011); Zaitoun N.M., Aqel M.J., Survey on image segmentation techniques, Procedia Comput. Sci., 65, pp. 797-806, (2015); Castle N., An Introduction to Machine Learning Algorithms, (2017); Ng H.P., Ong S.H., Foong K.W.C., Goh P.S., Nowinski W.L., Medical Image Segmentation Using K-Means Clustering and Improved Watershed Algorithm, (2006); Nguyen H.T., Worring M., van Den Boomgaard R., Watersnakes: Energy-driven watershed segmentation, IEEE Trans. Pattern Anal. Mach. Intell., 25, pp. 330-342, (2003); Grau V., Mewes A.U.J., Alcaniz M., Kikinis R., Warfield S.K., Improved watershed transform for medical image segmentation using prior information, IEEE Trans. Med. Imaging, 23, (2004); Areeckal A.S., Sam M., David S., Computerized Radiogrammetry of Third Metacarpal Using Watershed and Active Appearance Model, (2018); Yuheng S., Hao Y., Image Segmentation Algorithms Overview, (2017); Dhanachandra N., Chanu Y.J., Image Segmentation Method Using K-Means Clustering Algorithm for Color Image, (2015); Kumari N., Saxena S., Review of Brain Tumor Segmentation and Classification, (2018); Salihah A., Nasir A., Jaafar H., Azani W., Mustafa W., Mohamed Z., The cascaded enhanced K-Means and fuzzy C-Means clustering algorithms for automated segmentation of malaria parasites, Malaysia Technical Universities Conference on Engineering and Technology (MUCET 2017), 150, (2018); Sharma N., Mishra M., Shrivastava M., Colour image segmentation techniques and issues: An approach, Int. J. Sci. Technol. Res., 1, pp. 9-12, (2012); Dass R., Priyanka S.D., Image segmentation techniques, IJECT, 3, (2012); UCL-London’s Global University: Malaria Database</t>
  </si>
  <si>
    <t xml:space="preserve">W. Yu; Key Laboratory of Modern Teaching Technology, Ministry of Education, School of Computer Science, Shaanxi Normal University, Xi’an, China; email: ywy191@snnu.edu.cn</t>
  </si>
  <si>
    <t xml:space="preserve">Ning H.</t>
  </si>
  <si>
    <t xml:space="preserve">3rd International Conference on Cyberspace Data and Intelligence, Cyber DI 2019, and the International Conference on Cyber-Living, Cyber-Syndrome, and Cyber-Health, CyberLife 2019</t>
  </si>
  <si>
    <t xml:space="preserve">16 December 2019 through 18 December 2019</t>
  </si>
  <si>
    <t xml:space="preserve">Beijing</t>
  </si>
  <si>
    <t xml:space="preserve">978-981151924-6</t>
  </si>
  <si>
    <t xml:space="preserve">2-s2.0-85076890187</t>
  </si>
  <si>
    <t xml:space="preserve">Miao T.; Ji W.; Shen Y.; Zhu Y.; Wang L.; Yang F.</t>
  </si>
  <si>
    <t xml:space="preserve">Miao, Tiantian (57614994300); Ji, Wen (16204879800); Shen, Yuhong (57212496314); Zhu, Yuemin (55629946300); Wang, Lihui (57141686200); Yang, Feng (56408792200)</t>
  </si>
  <si>
    <t xml:space="preserve">57614994300; 16204879800; 57212496314; 55629946300; 57141686200; 56408792200</t>
  </si>
  <si>
    <t xml:space="preserve">Intelligent network application in computer-aided diagnosis</t>
  </si>
  <si>
    <t xml:space="preserve">Malaria is an infectious disease caused by plasmodium parasites that can be propagated through the bite of female mosquitos. According to WHO’s latest World malaria report, an estimated malaria death of 435,000 occurs from 2015 to 2017. Microscopy examination, including stained thin and thick blood smears, is the gold standard for malaria diagnosis. Thick blood smears are used to detect the presence of malaria parasites, and thin blood smears are used to differentiate parasite species. Microscopy examination is of low cost and but is time-consuming and error-prone. Therefore, automatic parasite detection with high accuracy is of important clinical values. To this end, this paper proposes an automatic parasite detection algorithm based on Faster R-CNN, which can automatically detect small objects of malaria parasites. Based on public dataset, we compare our method with ERT and CNN in detection precision. Experimental results show that our method achieves an average precision of 94.61% in the test set. © 2019 Association for Computing Machinery.</t>
  </si>
  <si>
    <t xml:space="preserve">10.1145/3371238.3371273</t>
  </si>
  <si>
    <t xml:space="preserve">https://www.scopus.com/inward/record.uri?eid=2-s2.0-85076862463&amp;doi=10.1145%2f3371238.3371273&amp;partnerID=40&amp;md5=6338491d25de69157cd3e11256c72240</t>
  </si>
  <si>
    <t xml:space="preserve">School of Computer and Information Technology, Beijing Jiaotong University, No. 3 Shangyuancun, Haidian District, Beijing, 100044, China; Institute of Computing Technology, Chinese Academy of Sciences, No.6 kexueyuannanlu, Haidian District, Beijing, 100080, China; Univ Lyon, INSA-Lyon UniversitéClaude Bernard Lyon 1, UJM-Saint Etienne, CNRS, Inserm, CREATIS UMR 5220, U1206, LYON, F-69621, France; Key Laboratory of Intelligent Medical Image Analysis and Precise Diagnosis of Guizhou Province, College of Computer Science and Technology, Guizhou University, Guiyang, 550025, China</t>
  </si>
  <si>
    <t xml:space="preserve">Miao T., School of Computer and Information Technology, Beijing Jiaotong University, No. 3 Shangyuancun, Haidian District, Beijing, 100044, China; Ji W., Institute of Computing Technology, Chinese Academy of Sciences, No.6 kexueyuannanlu, Haidian District, Beijing, 100080, China; Shen Y., School of Computer and Information Technology, Beijing Jiaotong University, No. 3 Shangyuancun, Haidian District, Beijing, 100044, China; Zhu Y., Univ Lyon, INSA-Lyon UniversitéClaude Bernard Lyon 1, UJM-Saint Etienne, CNRS, Inserm, CREATIS UMR 5220, U1206, LYON, F-69621, France; Wang L., Key Laboratory of Intelligent Medical Image Analysis and Precise Diagnosis of Guizhou Province, College of Computer Science and Technology, Guizhou University, Guiyang, 550025, China; Yang F., School of Computer and Information Technology, Beijing Jiaotong University, No. 3 Shangyuancun, Haidian District, Beijing, 100044, China</t>
  </si>
  <si>
    <t xml:space="preserve">Faster R-CNN; Malaria parasites detection; Thick blood smears</t>
  </si>
  <si>
    <t xml:space="preserve">Blood; Convolutional neural networks; Diseases; Gold metallography; Intelligent networks; Object detection; Blood smears; Detection algorithm; Detection precision; Faster R-CNN; Infectious disease; Malaria diagnosis; Malaria parasite; Plasmodium parasites; Computer aided diagnosis</t>
  </si>
  <si>
    <t xml:space="preserve">National Key R&amp;D Program of China, (2017YFB1400100); National Nature Science Foundations of China, (61661010, N˚ 41400TC); Nvidia; National Basic Research Program of China (973 Program), (61301002, 61671049)</t>
  </si>
  <si>
    <t xml:space="preserve">This work is supported by the National Key R&amp;D Program of China (2017YFB1400100), the National Basic Research Program of China under Grant No. 61671049, 61301002, the National Nature Science Foundations of China (Grant No. 61661010), the Program PHC-Cai Yuanpei 2018 (N˚ 41400TC). We also gratefully acknowledge the support of NVIDIA Corporation with the donation of the TitanX GPU used for this research.</t>
  </si>
  <si>
    <t xml:space="preserve">Malaria [EB/OL], (2018); Diagnosis of Malaria (WS 259-2015) [EB/OL], (2015); Frean J.A., Reliable enumeration of malaria parasites in thick blood films using digital image analysis[j], Malaria Journal, 8, 1, (2009); Elter M., Hasslmeyer E., Zerfass T., Detection of malaria parasites in thick blood films[c], 2011 Annual International Conference of the IEEE Engineering in Medicine and Biology Society, pp. 5140-5144, (2011); Quinn J.A., Andama A., Munabi I., Et al., Automated blood smear analysis for mobile malaria diagnosis[j], Mobile Point-of-Care Monitors and Diagnostic Device Design, 31, pp. 115-132, (2014); Sanchez C.S., Deep Learning for Identifying Malaria Parasites in Images[D], (2015); Ren S., He K., Girshick R., Et al., Faster R-CNN: Towards real-time object detection with region proposal networks[c], Advances in Neural Information Processing Systems, pp. 91-99, (2015); Everingham M., van Gool L., Williams C.K.I., Et al., The pascal visual object classes (voc) challenge[j], International Journal of Computer Vision, 88, 2, pp. 303-338, (2010)</t>
  </si>
  <si>
    <t xml:space="preserve">F. Yang; School of Computer and Information Technology, Beijing Jiaotong University, Beijing, No. 3 Shangyuancun, Haidian District, 100044, China; email: fengyang@bjtu.edu.cn</t>
  </si>
  <si>
    <t xml:space="preserve">4th International Conference on Crowd Science and Engineering, ICCSE 2019</t>
  </si>
  <si>
    <t xml:space="preserve">18 October 2019 through 21 October 2019</t>
  </si>
  <si>
    <t xml:space="preserve">Jinan</t>
  </si>
  <si>
    <t xml:space="preserve">978-145037640-2</t>
  </si>
  <si>
    <t xml:space="preserve">2-s2.0-85076862463</t>
  </si>
  <si>
    <t xml:space="preserve">Gupta M.; Lobiyal D.K.; Safvan C.P.; Singh K.</t>
  </si>
  <si>
    <t xml:space="preserve">Gupta, Manish (59032799400); Lobiyal, D.K. (6507215219); Safvan, C.P. (7003659288); Singh, Kundan (57209147779)</t>
  </si>
  <si>
    <t xml:space="preserve">59032799400; 6507215219; 7003659288; 57209147779</t>
  </si>
  <si>
    <t xml:space="preserve">IoT and big data based smart healthcare system using portable nuclear magnetic resonance</t>
  </si>
  <si>
    <t xml:space="preserve">We have been working on developing a cost-effective and portable Nuclear Magnetic Resonance (NMR) system. We showed that our reported NMR is used for biological healthcare investigation. In this present paper, we develop an architecture of smart healthcare system based on Internet of Things (IoT), Big Data and Machine Learning technique for early stage Heart attack monitoring and Malaria diagnosis. As per best of knowledge this is the first architecture which used any portable NMR for smart healthcare system. © 2019 Taylor &amp; Francis Group, London.</t>
  </si>
  <si>
    <t xml:space="preserve">Communication and Computing Systems- Proceedings of the 2nd International Conference on Communication and Computing systems, ICCCS 2018</t>
  </si>
  <si>
    <t xml:space="preserve">https://www.scopus.com/inward/record.uri?eid=2-s2.0-85091624012&amp;partnerID=40&amp;md5=285b3e482fa6f7ddbe739d458c75aab0</t>
  </si>
  <si>
    <t xml:space="preserve">School of Computer and Systems Sciences, Jawaharlal Nehru University, New Delhi, India; Inter University Accelerator Centre, Aruna Asaf Ali Marg, Near Vasant Kunj, New Delhi, India</t>
  </si>
  <si>
    <t xml:space="preserve">Gupta M., School of Computer and Systems Sciences, Jawaharlal Nehru University, New Delhi, India; Lobiyal D.K., School of Computer and Systems Sciences, Jawaharlal Nehru University, New Delhi, India; Safvan C.P., Inter University Accelerator Centre, Aruna Asaf Ali Marg, Near Vasant Kunj, New Delhi, India; Singh K., Inter University Accelerator Centre, Aruna Asaf Ali Marg, Near Vasant Kunj, New Delhi, India</t>
  </si>
  <si>
    <t xml:space="preserve">Big data; Computer architecture; Cost effectiveness; Health care; Internet of things; Learning systems; Cost effective; Heart attack; Internet of Things (IOT); Machine learning techniques; Malaria diagnosis; Nuclear magnetic resonance(NMR); Portable NMR; Smart healthcare systems; Nuclear magnetic resonance</t>
  </si>
  <si>
    <t xml:space="preserve">DST-PURSE; University Grants Commission, UGC; Jinan University, JNU; Inter-University Accelerator Centre, IUAC</t>
  </si>
  <si>
    <t xml:space="preserve">Authors are thankful to AIFR, JNU and IUAC, DST-PURSE New Delhi for their support to carry out this research. First author also wants to acknowledge University Grant Commission (UGC), New Delhi, India for granting fellowship to support this work.</t>
  </si>
  <si>
    <t xml:space="preserve">Abdelgawed A., (2017); Choudhury P., (1997); (2017); Modeling and Simulation of On-Chip Probe for Portable NMR Applications, (2018); On-Chip Nuclear Magnetic Resonance Probe, (2018); Solenoidal Microcoil Design-Part I: Optimizing RF Homogeneity and Coil Dimensions, Concepts in Magnetic Resonace: Part B, 13, pp. 128-142, (2001); Optimizing RF Homogeneity and Coil Dimensions. Concepts in Magnetic Resonance, (2001); High-Q Factor RF Planar Microcoils for Micro Scale NMR Spectroscopy, (2002); (2002); Weng Kung P., Et al., Micro Magnetic Resonance Relaxometry for label-free, rapid malaria diagnosis, Nature Medicine, 20, pp. 1069-1073, (2014); Yang Z., Et al., An Iot-Cloud Based Wearable ECG Monitoring System for Smart Healthcare. J Med Syst, 40, (2016)</t>
  </si>
  <si>
    <t xml:space="preserve">Prasad B.M.K.; Singh K.; Pandey S.S.; O’Kennedy R.</t>
  </si>
  <si>
    <t xml:space="preserve">2nd International Conference on Communication and Computing systems, ICCCS 2018</t>
  </si>
  <si>
    <t xml:space="preserve">1 December 2018 through 2 December 2018</t>
  </si>
  <si>
    <t xml:space="preserve">Gurgaon</t>
  </si>
  <si>
    <t xml:space="preserve">978-036700147-6</t>
  </si>
  <si>
    <t xml:space="preserve">Commun. Comput. Sys. - Proc. Int. Conf. Commun. Comput. Sys.</t>
  </si>
  <si>
    <t xml:space="preserve">2-s2.0-85091624012</t>
  </si>
  <si>
    <t xml:space="preserve">Qin B.; Wu Y.; Wang Z.; Zheng H.</t>
  </si>
  <si>
    <t xml:space="preserve">Qin, Bin (55424761400); Wu, Yufan (57212063853); Wang, Zhili (57212062252); Zheng, Haocheng (57212060968)</t>
  </si>
  <si>
    <t xml:space="preserve">55424761400; 57212063853; 57212062252; 57212060968</t>
  </si>
  <si>
    <t xml:space="preserve">Malaria Cell Detection Using Evolutionary Convolutional Deep Networks</t>
  </si>
  <si>
    <t xml:space="preserve">With the rapid development of deep learning and computer-vision, accurate identification of medical imaging has become one of the most important factors in medical diagnosis and decision-making. To this end, we propose a data-driven approach named Evolutionary Convolutional Deep Network (ECDN) to detect malaria parasites, which can use evolutionary algorithms to automatically generate deep neural networks, and optimized its network topology structure during the evolution process. Extensive experiments based on the large-scale thin-blood smear images data validate the effectiveness of ECDN for detecting malaria. To be specific, it has the advantage of being able to automatically generate an optimal network structure without the need for any prior knowledge of constructing a neural network, as compared to a traditional artificial convolution network. The experimental results show that the model robustness of ECDN is better. When the training set and test set are divided according to the ratio of 6 and 4, the best result is achieved, and the accuracy rate reaches 99.98%, which provides an important basis for this research. © 2019 IEEE.</t>
  </si>
  <si>
    <t xml:space="preserve">2019 Computing, Communications and IoT Applications, ComComAp 2019</t>
  </si>
  <si>
    <t xml:space="preserve">10.1109/ComComAp46287.2019.9018770</t>
  </si>
  <si>
    <t xml:space="preserve">https://www.scopus.com/inward/record.uri?eid=2-s2.0-85082240416&amp;doi=10.1109%2fComComAp46287.2019.9018770&amp;partnerID=40&amp;md5=85d246c190e9709470b9cfc3bd8c45a8</t>
  </si>
  <si>
    <t xml:space="preserve">Shenzhen University Information Center Shenzhen University, Shenzhen, China</t>
  </si>
  <si>
    <t xml:space="preserve">Qin B., Shenzhen University Information Center Shenzhen University, Shenzhen, China; Wu Y., Shenzhen University Information Center Shenzhen University, Shenzhen, China; Wang Z., Shenzhen University Information Center Shenzhen University, Shenzhen, China; Zheng H., Shenzhen University Information Center Shenzhen University, Shenzhen, China</t>
  </si>
  <si>
    <t xml:space="preserve">Deep Learning; Evolutionary Algorithm; Malaria; Neural Network</t>
  </si>
  <si>
    <t xml:space="preserve">Convolution; Decision making; Deep learning; Deep neural networks; Diagnosis; Diseases; Evolutionary algorithms; Internet of things; Medical imaging; Neural networks; Structural optimization; Data-driven approach; Evolution process; Malaria; Malaria parasite; Model robustness; Network topology structure; Optimal network structure; Prior knowledge; Convolutional neural networks</t>
  </si>
  <si>
    <t xml:space="preserve">Shenzhen University-Sangfor Cloud Computing Innovation Teaching Laboratory, (201801277010); Ministry of Education of the People's Republic of China, MOE</t>
  </si>
  <si>
    <t xml:space="preserve">ACKNOWLEDGMENT This research was partially supported by grants from the Ministry of Education and the “Shenzhen University-Sangfor Cloud Computing Innovation Teaching Laboratory” (Grant No. 201801277010).</t>
  </si>
  <si>
    <t xml:space="preserve">Rajaraman S., Jaeger S., van Veldhuizen K.A.S., Performance Evaluation of Deep Neural Ensembles Toward Malaria Parasite Detection in Thin-Blood Smear Images, (2019); Poostchi M., Image analysis and machine learning for detecting malaria, Translational Research, 194, pp. 36-55, (2018); LeCun Y., Bengio Y., Hinton G., Deep learning, Nature, 521, pp. 436-444, (2015); Liang Z., Powell A., Ersoy I., Poostchi M., Silamut K., Palaniappan K., Guo P., Cnn-based image analysis for malaria diagnosis, IEEE International Conference on Bioinformatics and Biomedicine, pp. 493-496, (2016); Liu C., Zoph B., Neumann M., Shlens J., Hua W., Li L.J., Fei-Fei L., Yuille A., Huang J., Murphy K., Progressive neural architecture search, Proceedings of the European Conference on Computer Vision, pp. 19-34, (2018); He Y., Lin J., Liu Z., Wang H., Li L., Han S., Amc: Automl for model compression and acceleration on mobile devices, The European Conference on Computer Vision, pp. 784-800, (2018); Real E., Large-scale evolution of image classifiers, International Conference on Machine Learning, pp. 2902-2911, (2017); Dufourq E., Bassett B.A., Eden: Evolutionary deep networks for efficient machine learning, Pattern Recognition Association of South Africa and Robotics and Mechatronics, pp. 110-115, (2017); Malaria Datasets, (2018); Yan Z., Automatic photo adjustment using deep neural networks, ACM Transactions on Graphics (TOG), 35, pp. 11-15, (2016); Kim Y.-T., Contrast enhancement using brightness preserving bi-histogram equalization, IEEE Transactions on Consumer Electronics, 43, pp. 1-8, (1997); Shi S., Wang L., Jin W., Et al., Color night vision based on color transfer in yuv color space, International Symposium on Photoelectronic Detection and Imaging 2007: Image Processing, (2008); Coello C.A.C., Lamont G.B., Van Veldhuizen, Evolutionary algorithms for solving multi-objective problems, International Conference on Natural Computation, pp. 79-104, (2007)</t>
  </si>
  <si>
    <t xml:space="preserve">Shenzhen University</t>
  </si>
  <si>
    <t xml:space="preserve">2019 IEEE International Conference on Computing, Communications and IoT Applications, ComComAp 2019</t>
  </si>
  <si>
    <t xml:space="preserve">26 October 2019 through 28 October 2019</t>
  </si>
  <si>
    <t xml:space="preserve">Shenzhen</t>
  </si>
  <si>
    <t xml:space="preserve">978-172811973-1</t>
  </si>
  <si>
    <t xml:space="preserve">Comput., Commun. IoT Appl., ComComAp</t>
  </si>
  <si>
    <t xml:space="preserve">2-s2.0-85082240416</t>
  </si>
  <si>
    <t xml:space="preserve">Adamjee U.; Ghani S.</t>
  </si>
  <si>
    <t xml:space="preserve">Adamjee, Uzair (57215650303); Ghani, Sayeed (55646997600)</t>
  </si>
  <si>
    <t xml:space="preserve">57215650303; 55646997600</t>
  </si>
  <si>
    <t xml:space="preserve">Malaria cell identification from microscopic blood smear images</t>
  </si>
  <si>
    <t xml:space="preserve">This paper is about classifying blood smear images into malaria cell and uninfected cell. In this research, we have used two datasets which contains microscopic blood smear images and through deep learning techniques such as CNN, LeNet, ResNet we have created a model that can classify these images. We have applied these techniques individually on both datasets and on the combined data as well and have shown that when we gave different type of blood smear images to the deep learning model even in that scenario, model is able to identify patterns and learn features with an accuracy up to 94%. © 2019 IEEE.</t>
  </si>
  <si>
    <t xml:space="preserve">2019 8th International Conference on Information and Communication Technologies, ICICT 2019</t>
  </si>
  <si>
    <t xml:space="preserve">10.1109/ICICT47744.2019.9001959</t>
  </si>
  <si>
    <t xml:space="preserve">https://www.scopus.com/inward/record.uri?eid=2-s2.0-85081543542&amp;doi=10.1109%2fICICT47744.2019.9001959&amp;partnerID=40&amp;md5=04a67d70a9c13cb0ada63d89b0eb3793</t>
  </si>
  <si>
    <t xml:space="preserve">Institute of Business Administration, Karachi, Pakistan</t>
  </si>
  <si>
    <t xml:space="preserve">Adamjee U., Institute of Business Administration, Karachi, Pakistan; Ghani S., Institute of Business Administration, Karachi, Pakistan</t>
  </si>
  <si>
    <t xml:space="preserve">Convolution neural network; Deep learning; Medical image analysis; Residual neural network</t>
  </si>
  <si>
    <t xml:space="preserve">Classification (of information); Deep learning; Deep neural networks; Diseases; Image classification; Learning systems; Medical imaging; Blood smears; Cell identification; Convolution neural network; Learning models; Learning techniques; Blood</t>
  </si>
  <si>
    <t xml:space="preserve">Liang Z., Powell A., CNN-Based Image Analysis for Malaria Diagnosis; Namozov A., Im Cho Y., An Improvement for Medical Image Analysis Using Data Enhancement Techniques in Deep Learning; Dong Y., Jiang Z., Shen H., David Pan W., Williams L.A., Reddy V.V.B., Benjamin W.H., Bryan A.W., Evaluations of Deep Convolutional Neural Networks for Automatic Identification of Malaria Infected Cells; Ross N.E., Pritchard C.J., Rubin D.M., Duse A.G., Automated Image Processing Method for the Diagnosis and Classification of Malaria on Thin Blood Smears; Kumar Das D., Ghosha M., Pal M., Maiti A.K., Chakraborty C., Machine learning approach for automated screening of malaria parasite using light microscopic images, Journal of Micron, 45, pp. 97-106, (2013)</t>
  </si>
  <si>
    <t xml:space="preserve">Mahmood T.; Khoja S.; Ghani S.</t>
  </si>
  <si>
    <t xml:space="preserve">8th International Conference on Information and Communication Technologies, ICICT 2019</t>
  </si>
  <si>
    <t xml:space="preserve">16 November 2019 through 17 November 2019</t>
  </si>
  <si>
    <t xml:space="preserve">Karachi</t>
  </si>
  <si>
    <t xml:space="preserve">978-172812334-9</t>
  </si>
  <si>
    <t xml:space="preserve">Int. Conf. Inf. Commun. Technol., ICICT</t>
  </si>
  <si>
    <t xml:space="preserve">2-s2.0-85081543542</t>
  </si>
  <si>
    <t xml:space="preserve">Kumar R.; Singh S.K.; Khamparia A.</t>
  </si>
  <si>
    <t xml:space="preserve">Kumar, Rahul (57998845900); Singh, Sanjay Kumar (57411227200); Khamparia, Aditya (55811315600)</t>
  </si>
  <si>
    <t xml:space="preserve">57998845900; 57411227200; 55811315600</t>
  </si>
  <si>
    <t xml:space="preserve">Malaria Detection Using Custom Convolutional Neural Network Model on Blood Smear Slide Images</t>
  </si>
  <si>
    <t xml:space="preserve">Malaria is a life-threatening disease and is a concern of global health threat. The standard way of diagnosing the malaria is by visually examining them under microscope and is very lengthy and tedious task. In this paper, the authors has purposed custom Convolutional Neural Network model for detection of malaria on blood smear slide images. The images are available on website of U.S. National Library of Medicine. The proposed model uses various deep learning layers like convolution layer, max pooling layer, batch normalization layer and fully connected layer. The model achieves 99.71% accuracy in training and 98.23% accuracy on the test data. The study purposes a robust CNN models for detecting infected cell. The training and testing were performed on the 27,558 single cell images. © 2019, Springer Nature Singapore Pte Ltd.</t>
  </si>
  <si>
    <t xml:space="preserve">10.1007/978-981-15-0108-1_3</t>
  </si>
  <si>
    <t xml:space="preserve">https://www.scopus.com/inward/record.uri?eid=2-s2.0-85075230962&amp;doi=10.1007%2f978-981-15-0108-1_3&amp;partnerID=40&amp;md5=43c2cd763f469f74b842923258e5813c</t>
  </si>
  <si>
    <t xml:space="preserve">Department of Computer Science and Engineering, Lovely Professional University, Jalandhar, Punjab, India</t>
  </si>
  <si>
    <t xml:space="preserve">Kumar R., Department of Computer Science and Engineering, Lovely Professional University, Jalandhar, Punjab, India; Singh S.K., Department of Computer Science and Engineering, Lovely Professional University, Jalandhar, Punjab, India; Khamparia A., Department of Computer Science and Engineering, Lovely Professional University, Jalandhar, Punjab, India</t>
  </si>
  <si>
    <t xml:space="preserve">Convolutional neural network; Deep learning; Malarial machine learning</t>
  </si>
  <si>
    <t xml:space="preserve">Artificial life; Blood; Convolution; Deep learning; Deep neural networks; Diagnosis; Health risks; Neural networks; Blood smears; Convolutional neural network; Global health; Infected cells; Max-pooling; National library of medicines; Single cells; Training and testing; Diseases</t>
  </si>
  <si>
    <t xml:space="preserve">World Malaria Report, (2018); Hisaeda H., Yasutomo K., Himeno K., Malaria: Immune evasion by parasites, Int. J. Biochem. Cell Biol., 37, 4, pp. 700-706, (2005); Di Ruberto C., Dempster A., Khan S., Jarra B., Analysis of infected blood cell images using morphological operators, Image Vis. Comput., 20, pp. 141-144, (2002); Ross N.E., Pritchard C.J., Rubin D.M., Duse A.G., Automated image processing method for the diagnosis and classification of malaria on thin blood smears, Med. Biol. Eng. Comput., 44, pp. 427-436, (2006); Mitiku K., Mengistu G., Gelaw B., The reliability of blood film examination for malaria at The Peripheral health unit, Ethiop. J. Health Dev, 7, pp. 97-204, (2003); Pattanaik P.A., Swarnkar T., Sheet D., Object detection technique for malaria parasite in thin blood smear images, In: IEEE International Conference on Bioinformatics and Biomedicine (BIBM), (2007); Hendrawan Y.F., Angkoso C.V., Wahyuningrum R.T., Colour image segmentation for malaria parasites detection using cascading method, International Conference on SIET, (2017); Gopakumar G., Swetha M., Siva G.S., Subrahmanyam G.R.K., CNN based malaria diagnosis from focus-stack of blood smear images acquired using custom-built slide scanner, Online Wiley Library, (2018); Dong Y., Et al., Evaluations of deep convolutional neural networks for automatic identification of malaria infected cells, IEEE, (2017); Hubel D.H., Wiesel T.N., Receptive fields and functional architecture of monkey striate cortex, J. Physiol., 195, 1, pp. 215-243, (1968); Karpathy A., Cs231n Convolutional Neural Networks for Visual Recognition, (2018); George A., Routray A., Real-time eye gaze direction classification using convolutional neural network, International Conference on Signal Processing and Communications (SPCOM), (2016); Jarrett K., Kavukcuoglu K., Ranzato M.A., Lecun Y., What is the best multi-stage architecture for object recognition?, International Conference on Computer Vision, pp. 2146-2153, (2009); Liang Z., Et al., CNN-based image analysis for malaria diagnosis, IEEE International Conference on Bioinformatics and Biomedicine (BIBM), (2016); Rajaraman S., Et al., Pre-trained convolutional neural networks as feature extractors toward improved Malaria parasite detection in thin blood smear images, Peerj, 6, (2018); (2018)</t>
  </si>
  <si>
    <t xml:space="preserve">S.K. Singh; Department of Computer Science and Engineering, Lovely Professional University, Jalandhar, India; email: sanjayksingh.012@gmail.com</t>
  </si>
  <si>
    <t xml:space="preserve">Luhach A.K.; Jat D.S.; Hawari K.B.G.; Gao X.-Z.; Lingras P.</t>
  </si>
  <si>
    <t xml:space="preserve">3rd International Conference on Advanced Informatics for Computing Research, ICAICR 2019</t>
  </si>
  <si>
    <t xml:space="preserve">15 June 2019 through 16 June 2019</t>
  </si>
  <si>
    <t xml:space="preserve">Shimla</t>
  </si>
  <si>
    <t xml:space="preserve">978-981150107-4</t>
  </si>
  <si>
    <t xml:space="preserve">2-s2.0-85075230962</t>
  </si>
  <si>
    <t xml:space="preserve">Nayak S.; Kumar S.; Jangid M.</t>
  </si>
  <si>
    <t xml:space="preserve">Nayak, Satabdi (59028932400); Kumar, Sanidhya (58262756000); Jangid, Mahesh (54899107100)</t>
  </si>
  <si>
    <t xml:space="preserve">59028932400; 58262756000; 54899107100</t>
  </si>
  <si>
    <t xml:space="preserve">Malaria detection using multiple deep learning approaches</t>
  </si>
  <si>
    <t xml:space="preserve">With about 200 million global instances and over 400, 000 fatalities a year, malaria continues an enormous strain on global health. Modern information technology plays a major part in many attempts to combat the disease, along with biomedical research and political efforts. In specific, insufficient malaria diagnosis was one of the obstacles to a promising mortality decrease. The paper offers an outline of these methods and explores present advancement in the field of microscopic malaria detection and we have ventured into utilization of deep learning for detection of Malaria Parasite. Deep Learning over the years has proven to be much faster and much more accurate as it automates feature extraction of the dataset. In this research paper, we investigated various models of Deep Learning and monitored which of these models provided a better accuracy and faster resolution than previously used deep learning models. Our results show that Resnet 50 model gave the highest accuracy of 0.975504. © 2019 IEEE.</t>
  </si>
  <si>
    <t xml:space="preserve">2019 2nd International Conference on Intelligent Communication and Computational Techniques, ICCT 2019</t>
  </si>
  <si>
    <t xml:space="preserve">10.1109/ICCT46177.2019.8969046</t>
  </si>
  <si>
    <t xml:space="preserve">https://www.scopus.com/inward/record.uri?eid=2-s2.0-85079280685&amp;doi=10.1109%2fICCT46177.2019.8969046&amp;partnerID=40&amp;md5=494f6da580fe510a5df7510173e5c2df</t>
  </si>
  <si>
    <t xml:space="preserve">Manipal University, Department of Information Technology, Jaipur, India; Manipal University, Department of Computer Science, Jaipur, India</t>
  </si>
  <si>
    <t xml:space="preserve">Nayak S., Manipal University, Department of Information Technology, Jaipur, India; Kumar S., Manipal University, Department of Information Technology, Jaipur, India; Jangid M., Manipal University, Department of Computer Science, Jaipur, India</t>
  </si>
  <si>
    <t xml:space="preserve">Blood Cell detection; Deep learning; Malaria detection; Medical image processing</t>
  </si>
  <si>
    <t xml:space="preserve">Blood; Diagnosis; Diseases; Learning systems; Medical image processing; Medical imaging; Biomedical research; Blood cells; Learning approach; Learning models; Malaria diagnosis; Malaria parasite; Modern information technologies; Political efforts; Deep learning</t>
  </si>
  <si>
    <t xml:space="preserve">Bibin D., Nair M.S., Punitha P., Malaria parasite detection from peripheral blood smear images using deep belief networks, IEEE Access, 5, pp. 9099-9108, (2017); Schmidhuber J., Deep Learning in neural networks: An overview, Neural Networks, 61, pp. 85-117, (2015); Shang W., Sohn K., Almeida D., Lee H., Understanding and improving convolutional neural networks via concatenated rectified linear units, Proceedings of 33rd International Conference on Machine Learning (ICML2016), 48, pp. 2217-2225, (2016); Simonyan K., Zisserman A., Very Deep Convolutional Networks for Large-scale Image Recognition, (2015); Srivastava N., Hinton G., Krizhevsky A., Sutskever I., Salakhutdinov R., Dropout: A simple way to prevent neural networks from overfitting, Journal of Machine Learning Research, 15, pp. 1929-1958, (2014); Stevenson M., Nunes T., Heuer C., Marshall J., Sanchez J., Thornton R., Reiczigel J., Robison-Cox J., Sebastiani P., Solymos P., Yoshida K., Firestone S., Tools for the analysis of epidemiological data, R Package Version 0. 9-62, (2015); Suzuki K., Overview of deep learning in medical imaging, Radiological Physics and Technology, 10, pp. 257-273, (2017); Szegedy C., Vanhoucke V., Ioffe S., Shlens J., Wojna Z., Rethinking the Inception Architecture for Computer Vision, (2016); World Malaria Report, (2016); Szegedy C., Liu W., Jia Y., Sermanet P., Reed S., Anguelov D., Erhan D., Vanhoucke V., Rabinovich A., Going Deeper with Convoltions, (2014); Yu F., Fine-tune CNN in Keras, (2016); Zeiler M.D., Fergus R., Visualizing and understanding convolutional networks, Computer Vision-ECCV 2014. Lecture Notes in Computer Science, 8689, (2014)</t>
  </si>
  <si>
    <t xml:space="preserve">2nd International Conference on Intelligent Communication and Computational Techniques, ICCT 2019</t>
  </si>
  <si>
    <t xml:space="preserve">28 September 2019 through 29 September 2019</t>
  </si>
  <si>
    <t xml:space="preserve">978-172811711-9</t>
  </si>
  <si>
    <t xml:space="preserve">Int. Conf. Intell. Commun. Comput. Tech., ICCT</t>
  </si>
  <si>
    <t xml:space="preserve">2-s2.0-85079280685</t>
  </si>
  <si>
    <t xml:space="preserve">Abdul Qayyum A.B.; Islam T.; Haque M.A.</t>
  </si>
  <si>
    <t xml:space="preserve">Abdul Qayyum, Alif Bin (57216623297); Islam, Tanveerul (57202279313); Haque, Md. Aynal (57215044692)</t>
  </si>
  <si>
    <t xml:space="preserve">57216623297; 57202279313; 57215044692</t>
  </si>
  <si>
    <t xml:space="preserve">Malaria Diagnosis with Dilated Convolutional Neural Network Based Image Analysis</t>
  </si>
  <si>
    <t xml:space="preserve">Malaria is a worldwide health issue. Traditionally, microscopic visual examination of blood smears to detect parasite infected red blood cells has been the standard procedure for diagnosing malaria. This manual method is prone to human errors and time consuming too. To automate the diagnosis, machine learning based image recognition has been applied in the past. But the performance was below par specially in case of big datasets. This paper proposes a kernel dilation based new and robust convolutional neural network (CNN) to automatically classify infected and uninfected red blood cells. Three different dilation approaches were used among which Fibonacci series-wise dilated CNN model performed best in all metrics such as accuracy (96.05%), precision (95.80%), recall (96.33%) and F1 score (96.06%) while working with a dataset of 27,558 cell images. © 2019 IEEE.</t>
  </si>
  <si>
    <t xml:space="preserve">BECITHCON 2019 - 2019 IEEE International Conference on Biomedical Engineering, Computer and Information Technology for Health</t>
  </si>
  <si>
    <t xml:space="preserve">10.1109/BECITHCON48839.2019.9063179</t>
  </si>
  <si>
    <t xml:space="preserve">https://www.scopus.com/inward/record.uri?eid=2-s2.0-85084075173&amp;doi=10.1109%2fBECITHCON48839.2019.9063179&amp;partnerID=40&amp;md5=46395445bbb6e1b822ed5966ad0c1a9a</t>
  </si>
  <si>
    <t xml:space="preserve">Bangladesh University of Engineering and Technology (BUET), Department of Electrical and Electronic Engineering, Dhaka, Bangladesh</t>
  </si>
  <si>
    <t xml:space="preserve">Abdul Qayyum A.B., Bangladesh University of Engineering and Technology (BUET), Department of Electrical and Electronic Engineering, Dhaka, Bangladesh; Islam T., Bangladesh University of Engineering and Technology (BUET), Department of Electrical and Electronic Engineering, Dhaka, Bangladesh; Haque M.A., Bangladesh University of Engineering and Technology (BUET), Department of Electrical and Electronic Engineering, Dhaka, Bangladesh</t>
  </si>
  <si>
    <t xml:space="preserve">computer-aided diagnosis; convolutional neural network; deep learning; dilation rate; feature extraction; image classification; machine learning; malaria</t>
  </si>
  <si>
    <t xml:space="preserve">Biomedical engineering; Blood; Cells; Convolution; Diseases; Image recognition; Fibonacci series; Health issues; Human errors; Malaria diagnosis; Manual methods; Red blood cell; Standard procedures; Visual examination; Convolutional neural networks</t>
  </si>
  <si>
    <t xml:space="preserve">World Health Organization, (2015); Murray C.J., Rosenfeld L.C., Lim S.S., Andrews K.G., Foreman K.J., Haring D., Fullman N., Naghavi M., Lozano R., Lopez A.D., Global malari a mortality between 1980 and 2010 : A systematic analysis, The Lancet, 379, 9814, pp. 413-431, (2012); Mali S., Kachur S.P., Arguin P.M., Malaria surveillance-United State s, 2010, MMWR. Surveillance Summaries, 61, 2, pp. 1-17, (2012); Tokumasu F., Band 3 modifications in Plasmodium falciparum-infected AA and CC erythrocytes assayed by autocorrelation analysis using quantum dots, Journal of Cell Science, 118, 5, pp. 1091-1098, (2005); Hubel D.H., Wiesel T.N., Receptive fields of single neurones in the eat's striate cortex, The Journal of Physiology, 148, 3, pp. 574-591, (1959); Arel I., Rose D.C., Karnowski T.P., Deep machine learning a new frontier in artificiallntelligence research [research frontier], IEEE Computational Intelligence Magazine, 5, 4, (2010); Sio S.W.S., Sun W., Kumar S., Bin W.Z., Tan S.S., Ong S.H., Kikuchi H., Oshima Y., Tan K.S.W., MalariaCount: An image analysis-based program for the accurate determination of parasitemia, Journal of Microbiological Methods, 68, 1, (2007); Dfaz G., Gonzalez F.A., Romero E., A semi-automatic method for quantification and classification of erythrocytes infected with malaria parasites in microscopic images, Journal of Biomedical Informatics, 42, 2, pp. 296-307, (2009); LeCun Y., Bengio Y., Hinton G., Deep learning, Nature, 521, 7553, pp. 436-444, (2015); Waibel A., Hanazawa T., Hinton G., Shikano K., Lang K.J., Phoneme recognition using time-delay neural networks, IEEE Transactions on Acoustics, Speech, Signal Processing, 37, 3, pp. 328-339, (1989); Lecun Y., Bottou L., Bengio Y., Haffner P., Gradient-based learning applied to document recognition, Proceedings of the IEEE, 86, 11, pp. 2278-2324, (1998); Simard P.Y., Steinkraus D., Platt J.C., Best practices for convolutional neural networks applied to visual document analysis, Seventh International Conference on Document Analysis and Recognition, (2003); Vaillant R., Original approach for the localisation of objects in images, Lee Proceedings-Vision, Image, Signal Processing, 141, 4, (1994); Shahriar S., Siddiquee A., Islam T., Ghosh A., Chakraborty R., Khan A.I., Shahnaz C., Fattah S.A., Real-time american sign language recognition using skin segmentation and image category classification with convolutional neural network and deep learning, TENCON 2018-2018 IEEE Region 10 Conference, (2018); Krizhevsky A., Sutskever I., Hinton G.E., ImageNet classification with deep convolutional neural networks, Communications of the ACM, 60, 6, pp. 84-90, (2017); Zeiler M.D., Fergus R., Visualizing and understanding convolutional networks, Computer Vision-ECCV 2014 Springer International Publishing, pp. 818-833, (2014); Szegedy C., Liu W., Jia Y., Sermanet P., Reed S., Anguelov D., Erhan D., Vanhoucke V., Rabinovich A., Going deeper with convolutions, 2015 IEEE Conference on Computer Vision and Pattern Recognition (CVPR, (2015); He K., Zhang X., Ren S., Sun J., Deep Residual Learning for Image Recognition, 2016 IEEE Conference on Computer Vision and Pattern Recognition (CVPR), 2016. Mathworks, Deep Learning, (2016); Jarrett K., Kavukcuoglu K., Ranzato M.A., LeCun Y., What is the best multi-stage architecture for object recognitions,' in 2009, IEEE 12th International Conference on Computer Vision, (2009); Hyvarinen A., Oja E., Independent component analysis : Algorithms and applications, Neural Networks, 13, 4-5, pp. 411-430, (2000); Zhou S., Wu I.-N., Wu Y., Zhou X., Exploiting Local Structures with the Kronecker Layer in Convolutional Networks, (2015); Yu F., Koltun V., Multi-Scale Context Aggregation by Dilated Convolutions, (2015); Hossain S., Najeeb S., Shahriyar A., Abdullah Z.R., Ariful Haque M., A pipeline for lung tumor detection and segmentation from ct scans using dilated convolutional neural networks, ICASSP 2019-2019 IEEE International Conference on Acoustics, Speech and Signal Processing (ICASSP, (2019); Anthimopoulos M., Christodoulidis S., Ebner L., Geiser T., Christe A., Mougiakakou S., Semantic segmentation of pathological lung tissue with dilated fully convolutional networks, IEEE Journal of Biomedical and Health Informatics, 23, 2, pp. 714-722, (2019)</t>
  </si>
  <si>
    <t xml:space="preserve">2019 IEEE International Conference on Biomedical Engineering, Computer and Information Technology for Health, BECITHCON 2019</t>
  </si>
  <si>
    <t xml:space="preserve">28 November 2019 through 30 November 2019</t>
  </si>
  <si>
    <t xml:space="preserve">978-172815389-6</t>
  </si>
  <si>
    <t xml:space="preserve">BECITHCON - IEEE Int. Conf. Biomed. Eng., Comput. Inf. Technol. Health</t>
  </si>
  <si>
    <t xml:space="preserve">2-s2.0-85084075173</t>
  </si>
  <si>
    <t xml:space="preserve">Militante S.V.</t>
  </si>
  <si>
    <t xml:space="preserve">Militante, Sammy V. (57210596088)</t>
  </si>
  <si>
    <t xml:space="preserve">Malaria Disease Recognition through Adaptive Deep Learning Models of Convolutional Neural Network</t>
  </si>
  <si>
    <t xml:space="preserve">Malaria is a disease from blood generated by the Plasmodium parasites spread through the bite of female Anopheles mosquito. Medical personnel diagnose and checks for malaria infection and compute parasitemia through blood smears. Yet, their accuracy and validity in classifying and detecting malaria infection relies on the quality of the smear. This kind of examination may result in inaccurate and poor validation of result especially in a massive scale of diagnoses. Convolutional Neural Networks (CNN) is a division of Deep Neural Networks that is commonly used to analyzed images through learning of image patterns. Deep learning techniques applied to malaria screening will be useful diagnostic aid. In this study, the author was able to evaluate the performance of several CNN architectures in detecting and classifying malaria infected disease and not infected with the malaria disease. The author experimentally determines the ideal CNN model for extracting features from the cell image data. Results shows that ResNet, GoogleNet and VGGNet models are the best CNN models achieving an accuracy rate ranging from 90% to 96% for malaria disease detection in an adaptive deep learning. © 2019 IEEE.</t>
  </si>
  <si>
    <t xml:space="preserve">ICETAS 2019 - 2019 6th IEEE International Conference on Engineering, Technologies and Applied Sciences</t>
  </si>
  <si>
    <t xml:space="preserve">10.1109/ICETAS48360.2019.9117446</t>
  </si>
  <si>
    <t xml:space="preserve">https://www.scopus.com/inward/record.uri?eid=2-s2.0-85090214595&amp;doi=10.1109%2fICETAS48360.2019.9117446&amp;partnerID=40&amp;md5=c78ddf2a18f34457079f08fc7c24d443</t>
  </si>
  <si>
    <t xml:space="preserve">University of Antique, Sibalom Antique, Philippines</t>
  </si>
  <si>
    <t xml:space="preserve">Militante S.V., University of Antique, Sibalom Antique, Philippines</t>
  </si>
  <si>
    <t xml:space="preserve">blood smear; convolutional neural networks; deep learning; machine learning; malaria</t>
  </si>
  <si>
    <t xml:space="preserve">Blood; Convolution; Convolutional neural networks; Deep neural networks; Diagnosis; Diseases; Learning systems; Anopheles mosquitoes; Disease detection; Extracting features; Image patterns; Learning models; Learning techniques; Medical personnel; Plasmodium parasites; Deep learning</t>
  </si>
  <si>
    <t xml:space="preserve">World Malaria Report, (2018); Cdc Parasites-Malaria, (2018); Mitiku K., Mengistu G., Gelaw B., The reliability of blood film examination for malaria at the peripheral health unit, Ethiopian Journal of Health Development, 17, pp. 197-204, (2003); Poostchi M., Silamut K., Maude R.J., Jaeger S., Thoma G.R., Image analysis and machine learning for detecting malaria, Translational Research, 194, pp. 36-55, (2018); Ross N.E., Pritchard C.J., Rubin D.M., Duse A.G., Automated image processing method for the diagnosis and classification of malaria on thin blood smears, Medical &amp; Biological Engineering &amp; Computing, 44, pp. 427-436, (2006); Das D.K., Ghosh M., Pal M., Maiti A.K., Chakraborty C., Machine learning approach for automated screening of malaria parasite using light microscopic images, Micron, 45, pp. 97-106, (2013); Lecun Y., Bengio Y., Hinton G., Deep learning, Nature, 521, pp. 436-444, (2015); Krizhevsky A., Sutskever I., Hinton G.E., Imagenet classification with deepconvolutional neural networks, Advances in Neural Information Processing Systems, (2012); Redmon J., Divvala S., Girshick Farhadi R.A., You only look once: Unified, real-time object detection, 2016 Ieee Conference on Computer Vision and Pattern Recognition (CVPR), pp. 779-788, (2016); Lecun Y., Bottou L., Bengio Y., Haffner P., Gradient-based learning applied to document recognition, Proceedings Ieee, 86, 11, pp. 2278-2324, (1998); Nagasawa T., Tabuchi H., Masumoto H., Enno H., Niki M., Oshugi H., Mitamura Y., Accuracy of deep learning, a machine learning technology, using ultra-wide-field fundus ophthalmoscopy for detecting idiopathic macular holes, PeerJ, 6, E5696, pp. 1-10, (2018); Ruder S., An overview of gradient descent optimization algorithms, CoRR, (2016); Kingma D., Ba J., Adam: A method for stochastic optimization, CoRR, (2014); Szegedy C., Ioffe S., Vanhoucke V., Alemi A., Inception-v4, inception-resnet and the impact of residual connections on learning, Iclr 2016 Workshop, (2016); Khan A., Sohail A., Zahoora U., Qureshi A.S., A Survey of the Recent Architectures of Deep Convolutional Neural Networks, (2019); Khan S., Islam N., Jan Z., Din I.U., Rodrigues J.J.P.C., A novel deep learning based framework for the detection and classification of breast cancer using transfer learning, Pattern Recognition Letters, 125, 1, pp. 1-6, (2019); Fairuz S., Habaebi M.H., Elsheikh E.M.A., Finger vein identification based on transfer learning of alexnet, 2018 7th International Conference on Computer and Communication Engineering (ICCCE), (2018); Mallouh A., Qawaqneh Z., Barkana B.D., Utilizing cnns and transfer learning of pre-trained models for age range classification from unconstrained face images, Image and Vision Computing, 88, pp. 41-51, (2019); Choudhury S.H., Kumar A., Laskar S.H., Biometric authentication through unification of finger dorsal biometric traits, Information Sciences, 497, pp. 202-218, (2019); Talo M., Baloglu U.B., Yildirim O., Acharya U.R., Application of deep transfer learning for automated brain abnormality classification using mr images, Cognitive Systems Research, 54, pp. 176-188, (2019); Almisreb A., Jamil N., Din N.M., Utilizing alexnet deep transfer learning for ear recognition, 2018 Fourth International Conference on Information Retrieval and Knowledge Management (CAMP), (2018); Emersic Z., Stepec D., Struc V., Peer P., Training convolutional neural networks with limited training data for ear recognition in the wild, 2017 12th Ieee International Conference on Automatic Face &amp; Gesture Recognition (FG 2017), (2017); Howard A.G., Zhu M., Chen B., Kalenichenko D., Wang W., Weyand T., Andreetto M., Adam H., MobileNets: Efficient Convolutional Neural Networks for Mobile Vision Applications, (2017); Ferentinos K.P., Deep learning models for plant disease detection and diagnosis, Comput. Electron. Agric., 145, pp. 311-318, (2018); Kamilaris A., Prenafeta-Boldu F.X., Deep learning in agriculture: A survey, Comput. Electron. Agric., 147, pp. 70-90, (2018); Rajaraman S., Jaeger S., Antani S.K., Performance evaluation of deep neural ensembles toward malaria parasite detection in thin-blood smear images, PeerJ, 7, (2019); Rajaraman S., Antani S.K., Poostchi M., Silamut K., Ma H., Maude R.J., Jaeger S., Thoma G.R., Pre-trained convolutional neural networks as feature extractors toward improved malaria parasite detection in thin blood smear images, PeerJ, 6, (2018); Emersic Z., Stepec D., Struc V., Peer P., George A., Ahmad A., Omar E., Boult T., Safdaii R., Zhou Y., Zafeiriou S., Yaman D., Eyiokur Y., Ekenel H., The unconstrained ear recognition challenge, 2017 Ieee International Joint Conference on Biometrics (IJCB), (2017); Alejo M., Hate C.P., Unconstrained ear recognition through domain adaptive deep learning models of convolutional neural network, International Journal of Recent Technology and Engineering (IJRTE), 8, 2, pp. 3143-3149, (2019); Singh M., Singh R., Ross A., A comprehensive overview of biometric fusion, Information Fusion, 52, pp. 187-205, (2019); Zhou D.-X., Universality of deep convolutional neural networks, Applied and Computational Harmonic Analysis, pp. 1-13, (2019); Zhaoxiang Z., Shiguang S., Yi F., Ling S., Deep learning for pattern recognition, Pattern Recognition Letters, 119, pp. 1-2, (2019)</t>
  </si>
  <si>
    <t xml:space="preserve">S.V. Militante; University of Antique, Sibalom Antique, Philippines; email: sammy.militante@antiquespride.edu.ph</t>
  </si>
  <si>
    <t xml:space="preserve">6th IEEE International Conference on Engineering, Technologies and Applied Sciences, ICETAS 2019</t>
  </si>
  <si>
    <t xml:space="preserve">20 December 2019 through 21 December 2019</t>
  </si>
  <si>
    <t xml:space="preserve">978-172814082-7</t>
  </si>
  <si>
    <t xml:space="preserve">ICETAS - IEEE Int. Conf. Eng., Technol. Appl. Sci.</t>
  </si>
  <si>
    <t xml:space="preserve">2-s2.0-85090214595</t>
  </si>
  <si>
    <t xml:space="preserve">García Z.; Yanai K.; Nakano M.; Arista A.; Cleofas Sanchez L.; Perez H.</t>
  </si>
  <si>
    <t xml:space="preserve">García, Zaira (57212166671); Yanai, Keiji (7103290726); Nakano, Mariko (8553290700); Arista, Antonio (57195408411); Cleofas Sanchez, Laura (55937466100); Perez, Hector (57211873257)</t>
  </si>
  <si>
    <t xml:space="preserve">57212166671; 7103290726; 8553290700; 57195408411; 55937466100; 57211873257</t>
  </si>
  <si>
    <t xml:space="preserve">Mosquito Larvae Image Classification Based on DenseNet and Guided Grad-CAM</t>
  </si>
  <si>
    <t xml:space="preserve">The surveillance of Aedes aegypti and Aedes albopictus mosquito to avoid the spreading of arboviruses that cause Dengue, Zika and Chikungunya becomes more important, because these diseases have greatest repercussions in public health in the significant extension of the world. Mosquito larvae identification methods require special equipment, skillful entomologists and tedious work with considerable consuming time. In comparison with the short mosquito lifecycle, which is less than 2 weeks, the time required for all surveillance process is too long. In this paper, we proposed a novel technological approach based on Deep Neural Networks (DNNs) and visualization techniques to classify mosquito larvae images using the comb-like figure appeared in the eighth segment of the larva’s abdomen. We present the DNN and the visualization technique employed in this work, and the results achieved after training the DNN to classify an input image into two classes: Aedes and Non-Aedes mosquito. Based on the proposed scheme, we obtain the accuracy, sensitivity and specificity, and compare this performance with existing technological approaches to demonstrate that the automatic identification process offered by the proposed scheme provides a better identification performance. © 2019, Springer Nature Switzerland AG.</t>
  </si>
  <si>
    <t xml:space="preserve">11868 LNCS</t>
  </si>
  <si>
    <t xml:space="preserve">10.1007/978-3-030-31321-0_21</t>
  </si>
  <si>
    <t xml:space="preserve">https://www.scopus.com/inward/record.uri?eid=2-s2.0-85076095921&amp;doi=10.1007%2f978-3-030-31321-0_21&amp;partnerID=40&amp;md5=dbe7a82a2fa5b43f0dc3acf37ca59366</t>
  </si>
  <si>
    <t xml:space="preserve">Instituto Politecnico Nacional, Mexico City, Mexico; The University-of-Electrocommunications, Tokyo, Japan</t>
  </si>
  <si>
    <t xml:space="preserve">García Z., Instituto Politecnico Nacional, Mexico City, Mexico; Yanai K., The University-of-Electrocommunications, Tokyo, Japan; Nakano M., Instituto Politecnico Nacional, Mexico City, Mexico; Arista A., Instituto Politecnico Nacional, Mexico City, Mexico; Cleofas Sanchez L., Instituto Politecnico Nacional, Mexico City, Mexico; Perez H., Instituto Politecnico Nacional, Mexico City, Mexico</t>
  </si>
  <si>
    <t xml:space="preserve">Classification; Deep Neural Network; Mosquito control; Mosquito larvae; Mosquito surveillance</t>
  </si>
  <si>
    <t xml:space="preserve">Automation; Classification (of information); Deep neural networks; Image analysis; Image segmentation; Life cycle; Monitoring; Mosquito control; Viruses; Visualization; Aedes aegypti; Automatic identification; Chikungunya; Identification method; Input image; Mosquito larvae; Sensitivity and specificity; Visualization technique; Image classification</t>
  </si>
  <si>
    <t xml:space="preserve">Garcia-Nonoal Z., Sanchez-Ortiz A., Arista-Jalife A., Nakano M., Comparison of image descriptors to classify mosquito larvae, Proceeding of CAIP, pp. 271-278, (2017); Sanchez-Ortiz A., Et al., Mosquito larva classification method based on convolutional neural networks, International Conference of Electronics, Communications and Computers CONIELECOMP, pp. 155-160, (2017); Arista-Jalife A., Sanchez A., Nakano M., Tunnermann H., Perez-Meana H., Shouno H., Deep Learning employed in the recognition of the vector that spreads Dengue, Chikungunya and Zika viruses, International Conference on Intelligent Software Methodologies Somet, 17, 1, (2018); Huang G., Liu Z., van Der Maaten L., Weinberger K.Q., Densely connected convolutional networks, CVPR, 1, (2017); Selvaraju R.R., Cogswell M., Das A., Vedantam R., Parikh D., Batra D., Grad-Cam: Visual Explanations from Deep Networks via Gradient-Based Localization, 7, no. 8, (2016)</t>
  </si>
  <si>
    <t xml:space="preserve">M. Nakano; Instituto Politecnico Nacional, Mexico City, Mexico; email: mnakano@ipn.mx</t>
  </si>
  <si>
    <t xml:space="preserve">Morales A.; Fierrez J.; Sánchez J.S.; Ribeiro B.</t>
  </si>
  <si>
    <t xml:space="preserve">9th Iberian Conference on Pattern Recognition and Image Analysis, IbPRIA 2019</t>
  </si>
  <si>
    <t xml:space="preserve">1 July 2019 through 4 July 2019</t>
  </si>
  <si>
    <t xml:space="preserve">Madrid</t>
  </si>
  <si>
    <t xml:space="preserve">978-303031320-3</t>
  </si>
  <si>
    <t xml:space="preserve">2-s2.0-85076095921</t>
  </si>
  <si>
    <t xml:space="preserve">Ghaffari M.; Srinivasan A.; Mubayi A.; Liu X.; Viswanathan K.</t>
  </si>
  <si>
    <t xml:space="preserve">Ghaffari, Meysam (56153096800); Srinivasan, Ashok (7202313283); Mubayi, Anuj (26632147200); Liu, Xiuwen (57202583383); Viswanathan, Krishnan (57215019052)</t>
  </si>
  <si>
    <t xml:space="preserve">56153096800; 7202313283; 26632147200; 57202583383; 57215019052</t>
  </si>
  <si>
    <t xml:space="preserve">Next-generation high-resolution vector-borne disease risk assessment</t>
  </si>
  <si>
    <t xml:space="preserve">Vector-borne diseases cause more than 1 million deaths annually. Estimates of epidemic risk at high spatial resolutions can enable effective public health interventions. Our goal is to identify the risk of importation of such diseases into vulnerable cities at the granularity of neighborhoods. Conventional models cannot achieve such spatial resolution, especially in real-time. Besides, they lack real-time data on demographic heterogeneity, which is vital for accurate risk estimation. Social media, such as Twitter, promise data from which demographic and spatial information could be inferred in real-time. On the other hand, such data can be noisy and inaccurate. Our novel approach leverages Twitter data, using machine learning techniques at multiple spatial scales to overcome its limitations, to deliver results at the desired resolution. We validate our method against the Zika outbreak in Florida in 2016. Our main contribution lies in proposing a novel approach that uses machine learning on social media data to identify the risk of vector-borne disease importation at a sufficiently fine spatial resolution to permit effective intervention. It will lead to a new generation of epidemic risk assessment models, promising to transform public health by identifying specific locations for targeted intervention. © 2019 Association for Computing Machinery.</t>
  </si>
  <si>
    <t xml:space="preserve">Proceedings of the 2019 IEEE/ACM International Conference on Advances in Social Networks Analysis and Mining, ASONAM 2019</t>
  </si>
  <si>
    <t xml:space="preserve">10.1145/3341161.3343694</t>
  </si>
  <si>
    <t xml:space="preserve">https://www.scopus.com/inward/record.uri?eid=2-s2.0-85078861766&amp;doi=10.1145%2f3341161.3343694&amp;partnerID=40&amp;md5=d183e3f96ecee73548aceca91e43c2d4</t>
  </si>
  <si>
    <t xml:space="preserve">Dept. of Computer Science, Florida State University, Tallahassee, FL, United States; Dept. of Computer Science, University of West Florida, Pensacola, FL, United States; School of Human Evolution and Social Change, Arizona State University, Tempe, AZ, United States; Cambridge Systematics, Inc., Tallahassee, FL, United States</t>
  </si>
  <si>
    <t xml:space="preserve">Ghaffari M., Dept. of Computer Science, Florida State University, Tallahassee, FL, United States; Srinivasan A., Dept. of Computer Science, University of West Florida, Pensacola, FL, United States; Mubayi A., School of Human Evolution and Social Change, Arizona State University, Tempe, AZ, United States; Liu X., Dept. of Computer Science, Florida State University, Tallahassee, FL, United States; Viswanathan K., Cambridge Systematics, Inc., Tallahassee, FL, United States</t>
  </si>
  <si>
    <t xml:space="preserve">Deep learning; Epidemic modeling; Machine learning; Natural language processing; Social media analysis</t>
  </si>
  <si>
    <t xml:space="preserve">Deep learning; Epidemiology; Health risks; Image resolution; Learning algorithms; Learning systems; Machine learning; Modeling languages; Natural language processing systems; Population statistics; Public health; Risk perception; Social networking (online); Epidemic modeling; Health interventions; High spatial resolution; Machine learning techniques; NAtural language processing; Risk assessment models; Social media analysis; Vector-borne disease; Risk assessment</t>
  </si>
  <si>
    <t xml:space="preserve">Global Burden of Disease: 2004 Update, (2008); Mosquito Control: Can It Stop Zika at Source?, (2018); Mosquito-Borne Disease Surveillance; Bouzid M., Brainard J., Hooper L., Hunter P.R., Public health interventions for Aedes control in the time of zikavirus – A meta-review on effectiveness of vector control strategies, PLOS Neglected Tropical Diseases, 10, 12, (2016); Ghaffari M., Srinivasan A., Mubayi A., Liu X., Viswanathan K., Next-Generation High-Resolution Vector-Borne Disease Risk Assessment, (2019); Balcan D., Goncalves B., Hu H., Ramasco J.J., Colizza V., Vespignani A., Modeling the spatial spread of infectious diseases: The global epidemic and mobility computational model, Journal of Computational Science, 1, 3, pp. 132-145, (2010); Brennan S.P., Sadilek A., Kautz H.A., Towards understanding global spread of disease from everyday interpersonal interactions, Proceedings of the International Joint Conference on Artificial Intelligence (IJCAI), pp. 2783-2789, (2013); Zu Erbach-Schoenberg E., Alegana V.A., Sorichetta A., Linard C., Lourenco C., Ruktanonchai N.W., Graupe B., Bird T.J., Pezzulo C., Wesolowski A., Et al., Dynamic denominators: The impact of seasonally varying population numbers on disease incidence estimates, Population Health Metrics, 14, 1, (2016); Huff A., Allen T., Whiting K., Breit N., Arnold B., Flirt-ing with Zika: A web application to predict the movement of infected travelers validated against the current Zika virus epidemic, PLOS Currents, 8, (2016); Little E., Bajwa W., Shaman J., Local environmental and meteorological conditions influencing the invasive mosquito Ae. Albopictus and arbovirus transmission risk in New York City, PLOS Neglected Tropical Diseases, 11, 8, (2017); Cosner C., Beier J.C., Cantrell R.S., Impoinvil D., Kapitanski L., Potts M.D., Troyo A., Ruan S., The effects of human movement on the persistence of vector-borne diseases, Journal of Theoretical Biology, 258, 4, pp. 550-560, (2009); Bogoch I.I., Brady O.J., Kraemer M.U., German M., Creatore M.I., Brent S., Watts A.G., Hay S.I., Kulkarni M.A., Brownstein J.S., Et al., Potential for Zika virus introduction and transmission in resource-limited countries in Africa and the Asia-Pacific region: A modelling study, The Lancet Infectious Diseases, 16, 11, pp. 1237-1245, (2016); Ghaffari M., Srinivasan A., Liu X., High-resolution home location prediction from tweets using deep learning with dynamic structure, IEEE/ACM International Conference on Advances in Social Networks Analysis and Mining (ASONAM), (2019); Han B., Cook P., Baldwin T., Geolocation prediction in social media data by finding location indicative words, Proceedings of COLING 2012, pp. 1045-1062, (2012); Kavak H., Vernon-Bido D., Padilla J.J., Fine-Scale Prediction of Peoples Home Location using Social Media Footprints, International Conference on Social Computing, Behavioral-Cultural Modeling and Prediction and Behavior Representation in Modeling and Simulation, pp. 183-189, (2018); Rahimi A., Cohn T., Baldwin T., Pigeo: A python geotagging tool, Proceedings of ACL-2016 System Demonstrations, pp. 127-132, (2016)</t>
  </si>
  <si>
    <t xml:space="preserve">Spezzano F.; Chen W.; Xiao X.</t>
  </si>
  <si>
    <t xml:space="preserve">ACM SIGKDD; Elsevier; IEEE; IEEE Computer Society; IEEE TCDE; SPRINGER</t>
  </si>
  <si>
    <t xml:space="preserve">11th IEEE/ACM International Conference on Advances in Social Networks Analysis and Mining, ASONAM 2019</t>
  </si>
  <si>
    <t xml:space="preserve">27 August 2019 through 30 August 2019</t>
  </si>
  <si>
    <t xml:space="preserve">Vancouver</t>
  </si>
  <si>
    <t xml:space="preserve">978-145036868-1</t>
  </si>
  <si>
    <t xml:space="preserve">Proc. IEEE/ACM Int. Conf. Adv. Soc. Networks Anal. Min., ASONAM</t>
  </si>
  <si>
    <t xml:space="preserve">2-s2.0-85078861766</t>
  </si>
  <si>
    <t xml:space="preserve">Yang F.; Yu H.; Silamut K.; Maude R.J.; Jaeger S.; Antani S.</t>
  </si>
  <si>
    <t xml:space="preserve">Yang, Feng (56408792200); Yu, Hang (57214397334); Silamut, Kamolrat (57208458283); Maude, Richard J. (25625222500); Jaeger, Stefan (55516608100); Antani, Sameer (6701355570)</t>
  </si>
  <si>
    <t xml:space="preserve">56408792200; 57214397334; 57208458283; 25625222500; 55516608100; 6701355570</t>
  </si>
  <si>
    <t xml:space="preserve">Parasite Detection in Thick Blood Smears Based on Customized Faster-RCNN on Smartphones</t>
  </si>
  <si>
    <t xml:space="preserve">Malaria is a worldwide life-threatening disease. The gold standard for malaria diagnosis is microscopy examination, which includes thick blood smears to detect the presence of parasites and thin blood smears to differentiate the development stages of parasites. Microscopy examination is of low cost but is time consuming and error-prone. Therefore, the development of an automated parasite detection system for malaria diagnosis in thick blood smears is an important research goal, especially in resource-limited areas. In this paper, based on a customized Faster-RCNN model, we develop a machine-learning system that can automatically detect parasites in thick blood smear images on smartphones. To make Faster-RCNN more efficient for small object detection, we split an input image of 4032 × 3024 ×3 pixels into small blocks of 252 × 189 ×3 pixels, and then train the FasterRCNN model with the small blocks and corresponding parasite annotations. Moreover, we customize the convolutional layers of Faster-RCNN with four convolutional layers and two maxpooling layers to extract features according to the input image size and characteristics. We perform experiments on 2967 thick blood smear images from 200 patients, including 1819 images from 150 patients who are infected with parasites. The customized FasterRCNN model is first trained on small image blocks from 120 patients, including 90 infected patients and 30 normal patients, and then tested on the remaining 80 patients. For testing, we also split each input image into small blocks of 252 × 189 ×3 pixels that are screened by our trained Faster-RCNN model to detect parasite coordinates, which are then re-projected into the original image space. Detection rates of our system on image level and patient level are 96.84% and 96.81%, respectively.  © 2019 IEEE.</t>
  </si>
  <si>
    <t xml:space="preserve">10.1109/AIPR47015.2019.9174565</t>
  </si>
  <si>
    <t xml:space="preserve">https://www.scopus.com/inward/record.uri?eid=2-s2.0-85090825075&amp;doi=10.1109%2fAIPR47015.2019.9174565&amp;partnerID=40&amp;md5=11a5ec25f5174dc82e0a432c0fd4222a</t>
  </si>
  <si>
    <t xml:space="preserve">National Institute of Health, Lister Hill National Center for Biomodecial Communication) Natioanl Library of Medicine, Bethesda, 20894, MD, United States; Medicine Research Unit, Mahidol-Oxford Tropical, Bangkok, Thailand</t>
  </si>
  <si>
    <t xml:space="preserve">Yang F., National Institute of Health, Lister Hill National Center for Biomodecial Communication) Natioanl Library of Medicine, Bethesda, 20894, MD, United States; Yu H., National Institute of Health, Lister Hill National Center for Biomodecial Communication) Natioanl Library of Medicine, Bethesda, 20894, MD, United States; Silamut K., Medicine Research Unit, Mahidol-Oxford Tropical, Bangkok, Thailand; Maude R.J., Medicine Research Unit, Mahidol-Oxford Tropical, Bangkok, Thailand; Jaeger S., National Institute of Health, Lister Hill National Center for Biomodecial Communication) Natioanl Library of Medicine, Bethesda, 20894, MD, United States; Antani S., National Institute of Health, Lister Hill National Center for Biomodecial Communication) Natioanl Library of Medicine, Bethesda, 20894, MD, United States</t>
  </si>
  <si>
    <t xml:space="preserve">computeraided diagnosis; deep learning; Faster RCNN; malaria</t>
  </si>
  <si>
    <t xml:space="preserve">Convolution; Diagnosis; Diseases; Gold metallography; Learning systems; Object detection; Pixels; Smartphones; Turing machines; Detection rates; Detection system; Development stages; Gold standards; Infected patients; Malaria diagnosis; Original images; Small object detection; Blood</t>
  </si>
  <si>
    <t xml:space="preserve">This research is supported by the Intramural Research Program of the National Institutes of Health (NIH), National Library of Medicine (NLM), and Lister Hill National Center for Biomedical Communications (LHNCBC). Mahidol-Oxford Tropical Medicine Research Unit is funded by the Wellcome Trust of Great Britain.</t>
  </si>
  <si>
    <t xml:space="preserve">World Malaria Report 2018, Licence: Cc By-nc-sa 3.0 Igo, (2018); Guidelines for the Treatment of Malaria, Third Edition, (2015); Malaria micropscopy quality assurance manual, (2016); Poostchi M., Silamut K., Maude R.J., Jaeger S., Thoma G., Image analysis and machine learning for detecting malaria, Transl. Res., 194, pp. 36-55, (2018); Yang F., Poostchi M., Yu H., Silamut K., Maude R.J., Jaeger S., Antani S., Deep Learning for Smartphone-based Malaria Parasite Detection in Thick Blood Smears, IEEE. J. Biomed Health Inform., 23, (2019); Breslauer D.N., Maamari R.N., Switz N.A., Lam W.A., Fletcher D.A., Mobile phone based clinical microscopy for global health applications, PLoS ONE., 4, pp. 1-7, (2009); Tuijn C.J., Li J., Data and Image Transfer Using Mobile Phones to Strengthen Microscopy-Based Diagnostic Services in Low and Middle Income Country Laboratories, PLoS One., 6, (2011); Skandarajah A., Reber C.D., Switz N.A., Fletcher D.A., Quantitative imaging with a mobile phone microscope, PLoS One., 9, (2014); Pirnstill C.W., Cote G.L., Malaria Diagnosis Using a Mobile Phone Polarized Microscope, Scientific Reports., 5, pp. 1-13, (2015); Coulibaly J.T., Ouattara M., Keiser J., Bonfoh B., N'Goran E.K., Andrews J.R., Bogoch I.I., Evaluation of malaria diagnoses using a handheld light microscope in a community-based setting in rural Côte d'Ivoire, American Journal of Tropical Medicine and Hygiene., 95, pp. 831-834, (2016); Kaewkamnerd S., Uthaipibull C., Intarapanich A., Pannarut M., Chaotheing S., Tongsima S., An automatic device for detection and classification of malaria parasite species in thick blood film, Bmc Bioinformatics., 13, (2012); Quinn J.A., Andama A., Munabi I., Kiwanuka F.N., Automated Blood Smear Analysis for Mobile Malaria Diagnosis, Mobile Point-of-Care Monitors and Diagnostic Device Design, pp. 1-20, (2014); Quinn J.A., Nakasi R., Mugagga P.K.B., Byanyima P., Lubega W., Andama A., Deep Convolutional Neural Networks for Microscopy-Based Point of Care Diagnostics, Proceedings of the 1st Machine Learning for Healthcare Conference, Pmlr, 56, pp. 271-281, (2016); Cesario M., Lundon M., Luz S., Masoodian M., Rogers B., Mobile support for diagnosis of communicable diseases in remote locations, Proceedings of the 13th International Conference of the Nz Chapter of the ACM's Special Interest Group on Human-Computer Interaction-CHINZ ', 12, (2012); Dallet C., Kareem S., Kale I., Real time blood image processing application for malaria diagnosis using mobile phones, Proceedings-IEEE International Symposium on Circuits and Systems, pp. 2405-2408, (2014); Rosado L., Correia Da Costa J.M., Elias D., Cardoso J.S., A Review of Automatic Malaria Parasites Detection and Segmentation in Microscopic Images, Anti-Infective Agents, 14, 1, pp. 11-22, (2016); Rosado L., Correia Da Costa J.M., Elias D., Cardoso J.S., Mobile-Based Analysis of Malaria-Infected Thin Blood Smears: Automated Species and Life Cycle Stage Determination, Sensors., 17, (2017); Eysenbach G., Ofli F., Chen S., Kevin G., Oliveira A.D., The Malaria System MicroApp: A New, Mobile Device-Based Tool for Malaria Diagnosis, Jmir Research Protocols., 6, (2017); Ren S., He K., Girshick R., Sun J., Faster R-CNN: Towards RealTime Object Detection with Region Proposal Networks, Ieee Trans. Pattern Anal. Mach. Intell., 39, 6, pp. 1137-1149, (2017); Krizhevsky A., Sutskever I., Hinton G.E., Imagenet classification with deep convolutional neural networks, Proceedings of Advances in Neural Information Processing Systems (NIPS2012)., pp. 1097-1105, (2012); Girshick R., Donahue J., Darrell T., Malik J., Rich feature hierarchies for accurate object detection and semantic segmentation, Proceedings of the Ieee Conference on Computer Vision and Pattern Recognition (CVPR2014), pp. 580-587, (2014); Girshick R., Fast R-CNN, Proceedings of the Ieee International Conference on Computer Vision (ICCV2015), pp. 1440-1448, (2015)</t>
  </si>
  <si>
    <t xml:space="preserve">F. Yang; National Institute of Health, Lister Hill National Center for Biomodecial Communication) Natioanl Library of Medicine, Bethesda, 20894, United States; email: feng.yang2@nih.gov; S. Jaeger; National Institute of Health, Lister Hill National Center for Biomodecial Communication) Natioanl Library of Medicine, Bethesda, 20894, United States; email: stefan.jaeger@nih.gov</t>
  </si>
  <si>
    <t xml:space="preserve">2019 IEEE Applied Imagery Pattern Recognition Workshop, AIPR 2019</t>
  </si>
  <si>
    <t xml:space="preserve">15 October 2019 through 17 October 2019</t>
  </si>
  <si>
    <t xml:space="preserve">978-172814732-1</t>
  </si>
  <si>
    <t xml:space="preserve">2-s2.0-85090825075</t>
  </si>
  <si>
    <t xml:space="preserve">Othman N.H.; Yoot Lee K.; Mohd Radzol A.R.; Mansor W.; Amanina Yusoff N.</t>
  </si>
  <si>
    <t xml:space="preserve">Othman, Nur Hainani (57205876515); Yoot Lee, Khuan (57212345585); Mohd Radzol, Afaf Rozan (55232461000); Mansor, Wahidah (16175247200); Amanina Yusoff, Nur (57212344467)</t>
  </si>
  <si>
    <t xml:space="preserve">57205876515; 57212345585; 55232461000; 16175247200; 57212344467</t>
  </si>
  <si>
    <t xml:space="preserve">PCA-Polynomial-ELM Model Optimal for Detection of NS1 Adulterated Salivary SERS Spectra</t>
  </si>
  <si>
    <t xml:space="preserve">Of recent, there has been much interest in the application of Surface Enhance Raman Spectroscopy (SERS) analysis in the detection of diseases such as dengue. Early diagnosis of dengue affords early intervention, greater chance of cure and prevention of mild dengue progressing into life threatening stage. SERS produces, on the interaction of photons from laser beam with saliva samples, a spectral image of its composition here. In the case of dengue fever, Non-Structural Protein 1 (NS1), being its biomarker, is the biochemical fingerprint to be revealed by SERS. NS1 presents in body fluid such as blood and saliva of patients since day one of infection, that makes NS1 a favourite alternative to antibody types of biomarker. However, the concentration of NS1 in saliva is low, yielding a low intensity SERS spectrum. In addition, the spectrum is usually interfered with undesirable noisy features. Extreme Learning Machine (ELM) is a fast algorithm with its strength in data pattern generalization. It has been applied in pattern recognition and machine learning for classification and regression, with encouraging performance. Our work here intends to determine an optimal polynomial-ELM model in classifying SERS spectra of saliva samples adulterated with NS1, amongst the different models subject to three different termination criteria of Principal Component Analysis (PCA). Performance of '100%' is attained for accuracy, sensitivity, specificity and precision, while '1' for kappa, by combining the cumulative percent of total variance (CPV) termination criterion and polynomial-ELM model of power 2 and constant 0.5. © 2019 IOP Publishing Ltd. All rights reserved.</t>
  </si>
  <si>
    <t xml:space="preserve">10.1088/1742-6596/1372/1/012064</t>
  </si>
  <si>
    <t xml:space="preserve">https://www.scopus.com/inward/record.uri?eid=2-s2.0-85076490083&amp;doi=10.1088%2f1742-6596%2f1372%2f1%2f012064&amp;partnerID=40&amp;md5=619a72ddd2804e71f901b2a30aa1b74d</t>
  </si>
  <si>
    <t xml:space="preserve">Faculty of Electrical Engineering, Universiti Teknologi MARA, Selangor DE, Shah Alam, Malaysia; Computational Intelligence Detection RIG, Pharmaceutical and Lifesciences Communities of Research, Universiti Teknologi MARA, Selangor DE, Shah Alam, Malaysia; Faculty of Electrical Engineering, Universiti Teknologi MARA, Cawangan Pulau Pinang, Permatang Pauh, Pulau Pinang, Malaysia</t>
  </si>
  <si>
    <t xml:space="preserve">Othman N.H., Faculty of Electrical Engineering, Universiti Teknologi MARA, Selangor DE, Shah Alam, Malaysia; Yoot Lee K., Faculty of Electrical Engineering, Universiti Teknologi MARA, Selangor DE, Shah Alam, Malaysia, Computational Intelligence Detection RIG, Pharmaceutical and Lifesciences Communities of Research, Universiti Teknologi MARA, Selangor DE, Shah Alam, Malaysia; Mohd Radzol A.R., Computational Intelligence Detection RIG, Pharmaceutical and Lifesciences Communities of Research, Universiti Teknologi MARA, Selangor DE, Shah Alam, Malaysia, Faculty of Electrical Engineering, Universiti Teknologi MARA, Cawangan Pulau Pinang, Permatang Pauh, Pulau Pinang, Malaysia; Mansor W., Faculty of Electrical Engineering, Universiti Teknologi MARA, Selangor DE, Shah Alam, Malaysia, Computational Intelligence Detection RIG, Pharmaceutical and Lifesciences Communities of Research, Universiti Teknologi MARA, Selangor DE, Shah Alam, Malaysia; Amanina Yusoff N., Faculty of Electrical Engineering, Universiti Teknologi MARA, Selangor DE, Shah Alam, Malaysia</t>
  </si>
  <si>
    <t xml:space="preserve">Biomarkers; Biomedical engineering; Body fluids; Diagnosis; Laser beams; Machine learning; Pattern recognition; Polynomials; Raman spectroscopy; Spectrum analysis; Early diagnosis; Early intervention; Extreme learning machine; Fast algorithms; Spectral images; Surface enhance Raman spectroscopy; Termination criteria; Total variance; Principal component analysis</t>
  </si>
  <si>
    <t xml:space="preserve">Erasmus Research Institute of Management, ERIM; Universiti Teknologi MARA, UiTM</t>
  </si>
  <si>
    <t xml:space="preserve">The author would like to thank the Research Management Institute, for providing the research funding 600-IRMI/REI 5/3 (02 1/2018); Faculty of Electrical Engineering, Universiti Teknologi MARA, Selangor, Malaysia, for the support and assistance given to the authors in carrying out this research.</t>
  </si>
  <si>
    <t xml:space="preserve">Chen H., Lai Y., Yeh T., Dengue virus non-structural protein 1 : A pathogenic factor, therapeutictargetand vaccine candidate, J. Biomed. Sci., 25, 1, pp. 1-11, (2018); Radzol A.R.M., Lee K.Y., Mansor W., Classification of salivary based NS1 from Raman Spectroscopy with support vector machine, Proc. Annual International Conference of the IEEE Engineering in Medicine and Biology Society, pp. 1835-1838, (2014); Bhatt S., Et al., The Global Distribution and Burden of Dengue Nature, 496, pp. 504-507, (2013); Radzol A.R.M., Lee K.Y., Mansor W., Nonstructural protein 1 characteristic peak from NS1-saliva mixture with Surface-Enhanced Raman spectroscopy, Annu. Int. Conf. IEEE Eng. Med. Biol. Soc., pp. 2396-2399, (2013); Hussain A., Rehman S.U., Aslam S., Javed N., Abbas Z., Nano-gold particles mediated detection of NS1; An early diagnostic marker of dengue virus infection, J. Anim. Plant Sci., 24, pp. 1110-1115, (2014); Radzol A.R.M., Lee K.Y., Mansor W., Azman A., Optimization of Savitzky-Golay smoothing filter for salivary surface enhanced Raman spectra of non structural protein 1, Proc. IEEE Reg. 10 Annu. Int. Conf., pp. 9-14, (2015); Radzol A.R.M., Lee K.Y., Mansor W., Yahaya S.R., Surface-enhanced raman spectral analysis of substrates for salivary based disease detection, Proc. - 2012 IEEE 8th Int. Colloq. Signal Process. Its Appl. CSPA 2012, pp. 505-509, (2012); Fan M., Andrade G.F.S., Brolo A., A review on the fabrication of substrates for surface enhanced Raman spectroscopy and their applications in analytical chemistry, Anal. Chim. Acta, 693, 1-2, pp. 7-25, (2011); Wu X., Chen J., Li X., Zhao Y., Zughaier S.M., Culture-free diagnostics of Pseudomonas aeruginosa infection by silver nanorod array based SERS from clinical sputum samples, Nanomedicine Nanotechnology Biol. Med., 10, 8, pp. 1863-1870, (2014); Han H.W., Yan X.L., Dong R.X., Ban G., Li K., Analysis of serum from type II diabetes mellitus and diabetic complication using surface-enhanced Raman spectra (SERS), Appl. Phys. B Lasers Opt., 94, 4, pp. 667-672, (2009); Siak F., Lee K.Y., Mansor W., Radzol A.R.M., Raman spectra of drop coating deposition Raman for melamine solution, IEEE-EMBS Conf. Biomed. Eng. Sci. IECBES, pp. 815-819, (2012); Feng S., Et al., Gastric cancer detection based on blood plasma surface-enhanced Raman spectroscopy excited by polarized laser light Biosens, Bioelectron, 26, 7, pp. 3167-3174, (2010); Mahmood T., Et al., Raman spectral analysis for rapid screening of dengue infection, Spectrochim. Acta - Part A Mol. Biomol. Spectrosc., 200, pp. 136-142, (2018); Bilal M., Et al., Raman spectroscopy based discrimination of NS1 positive and negative dengue virus infected serum, Laser Phys. Lett, 13, pp. 1-7, (2016); Jolliffe I.T., Principal Component Analysis, Second Edition, (2002); Radzol A.R.M., Lee K.Y., Mansor W., Azmin N.H.R., SVM-RBF Model PCA Criterion Selection for Detection of NS1 Molecule from Raman Spectra of Salivary Mixture, IET International Conference on Biomedical Image and Signal Processing, pp. 1-6, (2015); Sahak R., Lee K.Y., Mansor W., Yassin A.I.M., Zabidi A., Detection of asphyxiated infant cry using support vector machine integrated with principal component analysis, Proceedings of 2010 IEEE EMBS Conference on Biomedical Engineering and Sciences, pp. 485-488, (2010); Radzol A.R.M., Lee K.Y., Mansor W., Tawi F.M.T., Signal Processing for Raman Spectra for Disease Detection, Int. J. Pharm. Pharm. Sci., 8, pp. 4-10, (2016); Ismaeel S., Miri A., Chourishi D., Using the Extreme Learning Machine (ELM) Technique for Heart Disease Diagnosis, IEEE Canada International Humanitarian Technology Conference, pp. 1-3, (2015); Zhou H., Lan Y., Soh Y.C., Huang G.B., Zhang R., Credit risk evaluation with extreme learning machine, IEEE Int. Conf. Syst. Man, Oybern., pp. 1064-1069, (2012); Radzol A.R.M., Lee K.Y., Mansor W., Saadun N., Baseline Correction Customized for NS1 Salivary Raman Spectra with Piecewise Cubic Hermite Interpolation, IEEE Symp. Ind. Electron. Appl., pp. 1-5, (2014); Landis J.R., Koch G.G., The Measurement of Observer Agreement for Categorical Data, Biometrics, 33, 1, pp. 159-174, (1977)</t>
  </si>
  <si>
    <t xml:space="preserve">Fook C.Y.; Yazid H.B.; Rahim S.B.A.; Mustafa N.B.; Zaaba S.K.; Norali A.N.B.; Noor A.B.M.</t>
  </si>
  <si>
    <t xml:space="preserve">Abyres; Cenfotec SDN BHD; et al.; Northern Runners; Star Labs; TMS</t>
  </si>
  <si>
    <t xml:space="preserve">2019 International Conference on Biomedical Engineering, ICoBE 2019</t>
  </si>
  <si>
    <t xml:space="preserve">26 August 2019 through 27 August 2019</t>
  </si>
  <si>
    <t xml:space="preserve">Penang Island</t>
  </si>
  <si>
    <t xml:space="preserve">2-s2.0-85076490083</t>
  </si>
  <si>
    <t xml:space="preserve">Aladago M.M.; Torresani L.; Rosca E.V.</t>
  </si>
  <si>
    <t xml:space="preserve">Aladago, Maxwell Mbailla (57218228555); Torresani, Lorenzo (6506606617); Rosca, Elena V. (57218228896)</t>
  </si>
  <si>
    <t xml:space="preserve">57218228555; 6506606617; 57218228896</t>
  </si>
  <si>
    <t xml:space="preserve">Semantic Segmentation of the Growth Stages of Plasmodium Parasites using Convolutional Neural Networks</t>
  </si>
  <si>
    <t xml:space="preserve">A child under five dies of malaria every two minutes. Limited access to diagnosis and treatment are some of reasons for this large death toll. Currently, the standard method of diagnosing malaria is manual microscopy which is expensive, tedious and prone to errors. This research proposes semantic segmentation of the growth stages of the Plasmodium parasites to aid effective diagnosis. By employing data augmentation and transfer learning, the proposed method achieved an accuracy of 85.86% on dense predictions of trophozoites, gametocytes and normal cells using 353 Giemsa-stained thin blood smear images. © 2019 IEEE.</t>
  </si>
  <si>
    <t xml:space="preserve">IEEE AFRICON Conference</t>
  </si>
  <si>
    <t xml:space="preserve">10.1109/AFRICON46755.2019.9133937</t>
  </si>
  <si>
    <t xml:space="preserve">https://www.scopus.com/inward/record.uri?eid=2-s2.0-85088374262&amp;doi=10.1109%2fAFRICON46755.2019.9133937&amp;partnerID=40&amp;md5=3a0675c359f9bd4e0e355cb62f184ad8</t>
  </si>
  <si>
    <t xml:space="preserve">Ashesi University, Pmb CT3, Department of Computer Science, Cantonments Accra, Ghana; Dartmouth College, Department of Computer Science, Hanover, 03755, NH, United States</t>
  </si>
  <si>
    <t xml:space="preserve">Aladago M.M., Ashesi University, Pmb CT3, Department of Computer Science, Cantonments Accra, Ghana; Torresani L., Dartmouth College, Department of Computer Science, Hanover, 03755, NH, United States; Rosca E.V., Ashesi University, Pmb CT3, Department of Computer Science, Cantonments Accra, Ghana</t>
  </si>
  <si>
    <t xml:space="preserve">Convolutional Neural Networks; Malaria; Plasmodium Parasites; Semantic Segmentation</t>
  </si>
  <si>
    <t xml:space="preserve">Diseases; Semantic Web; Semantics; Transfer learning; Blood smears; Data augmentation; Death tolls; Growth stages; Method of diagnosing; Plasmodium parasites; Semantic segmentation; Convolutional neural networks</t>
  </si>
  <si>
    <t xml:space="preserve">(2017); Nonvignon J., Cecilia Aryeetey G., Malm K.L., Agyemang S.A., Aubyn V.N.A., Peprah N.Y., Bart-Plange C.N., Aikins M., Economic burden of malaria on businesses in ghana: A case for private sector investment in malaria control, Malaria Journal, 15, 454, (2016); Overview of Malaria Treatment, (2018); Hyde J.E., Drug-resistant malaria-An insight, Febs J., 274, 18, pp. 4688-4698, (2007); Overview of Diagnostic Testing., (2018); Pollak J.J., Houri-Yafin A., Salpeter S.J., Computer vision malaria diagnostic sys-tems-progress and prospects, Frontiers in Public Health, 5, 219, pp. 1-5, (2017); Pinkaew A., Limpiti T., Trirat A., Automated classification of malaria parasite species on thick blood film using support vector machine, Biomedical Engineering International Conference (BMEiCON-2015, pp. 1-5, (2015); Ghosh S., Ghosh A., Kundu S., E stimating malaria parasitaemia in images of thin smear of human blood, Csi Transactions on Ict, 2, 1, pp. 43-48, (2014); Srinivas, Life Cycle of Plasmodium Parasite, (2015); Nanoti A., Jain S., Gupta C., Vyas G., Detection of malaria parasite species and life cycle stages using microscopic images of thin blood smear, 2016 International Conference on Inventive Computation Technologies (Icict, 2016, pp. 1-6, (2016); Eddy Purnama I.K., Rahmanti F.Z., Purnomo M.H., Malaria parasite identification on thick blood film using genetic programming, 3rd International Conference on Instrumentation, Communications, Information Technology, and Biomedical Engineeri Ng, pp. 194-198, (2013); Quinn J.A., Nakasi R., Mugagga P.K., Patrick Byanyima B., Lubega W., Andama A., Deep convolutional neural networks for microscopy-based point of care diagnostics, Proceedings of International Conference on Machine Learning for Health Care 2016, 56, (2016); Mehanian C., Jaiswal M., Delahunt C., Thompson C., Horning M., Hu L., McGuire S., Ostbye T., Mehanian M., Wilson B., Champlin C., Long E., Proux S., Gamboa D., Chiodini P., Carter J., Dhorda M., Isaboke D., Ogutu B., Oyibo W., Villasis E., Tun K.M., Bachman C., Bell D., Computer-Automated malaria diagnosis and quantitation using convolutional neural networks, Ieee International Conference on Computer Vision Workshops Computer-Automated, pp. 116-125, (2017); Kristofer Penas E., Pilarita Rivera T., Prospero Naval C., Malaria Parasite Detection and Species Identification on Thin Blood Smears Using a Convolutional Neural Network., pp. 1-5, (2017); Bibin D., Nair M.S., Punitha P., Malaria parasite detection from peripheral blood smear images using deep belief networks, Ieee Access, 5, pp. 9099-9108, (2017); Gopakumar G.P., Swetha M., Siva G.S., Sai Subrahmanyam G.R.K., Convolu-tional neural network-based malaria diagnosis from focus stack of blood smear images acquired using custom-built slide scanner, Journal of Biophotonics, 11, (2017); Long J., Shelhamer E., Darrell T., Fully convolutional networks for semantic segmentation, 2015 Ieee Conference on Computer Vision and Pattern Recognition (CVPR, pp. 3431-3440, (2015); Long J., Shelhamer E., Darrell T., Fully convolutional networks for semantic segmentation, 2015 Ieee Conference on Computer Vision and Pattern Recognition (CVPR, pp. 3431-3440, (2015); Thoma M., A survey of semantic segmentation, CoRR, pp. 1-16, (2016); Rawat W., Wang Z., Deep convolutional neural networks for image classification: A comprehen-sive review, Neural Computation, 29, 9, pp. 2352-2449, (2017); Kingma D.P., Ba J.L., Adam: A method for stochastic optimization, CoRR, (2014)</t>
  </si>
  <si>
    <t xml:space="preserve">2019 IEEE AFRICON, AFRICON 2019</t>
  </si>
  <si>
    <t xml:space="preserve">25 September 2019 through 27 September 2019</t>
  </si>
  <si>
    <t xml:space="preserve">Accra</t>
  </si>
  <si>
    <t xml:space="preserve">978-172813289-1</t>
  </si>
  <si>
    <t xml:space="preserve">IEEE AFRICON Conf</t>
  </si>
  <si>
    <t xml:space="preserve">2-s2.0-85088374262</t>
  </si>
  <si>
    <t xml:space="preserve">Smartphone-Supported Malaria Diagnosis Based on Deep Learning</t>
  </si>
  <si>
    <t xml:space="preserve">Malaria remains a major burden on global health, causing about half a million deaths every year. The objective of this work is to develop a fast, automated, smartphone-supported malaria diagnostic system. Our proposed system is the first system using both image processing and deep learning methods on a smartphone to detect malaria parasites in thick blood smears. The underlying detection algorithm is based on an iterative method for parasite candidate screening and a convolutional neural network model (CNN) for feature extraction and classification. The system runs on Android phones and can process blood smear images taken by the smartphone camera when attached to the eyepiece of a microscope. We tested the system on 50 normal patients and 150 abnormal patients. The accuracies of the system on patch-level and patient-level are 97% and 78%, respectively. AUC values on patch-level and patient-level are, respectively, 98% and 85%. Our system could aid in malaria diagnosis in resource-limited regions, without depending on extensive diagnostic expertise or expensive diagnostic equipment. © 2019, Springer Nature Switzerland AG.</t>
  </si>
  <si>
    <t xml:space="preserve">11861 LNCS</t>
  </si>
  <si>
    <t xml:space="preserve">10.1007/978-3-030-32692-0_9</t>
  </si>
  <si>
    <t xml:space="preserve">https://www.scopus.com/inward/record.uri?eid=2-s2.0-85075683656&amp;doi=10.1007%2f978-3-030-32692-0_9&amp;partnerID=40&amp;md5=ee5d6026458014fe7b99c0c81d046d19</t>
  </si>
  <si>
    <t xml:space="preserve">School of Computer and Information Technology, Beijing Jiaotong University, Beijing, 100044, China; National Library of Medicine, National Institute of Health, Bethesda, 20894, MD, United States; Mahidol-Oxford Tropical Medicine Research Unit, Mahidol University, Bangkok, 10400, Thailand</t>
  </si>
  <si>
    <t xml:space="preserve">Yang F., School of Computer and Information Technology, Beijing Jiaotong University, Beijing, 100044, China, National Library of Medicine, National Institute of Health, Bethesda, 20894, MD, United States; Yu H., National Library of Medicine, National Institute of Health, Bethesda, 20894, MD, United States; Silamut K., Mahidol-Oxford Tropical Medicine Research Unit, Mahidol University, Bangkok, 10400, Thailand; Maude R.J., Mahidol-Oxford Tropical Medicine Research Unit, Mahidol University, Bangkok, 10400, Thailand; Jaeger S., National Library of Medicine, National Institute of Health, Bethesda, 20894, MD, United States; Antani S., National Library of Medicine, National Institute of Health, Bethesda, 20894, MD, United States</t>
  </si>
  <si>
    <t xml:space="preserve">Computer-aided diagnosis; Deep learning; Image analysis; Malaria; Mobile health</t>
  </si>
  <si>
    <t xml:space="preserve">Blood; Computer aided analysis; Computer aided diagnosis; Computer aided instruction; Diseases; Feature extraction; Image analysis; Iterative methods; Machine learning; Medical imaging; mHealth; Neural networks; Smartphones; Convolutional neural network; Detection algorithm; Diagnostic equipment; Diagnostic systems; Feature extraction and classification; Malaria; Malaria diagnosis; Smart-phone cameras; Deep learning</t>
  </si>
  <si>
    <t xml:space="preserve">National Key R&amp;D Plan of China, (2017YFB1400100); National Institutes of Health, NIH; Wellcome Trust, WT; Lister Hill National Center for Biomedical Communications, LHNCBC; National Basic Research Program of China (973 Program), (61671049)</t>
  </si>
  <si>
    <t xml:space="preserve">Acknowledgment. We would like to thank Dr. Md. A. Hossain for supporting our data acquisition at Chittagong Medical Hospital, Bangladesh. This research is supported by the Intramural Research Program of the National Institutes of Health, National Library of Medicine, and Lister Hill National Center for Biomedical Communications. Mahidol-Oxford Tropical Medicine Research Unit is funded by the Wellcome Trust of Great Britain. This research is also supported by the National Basic Research Program of China under No. 61671049 and the National Key R&amp;D Plan of China under No. 2017YFB1400100.</t>
  </si>
  <si>
    <t xml:space="preserve">World Malaria Report 2018, (2018); Guidelines for the treatment of malaria. 3rd edn, World Health Organization, (2015); Makhija K.S., Maloney S., Norton R., The utility of serial blood film testing for the diagnosis of malaria, Pathology, 47, 1, pp. 68-70, (2015); Malaria micropscopy quality assurance manual, World Health Organization, (2016); Poostchi M., Silamut K., Maude R.J., Jaeger S., Thoma G., Image analysis and machine learning for detecting malaria, Transl. Res., 194, pp. 36-55, (2018); Breslauer D.N., Maamari R.N., Switz N.A., Lam W.A., Fletcher D.A., Mobile phone based clinical microscopy for global health applications, Plos ONE, 4, 7, pp. 1-7, (2009); Tuijn C.J., Li J., Data and image transfer using mobile phones to strengthen microscopy-based diagnostic services in low and middle income country laboratories, Plos One, 6, 12, (2011); Skandarajah A., Reber C.D., Switz N.A., Fletcher D.A., Quantitative imaging with a mobile phone microscope, Plos One, 9, 5, (2014); Pirnstill C.W., Cote G.L., Malaria diagnosis using a mobile phone polarized microscope, Sci. Rep., 5, pp. 1-13, (2015); Coulibaly J.T., Et al., Evaluation of malaria diagnoses using a handheld light microscope in a community-based setting in rural Côte d’Ivoire, Am. J. Trop. Med. Hyg., 95, 4, pp. 831-834, (2016); Kaewkamnerd S., Uthaipibull C., Intarapanich A., Pannarut M., Chaotheing S., Tongsima S., An automatic device for detection and classification of malaria parasite species in thick blood film, BMC Bioinform, 13, (2012); Quinn J.A., Nakasi R., Mugagga P.K.B., Byanyima P., Lubega W., Andama A., Deep convolutional neural networks for microscopy-based point of care diagnostics, International Conference on Machine Learning for Health Care, pp. 1-12, (2016); Cesario M., Lundon M., Luz S., Masoodian M., Rogers B., Mobile support for diagnosis of communicable diseases in remote locations, 13Th International Conference of the NZ Chapter of the ACM’s Special Interest Group on Human-Computer Interaction – CHINZ 2012, (2012); Dallet C., Kareem S., Kale I., Real time blood image processing application for malaria diagnosis using mobile phones, IEEE International Symposium on Circuits and Systems, pp. 2405-2408, (2014); Rosado L., da Costa J.M.C., Elias D., Cardoso J.S., Automated detection of malaria parasites on thick blood smears via mobile devices, Procedia Comput. Sci., 90, pp. 138-144, (2016); Rosado L., Correia da Costa J.M., Elias D., Cardoso J.S., Mobile-based analysis of malaria-infected thin blood smears: Automated species and life cycle stage determination, Sensors, 17, 10, (2017); Eysenbach G., Ofli F., Chen S., Kevin G., Oliveira A.D., The malaria system microapp: A new, mobile device-based tool for malaria diagnosis, JMIR Res. Protoc., 6, 4, (2017); Otsu N., A threshold selection method from gray-level histograms, IEEE Trans. Syst. Man Cybern., 9, 1, pp. 62-66, (1979); Ren S., He K., Girshick R., Sun J., Faster R-CNN: Towards real-time object detection with region proposal networks, IEEE Trans. Pattern Anal. Mach. Intell., 39, 6, pp. 1137-1149, (2017); Redmon J., Divvala S., Girshick R., Farhadi A., You Only Look Once: Unified, Real-Time Object Detection</t>
  </si>
  <si>
    <t xml:space="preserve">F. Yang; School of Computer and Information Technology, Beijing Jiaotong University, Beijing, 100044, China; email: feng.yang2@nih.gov</t>
  </si>
  <si>
    <t xml:space="preserve">Suk H.; Liu M.; Lian C.; Yan P.</t>
  </si>
  <si>
    <t xml:space="preserve">10th International Workshop on Machine Learning in Medical Imaging, MLMI 2019 held in conjunction with the 22nd International Conference on Medical Image Computing and Computer-Assisted Intervention, MICCAI 2019</t>
  </si>
  <si>
    <t xml:space="preserve">13 October 2019 through 13 October 2019</t>
  </si>
  <si>
    <t xml:space="preserve">978-303032691-3</t>
  </si>
  <si>
    <t xml:space="preserve">2-s2.0-85075683656</t>
  </si>
  <si>
    <t xml:space="preserve">Franco-Ceballos R.; Torres-Madronero M.C.; Galeano-Zea J.; Murillo J.; Zarzycki A.; Garzon J.; Robledo S.M.</t>
  </si>
  <si>
    <t xml:space="preserve">Franco-Ceballos, Ricardo (57211516845); Torres-Madronero, Maria C. (35099889700); Galeano-Zea, July (34871156600); Murillo, Javier (55208785000); Zarzycki, Artur (57193212037); Garzon, Johnson (23102526000); Robledo, Sara M. (6602106630)</t>
  </si>
  <si>
    <t xml:space="preserve">57211516845; 35099889700; 34871156600; 55208785000; 57193212037; 23102526000; 6602106630</t>
  </si>
  <si>
    <t xml:space="preserve">Spectral Band Subset Selection for Discrimination of Healthy Skin and Cutaneous Leishmanial Ulcers</t>
  </si>
  <si>
    <t xml:space="preserve">Leishmaniasis is a parasitic disease, transmitted by the bite of an insect that has previously fed on an infected host. One of its clinical forms is Cutaneous Leishmaniasis - CL and due to its increasing incidence, it is necessary to create effective and easy-use diagnostic methods. In this paper, we assess two unsupervised band-selection algorithms that allow the dimensional reduction of hyperspectral data taken from CL ulcers, maintaining a high classification accuracy. This is an important task for the development of an non-invasive system based on multispectral imaging, that support the diagnosis and treatment follow-up of cutaneous ulcer caused by Leishmaniasis. Spectral data was obtained in golden hamsters subjected to varying conditions of infection. Two algorithms, one based on similarity and the other based on singular values decomposition, are implemented using MATLAB functions and are applied to the spectral data. The selected subsets of bands are used to classify the spectra into healthy skin, border and ulcer centers using support vector machines - SVM and neural networks - NN. The obtained results are represented in precision tables and allow to observe that both methods achieve an appropriate dimensional reduction of multispectral data without losing key information for their subsequent classification. At the end, we show that it is possible to obtain a subset of spectral bands to discriminate between healthy skin and cutaneous ulcers caused by Leishmaniasis. © 2019, Springer Nature Switzerland AG.</t>
  </si>
  <si>
    <t xml:space="preserve">11867 LNCS</t>
  </si>
  <si>
    <t xml:space="preserve">10.1007/978-3-030-31332-6_35</t>
  </si>
  <si>
    <t xml:space="preserve">https://www.scopus.com/inward/record.uri?eid=2-s2.0-85076117149&amp;doi=10.1007%2f978-3-030-31332-6_35&amp;partnerID=40&amp;md5=abcb73f9260359b887178ba00a8b47c2</t>
  </si>
  <si>
    <t xml:space="preserve">Research group on Automatic, Electronic and Computational Science, Smart Machines and Pattern Recognition Laboratory, Instituto Tecnologico Metropolitano, Medellin, Colombia; Research group on Advance Materials and Energy MatyEr, Instituto Tecnologico Metropolitano, Medellin, Colombia; Program for the Study and Control of Tropical Diseases-PECET-School of Medicine, University of Antioquia, Medellín, Colombia; Research group on Automatic, Electronic and Computational Science, Robotics and Control System Laboratory, Instituto Tecnologico Metropolitano, Medellin, Colombia; Grupo de Optica y Espectroscopia, Universidad Pontificia Bolivariana, Medellin, Colombia</t>
  </si>
  <si>
    <t xml:space="preserve">Franco-Ceballos R., Research group on Automatic, Electronic and Computational Science, Smart Machines and Pattern Recognition Laboratory, Instituto Tecnologico Metropolitano, Medellin, Colombia; Torres-Madronero M.C., Research group on Automatic, Electronic and Computational Science, Smart Machines and Pattern Recognition Laboratory, Instituto Tecnologico Metropolitano, Medellin, Colombia; Galeano-Zea J., Research group on Advance Materials and Energy MatyEr, Instituto Tecnologico Metropolitano, Medellin, Colombia; Murillo J., Program for the Study and Control of Tropical Diseases-PECET-School of Medicine, University of Antioquia, Medellín, Colombia; Zarzycki A., Research group on Advance Materials and Energy MatyEr, Instituto Tecnologico Metropolitano, Medellin, Colombia, Research group on Automatic, Electronic and Computational Science, Robotics and Control System Laboratory, Instituto Tecnologico Metropolitano, Medellin, Colombia; Garzon J., Grupo de Optica y Espectroscopia, Universidad Pontificia Bolivariana, Medellin, Colombia; Robledo S.M., Program for the Study and Control of Tropical Diseases-PECET-School of Medicine, University of Antioquia, Medellín, Colombia</t>
  </si>
  <si>
    <t xml:space="preserve">Classification; Hyperspectral data; Leishmaniasis; Spectral reduction; Unsupervised band selection</t>
  </si>
  <si>
    <t xml:space="preserve">Data reduction; Diagnosis; Diseases; Image analysis; Pattern recognition; Support vector machines; Band selection; Classification accuracy; Cutaneous leishmaniasis; Dimensional reduction; Hyperspectral Data; Leishmaniasis; Singular values decompositions; Spectral reductions; Classification (of information)</t>
  </si>
  <si>
    <t xml:space="preserve">Departamento Administrativo de Ciencia y Tecnologia de Colombia; Departamento Administrativo de Ciencia, Tecnología e Innovación (COLCIENCIAS); Universidad de Antioquia, UdeA; Universidad Pontificia Bolivariana, UPB, (57186); Instituto Tecnológico Metropolitano, ITM</t>
  </si>
  <si>
    <t xml:space="preserve">Supported by Departamento Administrativo de Ciencia y Tecnologia de Colombia -COLCIENCIAS-, Instituto Tecnológico Metropolitano, Universidad de Antioquia, Universidad Pontificia Bolivariana, and Kinetics Systems S.A.S (Medellin-Colombia), under the project number 57186.</t>
  </si>
  <si>
    <t xml:space="preserve">Alvar J., Et al., Leishmaniasis worldwide and global estimates of its incidence, Plos ONE, 7, 5, (2012); Alvar J., Yactayo S., Bern C., Leishmaniasis and poverty, Trends Parasitol, 22, 12, pp. 552-557, (2006); Arzuaga-Cruz E., Jimenez-Rodriguez L.O., Velez-Reyes M., Unsupervised feature extraction and band subset selection techniques based on relative entropy criteria for hyperspectral data analysis, Proc. Spie-Int. Soc. Opt. Eng., 5093, September, pp. 462-473, (2003); Attia A.B.E., Et al., Noninvasive real-time characterization of non-melanoma skin cancers with handheld optoacoustic probes, Photoacoustics, 7, pp. 20-26, (2017); Avci P., Et al., Animal models of skin disease for drug discovery, Expert Opin. Drug Discov., 8, 3, pp. 331-355, (2013); Calin M.A., Parasca S.V., Savastru R., Calin M.R., Dontu S., Optical techniques for the noninvasive diagnosis of skin cancer, J. Cancer Res. Clin. Oncol., 139, 7, pp. 1083-1104, (2013); Du Q., Yang H., Similarity-based unsupervised band selection for hyperspectral image analysis, IEEE Geosci. Remote Sens. Lett., 5, 4, pp. 564-568, (2008); Gao J., Digital Analysis of Remotely Sensed Imagery, (2009); Gholami R., Fakhari N., Support vector machine: Principles, parameters, and applications, Handbook of Neural Computation, (2017); Hotez P.J., Bottazzi M.E., Franco-Paredes C., Ault S.K., Periago M.R., The neglected tropical diseases of Latin America and the Caribbean: A review of disease burden and distribution and a roadmap for control and elimination, Plos Negl. Trop. Dis., 2, 9, (2008); Hotez P.J., Remme J.H.F., Buss P., Alleyne G., Morel C., Breman J.G., Combating tropical infectious diseases: Report of the disease control priorities in developing countries project, Clin. Infect. Dis., 38, 6, pp. 871-878, (2004); Ren H., Chen H.T., Background whitened target detection algorithm for hyperspectral imagery, J. Mar. Sci. Technol. (Taiwan), 25, 1, pp. 15-22, (2017); Robledo S.M., Et al., Cutaneous Leishmaniasis in the dorsal skin of hamsters: A useful model for the screening of Antileishmanial Drugs, J. Vis. Exp., 62, (2012); Vyas S., Meyerle J., Burlina P., Non-invasive estimation of skin thickness from hyperspectral imaging and validation using echography, Comput. Biol. Med., 57, pp. 173-181, (2015)</t>
  </si>
  <si>
    <t xml:space="preserve">R. Franco-Ceballos; Research group on Automatic, Electronic and Computational Science, Smart Machines and Pattern Recognition Laboratory, Instituto Tecnologico Metropolitano, Medellin, Colombia; email: rfrancoce@gmail.com</t>
  </si>
  <si>
    <t xml:space="preserve">978-303031331-9</t>
  </si>
  <si>
    <t xml:space="preserve">2-s2.0-85076117149</t>
  </si>
  <si>
    <t xml:space="preserve">White M.; Marais P.</t>
  </si>
  <si>
    <t xml:space="preserve">White, Michael (57211689799); Marais, Patrick (6603680047)</t>
  </si>
  <si>
    <t xml:space="preserve">57211689799; 6603680047</t>
  </si>
  <si>
    <t xml:space="preserve">Supervised learning and image processing for efficient malaria detection</t>
  </si>
  <si>
    <t xml:space="preserve">Malaria is a devastating disease that leads to many deaths each year. Currently, most malaria diagnoses are performed manually, which is time consuming. This may result in it taking longer to diagnose patients, especially those in poor and rural areas, motivating the development of automated detection tools. Deep learning approaches, particularly convolutional neural networks (CNNs), have seen success in the existing literature. However, CNNs are computationally expensive and require significant amounts of training data, which may limit their real-world viability, especially in poorer and rural communities. Non-deep supervised techniques are largely free from these limitations but have received less attention in the existing literature. This paper differs from existing work using non-deep systems by investigating the use of RFs, adopting a more rigourous testing methodology and conducting a broader exploration of pre-processing techniques. Two non-deep supervised systems are proposed, based on random forests (RFs) and support vector machines (SVMs). The RF system performs better, having achieved an accuracy of 96.29% when tested on 20 000 images, with runtimes of less than two seconds. Testing on a small dataset of images gathered from a different source achieves similar performance, suggesting the model may generalise to different imaging conditions. The system achieves higher recall than existing non-deep approaches, and its accuracy, recall and precision are within 4% of the highest performing CNN approach. Copyright © 2019 for this paper by its authors.</t>
  </si>
  <si>
    <t xml:space="preserve">https://www.scopus.com/inward/record.uri?eid=2-s2.0-85078327540&amp;partnerID=40&amp;md5=2d0318e2dd90fd8036d77bf6b4521f4c</t>
  </si>
  <si>
    <t xml:space="preserve">University of Cape Town, Cape Town, South Africa</t>
  </si>
  <si>
    <t xml:space="preserve">White M., University of Cape Town, Cape Town, South Africa; Marais P., University of Cape Town, Cape Town, South Africa</t>
  </si>
  <si>
    <t xml:space="preserve">Computer-aided; Diagnosis; Feature extraction; Image classification; Image processing; Machine learning; Malaria; Supervised learning</t>
  </si>
  <si>
    <t xml:space="preserve">Computer aided diagnosis; Computer aided instruction; Decision trees; Deep learning; Diagnosis; Diseases; Feature extraction; Image classification; Learning systems; Machine learning; Neural networks; Statistical tests; Supervised learning; Support vector machines; Automated detection; Computer aided; Convolutional neural network; Imaging conditions; Malaria; Recall and precision; Support vector machine (SVMs); Testing methodology; Image processing</t>
  </si>
  <si>
    <t xml:space="preserve">Bradski G., Kaehler A., Learning OpenCV: Computer Vision with the OpenCV Library, (2008); Coelho L.P., Mahotas: Open Source Software for Scriptable Computer Vision, (2012); Diaz G., Gonzalez F.A., Romero E., A semi-automatic method for quantification and classification of erythrocytes infected with malaria parasites in microscopic images, Journal of Biomedical Informatics, 42, 2, pp. 296-307, (2009); Haralick R.M., Shanmugam K., Et al., Textural features for image classification, IEEE Transactions on Systems, Man, and Cybernetics, 6, pp. 610-621, (1973); Hu M.K., Visual pattern recognition by moment invariants, IRE Transactions on Information Theory, 8, 2, pp. 179-187, (1962); Khan N.A., Pervaz H., Latif A.K., Musharraf A., Et al., Unsupervised identification of malaria parasites using computer vision, 2014 11th International Joint Conference on Computer Science and Software Engineering (JCSSE), pp. 263-267, (2014); Lalkhen A.G., McCluskey A., Clinical tests: Sensitivity and specificity, Continuing Education in Anaesthesia Critical Care &amp; Pain, 8, 6, pp. 221-223, (2008); Mehanian C., Jaiswal M., Delahunt C., Thompson C., Horning M., Hu L., Ostbye T., McGuire S., Mehanian M., Champlin C., Et al., Computer-automated malaria diagnosis and quantitation using convolutional neural networks, Proceedings of the IEEE International Conference on Computer Vision, pp. 116-125, (2017); Otiniano-Rodriguez K., Camara-Chavez G., Menotti D., Hu and zernike moments for sign language recognition, Proceedings of International Conference on Image Processing, Computer Vision, and Pattern Recognition, pp. 1-5, (2012); Pedregosa F., Varoquaux G., Gramfort A., Michel V., Thirion B., Grisel O., Blondel M., Prettenhofer P., Weiss R., Dubourg V., Et al., Scikit-learn: Machine learning in python, Journal of Machine Learning Research, 12, Oct, pp. 2825-2830, (2011); Rajaraman S., Antani S.K., Poostchi M., Silamut K., Hossain M.A., Maude R.J., Jaeger S., Thoma G.R., Pre-trained convolutional neural networks as feature extractors toward improved malaria parasite detection in thin blood smear images, PeerJ, 6, (2018); Rajaraman S., Jaeger S., Antani S.K., Performance evaluation of deep neural ensembles toward malaria parasite detection in thin-blood smear images, PeerJ, 7, (2019); Roula M., Diamond J., Bouridane A., Miller P., Amira A., A multispectral computer vision system for automatic grading of prostatic neoplasia, Proceedings IEEE International Symposium on Biomedical Imaging, pp. 193-196, (2002); Russell S., The economic burden of illness for households in developing countries: A review of studies focusing on malaria, tuberculosis, and human immunodeficiency virus/acquired immunodeficiency syndrome, The American Journal of Tropical Medicine and Hygiene, 71, pp. 147-155, (2004); Shillcutt S., Morel C., Goodman C., Coleman P., Bell D., Whitty C.J., Mills A., Cost-effectiveness of malaria diagnostic methods in sub-saharan africa in an era of combination therapy, Bulletin of the World Health Organization, pp. 101-110, (2008); Szummer M., Picard R.W., Indoor-outdoor image classification, Proceedings 1998 IEEE International Workshop on Content-Based Access of Image and Video Database, pp. 42-51, (1998); Tek F.B., Dempster A.G., Kale I., Parasite detection and identification for automated thin blood film malaria diagnosis, Computer Vision and Image Understanding, 114, 1, pp. 21-32, (2010); Giemsa Staining of Malaria Blood Films, (2018); World Malaria Report 2018, (2018)</t>
  </si>
  <si>
    <t xml:space="preserve">Davel M.; Barnard E.</t>
  </si>
  <si>
    <t xml:space="preserve">2019 South African Forum for Artificial Intelligence Research, FAIR 2019</t>
  </si>
  <si>
    <t xml:space="preserve">4 December 2019 through 6 December 2019</t>
  </si>
  <si>
    <t xml:space="preserve">Cape Town</t>
  </si>
  <si>
    <t xml:space="preserve">2-s2.0-85078327540</t>
  </si>
  <si>
    <t xml:space="preserve">Sai Bharadwaj Reddy A.; Sujitha Juliet D.</t>
  </si>
  <si>
    <t xml:space="preserve">Sai Bharadwaj Reddy, A. (57208707127); Sujitha Juliet, D. (57189716828)</t>
  </si>
  <si>
    <t xml:space="preserve">57208707127; 57189716828</t>
  </si>
  <si>
    <t xml:space="preserve">Transfer learning with RESNET-50 for malaria cell-image classification</t>
  </si>
  <si>
    <t xml:space="preserve">Malaria is an infectious disease caused by single-celled parasite of plasmodium group. The disease is more often spread by an Infected Female Anopheles mosquito. In 2017 alone 219 million cases and nearly 435,000 deaths were reported, with more than 40% of global population at risk. In spite of many advanced evaluation techniques for identifying the infection, microscopists at resource constrained regions face challenge in improving the diagnostic accuracy. Deep learning based classification of cell images prevent the wrong diagnostic decisions. This paper focuses on the implementation of Transfer learning based classification of malarial infected cells to improve the diagnostic accuracy. The experimental results show that transfer learning performs well on microscopic cell-images. © 2019 IEEE.</t>
  </si>
  <si>
    <t xml:space="preserve">Proceedings of the 2019 IEEE International Conference on Communication and Signal Processing, ICCSP 2019</t>
  </si>
  <si>
    <t xml:space="preserve">10.1109/ICCSP.2019.8697909</t>
  </si>
  <si>
    <t xml:space="preserve">https://www.scopus.com/inward/record.uri?eid=2-s2.0-85065556797&amp;doi=10.1109%2fICCSP.2019.8697909&amp;partnerID=40&amp;md5=7c143a259057588c1d76f79d7e848da2</t>
  </si>
  <si>
    <t xml:space="preserve">Karunya Institute of Technology and Sciences, Coimbatore, India</t>
  </si>
  <si>
    <t xml:space="preserve">Sai Bharadwaj Reddy A., Karunya Institute of Technology and Sciences, Coimbatore, India; Sujitha Juliet D., Karunya Institute of Technology and Sciences, Coimbatore, India</t>
  </si>
  <si>
    <t xml:space="preserve">Deep Learning; Inception model; Malaria; ResNet50 model; Transfer Learning; VGG-16 model</t>
  </si>
  <si>
    <t xml:space="preserve">Cells; Cytology; Deep learning; Diagnosis; Diseases; Anopheles mosquitoes; Diagnostic accuracy; Diagnostic decisions; Global population; Infected cells; Infectious disease; Malaria; Transfer learning; Image classification</t>
  </si>
  <si>
    <t xml:space="preserve">Malaria Fact Sheet No. 94, (2012); World Malaria Report 2016, (2016); Malaria Microscopy Quality Assurance Manual-Version 2, (2016); Moeskops P., Et al., Deep learning for multi-task medical image segmentation in multiple modalities, Medical Image, (2016); Computing and computer-assisted intervention - MICCAI, Lecture Notes in Computer Science, (2016); Maninis K.K., Pont-Tuset J., Arbelaez P., Van Gool L., Deep retinal image understanding, Medical Image Computing and Computer-Assisted Intervention - MICCAI 2016. Lecture Notes in Computer Science, (2016); Liang Z., Powell A., Ersoy I., Et al., CNN based analysis for malaria diagnosis, International Conference on Bioinformatics and Biomedicine(BIBM), pp. 493-496, (2016); Rajaraman S., Antani S.K., Poostchi M., Silamut K., Hossain M.A., Maude R.J., Jaeger S., Thoma G.R., Pre-Trained Convolutional Neural Networks as Feature Extractors Toward Improved Malaria Parasite Detection in Thin Blood Amear Images, (2018); Ersoy I., Bunyak F., Higgins J., Palaniappan K., Coupled edge profile geodesic active contours for red blood cell flow analysis,  IEEE International Symposium Biomedical Imaging, pp. 748-751, (2012); Sundermeyer M., Schluter R., Ney H., LSTM neural networks for language modeling, INTERSPEECH-2012, pp. 194-197, (2012); Paula E.L., Ladeira M., Carvalho R.N., Marzagao T., Deep learning anomaly detection as support fraud investigation in Brazilian exports and anti-money laundering,  IEEE International Conference on Machine Learning and Applications (ICMLA), pp. 954-960, (2016); Young T., Hazarika D., Poria S., Cambria E., Recent trends in deep learning based natural language processing [Review article], IEEE Computational Intelligence Magazine, 13, 3, pp. 55-75, (2018); Ravi D., Et al., Deep learning for health informatics, IEEE Journal of Biomedical and Health Informatics, 21, 1, pp. 4-21, (2017); Zanaty E.A., Support vector machines (SVNs) versus Multilayer Perception (MLP) in data classification, Egyptian Informatics Journal, 13, 3, pp. 177-183, (2012); Vehbi Olgac A., Karlik B., Performance analysis of various activation functions in generalized MLP architectures of neural networks, International Journal of Artificial Intelligence and Expert Systems, 1, pp. 111-122, (2011); Hochreiter S., Recurrent neural net learning and vanishing gradient, International Journal of Uncertainity, Fuzziness and Knowledge-Based Systems, 6, 2, pp. 107-116, (1998); Pascanu R., Mikolov T., Bengio Y., Understanding the exploding gradient problem, CoRR, 2, (2012); Yosinski J., Clune J., Bengio Y., Lipson H., How transferable are features in deep neural networks?, Advances in Neural Information Processing Systems 27 (NIPS'14), (2014); Quattoni A., Collins M., Darrell T., Transfer learning for image classification with sparse prototype representations, In2008 IEEE Conference on Computer Vision and Pattern Recognition, 23, pp. 1-8, (2008); Zhu Y., Chen Y., Lu Z., Pan S.J., Xue G.R., Yu Y., Yang Q., Heterogenous transfer learning for image classificaion, InTwenty-Fifth AAAI Conference on Artificial Intelligence, (2011); Simonyan K., Zisserman A., Very Deep Convolutional Networks for Large-Scale Image Recognition; Szegedy C., Vanhoucke V., Ioffe S., Shlens J., Wojna Z., Rethinking the inception architecture for computer vision, InProceedings of the IEEE Conference on Computer Vision and Pattern Recognition, pp. 2818-2826, (2016); He K., Zhang X., Ren S., Sun J., Deep residual learning for image recognition, InProceedings of the IEEE Conference on Computer Vision and Pattern Recognition, pp. 770-778, (2016); Chollet F., Xception: Deep learning with depthwise separable convolutions, InProceedings of the IEEE Conference on Computer Vision and Pattern Recognition, pp. 1251-1258, (2017); Ghazi M.M., Yanikoglu B., Aptoula E., Plant identification using deep neural networks via optimization of transfer learning parameters, Neurocomputing, 235, pp. 228-235, (2017); Conneau A., Schwenk H., Barrault L., Lecun Y., Very Deep Convolutional Networks for Text Classification, (2016); Habibzadeh M., Jannesari M., Rezaei Z., Baharvand H., Totonchi M., Automatic white blood cell classification using pre-trained deep learning models: Resnet and inception, InTenth International Conference on Machine Vision (ICMV 2017), 10696, (2018); Wichrowska O., Maheswaranathan N., Hoffman M.W., Colmenarejo S.G., Denil M., De Freitas N., Sohl-Dickstein J., Learned optimizers that scale and generalize, InProceedings of the 34th International Conference on Machine Learning-, 70, pp. 3751-3760, (2017); Keskar N.S., Socher R., Improving Generalization Performance by Switching from Adam to Sgd, (2017); Rosasco L., Vito E.D., Caponnetto A., Piana M., Verri A., Are loss functions all the same?, Neural Computation, 16, 5, pp. 1063-1076, (2004); Reyes A.K., Caicedo J.C., Camargo J.E., Fine-tuning deep convolutional networks for plant recognition, CLEF (Working Notes), (2015)</t>
  </si>
  <si>
    <t xml:space="preserve">8th IEEE International Conference on Communication and Signal Processing, ICCSP 2019</t>
  </si>
  <si>
    <t xml:space="preserve">4 April 2019 through 6 April 2019</t>
  </si>
  <si>
    <t xml:space="preserve">Melmaruvathur</t>
  </si>
  <si>
    <t xml:space="preserve">978-153867595-3</t>
  </si>
  <si>
    <t xml:space="preserve">Proc. IEEE Int. Conf. Commun. Signal Process., ICCSP</t>
  </si>
  <si>
    <t xml:space="preserve">2-s2.0-85065556797</t>
  </si>
  <si>
    <t xml:space="preserve">Rosnelly R.; Wahyuni L.</t>
  </si>
  <si>
    <t xml:space="preserve">Rosnelly, Rika (57193321318); Wahyuni, Linda (57200216819)</t>
  </si>
  <si>
    <t xml:space="preserve">57193321318; 57200216819</t>
  </si>
  <si>
    <t xml:space="preserve">Tropical Diseases Identification Using Neural Network Adaptive Resonance Theory 2</t>
  </si>
  <si>
    <t xml:space="preserve">The diagnosis of tropical diseases carried out by a doctor to determine medical treatment for patients must be done carefully and accurately. Errors in diagnosis can be fatal and dangerous for patients. Tropical diseases are discussed in this study are malaria, dengue fever and typhoid. These three diseases have some similar symptoms, so doctors often make mistakes in conducting the initial diagnosis for the patients. To solve this problem, the authors conducted a study by implementing Artificial Neural Networks Adaptive Resonance Theory 2 which can be done simply by entering the data of the same symptoms of the three tropical diseases. This data is then trained by using the model and compared with the data of symptoms experienced by the patients to determine the tropical diseases suffered. The advantage of this method is the use of the new data does not defect the old data [6]. The application of the method has been tested by using several real cases with a success rate of 91,67 %. © 2018 IEEE.</t>
  </si>
  <si>
    <t xml:space="preserve">2018 6th International Conference on Cyber and IT Service Management, CITSM 2018</t>
  </si>
  <si>
    <t xml:space="preserve">10.1109/CITSM.2018.8674364</t>
  </si>
  <si>
    <t xml:space="preserve">https://www.scopus.com/inward/record.uri?eid=2-s2.0-85064337314&amp;doi=10.1109%2fCITSM.2018.8674364&amp;partnerID=40&amp;md5=65110d78907d0d0390e3680018164bd2</t>
  </si>
  <si>
    <t xml:space="preserve">Faculty of Engineering and Computer Science, Universitas Potensi Utama, Jl. K.L. Yos Sudarso Km 6,5 No. 3A, Medan, 20241, Indonesia</t>
  </si>
  <si>
    <t xml:space="preserve">Rosnelly R., Faculty of Engineering and Computer Science, Universitas Potensi Utama, Jl. K.L. Yos Sudarso Km 6,5 No. 3A, Medan, 20241, Indonesia; Wahyuni L., Faculty of Engineering and Computer Science, Universitas Potensi Utama, Jl. K.L. Yos Sudarso Km 6,5 No. 3A, Medan, 20241, Indonesia</t>
  </si>
  <si>
    <t xml:space="preserve">component; formatting; insert (key words); style; styling</t>
  </si>
  <si>
    <t xml:space="preserve">Diagnosis; Neural networks; Patient treatment; Tropics; component; formatting; Insert (key words); style; styling; Diseases</t>
  </si>
  <si>
    <t xml:space="preserve">Kurniawati D.O., Hidayat R., Hantono B.S., Diagnosis Penyakit Pasien Menggunakan Sistem Neuro Fuzzy Berbasis Sistem Informasi Rekam Medis dan Pemeriksaan Laboratorium, (2014); Anggraini D., Nugroho A.S., Pratama C., Rozi I.E., Automated status identification of microscopic images obtained from malaria thin blood smears, International Conference on Electrical Engineering and Informatics, Bandung, (2011); Asriani F., Susilawati H., Harvianti L., Prediksi Penyakit Demam Berdarah dan Tifus Menggunakan Jaringan Syaraf Tiruan Perambatan Balik (Back Propagation, Dinamika Rekayasa, 3, 1, (2007); Fausett L., Fundamentals of Neural Networks, (1994); Sistem Cerdas Diagnosa Penyakit Dalam Menggunakan Jaringan Syaraf Tiruan Menggunakan Metode Perceptron, Jurnl IPTEKS Terapan, ISSN : 1979-9292, E-ISSN, pp. 2460-5611, (2017); Maltarollo V.G., Honorio K.M., Ferreira Da Silva A.B., Applications of Artificial Neural Networks in Chemical Problems, (2013); Murray P.R., Medical Microbiology, (2008); Williams S.O., Olatunji O.M., Hybrid intelligent system for diagnosis of typoid fever, Journal of Computer Engineering &amp; Information Technology, 2, 2, (2013); World Malaria Report, (2009)</t>
  </si>
  <si>
    <t xml:space="preserve">6th International Conference on Cyber and IT Service Management, CITSM 2018</t>
  </si>
  <si>
    <t xml:space="preserve">7 August 2018 through 9 August 2018</t>
  </si>
  <si>
    <t xml:space="preserve">Parapat</t>
  </si>
  <si>
    <t xml:space="preserve">978-153865433-0</t>
  </si>
  <si>
    <t xml:space="preserve">Int. Conf. Cyber IT Serv. Manag., CITSM</t>
  </si>
  <si>
    <t xml:space="preserve">2-s2.0-85064337314</t>
  </si>
  <si>
    <t xml:space="preserve">Maity M.; Gantait K.; Mukherjee A.; Chatterjee J.</t>
  </si>
  <si>
    <t xml:space="preserve">Maity, Maitreya (55584286300); Gantait, Kripasindhu (54953283100); Mukherjee, Anirban (55796079000); Chatterjee, Jyotirmoy (7006723957)</t>
  </si>
  <si>
    <t xml:space="preserve">55584286300; 54953283100; 55796079000; 7006723957</t>
  </si>
  <si>
    <t xml:space="preserve">Visible spectrum-based classification of malaria blood samples on handheld spectrometer</t>
  </si>
  <si>
    <t xml:space="preserve">Malaria diagnosis using computational approach offers a potential solution to the shortcomings of labour intensive, manual microscopic examination. In this paper, an alternative diagnostic method is introduced for malaria diagnosis directly from blood serum. A light spectrometer prototype is developed which can capture electromagnetic spectrum data (340-850 nm) from blood serum. Unlike manual microscopy where sample preparation or blood smear is a methodical process, the proposed device works on the serum which is quite easy to extract. The proposed device is a low-cost design which can be employed in the field for mass screening. The essential electronic components like light source, micro-spectrometer sensor, microcontroller board, etc. are fabricated into a small 100\times85\times80 mm3 handheld model. A dedicated stand-alone software and smartphone app are developed to communicate, data acquisition, plot and classify spectral data. For classification, Artificial Neural Network (ANN) and Support Vector Machine (SVM) classifiers are adopted. Both classifiers perform satisfactorily with an accuracy of 100% to identify malaria-infected blood samples. The proposed spectrometer will be a logical alternative for first-aid malaria diagnosis. © 2019 IEEE.</t>
  </si>
  <si>
    <t xml:space="preserve">I2MTC 2019 - 2019 IEEE International Instrumentation and Measurement Technology Conference, Proceedings</t>
  </si>
  <si>
    <t xml:space="preserve">10.1109/I2MTC.2019.8826860</t>
  </si>
  <si>
    <t xml:space="preserve">https://www.scopus.com/inward/record.uri?eid=2-s2.0-85072844219&amp;doi=10.1109%2fI2MTC.2019.8826860&amp;partnerID=40&amp;md5=105b7b74b807f05fb29bbee337ae59e2</t>
  </si>
  <si>
    <t xml:space="preserve">School of Medical Science and Technology, Indian Institute of Technology Kharagpur, Kharagpur, India; Department of Medicine, Midnapore Medical College and Hospital, Midnapore, India</t>
  </si>
  <si>
    <t xml:space="preserve">Maity M., School of Medical Science and Technology, Indian Institute of Technology Kharagpur, Kharagpur, India; Gantait K., School of Medical Science and Technology, Indian Institute of Technology Kharagpur, Kharagpur, India; Mukherjee A., Department of Medicine, Midnapore Medical College and Hospital, Midnapore, India; Chatterjee J., School of Medical Science and Technology, Indian Institute of Technology Kharagpur, Kharagpur, India</t>
  </si>
  <si>
    <t xml:space="preserve">Classification; Malaria; Serum; Spectroscopy</t>
  </si>
  <si>
    <t xml:space="preserve">Application programs; Classification (of information); Data acquisition; Diseases; Light sources; Neural networks; Spectrometers; Spectroscopy; Support vector machines; Computational approach; Electromagnetic spectra; Electronic component; Hand-held spectrometers; Malaria; Microcontroller boards; Serum; Stand-alone software; Blood</t>
  </si>
  <si>
    <t xml:space="preserve">World Malaria Report 2015, (2016); Sahu S.S., Gunasekaran K., Jambulingam P., Field performance of malaria rapid diagnostic test for the detection of plasmodium falciparum infection in odisha state, India, The Indian Journal of Medical Research, 142, (2015); Cho S., Kim S., Kim Y., Park Y., Optical imaging techniques for the study of malaria, Trends in Biotechnology, 30, 2, pp. 71-79, (2012); Campbell C., Tromberg B.J., O'Sullivan T.D., Toward noninvasive detection and monitoring of malaria with broadband diffuse optical spectroscopy, Optical Diagnostics and Sensing XVIII: Toward Pointof-Care Diagnostics, (2018); Khoshmanesh A., Dixon M.W.A., Kenny S., Tilley L., McNaughton D., Wood B.R., Detection and quantification of early-stage malaria parasites in laboratory infected erythrocytes by attenuated total reflectance infrared spectroscopy and multivariate analysis, Analytical Chemistry, 86, 9, pp. 4379-4386, (2014); Mattley Y.D., Mitrani-Gold F., Orton S., Bacon C.P., Leparc G.F., Bayona M., Potter R.L., Garcia-Rubio L.H., Blood characterization using uv/vis spectroscopy, Advances in Fluorescence Sensing Technology II, pp. 462-471, (1995); Serebrennikova Y.M., Huffman D.E., Garcia-Rubio L.H., Characterization of red blood cells with multiwavelength transmission spectroscopy, BioMed Research International, 2015, (2015); Grzegorzewski B., Peresunko O.P., Yermolenko S.B., Complex polarimetric and spectral techniques in diagnostics of blood plasma of patients with ovarian cancer as a preliminary stage molecular genetic screening, Thirteenth International Conference on Correlation Optics, (2018); Mordechai S., Shufan E., Katz B.S.P., Salman A., Early diagnosis of Alzheimer's disease using infrared spectroscopy of isolated blood samples followed by multivariate analyses, Analyst, 142, 8, pp. 1276-1284, (2017); Gunasekaran S., Uthra D., Ftir and uv-visible spectral study on normal and jaundice blood samples, Asian Journal of Chemistry, 20, 7, (2008); Li H., Sun M., Xiang Z., Lin L., Qin C., Li Y., Identification of blood species based on diffuse reflectance and transmission joint spectra with machine learning method, Infrared Physics and Technology, 88, 1, pp. 200-205, (2018); Peng Y., Shi C., Xu M., Kou T., Zhu Y., Qualitative and quantitative identification of components in mixture by terahertz spectroscopy, IEEE Transactions on Terahertz Science and Technology, (2018); Das A.J., Wahi A., Kothari I., Raskar R., Ultra-portable, wireless smartphone spectrometer for rapid, non-destructive testing of fruit ripeness, Scientific Reports, 6, (2016); Edelman G.J., Roos M., Bolck A., Aalders M.C., Practical implementation of blood stain age estimation using spectroscopy, IEEE Journal of Selected Topics in Quantum Electronics, 22, 3, pp. 415-421, (2016); Bakar N.A., Abu-Siada A., A new method to detect dissolved gases in transformer oil using nir-ir spectroscopy, IEEE Transactions on Dielectrics and Electrical Insulation, 24, 1, pp. 409-419, (2017); Chawla N.V., Bowyer K.W., Hall L.O., Kegelmeyer W.P., Smote: Synthetic minority over-sampling technique, Journal of Artificial Intelligence Research, 16, pp. 321-357, (2002); Hall M.A., Correlation-based feature subset selection for machine learning, Thesis Submitted in Partial Fulfillment of the Requirements of the Degree of Doctor of Philosophy at the University of Waikato, (1998); Han J., Pei J., Kamber M., Data Mining: Concepts and Techniques, (2011); Swinehart D.F., The beer-lambert law, Journal of Chemical Education, 39, 7, (1962); Kingma D.P., Ba J., Adam: A Method for Stochastic Optimization, (2014); Cohen J., A coefficient of agreement for nominal scales, Educational and Psychological Measurement, 20, 1, pp. 37-46, (1960); Baldi P., Brunak S., Chauvin Y., Andersen C.A.F., Nielsen H., Assessing the accuracy of prediction algorithms for classification: An overview, Bioinformatics, 16, 5, pp. 412-424, (2000)</t>
  </si>
  <si>
    <t xml:space="preserve">100% Pure New Zealand; IEEE; IEEE Instrumentation and Measurement Society</t>
  </si>
  <si>
    <t xml:space="preserve">2019 IEEE International Instrumentation and Measurement Technology Conference, I2MTC 2019</t>
  </si>
  <si>
    <t xml:space="preserve">20 May 2019 through 23 May 2019</t>
  </si>
  <si>
    <t xml:space="preserve">Auckland</t>
  </si>
  <si>
    <t xml:space="preserve">978-153863460-8</t>
  </si>
  <si>
    <t xml:space="preserve">IEEE Int. Instrum. Meas. Technol. Conf., I2MTC - Proc.</t>
  </si>
  <si>
    <t xml:space="preserve">2-s2.0-85072844219</t>
  </si>
  <si>
    <t xml:space="preserve">Sadegh Riazi M.; Samragh M.; Lauter K.; Chen H.; Koushanfar F.; Laine K.</t>
  </si>
  <si>
    <t xml:space="preserve">Sadegh Riazi, M. (57190379010); Samragh, Mohammad (57195397854); Lauter, Kristin (6603558095); Chen, Hao (57195221007); Koushanfar, Farinaz (6602459029); Laine, Kim (56682667100)</t>
  </si>
  <si>
    <t xml:space="preserve">57190379010; 57195397854; 6603558095; 57195221007; 6602459029; 56682667100</t>
  </si>
  <si>
    <t xml:space="preserve">Xonn: XNOR-based oblivious deep neural network inference</t>
  </si>
  <si>
    <t xml:space="preserve">Advancements in deep learning enable cloud servers to provide inference-as-a-service for clients. In this scenario, clients send their raw data to the server to run the deep learning model and send back the results. One standing challenge in this setting is to ensure the privacy of the clients' sensitive data. Oblivious inference is the task of running the neural network on the client's input without disclosing the input or the result to the server. This paper introduces XONN (pronounced /z2n/), a novel end-to-end framework based on Yao's Garbled Circuits (GC) protocol, that provides a paradigm shift in the conceptual and practical realization of oblivious inference. In XONN, the costly matrix-multiplication operations of the deep learning model are replaced with XNOR operations that are essentially free in GC. We further provide a novel algorithm that customizes the neural network such that the runtime of the GC protocol is minimized without sacrificing the inference accuracy. We design a user-friendly high-level API for XONN, allowing expression of the deep learning model architecture in an unprecedented level of abstraction. We further provide a compiler to translate the model description from high-level Python (i.e., Keras) to that of XONN. Extensive proof-of-concept evaluation on various neural network architectures demonstrates that XONN outperforms prior art such as Gazelle (USENIX Security'18) by up to 7×, MiniONN (ACM CCS'17) by 93×, and SecureML (IEEE S&amp;P'17) by 37×. State-of-the-art frameworks require one round of interaction between the client and the server for each layer of the neural network, whereas, XONN requires a constant round of interactions for any number of layers in the model. XONN is first to perform oblivious inference on Fitnet architectures with up to 21 layers, suggesting a new level of scalability compared with state-of-the-art. Moreover, we evaluate XONN on four datasets to perform privacy-preserving medical diagnosis. The datasets include breast cancer, diabetes, liver disease, and Malaria. © 2019 by The USENIX Association. All rights reserved.</t>
  </si>
  <si>
    <t xml:space="preserve">Proceedings of the 28th USENIX Security Symposium</t>
  </si>
  <si>
    <t xml:space="preserve">USENIX Association</t>
  </si>
  <si>
    <t xml:space="preserve">https://www.scopus.com/inward/record.uri?eid=2-s2.0-85069494889&amp;partnerID=40&amp;md5=9ec4e765439bea90b768f53f239b2993</t>
  </si>
  <si>
    <t xml:space="preserve">UC San Diego, United States; Microsoft Research</t>
  </si>
  <si>
    <t xml:space="preserve">Sadegh Riazi M., UC San Diego, United States; Samragh M., UC San Diego, United States; Lauter K., Microsoft Research; Chen H., Microsoft Research; Koushanfar F., UC San Diego, United States; Laine K., Microsoft Research</t>
  </si>
  <si>
    <t xml:space="preserve">Arts computing; Diagnosis; Diseases; Inference engines; Multilayer neural networks; Network architecture; Network security; Garbled circuits; Level of abstraction; Matrix multiplication operation; Model description; Number of layers; Privacy preserving; Proof of concept; State of the art; Deep neural networks</t>
  </si>
  <si>
    <t xml:space="preserve">Tramer F., Zhang F., Juels A., Reiter M.K., Ristenpart T., Stealing machine learning models via prediction APIs, USENIX Security, (2016); Brakerski Z., Vaikuntanathan V., Efficient fully homomorphic encryption from (standard) lwe, SIAM Journal on Computing, 43, 2, pp. 831-871, (2014); Brakerski Z., Gentry C., Vaikuntanathan V., (Leveled) fully homomorphic encryption without bootstrapping, ACM Transactions on Computation Theory (TOCT), 6, 3, (2014); Yao A., How to generate and exchange secrets, FOCS, (1986); Goldreich O., Micali S., Wigderson A., How to play any mental game, Proceedings of the Nineteenth Annual ACM Symposium on Theory of Computing, pp. 218-229, (1987); Paillier P., Public-key cryptosystems based on composite degree residuosity classes, International Conference on the Theory and Applications of Cryptographic Techniques, pp. 223-238, (1999); Sadegh Riazi M., Weinert C., Tkachenko O., Songhori E.M., Schneider T., Koushanfar F., Chameleon: A hybrid secure computation framework for machine learning applications, ASIACCS'18, (2018); Mohassel P., Zhang Y., SecureML: A system for scalable privacy-preserving machine learning, IEEE S&amp;P, (2017); Liu J., Juuti M., Lu Y., Asokan N., Oblivious neural network predictions via MiniONN transformations, ACM CCS, (2017); Juvekar C., Vaikuntanathan V., Chandrakasan A., Gazelle: A low latency framework for secure neural network inference, USENIX Security, (2018); Szegedy C., Liu W., Jia Y., Sermanet P., Reed S., Anguelov D., Erhan D., Vanhoucke V., Rabinovich A., Et al., Going deeper with convolutions, CVPR, (2015); Kolesnikov V., Schneider T., Improved garbled circuit: Free XOR gates and applications, ICALP, (2008); Rouhani B.D., Sadegh Riazi M., Koushanfar F., DeepSecure: Scalable provably-secure deep learning, DAC, (2018); Dowlin N., Gilad-Bachrach R., Laine K., Lauter K., Naehrig M., Wernsing J., Cryptonets: Applying neural networks to encrypted data with high throughput and accuracy, ICML, (2016); Rabin M.O., How to exchange secrets with oblivious transfer, IACR Cryptology ePrint Archive, (2005); Ishai Y., Kilian J., Nissim K., Petrank E., Extending oblivious transfers efficiently, Annual International Cryptology Conference, pp. 145-161, (2003); Beaver D., Correlated pseudorandomness and the complexity of private computations, STOC, (1996); Asharov G., Lindell Y., Schneider T., Zohner M., More efficient oblivious transfer and extensions for faster secure computation, ACM CCS, (2013); Courbariaux M., Hubara I., Soudry D., El-Yaniv R., Bengio Y., Binarized Neural Networks: Training Deep Neural Networks with Weights and Activations Constrained to+ 1 or-1, (2016); Rastegari M., Ordonez V., Redmon J., Farhadi A., XNOR-Net: Imagenet classification using binary convolutional neural networks, European Conference on Computer Vision, pp. 525-542, (2016); Ghasemzadeh M., Samragh M., Koushanfar F., RebNet: Residual binarized neural network, 2018 IEEE 26th Annual International Symposium on Field-Programmable Custom Computing Machines (FCCM), pp. 57-64, (2018); Lin X., Zhao C., Pan W., Towards accurate binary convolutional neural network, Advances in Neural Information Processing Systems, pp. 345-353, (2017); Han S., Pool J., Tran J., Dally W., Learning both weights and connections for efficient neural network, Advances in Neural Information Processing Systems, pp. 1135-1143, (2015); Molchanov P., Tyree S., Karras T., Aila T., Kautz J., Pruning Convolutional Neural Networks for Resource Efficient Inference, (2016); Chandran N., Gupta D., Rastogi A., Sharma R., Tripathi S., EZPC: Programmable, efficient, and scalable secure two-party computation, IACR Cryptology ePrint Archive, (2017); Lindell Y., Pinkas B., A proof of security of Yao's protocol for two-party computation, Journal of Cryptology, 22, 2, pp. 161-188, (2009); Fredrikson M., Jha S., Ristenpart T., Model inversion attacks that exploit confidence information and basic countermeasures, ACM CCS. ACM, (2015); Shokri R., Stronati M., Song C., Shmatikov V., Membership inference attacks against machine learning models, S&amp;P, (2017); Lindell Y., Pinkas B., Secure two-party computation via cut-and-choose oblivious transfer, Journal of Cryptology, 25, 4, pp. 680-722, (2012); Huang Y., Katz J., Evans D., Efficient secure two-party computation using symmetric cut-and-choose, Advances in Cryptology-CRYPTO 2013, pp. 18-35, (2013); Lindell Y., Fast cut-and-choose-based protocols for malicious and covert adversaries, Journal of Cryptology, 29, 2, pp. 456-490, (2016); Bellare M., Hoang V.T., Keelveedhi S., Rogaway P., Efficient garbling from a fixed-key block-cipher, IEEE S&amp;P, (2013); Naor M., Pinkas B., Sumner R., Privacy preserving auctions and mechanism design, ACM Conference on Electronic Commerce, (1999); Zahur S., Rosulek M., Evans D., Two halves make a whole, EUROCRYPT, (2015); Rindal P., libOTe: An Efficient, Portable, and Easy to Use Oblivious Transfer Library; Songhori E.M., Hussain S.U., Sadeghi A.-R., Schneider T., Koushanfar F., TinyGarble: Highly compressed and scalable sequential garbled circuits, IEEE S&amp;P, (2015); Chollet F., Et al., Keras, (2015); Hesamifard E., Takabi H., Ghasemi M., Wright R.N., Privacy-preserving machine learning as a service, Proceedings on Privacy Enhancing Technologies, 3, pp. 123-142, (2018); Chou E., Beal J., Levy D., Yeung S., Haque A., Fei-Fei L., Faster CryptoNets: Leveraging Sparsity for Real-World Encrypted Inference, (2018); Shokri R., Shmatikov V., Privacy-preserving deep learning, ACM CCS, (2015); Hitaj B., Ateniese G., Perez-Cruz F., Deep models under the GAN: Information leakage from collaborative deep learning, ACM CCS, (2017); Bonawitz K., Ivanov V., Kreuter B., Marcedone A., Brendan McMahan H., Patel S., Ramage D., Segal A., Seth K., Practical secure aggregation for privacy-preserving machine learning, ACM CCS, (2017); Sadegh Riazi M., Rouhani B.D., Koushanfar F., Deep learning on private data, IEEE Security and Privacy (S&amp;P) Magazine, (2019); Sadegh Riazi M., Koushanfar F., Privacy-preserving deep learning and inference, Proceedings of the International Conference on Computer-Aided Design, (2018); Mohassel P., Rindal P., ABY3: A mixed protocol framework for machine learning, ACM CCS, (2018); Wagh S., Gupta D., Chandran N., SecureNN: Efficient and Private Neural Network Training, (2018); Jiang X., Kim M., Lauter K., Song Y., Secure outsourced matrix computation and application to neural networks, ACM CCS, (2018); Sanyal A., Kusner M., Gascon A., Kanade V., Tapas: Tricks to accelerate (encrypted) prediction as a service, International Conference on Machine Learning, pp. 4497-4506, (2018); Ben-Efraim A., Lindell Y., Omri E., Optimizing semi-honest secure multiparty computation for the internet, Proceedings of the 2016 ACM SIGSAC Conference on Computer and Communications Security, pp. 578-590, (2016); Brakerski Z., Fully homomorphic encryption without modulus switching from classical gapsvp, Advances in Cryptology-Crypto 2012, pp. 868-886, (2012); Fan J., Vercauteren F., Somewhat practical fully homomorphic encryption, IACR Cryptology ePrint Archive, (2012); Abadi M., Barham P., Chen J., Chen Z., Davis A., Dean J., Devin M., Ghemawat S., Irving G., Isard M., Kudlur M., Levenberg J., Monga R., Moore S., Murray D.G., Steiner B., Tucker P.A., Vasudevan V., Warden P., Wicke M., Yu Y., Zheng X., TensorFlow: A system for large-scale machine learning, Operating Systems Design and Implementation (OSDI), (2016); Romero A., Ballas N., Kahou S.E., Chassang A., Gatta C., Bengio Y., Fitnets: Hints for Thin Deep Nets, (2014); Simonyan K., Zisserman A., Very Deep Convolutional Networks for Large-Scale Image Recognition, (2014); Esteva A., Robicquet A., Ramsundar B., Kuleshov V., DePristo M., Chou K., Cui C., Corrado G., Thrun S., Dean J., A guide to deep learning in healthcare, Nature Medicine, 25, 1, (2019); Esteva A., Kuprel B., Novoa R.A., Ko J., Swetter S.M., Blau H.M., Thrun S., Dermatologist-level classification of skin cancer with deep neural networks, Nature, 542, 7639, (2017); Alipanahi B., Delong A., Weirauch M.T., Frey B.J., Predicting the sequence specificities of DNA- And RNA-binding proteins by deep learning, Nature Biotechnology, 33, 8, (2015); Rajkomar A., Oren E., Chen K., Dai A.M., Hajaj N., Hardt M., Liu P.J., Liu X., Marcus J., Sun M., Et al., Scalable and accurate deep learning with electronic health records, Npj Digital Medicine, 1, 1, (2018)</t>
  </si>
  <si>
    <t xml:space="preserve">Avast; et al.; Facebook; Intel; Microsoft; The USENIX Association</t>
  </si>
  <si>
    <t xml:space="preserve">28th USENIX Security Symposium</t>
  </si>
  <si>
    <t xml:space="preserve">14 August 2019 through 16 August 2019</t>
  </si>
  <si>
    <t xml:space="preserve">978-193913306-9</t>
  </si>
  <si>
    <t xml:space="preserve">Proc. USENIX Secur. Symp.</t>
  </si>
  <si>
    <t xml:space="preserve">2-s2.0-85069494889</t>
  </si>
  <si>
    <t xml:space="preserve">Rubio-Solis A.; Massoni T.; Musah A.; Birjovanu G.; Dos Santos W.P.; Kostkova P.</t>
  </si>
  <si>
    <t xml:space="preserve">Rubio-Solis, Adrian (56431209300); Massoni, Tiago (8327557600); Musah, Anwar (57210998260); Birjovanu, Georgiana (57212407134); Dos Santos, Wellington P. (57193746428); Kostkova, Patty (6506790018)</t>
  </si>
  <si>
    <t xml:space="preserve">56431209300; 8327557600; 57210998260; 57212407134; 57193746428; 6506790018</t>
  </si>
  <si>
    <t xml:space="preserve">Zika virus: Prediction of Aedes Mosquito Larvae Occurrence in Recife (Brazil) using online extreme learning machine and neural networks</t>
  </si>
  <si>
    <t xml:space="preserve">Geographical maps showing the abundance of the Aedes species (A. Aegypti and A. Albopictus) in Latin America plays a crucial role in the fight against the Zika Virus (ZIKV). They aid in the identification of sites that promotes mosquito breeding and transmission of ZIKV. In the case of Brazil, one of the greatest factors that favours rapid mosquito reproduction is the presence of stagnated water in the environment. This could be in the form of non-flowing water filled in tanks, barrels, discarded tires, and many other containers situated in human dwellings. After the ZIKV outbreak from 2015, the environmental agency in Brazil have intensively been engaged with routine surveillance of water bodies present in households and the environment to destroy mosquito breeding hotspots as public health measure to prevent vector-to-human transmission of ZIKV. The objective of this study is to use data from their routine surveillance to showcase how our predictive framework based on Neural Networks and Online Extreme Learning Machine (OELM) can predict for Recife (Brazil) at a health district-level the following: firstly, the spatial distribution of the number of properties with water containers contaminated with the Aedes mosquito larvae responsible for ZIKV; and secondly, the spatial distribution of properties with the Aedes mosquito larvae stratified by type of water container. The ultimate goal for this research is to subsequently implement these models to their real-time surveillance data so as an early warning system is present to identify spatially the mosquito hotspots and provide an early warning. This system will be built to guide policy makers for directing resources for controlling the mosquito populations thereby limiting transmission to humans. © 2019 Association for Computing Machinery.</t>
  </si>
  <si>
    <t xml:space="preserve">10.1145/3357729.3357738</t>
  </si>
  <si>
    <t xml:space="preserve">https://www.scopus.com/inward/record.uri?eid=2-s2.0-85076611670&amp;doi=10.1145%2f3357729.3357738&amp;partnerID=40&amp;md5=30b26a7ad421a4f8d9d812a9193e3014</t>
  </si>
  <si>
    <t xml:space="preserve">Center for Engineering and Industrial Development- CIDESI, Mexico, Mexico; Department of Systems and Computing, Federal University of Campina, Brazil; IRDR Centre for Digital Public Health in Emergencies (dPHE), University College London (UCL), London, United Kingdom; Department of Biomedical Engineering, Federal University, Pernambuco, Brazil</t>
  </si>
  <si>
    <t xml:space="preserve">Rubio-Solis A., Center for Engineering and Industrial Development- CIDESI, Mexico, Mexico; Massoni T., Department of Systems and Computing, Federal University of Campina, Brazil; Musah A., IRDR Centre for Digital Public Health in Emergencies (dPHE), University College London (UCL), London, United Kingdom; Birjovanu G., IRDR Centre for Digital Public Health in Emergencies (dPHE), University College London (UCL), London, United Kingdom; Dos Santos W.P., Department of Biomedical Engineering, Federal University, Pernambuco, Brazil; Kostkova P., IRDR Centre for Digital Public Health in Emergencies (dPHE), University College London (UCL), London, United Kingdom</t>
  </si>
  <si>
    <t xml:space="preserve">Classification; Extreme Learning Machines; Fuzzy Logic; Neural Networks; Online Learning; Regression; ZIKA virus (ZIKV)</t>
  </si>
  <si>
    <t xml:space="preserve">Cell proliferation; Classification (of information); Computer viruses; Facsimile; Fuzzy logic; Fuzzy neural networks; Knowledge acquisition; Machine learning; Monitoring; Neural networks; Public health; Spatial distribution; Viruses; Water tanks; Early Warning System; Environmental agency; Extreme learning machine; Mosquito populations; Online learning; Real-time surveillance; Regression; ZIKA virus (ZIKV); E-learning</t>
  </si>
  <si>
    <t xml:space="preserve">Basso C., Caffera R.M., Da Rosa G., Lairihoy R., Gonzalez C., Norbis W., Roche I., Mosquito-Producing Containers, Spatial Distribution, and Relationship between Aedes aegypti Population Indices on the Southern Boundary of its Distribution in South America (Salto, Uruguay), The American Journal of Tropical Medicine and Hygiene, 87, 6, pp. 1083-1088, (2012); Beltran J.D., Boscor A., Dos Santos W.P., Massoni T., Kostkova P., Zika: A New System to Empower Health Workers and Local Communities to Improve Surveillance Protocols by E-learning and to Forecast Zika Virus in Real Time in Brazil, Proceedings of the 2018 International Conference on Digital Health, pp. 90-94, (2018); Benelli G., Mehlhorn H., Declining malaria, rising of Dengue and Zika virus: Insights for mosquito vector control, Parasitology Research, 115, 5, pp. 1747-1754, (2016); Calheiros R.V., Zawadzki I., Reflectivity-rain rate relationships for radar hydrology in Brazil, Journal of Climate and Applied Meteorology, 26, 1, pp. 118-132, (1987); Nunes De Lima-Camara T., Alves Honorio N., Climate change and its effect on urban mosquitoes in South America, Climate Change Impacts on Urban Pests, 10, (2016); De Quincey E., Kostkova P., Early warning and outbreak detection using social networking websites: The potential of twitter, International Conference on Electronic Healthcare, pp. 21-24, (2009); Fauci A.S., Morens D.M., Zika virus in the Americas-yet another arbovirus threat, New England Journal of Medicine, 374, 7, pp. 601-604, (2016); Fuller T.L., Calvet G., Estevam C.G., Et al., Behavioral, climatic, and environmental risk factors for Zika and Chikungunya virus infections in Rio de Janeiro, Brazil, 2015-16, PloS ONE, 12, 11; Fuller T.L., Calvet G., Estevam C.G., Angelo J.R., Abiodun G.J., Halai U.-A., De Santis B., Sequeira P.C., Araujo E.M., Sampaio S.A., Et al., Behavioral, climatic, and environmental risk factors for Zika and Chikungunya virus infections in Rio de Janeiro, Brazil, 2015-16, PloS One, 12, 11, (2017); Gulland A., WHO Urges Countries in Dengue Belt to Look out for Zika, (2016); Heukelbach J., Alencar C.H., Kelvin A.A., De Oliveira W.K., De Goes Cavalcanti L.P., Zika virus outbreak in Brazil, The Journal of Infection in Developing Countries, 10, pp. 116-120, (2016); Huang G.-B., Zhu Q.-Y., Siew C.-K., Et al., Extreme learning machine: A new learning scheme of feedforward neural networks, Neural Networks, 2, pp. 985-990, (2004); Javed F., Manzoor K.N., Ali M., Haq I.U., Khan A.A., Zaib A., Manzoor S., Zika virus: What we need to know?, Journal of Basic Microbiology, 58, 1, pp. 3-16, (2018); Jun W., Shitong W., Fu-Lai C., Positive and negative fuzzy rule system, extreme learning machine and image classification, International Journal of Machine Learning and Cybernetics, 2, 4, pp. 261-271, (2011); Kamal M., Kenawy M.A., Rady M.H., Khaled A.S., Samy A.M., Mapping the global potential distributions of two arboviral vectors Aedes aegypti and Ae. Albopictus under changing climate, PloS One, 13, 12, (2018); Kostkova P., A roadmap to integrated digital public health surveillance: The vision and the challenges, Proceedings of the 22nd International Conference on World Wide Web, pp. 687-694, (2013); Kostkova P., Disease surveillance data sharing for public health: The next ethical frontiers, Life Sciences, Society and Policy, 14, 1, (2018); Kostkova P., Fowler D., Wiseman S., Weinberg J.R., Major infection events over 5 years: How is media coverage influencing online information needs of health care professionals and the public?, Journal of Medical Internet Research, 15, 7, (2013); Kostkova P., Szomszor M., Louis C.S., # Swineflu: The use of twitter as an early warning and risk communication tool in the 2009 swine flu pandemic, ACM Transactions on Management Information Systems (TMIS), 5, 2, (2014); Liang N.-Y., Huang G.-B., Saratchandran P., Sundararajan N., A fast and accurate online sequential learning algorithm for feedforward networks, IEEE Transactions on Neural Networks, 17, 6, pp. 1411-1423, (2006); Martines R.B., Notes from the field: Evidence of Zika virus infection in brain and placental tissues from two congenitally infected newborns and two fetal losses-Brazil, 2015, MMWR. Morbidity and Mortality Weekly Report 65, (2016); Martinez-Hernandez U., Rubio-Solis A., Prescott T.J., Bayesian perception of touch for control of robot emotion, 2016 International Joint Conference on Neural Networks (IJCNN), pp. 4927-4933, (2016); Mendel J.M., General type-2 fuzzy logic systems made simple: A tutorial, IEEE Transactions on Fuzzy Systems, 22, 5, pp. 1162-1182, (2013); Messina J.P., Kraemer M.U.G., Brady O.J., Pigott D.M., Shearer F.M., Weiss D.J., Golding N., Ruktanonchai C.W., Gething P.W., Cohn E., Et al., Mapping global environmental suitability for Zika virus, Elife, 5, (2016); Musso D., Stramer S.L., Busch M.P., Zika virus: A new challenge for blood transfusion, The Lancet, 387, pp. 1993-1994, (2016); Reiter P., Climate change and mosquito-borne disease, Environmental Health Perspectives, 109, pp. 141-161, (2001); Rong H.-J., Huang G.-B., Sundararajan N., Saratchandran P., Online sequential fuzzy extreme learning machine for function approximation and classification problems, IEEE Transactions on Systems, Man, and Cybernetics, Part B (Cybernetics), 39, 4, pp. 1067-1072, (2009); Rubio-Solis A., Martinez-Hernandez U., Panoutsos G., Evolutionary extreme learning machine for the interval type-2 radial basis function neural network: A fuzzy modelling approach, 2018 IEEE International Conference on Fuzzy Systems (FUZZ-IEEE), pp. 1-8, (2018); Rubio-Solis A., Melin P., Martinez-Hernandez U., Panoutsos G., General type-2 radial basis function neural network: A data-driven fuzzy model, IEEE Transactions on Fuzzy Systems, 27, 2, pp. 333-347, (2019); Rubio-Solis A., Panoutsos G., Interval type-2 radial basis function neural network: A modeling framework, IEEE Transactions on Fuzzy Systems, 23, 2, pp. 457-473, (2015); Rubio-Solis A., Panoutsos G., An ensemble data-driven fuzzy network for laser welding quality prediction, 2017 IEEE International Conference on Fuzzy Systems (FUZZ-IEEE), pp. 1-6, (2017); Sakkas H., Bozidis P., Giannakopoulos X., Sofikitis N., Papadopoulou C., An update on sexual transmission of Zika Virus, Pathogens, 7, 3, (2018); Soria-Olivas E., Gomez-Sanchis J., Martin J.D., Vila-Frances J., Martinez M., Magdalena J.R., Serrano A.J., BELM: Bayesian extreme learning machine, IEEE Transactions on Neural Networks, 22, 3, pp. 505-509, (2011); Wu D., Mendel J.M., Enhanced karnik-mendel algorithms, IEEE Transactions on Fuzzy Systems, 17, 4, pp. 923-934, (2008)</t>
  </si>
  <si>
    <t xml:space="preserve">KDD</t>
  </si>
  <si>
    <t xml:space="preserve">9th International Conference on Digital Public Health, DPH 2019</t>
  </si>
  <si>
    <t xml:space="preserve">20 November 2019 through 23 November 2019</t>
  </si>
  <si>
    <t xml:space="preserve">Marseille</t>
  </si>
  <si>
    <t xml:space="preserve">978-145037208-4</t>
  </si>
  <si>
    <t xml:space="preserve">2-s2.0-85076611670</t>
  </si>
  <si>
    <t xml:space="preserve">Sajana T.; Narasingarao M.R.</t>
  </si>
  <si>
    <t xml:space="preserve">Sajana, T. (57195118578); Narasingarao, M.R. (37112870900)</t>
  </si>
  <si>
    <t xml:space="preserve">57195118578; 37112870900</t>
  </si>
  <si>
    <t xml:space="preserve">A comparative study on imbalanced malaria disease diagnosis using machine learning techniques</t>
  </si>
  <si>
    <t xml:space="preserve">The Malaria is one of the vector borne disease which effects the entire world population for a long time. Many people are affected by Malaria disease due to rampant changes in environmental and food habits. This disease is prevalent in most of the non-urban areas and people in these regions are badly affected by this disease. Dataset related to vector borne disease is usually a skewed database and accurate prediction of minority samples is very important especially in medical domain for diagnosing the vector borne diseases. Methods: The researchers have collected 165 patient’s data with and without Malaria disease from a private clinic and among them 87 are neonatal patients. The data gathered was a skewed distribution of data where the majority (negative) samples dominate minority (positive) samples. The dataset consists of 5 positive and 160 negative examples. Developing a trained model with a skewed database and producing results with minority examples with accuracy is one of the challenging issues and needs to be given high importance in current research. So, in this proposed research, the researchers have used Synthetic Minority Oversampling Technique (SMOTE) algorithm to balance the dataset with positive and negative examples. The dataset after applying the SMOTE test was then used for training and testing various classifiers like Decision tree using C4.5, Naive Bayesian and Radial Basis Function Network and then conducted a prospective comparison study of these classifiers. Results: To obtain balanced class distribution, SMOTE is applied on a given 165 patient’s data and then performed a comparative study on a range of classifiers for better classification of affected patients. Experimental results present classification accuracy for the classifier C4.5 with Decision Tree as 92.7%, Naive Bayesian with 94.7% and 98.9% for RBF Network. It shows that, RBF Network performed well over other classifiers taking into cognizance of the imbalanced dataset after applying the SMOTE test. Conclusion: In the era of medical diagnosis, machine learning algorithms play a vital role for developing a model for classification of malaria disease data. Dealing with imbalanced datasets, and prediction of the disease with those datasets is an issue of concern in many cases. In this research, the researcher has developed three models and compared the prediction accuracy of these models. © 2017, Institute of Advanced Scientific Research, Inc. All rights reserved.</t>
  </si>
  <si>
    <t xml:space="preserve">Journal of Advanced Research in Dynamical and Control Systems</t>
  </si>
  <si>
    <t xml:space="preserve">Institute of Advanced Scientific Research, Inc.</t>
  </si>
  <si>
    <t xml:space="preserve">https://www.scopus.com/inward/record.uri?eid=2-s2.0-85046454010&amp;partnerID=40&amp;md5=6c418e111e6ce87b39d1350f69da9264</t>
  </si>
  <si>
    <t xml:space="preserve">Department of Computer Science and Engineering, KLEF, Guntur, Vaddeswaram, India</t>
  </si>
  <si>
    <t xml:space="preserve">Sajana T., Department of Computer Science and Engineering, KLEF, Guntur, Vaddeswaram, India; Narasingarao M.R., Department of Computer Science and Engineering, KLEF, Guntur, Vaddeswaram, India</t>
  </si>
  <si>
    <t xml:space="preserve">C4.5; Imbalanced data; Malaria disease; Naïve bayesian algorithm; Radial basis function network</t>
  </si>
  <si>
    <t xml:space="preserve">Haixiang G., Yijing L., Et al., Learning from class-imbalanced data: Review of methods and applications, Expert systems with applications, pp. 1-49, (2016); Krawczyk B., Learning from imbalanced data: Open challenges and future directions, Prog Artif Intell, pp. 1-12, (2016); Deng X., Zhong W., Et al., An Imbalanced Data Classification Method Based On Automatic Clustering Under-Sampling, IEEE conference on Performance Computing and Communications (IPCCC), pp. 1-8, (2016); Ali A., Shamsuddin S.M., Et al., Classification with class imbalance problem: A review, International journal of Advances in Soft Computing and its Applications, 5, 3, pp. 1-30, (2013); Pengfei J., Chunkai Z., Et al., A New Sampling Approach for Classification of Imbalanced Data sets with High Density, IEEE, pp. 217-222, (2014); Poolsawad N., Kambhampati C., Et al., Balancing Class for Performance of Classification with a Clinical Dataset, Proceedings of the World Congress on Engineering, 1, pp. 1-6, (2014); Mostafizur Rahman M., Davis D.N., Addressing the Class Imbalance Problem in Medical Datasets, International Journal of Machine Learning and Computing, 3, 2, pp. 224-228, (2013); Spatial and seasonal variation of avian malaria infections in five different land use types within a Neotropical montane forest matrix, Elsevier Landscape and Urban Planning, 157, pp. 151-160, (2017); Bui T.Q., Pham H.M., Web based GIS for spatial pattern detection: Application to malaria incidence in Vietnam, Bui and Pham Spring er plus, 5, (2016); Khot S.T., Prasad R.K., Optimal Comput er Based Analysis for Detecting Malarial Parasites, (2015); Proc. of the 3rd Int. Conf. on Front. of Intell. Comput. (FICTA) Advances in Intelligent Systems and Computing, 327, 1, pp. 69-80; Rahman M.Z., Roytman L., Et al., Environmental Data Analysis and Remote Sensing for Early Detection of Dengue and Malaria, Proc. of SPIE, 9112, pp. 1-9, (2015); Garcia V., Sanchez J.S., Et al., On the effectiveness of preprocessing methods when dealing with different levels of class imbalance, Elsevier Knowle dge based systems, 25, pp. 13-21, (2012); Galar M., Fernandez A., Et al., A Review on Ensembles for the Class Imbalance Problem:Bagging-, Boosting-, and Hybrid-Based Approaches, IEEE Transactions on Systems, Man, and Cybernetics- PART C: Applications and Reviews, pp. 1-22, (2011); Dubey R., Zhou J., Et al., Analysis of sampling techniques for imbalanced data: An n = 648 ADNI study, Elsevier Neuro Image, 87, pp. 220-241, (2014); Wing W., Ng Y., Hu J., Et al., Diversified Sensitivity-Based Under sampling for Imbalance Classification Problems, IEEE TRANSACTIONS O N CYBERNETICS, pp. 1-11, (2015); Yazan F.R., Et al., Classifying highly imbalanced ICU data, Health care Manag Sci, 16, pp. 119-128, (2013); Andrade B.B., Reis-Filho A., Et al., Severe Plasmodium vivax malaria exhibits marked inflammatory imbalance, Malaria Journal, 9, 13, pp. 1-8, (2010); Nugroho H.A., Akbar S.A., Et al., Feature Extraction and Classification for Detection Malaria Parasites in Thin Blood Smear, pp. 197-201, (2015); Chiroma H., Abdul-Kareem S., Et al., Malaria Severity Classification Through Jordan-Elman Neural network Based On Features extracted From Thick Blood Smear, 5, 15, pp. 565-584, (2014)</t>
  </si>
  <si>
    <t xml:space="preserve">1943023X</t>
  </si>
  <si>
    <t xml:space="preserve">J. Adv. Res. Dyn. Control. Syst.</t>
  </si>
  <si>
    <t xml:space="preserve">2-s2.0-85046454010</t>
  </si>
  <si>
    <t xml:space="preserve">Kalantarmotamedi Y.; Eastman R.T.; Guha R.; Bender A.</t>
  </si>
  <si>
    <t xml:space="preserve">Kalantarmotamedi, Yasaman (55840904800); Eastman, Richard T. (7004716303); Guha, Rajarshi (8439277700); Bender, Andreas (8779307500)</t>
  </si>
  <si>
    <t xml:space="preserve">55840904800; 7004716303; 8439277700; 8779307500</t>
  </si>
  <si>
    <t xml:space="preserve">A systematic and prospectively validated approach for identifying synergistic drug combinations against malaria</t>
  </si>
  <si>
    <t xml:space="preserve">Background: Nearly half of the world's population (3.2 billion people) were at risk of malaria in 2015, and resistance to current therapies is a major concern. While the standard of care includes drug combinations, there is a pressing need to identify new combinations that can bypass current resistance mechanisms. In the work presented here, a combined transcriptional drug repositioning/discovery and machine learning approach is proposed. Methods: The integrated approach utilizes gene expression data from patient-derived samples, in combination with large-scale anti-malarial combination screening data, to predict synergistic compound combinations for three Plasmodium falciparum strains (3D7, DD2 and HB3). Both single compounds and combinations predicted to be active were prospectively tested in experiment. Results: One of the predicted single agents, apicidin, was active with the AC50 values of 74.9, 84.1 and 74.9 nM in 3D7, DD2 and HB3 P. falciparum strains while its maximal safe plasma concentration in human is 547.6 ± 136.6 nM. Apicidin at the safe dose of 500 nM kills on average 97% of the parasite. The synergy prediction algorithm exhibited overall precision and recall of 83.5 and 65.1% for mild-to-strong, 48.8 and 75.5% for moderate-to-strong and 12.0 and 62.7% for strong synergies. Some of the prospectively predicted combinations, such as tacrolimus-hydroxyzine and raloxifene-thioridazine, exhibited significant synergy across the three P. falciparum strains included in the study. Conclusions: Systematic approaches can play an important role in accelerating discovering novel combinational therapies for malaria as it enables selecting novel synergistic compound pairs in a more informed and cost-effective manner. © 2018 The Author(s).</t>
  </si>
  <si>
    <t xml:space="preserve">10.1186/s12936-018-2294-5</t>
  </si>
  <si>
    <t xml:space="preserve">https://www.scopus.com/inward/record.uri?eid=2-s2.0-85045136243&amp;doi=10.1186%2fs12936-018-2294-5&amp;partnerID=40&amp;md5=1f4338750c9152c43d64aca6555d79bd</t>
  </si>
  <si>
    <t xml:space="preserve">Centre for Molecular Informatics, Department of Chemistry, University of Cambridge, Lensfield Road, Cambridge, CB2 1EW, United Kingdom; Division of Preclinical Innovation, National Center for Advancing Translational Sciences, National Institutes of Health, 9800 Medical Center Drive, Rockville, 20852, MD, United States</t>
  </si>
  <si>
    <t xml:space="preserve">Kalantarmotamedi Y., Centre for Molecular Informatics, Department of Chemistry, University of Cambridge, Lensfield Road, Cambridge, CB2 1EW, United Kingdom; Eastman R.T., Division of Preclinical Innovation, National Center for Advancing Translational Sciences, National Institutes of Health, 9800 Medical Center Drive, Rockville, 20852, MD, United States; Guha R., Division of Preclinical Innovation, National Center for Advancing Translational Sciences, National Institutes of Health, 9800 Medical Center Drive, Rockville, 20852, MD, United States; Bender A., Centre for Molecular Informatics, Department of Chemistry, University of Cambridge, Lensfield Road, Cambridge, CB2 1EW, United Kingdom</t>
  </si>
  <si>
    <t xml:space="preserve">Compound combination modelling; Machine learning; Malaria; Synergistic anti-malaria compound combinations; Synergy prediction; Transcriptional drug repositioning</t>
  </si>
  <si>
    <t xml:space="preserve">Antimalarials; Drug Combinations; Drug Discovery; Drug Repositioning; Drug Synergism; Humans; Machine Learning; Malaria, Falciparum; Plasmodium falciparum; Protozoan Proteins; antimalarial agent; apicidin; chelidonine; chromomycin A3; fulvestrant; hydroxyzine; ingenol; jx 401; kin 001244; megestrol; pi 828; radicicol; raloxifene; tacrolimus; thioridazine; unclassified drug; antimalarial agent; protozoal protein; antimalarial activity; Article; drug blood level; drug potentiation; drug repositioning; drug safety; drug screening; drug structure; gene expression; machine learning; malaria falciparum; Plasmodium falciparum; prediction; drug combination; drug development; drug effect; drug repositioning; genetics; human; machine learning; malaria falciparum; metabolism</t>
  </si>
  <si>
    <t xml:space="preserve">chelidonine, 20267-87-2, 476-32-4; chromomycin A3, 7059-24-7; fulvestrant, 129453-61-8; hydroxyzine, 2192-20-3, 64095-02-9, 68-88-2; ingenol, 30220-46-3; megestrol, 3562-63-8; radicicol, 12772-57-5; raloxifene, 82640-04-8, 84449-90-1; tacrolimus, 104987-11-3; thioridazine, 130-61-0, 50-52-2; Antimalarials, ; Drug Combinations, ; Protozoan Proteins, </t>
  </si>
  <si>
    <t xml:space="preserve">European Research Council; ERC Starting, (2013); Seventh Framework Programme, FP7, (336159)</t>
  </si>
  <si>
    <t xml:space="preserve">This work was supported by European Research Council Grant (ERC Starting Grant 2013 to AB).</t>
  </si>
  <si>
    <t xml:space="preserve">World Malaria Report, (2015); White N.J., Olliaro P.L., Strategies for the prevention of antimalarial drug resistance: Rationale for combination chemotherapy for malaria, Parasitol Today, 12, pp. 399-401, (1996); Summers R.L., Dave A., Dolstra T.J., Bellanca S., Marchetti R.V., Nash M.N., Et al., Diverse mutational pathways converge on saturable chloroquine transport via the malaria parasite's chloroquine resistance transporter, Proc Natl Acad Sci USA, 111, pp. E1759-E1767, (2014); Nzila A.M., Mberu E.K., Sulo J., Dayo H., Winstanley P.A., Sibley C.H., Et al., Towards an understanding of the mechanism of pyrimethamine-sulfadoxine resistance in Plasmodium falciparum: Genotyping of dihydrofolate reductase and dihydropteroate synthase of Kenyan parasites, Antimicrob Agents Chemother, 44, pp. 991-996, (2000); Guidelines for the Treatment of Malaria, (2015); Mott B.T., Eastman R.T., Guha R., Sherlach K.S., Siriwardana A., Shinn P., Et al., High-throughput matrix screening identifies synergistic and antagonistic antimalarial drug combinations, Sci Rep, 5, (2015); White N., Antimalarial drug resistance and combination chemotherapy, Philos Trans R Soc Lond B Biol Sci, 354, pp. 739-749, (1999); Bulusu K.C., Guha R., Mason D.J., Lewis R.P.I., Muratov E., Motamedi Y.K., Et al., Modelling of compound combination effects and applications to efficacy and toxicity: State-of-the-art, challenges and perspectives, Drug Discov Today, 21, pp. 225-238, (2015); Menden M., Wang D., Guan Y., Mason M., Szalai B., Bulusu K., Yu T., Kang J., Ghazoui Z., Ahsen M., Vogel R., Neto E., Norman T., Tang E., Garnett M., Veroli G., Fawell S., Stolovitzky G., Guinney J., Dry J., Saez-Rodriguez J., Community assessment of cancer drug combination screens identifies strategies for synergy prediction, BioRxiv, (2018); Singh N., Misra K., Computational screening of molecular targets in Plasmodium for novel non resistant anti-malarial drugs, Bioinformation, 3, pp. 255-262, (2009); Swain S.S., Sahu M.C., Padhy R.N., In silico attempt for adduct agent(s) against malaria: Combination of chloroquine with alkaloids of Adhatoda vasica, Comput Methods Programs Biomed, 122, pp. 16-25, (2015); Dasgupta T., Chitnumsub P., Kamchonwongpaisan S., Maneeruttanarungroj C., Nichols S.E., Lyons T.M., Et al., Exploiting structural analysis, in silico screening, and serendipity to identify novel inhibitors of drug-resistant falciparum malaria, ACS Chem Biol, 4, pp. 29-40, (2009); Lewis R., Guha R., Korcsmaros T., Bender A., Synergy maps: Exploring compound combinations using network-based visualization, J Cheminform, 7, pp. 1-11, (2015); Diaz G., Gonzalez F.A., Romero E., A semi-automatic method for quantification and classification of erythrocytes infected with malaria parasites in microscopic images, J Biomed Inform, 42, pp. 296-307, (2009); Kinnings S.L., Liu N., Tonge P.J., Jackson R.M., Xie L., Bourne P.E., A machine learning-based method to improve docking scoring functions and its application to drug repurposing, J Chem Inf Model, 51, pp. 408-419, (2011); Sudheer C., Sohani S.K., Kumar D., Malik A., Chahar B.R., Nema A.K., Et al., A support vector machine-firefly algorithm based forecasting model to determine malaria transmission, Neurocomputing, 129, pp. 279-288, (2014); Iorio F., Rittman T., Ge H., Menden M., Saez-Rodriguez J., Transcriptional data: A new gateway to drug repositioning?, Drug Discov Today, 18, pp. 350-357, (2012); Iskar M., Zeller G., Blattmann P., Campillos M., Kuhn M., Kaminska K.H., Et al., Characterization of drug-induced transcriptional modules: Towards drug repositioning and functional understanding, Mol Syst Biol, 9, (2014); Liu Y., Zhao H., Predicting synergistic effects between compounds through their structural similarity and effects on transcriptomes, Bioinformatics, 24, pp. 1-8, (2016); Law G.L., Tisoncik-Go J., Korth M.J., Katze M.G., Drug repurposing: A better approach for infectious disease drug discovery?, Curr Opin Immunol, 25, pp. 588-592, (2013); Josset L., Textoris J., Loriod B., Ferraris O., Moules V., Lina B., Et al., Gene expression signature-based screening identifies new broadly effective influenza a antivirals, PLoS ONE, 5, (2010); Sirota M., Dudley J.T., Kim J., Chiang A.P., Morgan A.A., Sweet-Cordero A., Et al., Discovery and preclinical validation of drug indications using compendia of public gene expression data, Sci Transl Med, 77, (2011); Library of Integrated Cellular Signatures (LINCS), (2016); Koutsoukas A., Lowe R., Kalantarmotamedi Y., Mussa H.Y., John B.O., In silico target predictions: Defining a benchmarking data set and comparison of performance of the multiclass naïve Bayes and Parzen-Rosenblatt, J Cheminform, 53, pp. 1957-1966, (2013); Koutsoukas A., Simms B., Kirchmair J., Bond P.J., Whitmore A.V., Zimmer S., Et al., From in silico target prediction to multi-target drug design: Current databases, methods and applications, J Proteomics, 74, pp. 2554-2574, (2011); Cokol M., Chua H.N., Tasan M., Mutlu B., Weinstein Z.B., Suzuki Y., Et al., Systematic exploration of synergistic drug pairs, Mol Syst Biol, 7, (2011); Kalantarmotamedi Y., Peymani M., Baharvand H., Nasr-Esfahani M.H., Bender A., Systematic selection of small molecules to promote differentiation of embryonic stem cells and experimental validation for generating cardiomyocytes, Cell Death Discov, 2, (2016); Edgar R., Domrachev M., Lash A.E., Gene Expression Omnibus: NCBI gene expression and hybridization array data repository, Nucleic Acids Res, 30, pp. 207-210, (2002); GEOImporter, (2012); Reich M., Liefeld T., Gould J., Lerner J., Tamayo P., Mesirov J.P., GenePattern 2.0, Nat Genet, 38, pp. 500-501, (2006); Krupka M., Seydel K., Feintuch C.M., Yee K., Kim R., Lin C.-Y., Et al., Mild Plasmodium falciparum malaria following an episode of severe malaria is associated with induction of the interferon pathway in Malawian children, Infect Immun, 80, pp. 1150-1155, (2012); Subramanian A., Tamayo P., Mootha V.K., Mukherjee S., Ebert B.L., Gene set enrichment analysis: A knowledge-based approach for interpreting genome-wide, Proc Natl Acad Sci USA, 102, pp. 15545-15550, (2005); Gaulton A., Bellis L.J., Bento A.P., Chambers J., Davies M., Hersey A., Et al., ChEMBL: A large-scale bioactivity database for drug discovery, Nucleic Acids Res, 40, DATABASE ISSUE, pp. D1100-D1107, (2012); Mestres J., Gregori-Puigjane E., Valverde S., Sole R.V., The topology of drug-target interaction networks: Implicit dependence on drug properties and target families, Mol BioSyst, 5, pp. 1051-1057, (2009); Geer L.Y., Marchler-Bauer A., Geer R.C., Han L., He J., He S., Et al., The NCBI BioSystems database, Nucleic Acids Res, 38, DATABASE ISSUE, pp. D492-D496, (2010); Kasprzyk A., BioMart: Driving a paradigm change in biological data management, Database (Oxford), 2011, (2011); Svetnik V., Liaw A., Tong C., Culberson J.C., Sheridan R.P., Feuston B.P., Random forest: A classification and regression tool for compound classification and QSAR modeling, J Chem Inf Comput Sci, 43, pp. 1947-1958, (2003); MathWorks. TreeBagger, (2012); Yuan J., Cheng K.C.-C., Johnson R.L., Huang R., Pattaradilokrat S., Liu A., Et al., Chemical genomic profiling for antimalarial therapies, response signatures, and molecular targets, Science, 333, pp. 724-729, (2011); Smilkstein M., Sriwilaijaroen N., Kelly J.X., Wilairat P., Riscoe M., Simple and inexpensive fluorescence-based technique for high-throughput antimalarial drug screening, Antimicrob Agents Chemother, 48, pp. 1803-1806, (2004); Bennett T.N., Paguio M., Gligorijevic B., Seudieu C., Kosar A.D., Davidson E., Et al., Novel, rapid, and inexpensive cell-based quantification of antimalarial drug efficacy, Antimicrob Agents Chemother, 48, pp. 1807-1810, (2004); Mathews Griner L.A., Guha R., Shinn P., Young R.M., Keller J.M., Liu D., Et al., High-throughput combinatorial screening identifies drugs that cooperate with ibrutinib to kill activated B-cell-like diffuse large B-cell lymphoma cells, Proc Natl Acad Sci USA, 111, pp. 2349-2354, (2014); Berenbaum M.C., What is synergy?, Pharmacol Rev, 41, pp. 93-141, (1989); Maglott D., Ostell J., Pruitt K.D., Tatusova T., Entrez gene: Gene-centered information at NCBI, Nucleic Acids Res., 33, DATABASE ISSUE, pp. D54-D58, (2004); Oakley M.S., Anantharaman V., Venancio T.M., Zheng H., Mahajan B., Majam V., Et al., Molecular correlates of experimental cerebral malaria detectable in whole blood, Infect Immun, 79, pp. 1244-1253, (2011); Alag R., Qureshi I.A., Bharatham N., Shin J., Lescar J., Yoon H.S., NMR and crystallographic structures of the FK506 binding domain of human malarial parasite Plasmodium vivax FKBP35, Protein Sci, 19, pp. 1577-1586, (2010); Bharatham N., Chang M.W., Yoon H.S., Targeting FK506 binding proteins to fight malarial and bacterial infections: Current advances and future perspectives, Curr Med Chem, 18, pp. 1874-1889, (2011); Maluccio M., Sharma V., Lagman M., Vyas S., Yang H., Li B., Et al., Tacrolimus enhances transforming growth factor-beta1 expression and promotes tumor progression, Transplantation, 76, pp. 597-602, (2003); Omer F.M., Riley E.M., Transforming growth factor beta production is inversely correlated with severity of murine malaria infection, J Exp Med, 188, pp. 39-48, (1998); Omer F.M., De Souza J.B., Corran P.H., Sultan A.A., Riley E.M., Activation of transforming growth factor by malaria parasite-derived metalloproteinases and a thrombospondin-like molecule, J Exp Med, 198, pp. 1817-1827, (2003); Darkin-Rattray S.J., Gurnett A.M., Myers R.W., Dulski P.M., Crumley T.M., Allocco J.J., Et al., Apicidin: A novel antiprotozoal agent that inhibits parasite histone deacetylase, Proc Natl Acad Sci USA, 93, pp. 13143-13147, (1996); Li Q., Hickman M.R., Pharmacokinetics and Pharmacodynamics of Antimalarial Drugs Used in Combination Therapy, (2015); Robertson J.F.R., Harrison M., Fulvestrant: Pharmacokinetics and pharmacology, Br J Cancer., 90, pp. S7-S10, (2004); Czock D., Keller F., Heringa M., Rasche F.M., Raloxifene pharmacokinetics in males with normal and impaired renal function, Br J Clin Pharmacol., 59, pp. 479-482, (2005); Ravic M., Warrington S., Boyce M., Dunn K., Johnston A., Repeated dosing with donepezil does not affect the safety, tolerability or pharmacokinetics of single-dose thioridazine in young volunteers, Br J Clin Pharmacol., 58, pp. 34-40, (2004); ES Megestrol Acetate 625 mg/5 ML Oral Suspension; Rogers C.C., Alloway R.R., Alexander J.W., Cardi M., Trofe J., Vinks A.A., Pharmacokinetics of mycophenolic acid, tacrolimus and sirolimus after gastric bypass surgery in end-stage renal disease and transplant patients: A pilot study, Clin Transplant., 22, pp. 281-291, (2008); Soo Shin B., Dong Yoo S., Hwan Kim T., Bulitta J.B., Landersdorfer C.B., Cheol Shin J., Et al., Quantitative determination of absorption and first-pass metabolism of apicidin, a potent histone deacetylase inhibitor, DRUG Metab Dispos, 42, pp. 974-982, (2014); Garattini S., Advances in Pharmacology and Chemotherapy, 12, (1975); Wang Y., Nguyen T., Huang R., Jadhav A., Southall N.T., Enabling the large-scale analysis of quantitative high-throughput screening data, Handbook of Drug Screening, pp. 454-476, (2016)</t>
  </si>
  <si>
    <t xml:space="preserve">R. Guha; Division of Preclinical Innovation, National Center for Advancing Translational Sciences, National Institutes of Health, Rockville, 9800 Medical Center Drive, 20852, United States; email: guhar@mail.nih.gov</t>
  </si>
  <si>
    <t xml:space="preserve">2-s2.0-85045136243</t>
  </si>
  <si>
    <t xml:space="preserve">Hemben A.; Ashley J.; Tothill I.E.</t>
  </si>
  <si>
    <t xml:space="preserve">Hemben, Aver (57195273278); Ashley, Jon (56348554200); Tothill, Ibtisam E. (6603894913)</t>
  </si>
  <si>
    <t xml:space="preserve">57195273278; 56348554200; 6603894913</t>
  </si>
  <si>
    <t xml:space="preserve">An immunosensor for parasite lactate dehydrogenase detection as a malaria biomarker – Comparison with commercial test kit</t>
  </si>
  <si>
    <t xml:space="preserve">This paper describes the development of an affinity sensor for the detection of Plasmodium falciparum parasite lactate dehydrogenase (pLDH) as one of the biomarkers used for malaria detection. The gold sensor was functionalised with anti-pLDH after cleaning the electrode surface to remove impurities (120 °C, 1 h). The sensor was then treated to block unreacted groups on the surface and minimise matrix interference, before applying it in a sandwich assay to detect pLDH in buffer samples using a dose concentration assay. The sensor was optimised to achieve the best detection sensitivity before using it for pLDH detection in serum samples. The developed sensor achieved a limit of detection (LOD) of 1.80 ng mL−1 and 0.70 ng mL−1 for the detection of pLDH in buffer and in serum samples respectively. The sensor sensitivity was enhanced further with the use of AuNP conjugated to the detection anti-pLDH-enzyme, achieving an LOD of 19 pg mL−1 in buffer and 23 pg mL−1 in serum samples. The performance of the sensor was compared to commercially available Plasmodium immunochromatographic (ICT) malaria kits. The developed sensor was able to detect pLDH in the Dd2luc culture medium supernatant at 0.002% parasitaemia without the use of AuNP signal enhancement when compared to the OptiMAL-IT ICT kit (detect pLDH) and the BinaxNOW ICT kit (detection of both pLDH and PfHRP 2) samples. Therefore, the sensor developed in this work is highly sensitive and can be used for pLDH detection for on-site diagnosis of malaria. A cheap and simple device as developed in this work is required to tackle malaria detection. © 2018 Elsevier B.V.</t>
  </si>
  <si>
    <t xml:space="preserve">Talanta</t>
  </si>
  <si>
    <t xml:space="preserve">10.1016/j.talanta.2018.04.086</t>
  </si>
  <si>
    <t xml:space="preserve">https://www.scopus.com/inward/record.uri?eid=2-s2.0-85047089917&amp;doi=10.1016%2fj.talanta.2018.04.086&amp;partnerID=40&amp;md5=21d12df9a033862df04f5fcf8d8380de</t>
  </si>
  <si>
    <t xml:space="preserve">Cranfield University, Cranfield, Bedfordshire, MK43 0AL, England, United Kingdom</t>
  </si>
  <si>
    <t xml:space="preserve">Hemben A., Cranfield University, Cranfield, Bedfordshire, MK43 0AL, England, United Kingdom; Ashley J., Cranfield University, Cranfield, Bedfordshire, MK43 0AL, England, United Kingdom; Tothill I.E., Cranfield University, Cranfield, Bedfordshire, MK43 0AL, England, United Kingdom</t>
  </si>
  <si>
    <t xml:space="preserve">AuNP; Biomarker; Biosensor; Malaria; Parasites; Plasmodium falciparum; pLDH</t>
  </si>
  <si>
    <t xml:space="preserve">Biomarkers; Cells, Cultured; Immunoassay; L-Lactate Dehydrogenase; Malaria; Plasmodium falciparum; Reagent Kits, Diagnostic; Trophozoites; Biosensors; Body fluids; Diseases; Removal; biological marker; lactate dehydrogenase; AuNP; Malaria; Parasites; Plasmodium falciparum; pLDH; cell culture; comparative study; cytology; diagnostic kit; enzymology; immunoassay; malaria; metabolism; Plasmodium falciparum; trophozoite; Biomarkers</t>
  </si>
  <si>
    <t xml:space="preserve">lactate dehydrogenase, 9001-60-9; Biomarkers, ; L-Lactate Dehydrogenase, ; Reagent Kits, Diagnostic, </t>
  </si>
  <si>
    <t xml:space="preserve">(2014); (2017); (2015); (2016); Jain P., Chakma B., Patra S., Goswami P., Potential biomarkers and their applications for rapid and reliable detection of malaria, BioMed. Res. Int., (2014); Castellanos M.E., Diaz S., Parsons E., Peruski L.F., Enriquez F., Ramirez J.L., Padilla N., First imported Plasmodium ovale malaria in Central America: case report of a Guatemalan soldier and a call to improve its accurate diagnosis, Mil. Med. Res., 2, 1, (2015); Fleischer B., Editorial: 100 years ago: Giemsa's solution for staining of plasmodia, Trop. Med. Int. Health, 9, pp. 755-756, (2004); Adeoye G., Nga I., Comparison of quantitative buffy coat technique (QBC) with giemsa-stained thick film (GTF) for diagnosis of malaria, Parasitol. Int., 56, pp. 308-312, (2007); Mubi M., Janson A., Warsame M., Martensson A., Kallander K., Petzold M.G., Ngasala B., Maganga G., Gustafsson L.L., Massele A., Malaria rapid testing by community health workers is effective and safe for targeting malaria treatment: randomised cross- over trial in Tanzania, PLoS One, 6, (2011); Merwyn S., Gopalan N., Singh A.K., Rai G.P., Agarwal G.S., Monoclonal antibodies against recombinant histidine-rich protein 2 of Plasmodium falciparum and their use in malaria diagnosis, Hybridoma, 30, pp. 519-524, (2011); Thongdee P., Chaijaroenkul W., Kuesap J., Na-Bangchang K., Nested-PCR and a new ELISA-based NovaLisa test kit for malaria diagnosis in an endemic area of Thailand, Korean J. Parasitol., 52, pp. 377-381, (2014); Scholl P.F., Kongkasuriyachai D., Demirev P.A., Feldman A.B., Lin J.S., Sullivan D.J., Kumar N., Rapid detection of malaria infection in vivo by laser desorption mass spectrometry, Am. J. Trop. Med. Hyg., 71, pp. 546-551, (2004); (2011); Grubaugh N.D., Petz L.N., Melanson V.R., McMenamy S.S., Turell M.J., Long L.S., Pisarcik S.E., Kengluecha A., Jaichapor B., O'Guinn M.L., Lee J.S., Evaluation of a field-portable DNA microarray platform and nucleic acid amplification strategies for the detection of arboviruses, arthropods, and bloodmeals, Am. J. Trop. Med. Hyg., 88, pp. 245-253, (2013); Ter Kuile F.O., Parise M.E., Verhoeff F.H., Udhayakumar V., Newman R.D., van Eijk A.M., Rogerson S.J., Steketee R.W., The burden of co-infection with human immunodeficiency virus type 1 and malaria in pregnant women in sub-saharan Africa, Am. J. Trop. Med. Hyg., 71, pp. 41-54, (2004); Grobusch M.P., Hanscheid T., Kramer B., Neukammer J., May J., Seybold J., Kun J.F., Suttorp N., Sensitivity of hemozoin detection by automated flow cytometry in non- and semi-immune malaria patients, Cytom. B Clin. Cytom., 55, pp. 46-51, (2003); Wood B.R., Bailo E., Khiavi M.A., Tilley L., Deed S., Deckert-Gaudig T., Tip-enhanced Raman scattering (TERS) from hemozoin crystals within a sectioned erythrocyte, Nano Lett., 11, pp. 1868-1873, (2011); Yuen C., Liu Q., Magnetic field enriched surface enhanced resonance Raman spectroscopy for early malaria diagnosis, J. Biomed. Opt., 17, (2012); Garrett N.L., Sekine R., Dixon W.A.M., Tilley, Leann K., Bambery R., Bayden R., Wood B.R., Bio-sensing with butterfly wings: naturally occurring nano-structures for SERS-based malaria parasite detection, Phys. Chem. Chem. Phys., (2015); Joshi V., Agurto C., Barriga S., Nemeth S., Soliz P., MacCormick I., Taylor T., Lewallen S., Harding S., (2016); Portnoy E., Vakruk N., Bishara A., Shmuel M., Magdassi S., Golenser J., Eyal S., Indocyanine green liposomes for diagnosis and therapeutic monitoring of cerebral malaria, Theranostics, 6, pp. 167-176, (2016); Luo S., Zhang E., Su Y., Cheng T., Shi C., A review of NIR dyes in cancer targeting and imaging, Biomaterials, 32, pp. 7127-7138, (2011); James M.L., Gambhir S.S., A molecular imaging primer: modalities, imaging agents, and applications, Physiol. Rev., 92, pp. 897-965, (2012); Nacer A., Movila A., Sohet F., Girgis N.M., Gundra U.M., Loke P., Experimental cerebral malaria pathogenesis-hemodynamics at the blood brain barrier, PLoS Pathog., 10, (2014); Pai S., Qin J., Cavanagh L., Mitchell A., El-Assaad F., Jain R., Real-time imaging reveals the dynamics of leukocyte behaviour during experimental cerebral malaria pathogenesis, PLoS Pathog., 10, (2014); Mann A., Semenenko I., Meir M., Eyal S., Molecular imaging of membrane transporters’ activity in cancer: a picture is worth a thousand tubes, AAPS J., 17, pp. 788-801, (2015); Zhao Y., MacCormick I.J., Parry D.G., Beare N.A., Harding S.P., Zheng Y., Automated detection of vessel abnormalities on fluorescein angiogram in malarial retinopathy, Sci. Rep., 5, (2015); Ittarat W., Chomean S., Sanchomphu C., Wangmaung N., Promptmas C., Ngrenngarmlert W., Biosensor as a molecular malaria differential diagnosis, Clin. Chim. Acta, 419, pp. 47-51, (2013); Brince K.P., Kumar S., Tripathy S., Vanjari S.R.K., Singh V., Singh S.G., A highly sensitive self-assembled monolayer modified copper doped zinc oxide nanofiber interface for detection of Plasmodium falciparum histidine-rich protein-2: targeted towards rapid, early diagnosis of malaria, Biosens. Bioelectron., 80, pp. 39-46, (2016); Gikunoo E., Abera A., Woldesenbet E., A novel carbon nanofibers grown on glass microballoons immunosensor: a tool for early diagnosis of malaria, Sensors, 14, 8, pp. 14686-14699, (2014); Figueroa M.G., Feng L., Shiu S.C., Marshall D.R., Cheung Y., Tanner J., Josef S.M., Offenhausser A., Mayer D., Aptamer-based electrochemical biosensor for highly sensitive and selective malaria detection with adjustable dynamic response range and reusability, Sens. Actuators B: Chem., 255, pp. 235-243, (2018); Rock E.P., Marsh K., Saul A.J., Wellems T.E., Taylor D.W., Maloy W.L., Howard R.J., Comparative analysis of the Plasmodium falciparum histidine-rich proteins HRP-I, HRP-II and HRP-III in malaria parasites of diverse origin, Parasitology, 95, pp. 209-227, (1987); Frank R., Hargreaves R., Clinical biomarkers in drug discovery and development, Nat. Rev. Drug Discov., 2, pp. 566-580, (2003); Dzakah E.E., Kang K., Ni C., Tang S., Wang J., Wang J., Comparative performance of aldolase and lactate dehydrogenase rapid diagnostic tests in Plasmodium vivax detection, Malar. J., 13, (2014); Dirkzwager R.M., Kinghorn A.B., Richards J.S., APTEC: aptamer-tethered enzyme capture as a novel rapid diagnostic test for malaria, Chem. Commun., 51, pp. 4697-4700, (2015); Phumin S., Sittiporn P., Pongchai H., Global sequence diversity of the lactate dehydrogenase gene in Plasmodium falciparum, Malaria J., 17, (2018); Lee S., Song K., Jeon W., Jo H., Shim Y., Ban C., A highly sensitive aptasensor towards Plasmodium lactate dehydrogenase for the diagnosis of malaria, Biosens. Bioelectron., 35, pp. 291-296, (2012); Markwalter C.F., Davis K.M., Wright D.W., Immunomagnetic capture and colorimetric detection of malarial biomarker Plasmodium falciparum lactate dehydrogenase, Anal. Biochem., 493, pp. 30-34, (2016); Markwalter C.F., Ricks K.M., Bitting A.L., Mudenda L., Wright D.W., Simultaneous capture and sequential detection of two malarial biomarkers on magnetic microparticles, Talanta, 161, pp. 443-449, (2016); Hemben A., Ashley J., Tothill I.E., Development of an immunosensor for PfHRP 2 as a biomarker for malaria detection, Biosensors (MDPI), 7, (2017); Lee N., Baker J., Andrews K.T., Gatton M.L., Bell D., Cheng Q., McCarthy J., Effect of sequence variation in Plasmodium falciparum histidine-rich protein 2 on binding of specific monoclonal antibodies: implications for rapid diagnostic tests for malaria, J. Clin. Microbiol., 44, pp. 2773-2778, (2006); Salam F., Tothill I.E., Detection of Salmonella typhimurium using an electrochemical immunosensor, Biosens. Bioelectron., 24, pp. 2630-2636, (2009); Desai S.A., Insights gained from P. falciparum cultivation in modified media, Sci. World J., 10, (2013); Wong E.H., Hasenkamp S., Horrocks P., Analysis of the molecular mechanisms governing the stage-specific expression of a prototypical housekeeping gene during intraerythrocytic development of P. falciparu, J. Mol. Biol., 2011, 408, pp. 205-221, (2011); Hasenkamp S., Wong E.H., Horrocks P., An improved single-step lysis protocol to measure luciferase bioluminescence in Plasmodium falciparum, Malar. J., 11, (2012); Coatney G.R., Collins W.E., Warren M., Contacos P.G., (1971); Silamut K., Plasmodium falciparum Staging in In Vitro Culture, 5, (2000); Neqas U.K., (2013); Druilhe P., Moreno L., Blanc C., Brasseur P.H., Jacquier P., A calorimetric in vitro drug sensitivity assay for Plasmodium falciparum based on a highly sensitive double-site lactate dehydrogenase antigen-capture enzyme-linked immunosorbent assay, Am. J. Trop. Med. Hyg., 64, pp. 233-241, (2001); Mwangi T.W., Mohammed M., Dayo H., Snow R.W., Marsh K., Clinical algorithms for malaria diagnosis lack utility among people of different age groups, Trop. Med. Int. Health, 10, pp. 530-536, (2005); Redd S., Kazembe P., Luby S., Nwanyanwu O., Hightower A., Ziba C., Wirima J., Chitsulo L., Franco C., Olivar M., Clinical algorithm for treatment of Plasmodium falciparum malaria in children, Lancet, 347, pp. 223-227, (1996); Bell D., Wongsrichanalai C., Barnell J.W., Ensuring quality and access for malaria diagnosis: how can it be achieved?, Nat. Rev. Microbiol., 4, pp. 7-20, (2006); Lee N., Baker J., Andrews K.T., Gatton M.L., Bell D., Cheng Q., McCarthy J., Effect of sequence variation in Plasmodium falciparum histidine-rich protein 2 on binding of specific monoclonal antibodies: implications for rapid diagnostic tests for malaria, J. Clin. Microbiol., 44, pp. 2773-2778, (2006); Bailey J.W., Williams J., Bain B.J., Parker-Williams J., Chiodini P.L., Guideline: the laboratory diagnosis of malaria, Br. J. Haematol., 163, pp. 573-580, (2013); Hailu T., Kebede T., Assessing the performance of CareStart Malaria Pf/Pv combo test against thick blood film in the diagnosis of malaria in northwest Ethiopia, Am. J. Trop. Med. Hyg., 90, pp. 1109-1112, (2014); Piper R., Lebras J., Wentworth L., Hunt-Cooke A., Houze S., Chiodini P., Makler M., Immunocapture diagnostic assays for malaria using Plasmodium lactate dehydrogenase (pLDH), Am. J. Trop. Med. Hyg., 60, pp. 109-118, (1999)</t>
  </si>
  <si>
    <t xml:space="preserve">J. Ashley; Cranfield University, Bedfordshire, Cranfield, MK43 0AL, United Kingdom; email: jash@nanotech.dtu.dk</t>
  </si>
  <si>
    <t xml:space="preserve">TLNTA</t>
  </si>
  <si>
    <t xml:space="preserve">2-s2.0-85047089917</t>
  </si>
  <si>
    <t xml:space="preserve">Abioye A.I.; Park S.; Ripp K.; McDonald E.A.; Kurtis J.D.; Wu H.; Pond-Tor S.; Sharma S.; Ernerudh J.; Baltazar P.; Acosta L.P.; Olveda R.M.; Tallo V.; Friedman J.F.</t>
  </si>
  <si>
    <t xml:space="preserve">Abioye, Ajibola I. (56003242400); Park, Sangshin (36193077500); Ripp, Kelsey (49663917400); McDonald, Emily A. (37093589100); Kurtis, Jonathan D. (6701673953); Wu, Hannah (57211537449); Pond-Tor, Sunthorn (8519294100); Sharma, Surendra (55588702100); Ernerudh, Jan (56187821500); Baltazar, Palmera (57015155900); Acosta, Luz P. (7005722147); Olveda, Remigio M. (6701313494); Tallo, Veronica (12800194400); Friedman, Jennifer F. (7401865891)</t>
  </si>
  <si>
    <t xml:space="preserve">56003242400; 36193077500; 49663917400; 37093589100; 6701673953; 57211537449; 8519294100; 55588702100; 56187821500; 57015155900; 7005722147; 6701313494; 12800194400; 7401865891</t>
  </si>
  <si>
    <t xml:space="preserve">Anemia of inflammation during human pregnancy does not affect newborn iron endowment</t>
  </si>
  <si>
    <t xml:space="preserve">Background: To our knowledge, no studies have addressed whether maternal anemia of inflammation (AI) affects newborn iron status, and few have addressed risk factors for specific etiologies of maternal anemia. Objectives: The study aims were to evaluate 1) the contribution of AI and iron deficiency anemia (IDA) to newborn iron endowment, 2) hepcidin as a biomarker to distinguish AI from IDA among pregnant women, and 3) risk factors for specific etiologies of maternal anemia. Methods: We measured hematologic biomarkers in maternal blood at 12 and 32 wk of gestation and in cord blood from a randomized trial of praziquantel in 358 pregnant women with Schistosoma japonicum in The Philippines. IDA was defined as anemia with serum ferritin &lt;30 ng/mL and non-IDA (NIDA), largely due to AI, as anemia with ferritin ≥30 ng/mL. We identified cutoffs for biomarkers to distinguish IDA from NIDA by using area under the curve (AUC) analyses and examined the impact of different causes of anemia on newborn iron status (primary outcome) by using multivariate regression modeling. Results: Of the 358 mothers, 38% (n = 136) had IDA and 9% (n = 32) had NIDA at 32 wk of gestation. At 32 wk of gestation, serum hepcidin performed better than soluble transferrin receptor (sTfR) in identifying women with NIDA compared with the rest of the cohort (AUCs: 0.75 and 0.70, respectively) and in identifying women with NIDA among women with anemia (0.73 and 0.72, respectively). The cutoff that optimally distinguished women with NIDA from women with IDA in our cohort was 6.1 μg/L. Maternal IDA, but not NIDA, was associated with significantly lower newborn ferritin (114.4 ng/mL compared with 148.4 μg/L; P = 0.042). Conclusions: Hepcidin performed better than sTfR in identifying pregnant women with NIDA, but its cost may limit its use. Maternal IDA, but not NIDA, is associated with decreased newborn iron stores, emphasizing the need to identify this cause and provide iron therapy. This trial was registered at www.clinicaltrials.gov as NCT00486863. J Nutr 2018;148:427-436. ©2018 American Society for Nutrition.</t>
  </si>
  <si>
    <t xml:space="preserve">Journal of Nutrition</t>
  </si>
  <si>
    <t xml:space="preserve">10.1093/jn/nxx052</t>
  </si>
  <si>
    <t xml:space="preserve">https://www.scopus.com/inward/record.uri?eid=2-s2.0-85050645086&amp;doi=10.1093%2fjn%2fnxx052&amp;partnerID=40&amp;md5=7002361cfbd0ee2e871c3c39721c737e</t>
  </si>
  <si>
    <t xml:space="preserve">The Warren Alpert Medical School of Brown University, Providence, RI, United States; Department of Pediatrics, Rhode Island Hospital, Providence, RI, United States; Center for International Health Research, Rhode Island Hospital, Providence, RI, United States; Department of Pathology and Laboratory Medicine, Rhode Island Hospital, Providence, RI, United States; Department of Pediatrics, Women and Infants Hospital of Rhode Island, Providence, RI, United States; Departments of Clinical Immunology and Transfusion Medicine, Linkoping University, Linkoping, Sweden; Departments of Clinical and Experimental Medicine, Linkoping University, Linkoping, Sweden; Research Institute for Tropical Medicine, Manila, Philippines; Remedios Trinidad Romualdez Hospital, Tacloban City,Leyte, Philippines</t>
  </si>
  <si>
    <t xml:space="preserve">Abioye A.I., The Warren Alpert Medical School of Brown University, Providence, RI, United States, Department of Pediatrics, Rhode Island Hospital, Providence, RI, United States, Center for International Health Research, Rhode Island Hospital, Providence, RI, United States; Park S., The Warren Alpert Medical School of Brown University, Providence, RI, United States, Department of Pediatrics, Rhode Island Hospital, Providence, RI, United States, Center for International Health Research, Rhode Island Hospital, Providence, RI, United States; Ripp K., The Warren Alpert Medical School of Brown University, Providence, RI, United States; McDonald E.A., The Warren Alpert Medical School of Brown University, Providence, RI, United States, Department of Pediatrics, Rhode Island Hospital, Providence, RI, United States, Center for International Health Research, Rhode Island Hospital, Providence, RI, United States; Kurtis J.D., The Warren Alpert Medical School of Brown University, Providence, RI, United States, Center for International Health Research, Rhode Island Hospital, Providence, RI, United States, Department of Pathology and Laboratory Medicine, Rhode Island Hospital, Providence, RI, United States; Wu H., The Warren Alpert Medical School of Brown University, Providence, RI, United States, Department of Pediatrics, Rhode Island Hospital, Providence, RI, United States, Center for International Health Research, Rhode Island Hospital, Providence, RI, United States; Pond-Tor S., Center for International Health Research, Rhode Island Hospital, Providence, RI, United States; Sharma S., The Warren Alpert Medical School of Brown University, Providence, RI, United States, Department of Pediatrics, Women and Infants Hospital of Rhode Island, Providence, RI, United States; Ernerudh J., Departments of Clinical Immunology and Transfusion Medicine, Linkoping University, Linkoping, Sweden, Departments of Clinical and Experimental Medicine, Linkoping University, Linkoping, Sweden; Baltazar P., Research Institute for Tropical Medicine, Manila, Philippines, Remedios Trinidad Romualdez Hospital, Tacloban City,Leyte, Philippines; Acosta L.P., Research Institute for Tropical Medicine, Manila, Philippines; Olveda R.M., Research Institute for Tropical Medicine, Manila, Philippines; Tallo V., Research Institute for Tropical Medicine, Manila, Philippines; Friedman J.F., The Warren Alpert Medical School of Brown University, Providence, RI, United States, Department of Pediatrics, Rhode Island Hospital, Providence, RI, United States, Center for International Health Research, Rhode Island Hospital, Providence, RI, United States</t>
  </si>
  <si>
    <t xml:space="preserve">Anemia of inflammation; Biomarker; Hepcidin; Iron-deficiency anemia; Non-iron deficiency anemia; Pregnancy; Schistosoma japonicum; STfR</t>
  </si>
  <si>
    <t xml:space="preserve">Adult; Anemia; Anemia, Iron-Deficiency; Animals; Area Under Curve; Biomarkers; Female; Ferritins; Gestational Age; Hepcidins; Humans; Infant Health; Infant, Newborn; Inflammation; Iron; Mothers; Nutritional Status; Pregnancy; Pregnancy Complications; Receptors, Transferrin; Reference Values; Risk Factors; Schistosoma japonicum; Young Adult; biological marker; ferritin; hemoglobin; hepcidin; placebo; praziquantel; transferrin receptor; biological marker; ferritin; hepcidin; iron; transferrin receptor; adult; anemia; anemia of inflammation; Article; cohort analysis; controlled study; female; ferritin blood level; follow up; hemoglobin blood level; hemoglobin determination; human; iron deficiency; iron deficiency anemia; major clinical study; maternal blood; newborn iron endowment; pregnant woman; schistosomiasis japonica; umbilical cord blood; anemia; animal; area under the curve; blood; child health; complication; deficiency; gestational age; inflammation; iron deficiency anemia; mother; newborn; nutritional status; pregnancy; pregnancy complication; randomized controlled trial; reference value; risk factor; Schistosoma japonicum; young adult</t>
  </si>
  <si>
    <t xml:space="preserve">ferritin, 9007-73-2; hemoglobin, 9008-02-0; hepcidin, 342809-17-0; praziquantel, 55268-74-1; iron, 14093-02-8, 53858-86-9, 7439-89-6; Biomarkers, ; Ferritins, ; Hepcidins, ; Iron, ; Receptors, Transferrin, </t>
  </si>
  <si>
    <t xml:space="preserve">NIH/National Institute of Allergy and Infectious Diseases, (R21AI107520, U01AI066050); National Institute of Allergy and Infectious Diseases, NIAID, (K24AI112964); National Institute of Allergy and Infectious Diseases, NIAID</t>
  </si>
  <si>
    <t xml:space="preserve">The randomized controlled trial (“S. japonicum and Pregnancy Outcomes: An RCT”) was supported by the NIH/National Institute of Allergy and Infectious Diseases (NIH/NIAID; U01AI066050), with relevant data for this article collected through newborn day of life 28; the NIH/NIAID (R21AI107520; “S. japonicum, Anemia, and Iron Transport in Human Pregnancy”) supported extended biomarkers to define the etiology of anemia among pregnant women and their offspring. Author disclosures: AIA, SP, KR, EAM, JDK, HW, SP-T, SS, JE, PB, LPA, RMO, VT, and JFF, no conflicts of interest. AIA, SP, and KR contributed equally to this work as the first author and are listed in alphabetical order of last names. Address correspondence to SP (e-mail: dvm.spark@gmail.com or sangshin_park@brown.edu). Abbreviations used: AI, anemia of inflammation; CBC, complete blood count; CRP, C-reactive protein; epg, eggs per gram; IDA, iron-deficiency anemia; LMIC, low-and middle-income country; MCV, mean corpuscular volume; NIDA, non– iron deficiency anemia; RTR, Remedios Trinidad Romualdez; sTfR, soluble transferrin receptor; ZPP, zinc protoporphyrin.</t>
  </si>
  <si>
    <t xml:space="preserve">Pasricha S.R., Drakesmith H., Iron deficiency anemia: problems in diagnosis and prevention at the population level, Hematol Oncol Clin North Am, 30, pp. 309-325, (2016); Leenstra T., Acosta L.P., Langdon G.C., Manalo D.L., Su L., Olveda R.M., McGarvey S.T., Kurtis J.D., Friedman J.F., Schistosomiasis japonica, anemia, and iron status in children, adolescents, and young adults in Leyte, Philippines, Am J Clin Nutr, 83, pp. 371-379, (2006); Leenstra T., Coutinho H.M., Acosta L.P., Langdon G.C., Su L., Olveda R.M., McGarvey S.T., Kurtis J.D., Friedman J.F., Schistosoma japonicum reinfection after praziquantel treatment causes anemia associated with inflammation, Infect Immun, 74, pp. 6398-6407, (2006); van den Broek N.R., Letsky E.A., Etiology of anemia in pregnancy in south Malawi, Am J Clin Nutr, 72, pp. 247S-56S, (2000); Kung'u J.K., Wright V.J., Haji H.J., Ramsan M., Goodman D., Tielsch J.M., Bickle Q.D., Raynes J.G., Stoltzfus R.J., Adjusting for the acute phase response is essential to interpret iron status indicators among young Zanzibari children prone to chronic malaria and helminth infections, J Nutr, 139, pp. 2124-2131, (2009); Righetti A.A., Adiossan L.G., Ouattara M., Glinz D., Hurrell R.F., N'Goran E.K., Wegmuller R., Utzinger J., Dynamics of anemia in relation to parasitic infections, micronutrient status, and increasing age in South- Central Cote d'Ivoire, J Infect Dis, 207, pp. 1604-1615, (2013); Assessing the iron status of populations: report of a Joint World Health Organization/Centers for Disease Control and Prevention Technical Consultation on the Assessment of Iron Status at the Population Level [Internet]; Pasricha S.R., Atkinson S.H., Armitage A.E., Khandwala S., Veenemans J., Cox S.E., Eddowes L.A., Hayes T., Doherty C.P., Demir A.Y., Et al., Expression of the iron hormone hepcidin distinguishes different types of anemia in African children, Sci Transl Med, 6, (2014); Bah A., Pasricha S.-R., Jallow M.W., Sise E.A., Wegmuller R., Armitage A.E., Drakesmith H., Moore S.E., Prentice A.M., Serum hepcidin concentrations decline during pregnancy and may identify iron deficiency: analysis of a longitudinal pregnancy cohort in The Gambia, J Nutr, 147, pp. 1131-1137, (2017); Andrews N.C., Forging a field: the golden age of iron biology, Blood, 112, pp. 219-230, (2008); Drakesmith H., Prentice A.M., Hepcidin and the iron-infection axis, Science, 338, pp. 768-772, (2012); Ganz T., Hepcidin, a key regulator of iron metabolism and mediator of anemia of inflammation, Blood, 102, pp. 783-788, (2003); Olveda R.M., Acosta L.P., Tallo V., Baltazar P.I., Lesiguez J.L., Estanislao G.G., Ayaso E.B., Monterde D.B., Ida A., Watson N., Et al., Efficacy and safety of praziquantel for the treatment of human schistosomiasis during pregnancy: a phase 2, randomised, double-blind, placebo-controlled trial, Lancet Infect Dis, 16, pp. 199-208, (2016); Stephenson L.S., Holland C.V., Cooper E.S., The public health significance of Trichuris trichiura, Parasitology, 121, pp. S73-S95, (2000); Prevention and control of intestinal parasitic infections: report of a WHO Expert Committee [Internet]; Widjana D.P., Sutisna P., Prevalence of soil-transmitted helminth infections in the rural population of Bali, Indonesia, Southeast Asian J Trop Med Public Health, 31, pp. 454-459, (2000); Maternal anthropometry and pregnancy outcomes: a WHO collaborative study, Bull World Health Organ, 73, pp. 1-98, (1995); Villar J., Cogswell M., Kestler E., Castillo P., Menendez R., Repke J.T., Effect of fat and fat-free mass deposition during pregnancy on birth weight, Am J Obstet Gynecol, 167, pp. 1344-1352, (1992); Coutinho H.M., Acosta L.P., McGarvey S.T., Jarilla B., Jiz M., Pablo A., Su L., Manalo D.L., Olveda R.M., Kurtis J.D., Et al., Nutritional status improves after treatment of schistosoma japonicum-infected children and adolescents, J Nutr, 136, pp. 183-188, (2006); Haemoglobin concentrations for the diagnosis of anaemia and assessment of severity; van den Broek N.R., Letsky E.A., White S.A., Shenkin A., Iron status in pregnant women: which measurements are valid?, Br J Haematol, 103, pp. 817-824, (1998); Siddappa A.M., Rao R., Long J.D., Widness J.A., Georgieff M.K., The assessment of newborn iron stores at birth: a review of the literature and standards for ferritin concentrations, Neonatology, 92, pp. 73-82, (2007); Olivares M., Walter T., Cook J.D., Hertrampf E., Pizarro F., Usefulness of serum transferrin receptor and serum ferritin in diagnosis of iron deficiency in infancy, Am J Clin Nutr, 72, pp. 1191-1195, (2000); Phiri K.S., Calis J.C., Siyasiya A., Bates I., Brabin B., van Hensbroek M.B., New cut-off values for ferritin and soluble transferrin receptor for the assessment of iron deficiency in children in a high infection pressure area, J Clin Pathol, 62, pp. 1103-1106, (2009); Youden W.J., Index for rating diagnostic tests, Cancer, 3, pp. 32-35, (1950); Raghavan R., Ashour F.S., Bailey R., A review of cutoffs for nutritional biomarkers, Adv Nutr, 7, pp. 112-120, (2016); Balarajan Y., Ramakrishnan U., Ozaltin E., Shankar A.H., Subramanian S.V., Anaemia in low-income and middle-income countries, Lancet, 378, pp. 2123-2135, (2011); Malaria Philippines profile [Internet]; Haider B.A., Olofin I., Wang M., Spiegelman D., Ezzati M., Fawzi W.W; Nutrition Impact Model Study Group., Anaemia, prenatal iron use, and risk of adverse pregnancy outcomes: systematic review and metaanalysis, BMJ, 346, (2013); Lubach G.R., Coe C.L., Preconception maternal iron status is a risk factor for iron deficiency in infant rhesus monkeys (Macaca mulatta, J Nutr, 136, pp. 2345-2349, (2006); Abioye A.I., Aboud S., Premji Z., Etheredge A.J., Gunaratna N.S., Sudfeld C.R., Mongi R., Meloney L., Darling A.M., Noor R.A., Et al., Iron supplementation affects hematologic biomarker concentrations and pregnancy outcomes among iron-deficient Tanzanian women, J Nutr, 146, pp. 1162-1171, (2016); Zhao G., Xu G., Zhou M., Jiang Y., Richards B., Clark K.M., Kaciroti N., Georgieff M.K., Zhang Z., Tardif T., Prenatal iron supplementation reduces maternal anemia, iron deficiency, and iron deficiency anemia in a randomized clinical trial in rural China, but iron deficiency remains widespread in mothers and neonates, J Nutr, 145, pp. 1916-1923, (2015); Morton S.B., Saraf R., Bandara D.K., Bartholomew K., Gilchrist C.A., Carr P.E.A., Baylis L., Wall C.R., Blacklock H.A., Tebbutt M., Maternal and perinatal predictors of newborn iron status, N Z Med J, 127, pp. 62-77, (2014); Preziosi P., Prual A., Galan P., Daouda H., Boureima H., Hercberg S., Effect of iron supplementation on the iron status of pregnant women: consequences for newborns, Am J Clin Nutr, 66, pp. 1178-1182, (1997); Etheredge A.J., Premji Z., Gunaratna N.S., Abioye A.I., Aboud S., Duggan C., Mongi R., Meloney L., Spiegelman D., Roberts D., Et al., Iron supplementation in iron-replete and nonanemic pregnant women in Tanzania: a randomized clinical trial, JAMA Pediatr, 169, pp. 947-955, (2015); Oppenheimer S.J., Gibson F.D., Macfarlane S.B., Moody J.B., Harrison C., Spencer A., Bunari O., Iron supplementation increases prevalence and effects ofmalaria: report on clinical studies in Papua New Guinea, Trans R Soc Trop Med Hyg, 80, pp. 603-612, (1986); Sazawal S., Black R.E., Ramsan M., Chwaya H.M., Stoltzfus R.J., Dutta A., Dhingra U., Kabole I., Deb S., Othman M.K., Et al., Effects of routine prophylactic supplementation with iron and folic acid on admission to hospital and mortality in preschool children in a high malaria transmission setting: community-based, randomised, placebocontrolled trial, Lancet, 367, pp. 133-143, (2006); Kabyemela E.R., Fried M., Kurtis J.D., Mutabingwa T.K., Duffy P.E., Decreased susceptibility to Plasmodium falciparum infection in pregnant women with iron deficiency, J Infect Dis, 198, pp. 163-166, (2008); Gwamaka M., Kurtis J.D., Sorensen B.E., Holte S., Morrison R., Mutabingwa T.K., Fried M., Duffy P.E., Iron deficiency protects against severe Plasmodium falciparum malaria and death in young children, Clin Infect Dis, 54, pp. 1137-1144, (2012); Friis H., Gomo E., Nyazema N., Ndhlovu P., Krarup H., Madsen P.H., Michaelsen K.F., Iron, haptoglobin phenotype, and HIV-1 viral load: a cross-sectional study among pregnant Zimbabwean women, J Acquir Immune Defic Syndr, 33, pp. 74-81, (2003); Schmiedel Y., Mombo-Ngoma G., Labuda L.A., Janse J.J., de Gier B., Adegnika A.A., Issifou S., Kremsner P.G., Smits H.H., Yazdanbakhsh M., CD4+CD25hiFOXP3+ regulatory T cells and cytokine responses in human schistosomiasis before and after treatment with praziquantel, PLoS Negl Trop Dis, 9, (2015); Glinz D., Hurrell R.F., Righetti A.A., Zeder C., Adiossan L.G., Tjalsma H., Utzinger J., Zimmermann M.B., N'Goran E.K., Wegmuller R., In Ivorian school-age children, infection with hookworm does not reduce dietary iron absorption or systemic iron utilization, whereas afebrile Plasmodium falciparum infection reduces iron absorption by half, Am J Clin Nutr, 101, pp. 462-470, (2015); van Santen S., Kroot J.J., Zijderveld G., Wiegerinck E.T., Spaanderman M.E., Swinkels D.W., The iron regulatory hormone hepcidin is decreased in pregnancy: a prospective longitudinal study, Clin Chem Lab Med, 51, pp. 1395-1401, (2013); El-Farrash R.A., Ismail E.A., Nada A.S., Cord blood iron profile and breast milk micronutrients in maternal iron deficiency anemia, Pediatr Blood Cancer, 58, pp. 233-238, (2012); Singla P.N., Tyagi M., Shankar R., Dash D., Kumar A., Fetal iron status in maternal anemia, Acta Paediatr, 85, pp. 1327-1330, (1996); Fuchs R., Ellinger I., Endocytic and transcytotic processes in villous syncytiotrophoblast: role in nutrient transport to the human fetus, Traffic, 5, pp. 725-738, (2004); Bastin J., Drakesmith H., Rees M., Sargent I., Townsend A., Localisation of proteins of iron metabolism in the human placenta and liver, Br J Haematol, 134, pp. 532-543, (2006); Gambling L., Czopek A., Andersen H.S., Holtrop G., Srai S.K., Krejpcio Z., McArdle H.J., Fetal iron status regulates maternal iron metabolism during pregnancy in the rat, Am J Physiol Regul Integr Comp Physiol, 296, pp. R1063-R1070, (2009)</t>
  </si>
  <si>
    <t xml:space="preserve">S. Park; The Warren Alpert Medical School of Brown University, Providence, United States; email: dvm.spark@gmail.com</t>
  </si>
  <si>
    <t xml:space="preserve">JONUA</t>
  </si>
  <si>
    <t xml:space="preserve">J. Nutr.</t>
  </si>
  <si>
    <t xml:space="preserve">2-s2.0-85050645086</t>
  </si>
  <si>
    <t xml:space="preserve">Laureano-Rosario A.E.; Duncan A.P.; Mendez-Lazaro P.A.; Garcia-Rejon J.E.; Gomez-Carro S.; Farfan-Ale J.; Savic D.A.; Muller-Karger F.E.</t>
  </si>
  <si>
    <t xml:space="preserve">Laureano-Rosario, Abdiel E. (57194003818); Duncan, Andrew P. (55796334200); Mendez-Lazaro, Pablo A. (56245075600); Garcia-Rejon, Julian E. (6507305116); Gomez-Carro, Salvador (24758181000); Farfan-Ale, Jose (6602646734); Savic, Dragan A. (35580202000); Muller-Karger, Frank E. (7006003656)</t>
  </si>
  <si>
    <t xml:space="preserve">57194003818; 55796334200; 56245075600; 6507305116; 24758181000; 6602646734; 35580202000; 7006003656</t>
  </si>
  <si>
    <t xml:space="preserve">Application of Artificial Neural Networks for Dengue Fever Outbreak Predictions in the Northwest Coast of Yucatan, Mexico and San Juan, Puerto Rico</t>
  </si>
  <si>
    <t xml:space="preserve">Modelling dengue fever in endemic areas is important to mitigate and improve vector-borne disease control to reduce outbreaks. This study applied artificial neural networks (ANNs) to predict dengue fever outbreak occurrences in San Juan, Puerto Rico (USA), and in several coastal municipalities of the state of Yucatan, Mexico, based on specific thresholds. The models were trained with 19 years of dengue fever data for Puerto Rico and six years for Mexico. Environmental and demographic data included in the predictive models were sea surface temperature (SST), precipitation, air temperature (i.e., minimum, maximum, and average), humidity, previous dengue cases, and population size. Two models were applied for each study area. One predicted dengue incidence rates based on population at risk (i.e., numbers of people younger than 24 years), and the other on the size of the vulnerable population (i.e., number of people younger than five years and older than 65 years). The predictive power was above 70% for all four model runs. The ANNs were able to successfully model dengue fever outbreak occurrences in both study areas. The variables with the most influence on predicting dengue fever outbreak occurrences for San Juan, Puerto Rico, included population size, previous dengue cases, maximum air temperature, and date. In Yucatan, Mexico, the most important variables were population size, previous dengue cases, minimum air temperature, and date. These models have predictive skills and should help dengue fever mitigation and management to aid specific population segments in the Caribbean region and around the Gulf of Mexico. © 2018 by the authors. Licensee MDPI, Basel, Switzerland.</t>
  </si>
  <si>
    <t xml:space="preserve">10.3390/tropicalmed3010005</t>
  </si>
  <si>
    <t xml:space="preserve">https://www.scopus.com/inward/record.uri?eid=2-s2.0-85060778665&amp;doi=10.3390%2ftropicalmed3010005&amp;partnerID=40&amp;md5=841409c40b19497da5965585f131ed3d</t>
  </si>
  <si>
    <t xml:space="preserve">Institute for Marine Remote Sensing, University of South Florida, College of Marine Science, 140 7th Avenue South, Saint Petersburg, 33701, FL, United States; Centre for Water Systems, University of Exeter, Harrison Building, North Park Road, Exeter, EX4 4QF, United Kingdom; Environmental Health Department, Graduate School of Public Health, University of Puerto Rico, Medical Sciences Campus, P.O. Box 365067, San Juan, PR, 00936, United States; Centro de Investigaciones Regionales, Lab de Arbovirologia, Unidad Inalámbrica, Universidad Autonoma de Yucatan, Calle 43 No. 613 x Calle 90, Colonia Inalambrica, Yucatan, Merida, C.P. 97069, Mexico; Servicios de Salud de Yucatan, Hospital General Agustin O’Horan Unidad de Vigilancia Epidemiologica, Avenida Itzaes s/n Av. Jacinto Canek, Centro, Yucatan, Merida, C.P. 97000, Mexico</t>
  </si>
  <si>
    <t xml:space="preserve">Laureano-Rosario A.E., Institute for Marine Remote Sensing, University of South Florida, College of Marine Science, 140 7th Avenue South, Saint Petersburg, 33701, FL, United States; Duncan A.P., Centre for Water Systems, University of Exeter, Harrison Building, North Park Road, Exeter, EX4 4QF, United Kingdom; Mendez-Lazaro P.A., Environmental Health Department, Graduate School of Public Health, University of Puerto Rico, Medical Sciences Campus, P.O. Box 365067, San Juan, PR, 00936, United States; Garcia-Rejon J.E., Centro de Investigaciones Regionales, Lab de Arbovirologia, Unidad Inalámbrica, Universidad Autonoma de Yucatan, Calle 43 No. 613 x Calle 90, Colonia Inalambrica, Yucatan, Merida, C.P. 97069, Mexico; Gomez-Carro S., Servicios de Salud de Yucatan, Hospital General Agustin O’Horan Unidad de Vigilancia Epidemiologica, Avenida Itzaes s/n Av. Jacinto Canek, Centro, Yucatan, Merida, C.P. 97000, Mexico; Farfan-Ale J., Centro de Investigaciones Regionales, Lab de Arbovirologia, Unidad Inalámbrica, Universidad Autonoma de Yucatan, Calle 43 No. 613 x Calle 90, Colonia Inalambrica, Yucatan, Merida, C.P. 97069, Mexico; Savic D.A., Centre for Water Systems, University of Exeter, Harrison Building, North Park Road, Exeter, EX4 4QF, United Kingdom; Muller-Karger F.E., Institute for Marine Remote Sensing, University of South Florida, College of Marine Science, 140 7th Avenue South, Saint Petersburg, 33701, FL, United States</t>
  </si>
  <si>
    <t xml:space="preserve">Aedes aegypti; Aedes albopictus; Early warning systems; Nonlinear models; Remote sensing</t>
  </si>
  <si>
    <t xml:space="preserve">accuracy; adult; age distribution; aged; air temperature; Article; artificial neural network; demographics; dengue; dry season; environmental factor; epidemic; groups by age; human; humidity; incidence; Mexico; population size; precipitation; predictive model; priority journal; Puerto Rico; rainy season; receiver operating characteristic; sea surface temperature; validation process; vulnerable population</t>
  </si>
  <si>
    <t xml:space="preserve">University of Puerto Rico-Medical Campus; USF College of Marine Science Linton Tibbetts Endowed; Universidad Autónoma de Yucatán, UADY; National Aeronautics and Space Administration, NASA, (NNX15AN60H); National Science Foundation, NSF, (1243510, 1444755)</t>
  </si>
  <si>
    <t xml:space="preserve">Funding text 1: We would like to thank the teams from the University of Puerto Rico-Medical Campus, Universidad Autonoma of Yucatan, and Centre for Water Systems for their help and input during this work. We would also like to thank the IMaRS team for their input and help in manuscript revisions. This material is based upon work supported by the National Science Foundation Partnerships for International Research (PIRE) under Grant No. 1243510, by NASA Headquarters under the NASA Earth and Science Fellowship Program Grant No. NNX15AN60H, and the USF College of Marine Science Linton Tibbetts Endowed Fellowship.; Funding text 2: Acknowledgments: We would like to thank the teams from the University of Puerto Rico-Medical Campus, Universidad Autonoma of Yucatan, and Centre for Water Systems for their help and input during this work. We would also like to thank the IMaRS team for their input and help in manuscript revisions. This material is based upon work supported by the National Science Foundation Partnerships for International Research (PIRE) under Grant No. 1243510, by NASA Headquarters under the NASA Earth and Science Fellowship Program Grant No. NNX15AN60H, and the USF College of Marine Science Linton Tibbetts Endowed Fellowship.</t>
  </si>
  <si>
    <t xml:space="preserve">Bhatt S., Gething P.W., Brady O.J., Messina J.P., Farlow A.W., Moyes C.L., Drake J.M., Brownstein J.S., Hoen A.G., Sankoh O., Et al., The global distribution and burden of dengue, Nature, 496, pp. 504-507, (2013); Laureano-Rosario A.E., Garcia-Rejon J.E., Gomez-Carro S., Farfan-Ale J.A., Muller-Karger F.E., Modelling dengue fever risk in the State of Yucatan, Mexico using regional-scale satellite-derived sea surface temperature, Acta Trop, 172, pp. 50-57, (2017); Murray N.E.A., Quam M.B., Wilder-Smith A., Epidemiology of dengue: Past, present and future prospects, Clin. Epidemiol, 5, pp. 299-309, (2013); Shepard D.S., Coudeville L., Halasa Y.A., Zambrano B., Dayan G.H., Economic impact of dengue illness in the Americas, Am. J. Trop. Med. Hyg, 84, pp. 200-207, (2011); Cheong W.H., Preferred Aedes aegypti larval habitats in urban areas, Bull. WHO, 36, (1967); Gubler D.J., Dengue and dengue hemorrhagic fever, Clin. Microbiol. Rev, 11, pp. 480-496, (1998); Gratz N.G., Emergency control of Aedes aegypti as a disease vector in urban areas, J. Am. Mosq. Control Assoc, 7, pp. 353-365, (1991); Perez-Guerra C.L., Halasa Y.A., Rivera R., Pena M., Ramirez V., Cano M.P., Shepard D.S., Economic cost of dengue public prevention activities in Puerto Rico, Dengue Bull, 34, pp. 13-23, (2010); Dick O.B., San Martin J.L., Montoya R.H., del Diego J., Zambrano B., Dayan G.H., The history of dengue outbreaks in the Americas, Am. J. Trop. Med. Hyg, 87, pp. 584-593, (2012); Manrique-Saide P., Che-Mendoza A., Barrera-Perez M., Guillermo-May G., Herrera-Bojorquez J., Dzul-Manzanilla F., Gutierrez-Castro C., Lenhart A., Vazquez-Prokopec G., Sommerfeld J., Et al., Use of insecticide-treated house screens to reduce infestations of dengue virus vectors, Mexico, Emerg. Infect. Dis, 21, pp. 308-311, (2015); Diaz-Quijano F.A., Waldman E.A., Factors associated with dengue mortality in Latin America and the Caribbean, 1995–2009: An ecological study, Am. J. Trop. Med. Hyg, 86, pp. 328-334, (2012); Stramer S.L., Linnen J.M., Carrick J.M., Foster G.A., Krysztof D.E., Zou S.M., Dodd R.Y., Tirado-Marrero L.M., Hunsperger E., Santiago G.A., Et al., Dengue viremia in blood donors identified by RNA and detection of dengue transfusion transmission during the 2007 dengue outbreak in Puerto Rico, Transfusion, 52, pp. 1657-1666, (2012); Dantes H.G., Farfan-Ale J.A., Sarti E., Epidemiological trends of dengue disease in Mexico (2000–2011): A systematic literature search and analysis, PLoS Negl. Trop. Dis, 8, (2014); De Salud S., Panoramas Históricos Epidemiológicos de Dengue, (2016); Mendez-Lazaro P., Muller-Karger F.E., Otis D., McCarthy M.J., Pena-Orellana M., Assessing climate variability effects on dengue incidence in San Juan, Puerto Rico, Int. J. Environ. Res. Public Health, 11, pp. 9409-9428, (2014); Sharp T.M., Hunsperger E., Santiago G.A., Munoz-Jordan J.L., Santiago L.M., Rivera A., Rodriguez-Acosta R.L., Feliciano L.G., Margolis H.S., Tomashek K.M., Virus-specific differences in rates of disease during the 2010 dengue epidemic in Puerto Rico, PLoS Negl. Trop. Dis, 7, (2013); Cavalcanti L.P., Viler D., Souza-Santos R., Teixeira M.G., Change in age pattern of persons with dengue, northeastern Brazil, Emerg. Infect. Dis, 17, pp. 132-134, (2011); Garcia-Rivera E.J., Rigau-Perez J.G., Dengue severity in the elderly in Puerto Rico, Rev. Panam. Salud Pública, 13, pp. 362-368, (2003); Guzman M.G., Kouri G., Bravo J., Valdes L., Vazquez S., Halstead S.B., Effect of age on outcome of secondary dengue 2 infections, Int. J. Infect. Dis, 6, pp. 118-124, (2002); Garcia-Rejon J.E., Lorono-Pino M.A., Farfan-Ale J.A., Flores-Flores L.F., Lopez-Uribe M.P., Najera-Vazquez M.D., Nunez-Ayala G., Beaty B.J., Eisen L., Mosquito infestation and dengue virus infection in Aedes aegypti females in schools in Merida, Mexico, Am. J. Trop. Med. Hyg, 84, pp. 489-496, (2011); Halasa Y.A., Shepard D.S., Zeng W., Economic cost of dengue in Puerto Rico, Am. J. Trop. Med. Hyg, 86, pp. 745-752, (2012); Hladish T.J., Pearson C.A.B., Chao D.L., Rojas D.P., Recchia G.L., Gomez-Dantes H., Halloran M.E., Pulliam J.R.C., Longini I.M., Projected impact of dengue vaccination in Yucatan, Mexico, PLoS Negl. Trop. Dis, 10, (2016); Deming R., Manrique-Saide P., Barreiro A.M., Cardena E.U.K., Che-Mendoza A., Jones B., Liebman K., Vizcaino L., Vazquez-Prokopec G., Lenhart A., Spatial variation of insecticide resistance in the dengue vector Aedes aegypti presents unique vector control challenges, Parasites Vectors, 9, (2016); Gubler D.J., The global threat of emergent/re-emergent vector-borne diseases, Vector Biology, Ecology and Control, pp. 39-62, (2010); Dobson A., Climate variability, global change, immunity, and the dynamics of infectious diseases, Ecology, 90, pp. 920-927, (2009); Tabachnick W.J., Challenges in predicting climate and environmental effects on vector-borne disease episystems in a changing world, J. Exp. Biol, 213, pp. 946-954, (2010); Racloz V., Ramsey R., Tong S.L., Hu W.B., Surveillance of dengue fever virus: A review of epidemiological models and early warning systems, PLoS Negl. Trop. Dis, 6, (2012); Medeiros L.C.D., Castilho C.A.R., Braga C., de Souza W.V., Regis L., Monteiro A.M.V., Modeling the dynamic transmission of dengue fever: Investigating disease persistence, PLoS Negl. Trop. Dis, 5, (2011); Parham P.E., Michael E., Modeling the effects of weather and climate change on malaria transmission, Environ. Health Perspect, 118, pp. 620-626, (2010); Husin N.A., Salim N., Ahmad A.R., Modeling of dengue outbreak prediction in Malaysia: A comparison of neural network and nonlinear regression model, Proceedings of the International Symposium on Information Technology, pp. 1796-1799, (2008); Wu Y., Lee G., Fu X.J., Hung T., Detect climatic factors contributing to dengue outbreak based on wavelet, support vector machines and genetic algorithm, Proceedings of the World Congress on Engineering 2008, 1, pp. 303-307, (2008); Rachata N., Charoenkwan P., Yooyativong T., Chamnongthai K., Lursinsap C., Higuchi K., Automatic prediction system of dengue haemorrhagic-fever outbreak risk by using entropy and artificial neural network, Proceedings of the International Symposium on Communications and Information Technologies, (2008); Aburas H.M., Cetiner B.G., Sari M., Dengue confirmed-cases prediction: A neural network model, Expert Syst. Appl, 37, pp. 4256-4260, (2010); Hwang S., Clarite D.S., Elijorde F.I., Gerardo B.D., Byun Y., A web-based analysis for dengue tracking and prediction using artificial neural network, Advanced Science and Technology Letters, 122, pp. 160-164, (2016); Nishanthi P., Perera A., Wijekoon H., Prediction of dengue outbreaks in Sri Lanka using artificial neural networks, Int. J. Comput. Appl, 101, pp. 1-5, (2014); Lee K.Y., Chung N., Hwang S., Application of an artificial neural network (ANN) model for predicting mosquito abundances in urban areas, Ecol. Inform, 36, pp. 172-180, (2016); Focks D.A., Barrera R., Dengue Transmission Dynamics: Assessment and Implications for Control. Special Programme for Research and Training in Tropical Diseases, (2006); Halstead S.B., Pathogenesis of dengue—Challenges to molecular biology, Science, 239, pp. 476-481, (1988); Monath T.P., Yellow fever and dengue—The interactions of virus, vector and host in the re-emergence of epidemic disease, Semin. Virol, 5, pp. 133-145, (1994); Almeida M.C.D., Caiaffa W.T., Assuncao R.M., Proietti F.A., Spatial vulnerability to dengue in a Brazilian urban area during a 7-year surveillance, J. Urban Health Bull. N. Y. Acad. Med, 84, pp. 334-345, (2007); Murphy D.J., Hall M.H., Hall C.A.S., Heisler G.M., Stehman S.V., Anselmi-Molina C., The relationship between land cover and the urban heat island in northeastern Puerto Rico, Int. J. Climatol, 31, pp. 1222-1239, (2011); Herrera Silveira J.A., Spatial heterogeneity and seasonal patterns in a tropical coastal lagoon, J. Coast. Res, 10, pp. 738-746, (1994); Gonzalez F.U.T., Ilveira J., Aguirre-Macedo M.L., Water quality variability and eutrophic trends in karstic tropical coastal lagoons of the Yucatan Peninsula, Estuar. Coast. Shelf Sci, 76, pp. 418-430, (2008); Colon-Gonzalez F.J., Lake I.R., Bentham G., Climate variability and dengue fever in warm and humid Mexico, Am. J. Trop. Med. Hyg, 84, pp. 757-763, (2011); Thai K.T.D., Nishiura H., Hoang P.L., Tran N.T.T., Phan G.T., Le H.Q., Tran B.Q., van Nguyen N., de Vries P.J., Age-specificity of clinical dengue during primary and secondary infections, PLoS Negl. Trop. Dis, 5, (2011); Hammond S.N., Balmaseda A., Perez L., Tellez Y., Saborio S.I., Mercado J.C., Videa E., Rodriguez Y., Perez M.A., Cuadra R., Et al., Differences in dengue severity in infants, children, and adults in a 3-year hospital-based study in Nicaragua, Am. J. Trop. Med. Hyg, 73, pp. 1063-1070, (2005); Rigau-Perez J.G., Vorndam A.V., Clark G.G., The dengue and dengue hemorrhagic fever epidemic in Puerto Rico, 1994–1995, Am. J. Trop. Med. Hyg, 64, pp. 67-74, (2001); Duncan A., Chen A.S., Keedwell E., Djordjevic S., Savic D., Urban flood prediction in real-time from weather radar and rainfall data using artificial neural networks, Proceedings of the Weather Radar and Hydrology International Symposium, (2011); Duncan A., Chen A.S., Keedwell E., Djordjevic S., Savic D., RAPIDS: Early warning system for urban flooding and water quality hazards, Proceedings of the Machine Learning in Water Systems Symposium: Part of AISB Annual Convention 2013, (2013); Deb K., Pratap A., Agarwal S., Meyarivan T., A fast and elitist multiobjective genetic algorithm: NSGA-II, IEEE Trans. Evol. Comput, 6, pp. 182-197, (2002); Duncan A.P., The Analysis and Application of Artificial Neural Networks for Early Warning Systems in Hydrology and the Environment, (2014); Cawley G.C., Talbot N.L.C., Efficient leave-one-out cross-validation of kernel Fisher discriminant classifiers, Pattern Recognit, 36, pp. 2585-2592, (2003); Stidson R.T., Gray C.A., McPhail C.D., Development and use of modelling techniques for real-time bathing water quality predictions, Water Environ. J, 26, pp. 7-18, (2012); Basheer I.A., Hajmeer M., Artificial neural networks: Fundamentals, computing, design, and application, J. Microbiol. Methods, 43, pp. 3-31, (2000); Haykin S., Neural Networks: A Comprehensive Foundation, (1999); Duncan A., Tyrrell D., Smart N., Keedwell E., Djordjevic S., Savic D., Comparison of machine learning classifier models for bathing water quality exceedances in UK, Proceedings of the 35th IAHR World Congress, (2013); Teklehaimanot H.D., Schwartz J., Teklehaimanot A., Lipsitch M., Alert threshold algorithms and malaria epidemic detection, Emerg. Infect. Dis, 10, pp. 1220-1226, (2004); Althouse B.M., Yng Ng Y., Cummings D.A., Prediction of dengue incidence using search query surveillance, PLoS Negl. Trp. Dis, 5, (2011); Ocampo C.B., Mina N.J., Carabali M., Alexander N., Osorio L., Reduction in dengue cases observed during mass control of Aedes (Stegomyia) in street catch basins in an endemic urban area in Colombia, Acta Trop, 132, pp. 15-22, (2014); Hanley J.A., McNeil B.J., The meaning and use of the area under a receiver operating characteristic (ROC) curve, Radiology, 143, pp. 29-36, (1982); Brady O.J., Johansson M.A., Guerra C.A., Bhatt S., Golding N., Pigott D.M., Delatte H., Grech M.G., Leisnham P.T., de Freitas R.M., Et al., Modelling adult Aedes aegypti and Aedes albopictus survival at different temperatures in laboratory and field settings, Parasites Vectors, 6, (2013); Johansson M.A., Dominici F., Glass G.E., Local and global effects of climate on dengue transmission in Puerto Rico, PLoS Negl. Trop. Dis, 3, (2009); Colon-Gonzalez F.J., Fezzi C., Lake I.R., Hunter P.R., The effects of weather and climate change on dengue, PLoS Negl. Trop. Dis, 7, (2013); Ten Bosch Q.A., Singh B.K., Hassan M.R.A., Chadee D.D., Michael E., The role of serotype interactions and seasonality in dengue model selection and control: Insights from a pattern matching approach, PLoS Negl. Trop. Dis, 10, (2016); Chan M., Johansson M.A., The incubation periods of dengue viruses, PLoS ONE, 7, (2012); Eisen L., Garcia-Rejon J.E., Gomez-Carro S., Vazquez M.D.N., Keefe T.J., Beaty B.J., Lorono-Pino M.A., Temporal correlations between mosquito-based dengue virus surveillance measures or indoor mosquito abundance and dengue case numbers in Merida City, Mexico, J. Med. Entomol, 51, pp. 885-890, (2014); Guabiraba R., Ryffel B., Dengue virus infection: Current concepts in immune mechanisms and lessons from murine models, Immunology, 141, pp. 143-156, (2014); Liu-Helmersson J., Stenlund H., Wilder-Smith A., Rocklov J., Vectorial capacity of Aedes aegypti: Effects of temperature and implications for global dengue epidemic potential, PLoS ONE, 9, (2014); Gubler D.J., Clark G.G., Dengue/dengue hemorrhagic fever—The emergences of a global health problem, Emerg. Infect. Dis, 1, pp. 55-57, (1995); Rothman A.L., Dengue: Defining protective versus pathologic immunity, J. Clin. Investig, 113, pp. 946-951, (2004); Paaijmans K.P., Cator L.J., Thomas M.B., Temperature-dependent pre-bloodmeal period and temperature-driven asynchrony between parasite development and mosquito biting rate reduce malaria transmission intensity, PLoS ONE, 8, (2013); Hu W.B., Clements A., Williams G., Tong S.L., Dengue fever and El Niño/southern oscillation in Queensland, Australia: A time series predictive model, Occup. Environ. Med, 67, pp. 307-311, (2010); Johansson M.A., Cummings D.A.T., Glass G.E., Multiyear climate variability and dengue-El Niño southern oscillation, weather, and dengue incidence in Puerto Rico, Mexico, and Thailand: A longitudinal data analysis, PLoS Med, 6, (2009); Patz J.A., Campbell-Lendrum D., Holloway T., Foley J.A., Impact of regional climate change on human health, Nature, 438, pp. 310-317, (2005); Ramadona A.L., Lazuardi L., Hii Y.L., Holmner A., Kusnanto H., Rocklov J., Prediction of dengue outbreaks based on disease surveillance and meteorological data, PLoS ONE, 11, (2016); Amancio F.F., Ferraz M.L., Almeida M.C.D., Pessanha J.E.M., Iani F.C.M., Fraga G.L., Lambertucci J.R., Carneiro M., Dengue virus serotype 4 in a highly susceptible population in southeast Brazil, J. Infect. Public Health, 7, pp. 547-552, (2014); Briseno-Garcia B., Gomez-Dantes H., ArgottRamirez E., Montesano R., Vazquez-Martinez A.L., Ibanez-Bernal S., Madrigal-Ayala G., Ruiz-Matus C., Flisser A., Tapia-Conyer R., Potential risk for dengue hemorrhagic fever: The isolation of serotype dengue-3 in Mexico, Emerg. Infect. Dis, 2, pp. 133-135, (1996); Vazquez-Pichardo M., Rosales-Jimenez C., Nunez-Leon A., Rivera-Osorio P., Cruz-Hernandez S.D.L., Ruiz-Lopez A., González–Mateos, S.; López–Martínez, I.; Rodríguez–Martínez, J.C.; López–Gatell, H.; et al. Serotipos de dengue en México durante 2009 y 2010, Bol. Médico Hosp. Infant. Mex, 68, pp. 103-110, (2011); Gomez-Carro S., Mendez-Dominguez N., Mendez-Galvan J., Dengue seropositivity in a randomly selected sample from Yucatan analyzed in the context of dengue cases reported between 1996 and 2006, J. Epidemiol. Res, 3, (2016); Garcia-Rejon J., Lorono-Pino M.A., Farfan-Ale J.A., Flores-Flores L., Rosado-Paredes E.D., Rivero-Cardenas N., Najera-Vazquez R., Gomez-Carro S., Lira-Zumbardo V., Gonzalez-Martinez P., Et al., Dengue virus-infected Aedes aegypti in the home environment, Am. J. Trop. Med. Hyg, 79, pp. 940-950, (2008); Badurdeen S., Valladares D.B., Farrar J., Gozzer E., Kroeger A., Kuswara N., Ranzinger S.R., Tinh H.T., Leite P., Mahendradhata Y., Et al., Sharing experiences: towards an evidence-based model of dengue surveillance and outbreak response in Latin America and Asia, BMC Public Health, 13, (2013); Runge-Ranzinger S., McCall P.J., Kroeger A., Horstick O., Dengue disease surveillance: An updated systematic literature review, Trop. Med. Int. Health, 19, pp. 1116-1160, (2014); Martinez Torres E., Dengue, Estud. Avançados, 22, pp. 33-52, (2008); Guzman M.G., Brathwaite O., Enria D., Hunsperger E., Kouri G., Montoya R., San Martin J.L., Dengue in the American Region: An update, J. Clin. Virol, 27, pp. 1-13, (2013); Guzman M.G., Kouri G., Dengue: An update, Lancet Infect. Dis, 2, pp. 33-42, (2002)</t>
  </si>
  <si>
    <t xml:space="preserve">A.E. Laureano-Rosario; Institute for Marine Remote Sensing, University of South Florida, College of Marine Science, Saint Petersburg, 140 7th Avenue South, 33701, United States; email: elias3@mail.usf.edu</t>
  </si>
  <si>
    <t xml:space="preserve">2-s2.0-85060778665</t>
  </si>
  <si>
    <t xml:space="preserve">Jayashree L.S.; Lakshmi Devi R.; Papandrianos N.; Papageorgiou E.I.</t>
  </si>
  <si>
    <t xml:space="preserve">Jayashree, L.S. (16047732000); Lakshmi Devi, R. (57208683685); Papandrianos, Nikolaos (24779749100); Papageorgiou, Elpiniki I. (56429800100)</t>
  </si>
  <si>
    <t xml:space="preserve">16047732000; 57208683685; 24779749100; 56429800100</t>
  </si>
  <si>
    <t xml:space="preserve">Application of Fuzzy Cognitive Map for geospatial dengue outbreak risk prediction of tropical regions of Southern India</t>
  </si>
  <si>
    <t xml:space="preserve">BACKGROUND: Dengue is one of the serious mosquito-borne diseases predominantly caused by the bites of infected Aedes mosquitoes. The global incidence of dengue has significantly increased in the last few years. According to the World Health Organization (WHO), there exist 390 million dengue fever cases worldwide. In India, the number of cases of dengue was doubled during 2014 and 2015. Different geographical regions possess different levels of dengue outbreak risk depending on the meteorological, socioeconomic and lifestyle parameters such as cleanliness around the house, water storage practice, use of mosquito repellent, family history etc. Hence, a geospatial categorization helps in exercising timely prevention mechanism by the public health service personnel before the real outbreak occurs. METHODS: The presented work attempts to classify the dengue outbreak risk of the given geographical region using Fuzzy Cognitive Map (FCM). In this research study, medical experts contributed to construct the FCM model for assessing dengue risk. This model was trained using data-driven nonlinear Hebbian learning (DD-NHL) algorithm for 71 data samples collected from suburban areas of Chennai city, one of the tropical regions of Southern India. The new contribution of this research work is the application of the FCM methodology with its Hebb-based learning capabilities in the specific application case study. The proposed FCM model classifies the dengue outbreak risk of the given region into three categories, namely high, moderate and low. RESULTS: A large number of experiments were conducted with diverse configurations and different learning parameters of Hebb-based learning algorithms, as well as with different architectures of artificial neural networks (mainly for comparison purposes). Through the comparative analysis, also the standard machine learning based classifiers such as Multilayer Perceptron, Support Vector Machine (SVM), Decision Tree, Naive Bayesian classifier, etc. were used. CONCLUSIONS: The accuracy of the proposed FCM-based classification approach is much better than the benchmark machine learning algorithms, which show deficiency working with small datasets and without be able to use experts' knowledge. Dengue is one of the serious mosquito-borne diseases predominantly caused by the bites of infected Aedes mosquitoes. It causes a wide spectrum of illness ranging from mild asymptomatic illness to severe fatal Dengue Hemorrhagic Fever/Dengue Shock Syndrome (DHF/DSS). The global incidence of dengue has significantly increased in the last few years. According to the World Health Organization (WHO), there exist 390 million dengue fever cases worldwide. In India, number of cases of dengue was doubled during 2014 and 2015. Different geographical regions possess different levels of dengue outbreak risk depending on the meteorological, social and lifestyle factors such as cleanliness around the house, water storage practice, use of mosquito repellent, family history etc. The presented work attempts to classify the dengue outbreak risk of the given geographical region. © 2018 - IOS Press and the authors. All rights reserved.</t>
  </si>
  <si>
    <t xml:space="preserve">Intelligent Decision Technologies</t>
  </si>
  <si>
    <t xml:space="preserve">10.3233/IDT-180330</t>
  </si>
  <si>
    <t xml:space="preserve">https://www.scopus.com/inward/record.uri?eid=2-s2.0-85044388649&amp;doi=10.3233%2fIDT-180330&amp;partnerID=40&amp;md5=467e1a1e26e6bf9d4b3a065d4714d78a</t>
  </si>
  <si>
    <t xml:space="preserve">Computer Science Engineering, PSG College of Technology, Coimbatore, India; Affiliations As Computer Applications, GSS Jain College, Chennai, India; Nursing Department, Technological Educational Institute of Central Greece, Lamia, 35100, Greece; Computer Engineering Department, Technological Educational Institute of Central Greece, Lamia, 35100, Greece</t>
  </si>
  <si>
    <t xml:space="preserve">Jayashree L.S., Computer Science Engineering, PSG College of Technology, Coimbatore, India; Lakshmi Devi R., Affiliations As Computer Applications, GSS Jain College, Chennai, India; Papandrianos N., Nursing Department, Technological Educational Institute of Central Greece, Lamia, 35100, Greece; Papageorgiou E.I., Computer Engineering Department, Technological Educational Institute of Central Greece, Lamia, 35100, Greece</t>
  </si>
  <si>
    <t xml:space="preserve">Artificial intelligence; Classification (of information); Cognitive systems; Data mining; Decision trees; Digital storage; Diseases; Fuzzy rules; Fuzzy systems; Geographical regions; Health; Health risks; Learning systems; Mosquito control; Neural networks; Risk assessment; Support vector machines; Tropical engineering; Classification approach; Dengue hemorrhagic fever; Different architectures; Learning capabilities; Mosquito-borne disease; Naive Bayesian Classifier; Public health services; World Health Organization; Learning algorithms</t>
  </si>
  <si>
    <t xml:space="preserve">The Dengue Strategic Plan for the Asia Pacific Region 2008-2015, (2008); Dengue Bulletin, (2014); Wongkoon S., Pollar M., Jaroensutasinee M., Jaroensutasinee K., Predicting dhf incidence in northern Thailand using time series analysis technique, International Journal of Biological and Life Sciences, 4, (2008); Gubler D.J., Dengue and dengue haemorrhagic fever, Clinical Microbiology Reviews, 11, pp. 480-496, (1998); Dengue: Guidelines for Diagnosis, Treatment, Prevention and Control, (2009); Luz P.M., Mendes B.V.M., Codeco C.T., Struchiner C.J., Galvani A.P., Time series analysis of dengue incidence in rio de janeiro Brazil, Am J Trop Med Hyg, 79, pp. 933-939, (2008); Jayashree L.S., Devi L.R., Dinesh R., Early warning system for dengue outbreak-A preliminary approach using time series forecasting, International Journal of Applied Engineering Research, 10, 3, pp. 9443-9455, (2015); Phunga D., Huang C., Rutherford S., Chu C., Wang X., Nguyen M., Nguyen N.H., Manh C.D., Identification of the prediction model for dengue incidence in can tho city, a mekong delta area in Vietnam, ActaTropica, 141 A, pp. 88-96, (2015); Hii Y.L., Zhu H., Ng N., Ng L.C., Rocklov J., Forecast of dengue incidence using temperature and rainfall, PLoS Negl Trop Dis, 6, (2012); Gharbi M., Quenel P., Gustave J., Cassadou S., Ruche G.L., Girdary L., Et al., Time series analysis of dengue incidence in guadeloupe, French west indies: Forecasting models using climate variables as predictors, BMC Infect Dis, 11, pp. 1-13, (2011); Choudhury M.A.H., Banu S., Islam M.A., Forecasting dengue incidence in Dhaka, Bangladesh: A time series analysis, Dengue Bull, 32, pp. 29-37, (2008); Earnest A., Tan S.B., Wilder-Smith A., MacHin D., Comparing statistical models to predict dengue fever notifications, Comput Math Methods Med, pp. 1-6, (2012); Fathima S., Hundewale N., Comparison of classification techniques-SVM and naives bayes to predict the arboviral disease-dengue, IEEE Int, Conf. Bio Informa, pp. 538-539, (2011); Ibrahim F., Faisal T., Non-invasive diagnosis of risk in dengue patients using bioelectrical impedance analysis and artificial neural network, Med Biol Eng Comput, 48, pp. 1141-1148, (2010); Kosko B., Fuzzy cognitive maps, International Journal of Man-Machine Studies, 24, pp. 65-75, (1986); Papageorgiou E.I., Froelich W., Application of evolutionary fuzzy cognitive maps for prediction of pulmonary infections, IEEE Transaction on Information Technology in Biomedicine, 16, 1, pp. 143-149, (2012); Papageorgiou E.I., Fuzzy cognitive maps for applied sciences and engineering-from fundamentals to extensions and learning algorithms, Intelligent Systems Reference Library, 54, (2014); Papageorgiou E.I., Parsopoulos K.E., Stylios C.D., Groumpos P.P., Vrahatis M.N., Fuzzy cognitive maps learning using particle swarm optimization, J Intell Inf Syst, 25, 1, pp. 95-121, (2005); Papageorgiou E.I., Spyridonos P., Glotsos D., Stylios C.D., Groumpos P.P., Nikiforidis G., Brain tumor characterization using the soft computing technique of fuzzy cognitive maps, Applied Soft Computing, 8, pp. 820-828, (2008); Mago V., Et al., Supporting meningitis diagnosis amongst infants and children through the use of fuzzy cognitive mapping, BMC Med. Inform. Decis. Making, 12, pp. 98-105, (2012); Lee S., Et al., Development of a decision making system for selection of dental implant abutments based on the fuzzy cognitive map, Expert Syst. Appl, pp. 11564-11575, (2012); Papageorgiou E.I., Papandrianos N.I., Karagianni G., Sfyras D., Fuzzy cognitive map based approach for assessing pulmonary infections, Lect. Notes Comput. Sci./LNAI 5722, pp. 109-118; Rauch J., Et al., Proc. of 18th International Symposium on Methodologies for Intelligent Systems, ISMIS2009, (2009); Papageorgiou E.I., Fuzzy cognitive map software tool for treatment management of uncomplicated urinary tract infection, Comput. Methods Prog. Biomed, 105, 3, pp. 233-245, (2012); Lopes M.H., Ortega N.R., Silveira P.S., Massad E., Higa R., Marin Hde F., Fuzzy cognitive map in differential diagnosis of alterations in urinary elimination: A nursing approach, Int. J. Med. Inform, 82, 3, pp. 201-208, (2013); Papageorgiou E.I., Stylios C.D., Groumpos P.P., Unsupervised learning techniques for fine-tuning fcm causal links, intern, Journal of Human-Computer Studies, 64, pp. 727-743, (2006); Papakostas G.A., Koulouriotis D.E., Polydoros A.S., Tourassis V.D., Towards hebbian learning of fuzzy cognitive maps in pattern classification problems, Expert Syst. Appl, 39, 12, pp. 10620-10629, (2012); Amirkhani A., Mosavi M.R., Mohammadizadeh F., Shokouhi S.B., Classification of intraductal breast lesions based on the fuzzy cognitive map, Arab. J. Sci. Eng, 39, pp. 3723-3732, (2014); Mpillis A., Papageorgiou E.I., Frantzidis C.A., Tsatali M.S., Tsolaki A.C., Bamidis P.D., A decision-support framework for promoting independent living and ageing well, IEEE J. Biomed. Health Inform, 19, 1, pp. 199-209, (2015); Papageorgiou E.I., Kannappan A., Fuzzy cognitive map ensemble learning paradigm to solve classification problems: Application to autism identification, Appl. Soft Comput, 12, 12, pp. 3798-3809, (2012); Subramanian J., Karmegam A., Papageorgiou E.I., Papandrianos N., A risk management model for familial breast cancer: A new application using fuzzy cognitive map method, Comput. Methods Program. Bio-med, 122, 2, pp. 123-135, (2015); Gotoh K., Murakami J., Yamaguchi T., Yamanaka A., Application of fuzzy cognitive maps to supporting for plant control, in, SICE Joint Symposium of 15th System Symposium and 10th Knowledge Engineering Symposium, (1989); Styblinski M.A., Meyer B.D., Signal flow graphs vs fuzzy cognitive maps in application to qualitative circuit analysis, Int. J. Man Mach. Stud, 35, (1991); Subramanian J., Karmegam A., Papageorgiou E., Papandrianos N., Vasukie A., An integrated breast cancer risk assessment and risk management model based on fuzzy cognitive maps, Comput. Methods Program. Bio-med, 118, 3, pp. 280-297, (2015); Jayashree L.S., Palakkal N., Papageorgiou E.I., Papageorgiou K., Application of fuzzy cognitive maps in precision agriculture: A case study on coconut yield management of southern India's malabar region, Neural Comput Appl, 26, 8, pp. 1963-1978, (2015); Senniappan V., Subramanian J., Papageorgiou E., Mohan S., Application of fuzzy cognitive maps for crack categorization in columns of reinforced concrete structures, Neural Computing and Applications, (2016); Padmavathy C., Jayashree L.S., A computer-Assisted crack predicting system for oil and gas pipelines using fuzzy cognitive map, European Journal of Applied Sciences, 7, 3, pp. 145-151, (2015); Natarajan R., Subramanina J., Papageorgiou E.I., Hybrid learning of fuzzy cognitive maps for sugarcane yield classification, Computers and Electronics in Agric, 27, pp. 147-157, (2016); Kosko B., Neural Networks and Fuzzy Systems A Dynamical Systems Approach to Machine Intelligence, (1992); Siriyasatien P., Phumee A., Ongruk P., Jampachaisri K., Kesorn K., Analysis of significant factors for dengue fever incidence prediction, BMC Bioinformatics, 17, (2016); Papageorgiou E.I., Froelich W., Application of evolutionary fuzzy cognitive maps for prediction of pulmonary infections, IEEE Transaction on Information Technology in Biomedicine, 16, 1, pp. 143-149, (2012); Motlagh O., Tang S.H., Ramli A.R., Nakhaeinia D., A fcm modeling for using a priori knowledge: Application study in modeling quadruped walking, Neural Comput Appl, 21, 5, pp. 1007-1015, (2012); Palaez E., Bowles J.B., Using fuzzy cognitive maps as a system model for failure modes and effects analysis, Inf Sci, 88, pp. 177-199, (1996); Papageorgiou E.I., Groumpos P.P., A new hybrid learning algorithm for fuzzy cognitive maps learning, Applied Soft Computing, 5, pp. 409-431, (2005); Froelich W., Wakulicz-Deja A., Predictive capabilities of adaptive and evolutionary fuzzy cognitive maps-A comparative study, Intel. Sys.For Know. Management, 252, pp. 153-174, (2009); Stach W., Kurgan L.A., Pedrycz W., Reformat M., Genetic learning of fuzzy cognitive maps, Fuzzy Sets and Systems, 153, 3, pp. 371-401, (2005); Papageorgiou E.I., Salmeron J.L., A review of fuzzy cognitive maps research during the last decade, IEEE Transactions on Fuzzy Systems, 21, 1, pp. 66-79, (2013); Papageorgiou E.I., Salmeron J.L., Learning fuzzy grey cognitive maps using nonlinear hebbian-based approach, Int. J. Approx. Reason, 53, pp. 54-65, (2012); Stach W., Kurgan L., Pedrycz W., Data-driven nonlinear hebbian learning method for fuzzy cognitive maps, FUZZIEEE 2008 (IEEE World Congress on Computational Intelligence), IEEE International Conference on Fuzzy Systems, (2008); Wojciech S., Lukasz K., Pedrycz W., Data-driven nonlinear hebbian learning method for fuzzy cognitive maps, IEEE International Conference on Fuzzy Systems, FUZZ-IEEE, pp. 1975-1981, (2008); Halide H., Rais Ridd P., Early warning system for dengue hemorrhagic fever (dhf) epidemics in makassar, Journal Matematika Dan Sains, 16, (2008); Buczak A.L., Koshute P.T., Babin S.M., Feighner B.H., Lewis S.H., A data-driven epidemiological prediction method for dengue outbreaks using local and remote sensing data, BMC Medical Informatics and Decision Making, (2012); Yuhanis Y., Zuriani M., Dengue outbreak prediction: A least squares support vector machines approach, International Journal of Computer Theory and Engineering, 3, 4, (2011); Tsadiras A.K., Comparing the inference capabilities of binary, trivalent and sigmoid fuzzy cognitive maps, Information Sciences, 178, 20, pp. 3880-3890, (2008); Stylios C.D., Georgopoulos V.C., Groumpos P.P., Introducing the theory of fuzzy cognitive maps in distributed systems, Proceedings of the 12th IEEE Lnternational Symposium on Intelligent Control, pp. 55-60, (1997); Papageorgiou E.I., Learning algorithms for fuzzy cognitive maps: A review study, IEEE Transaction on Systems, Man and Cybernetics-part C, Applications and Reviews, 42, 2, pp. 150-163, (2012)</t>
  </si>
  <si>
    <t xml:space="preserve">E.I. Papageorgiou; Computer Engineering Department, Technological Educational Institute of Central Greece, Lamia, 35100, Greece; email: epapageorgiou@teiste.gr</t>
  </si>
  <si>
    <t xml:space="preserve">Intelligent Decis. Technol</t>
  </si>
  <si>
    <t xml:space="preserve">2-s2.0-85044388649</t>
  </si>
  <si>
    <t xml:space="preserve">Kotlyar S.; Olupot-Olupot P.; Nteziyaremye J.; Akech S.O.; Uyoga S.; Muhindo R.; Moore C.L.; Maitland K.</t>
  </si>
  <si>
    <t xml:space="preserve">Kotlyar, Simon (52463736100); Olupot-Olupot, Peter (23987091400); Nteziyaremye, Julius (55611435000); Akech, Samuel O. (16400964500); Uyoga, Sophie (9042273400); Muhindo, Rita (57194002701); Moore, Christopher L. (55748131800); Maitland, Kathryn (57189230439)</t>
  </si>
  <si>
    <t xml:space="preserve">52463736100; 23987091400; 55611435000; 16400964500; 9042273400; 57194002701; 55748131800; 57189230439</t>
  </si>
  <si>
    <t xml:space="preserve">Assessment of myocardial function and injury by echocardiography and cardiac biomarkers in African children with severe plasmodium falciparum Malaria</t>
  </si>
  <si>
    <t xml:space="preserve">                             Objectives: Perturbed hemodynamic function complicates severe malaria. The Fluid Expansion as Supportive Therapy trial demonstrated that fluid resuscitation, involving children with severe malaria, was associated with increased mortality, primarily due to cardiovascular collapse, suggesting that myocardial dysfunction may have a role. The aim of this study was to characterize cardiac function in children with severe malaria. Design: A prospective observational study with clinical, laboratory, and echocardiographic data collected at presentation (T0) and 24 hours (T1) in children with severe malaria. Cardiac index and ejection fraction were calculated at T0 and T1. Cardiac troponin I and brain natriuretic peptide were measured at T0. We compared clinical and echocardiographic variables in children with and without severe malarial anemia (hemoglobin &lt; 5 mg/dL) at T0 and T1. Setting: Mbale Regional Referral Hospital. Patients: Children 3 months to 12 years old with severe falciparum malaria. Interventions: Usual care. Measurements and Main Results: We enrolled 104 children, median age 23.3 months, including 61 children with severe malarial anemia. Cardiac troponin I levels were elevated (&gt; 0.1 ng/mL) in n equals to 50, (48%), and median brain natriuretic peptide was within normal range (69.1 pg/mL; interquartile range, 48.4-90.8). At T0, median Cardiac index was significantly higher in the severe malarial anemia versus nonsevere malarial anemia group (6.89 vs 5.28 L/min/m                             2                             ) (p = 0.001), which normalized in both groups at T1 (5.60 vs 5.13 L/min/m                             2                             ) (p = 0.452). Cardiac index negatively correlated with hemoglobin, r equals to -0.380 (p &lt; 0.001). Four patients (3.8%) had evidence of depressed cardiac systolic function (ejection fraction &lt; 45%). Overall, six children died, none developed pulmonary edema, biventricular failure, or required diuretic treatment. Conclusions: Elevation of cardiac index, due to increased stroke volume, in severe malaria is a physiologic response to circulatory compromise and correlates with anemia. Following whole blood transfusion and antimalarial therapy, cardiac index in severe malarial anemia returns to normal. The majority (&gt; 96%) of children with severe malaria have preserved myocardial systolic function. Although there is evidence for myocardial injury (elevated cardiac troponin I), this does not correlate with cardiac dysfunction.                          © 2017 The Author(s).</t>
  </si>
  <si>
    <t xml:space="preserve">10.1097/PCC.0000000000001411</t>
  </si>
  <si>
    <t xml:space="preserve">https://www.scopus.com/inward/record.uri?eid=2-s2.0-85044268576&amp;doi=10.1097%2fPCC.0000000000001411&amp;partnerID=40&amp;md5=9f4b5498e64a11ec972588444fd7c7ce</t>
  </si>
  <si>
    <t xml:space="preserve">Department of Emergency Medicine, Yale School of Medicine, New Haven, CT, United States; London School of Hygiene and Tropical Medicine, London, United Kingdom; Mbale Clinical Research Institute, Mbale Regional Referral Hospital, Mbale, Uganda; Kenya Medical Research Institute (KEMRI), Wellcome Trust Research Programme, Kilifi, Kenya; Department of Pediatrics, Wellcome Trust Centre for Global Health, Imperial College, London, United Kingdom</t>
  </si>
  <si>
    <t xml:space="preserve">Kotlyar S., Department of Emergency Medicine, Yale School of Medicine, New Haven, CT, United States, London School of Hygiene and Tropical Medicine, London, United Kingdom; Olupot-Olupot P., Mbale Clinical Research Institute, Mbale Regional Referral Hospital, Mbale, Uganda; Nteziyaremye J., Mbale Clinical Research Institute, Mbale Regional Referral Hospital, Mbale, Uganda; Akech S.O., Kenya Medical Research Institute (KEMRI), Wellcome Trust Research Programme, Kilifi, Kenya; Uyoga S., Kenya Medical Research Institute (KEMRI), Wellcome Trust Research Programme, Kilifi, Kenya; Muhindo R., Mbale Clinical Research Institute, Mbale Regional Referral Hospital, Mbale, Uganda; Moore C.L., Department of Emergency Medicine, Yale School of Medicine, New Haven, CT, United States; Maitland K., Kenya Medical Research Institute (KEMRI), Wellcome Trust Research Programme, Kilifi, Kenya, Department of Pediatrics, Wellcome Trust Centre for Global Health, Imperial College, London, United Kingdom</t>
  </si>
  <si>
    <t xml:space="preserve">Cardiac; Echocardiography; Falciparum; Malaria; Pediatric</t>
  </si>
  <si>
    <t xml:space="preserve">Anemia; Biomarkers; Blood Transfusion; Child; Child, Preschool; Echocardiography; Female; Fluid Therapy; Humans; Infant; Malaria, Falciparum; Male; Natriuretic Peptide, Brain; Prospective Studies; Troponin I; Uganda; Ventricular Dysfunction; Ventricular Function; brain natriuretic peptide; hemoglobin; troponin I; biological marker; brain natriuretic peptide; troponin I; African; Article; cardiac index; child; controlled clinical trial; controlled study; disease severity; echocardiography; enzyme linked immunosorbent assay; female; heart ejection fraction; heart function; hemoglobin blood level; human; infant; major clinical study; malaria falciparum; male; observational study; priority journal; prospective study; protein blood level; anemia; blood; blood transfusion; complication; echocardiography; epidemiology; etiology; fluid therapy; heart ventricle function; malaria falciparum; physiology; preschool child; procedures; statistics and numerical data; Uganda</t>
  </si>
  <si>
    <t xml:space="preserve">brain natriuretic peptide, 114471-18-0; hemoglobin, 9008-02-0; troponin I, 77108-40-8; Biomarkers, ; Natriuretic Peptide, Brain, ; Troponin I, </t>
  </si>
  <si>
    <t xml:space="preserve">ELH-CTN1; ELHBNP RayBio Elisa, RayBiotech; Phillips CX50 Ultrasound System, Philips Healthcare, United States</t>
  </si>
  <si>
    <t xml:space="preserve">Philips Healthcare, United States; RayBiotech</t>
  </si>
  <si>
    <t xml:space="preserve">Wellcome Trust Center for Global Health, (100693/Z/12/Z); National Center for Advancing Translational Sciences, NCATS, (UL1TR001863); National Center for Advancing Translational Sciences, NCATS; Philips Oral Healthcare; London School of Hygiene and Tropical Medicine, LSHTM; Wellcome Trust, WT; Medical Research Council, MRC, (G0801439); Medical Research Council, MRC; Department for International Development, UK Government, DFID</t>
  </si>
  <si>
    <t xml:space="preserve">1Department of Emergency Medicine, Yale School of Medicine, New Haven, CT. 2London School of Hygiene and Tropical Medicine, London, United Kingdom. 3Mbale Clinical Research Institute, Mbale Regional Referral Hospital, Mbale, Uganda. 4Kenya Medical Research Institute (KEMRI)-Wellcome Trust Research Programme, Kilifi, Kenya. 5Department of Pediatrics, Faculty of Medicine, Wellcome Trust Centre for Global Health, Imperial College, London, United Kingdom. Supplemental digital content is available for this article. Direct URL citations appear in the printed text and are provided in the HTML and PDF versions of this article on the journal’s website (http://journals.lww.com/ pccmjournal). The FEAST trial was supported by a grant (G0801439) from the Medical Research Council (MRC), United Kingdom provided through the (MRC) Department for International Development concordat, Centres for Global Health Research, Imperial College Wellcome Trust Center for Global Health, United Kingdom (100693/Z/12/Z). Dr. Kotlyar received funding from London School of Hygiene and Tropical Medicine (research support grant), and he received support for article research from Wellcome Trust/ COAF. Dr. Maitland received support for article research from Wellcome Trust/COAF and Research Councils United Kingdom. Dr. Moore disclosed that this project was supported by a loan of ultrasound equipment from Philips Healthcare to Yale University for collection of echo data, and his institution received funding from Philips Healthcare. The remaining authors have disclosed that they do not have any potential conflicts of interest. For information regarding this article, E-mail: k.maitland@imperial.ac.uk Copyright © 2017 The Author(s). Published by Wolters Kluwer Health, Inc. on behalf of the Society of Critical Care Medicine and the World Federation of Pediatric Intensive and Critical Care Societies. This is an open access article distributed under the Creative Commons Attribution License 4.0 (CCBY), which permits unrestricted use, distribution, and reproduction in any medium, provided the original work is properly cited.</t>
  </si>
  <si>
    <t xml:space="preserve">Maitland K., Pamba A., Newton C.R., Et al., Response to volume resuscitation in children with severe malaria, Pediatr Crit Care Med, 4, pp. 426-431, (2003); English M., Sauerwein R., Waruiru C., Et al., Acidosis in severe childhood malaria, QJM, 90, pp. 263-270, (1997); Evans J.A., May J., Ansong D., Et al., Capillary refill time as an independent prognostic indicator in severe and complicated malaria, J Pediatr, 149, pp. 676-681, (2006); Krishna S., Waller D.W., Ter Kuile F., Et al., Lactic acidosis and hypoglycaemia in children with severe malaria: Pathophysiological and prognostic significance, Trans R Soc Trop Med Hyg, 88, pp. 67-73, (1994); Maitland K., Levin M., English M., Severe P., Et al., Falciparum malaria in Kenyan children: Evidence for hypovolaemia, QJM, 96, pp. 427-434, (2003); Molyneux M.E., Taylor T.E., Wirima J.J., Et al., Clinical features and prognostic indicators in paediatric cerebral malaria: A study of 131 comatose Malawian children, Q J Med, 71, pp. 441-459, (1989); Pamba A., Maitland K., Capillary refill: Prognostic value in Kenyan children, Arch Dis Child, 89, pp. 950-955, (2004); Waller D., Krishna S., Crawley J., Et al., Clinical features and outcome of severe malaria in Gambian children, Clin Infect Dis, 21, pp. 577-587, (1995); Clark I.A., Alleva L.M., Mills A.C., Et al., Pathogenesis of malaria and clinically similar conditions, Clin Microbiol Rev, 17, pp. 509-539, (2004); Rogerson S.J., Grau G.E., Hunt N.H., The microcirculation in severe malaria, Microcirculation, 11, pp. 559-576, (2004); Yacoub S., Lang H.J., Shebbe M., Et al., Cardiac function and hemodynamics in Kenyan children with severe malaria, Crit Care Med, 38, pp. 940-945, (2010); Murphy S., Cserti-Gazdewich C., Dhabangi A., Et al., Ultrasound findings in Plasmodium falciparum malaria: A pilot study, Pediatr Crit Care Med, 12, pp. e58-e63, (2011); Nguah S.B., Feldt T., Hoffmann S., Et al., Cardiac function in Ghanaian children with severe malaria, Intensive Care Med, 38, pp. 2032-2041, (2012); Maitland K., Kiguli S., Opoka R.O., Et al., Mortality after fluid bolus in African children with severe infection, N Engl J Med, 364, pp. 2483-2495, (2011); Maitland K., George E.C., Evans J.A., Et al., Exploring mechanisms of excess mortality with early fluid resuscitation: Insights from the FEAST trial, BMC Med, 11, (2013); Guidelines for the Treatment of Malaria. Second Edition, (2010); National Guidelines for Management of Common Conditions, (2012); Mosteller R.D., Simplified calculation of body-surface area, N Engl J Med, 317, (1987); Albers S., Mir T.S., Haddad M., Et al., N-Terminal pro-brain natriuretic peptide: Normal ranges in the pediatric population including method comparison and interlaboratory variability, Clin Chem Lab Med, 44, pp. 80-85, (2006); Correale M., Nunno L., Ieva R., Et al., Troponin in newborns and pediatric patients, Cardiovasc Hematol Agents Med Chem, 7, pp. 270-278, (2009); Domico M., Checchia P.A., Biomonitors of cardiac injury and performance: B-type natriuretic peptide and troponin as monitors of hemodynamics and oxygen transport balance, Pediatr Crit Care Med, 12, pp. S33-S42, (2011); Hirsch R., Landt Y., Porter S., Et al., Cardiac troponin I in pediatrics: Normal values and potential use in the assessment of cardiac injury, J Pediatr, 130, pp. 872-877, (1997); Koch A., Singer H., Normal values of B type natriuretic peptide in infants, children, and adolescents, Heart, 89, pp. 875-878, (2003); Mir T.S., Flato M., Falkenberg J., Et al., Plasma concentrations of N-terminal brain natriuretic peptide in healthy children, adolescents, and young adults: Effect of age and gender, Pediatr Cardiol, 27, pp. 73-77, (2006); Mir T.S., Marohn S., Laer S., Et al., Plasma concentrations of N-terminal pro-brain natriuretic peptide in control children from the neonatal to adolescent period and in children with congestive heart failure, Pediatrics, 110, (2002); Nir A., Nasser N., Clinical value of NT-ProBNP and BNP in pediatric cardiology, J Card Fail, 11, pp. S76-S80, (2005); Soldin S.J., Murthy J.N., Agarwalla P.K., Et al., Pediatric reference ranges for creatine kinase, CKMB, Troponin I, iron, and cortisol, Clin Biochem, 32, pp. 77-80, (1999); Cattermole G.N., Leung P.Y., Mak P.S., Et al., The normal ranges of cardiovascular parameters in children measured using the Ultrasonic Cardiac Output Monitor, Crit Care Med, 38, pp. 1875-1881, (2010); Kanaan U.B., Chiang V.W., Cardiac troponins in pediatrics, Pediatr Emerg Care, 20, pp. 323-329, (2004); Domico M., Liao P., Anas N., Et al., Elevation of brain natriuretic peptide levels in children with septic shock, Pediatr Crit Care Med, 9, pp. 478-483, (2008); Rauh M., Koch A., Plasma N-terminal pro-B-type natriuretic peptide concentrations in a control population of infants and children, Clin Chem, 49, pp. 1563-1564, (2003); Soldin S.J., Soldin O.P., Boyajian A.J., Et al., Pediatric brain natriuretic peptide and N-terminal pro-brain natriuretic peptide reference intervals, Clin Chim Acta, 366, pp. 304-308, (2006); Ocal B., Unal S., Zorlu P., Et al., Echocardiographic evaluation of cardiac functions and left ventricular mass in children with malnutrition, J Paediatr Child Health, 37, pp. 14-17, (2001); Hoffmann U., Brueckmann M., Bertsch T., Et al., Increased plasma levels of NT-proANP and NT-proBNP as markers of cardiac dysfunction in septic patients, Clin Lab, 51, pp. 373-379, (2005); Nir A., Lindinger A., Rauh M., Et al., NT-pro-B-type natriuretic peptide in infants and children: Reference values based on combined data from four studies, Pediatr Cardiol, 30, pp. 3-8, (2009); Fried I., Bar-Oz B., Algur N., Et al., Comparison of N-terminal pro-B-type natriuretic peptide levels in critically ill children with sepsis versus acute left ventricular dysfunction, Pediatrics, 118, pp. e1165-e1168, (2006); Fried I., Bar-Oz B., Perles Z., Et al., N-terminal pro-B-type natriuretic peptide levels in acute versus chronic left ventricular dysfunction, J Pediatr, 149, pp. 28-31, (2006); Fenton K.E., Sable C.A., Bell M.J., Et al., Increases in serum levels of troponin I are associated with cardiac dysfunction and disease severity in pediatric patients with septic shock, Pediatr Crit Care Med, 5, pp. 533-538, (2004); Raj S., Killinger J.S., Gonzalez J.A., Et al., Myocardial dysfunction in pediatric septic shock, J Pediatr, 164, pp. 72-72e2, (2014); Mocumbi A.O., Songane M., Salomao C., Et al., Lack of evidence of myocardial damage in children with Plasmodium falciparum severe and complicated malaria from an endemic area for endomyocardial fibrosis, J Trop Pediatr, 57, pp. 312-314, (2011); Brierley J., Peters M.J., Distinct hemodynamic patterns of septic shock at presentation to pediatric intensive care, Pediatrics, 122, pp. 752-759, (2008); Carcillo J.A., Fields A.I., Clinical practice parameters for hemodynamic support of pediatric and neonatal patients in septic shock, Crit Care Med, 30, pp. 1365-1378, (2002); Pollack M.M., Fields A.I., Ruttimann U.E., Distributions of cardiopulmonary variables in pediatric survivors and nonsurvivors of septic shock, Crit Care Med, 13, pp. 454-459, (1985); Ceneviva G., Paschall J.A., Maffei F., Et al., Hemodynamic support in fluid-refractory pediatric septic shock, Pediatrics, 102, (1998); Parrillo J.E., Myocardial depression during septic shock in humans, Crit Care Med, 18, pp. 1183-1184, (1990); Parrillo J.E., Pathogenetic mechanisms of septic shock, N Engl J Med, 328, pp. 1471-1477, (1993); Parrillo J.E., Parker M.M., Natanson C., Et al., Septic shock in humans. Advances in the understanding of pathogenesis, cardiovascular dysfunction, and therapy, Ann Intern Med, 113, pp. 227-242, (1990); Maitland K., Marsh K., Pathophysiology of severe malaria in children, Acta Trop, 90, pp. 131-140, (2004)</t>
  </si>
  <si>
    <t xml:space="preserve">K. Maitland; Kenya Medical Research Institute (KEMRI), Wellcome Trust Research Programme, Kilifi, Kenya; email: k.maitland@imperial.ac.uk</t>
  </si>
  <si>
    <t xml:space="preserve">2-s2.0-85044268576</t>
  </si>
  <si>
    <t xml:space="preserve">Sun G.G.; Song Y.Y.; Jiang P.; Ren H.N.; Yan S.W.; Han Y.; Liu R.D.; Zhang X.; Wang Z.Q.; Cui J.</t>
  </si>
  <si>
    <t xml:space="preserve">Sun, Ge Ge (56447561200); Song, Yan Yan (57192388456); Jiang, Peng (56353138400); Ren, Hua Na (57217049679); Yan, Shu Wei (57202322729); Han, Yue (57202322989); Liu, Ruo Dan (20734560200); Zhang, Xi (55964088700); Wang, Zhong Quan (56582811800); Cui, Jing (56491991200)</t>
  </si>
  <si>
    <t xml:space="preserve">56447561200; 57192388456; 56353138400; 57217049679; 57202322729; 57202322989; 20734560200; 55964088700; 56582811800; 56491991200</t>
  </si>
  <si>
    <t xml:space="preserve">Characterization of a Trichinella spiralis putative serine protease. Study of its potential as sero-diagnostic tool</t>
  </si>
  <si>
    <t xml:space="preserve">Background: Trichinellosis is a serious zoonositc parasitosis worldwide. Because its clinical manifestations aren’t specific, the diagnosis of trichinellosis is not easy to be made. Trichinella spiralis muscle larva (ML) excretory–secretory (ES) antigens are the most widely applied diagnostic antigens for human trichinellosis, but the major drawback of the ES antigens for assaying anti-Trichinella antibodies is the false negative in the early Trichinella infection period. The aim of this study was to characterize the T. spiralis putative serine protease (TsSP) and to investigate its potential use for diagnosis of trichinellosis. Methodology/Principal findings: The full-length TsSP sequence was cloned and expressed, and recombinant TsSP (rTsSP) was purified by Ni-NTA-Sefinose Column. On Western blotting analysis the rTsSP was recognized by T. spiralis-infected mouse serum, and the natural TsSP was identified in T. spiralis ML crude and ES antigens by using anti-rTsSP serum. Expression of TsSP was detected at various T. spiralis developmental stages (newborn larvae, muscle larvae, intestinal infective larvae and adult worms). Immunolocalization identified the TsSP principally in cuticles and stichosomes of the nematode. The sensitivity of rTsSP-ELISA and ES-ELISA was 98.11% (52/53) and 88.68% (47/53) respectively (P &gt; 0.05) when the sera from trichinellosis patients were examined. However, while twenty-one serum samples of trichinellosis patients’ sera at 19 days post-infection (dpi) were tested, the sensitivity (95.24%) of rTsSP-ELISA was distinctly higher than 71.43% of ES-ELISA (P &lt; 0.05). The specificity (99.53%) of rTsSP-ELISA was remarkably higher than 91.98% of ES-ELISA (P &lt; 0.01). Only one out of 20 serum samples of cysticercosis patients cross-reacted with the rTsSP. Specific anti-Trichinella IgG in infected mice was first detected by rTsSP-ELISA as soon as 7 dpi and antibody positive rate reached 100% on 10 dpi, whereas the ES-ELISA did not permit detection of 100% of infected mice before 16 dpi. Conclusions: The rTsSP is a potential early diagnostic antigen for human trichinellosis. © 2018 Sun et al. http://creativecommons.org/licenses/by/4.0/</t>
  </si>
  <si>
    <t xml:space="preserve">e0006485</t>
  </si>
  <si>
    <t xml:space="preserve">10.1371/journal.pntd.0006485</t>
  </si>
  <si>
    <t xml:space="preserve">https://www.scopus.com/inward/record.uri?eid=2-s2.0-85047854976&amp;doi=10.1371%2fjournal.pntd.0006485&amp;partnerID=40&amp;md5=556248050e719dd34c2e338eb08a0181</t>
  </si>
  <si>
    <t xml:space="preserve">Department of Parasitology, Medical College, Zhengzhou University, Zhengzhou, China</t>
  </si>
  <si>
    <t xml:space="preserve">Sun G.G., Department of Parasitology, Medical College, Zhengzhou University, Zhengzhou, China; Song Y.Y., Department of Parasitology, Medical College, Zhengzhou University, Zhengzhou, China; Jiang P., Department of Parasitology, Medical College, Zhengzhou University, Zhengzhou, China; Ren H.N., Department of Parasitology, Medical College, Zhengzhou University, Zhengzhou, China; Yan S.W., Department of Parasitology, Medical College, Zhengzhou University, Zhengzhou, China; Han Y., Department of Parasitology, Medical College, Zhengzhou University, Zhengzhou, China; Liu R.D., Department of Parasitology, Medical College, Zhengzhou University, Zhengzhou, China; Zhang X., Department of Parasitology, Medical College, Zhengzhou University, Zhengzhou, China; Wang Z.Q., Department of Parasitology, Medical College, Zhengzhou University, Zhengzhou, China; Cui J., Department of Parasitology, Medical College, Zhengzhou University, Zhengzhou, China</t>
  </si>
  <si>
    <t xml:space="preserve">Animals; Antibodies, Helminth; Antigens, Helminth; Cross Reactions; Enzyme-Linked Immunosorbent Assay; Female; Helminth Proteins; Humans; Mice; Mice, Inbred BALB C; Serine Proteases; Trichinella spiralis; Trichinellosis; serine proteinase; helminth antibody; helminth protein; parasite antigen; serine proteinase; adult; Article; clonorchiasis; cysticercosis; echinococcosis; enzyme linked immunosorbent assay; female; gene; human; immunofluorescence; male; mouse; nonhuman; paragonimiasis; polymerase chain reaction; protein expression; reverse transcription polymerase chain reaction; schistosomiasis; sparganosis; Trichinella spiralis; trichinosis; TsSP gene; Western blotting; animal; Bagg albino mouse; cross reaction; enzymology; genetics; immunology; isolation and purification; parasitology; Trichinella spiralis; trichinosis</t>
  </si>
  <si>
    <t xml:space="preserve">proprotein convertase 9, ; serine protease HTRA1, ; serine proteinase, 37259-58-8; Antibodies, Helminth, ; Antigens, Helminth, ; Helminth Proteins, ; Serine Proteases, </t>
  </si>
  <si>
    <t xml:space="preserve">National Natural Science Foundation of China, NSFC, (81471981, 81672043, U1704284)</t>
  </si>
  <si>
    <t xml:space="preserve">This study was supported by grants of the National Natural Science Foundation of China (nos. 81672043, 81471981 and U1704284). The funders had no role in study design, data collection and analysis, decision to publish, or preparation of the manuscript.</t>
  </si>
  <si>
    <t xml:space="preserve">Rostami A., Gamble H.R., Dupouy-Camet J., Khazan H., Bruschi F., Meat sources of infection for outbreaks of human trichinellosis, Food Microbiol, 64, pp. 65-71, (2017); Wang Z.Q., Li L.Z., Jiang P., Liu L.N., Cui J., Molecular identification and phylogenetic analysis of Trichinella isolates from different provinces in mainland China, Parasitol Res, 110, pp. 753-757, (2012); Murrell K.D., Pozio E., Worldwide occurrence and impact of human trichinellosis 1986–2009, Emerg Infect Dis, 17, pp. 2194-2202, (2011); Cui J., Wang Z.Q., Xu B.L., The epidemiology of human trichinellosis in China during 2004–2009, Acta Trop, 118, pp. 1-5, (2011); Cui J., Wang Z.Q., An epidemiological overview of swine trichinellosis in China, Vet J, 190, pp. 324-328, (2011); Cui J., Jiang P., Liu L.N., Wang Z.Q., Survey of Trichinella infections in domestic pigs from northern and eastern Henan, China, Vet Parasitol, 194, pp. 133-135, (2013); Jiang P., Zhang X., Wang L.A., Han L.H., Yang M., Et al., Survey of Trichinella infection from domestic pigs in the historical endemic areas of Henan province, central China, Parasitol Res, 115, pp. 4707-4709, (2016); Bruschi F., Trichinellosis in developing countries: is it neglected?, J Infect Dev Ctries, 6, pp. 216-222, (2012); Dupouy-Camet J., Kociecka W., Bruschi F., Bolas-Fernandez F., Pozio E., Opinion on the diagnosis and treatment of human trichinellosis, Expert Opin Pharmacother, 3, pp. 1117-1130, (2002); Gamble H.R., Pozio E., Bruschi F., Nockler K., Kapel C.M.O., Et al., International commission on trichinellosis: Recommendations on the use of serological tests for the detection of Trichinella infection in animals and man, Parasite, 11, pp. 3-13, (2004); Cui J., Wang L., Sun G.G., Liu L.N., Zhang S.B., Et al., Characterization of a Trichinella spiralis 31 kDa protein and its potential application for the serodiagnosis of trichinellosis, Acta Trop, 142, pp. 57-63, (2015); Liu J.Y., Zhang N.Z., Li W.H., Li L., Yan H.B., Et al., Proteomic analysis of differentially expressed proteins in the three developmental stages of Trichinella spiralis, Vet Parasitol, 231, pp. 32-38, (2016); Yang J., Pan W., Sun X., Zhao X., Yuan G., Et al., Immunoproteomic profile of Trichinella spiralis adult worm proteins recognized by early infection sera, Parasit Vectors, 8, (2015); Xu D.M., Wen H., Wang L.A., Hu C.X., Qi X., Et al., Identification of early diagnostic antigens in soluble proteins of Trichinella spiralis adult worms by Western blot, Trop Biomed, 34, pp. 191-198, (2017); Tang B., Liu M.Y., Wang L.B., Yu S.Y., Shi H.N., Et al., Characterisation of a high-frequency gene encoding a strongly antigenic cystatin-like protein from Trichinella spiralis at its early invasion stage, Parasite Vector, 8, (2015); Sun G.G., Liu R.D., Wang Z.Q., Jiang P., Wang L., Et al., New diagnostic antigens for early trichinellosis: the excretory-secretory antigens of Trichinella spiralis intestinal infective larvae, Parasitol Res, 114, pp. 4637-4644, (2015); Sun G.G., Wang Z.Q., Liu C.Y., Jiang P., Liu R.D., Et al., Early serodiagnosis of trichinellosis by ELISA using excretory-secretory antigens of Trichinella spiralis adult worms, Parasite Vector, 8, (2015); Wang Z.Q., Shi Y.L., Liu R.D., Jiang P., Guan Y.Y., Et al., New insights on serodiagnosis of trichinellosis during window period: early diagnostic antigens from Trichinella spiralis intestinal worms, Infect Dis Poverty, 6, (2017); Liu R.D., Jiang P., Wen H., Duan J.Y., Wang L.A., Et al., Screening and characterization of early diagnostic antigens in excretory-secretory proteins from Trichinella spiralis intestinal infective larvae by immunoproteomics, Parasitol Res, 115, pp. 615-622, (2016); Liu R.D., Cui J., Liu X.L., Jiang P., Sun G.G., Et al., Comparative proteomic analysis of surface proteins of Trichinella spiralis muscle larvae and intestinal infective larvae, Acta Trop, 150, pp. 79-86, (2015); Cui J., Li N., Wang Z.Q., Jiang P., Lin X.M., Serodiagnosis of experimental sparganum infections of mice and human sparganosis by ELISA using ES antigens of Spirometra mansoni spargana, Parasitol Res, 108, pp. 1551-1556, (2011); Gamble H.R., Bessonov A.S., Cuperlovic K., Gajadhar A.A., van Knapen F., Et al., International Commission on Trichinellosis: recommendations on methods for the control of Trichinella in domestic and wild animals intended for human consumption, Vet Parasitol, 93, pp. 393-408, (2000); Li F Wang Z.Q., Cui J., Early detection by polymerase chain reaction of migratory Trichinella spiralis larvae in blood of experimental infected mice, Foodborne Pathog Dis, 7, pp. 887-892, (2010); Liu R.D., Cui J., Liu X.L., Jiang P., Sun G.G., Et al., Comparative proteomic analysis of surface proteins of Trichinella spiralis muscle larvae and intestinal infective larvae, Acta Trop, 150, pp. 79-86, (2015); Wu Z.L., Nagano I., Takahashi Y., Maekawa Y., Practical methods for collecting Trichinella parasites and their excretory-secretory products, Parasitol Int, 65, pp. 591-595, (2016); Wang L., Wang Z.Q., Cui J., Protein changes in Trichinella spiralis muscle larvae in vitro induced by bovine bile, Vet Parasitol, 194, pp. 164-167, (2013); Yang W., Li L.G., Liu R.D., Sun G.G., Liu C.Y., Et al., Molecular identification and characterization of Trichinella spiralis proteasome subunit beta type-7, Parasite Vector, 8, (2015); Petersen T.N., Brunak S., von Heijne G., Nielsen H., SignalP 4.0: discriminating signal peptides from transmembrane regions, Nat Methods, 8, pp. 785-786, (2011); Rice P., Longden I., Bleasby A., EMBOSS: the European Molecular Biology Open Software Suite, Trends Genet, 16, pp. 276-277, (2000); Rammensee H., Bachmann J., Emmerich N.P., Bachor O.A., Stevanovic S., SYFPEITHI: database for MHC ligands and peptide motifs, Immunogenetics, 50, pp. 213-219, (1999); Goujon M., McWilliam H., Li W., Valentin F., Squizzato S., Paern J., Lopez R., ) A new bioinformatics analysis tools framework at EMBLEBI, Nucleic Acids Res, pp. 695-699, (2010); Wang S.W., Wang Z.Q., Cui J., Protein change of intestinal epithelial cells induced in vitro by Trichinella spiralis infective larvae, Parasitol Res, 108, pp. 593-599, (2011); Bradford M.M., A rapid and sensitive method for the quantitation of microgram quantities of protein utilizing the principle of protein-dye binding, Anal Biochem, 7, pp. 248-254, (1976); Larkin M.A., Blackshields G., Brown N.P., Chenna R., McGettigan P.A., Et al., Clustal W and clustal X version 2.0, Bioinformatics, 23, pp. 2947-2948, (2007); Tamura K., Peterson D., Peterson N., Stecher G., Nei M., Et al., MEGA5: Molecular Evolutionary Genetics Analysis Using Maximum Likelihood, Evolutionary Distance, and Maximum Parsimony Methods, Mol Biol Evol, 28, pp. 2731-2739, (2011); Cui J., Ren H.J., Liu R.D., Wang L., Zhang Z.F., Wang Z.Q., ) Phage-displayed specific polypeptide antigens induce significant protective immunity against Trichinella spiralis infection in BALB/c mice, Vaccine, 31, pp. 1171-1177, (2013); Liu C.Y., Song Y.Y., Ren H.N., Sun G.G., Liu R.D., Et al., Cloning and expression of a Trichinella spiralis putative glutathione S-transferase and its elicited protective immunity against challenge infections, Parasit Vectors, 10, (2017); Wang B., Wang Z.Q., Jin J., Ren H.J., Liu L.N., Et al., Cloning, expression and characterization of a Trichinella spiralis serine protease gene encoding a 35.5 kDa protein, Exp Parasitol, 134, pp. 148-154, (2013); Wang Z.Q., Zhang S.B., Jiang P., Liu R.D., Long S.R., Et al., The siRNA-mediated silencing of Trichinella spiralis nudix hydrolase results in reduction of larval infectivity, Parasitol Res, 114, pp. 3551-3557, (2015); Wang L., Wang Z.Q., Cui J., Protein changes in Trichinella spiralis muscle larvae in vitro induced by bovine bile, Vet Parasitol, 194, pp. 164-167, (2013); Liu L.N., Wang Z.Q., Zhang X., Jiang P., Qi X., Et al., Characterization of Spirometra erinaceieuropaei Plerocercoid Cysteine Protease and Potential Application for Serodiagnosis of Sparganosis, PloS Neglect Trop Dis, 9, (2015); Zhang Y.L., Wang Z.Q., Li L.G., Cui J., Molecular characterization of Trichinella spiralis aminopeptidase and its potential as a novel vaccine candidate antigen against trichinellosis in BALB/c mice, Parasite Vector, 6, (2013); Bruschi F., Moretti A., Wassom D., Fioretti D.P., The use of a synthetic antigen for the serological diagnosis of human trichinellosis, Parasite, 8, pp. S141-S143, (2001); Kociecka W., Bruschi F., Marini C., Mrozewicz B., Pielok L., Clinical appraisal of patients and detection of serum antibodies by ELISA and CIA tests in late periods of Trichinella sp. invasion, Parasite, 8, pp. S147-S151, (2001); Nishiyama T., Araki T., Mizuno N., Wada T., Ide T., Et al., Detection of circulating antigens in human trichinellosis, Trans R Soc Trop Med Hyg, 86, pp. 292-293, (1992); Liu L.N., Jing F.J., Cui J., Fu G.Y., Wang Z.Q., Detection of circulating antigen in serum of mice infected with Trichinella spiralis by an IgY-IgM mAb sandwich ELISA, Exp Parasitol, 133, pp. 150-155, (2013); Liu X.L., Ren H.N., Shi Y.L., Hu C.X., Song Y.Y., Et al., Early detection of Trichinella spiralis DNA in the feces of experimentally infected mice by using PCR, Acta Trop, 166, pp. 351-355, (2017); Dupouy-Camet J., Bruschi F., Dupouy-Camet J., Murrell D., FAO/WHO/OIE Guidelines for the Surveillance, Management, Prevention and Control of Trichinellosis, pp. 37-39, (2007); Hedstrom L., Serine protease mechanism and specificity, Chem Rev, 102, pp. 4501-4524, (2002); Nagano I., Wu Z., Nakada T., Boonmars T., Takahashi Y., Molecular cloning and characterization of a serine proteinase gene of Trichinella spiralis, J Parasitol, 89, pp. 92-98, (2003); Yang Y., Wen Y., Cai Y.N., Vallee I., Boireau P., Et al., Serine proteases of parasitic helminths, Korean J Parasitol, 53, pp. 1-11, (2015); Romaris F., North S.J., Gagliardo L.F., Butcher B.A., Ghosh K., Et al., A putative serine protease among the excretory-secretory glycoproteins of L1 Trichinella spiralis, Mol Biochem Parasitol, 122, pp. 149-160, (2002); Robinson M.W., Connolly B., Proteomic analysis of the excretory-secretory proteins of the Trichinella spiralis L1 larva, a nematode parasite of skeletal muscle, Proteomics, 5, pp. 4525-4532, (2005); Criado-Fornelio A., de Armas-Serra C., Gimenez-Pardo C., Casado-Escribano N., Jimenez-Gonzalez A., Et al., Proteolytic enzymes from Trichinella spiralis larvae, Vet Parasitol, 45, pp. 133-140, (1992); Todorova V.K., Knox D.P., Kennedy M.W., Proteinases in the excretory/secretory products (ES) of adult Trichinella spiralis, Parasitology, 111, 2, pp. 201-208, (1995); Ren H.J., Cui J., Yang W., Liu R.D., Wang Z.Q., Identification of differentially expressed genes of Trichinella spiralis larvae after exposure to host intestine milieu, PLoS One, 8, (2013); Wang L., Wang Z.Q., Cui J., Proteomic analysis of the changed proteins of Trichinella spiralis infective larvae after co-culture in vitro with intestinal epithelial cells, Vet Parasitol, 194, pp. 160-163, (2013); Wang Z.Q., Liu R.D., Sun G.G., Song Y.Y., Jiang P., Et al., Proteomic Analysis of Trichinella spiralis Adult Worm Excretory-Secretory Proteins Recognized by Sera of Patients with Early Trichinellosis, Front Microbiol, 8, (2017); Pozio E., World distribution of Trichinella spp. infections in animals and humans, Vet Parasitol, 149, pp. 3-21, (2007); Robinson M.W., Greig R., Beattie K.A., Lamont D.J., Connolly B., Comparative analysis of the excretory-secretory proteome of the muscle larva of Trichinella pseudospiralis and Trichinella spiralis, Int J Parasitol, 37, pp. 139-148, (2007); Bien J., Cabaj W., Moskwa B., Proteomic analysis of potential immunoreactive proteins from muscle larvae and adult worms of Trichinella spiralis in experimentally infected pigs, Folia Parasitol (Praha), 62, (2015); Gao F., Liu X., Wu X.P., Wang X.L., Gong D., Et al., Differential DNA methylation in discrete developmental stages of the parasitic nematode Trichinella spiralis, Genome Biol, 13, (2012); Yang Y., Tong M., Bai X., Liu X., Cai X., Et al., Comprehensive proteomic analysis of lysine acetylation in the goodborne pathogen Trichinella spiralis, Front Microbiol, 8, (2018)</t>
  </si>
  <si>
    <t xml:space="preserve">Z.Q. Wang; Department of Parasitology, Medical College, Zhengzhou University, Zhengzhou, China; email: wangzq@zzu.edu.cn</t>
  </si>
  <si>
    <t xml:space="preserve">2-s2.0-85047854976</t>
  </si>
  <si>
    <t xml:space="preserve">Ashour A.S.; Hawas A.R.; Guo Y.</t>
  </si>
  <si>
    <t xml:space="preserve">Ashour, Amira S. (7005633559); Hawas, Ahmed Refaat (57201915980); Guo, Yanhui (55712447000)</t>
  </si>
  <si>
    <t xml:space="preserve">7005633559; 57201915980; 55712447000</t>
  </si>
  <si>
    <t xml:space="preserve">Comparative study of multiclass classification methods on light microscopic images for hepatic schistosomiasis fibrosis diagnosis</t>
  </si>
  <si>
    <t xml:space="preserve">Hepatic schistosomiasis is a prolonged disease resulting mainly from the solvable egg antigen of schistosomiasis infection due to the host’s granulomatous cell-mediated immune. Irreversible fibrosis results from the progress of the schistosomal hepatopathy. Sensitive diagnosis of this disease is based on the investigation of the microscopy images, liver tissues, and egg identification. Early diagnosis of schistosomiasis at its initial infection stage is vital to avoid egg-induced irreparable pathological reactions. Typically, there are several classification approaches that can be used for liver fibrosis staging. However, it is unclear which approaches can achieve high accuracy for analyzing and intelligently classifying the liver microscopic images. Consequently, this work aims to study the performance of the different machine learning classifiers for accurate fibrosis level staging of granuloma, namely cellular, fibrocellular and fibrotic granulomas as well as the normal samples. The classifiers include a multi-layer perceptron neural network, a decision tree, discriminant analysis, support vector machine (SVM), nearest neighbor, and the ensemble of classifiers. The statistical features of the microscopic images are extracted from the different fibrosis levels of granuloma, namely cellular, fibrocellular and fibrotic granulomas as well as the normal samples. The results established that the maximum achieved classification accuracies of value 90% were achieved using the subspace discriminant ensemble, the quadratic SVM, the linear SVM, or the linear discriminant classifiers. However, the linear discriminant classifier can be considered the superior classifier as it realized the best area under the curve of value 0.96 during the classification of the cellular granuloma as well as the fibro-cellular granuloma fibrosis levels. © 2018, Springer Nature Switzerland AG.</t>
  </si>
  <si>
    <t xml:space="preserve">10.1007/s13755-018-0047-z</t>
  </si>
  <si>
    <t xml:space="preserve">https://www.scopus.com/inward/record.uri?eid=2-s2.0-85078044463&amp;doi=10.1007%2fs13755-018-0047-z&amp;partnerID=40&amp;md5=439e06d085b678b92e4869000a30c824</t>
  </si>
  <si>
    <t xml:space="preserve">Department of Electronics and Electrical Communication Engineering, Faculty of Engineering, Tanta University, Tanta, Egypt; Department of Computer Science, University of Illinois at Springfield, Springfield, IL, United States</t>
  </si>
  <si>
    <t xml:space="preserve">Ashour A.S., Department of Electronics and Electrical Communication Engineering, Faculty of Engineering, Tanta University, Tanta, Egypt; Hawas A.R., Department of Electronics and Electrical Communication Engineering, Faculty of Engineering, Tanta University, Tanta, Egypt; Guo Y., Department of Computer Science, University of Illinois at Springfield, Springfield, IL, United States</t>
  </si>
  <si>
    <t xml:space="preserve">Decision tree; Discriminant analysis; Ensemble classifier; Fibrosis; Hepatic schistosomiasis; Nearest neighbor; Statistical features; Support vector machine</t>
  </si>
  <si>
    <t xml:space="preserve">animal experiment; animal model; Article; comparative study; controlled study; decision tree; fibrosis; granuloma; hepatic schistosomiasis fibrosis; image analysis; liver disease; liver fibrosis; mathematical parameters; microscopy; mouse; nonhuman; priority journal; schistosomiasis; support vector machine</t>
  </si>
  <si>
    <t xml:space="preserve">Burke M.L., Jones M.K., Gobert G.N., Li Y.S., Ellis M.K., McManus D.P., Immunopathogenesis of human schistosomiasis, Parasite Immunol., 31, 4, pp. 163-176, (2009); Lambertucci J.R., Cota G.F., Pinto-Silva R.A., Serufo J.C., Gerspacher-Lara R., Drummond S.C., Et al., Hepatosplenic schistosomiasis in field-based studies: a combined clinical and sonographic definition, Mem Inst Oswaldo Cruz., 96, pp. 147-150, (2001); Hotez P.J., Savioli L., Fenwick A., Neglected tropical diseases of the Middle East and North Africa: review of their prevalence, distribution, and opportunities for control, PLoS Negl Trop Dis., 6, 2, (2012); Andrade Z.D.A., Schistosomiasis and liver fibrosis, Parasite Immunol., 31, 11, pp. 656-663, (2009); Gailhouste L., Le Grand Y., Odin C., Guyader D., Turlin B., Ezan F., Et al., Fibrillar collagen scoring by second harmonic microscopy: a new tool in the assessment of liver fibrosis, J Hepatol., 52, 3, pp. 398-406, (2010); Mahmoud-Ghoneim D., Optimizing automated characterization of liver fibrosis histological images by investigating color spaces at different resolutions, Theor Biol Med Model., 8, 1, (2011); Stanciu S.G., Xu S., Peng Q., Yan J., Stanciu G.A., Welsch R.E., Et al., Experimenting liver fibrosis diagnostic by two photon excitation microscopy and bag-of-features image classification, Sci Rep., 4, (2014); Ali S., Smith K.A., On learning algorithm selection for classification, Appl Soft Comput., 6, 2, pp. 119-138, (2006); Cinque L., de Santis A., Di Giamberardino P., Iacoviello D., Placidi G., Pompili S., Et al., Design of a classification strategy for light microscopy images of the human liver, International Conference on Image Analysis and Processing, pp. 626-636, (2017); Mika S., Ratsch G., Weston J., Scholkopf B., Mullers K.R., Fisher discriminant analysis with kernels, Proceedings of the 1999 IEEE Signal Processing Society Workshop on Neural Networks for Signal Processing IX, pp. 41-48, (1999); Dudoit S., Fridlyand J., Speed T.P., Comparison of discrimination methods for the classification of tumors using gene expression data, J Am Stat Assoc., 97, 457, pp. 77-87, (2002); James G., Witten D., Hastie T., Tibshirani R., An introduction to statistical learning, 112, (2013); Kuhn M., Johnson K., Applied predictive modeling, 26, (2013); McLachlan G., Discriminant analysis and statistical pattern recognition, 544, (2004); Steinwart I., Christmann A., Support vector machines, (2008); Duan K.B., Keerthi S.S., Which is the best multiclass SVM method? An empirical study, International Workshop on Multiple Classifier Systems, pp. 278-285, (2005); Boiman O., Shechtman E., Irani M., In defense of nearest-neighbor based image classification, IEEE Conference on Computer Vision and Pattern Recognition, 2008. CVPR 2008. IEEE, pp. 1-8, (2008); Melgani F., Bruzzone L., Classification of hyperspectral remote sensing images with support vector machines, IEEE Trans Geosci Remote Sens., 42, 8, pp. 1778-1790, (2004); Sarkaleh A.K., Poorahangaryan F., Zanj B., Karami A., A neural network based system for Persian sign language recognition, IEEE International Conference on Signal and Image Processing Applications (ICSIPA), pp. 145-149, (2009); Dietterich T.G., Ensemble methods in machine learning, International Workshop on Multiple Classifier Systems, pp. 1-15, (2000); Kuncheva L.I., Rodriguez J.J., Plumpton C.O., Linden D.E., Johnston S.J., Random subspace ensembles for fMRI classification, IEEE Trans Med Imaging., 29, 2, pp. 531-542, (2010); Fraz M.M., Remagnino P., Hoppe A., Uyyanonvara B., Rudnicka A.R., Owen C.G., Barman S.A., An ensemble classification-based approach applied to retinal blood vessel segmentation, IEEE Trans Biomed Eng., 59, 9, pp. 2538-2548, (2012); Panahi N., Shayesteh M.G., Mihandoost S., Varghahan B.Z., Recognition of different datasets using PCA, LDA, and various classifiers, 2011 5Th International Conference on Application of Information and Communication Technologies (AICT), pp. 1-5, (2011); El-Naqa I., Yang Y., Wernick M.N., Galatsanos N.P., Nishikawa R.M., A support vector machine approach for detection of microcalcifications, IEEE Trans Med Imaging., 21, 12, pp. 1552-1563, (2002)</t>
  </si>
  <si>
    <t xml:space="preserve">Y. Guo; Department of Computer Science, University of Illinois at Springfield, Springfield, United States; email: yguo56@uis.edu</t>
  </si>
  <si>
    <t xml:space="preserve">2-s2.0-85078044463</t>
  </si>
  <si>
    <t xml:space="preserve">Li G.; Zhou X.; Liu J.; Chen Y.; Zhang H.; Chen Y.; Liu J.; Jiang H.; Yang J.; Nie S.</t>
  </si>
  <si>
    <t xml:space="preserve">Li, Guo (56211153700); Zhou, Xiaorong (56428100300); Liu, Jianbing (56075121700); Chen, Yuanqi (58748750700); Zhang, Hengtao (57201334557); Chen, Yanyan (55455392100); Liu, Jianhua (36664820400); Jiang, Hongbo (57069279900); Yang, Junjing (55455477700); Nie, Shaofa (18537215800)</t>
  </si>
  <si>
    <t xml:space="preserve">56211153700; 56428100300; 56075121700; 58748750700; 57201334557; 55455392100; 36664820400; 57069279900; 55455477700; 18537215800</t>
  </si>
  <si>
    <t xml:space="preserve">Comparison of three data mining models for prediction of advanced schistosomiasis prognosis in the Hubei province</t>
  </si>
  <si>
    <t xml:space="preserve">Background: In order to better assist medical professionals, this study aimed to develop and compare the performance of three models—a multivariate logistic regression (LR) model, an artificial neural network (ANN) model, and a decision tree (DT) model—to predict the prognosis of patients with advanced schistosomiasis residing in the Hubei province. Methodology/Principal findings: Schistosomiasis surveillance data were collected from a previous study based on a Hubei population sample including 4136 advanced schistosomiasis cases. The predictive models use LR, ANN, and DT methods. From each of the three groups, 70% of the cases (2896 cases) were used as training data for the predictive models. The remaining 30% of the cases (1240 cases) were used as validation groups for performance comparisons between the three models. Prediction performance was evaluated using area under the receiver operating characteristic curve (AUC), sensitivity, specificity, and accuracy. Univariate analysis indicated that 16 risk factors were significantly associated with a patient’s outcome of prognosis. In the training group, the mean AUC was 0.8276 for LR, 0.9267 for ANN, and 0.8229 for DT. In the validation group, the mean AUC was 0.8349 for LR, 0.8318 for ANN, and 0.8148 for DT. The three models yielded similar results in terms of accuracy, sensitivity, and specificity. Conclusions/Significance: Predictive models for advanced schistosomiasis prognosis, respectively using LR, ANN and DT models were proved to be effective approaches based on our dataset. The ANN model outperformed the LR and DT models in terms of AUC. © 2018 Li et al.</t>
  </si>
  <si>
    <t xml:space="preserve">e0006262</t>
  </si>
  <si>
    <t xml:space="preserve">10.1371/journal.pntd.0006262</t>
  </si>
  <si>
    <t xml:space="preserve">https://www.scopus.com/inward/record.uri?eid=2-s2.0-85044373255&amp;doi=10.1371%2fjournal.pntd.0006262&amp;partnerID=40&amp;md5=34f69357bbe32a27439e5fc7f2592f4b</t>
  </si>
  <si>
    <t xml:space="preserve">Department of Epidemiology and Health Statistics, School of Public Health, Tongji Medical College, Huazhong University of Science and Technology, Wuhan, Hubei, China; Hubei Provincial Center for Disease Control and Prevention, Wuhan, Hubei, China; Department of Mathematics, Wuhan University, Wuhan, Hubei, China; Yichang Center for Disease Control and Prevention, Yichang, Hubei, China; Department of Epidemiology and Biostatistics, School of Public Health, Guangdong Pharmaceutical University, Guangzhou, China</t>
  </si>
  <si>
    <t xml:space="preserve">Li G., Department of Epidemiology and Health Statistics, School of Public Health, Tongji Medical College, Huazhong University of Science and Technology, Wuhan, Hubei, China, Hubei Provincial Center for Disease Control and Prevention, Wuhan, Hubei, China; Zhou X., Hubei Provincial Center for Disease Control and Prevention, Wuhan, Hubei, China; Liu J., Hubei Provincial Center for Disease Control and Prevention, Wuhan, Hubei, China; Chen Y., Department of Mathematics, Wuhan University, Wuhan, Hubei, China; Zhang H., Department of Mathematics, Wuhan University, Wuhan, Hubei, China; Chen Y., Hubei Provincial Center for Disease Control and Prevention, Wuhan, Hubei, China; Liu J., Yichang Center for Disease Control and Prevention, Yichang, Hubei, China; Jiang H., Department of Epidemiology and Biostatistics, School of Public Health, Guangdong Pharmaceutical University, Guangzhou, China; Yang J., Hubei Provincial Center for Disease Control and Prevention, Wuhan, Hubei, China; Nie S., Department of Epidemiology and Health Statistics, School of Public Health, Tongji Medical College, Huazhong University of Science and Technology, Wuhan, Hubei, China</t>
  </si>
  <si>
    <t xml:space="preserve">China; Data Mining; Decision Trees; Epidemiological Monitoring; Female; Humans; Logistic Models; Male; Neural Networks (Computer); Predictive Value of Tests; Prognosis; Risk Factors; ROC Curve; Schistosomiasis; praziquantel; adult; Article; body mass; data mining; diagnostic accuracy; disease surveillance; false positive result; female; human; major clinical study; male; mathematical model; prediction; prognosis; questionnaire; receiver operating characteristic; risk factor; schistosomiasis; sensitivity and specificity; artificial neural network; China; comparative study; data mining; decision tree; epidemiological monitoring; parasitology; predictive value; procedures; prognosis; schistosomiasis; statistical model</t>
  </si>
  <si>
    <t xml:space="preserve">Hubei Provincial Population and Family Planning Commission, (WJ2017X011); Hubei Provincial Population and Family Planning Commission</t>
  </si>
  <si>
    <t xml:space="preserve">This study was funded by Schistosomiasis Control and Prevention Special Fund of Hubei Provincial Health and Family planning Commission (No.WJ2017X011). URL: http://www.hbwsjs.gov.cn/detail/20161206144303627001.html The funders had no role in study design, data collection and analysis, decision to publish, or preparation of the manuscript. We would like to sincerely express our gratitude to the staff of the Hubei Institute of Schistosomiasis Diseases Prevention and Control (Zhou Xiaorong, Liu Jianbing, Chen Yanyan, and Yang Junjing), Wuhan University (Chen Yuanqi and Zhang Hengtao), the Yichang Center for Disease Control and Prevention (Liu Jianhua), and Guangdong Pharmaceutical University (Jiang Hongbo).</t>
  </si>
  <si>
    <t xml:space="preserve">Bockarie M.J., Et al., Preventive chemotherapy as a strategy for elimination of neglected tropical parasitic diseases: endgame challenges, Philos Trans R Soc Lond B Biol Sci, 368, 1623, (2013); King C.H., Dangerfield-Cha M., The unacknowledged impact of chronic schistosomiasis, Chronic Illn, 4, 1, pp. 65-79, (2008); Jia T.W., Et al., Assessment of the age-specific disability weight of chronic schistosomiasis japonica, Bull World Health Organ, 85, 6, pp. 458-465, (2007); Hotez P.J., Et al., The global burden of disease study 2010: interpretation and implications for the neglected tropical diseases, PLoS Negl Trop Dis, 8, 7, (2014); King C.H., Dickman K., Tisch D.J., Reassessment of the cost of chronic helmintic infection: a meta-analysis of disability-related outcomes in endemic schistosomiasis, Lancet, 365, 9470, pp. 1561-1569, (2005); Utzinger J., Et al., Conquering schistosomiasis in China: the long march, Acta Trop, 96, 2-3, pp. 69-96, (2005); Zhou X.N., Et al., The public health significance and control of schistosomiasis in China—then and now, Acta Trop, 96, 2-3, pp. 97-105, (2005); Zhu H., Et al., A spatial analysis of human Schistosoma japonicum infections in Hubei, China, during 2009–2014, Parasit Vectors, 9, 1, (2016); Wu X.H., Et al., Effect of floods on the transmission of schistosomiasis in the Yangtze River valley, People's Republic of China, Parasitol Int, 57, 3, pp. 271-276, (2008); Lei Z.L., Et al., Endemic status of schistosomiasis in People's Republic of China in 2014, Zhongguo Xue Xi Chong Bing Fang Zhi Za Zhi, 27, 6, pp. 563-569, (2015); Le Bras M., Bertrand E., Approach to prognosis of hepatic schistosomiasis caused by Schistosoma mansoni, Sem Hop, 50, 27, pp. 1887-1892, (1974); Olveda D.U., Et al., Clinical management of advanced schistosomiasis: a case of portal vein thrombosis-induced splenomegaly requiring surgery, BMJ Case Rep, 2014, (2014); Huang L.H., Et al., The efficacy and safety of entecavir in patients with advanced schistosomiasis co-infected with hepatitis B virus, Int J Infect Dis, 17, 8, pp. e606-e609, (2013); Bassi P., Et al., Prognostic accuracy of an artificial neural network in patients undergoing radical cystectomy for bladder cancer: a comparison with logistic regression analysis, BJU Int, 99, 5, pp. 1007-1012, (2007); Liao H.B., Effect of clinical pathway on advanced schistosomiasis patients with acites: a report of 220 cases, Zhongguo Xue Xi Chong Bing Fang Zhi Za Zhi, 27, 3, pp. 319-320, (2015); Zhu L., Et al., Comparison between artificial neural network and Cox regression model in predicting the survival rate of gastric cancer patients, Biomed Rep, 1, 5, pp. 757-760, (2013); Zheng M.H., Et al., A model to predict 3-month mortality risk of acute-on-chronic hepatitis B liver failure using artificial neural network, J Viral Hepat, 20, 4, pp. 248-255, (2013); Andersson S., Et al., Comparison of clinicians and an artificial neural network regarding accuracy and certainty in performance of visual field assessment for the diagnosis of glaucoma, Acta Ophthalmol, 91, 5, pp. 413-417, (2013); Brims F.J., Et al., A Novel Clinical Prediction Model for Prognosis in Malignant Pleural Mesothelioma Using Decision Tree Analysis, J Thorac Oncol, 11, 4, pp. 573-582, (2016); Esteban C., Et al., Development of a decision tree to assess the severity and prognosis of stable COPD, Eur Respir J, 38, 6, pp. 1294-1300, (2011); Barnholtz-Sloan J.S., Et al., Decision tree-based modeling of androgen pathway genes and prostate cancer risk, Cancer Epidemiol Biomarkers Prev, 20, 6, pp. 1146-1155, (2011); Song L., Et al., Lessons from a 15-year-old boy with advanced schistosomiasis japonica in China: a case report, Parasitol Res, 116, 7, pp. 1787-1791, (2017); Zhou X.N., Et al., Tools to support policy decisions related to treatment strategies and surveillance of Schistosomiasis japonica towards elimination, PLoS Negl Trop Dis, 5, 12, (2011); Lu D.B., Zhou L., Li Y., Improving access to anti-schistosome treatment and care in nonendemic areas of China: lessons from one case of advanced schistosomiasis japonica, PLoS Negl Trop Dis, 7, 1, (2013); Ross A.G., Et al., Schistosomiasis in the People's Republic of China: prospects and challenges for the 21st century, Clin Microbiol Rev, 14, 2, pp. 270-295, (2001); Leite L.A., Et al., Hemostatic dysfunction is increased in patients with hepatosplenic schistosomiasis mansoni and advanced periportal fibrosis, PLoS Negl Trop Dis, 7, 7, (2013); Deol A., Et al., Development and evaluation of a Markov model to predict changes in schistosomiasis prevalence in response to praziquantel treatment: a case study of Schistosoma mansoni in Uganda and Mali, Parasit Vectors, 9, 1, (2016); Bassi P., Et al., Prognostic accuracy of an artificial neural network in patients undergoing radical cystectomy for bladder cancer: a comparison with logistic regression analysis, BJU Int, 99, 5, pp. 1007-1012, (2007); Kourou K., Et al., Machine learning applications in cancer prognosis and prediction, Comput Struct Biotechnol J, 13, pp. 8-17, (2015); Stojadinovic A., Et al., Development of a Bayesian Belief Network Model for personalized prognostic risk assessment in colon carcinomatosis, Am Surg, 77, 2, pp. 221-230, (2011); Anderson B., Et al., Comparison of the predictive qualities of three prognostic models of colorectal cancer, Front Biosci (Elite Ed, 2, pp. 849-856, (2010); Birjandi M., Ayatollahi S.M., Pourahmad S., The Reliability of Classification of Terminal Nodes in GUIDE Decision Tree to Predict the Nonalcoholic Fatty Liver Disease, Comput Math Methods Med, 2016, (2016); Biglarian A., Et al., Artificial neural network for prediction of distant metastasis in colorectal cancer, Asian Pac J Cancer Prev, 13, 3, pp. 927-930, (2012); Gohari M.R., Et al., Use of an artificial neural network to determine prognostic factors in colorectal cancer patients, Asian Pac J Cancer Prev, 12, 6, pp. 1469-1472, (2011); Luk J.M., Et al., Artificial neural networks and decision tree model analysis of liver cancer proteomes, Biochem Biophys Res Commun, 361, 1, pp. 68-73, (2007); Norman R.G., Rapoport D.M., Ayappa I., Detection of flow limitation in obstructive sleep apnea with an artificial neural network, Physiol Meas, 28, 9, pp. 1089-1100, (2007); Meng X.H., Et al., Comparison of three data mining models for predicting diabetes or prediabetes by risk factors, Kaohsiung J Med Sci, 29, 2, pp. 93-99, (2013); Ho W.H., Et al., Disease-free survival after hepatic resection in hepatocellular carcinoma patients: a prediction approach using artificial neural network, PLoS One, 7, 1, (2012); Biglarian A., Et al., Artificial neural network for prediction of distant metastasis in colorectal cancer, Asian Pac J Cancer Prev, 13, 3, pp. 927-930, (2012); Fei Y., Et al., Predicting risk for portal vein thrombosis in acute pancreatitis patients: A comparison of radical basis function artificial neural network and logistic regression models, J Crit Care, 39, pp. 115-123, (2017); Kim S.M., Et al., A comparison of logistic regression analysis and an artificial neural network using the BI-RADS lexicon for ultrasonography in conjunction with introbserver variability, J Digit Imaging, 25, 5, pp. 599-606, (2012); Fernandez L., Et al., Risk Factors Predicting Infectious Lactational Mastitis: Decision Tree Approach versus Logistic Regression Analysis, Matern Child Health J, 20, 9, pp. 1895-1903, (2016); Amini P., Et al., Prevalence and Determinants of Preterm Birth in Tehran, Iran: A Comparison between Logistic Regression and Decision Tree Methods, Osong Public Health Res Perspect, 8, 3, pp. 195-200, (2017); Amini P., Et al., Evaluating the High Risk Groups for Suicide: A Comparison of Logistic Regression, Support Vector Machine, Decision Tree and Artificial Neural Network, Iran J Public Health, 45, 9, pp. 1179-1187, (2016); Rezaei-Darzi E., Et al., Comparison of two data mining techniques in labeling diagnosis to Iranian pharmacy claim dataset: artificial neural network (ANN) versus decision tree model, Arch Iran Med, 17, 12, pp. 837-843, (2014); Senthil K.A., Et al., Application of artificial neural network, fuzzy logic and decision tree algorithms for modelling of streamflow at Kasol in India, Water Sci Technol, 68, 12, pp. 2521-2526, (2013); Agharezaei L., Et al., The Prediction of the Risk Level of Pulmonary Embolism and Deep Vein Thrombosis through Artificial Neural Network, Acta Inform Med, 24, 5, pp. 354-359, (2016); Kritas S., Et al., Objective prediction of pharyngeal swallow dysfunction in dysphagia through artificial neural network modeling, Neurogastroenterol Motil, 28, 3, pp. 336-344, (2016); Nilsaz-Dezfouli H., Et al., Improving Gastric Cancer Outcome Prediction Using Single Time-Point Artificial Neural Network Models, Cancer Inform, 16, (2017); Wise E.S., Et al., Prediction of Prolonged Ventilation after Coronary Artery Bypass Grafting: Data from an Artificial Neural Network, Heart Surg Forum, 20, 1, pp. E007-E014, (2017); Yoo T.K., Et al., Simple Scoring System and Artificial Neural Network for Knee Osteoarthritis Risk Prediction: A Cross-Sectional Study, PLoS One, 11, 2, (2016); Mendes R.G., Et al., Predicting reintubation, prolonged mechanical ventilation and death in post-coronary artery bypass graft surgery: a comparison between artificial neural networks and logistic regression models, Arch Med Sci, 11, 4, pp. 756-763, (2015); Porter C.R., Crawford E.D., Combining artificial neural networks and transrectal ultrasound in the diagnosis of prostate cancer, Oncology (Williston Park), 17, 10, pp. 1395-1399, (2003); Liu X., Et al., A comparison of the performances of an artificial neural network and a regression model for GFR estimation, Am J Kidney Dis, 62, 6, pp. 1109-1115, (2013); Hung M., Et al., Profiling Arthritis Pain with a Decision Tree, Pain Pract, (2017); Nayagam S., Et al., Cost-effectiveness of community-based screening and treatment for chronic hepatitis B in The Gambia: an economic modelling analysis, Lancet Glob Health, 4, 8, pp. e568-e578, (2016)</t>
  </si>
  <si>
    <t xml:space="preserve">S. Nie; Department of Epidemiology and Health Statistics, School of Public Health, Tongji Medical College, Huazhong University of Science and Technology, Wuhan, China; email: sf_nie@tjmu.edu.cn</t>
  </si>
  <si>
    <t xml:space="preserve">2-s2.0-85044373255</t>
  </si>
  <si>
    <t xml:space="preserve">Sampathila N.; Shet N.; Basu A.</t>
  </si>
  <si>
    <t xml:space="preserve">Sampathila, Niranjana (56584740000); Shet, Nagaraja (57195323339); Basu, Akash (57209819562)</t>
  </si>
  <si>
    <t xml:space="preserve">56584740000; 57195323339; 57209819562</t>
  </si>
  <si>
    <t xml:space="preserve">Computational approach for diagnosis of malaria through classification of malaria parasite from microscopic image of blood smear</t>
  </si>
  <si>
    <t xml:space="preserve">Malaria is disease which is affecting millions of people and it is generally detected by examining the Red Blood Corpuscles (RBC) manually using microscope. However, the manual microscopic approach is time consuming, and lack of experts in the rural area, makes diagnosis of malaria very challenging one. The reported image processing approch extent the modern digital facilities to address the demand of automation, by developing a computerised facility for the detection of malaria using image processing technique. And this technological development could be a significant part of a modern digital tele-pathology. Proposed technology helps diagnose through the digital slide. Here the screening of microscopic images of a blood sample is achieved with color image processing approach that involves Red blood corpuscles (RBC) Segmentation, color space conversion, segmentation of the parasite, feature extraction and classification of malarial sample. The presented work detects plasmodium parasites from leishman stained microscopic blood images which in turn support pathologists for faster diagnosis. Neural network and rule based classifiers were used for the classification of blood images. The images belonging to malarial and non-malarial classes. © 2018, Scientific Publishers of India. All rights reserved.</t>
  </si>
  <si>
    <t xml:space="preserve">Biomedical Research (India)</t>
  </si>
  <si>
    <t xml:space="preserve">Scientific Publishers of India</t>
  </si>
  <si>
    <t xml:space="preserve">10.4066/biomedicalresearch.29-18-970</t>
  </si>
  <si>
    <t xml:space="preserve">https://www.scopus.com/inward/record.uri?eid=2-s2.0-85056124929&amp;doi=10.4066%2fbiomedicalresearch.29-18-970&amp;partnerID=40&amp;md5=c62d318563783f8cef46fcd73bd60a46</t>
  </si>
  <si>
    <t xml:space="preserve">Department of Biomedical Engineering, Manipal institute of Technology, Manipal Academy of Higher Education (MAHE), Manipal, Karnataka, India</t>
  </si>
  <si>
    <t xml:space="preserve">Sampathila N., Department of Biomedical Engineering, Manipal institute of Technology, Manipal Academy of Higher Education (MAHE), Manipal, Karnataka, India; Shet N., Department of Biomedical Engineering, Manipal institute of Technology, Manipal Academy of Higher Education (MAHE), Manipal, Karnataka, India; Basu A., Department of Biomedical Engineering, Manipal institute of Technology, Manipal Academy of Higher Education (MAHE), Manipal, Karnataka, India</t>
  </si>
  <si>
    <t xml:space="preserve">Color space; Malaria; Neural network; Plasmodium parasite; RBC</t>
  </si>
  <si>
    <t xml:space="preserve">Article; artificial neural network; blood sampling; blood smear; classification; erythrocyte; extraction; human; image processing; image segmentation; mathematical computing; microscopy; nonhuman; pathologist; Plasmodium vivax; Plasmodium vivax malaria; screening</t>
  </si>
  <si>
    <t xml:space="preserve">Loddo A., Di Ruberto C., Kocher M., Recent advances of malaria parasites detection systems based on mathematical morphology, Sensors, 18, (2018); Das D., Mukherjee R., Chakraborty C., Computational microscopic imaging for malaria parasite detection: A systematic review, J Microscopy, 260, pp. 1-19, (2015); Shet N., Sampathila N., Detection of Plasmodium vivax from leishman stained malarial thin blood microscopic images, International Conference on Communication and Signal Processing, (2015); Jan Z., Khan A., Sajjad M., Muhammad K., Rho S., Mehmood I., A review on automated diagnosis of malaria parasite in microscopic blood smears images, Multimed Tools Appl, 8, pp. 9801-9826, (2017); Eshel Y., Houri-Yafin A., Benkuzari H., Evaluation of the parasight platform for malaria diagnosis, J Clin Microbiol, 55, pp. 768-775, (2017); Rakshit P., Bhowmik K., Detection of presence of parasites in human RBC in case of diagnosing malaria using image processing, IEEE Int Confer Image Informat Process, 329, pp. 9-11, (2013); Kurer D.A., Gejji V.P., Detection of malarial parasites in blood images, Int J Eng Sci Innovat Technol, 3, pp. 651-656, (2014)</t>
  </si>
  <si>
    <t xml:space="preserve">0970938X</t>
  </si>
  <si>
    <t xml:space="preserve">BIRSE</t>
  </si>
  <si>
    <t xml:space="preserve">Biomed. Res.</t>
  </si>
  <si>
    <t xml:space="preserve">2-s2.0-85056124929</t>
  </si>
  <si>
    <t xml:space="preserve">Gopakumar G.P.; Swetha M.; Sai Siva G.; Sai Subrahmanyam G.R.K.</t>
  </si>
  <si>
    <t xml:space="preserve">Gopakumar, Gopalakrishna Pillai (57210650226); Swetha, Murali (57210369090); Sai Siva, Gorthi (57197719528); Sai Subrahmanyam, Gorthi R. K (56118656700)</t>
  </si>
  <si>
    <t xml:space="preserve">57210650226; 57210369090; 57197719528; 56118656700</t>
  </si>
  <si>
    <t xml:space="preserve">Convolutional neural network-based malaria diagnosis from focus stack of blood smear images acquired using custom-built slide scanner</t>
  </si>
  <si>
    <t xml:space="preserve">The present paper introduces a focus stacking-based approach for automated quantitative detection of Plasmodium falciparum malaria from blood smear. For the detection, a custom designed convolutional neural network (CNN) operating on focus stack of images is used. The cell counting problem is addressed as the segmentation problem and we propose a 2-level segmentation strategy. Use of CNN operating on focus stack for the detection of malaria is first of its kind, and it not only improved the detection accuracy (both in terms of sensitivity [97.06%] and specificity [98.50%]) but also favored the processing on cell patches and avoided the need for hand-engineered features. The slide images are acquired with a custom-built portable slide scanner made from low-cost, off-the-shelf components and is suitable for point-of-care diagnostics. The proposed approach of employing sophisticated algorithmic processing together with inexpensive instrumentation can potentially benefit clinicians to enable malaria diagnosis. © 2017 WILEY-VCH Verlag GmbH &amp; Co. KGaA, Weinheim</t>
  </si>
  <si>
    <t xml:space="preserve">Journal of Biophotonics</t>
  </si>
  <si>
    <t xml:space="preserve">Wiley-VCH Verlag</t>
  </si>
  <si>
    <t xml:space="preserve">e201700003</t>
  </si>
  <si>
    <t xml:space="preserve">10.1002/jbio.201700003</t>
  </si>
  <si>
    <t xml:space="preserve">https://www.scopus.com/inward/record.uri?eid=2-s2.0-85034114814&amp;doi=10.1002%2fjbio.201700003&amp;partnerID=40&amp;md5=3d1173ed1b3acc1df8d631248d9d84d7</t>
  </si>
  <si>
    <t xml:space="preserve">Department of Earth and Space Sciences, Indian Institute of Space Science and Technology, Thiruvananthapuram, India; Department of Instrumentation and Applied Physics, Indian Institute of Science, Bengaluru, India; Department of Electrical Engineering, Indian Institute of Technology Tirupati, Tirupati, India; Department of Computer Science, Amrita School of Engineering, Amrita Vishwa Vidyapeetham, Amritapuri, India</t>
  </si>
  <si>
    <t xml:space="preserve">Gopakumar G.P., Department of Earth and Space Sciences, Indian Institute of Space Science and Technology, Thiruvananthapuram, India, Department of Computer Science, Amrita School of Engineering, Amrita Vishwa Vidyapeetham, Amritapuri, India; Swetha M., Department of Instrumentation and Applied Physics, Indian Institute of Science, Bengaluru, India; Sai Siva G., Department of Instrumentation and Applied Physics, Indian Institute of Science, Bengaluru, India; Sai Subrahmanyam G.R.K., Department of Electrical Engineering, Indian Institute of Technology Tirupati, Tirupati, India</t>
  </si>
  <si>
    <t xml:space="preserve">blood cell segmentation; cell classification; convoltional neural network; malaria diagnosis</t>
  </si>
  <si>
    <t xml:space="preserve">Humans; Image Processing, Computer-Assisted; Leukocytes; Malaria, Falciparum; Neural Networks (Computer); Blood; Cells; Computer aided diagnosis; Convolution; Cytology; Diseases; Neural networks; Scanning; Blood cells; Cell classification; Convolutional neural network; Malaria diagnosis; Off-the-shelf components; Plasmodium falciparum; Point of care diagnostic; Quantitative detection; artificial neural network; blood; devices; diagnostic imaging; human; image processing; leukocyte; malaria falciparum; parasitology; Image acquisition</t>
  </si>
  <si>
    <t xml:space="preserve">Basic Malaria Microscopy – Part I: Learner's Guide, (2010); Zimmerman P., Howes R., Curr. Opin. Infect. Dis., 28, 5, (2015); Zhu H., Isikman S.O., Mudanyali O., Greenbaum A., Ozcan A., Lab Chip, 13, (2013); Elter M., HaBlmeyer E., Zerfab T., Annual Int. Conf. of the IEEE Engineering in Medicine and Biology Society, (2011); Purnama I.K.E., Rahmanti F.Z., Purnomo M.H., 3rd Int. Conf. on Instrumentation, Communications, Information Technology, and Biomedical Engineering, (2013); Pinkaew A., Limpiti T., Trirat A., 8th Biomedical Engineering Int. Conf, (2015); Ravendran A., de Silva K.W.T.R.T., Senanayake R., IEEE 10th Int. Conf. on Industrial and Information System, (2015); Makkapati V.V., Rao R.M., IEEE Int. Conf. on Acoustics, Speech and Signal Processing, (2009); Mehrjou A., Abbasian T., Izadi M., 2013 First RSI/ISM Int. Conf. on Robotics and Mechatronics (ICRoM), (2013); Purwar Y., Shah S.L., Clarke G., Almugairi A., Muehlenbachs A., Malar. J., 10, 1, (2011); Tek F.B., Dempster A.G., Kale I., Malar. J., 8, 1, (2009); Boser B.E., Guyon I.M., Vapnik V.N., Proceedings of the Fifth Annual Workshop on Computational Learning Theory, COLT '92, (1992); Savkare S.S., Narote S.P., Int. Conf. on Communication, Information Computing Technology (ICCICT), (2015); Preedanan W., Phothisonothai M., Senavongse W., Tantisatirapong S., 8th Int. Conf. on Knowledge and Smart Technology, (2016); Anggraini D., Nugroho A.S., Pratama C., Rozi I.E., Iskandar A.A., Hartono R.N., Int. Conf. on Electrical Engineering and Informatics (ICEEI), (2011); Kareem S., Kale I., Morling R.C.S., IEEE Asia Pacific Conf. on Circuits and Systems (APCCAS), (2012); Zou L.H., Chen J., Zhang J., Garcia N., Int. Conf. on Digital Image Computing: Techniques and Applications, (2010); Nugroho H.A., Akbar S.A., Murhandarwati E.E.H., 2nd Int. Conf. on Information Technology, Computer, and Electrical Engineering, (2015); Lowe D.G., Int. J. Comput. Vis., 60, 2, (2004); Sathpathi S., Mohanty A.K., Satpathi P., Mishra S.K., Behera P.K., Patel G., Dondorp A.M., Malar. J., 13, 1, (2014); Samir P., Chitra P., Urhekar A., J. Evol. Med. Dent. Sci., 2, 7, (2013); (2016); Otsu N., IEEE Trans Syst. Man Cybern., 9, 1, (1979); Breen E.J., Jones R., Comput. Vis. Image Underst., 64, 3, (1996); Soille P., Morphological Image Analysis: Principles and Applications, (2003); Gopakumar G., Jagannadh V.K., Gorthi S.S., Subrahmanyam G.R.K.S., J. Microsc., 261, 3, (2016); LeCun Y., Bengio Y., The Handbook of Brain Theory and Neural Networks, (1998); Lo S.C.B., Chan H.P., Lin J.S., Li H., Freedman M.T., Mun S.K., Neural Netw., 8, 7, (1995); Li Q., Cai W., Wang X., Zhou Y., Feng D.D., Chen M., 13th Int. Conf. on Control Automation Robotics Vision, (2014); Bar Y., Diamant I., Wolf L., Lieberman S., Konen E., Greenspan H., IEEE 12th Int. Symp. on Biomedical Imaging, (2015); Ciresan D.C., Giusti A., Gambardella L.M., Schmidhuber J., Breast Cancer Histology Images with Deep Neural Networks, (2013); Liang Z., Powell A., Ersoy I., Poostchi M., Silamut K., Palaniappan K., Guo P., Hossain M.A., Sameer A., Maude R.J., Huang J.X., Jaeger S., Thoma G., IEEE Int. Conf. on Bioinformatics and Biomedicine, (2016); Rohan K.; Sobel I., History and definition of the sobel operator, Tech. Rep. Presented at Stanford A.I. Project, (1968); Chatfield K., Simonyan K., Vedaldi A., Zisserman A., British Machine Vision Conf, (2014); Vedaldi A., Lenc K., CoRR, abs/1412, (2014); Hunter R.S., J. Opt. Soc. Am., 48, 12, (1958); Fabbri R., Costa L.D.F., Torelli J.C., Bruno O.M., ACM Comput. Surv., 40, 1, (2008); Vincent L., Soille P., IEEE Trans. Pattern Anal. Mach. Intell., 13, 6, (1991); Dimopoulos S., Mayer C.E., Rudolf F., Stelling J., Bioinformatics, 30, 18, (2014); Linder N., Turkki R., Walliander M., Martensson A., Diwan V., Rahtu E., Pietikainen M., Lundin M., PLoS One, 9, 8, (2014); Ojala T., Pietikainen M., Maenpaa T., IEEE Trans. Pattern Anal. Mach. Intell., 24, 7, (2002); (2016)</t>
  </si>
  <si>
    <t xml:space="preserve">G.R.K. Sai Subrahmanyam; Department of Electrical Engineering, Indian Institute of Technology Tirupati, Tirupati, India; email: rkg@iittp.ac.in</t>
  </si>
  <si>
    <t xml:space="preserve">1864063X</t>
  </si>
  <si>
    <t xml:space="preserve">J. Biophotonics</t>
  </si>
  <si>
    <t xml:space="preserve">2-s2.0-85034114814</t>
  </si>
  <si>
    <t xml:space="preserve">Padmapriya B.; Sangeetha M.S.; Ramya Priya Nandhini G.; Anusha Devi T.T.</t>
  </si>
  <si>
    <t xml:space="preserve">Padmapriya, B. (6507794357); Sangeetha, M.S. (57211984585); Ramya Priya Nandhini, G. (57215507762); Anusha Devi, T.T. (57203303005)</t>
  </si>
  <si>
    <t xml:space="preserve">6507794357; 57211984585; 57215507762; 57203303005</t>
  </si>
  <si>
    <t xml:space="preserve">Detection of malarial parasites using image processing techniques from blood smear slides</t>
  </si>
  <si>
    <t xml:space="preserve">Malaria is a life-threatening disease caused by parasites that are transmitted to people through the bite of female anopheles mosquito. Malaria is usually found in tropical and subtropical climates where the parasites that cause it live. Once the parasite enters the human body, it lodges itself in the liver where it multiplies approximately 10,000 times. The diagnosis of malaria is done by various methods which include thick and thin smear method, rapid diagnostic test, antigen detection etc. The limitations of these methods includes false positive rate. This paper presents a methodology to identify the malarial parasites so that the false positive rate is reduced. The color based discrimination is one of the most feasible methods as it shows greater accuracy and efficiency. The K-means clustering technique is followed for color based discrimination. The segmented malarial cell from K-means clustering is further subjected to morphological operations to extract the feature for classification. The results show that the proposed method helps in the detection of infected red blood cells thus improving decision-making for malaria diagnosis. © RJPT All right reserved.</t>
  </si>
  <si>
    <t xml:space="preserve">10.5958/0974-360X.2018.00805.3</t>
  </si>
  <si>
    <t xml:space="preserve">https://www.scopus.com/inward/record.uri?eid=2-s2.0-85080997152&amp;doi=10.5958%2f0974-360X.2018.00805.3&amp;partnerID=40&amp;md5=a9eff0b3c7b6eea42cddd4d95215acce</t>
  </si>
  <si>
    <t xml:space="preserve">Department of Biomedical Engineering, PSG College of Technology, Coimbatore, India</t>
  </si>
  <si>
    <t xml:space="preserve">Padmapriya B., Department of Biomedical Engineering, PSG College of Technology, Coimbatore, India; Sangeetha M.S., Department of Biomedical Engineering, PSG College of Technology, Coimbatore, India; Ramya Priya Nandhini G., Department of Biomedical Engineering, PSG College of Technology, Coimbatore, India; Anusha Devi T.T., Department of Biomedical Engineering, PSG College of Technology, Coimbatore, India</t>
  </si>
  <si>
    <t xml:space="preserve">Color based discrimination; False positive rate; K-means clustering; Malaria; Morphological operation</t>
  </si>
  <si>
    <t xml:space="preserve">accuracy; algorithm; antigen detection; Article; artificial neural network; blood cell; blood smear; conflict of interest; diagnostic test; erythrocyte; finite element analysis; gametocyte; Giemsa stain; human; image processing; malaria; microscopy; Plasmodium; Plasmodium falciparum; Plasmodium vivax; platelet count; sensitivity and specificity; staining</t>
  </si>
  <si>
    <t xml:space="preserve">Ross N.E., Pritchard C.J., Rubin D.M., Duse A.G., Automated image processing method for the diagnosis and classification of malaria on thin blood smears, International Federation for Medical and Biological Engineering, pp. 427-436, (2006); Sio S.W.S., Sun W., Kumar S., Bin W.Z., MalariaCount: An image analysis-based program for the accurate determination of parasitemia, Journal of Microbiological Methods, 68, 1, pp. 11-18, (2007); Boray Tek F., Dempster A.G., Kale I., Parasite detection and identification for automated thin blood film malaria diagnosis, Journal Computer Vision and Image Understanding Archive, 114, 1, pp. 21-32, (2010); Memeu D.M., Kaduki K.A., Mjomba A.C.K., Muriuki N.S., Gitonga L., Detection of plasmodium parasites from images of thin blood smears, Open Journal of Clinical Diagnostics, pp. 183-194, (2013); Chakrabortya K., Chattopadhyayb A., Chakrabarti A., Acharyad T., Dasguptae A.K., A Combined Algorithm for Malaria Detection from Thick Smear Blood Slides, J Health Med Informat, 6, (2015); Abdul Nasir A.S., Mashor M.Y., Mohamed Z., Segmentation based approach for detection of malaria parasites using moving k-means clustering, Biomedical Engineering and Sciences (IECBES), pp. 653-658, (2012); Kaur M., Kaur N., Singh H., Adaptive K-Means Clustering Techniques For Data Clustering, International Journal of Innovative Research in Science, Engineering and Technology, (2014); Patel A., Dobariya Z., Detection of Malaria Parasite Using K-Mean Clustering, International Journal of Innovative Research in Technology, 2, (2015); Raviraja S., Geethanjali S.D., Chethana C., Kanthesh B.M., The Classification and Recognition of Plasmodium Parasite in Prediction of Malaria Infected Blood Smears Using Artificial Intelligence Technique, International Journal of Advanced Research in Computer Science and Software Engineering, 5, 7, (2015)</t>
  </si>
  <si>
    <t xml:space="preserve">T.T. Anusha Devi; Department of Biomedical Engineering, PSG College of Technology, Coimbatore, India; email: mss.bme@psgtech.ac.in</t>
  </si>
  <si>
    <t xml:space="preserve">2-s2.0-85080997152</t>
  </si>
  <si>
    <t xml:space="preserve">Hegde R.B.; Prasad K.; Hebbar H.; Singh B.M.K.</t>
  </si>
  <si>
    <t xml:space="preserve">Hegde, Roopa B. (57201909105); Prasad, Keerthana (55791425300); Hebbar, Harishchandra (57201914950); Singh, Brij Mohan Kumar (57189597551)</t>
  </si>
  <si>
    <t xml:space="preserve">57201909105; 55791425300; 57201914950; 57189597551</t>
  </si>
  <si>
    <t xml:space="preserve">Development of a Robust Algorithm for Detection of Nuclei and Classification of White Blood Cells in Peripheral Blood Smear Images</t>
  </si>
  <si>
    <t xml:space="preserve">Peripheral Blood Smear analysis plays a vital role in diagnosis of many diseases such as leukemia, anemia, malaria, lymphoma and infections. Unusual variations in color, shape and size of blood cells indicate abnormal condition. We used a total of 117 images from Leishman stained peripheral blood smears acquired at a magnification of 100X. In this paper we present a robust image processing algorithm for detection of nuclei and classification of white blood cells based on features of the nuclei. We used novel image enhancement method to manage illumination variations and TissueQuant method to manage color variations for the detection of nuclei. Dice similarity coefficient of 0.95 was obtained for nucleus detection. We also compared the proposed method with a state-of-the-art method and the proposed method was found to be better. Shape and texture features of the detected nuclei were used for classifying white blood cells. We considered classification of WBCs using two approaches such as 5-class and cell-by-cell approaches using neural network and hybrid-classifier respectively. We compared the results of both the approaches for classification of white blood cells. Cell-by-cell approach offered 1.4% higher sensitivity in comparison with the 5-class approach. We obtained an accuracy of 100% for lymphocyte and basophil detection. Hence, we conclude that lymphocytes and basophils can be accurately detected even when the analysis is limited to the features of nuclei whereas, accurate detection of other types of WBCs will require analysis of the cytoplasm too. © 2018, Springer Science+Business Media, LLC, part of Springer Nature.</t>
  </si>
  <si>
    <t xml:space="preserve">Journal of Medical Systems</t>
  </si>
  <si>
    <t xml:space="preserve">Springer New York LLC</t>
  </si>
  <si>
    <t xml:space="preserve">10.1007/s10916-018-0962-1</t>
  </si>
  <si>
    <t xml:space="preserve">https://www.scopus.com/inward/record.uri?eid=2-s2.0-85046543189&amp;doi=10.1007%2fs10916-018-0962-1&amp;partnerID=40&amp;md5=85d8b0fdf7ac779ca30e70d0890f7fe6</t>
  </si>
  <si>
    <t xml:space="preserve">School of Information Sciences, MAHE, Manipal, 576104, India; Department of Pathology, Kasturba Medical College, MAHE, Manipal, 574106, Karnataka, India</t>
  </si>
  <si>
    <t xml:space="preserve">Hegde R.B., School of Information Sciences, MAHE, Manipal, 576104, India; Prasad K., School of Information Sciences, MAHE, Manipal, 576104, India; Hebbar H., School of Information Sciences, MAHE, Manipal, 576104, India; Singh B.M.K., Department of Pathology, Kasturba Medical College, MAHE, Manipal, 574106, Karnataka, India</t>
  </si>
  <si>
    <t xml:space="preserve">Computer aided detection; Nuclei detection; Peripheral blood smear images; WBC classification</t>
  </si>
  <si>
    <t xml:space="preserve">Algorithms; Cell Nucleus; Hematologic Tests; Humans; Image Processing, Computer-Assisted; Leukocytes; Neural Networks (Computer); algorithm; Article; artifact; basophil; blood analysis; blood cell; blood examination; blood smear; cell nucleus; cell shape; clinical classification; clinical evaluation; comparative study; cytodiagnosis; cytoplasm; diagnostic accuracy; diagnostic test accuracy study; eosinophil; feature extraction; human; human cell; image enhancement; image processing; leukocyte; lymphocyte; monocyte; neutrophil; sensitivity and specificity; staining; artificial neural network; cell nucleus; classification; cytology; image processing; leukocyte; procedures</t>
  </si>
  <si>
    <t xml:space="preserve">Adnan K., IBCIS: intelligent blood cell identification system, Prog. Nat. Sci., 18, pp. 1309-1314, (2008); Maity M., Mungle T., Dhane D., Maiti A.K., Chakraborty C., An ensemble rule learning approach for automated morphological classification of erythrocytes, J. Med. Syst., 41, 4, (2017); Prasad K., Prabhu G.K., Image analysis tools for evaluation of microscopic views of immunohistochemically stained specimen in medical research–a review, J. Med. Syst., 36, 4, pp. 2621-2631, (2012); Ahmad A., Asif A., Rajpoot N., Arif M., Minhas F.U.A.A., Correlation filters for detection of cellular nuclei in histopathology images, J. Med. Syst., 42, 1, (2017); Madhloom H.T., Kareem S.A., Ariffin H., Zaidan A.A., Alanazi H.O., Zaidan B.B., An automated white blood cell nucleus localization and segmentation using image arithmetic and automatic threshold, J. Appl. Sci., 10, 11, pp. 959-966, (2010); Neelam S., Ramakrishnan A., G., Automation of differential blood count, Proc. IEEE Conference on Convergent Technologies for the Asia-Pacific Region, 2, pp. 547-551, (2003); Nisha R., Bryan D., Mohammed E.S., Tolga T., Isolation and two-step classification of normal white blood cells in peripheral blood smears, J. Pathol. Informatics, 3, 1, (2012); Salim A., Emel O., Cigdem Gunduz D., A color and shape based algorithm for segmentation of white blood cells in peripheral blood and bone marrow images, Cytometry A, 85, pp. 480-490, (2014); Hayan T.M., Sameem Abdul K., Hany A., An image processing application for the localization and segmentation of lymphoblast cell using peripheral blood images, J. Med. Syst., 36, 4, pp. 2149-2158, (2012); Hiremath P.S., Parashuram B., Sai G., Automated identification and classification of white blood cells (leukocytes) in digital microscopic images, IJCA Special Issue RTIPPR, 2, pp. 59-63, (2010); Jaroonrut P., Charnchai P., Segmentation of white blood cells and comparison of cell morphology by linear and naive Bayes classifiers, Biomed. Eng. Online, 14, 63, (2015); Sawsan F.B., Ahmed M.D., Hany A.T., Samir I.S., Segmentation and classification of white blood cells, Proc. IEEE Int. Conf. Acoust. Speech Signal Process, 4, pp. 2259-2261, (2000); Sedat N., Deniz K., Tuncay E., Murat Husnu S., Osman K., Yavuz E., Automatic segmentation, counting, size determination and classification of white blood cells, J. Meas., 55, pp. 58-65, (2014); Bakht A., Rashid Jalal Q., Zahoor J., Taj Ali K., Color based segmentation of white blood cells in blood photomicrographs using image quantization, Res. J. Recent Sci., 3, 4, pp. 34-39, (2014); Seyed Hamid R., Hamid Soltanian Z., Automatic recognition of five types of white blood cells in peripheral blood, Comput. Med. Imaging Graph., 35, 4, pp. 333-343, (2011); Mathur A., Tripathi A.S., Kuse M., Scalable system for classification of white blood cells from Leishman stained blood stain images, J. Pathol. Informatics, 4, 2, (2013); Der-Chen H., Kun Ding H., Yung Kuan C., A computer assisted method for leukocyte nucleus segmentation and recognition in blood smear images, J. Syst. Softw., 85, pp. 2104-2118, (2012); Dipti Prasad M., Nilanjan R., Scott T.A., Level set analysis for leukocyte detection and tracking, IEEE Trans. Image Process., 13, 4, pp. 562-572, (2004); Keerthana P., Bhagath K., Marx C., Gopalakrishna P., Applications of TissueQuant a color intensity quantification tool for medical research, Comput. Methods Prog. Biomed., 106, 1, pp. 27-36, (2012); Finding dents in a blobby shape, (2013); Notes on FFT-based differentiation, MIT applied mathematics, (2011); Haralick R.M., Shanmugam K., Dinstein I., Textural features for image classification, IEEE Trans. Syst. Man Cybern., SMC-3, 6, pp. 610-621, (1973); Keerthana P., Jan W., Udayakrishna M.B., Raviraja V.A., Gopalakrishna K.P., Image analysis approach for development of a decision support system for detection of malaria parasites in thin blood smear images, J. Digit. Imaging, 25, 4, pp. 542-549, (2012)</t>
  </si>
  <si>
    <t xml:space="preserve">K. Prasad; School of Information Sciences, MAHE, Manipal, 576104, India; email: keerthana.prasad@manipal.edu</t>
  </si>
  <si>
    <t xml:space="preserve">JMSYD</t>
  </si>
  <si>
    <t xml:space="preserve">J. Med. Syst.</t>
  </si>
  <si>
    <t xml:space="preserve">2-s2.0-85046543189</t>
  </si>
  <si>
    <t xml:space="preserve">Colavita F.; Biava M.; Mertens P.; Gilleman Q.; Borlon C.; Delli Guanti M.; Petrocelli A.; Cataldi G.; Kamara A.T.; Kamara S.A.; Konneh K.; Vincenti D.; Castilletti C.; Abdurahman S.; Mirazimi A.; Capobianchi M.R.; Ippolito G.; Miccio R.; Di Caro A.</t>
  </si>
  <si>
    <t xml:space="preserve">Colavita, F. (57192341341); Biava, M. (56439254900); Mertens, P. (35603897400); Gilleman, Q. (55623044000); Borlon, C. (57494146200); Delli Guanti, M. (57194380352); Petrocelli, A. (57197793799); Cataldi, G. (25824166000); Kamara, A.T. (56067054900); Kamara, S.A. (58717553500); Konneh, K. (57090891900); Vincenti, D. (57226223102); Castilletti, C. (57211211954); Abdurahman, S. (56050521400); Mirazimi, A. (6602224342); Capobianchi, M.R. (7006361490); Ippolito, G. (7102706668); Miccio, R. (56986617100); Di Caro, A. (6701683784)</t>
  </si>
  <si>
    <t xml:space="preserve">57192341341; 56439254900; 35603897400; 55623044000; 57494146200; 57194380352; 57197793799; 25824166000; 56067054900; 58717553500; 57090891900; 57226223102; 57211211954; 56050521400; 6602224342; 7006361490; 7102706668; 56986617100; 6701683784</t>
  </si>
  <si>
    <t xml:space="preserve">EBOLA Ag K-SeT rapid test: field evaluation in Sierra Leone</t>
  </si>
  <si>
    <t xml:space="preserve">Objectives: Efficient interruption of Ebola virus disease (EVD) transmission chains critically depends on reliable and fast laboratory diagnosis. We evaluated the performance of the EBOLA Virus Antigen Detection K-SeT (EBOLA Ag K-SeT), a new rapid diagnostic antigen test in field settings. Methods: The study was conducted in a field laboratory located in Freetown (Sierra Leone) by the Italian National Institute for Infectious Diseases ‘L. Spallanzani’ and the EMERGENCY Onlus NGO. The EBOLA Ag K-SeT was tested on 210 residual plasma samples (EVD prevalence 50%) from patients hospitalized at the EMERGENCY Ebola treatment center in Goderich (Freetown), comparing the results with quantitative real-time PCR. Results: Overall, the sensitivity of EBOLA Ag K-SeT was 88.6% (95% confidence interval (CI), 82.5–94.7), and the corresponding specificity was 98.1% (95% CI, 95.5–100.7). The positive and negative predictive values were 97.9% (95% CI, 95.0–100.8) and 89.6% (95% CI, 84–95.2), respectively. The sensitivity strongly increased up to 98.7% (95% CI, 96.1–101.2) for those samples with high virus load (≥6.2 log RNA copies/mL). Conclusions: Our results suggest that EBOLA Ag K-SeT could represent a new effective diagnostic tool for EVD, meeting a need for resource-poor settings and rapid diagnosis for individuals with suspected EVD. © 2017 European Society of Clinical Microbiology and Infectious Diseases</t>
  </si>
  <si>
    <t xml:space="preserve">Clinical Microbiology and Infection</t>
  </si>
  <si>
    <t xml:space="preserve">10.1016/j.cmi.2017.10.019</t>
  </si>
  <si>
    <t xml:space="preserve">https://www.scopus.com/inward/record.uri?eid=2-s2.0-85034846787&amp;doi=10.1016%2fj.cmi.2017.10.019&amp;partnerID=40&amp;md5=f280c2980745537b1a53e6cbf26de37c</t>
  </si>
  <si>
    <t xml:space="preserve">National Institute for Infectious Diseases ‘L. Spallanzani’ IRCCS, Rome, Italy; Coris BioConcept, Gembloux, Belgium; EMERGENCY Onlus NGO, Milan, Italy; Diagnostic Ebola Virus Diseases Laboratory, ‘Princess Christian Maternity Hospital’, Freetown, Sierra Leone; Public Health Agency of Sweden, Stockholm, Sweden; National Veterinary Institute, Uppsala, Sweden; Department of Medicine, Karolinska Institute, Stockholm, Sweden</t>
  </si>
  <si>
    <t xml:space="preserve">Colavita F., National Institute for Infectious Diseases ‘L. Spallanzani’ IRCCS, Rome, Italy; Biava M., National Institute for Infectious Diseases ‘L. Spallanzani’ IRCCS, Rome, Italy; Mertens P., Coris BioConcept, Gembloux, Belgium; Gilleman Q., Coris BioConcept, Gembloux, Belgium; Borlon C., Coris BioConcept, Gembloux, Belgium; Delli Guanti M., EMERGENCY Onlus NGO, Milan, Italy; Petrocelli A., EMERGENCY Onlus NGO, Milan, Italy; Cataldi G., EMERGENCY Onlus NGO, Milan, Italy; Kamara A.T., EMERGENCY Onlus NGO, Milan, Italy, Diagnostic Ebola Virus Diseases Laboratory, ‘Princess Christian Maternity Hospital’, Freetown, Sierra Leone; Kamara S.A., EMERGENCY Onlus NGO, Milan, Italy, Diagnostic Ebola Virus Diseases Laboratory, ‘Princess Christian Maternity Hospital’, Freetown, Sierra Leone; Konneh K., EMERGENCY Onlus NGO, Milan, Italy, Diagnostic Ebola Virus Diseases Laboratory, ‘Princess Christian Maternity Hospital’, Freetown, Sierra Leone; Vincenti D., National Institute for Infectious Diseases ‘L. Spallanzani’ IRCCS, Rome, Italy; Castilletti C., National Institute for Infectious Diseases ‘L. Spallanzani’ IRCCS, Rome, Italy; Abdurahman S., Public Health Agency of Sweden, Stockholm, Sweden; Mirazimi A., Public Health Agency of Sweden, Stockholm, Sweden, National Veterinary Institute, Uppsala, Sweden, Department of Medicine, Karolinska Institute, Stockholm, Sweden; Capobianchi M.R., National Institute for Infectious Diseases ‘L. Spallanzani’ IRCCS, Rome, Italy; Ippolito G., National Institute for Infectious Diseases ‘L. Spallanzani’ IRCCS, Rome, Italy; Miccio R., EMERGENCY Onlus NGO, Milan, Italy; Di Caro A., National Institute for Infectious Diseases ‘L. Spallanzani’ IRCCS, Rome, Italy</t>
  </si>
  <si>
    <t xml:space="preserve">Antigen detection; Ebola virus disease; Point of care; Rapid diagnostic test; Western Africa</t>
  </si>
  <si>
    <t xml:space="preserve">Antigens, Viral; Ebolavirus; Female; Hemorrhagic Fever, Ebola; Hospitalization; Humans; Male; Point-of-Care Systems; Reagent Kits, Diagnostic; Sensitivity and Specificity; Sierra Leone; Viral Matrix Proteins; virus RNA; matrix protein; virus antigen; VP40 protein, virus; adult; antigen detection; Article; Chikungunya virus; comparative study; cross reaction; Dengue virus; diagnostic test accuracy study; Ebola hemorrhagic fever; Ebolavirus; Epstein Barr virus; evaluation study; female; health care facility; Hepatitis B virus; Hepatitis C virus; Hepatitis delta virus; human; Human immunodeficiency virus; immunoassay; Lassa virus; major clinical study; malaria; male; Marburgvirus; nonhuman; predictive value; prevalence; priority journal; quantitative assay; real time polymerase chain reaction; sensitivity and specificity; Sierra Leone; virus load; Yellow fever virus; Zika virus; blood; diagnostic kit; Ebola hemorrhagic fever; Ebolavirus; hospitalization; immunology; point of care system</t>
  </si>
  <si>
    <t xml:space="preserve">Antigens, Viral, ; Reagent Kits, Diagnostic, ; Viral Matrix Proteins, ; VP40 protein, virus, </t>
  </si>
  <si>
    <t xml:space="preserve">EBOLA Ag K SeT</t>
  </si>
  <si>
    <t xml:space="preserve">Coris BioConcept; DGCS, (MAECI 10680); European Union IMI; Italian Ministry of Foreign Affairs?DGCS; Italian Ministry of Health; Food and Drug Administration, FDA, (FDABAA-15-00121); Food and Drug Administration, FDA; Horizon 2020 Framework Programme, H2020, (115843, 653316-EVAg); Horizon 2020 Framework Programme, H2020; Ministry for Foreign Affairs</t>
  </si>
  <si>
    <t xml:space="preserve">Funding text 1: Research activities were carried out in the framework of European Union IMI (Innovative Medicine Initiative) programme , in the context of the EbolaMoDRAD project (grant 115843 ). This work was also supported by the Italian Ministry of Foreign Affairs—DGCS (grant MAECI 10680 ), the Italian Ministry of Health (‘Ricerca Corrente’ and ‘Ricerca Finalizzata’) , the US Food and Drug Administration (grant FDABAA-15-00121 ) and the European Union's Horizon 2020 research and innovation programme (grant 653316-EVAg ). PM, QG and CB are employed by Coris BioConcept. All other authors report no conflicts of interest relevant to this article.; Funding text 2: Research activities were carried out in the framework of European Union IMI (Innovative Medicine Initiative) programme, in the context of the EbolaMoDRAD project (grant 115843). This work was also supported by the Italian Ministry of Foreign Affairs?DGCS (grant MAECI 10680), the Italian Ministry of Health (?Ricerca Corrente? and ?Ricerca Finalizzata?), the US Food and Drug Administration (grant FDABAA-15-00121) and the European Union's Horizon 2020 research and innovation programme (grant 653316-EVAg). PM, QG and CB are employed by Coris BioConcept. All other authors report no conflicts of interest relevant to this article.</t>
  </si>
  <si>
    <t xml:space="preserve">Baize S., Pannetier D., Oestereich L., Rieger T., Koivogui L., Magassouba N., Et al., Emergence of Zaire Ebola virus disease in Guinea, N Engl J Med, 371, pp. 1418-1425, (2014); Zhang W., Chen Y., Kamara A., Chen Z., Chang G., Wurie I., Et al., Field labs in action for Ebola control in Sierra Leone, Infect Dis Transl Med, 1, pp. 2-5, (2015); Yang M., Ke Y., Wang X., Ren H., Liu W., Lu H., Et al., Development and evaluation of a rapid and sensitive EBOV-RPA test for rapid diagnosis of Ebola virus disease, Sci Rep, 6, (2016); Kaner J., Schaack S., Understanding Ebola: the 2014 epidemic, Glob Health, 12, (2016); Raabea V.N., Borchert M., Infection control during filoviral hemorrhagic fever outbreaks, J Glob Infect Dis, 4, pp. 69-74, (2012); Leroy E.M., Baize S., Lu C.Y., McCormick J.B., Georges A.J., Georges-Courbot M.C., Et al., Diagnosis of Ebola haemorrhagic fever by RT-PCR in an epidemic setting, J Med Virol, 60, pp. 463-467, (2000); Broadhurst M.J., Brooks T.J., Pollock N.R., Diagnosis of Ebola virus disease: past, present, and future, Clin Microbiol Rev, 29, pp. 773-793, (2016); Formenty P., Leroy E.M., Epelboin A., Libama F., Lenzi M., Sudeck H., Et al., Detection of Ebola virus in oral fluid specimens during outbreaks of Ebola virus hemorrhagic fever in the Republic of Congo, Clin Infect Dis, 42, pp. 1521-1526, (2006); Walker N.F., Brown C.S., Youkee D., Baker P., Williams N., Kalawa A., Et al., Evaluation of a point-of-care blood test for identification of Ebola virus disease at Ebola holding units, Western Area, Sierra Leone, January to February 2015, Euro Surveill, 20, (2015); Towner J.S., Rollin P.E., Bausch D.G., Sanchez A., Crary S.M., Vincent M., Et al., Rapid diagnosis of Ebola hemorrhagic fever by reverse transcription–PCR in an outbreak setting and assessment of patient viral load as a predictor of outcome, J Virol, 78, pp. 4330-4341, (2004); Pathmanathan I., OConnor K.A., Adams M.L., Rao C.Y., Kilmarx P.H., Park B.J., Et al., Centers for disease control and prevention (CDC). Rapid assessment of Ebola infection prevention and control needs—six districts, Sierra Leone, October 2014, MMWR Morb Mortal Wkly Rep, 63, pp. 1172-1174, (2014); Nouvellet P., Garske T., Mills H.L., Nedjati-Gilani G., Hinsley W., Blake I.M., Et al., The role of rapid diagnostics in managing Ebola epidemics, Nature, 528, pp. S109-S116, (2015); Broadhurst M.J., Kelly J.D., Miller A., Semper A., Bailey D., Groppelli E., Et al., ReEBOV Antigen Rapid Test kit for point-of-care and laboratory-based testing for Ebola virus disease: a field validation study, Lancet, 386, pp. 867-874, (2015); Boisen M.L., Cross R.W., Hartnett J.N., Goba A., Momoh M., Fullah M., Et al., Field validation of the ReEBOV antigen rapid test for point-of-care diagnosis of Ebola virus infection, J Infect Dis, 214, pp. S203-S209, (2016); Shorten R.J., Brown C.S., Jacobs M., Rattenbury S., Simpson A.J., Mepham S., Diagnostics in Ebola virus disease in resource-rich and resource-limited settings, PLoS Negl Trop Dis, 10, (2016); Singh B., Ganguly A., Sunwoo H.H., Current and future diagnostic tests for Ebola virus disease, J Pharm Pharm Sci, 19, pp. 30-51, (2016); Colavita F., Venditti C., Vulcano A., Castilletti C., Zaccaro P., Mazzarelli A., Et al., INMI/emergency NGO Italian laboratory established in Sierra Leone during Ebola virus disease outbreak in West Africa, Clin Microbiol Infect Dis, 1, pp. 1-9, (2016); Rieger T., Kerber R., El Halas H., Pallasch E., Duraffour S., Gunther S., Et al., Evaluation of RealStar reverse transcription–polymerase chain reaction kits for filovirus detection in the laboratory and field, J Infect Dis, 214, pp. S243-S249, (2016); Kaushik A., Tiwari S., Dev Jayant R., Marty A., Nair M., Towards detection and diagnosis of Ebola virus disease at point-of-care, Biosens Bioelectron, 75, pp. 254-272, (2016); Cross R.W., Boisen M.L., Millett M.M., Nelson D.S., Oottamasathien D., Hartnett J.N., Et al., Analytical validation of the ReEBOV antigen rapid test for point-of-care diagnosis of Ebola virus infection, J Infect Dis, 214, pp. S210-S217, (2016); Lanini S., Portella G., Vairo F., Kobinger G.P., Pesenti A., Langer M., Et al., Blood kinetics of Ebola virus in survivors and nonsurvivors, J Clin Invest, 125, pp. 4692-4698, (2015); Kerber R., Krumkamp R., Diallo B., Jaeger A., Rudolf M., Lanini S., Et al., Analysis of diagnostic findings from the European mobile laboratory in Guéckédou, Guinea, March 2014 through March 2015, J Infect Dis, 214, pp. S250-S257, (2016); Crowe S.J., Maenner M.J., Kuah S., Erickson B.R., Coffee M., Knust B., Et al., Prognostic indicators for Ebola patient survival, Emerg Infect Dis, 22, pp. 217-223, (2016)</t>
  </si>
  <si>
    <t xml:space="preserve">A. Di Caro; The National Institute for Infectious Diseases ‘L. Spallanzani’, Rome, Via Portuense 292, 00149, Italy; email: antonino.dicaro@inmi.it</t>
  </si>
  <si>
    <t xml:space="preserve">1198743X</t>
  </si>
  <si>
    <t xml:space="preserve">CMINF</t>
  </si>
  <si>
    <t xml:space="preserve">Clin. Microbiol. Infect.</t>
  </si>
  <si>
    <t xml:space="preserve">2-s2.0-85034846787</t>
  </si>
  <si>
    <t xml:space="preserve">Ashour A.S.; Guo Y.; Hawas A.R.; Xu G.</t>
  </si>
  <si>
    <t xml:space="preserve">Ashour, Amira S. (7005633559); Guo, Yanhui (55712447000); Hawas, Ahmed Refaat (57201915980); Xu, Guan (55510777100)</t>
  </si>
  <si>
    <t xml:space="preserve">7005633559; 55712447000; 57201915980; 55510777100</t>
  </si>
  <si>
    <t xml:space="preserve">Ensemble of subspace discriminant classifiers for schistosomal liver fibrosis staging in mice microscopic images</t>
  </si>
  <si>
    <t xml:space="preserve">Schistosomiasis is one of the dangerous parasitic diseases that affect the liver tissues leading to liver fibrosis. Such disease has several levels, which indicate the degree of fibrosis severity. To assess the fibrosis level for diagnosis and treatment, the microscopic images of the liver tissues were examined at their different stages. In the present work, an automated staging method is proposed to classify the statistical extracted features from each fibrosis stage using an ensemble classifier, namely the subspace ensemble using linear discriminant learning scheme. The performance of the subspace/discriminant ensemble classifier was compared to other ensemble combinations, namely the boosted/trees ensemble, bagged/trees ensemble, subspace/KNN ensemble, and the RUSBoosted/trees ensemble. The simulation results established the superiority of the proposed subspace/discriminant ensemble with 90% accuracy compared to the other ensemble classifiers. © 2018, Springer Nature Switzerland AG.</t>
  </si>
  <si>
    <t xml:space="preserve">10.1007/s13755-018-0059-8</t>
  </si>
  <si>
    <t xml:space="preserve">https://www.scopus.com/inward/record.uri?eid=2-s2.0-85126702785&amp;doi=10.1007%2fs13755-018-0059-8&amp;partnerID=40&amp;md5=5423e8b6b6a0e8535658390b1ad9bf4d</t>
  </si>
  <si>
    <t xml:space="preserve">Department of Electronics and Electrical Communication Engineering, Faculty of Engineering, Tanta University, Tanta, Egypt; Department of Computer Science, University of Illinois at Springfield, Springfield, IL, United States; Department of Radiology, University of Michigan Medical School, Ann Arbor, United States</t>
  </si>
  <si>
    <t xml:space="preserve">Ashour A.S., Department of Electronics and Electrical Communication Engineering, Faculty of Engineering, Tanta University, Tanta, Egypt; Guo Y., Department of Computer Science, University of Illinois at Springfield, Springfield, IL, United States; Hawas A.R., Department of Electronics and Electrical Communication Engineering, Faculty of Engineering, Tanta University, Tanta, Egypt; Xu G., Department of Radiology, University of Michigan Medical School, Ann Arbor, United States</t>
  </si>
  <si>
    <t xml:space="preserve">Ensemble classifier; Liver fibrosis; Schistosomiasis; Statistical features</t>
  </si>
  <si>
    <t xml:space="preserve">algorithm; Article; artificial neural network; comparative study; decision making; diagnostic accuracy; discriminant analysis; granuloma; image analysis; learning; liver fibrosis; microscopy; mouse; nonhuman; priority journal; receiver operating characteristic; Schistosoma mansoni; schistosomal liver fibrosis; schistosomiasis; sensitivity and specificity; staging</t>
  </si>
  <si>
    <t xml:space="preserve">Chaves N.J., Gibney K.B., Leder K., O'brien D.P., Marshall C., Biggs B.A., Screening practices for infectious diseases among Burmese refugees in Australia, Emerging Infectious Dis, 15, 11, (2009); Xia J.L., Dai C., Michalopoulos G.K., Liu Y., Hepatocyte growth factor attenuates liver fibrosis induced by bile duct ligation, The American J Pathol, 168, 5, pp. 1500-1512, (2006); Sun W., Chang S., Tai D.C., Tan N., Xiao G., Tang H., Yu H., Nonlinear optical microscopy: use of second harmonic generation and two-photon microscopy for automated quantitative liver fibrosis studies, J Biomed Opt, 13, 6, (2008); Mabey D., Peeling R.W., Ustianowski A., Perkins M.D., Tropical infectious diseases: diagnostics for the developing world, Nat Rev Microbiol, 2, 3, (2004); Mahmoud-Ghoneim D., Optimizing automated characterization of liver fibrosis histological images by investigating color spaces at different resolutions, Theor Biol Med Modell, 8, 1, (2011); Ali S., Smith K.A., On learning algorithm selection for classification, Appl Soft Comput, 6, 2, pp. 119-138, (2006); Kuncheva L.I., Combining pattern classifiers: methods and algorithms, (2004); Woods K., Kegelmeyer W.P., Bowyer K., Combination of multiple classifiers using local accuracy estimates, IEEE Trans Pattern Anal Mach Intell, 19, 4, pp. 405-410, (1997); Polikar R., Ensemble based systems in decision making, IEEE Circuits Syst Mag, 6, 3, pp. 21-45, (2006); Polikar R., Ensemble based systems in decision making, IEEE Circuits Syst Mag, 6, 3, pp. 21-45, (2006); Zhang C., Ma Y., Ensemble machine learning: methods and applications, (2012); Rahman A., Verma B., Cluster-based ensemble of classifiers, Exp Syst, 30, 3, pp. 270-282, (2013); Tao D., Tang X., Li X., Wu X., Asymmetric bagging and random subspace for support vector machines-based relevance feedback in image retrieval, IEEE Trans Pattern Anal Mach Intell, 28, 7, pp. 1088-1099, (2006); Garcia-Pedrajas N., Ortiz-Boyer D., Boosting random subspace method, Neural Netw, 21, 9, pp. 1344-1362, (2008); Kotsiantis S., Combining bagging, boosting, rotation forest and random subspace methods, Artif Intell Rev, 35, 3, pp. 223-240, (2011); Ho T.K., The random subspace method for constructing decision forests, IEEE Trans Pattern Anal Mach Intell, 20, 8, pp. 832-844, (1998); Kuncheva L.I., Rodriguez J.J., Plumpton C.O., Linden D.E., Johnston S.J., Random subspace ensembles for fMRI classification, IEEE Trans Med Imaging, 29, 2, pp. 531-542, (2010); Panov P., Dzeroski S., Combining bagging and random subspaces to create better ensembles, International Symposium on Intelligent Data Analysis, pp. 118-129, (2007); Skurichina M., Duin R.P., Bagging, boosting and the random subspace method for linear classifiers, Pattern Anal Appl, 5, 2, pp. 121-135, (2002); Litjens G., Kooi T., Bejnordi B.E., Setio A.A.A., Ciompi F., Ghafoorian M., van der Laak J.A.W.M., van Ginneken B., Sanchez C.I., A survey on deep learning in medical image analysis, Medical Image Analysis, 42, pp. 60-88, (2017); Shen D., Wu G., Suk H.I., Deep learning in medical image analysis, Annu Rev Biomed Eng, 19, pp. 221-248, (2017)</t>
  </si>
  <si>
    <t xml:space="preserve">Y. Guo; Department of Computer Science, University of Illinois at Springfield, Springfield, United States; email: guoyanhui@gmail.com</t>
  </si>
  <si>
    <t xml:space="preserve">2-s2.0-85126702785</t>
  </si>
  <si>
    <t xml:space="preserve">Devi S.S.; Laskar R.H.; Sheikh S.A.</t>
  </si>
  <si>
    <t xml:space="preserve">Devi, Salam Shuleenda (58489473500); Laskar, Rabul Hussain (23397200000); Sheikh, Shah Alam (57192702698)</t>
  </si>
  <si>
    <t xml:space="preserve">58489473500; 23397200000; 57192702698</t>
  </si>
  <si>
    <t xml:space="preserve">Hybrid classifier based life cycle stages analysis for malaria-infected erythrocyte using thin blood smear images</t>
  </si>
  <si>
    <t xml:space="preserve">Malaria, being a life-threatening disease caused by parasites, demands its rapid and accurate diagnosis. In this paper, we develop a computer-assisted malaria-infected life-cycle stages classification based on a hybrid classifier using thin blood smear images. The major issues are: feature extraction, feature selection and classification of erythrocytes infected with different life-cycle stages of malaria. Feature set (134 dimensional features) has been defined by the combination of the proposed features along with the existing features. Features such as prediction error, co-occurrence of linear binary pattern, chrominance channel histogram, R–G color channel difference histogram and Gabor features are the newly proposed features in our system. In the feature selection, a two-stage algorithm utilizing the filter method to rank the feature, along with the incremental feature selection technique, has been analyzed. Moreover, the performance of all the individual classifiers (Naive Bayes, support vector machine, k-nearest neighbors and artificial neural network) is evaluated. Finally, the three individual classifiers are combined to develop a hybrid classifier using different classifier combining techniques. From the experimental results, it may be concluded that hybrid classifier formed by the combination of SVM, k-NN and ANN with majority voting technique provides satisfactory results compared to other individual classifiers as well as other hybrid model. An accuracy of 96.54 ± 0.73% has been achieved on the collected clinical database. The results show an improvement in accuracy (11.62, 6.7, 3.39 and 2.39%) as compared to the state-of-the-art individual classifiers, i.e., Naive Bayes, SVM, k-NN and ANN, respectively. © 2017, The Natural Computing Applications Forum.</t>
  </si>
  <si>
    <t xml:space="preserve">Springer London</t>
  </si>
  <si>
    <t xml:space="preserve">10.1007/s00521-017-2937-4</t>
  </si>
  <si>
    <t xml:space="preserve">https://www.scopus.com/inward/record.uri?eid=2-s2.0-85015162185&amp;doi=10.1007%2fs00521-017-2937-4&amp;partnerID=40&amp;md5=a00663e3c6bb1fd0cf8a746e2a89f2d5</t>
  </si>
  <si>
    <t xml:space="preserve">Speech and Image Processing Group, Department of Electronics and Communication Engineering, National Institute of Technology, Silchar, 788010, Assam, India; Silchar Medical College and Hospital, Silchar, 788014, Assam, India</t>
  </si>
  <si>
    <t xml:space="preserve">Devi S.S., Speech and Image Processing Group, Department of Electronics and Communication Engineering, National Institute of Technology, Silchar, 788010, Assam, India; Laskar R.H., Speech and Image Processing Group, Department of Electronics and Communication Engineering, National Institute of Technology, Silchar, 788010, Assam, India; Sheikh S.A., Silchar Medical College and Hospital, Silchar, 788014, Assam, India</t>
  </si>
  <si>
    <t xml:space="preserve">Classifier combination techniques; Erythrocyte; Hybrid classifier; Kruskal–Wallis with incremental feature selection (IFS) technique; Malaria infection</t>
  </si>
  <si>
    <t xml:space="preserve">Blood; Classifiers; Color computer graphics; Diagnosis; Diseases; Feature extraction; Graphic methods; Image classification; Life cycle; Nearest neighbor search; Neural networks; Support vector machines; Classifier combination; Erythrocyte; Hybrid classifier; Kruskal; Malaria infection; Classification (of information)</t>
  </si>
  <si>
    <t xml:space="preserve">National Institute of Technology, Silchar, NITS</t>
  </si>
  <si>
    <t xml:space="preserve">This work is supported by the Speech and Image Processing Lab under Department of ECE at National Institute of Technology, Silchar, India. </t>
  </si>
  <si>
    <t xml:space="preserve">Cuomo M.J., Noel L.B., White D.B., Diagnosing medical parasites: a public health officers guide to assisting laboratory and medical officers, (2012); Dhiman S., Baruah I., Singh L., Military malaria in northeast region of India, Defence Sci J, 60, 2, pp. 213-218, (2010); Devi S.S., Kumar R., Laskar R.H., Recent advances on erythrocyte image segmentation for biomedical applications, Fourth international conference on soft computing for problem solving, Springer, India, pp. 353-359, (2015); Sertel O., Dogdas Chui B.C.S., Gurcan M.N., Microscopic image analysis for quantitative characterization of muscle fiber type composition, Comput Med Imag Grap, 35, 7-8, pp. 616-628, (2011); Ahangi A., Karamnejad M., Mohammadi N., Et al., Multiple classifier system for EEG signal classification with application to brain–computer interfaces, Neural Comput Appl, 23, 5, pp. 1319-1327, (2013); El-Baz A.H., Hybrid intelligent system-based rough set and ensemble classifier for breast cancer diagnosis, Neural Comput Appl, 26, 2, pp. 437-446, (2015); Di R.C., Dempster A., Khan S., Jarra B., Analysis of infected blood cell images using morphological operators, Image Vision Comput, 20, 2, pp. 133-146, (2002); Nicholas R.E., Charles J.P., David M.R., Adriano G.D., Automated image processing method for the diagnosis and classification of malaria on thin blood smears, Med Biol Eng Comput, 44, 5, pp. 427-436, (2006); Devi S.S., Sheikh S.A., Laskar R.H., Erythrocyte features for malaria parasite detection in microscopic images of thin blood smear: a review, Int J Interact Multimed Artif Intel, 4, 2, pp. 35-39, (2016); Tek F.B., Dempster A.G., Kale I., Malaria parasite detection in peripheral blood images, British machine vision conference, UK, pp. 347-356, (2006); Tek F.B., Dempster A.G., Kale I., Parasite detection and identification for automated thin blood film malaria diagnosis, Comput Vis Image Underst, 114, 1, pp. 21-32, (2010); Diaz G., Gonzalez F.A., Romero E., Infected cell identification in thin blood images based on color pixel classification: comparison and analysis, Iberoamericann congress on pattern recognition, CIARP, 2007, pp. 812-821, (2007); Diaz G., Gonzalez F.A., Romero E., A semi-automatic method for quantification and classification of erythrocytes infected with malaria parasites in microscopic images, J Biomed Inform, 42, 2, pp. 296-307, (2009); Springl V., Automatic malaria diagnosis through microscopic imaging, (2009); Khan M.I., Acharya B., Singh B.K., Soni J., Content based image retrieval approaches for detection of malarial parasite in blood images, Int J Biom Bioinform, 5, 2, pp. 97-110, (2011); Soni J., Mishra N., Kamargaonkar N.C., Automatic difference between RBC and malaria parasites based on morphology with first order features using image processing, Int J Adv Eng Tech, 1, 5, pp. 290-297, (2011); Prasad K., Winter J., Bhat U.M., Acharya R.V., Prabhu G.K.J., Image analysis approach for development of a decision support system for detection of malaria parasites in thin blood smear images, J Digit Imaging, 25, 4, pp. 542-549, (2012); Abdul-Nasir A.S., Mashor M.Y., Mohamed Z., Colour image segmentation approaches for detection of malaria parasites using various colour models and k-means clustering, WSEAS T Biol Biomed, 10, pp. 41-55, (2013); Savkare S., Narote S., Automatic detection of malaria parasites for estimating parasitemia, Int J Comput Sci Secur, 5, 3, pp. 310-315, (2011); Das D.K., Ghosh M., Pal M., Maiti A.K., Chakraborty C., Machine learning approach for automated screening of malaria parasite using light microscopic images, Micron, 45, pp. 97-106, (2013); Ghosh M., Das D.K., Chakraborty C., Ray A.K., Quantitative characterisation of plasmodium vivax in infected erythrocytes: a textural approach, Int J Artif Intell Soft Co, 3, pp. 203-221, (2013); Das D.K., Maiti A.K., Chakraborty C., Textural pattern classification of microscopic images for malaria screening. Advances in Therapeutic Engineering, pp. 419-446, (2012); Maity M., Maiti A.K., Dutta P.K., Chakraborty C., A web accessible framework for automated storage with compression and textural classification of malaria parasite images, Int J Comput Appl, 52, 15, pp. 31-39, (2012); Kumarasamy S.K., Ong S.H., Tan K.S.W., Robust contour reconstruction of red blood cells and parasites in the automated identification of the stages of malarial infection, Mach Vision Appl, 22, pp. 461-469, (2011); Das D.K., Ghosh M., Chakraborty C., Maiti A.K., Pal M., Probabilistic prediction of malaria using morphological and textural information. In: International conference on image information processing (ICIIP), IEEE India, (2011); Memeu D.M., A rapid malaria diagnostic method based on automatic detection and classification of plasmodium parasites in stained thin blood smear images, (2014); Gitonga L., Memeu D.M., Kaduki K.A., Kale M.A.C., Muriuki N.S., Determination of plasmodium parasite life stages and species in images of thin blood smears using artificial neural network, Open J Clin Diag, 4, pp. 78-88, (2014); Purwar Y., Shah S.L., Clarke G., Almugairi A., Muehlenbachs A., Automated and unsupervised detection of malarial parasites in microscopic images, Malaria J, 10, (2011); Annaldas S., Shirgan S.S., Marathe V.R., Automatic identification of malaria parasites using image processing, Int J Emerg Eng Res Technol, 2, pp. 107-112, (2014); Bairagi V.K., Charpe K.C., Comparison of texture features used for classification of life stages of malaria parasite. Int J Biomed Imaging. Article ID, (2016); (2013); Somasekar J., Reddy B.E., Segmentation of erythrocytes infected with malaria parasites for the diagnosis using microscopy imaging, Comput Electr Eng, 45, pp. 336-351, (2015); Thangavel K., Manavalan R., Aroquiaraj I.L., Removal of speckle noise from ultrasound medical image based on special filters: comparative study, ICGST-GVIP J, 9, 3, pp. 25-32, (2009); Devi S.S., Roy A., Singha J., Sheikh S.A., Laskar R.H., Malaria infected erythrocyte classification based on a hybrid classifier using microscopic images of thin blood smear, Multimed Tools Appl, (2016); Otsu N., A threshold selection method from gray-level histograms, IEEE Trans Sys Man Cyber, 9, 1, pp. 62-66, (1979); Jung C., Kim C., Segmenting clustered nuclei using h-minima transform- based marker extraction and contour parameterization, IEEE Trans Biomed Eng, 57, 10, pp. 2600-2604, (2010); Roy A., Singha J., Devi S.S., Laskar R.H., Impulse noise removal using SVM classification based fuzzy filter from gray scale images, Signal Process, 128, pp. 262-273, (2016); Proakis J.G., Manolakis D.G., Digital signal processing: principles algorithms and applications, (2001); Chowdhury S., Verma B., Stockwell D., A novel texture feature based multiple classifier technique for roadside vegetation classification, Expert Syst Appl, 42, 12, pp. 5047-5055, (2015); Hahnel M., Klunder D., Kraiss C.K.-F., Texture features for person recognition, IEEE international joint conference on neural networks, 2004, pp. 647-652, (2004); Terrillon J.C., Shirazi M.N., Fukamachi H., Akamatsu S., Comparative performance of different skin chrominance models and chrominance spaces for the automatic detection of human faces in color images. In: 4th IEEE automatic face and gesture recognition, 2000, pp 54–61, (2000); Siggelkow S., Feature histograms for content-based image retrieval, (2002); Bashyal S., Venayagamoorthy G.K., Recognition of facial expressions using Gabor wavelets and learning vector quantization, Eng Appl Artif Intell, 21, 7, pp. 1056-1064, (2008); Theodoridis S., Pikrakis A., Koutroumbas K., Cavouras D., Introduction to pattern recognition: a matlab approach, pp. 107-135, (2010); Chandrashekar G., Sahin F., A survey on feature selection methods, Comput Electr Eng, 40, 1, pp. 16-28, (2014); Ding H., Feng P.M., Chen W., Lin H., Identification of bacteriophage virion proteins by the ANOVA feature selection and analysis, Mol BioSyst, 10, 8, pp. 2229-2235, (2014); Niu B., Huang G., Zheng L., Wang X., Chen F., Zhang Y., Huang T., Prediction of substrate-enzyme-product interaction based on molecular descriptors and physicochemical properties, J Proteomics, 75, pp. 1654-1665, (2012); Settouti N., Bechar M.E.A., Chikh M.A., Statistical comparisons of the top 10 algorithms in data mining for classification task, Int J Interactive Multimed Artif Intel, 4, 1, pp. 46-51, (2016); Kumari P., Vaish A., Feature-level fusion of mental task’s brain signal for an efficient identification system, Neural Comput Appl, 27, 3, pp. 659-669, (2016); Russell S., Norvig P., Artificial intelligence: a modern approach, (2003); Cortes C., Vapnik V., Support-vector networks, Mach Learn, 20, pp. 273-297, (1995); Burges C.J.C., A tutorial on support vector machines for pattern recognition, Data Mining Knowl Discov, 2, pp. 121-167, (1998); Ahmad I., Hussain M., Alghamdi A., Et al., Enhancing SVM performance in intrusion detection using optimal feature subset selection based on genetic principal components, Neural Comput Appl, 24, 7, pp. 1671-1682, (2014); Pujari J.D., Yakkundimath R., Byadgi A.S., SVM and ANN based classification of plant diseases using feature reduction technique, Int J Interact Multimed Artif Intel, 3, 7, pp. 6-14, (2016); Altman N.S., An introduction to kernel and nearest-neighbor non parametric regression, Am Stat, 46, 3, pp. 175-185, (1992); Weinberger K.Q., Saul L.K., Distance metric learning for large margin nearest neighbor classification, J Mach Learn Res, 10, pp. 207-244, (2009); Omranpour H., Ghidary S.S., A heuristic supervised euclidean data difference dimension reduction for KNN classifier and its application to visual place classification, Neural Comput Appl, 27, 7, pp. 1867-1881, (2016); Duda R.O., Hart P.E., Stork D.G., Pattern classification, (2001); Semwal V.B., Mondal K., Nandi G.C., Robust and accurate feature selection for humanoid push recovery and classification: deep learning approach, Neural Comput Appl, (2015); Semwal V.B., Raj M., Nandi G.C., Biometric gait identification based on a multilayer perceptron, Robot Auton Syst, 65, pp. 65-75, (2015); Gomez A.B., Mingueza N.L., Garcia del Pozo M.C., OpinAIS: an artificial immune system-based framework for opinion mining, Int J Interact Multimed Artif Intel, 3, 3, pp. 25-34, (2015); Kuncheva L.I., Combining pattern classifiers: methods and algorithms, (2004); Ruta D., Gabrys B., Classifier selection for majority voting, Inform Fusion, 6, 1, pp. 63-81, (2005); Singha J., Laskar R.H., Self co-articulation detection and trajectory guided recognition for dynamic hand gestures, IET Comput Vision, 10, 2, pp. 143-152, (2015); Singha J., Laskar R.H., Hand gesture recognition using two-level speed normalization, feature selection and classifier fusion, Multimedia Syst, (2016); Singha J., Laskar R.H., Recognition of global hand gestures using self co-articulation information and classifier fusion, J Multimodal User Interfaces, 10, 1, pp. 77-93, (2016); Singha J., Roy A., Laskar R.H., Dynamic hand gesture recognition using vision-based approach for human–computer interaction, Neural Comput Appl, (2016); Wongsrichanalai C., Barcus M.J., Muth S., Sutamihardja A., Wernsdorfer W.H., A review of malaria diagnostic tools: microscopy and rapid diagnostic test (RDT), Am J Trop Med Hyg, 77, 6, pp. 119-127, (2007); Murphy S.C., Shott J.P., Parikh S., Etter P., Prescott W.R., Stewart V.A., Review article: malaria diagnostics in clinical trials, Am J Trop Med Hyg, 89, 5, pp. 824-839, (2013)</t>
  </si>
  <si>
    <t xml:space="preserve">R.H. Laskar; Speech and Image Processing Group, Department of Electronics and Communication Engineering, National Institute of Technology, Silchar, 788010, India; email: rhlaskar@ece.nits.ac.in</t>
  </si>
  <si>
    <t xml:space="preserve">2-s2.0-85015162185</t>
  </si>
  <si>
    <t xml:space="preserve">Ashour D.S.; Abou Rayia D.M.; Maher Ata M.; Ashour A.S.; Abd Elnaby M.M.</t>
  </si>
  <si>
    <t xml:space="preserve">Ashour, Dalia S. (39261145000); Abou Rayia, Dina M. (35602585000); Maher Ata, Mohamed (57200201311); Ashour, Amira S. (7005633559); Abd Elnaby, Mustafa M. (7801527468)</t>
  </si>
  <si>
    <t xml:space="preserve">39261145000; 35602585000; 57200201311; 7005633559; 7801527468</t>
  </si>
  <si>
    <t xml:space="preserve">Hybrid feature extraction techniques for microscopic hepatic fibrosis classification</t>
  </si>
  <si>
    <t xml:space="preserve">Chronic liver diseases' hallmark is the fibrosis that results in liver function failure in advanced stages. One of the serious parasitic diseases affecting the liver tissues is schistosomiasis. Immunologic reactions to Schistosoma eggs leads to accumulation of collagen in the hepatic parenchyma causing fibrosis. Thus, monitoring and reporting the staging of the histopathological information related to liver fibrosis are essential for accurate diagnosis and therapy of the chronic liver diseases. Automated assessment of the microscopic liver tissue images is an essential process. For accurate and timeless assessment, an automated image analysis and classification of different stages of fibrosis can be employed as an efficient procedure. In this work, granuloma stages, namely cellular, fibrocellular, and fibrotic granulomas along with normal liver samples were classified after features extraction. In this work, a new hybrid combination of statistical features with empirical mode decomposition (EMD) is proposed. These combined features are further classified using the back-propagation neural network (BPNN). A comparative study of the used classifier with the support vector machine is also conducted. The comparative results established that the BPNN achieved superior accuracy of 98.3% compared to the linear SVM, quadratic SVM, and cubic SVM that provided 85%, 84%, and 80%; respectively. In conclusion, this work is of special value that provides promising results for early prediction of the liver fibrosis in schistosomiais and other fibrotic liver diseases in no time with expected better prognosis after treatment. © 2018 Wiley Periodicals, Inc.</t>
  </si>
  <si>
    <t xml:space="preserve">Microscopy Research and Technique</t>
  </si>
  <si>
    <t xml:space="preserve">Wiley-Liss Inc.</t>
  </si>
  <si>
    <t xml:space="preserve">10.1002/jemt.22985</t>
  </si>
  <si>
    <t xml:space="preserve">https://www.scopus.com/inward/record.uri?eid=2-s2.0-85040196971&amp;doi=10.1002%2fjemt.22985&amp;partnerID=40&amp;md5=cd14d567b09d40c1c77982e530e7b8ce</t>
  </si>
  <si>
    <t xml:space="preserve">Department of Medical Parasitology, Faculty of Medicine, Tanta University, Egypt; Department of Electronics and Electrical Communication Engineering, Faculty of Engineering, Tanta University, Egypt</t>
  </si>
  <si>
    <t xml:space="preserve">Ashour D.S., Department of Medical Parasitology, Faculty of Medicine, Tanta University, Egypt; Abou Rayia D.M., Department of Medical Parasitology, Faculty of Medicine, Tanta University, Egypt; Maher Ata M., Department of Electronics and Electrical Communication Engineering, Faculty of Engineering, Tanta University, Egypt; Ashour A.S., Department of Electronics and Electrical Communication Engineering, Faculty of Engineering, Tanta University, Egypt; Abd Elnaby M.M., Department of Electronics and Electrical Communication Engineering, Faculty of Engineering, Tanta University, Egypt</t>
  </si>
  <si>
    <t xml:space="preserve">empirical mode decomposition (EMD); microscopic image analysis; schistosomiasis; statistical features extraction; texture analysis</t>
  </si>
  <si>
    <t xml:space="preserve">Collagen; Humans; Image Processing, Computer-Assisted; Liver; Liver Cirrhosis; Neural Networks (Computer); Schistosomiasis; Support Vector Machine; Backpropagation; Diagnosis; Disease control; Diseases; Extraction; Image analysis; Image classification; Neural networks; Support vector machines; Textures; Tissue; collagen; Chronic liver disease; Classifieds; Empirical Mode Decomposition; Liver fibrosis; Liver tissue; Microscopic image analysis; Schistosomiasis; Statistical feature extractions; Texture analysis; artificial neural network; classification; comparative study; diagnostic imaging; human; image processing; liver; liver cirrhosis; parasitology; pathology; schistosomiasis; support vector machine; Empirical mode decomposition</t>
  </si>
  <si>
    <t xml:space="preserve">collagen, 9007-34-5; Collagen, </t>
  </si>
  <si>
    <t xml:space="preserve">Abdoelrahman Hassan A.B., Samia A.F., Ahmed M.E.M., Gar-Elnabi M.A., Ali Omer A.I., Characterization of Hepatocellular Carcinoma (HCC) in CT Images using Texture Analysis Technique, IJSR, 5, pp. 917-921, (2016); Abou-Shady O.M., Mohammed S.S., Attia S.S., Yusuf H.A., Helmy D.O., Therapeutic effect of mefloquine on Schistosoma mansoni in experimental infection in mice, Journal of Parasitic Diseases, 40, 2, pp. 259-267, (2016); Abramoff M.D., Magalhaes P.J., Ram S.J., Image processing with Image, J. Biophotonics International, 11, 7, pp. 36-42, (2004); Ahmadian A., Mostafa A., Abolhassani M.D., Salimpou Y., A texture classification method for diffused liver diseases using Gabor wavelets, In Proceedings of the IEEE Engineering in Medicine and Biology 27th Annual Conference, pp. 1567-1570, (2005); Bataller R., Brenner D.A., Liver fibrosis, The Journal of Clinical Investigation, 115, pp. 209-218, (2005); Bedossa P., Carrat F., Liver biopsy: the best, not the gold standard, Journal of Hepatology, 50, pp. 1-3, (2009); Drury R., Wallington E., Carlton's histological techniques, (1980); Elghrabawy R.M., Protection against schistosomiasis-induced hepatic fibrosis by modulating the immune system, WebmedCentral Pharmacology, 2, 1, (2011); Friedman S.L., Hepatic fibrosis, Ch. 12, Schiff's Diseases of the Liver, pp. 295-315, (2012); Gryseels B., Polman K., Clerinx J., Kestens L., Human schistosomiasis, Lancet (London, England), 368, pp. 1106-1118, (2006); Hahn S.L., Comments on a tabulation of hilbert transforms for electrical engineers, IEEE Transactions on Communications, 44, (1996); Iacoviello D., (2011); Karayiannis N., Venetsanopoulos A.N., Artificial neural networks: learning algorithms, performance evaluation, and applications, (2013); Karoud M., Sabri M.A., Andaloussi S.J., Tairi H., Aarab A., Block Image Analysis using Empirical Mode Decomposition, Journal WSEAS Transactions on Computers, 5, 12, pp. 2903-2911, (2006); Kayaalti O., Aksebzeci B.H., Karahan I.O., Deniz K., Ozturk M., Yilmaz B., Kara S., Asyali M.H., pp. 47-52, (2012); Lefkowitch J.H., Scheuer's Liver Biopsy Interpretation E-Book, (2015); Marwaha S., Kaur G., Classification of microscopic images for fibrosis recognition using multiple classifiers, IRACST – Engineering Science and Technology: An International Journal (ESTIJ), 2, 3, pp. 2250-3498, (2012); Materka A., Strzelecki M., (1998); Nunes J.C., Guyot S., Delechelle E., Texture analysis based on local analysis of the bidimensional empirical mode decomposition, Machine Vision and Applications, 16, 3, pp. 177-188, (2005); Peter P.A., Warren K.S., A rapid method for infecting mice and other laboratory animals with subcutaneous injection, Journal of Parasitology, 131, pp. 558-561, (1969); Phillips S.C., Gledhill R.J., Essex J.W., Edge C.M., Application of the Hilbert-Huang Transform to the analysis of molecular dynamic simulations, The Journal of Physical Chemistry A, 107, pp. 4869-4876, (2003); Riedmiller M., Braun H., A direct Adaptive Method for Faster Back Propagation Learning The RPROP Algorithm, Institute fur logic, Komplexitat und Deduktionssyteme, (1993); Stanciu S.G., Xu S., Peng Q., Yan J., Stanciu G.A., Welsch R.E., Yu H., Experimenting liver fibrosis diagnostic by two photon excitation microscopy and Bag-of-Features image classification, Scientific Reports, 4, (2014); (2014); Yang Z., Yang L., A New Two-dimensional Empirical Mode Decomposition Based on Classical Empirical Mode Decomposition and Radon Transform, Proceedings of the International MultiConference of Engineers and Computer Scientists, 1, (2009); Yorston D.H., Murray McGavin D.D., Schistosomiasis, Manson's tropical diseases, pp. 698-725, (2009)</t>
  </si>
  <si>
    <t xml:space="preserve">D.S. Ashour; Department of Medical Parasitology, Faculty of Medicine, Tanta University, Egypt; email: daliaashour1@gmail.com</t>
  </si>
  <si>
    <t xml:space="preserve">1059910X</t>
  </si>
  <si>
    <t xml:space="preserve">MRTEE</t>
  </si>
  <si>
    <t xml:space="preserve">Microsc. Res. Tech.</t>
  </si>
  <si>
    <t xml:space="preserve">2-s2.0-85040196971</t>
  </si>
  <si>
    <t xml:space="preserve">Abdulkareem S.A.; Augustijn E.-W.; Mustafa Y.T.; Filatova T.</t>
  </si>
  <si>
    <t xml:space="preserve">Abdulkareem, Shaheen A. (57201286713); Augustijn, Ellen-Wien (55503202600); Mustafa, Yaseen T. (36859628600); Filatova, Tatiana (25640733600)</t>
  </si>
  <si>
    <t xml:space="preserve">57201286713; 55503202600; 36859628600; 25640733600</t>
  </si>
  <si>
    <t xml:space="preserve">Intelligent judgements over health risks in a spatial agent-based model</t>
  </si>
  <si>
    <t xml:space="preserve">Background: Millions of people worldwide are exposed to deadly infectious diseases on a regular basis. Breaking news of the Zika outbreak for instance, made it to the main media titles internationally. Perceiving disease risks motivate people to adapt their behavior toward a safer and more protective lifestyle. Computational science is instrumental in exploring patterns of disease spread emerging from many individual decisions and interactions among agents and their environment by means of agent-based models. Yet, current disease models rarely consider simulating dynamics in risk perception and its impact on the adaptive protective behavior. Social sciences offer insights into individual risk perception and corresponding protective actions, while machine learning provides algorithms and methods to capture these learning processes. This article presents an innovative approach to extend agent-based disease models by capturing behavioral aspects of decision-making in a risky context using machine learning techniques. We illustrate it with a case of cholera in Kumasi, Ghana, accounting for spatial and social risk factors that affect intelligent behavior and corresponding disease incidents. The results of computational experiments comparing intelligent with zero-intelligent representations of agents in a spatial disease agent-based model are discussed. Methods: We present a spatial disease agent-based model (ABM) with agents' behavior grounded in Protection Motivation Theory. Spatial and temporal patterns of disease diffusion among zero-intelligent agents are compared to those produced by a population of intelligent agents. Two Bayesian Networks (BNs) designed and coded using R and are further integrated with the NetLogo-based Cholera ABM. The first is a one-tier BN1 (only risk perception), the second is a two-tier BN2 (risk and coping behavior). Results: We run three experiments (zero-intelligent agents, BN1 intelligence and BN2 intelligence) and report the results per experiment in terms of several macro metrics of interest: an epidemic curve, a risk perception curve, and a distribution of different types of coping strategies over time. Conclusions: Our results emphasize the importance of integrating behavioral aspects of decision making under risk into spatial disease ABMs using machine learning algorithms. This is especially relevant when studying cumulative impacts of behavioral changes and possible intervention strategies. © 2018 The Author(s).</t>
  </si>
  <si>
    <t xml:space="preserve">surveillence</t>
  </si>
  <si>
    <t xml:space="preserve">10.1186/s12942-018-0128-x</t>
  </si>
  <si>
    <t xml:space="preserve">https://www.scopus.com/inward/record.uri?eid=2-s2.0-85044176475&amp;doi=10.1186%2fs12942-018-0128-x&amp;partnerID=40&amp;md5=6a7a78fc9522b66f310e34e6e352f510</t>
  </si>
  <si>
    <t xml:space="preserve">University of Twente, Department of Governance and Technology for Sustainability (CSTM), Faculty of Behavioral, Management, and Social Sciences (BMS), Enschede, Netherlands; University of Duhok (UoD), Department of Computer Science, College of Science, Duhok, Kurdistan Region, Iraq; University of Twente, Department of Geo-Information Process (GIP), Faculty of Geo-Information Science and Earth Observation (ITC), Enschede, Netherlands; University of Zakho (UoZ), Faculty of Science, Duhok, Kurdistan Region, Iraq; University of Technology Sydney, School of Systems, Management and Leadership, Faculty of Engineering and Information Technology, Ultimo, Australia</t>
  </si>
  <si>
    <t xml:space="preserve">Abdulkareem S.A., University of Twente, Department of Governance and Technology for Sustainability (CSTM), Faculty of Behavioral, Management, and Social Sciences (BMS), Enschede, Netherlands, University of Duhok (UoD), Department of Computer Science, College of Science, Duhok, Kurdistan Region, Iraq; Augustijn E.-W., University of Twente, Department of Geo-Information Process (GIP), Faculty of Geo-Information Science and Earth Observation (ITC), Enschede, Netherlands; Mustafa Y.T., University of Zakho (UoZ), Faculty of Science, Duhok, Kurdistan Region, Iraq; Filatova T., University of Twente, Department of Governance and Technology for Sustainability (CSTM), Faculty of Behavioral, Management, and Social Sciences (BMS), Enschede, Netherlands, University of Technology Sydney, School of Systems, Management and Leadership, Faculty of Engineering and Information Technology, Ultimo, Australia</t>
  </si>
  <si>
    <t xml:space="preserve">Bayesian networks; Cholera; Disease diffusion; Emergent behavior; Learning; Protection motivation theory</t>
  </si>
  <si>
    <t xml:space="preserve">Algorithms; Artificial Intelligence; Bayes Theorem; Cholera; Communicable Diseases; Ghana; Health Behavior; Humans; Machine Learning; Risk Factors; Spatial Analysis; Waste Disposal Facilities; Ashanti; Ghana; Kumasi; algorithm; Bayesian analysis; cholera; decision making; disease spread; epidemiology; health risk; machine learning; risk perception; spatial analysis; algorithm; artificial intelligence; Bayes theorem; cholera; communicable disease; Ghana; health behavior; human; machine learning; risk factor; spatial analysis; statistics and numerical data; waste disposal facility</t>
  </si>
  <si>
    <t xml:space="preserve">Nederlandse Organisatie voor Wetenschappelijk Onderzoek, NWO, (640‑006‑012); Nederlandse Organisatie voor Wetenschappelijk Onderzoek, NWO</t>
  </si>
  <si>
    <t xml:space="preserve">The financial support of this research comes from the split‑site PhD program of the Iraqi Kurdistan‑region government (KRG) represented by ministry of higher education and scientific research, and the NWO DID MIRACLE project (640‑006‑012).</t>
  </si>
  <si>
    <t xml:space="preserve">Pablo A.L., Sitkin S.B., Jemison D.B., Acquisition decision-making processes: the central role of risk, J Manag, 22, 5, pp. 723-746, (1996); Williams D.J., Noyes J.M., How does our perception of risk influence decision-making? Implications for the design of risk information, Theor Issues Ergon Sci, 8, 1, pp. 1-35, (2007); Sitkin S.B., Weingart L.R., Determinants of risky decision-making behavior: a test of the mediating role of risk perceptions and propensity, Acad Manag J, 38, 6, pp. 1573-1592, (1995); Bauch C.T., D'Onofrio A., Manfredi P., Behavioral epidemiology of infectious diseases: an overview, (2013); Manfredi P., D'Onofrio A., Modeling the interplay between human behavior and the spread of infectious diseases, (2013); Bassett R.L., Ginis K.A.M., Risky business: the effects of an individualized health information intervention on health risk perceptions and leisure time physical activity among people with spinal cord injury, Disabil. Health J., 4, 3, pp. 165-176, (2011); Rogers R.W., Cognitive and physiological processes in fear appeals and attitute change: a revised theory of porotection motivation, Social psychophysiology: a sourcebook, pp. 153-177, (1983); Filatova T., Parker D.C., Veen A., The implications of skewed risk perception for a dutch coastal land market: insights from an agent-based computational economics model, Agric Resour Econ Rev, 40, 3, pp. 405-423, (2011); Haer T., Botzen W.J.W., Moel H., Aerts J.C.J.H., Integrating household risk mitigation behavior in flood risk analysis: an agent-based model approach, Risk Anal., 37, 10, pp. 1977-1992, (2017); Duinen R., Filatova T., Jager W., Veen A., Going beyond perfect rationality: drought risk, economic choices and the influence of social networks, Ann Reg Sci, 57, 2-3, pp. 335-369, (2016); Gotteland C., McFerrin B.M., Zhao X., Gilot-Fromont E., Lelu M., Agricultural landscape and spatial distribution of Toxoplasma gondii in rural environment: an agent-based model, Int J Health Geogr, 13, 1, (2014); Perez L., Dragicevic S., An agent-based approach for modeling dynamics of contagious disease spread, Int J Health Geogr, 8, 1, (2009); Crooks A.T., Hailegiorgis A.B., An agent-based modeling approach applied to the spread of cholera, Environ Model Softw, 62, pp. 164-177, (2014); Wise S., Using social media content to inform agent based models for humanitarian crisis response, (2014); Bieberstein A., Background to Risk Perception"., An Investigation of women's and men's perceptions and meanings associated with food risks, pp. 25-62, (2014); Kim D.J., Ferrin D.L., Rao H.R., A trust-based consumer decision-making model in electronic commerce: the role of trust, perceived risk, and their antecedents, Decis Support Syst, 44, 2, pp. 544-564, (2008); Asgari S., Awwad R., Kandil A., Odeh I., Impact of considering need for work and risk on performance of construction contractors: an agent-based approach, Autom Constr, 65, pp. 9-20, (2016); Seidl R., Kuhn S., Elbers M., Ernst A., Klemm D., Modelling risk perception and indicators of psychosocial sustainability in private households: the risk perception module in DeepHousehold, Regional assessment of global change impacts, pp. 347-353, (2016); Augustijn E.W., Doldersum T., Useya J., Augustijn D., Agent-based modelling of cholera diffusion, Stoch Environ Res Risk Assess, 30, 8, pp. 2079-2095, (2016); Heckerman D., A tutorial on learning with Bayesian networks, Innovations in Bayesian networks, (1995); Zhang M., Tan Z., Zhao J., Li L., A bayesian learning model in the agent-based bilateral negotiation between the coal producers and electric power generators, 2008 In: Intelligent information technology application workshops, 2, pp. 859-862, (2008); Kocabas V., Dragicevic S., Bayesian networks and agent-based modeling approach for urban land-use and population density change: a BNAS model, J Geogr Syst, 15, 4, pp. 403-426, (2013); Lei Z., Distributed modeling architecture of a multi-agent-based behavioral economic landscape (MABEL) model, Simulation, 81, 7, pp. 503-515, (2005); Frias-Martinez V., Rubio A., Frias-Martinez E., Measuring the impact of epidemic alerts on human mobility, Pervasive urban applications, (2012); Funk S., Gilad E., Watkins C., Jansen V.A.A., The spread of awareness and its impact on epidemic outbreaks, Proc Natl Acad Sci USA, 106, 16, pp. 6872-6877, (2009); Asase M., Yanful E.K., Mensah M., Stanford J., Amponsah S., Comparison of municipal solid waste management systems in Canada and Ghana: a case study of the cities of London, Ontario, and Kumasi, Ghana, Waste Manag, 29, 10, pp. 2779-2786, (2009); Danquah L., Abass K., Nikoi A.A., Anthropogenic pollution of inland waters: the case of the Aboabo River in Kumasi, Ghana, J Sustain Dev, 4, 6, pp. 103-115, (2011); Melegaro A., Et al., Social contact structures and time use patterns in the Manicaland Province of Zimbabwe, PLoS ONE, 12, 1, (2017); Mitchell T.M., Machine learning, (1997); 2010 Population and housing census, pp. 1-117, (2012); Miezah K., Obiri-Danso K., Kadar Z., Fei-Baffoe B., Mensah M.Y., Municipal solid waste characterization and quantification as a measure towards effective waste management in Ghana, Waste Manag, 46, pp. 15-27, (2015); Jensen F.V., Nielsen T.D., Bayesian networks and decision graphs, (2007)</t>
  </si>
  <si>
    <t xml:space="preserve">S.A. Abdulkareem; Department of Governance and Technology for Sustainability (CSTM), Faculty of Behavioral, Management, and Social Sciences (BMS), University of Twente, Enschede, Netherlands; email: s.a.abdulkareem@utwente.nl</t>
  </si>
  <si>
    <t xml:space="preserve">2-s2.0-85044176475</t>
  </si>
  <si>
    <t xml:space="preserve">de Souza D.K.; Otchere J.; Ahorlu C.S.; Adu-Amankwah S.; Larbi I.A.; Dumashie E.; McCarthy F.A.; King S.A.; Otoo S.; Osabutey D.; Osei J.H.N.; Sedzro K.M.; Asiedu O.; Dadzie S.K.; Ayi I.; Marfo B.; Biritwum N.-K.; Boakye D.A.</t>
  </si>
  <si>
    <t xml:space="preserve">de Souza, Dziedzom K. (36089712500); Otchere, Joseph (6507900693); Ahorlu, Collins S. (54888533700); Adu-Amankwah, Susan (40461102800); Larbi, Irene A. (24471058200); Dumashie, Edward (57202910686); McCarthy, Frances A. (57210998902); King, Sandra A. (56872283600); Otoo, Samson (57190743947); Osabutey, Dickson (55328111500); Osei, Joseph H.N. (45461284000); Sedzro, Kojo M. (56426291700); Asiedu, Odame (55866254800); Dadzie, Samuel K. (6603698471); Ayi, Irene (6507811137); Marfo, Benjamin (55597697900); Biritwum, Nana-Kwadwo (26435713700); Boakye, Daniel A. (6701920582)</t>
  </si>
  <si>
    <t xml:space="preserve">36089712500; 6507900693; 54888533700; 40461102800; 24471058200; 57202910686; 57210998902; 56872283600; 57190743947; 55328111500; 45461284000; 56426291700; 55866254800; 6603698471; 6507811137; 55597697900; 26435713700; 6701920582</t>
  </si>
  <si>
    <t xml:space="preserve">Low microfilaremia levels in three districts in coastal Ghana with at least 16 years of mass drug administration and persistent transmission of lymphatic filariasis</t>
  </si>
  <si>
    <t xml:space="preserve">Ghana has been implementing mass drug administration (MDA) of ivermectin and albendazole for the elimination of lymphatic filariasis (LF) since the year 2000, as part of the Global Programme to Eliminate Lymphatic Filariasis (GPELF). It was estimated that 5–6 years of treatment would be sufficient to eliminate the disease. Tremendous progress has been made over the years, and treatment has stopped in many disease endemic districts. However, despite the successful implementation of MDA, there are districts with persistent transmission. In this study we assessed the epidemiology of LF in three adjoining districts that have received at least 16 years of MDA. The assessments were undertaken one year after the last MDA. 1234 adults and 182 children below the age of 10 years were assessed. The overall prevalence of circulating filarial antigen in the study participants was 8.3% (95% CI: 6.9–9.9), with an estimated microfilaria prevalence of 1.2%. The microfilarial intensity in positive individuals ranged from 1 to 57 microfilariae/mL of blood. Higher antigen prevalence was detected in males (13.0%; 95% CI: 10.3–16.2) compared to females (5.5%; 95% CI: 4.1–7.2). The presence of infection was also highest in individuals involved in outdoor commercial activities, with the risks of infection being four- to five-fold higher among farmers, fishermen, drivers and artisans, compared to all other occupations. Using bednets or participating in MDA did not significantly influence the risk of infection. No children below the age of 10 years were found with infection. Detection of Wb123 antibodies for current infections indicated a prevalence of 14.4% (95% CI: 8.1–23.0) in antigen-positive individuals above 10 years of age. No antibodies were detected in children 10 years or below. Assessment of infection within the An. gambiae vectors of LF indicated an infection rate of 0.9% (95% CI: 0.3–2.1) and infectivity rate of 0.5% (95% CI: 0.1–1.6). These results indicate low-level transmission within the districts, and suggest that it will require targeted interventions in order to eliminate the infection. © 2018 by the authors.</t>
  </si>
  <si>
    <t xml:space="preserve">10.3390/tropicalmed3040105</t>
  </si>
  <si>
    <t xml:space="preserve">https://www.scopus.com/inward/record.uri?eid=2-s2.0-85072067501&amp;doi=10.3390%2ftropicalmed3040105&amp;partnerID=40&amp;md5=e187c656d24cbccfb6036c86123ca25b</t>
  </si>
  <si>
    <t xml:space="preserve">Department of Parasitology, Noguchi Memorial Institute for Medical Research, College of Health Sciences, University of Ghana, Legon-Accra, Ghana; Department of Epidemiology, Noguchi Memorial Institute for Medical Research, College of Health Sciences, University of Ghana, Legon-Accra, Ghana; Neglected Tropical Diseases Programme, Ghana Health Service, Accra, Ghana; Bill and Melinda Gates Foundation, Seattle, 98109, WA, United States</t>
  </si>
  <si>
    <t xml:space="preserve">de Souza D.K., Department of Parasitology, Noguchi Memorial Institute for Medical Research, College of Health Sciences, University of Ghana, Legon-Accra, Ghana; Otchere J., Department of Parasitology, Noguchi Memorial Institute for Medical Research, College of Health Sciences, University of Ghana, Legon-Accra, Ghana; Ahorlu C.S., Department of Epidemiology, Noguchi Memorial Institute for Medical Research, College of Health Sciences, University of Ghana, Legon-Accra, Ghana; Adu-Amankwah S., Department of Epidemiology, Noguchi Memorial Institute for Medical Research, College of Health Sciences, University of Ghana, Legon-Accra, Ghana; Larbi I.A., Department of Epidemiology, Noguchi Memorial Institute for Medical Research, College of Health Sciences, University of Ghana, Legon-Accra, Ghana; Dumashie E., Department of Parasitology, Noguchi Memorial Institute for Medical Research, College of Health Sciences, University of Ghana, Legon-Accra, Ghana; McCarthy F.A., Department of Parasitology, Noguchi Memorial Institute for Medical Research, College of Health Sciences, University of Ghana, Legon-Accra, Ghana; King S.A., Department of Parasitology, Noguchi Memorial Institute for Medical Research, College of Health Sciences, University of Ghana, Legon-Accra, Ghana; Otoo S., Department of Parasitology, Noguchi Memorial Institute for Medical Research, College of Health Sciences, University of Ghana, Legon-Accra, Ghana; Osabutey D., Department of Parasitology, Noguchi Memorial Institute for Medical Research, College of Health Sciences, University of Ghana, Legon-Accra, Ghana; Osei J.H.N., Department of Parasitology, Noguchi Memorial Institute for Medical Research, College of Health Sciences, University of Ghana, Legon-Accra, Ghana; Sedzro K.M., Department of Epidemiology, Noguchi Memorial Institute for Medical Research, College of Health Sciences, University of Ghana, Legon-Accra, Ghana; Asiedu O., Neglected Tropical Diseases Programme, Ghana Health Service, Accra, Ghana; Dadzie S.K., Department of Parasitology, Noguchi Memorial Institute for Medical Research, College of Health Sciences, University of Ghana, Legon-Accra, Ghana; Ayi I., Department of Parasitology, Noguchi Memorial Institute for Medical Research, College of Health Sciences, University of Ghana, Legon-Accra, Ghana; Marfo B., Neglected Tropical Diseases Programme, Ghana Health Service, Accra, Ghana; Biritwum N.-K., Bill and Melinda Gates Foundation, Seattle, 98109, WA, United States; Boakye D.A., Department of Parasitology, Noguchi Memorial Institute for Medical Research, College of Health Sciences, University of Ghana, Legon-Accra, Ghana</t>
  </si>
  <si>
    <t xml:space="preserve">Control; Elephantiasis; Ghana; Lymphatic filariasis; Transmission; Wuchereria bancrofti</t>
  </si>
  <si>
    <t xml:space="preserve">NTDP; European Commission, EC, (98595)</t>
  </si>
  <si>
    <t xml:space="preserve">Funding text 1: Funding: This project is part of the EDCTP2 programme supported by the European Union, through grant number 98595 to D.K.d.S. The funding source has no role in the design of the study, in the collection, analysis and interpretation of the data, or in the publication of the study results.; Funding text 2: This project is part of the EDCTP2 programme supported by the European Union, through grant number 98595 to D.K.d.S. The funding source has no role in the design of the study, in the collection, analysis and interpretation of the data, or in the publication of the study results. We are grateful to the regional and district health management teams for their support towards the study. The support of the NTDP is acknowledged in the implementation of the study. We are also grateful to the community drug distributors, chiefs, elders, and participants in the study communities.</t>
  </si>
  <si>
    <t xml:space="preserve">Global Programme to Eliminate Lymphatic Filariasis: Progress Report, 2016, pp. 589-608, (2017); Global programme to eliminate lymphatic filariasis:, Progress Report, 2014. Weekly Epidemiological Record/Health Section of the Secretariat of the League of Nations, pp. 489-504, (2015); Bockarie M.J., Deb R.M., Elimination of lymphatic filariasis: Do we have the drugs to complete the job?, Curr. Opin. Infect. Dis., 23, pp. 617-620, (2010); Guideline—Alternative Mass Drug Administration Regimens to Eliminate Lymphatic Filariasis, (2017); Webber R., Can anopheline-transmitted filariasis be eradicated?, J. Trop. Med. Hyg., 94, pp. 241-244, (1991); Biritwum N.K., de Souza D.K., Marfo B., Odoom S., Alomatu B., Asiedu O., Yeboah A., Hervie T.E., Mensah E.O., Yikpotey P., Et al., Fifteen years of programme implementation for the elimination of lymphatic filariasis in Ghana: Impact of MDA on immunoparasitological indicators, PLoS Negl. Trop. Dis., 11, (2017); Simonsen P.E., Magesa S.M., Dunyo S.K., Malecela-Lazaro M.N., Michael E., The effect of single dose ivermectin alone or in combination with albendazole on Wuchereria bancrofti infection in primary school children in Tanzania, Trans. R. Soc. Trop. Med. Hyg., 98, pp. 462-472, (2004); Pion S.D.S., Chesnais C.B., Weil G.J., Fischer P.U., Missamou F., Boussinesq M., Effect of 3 years of biannual mass drug administration with albendazole on lymphatic filariasis and soil-transmitted helminth infections: A community-based study in Republic of the Congo, Lancet Infect. Dis., 17, pp. 763-769, (2017); Biritwum N.K., Yikpotey P., Marfo B.K., Odoom S., Mensah E.O., Asiedu O., Alomatu B., Hervie E.T., Yeboah A., Ade S., Et al., Persistent ‘hotspots' of lymphatic filariasis microfilaraemia despite 14 years of mass drug administration in Ghana, Trans. R. Soc. Trop. Med. Hyg., 110, pp. 690-695, (2016); Kanamitie J.N., Ahorlu C.S., Otchere J., Aboagye-Antwi F., Kwansa-Bentum B., Boakye D.A., Biritwum N.K., Wilson M.D., de Souza D.K., 12-month longitudinal parasitological assessment of lymphatic filariasis-positive individuals: Impact of bi-annual treatment with ivermectin and albendazole, Trop. Med. Int. Health, 22, pp. 1451-1456, (2017); Rebollo M.P., Bockarie M.J., Can lymphatic filariasis be eliminated by 2020?, Trends Parasitol, 33, pp. 83-92, (2017); De Souza D.K., Ahorlu C.S., Adu-Amankwah S., Otchere J., Mensah S.K., Larbi I.A., Mensah G.E., Biritwum N.K., Boakye D.A., Community-based trial of annual versus biannual single-dose ivermectin plus albendazole against Wuchereria bancrofti infection in human and mosquito populations: Study protocol for a cluster randomised controlled trial, Trials, 18, (2017); Weil G.J., Curtis K.C., Fakoli L., Fischer K., Gankpala L., Lammie P.J., Majewski A.C., Pelletreau S., Won K.Y., Bolay F.K., Et al., Laboratory and field evaluation of a new rapid test for detecting Wuchereria bancrofti antigen in human blood, Am. J. Trop. Med. Hyg., 89, pp. 11-15, (2013); Dickerson J.W., Eberhard M.L., Lammie P.J., A technique for microfilarial detection in preserved blood using nuclepore filters, J. Parasitol., 76, pp. 829-833, (1990); Steel C., Golden A., Kubofcik J., LaRue N., de Los Santos T., Domingo G.J., Nutman T.B., Rapid Wuchereria bancrofti-specific antigen Wb123-based IgG4 immunoassays as tools for surveillance following mass drug administration programs on lymphatic filariasis, Clin. Vaccine Immunol., 20, pp. 1155-1161, (2013); Malaria Entomology and Vector Control: Learner'S Guide, (2013); Gillies M.T., De Meillon B., The Anophelinae of Africa South of the Sahara (Ethiopian Zoographical Region), (1968); Simonsen P.E., Derua Y.A., Magesa S.M., Pedersen E.M., Stensgaard A.S., Malecela M.N., Kisinza W.N., Lymphatic filariasis control in Tanga region, Tanzania: Status after eight rounds of mass drug administration, Parasit. Vector., 7, (2014); Monitoring and Epidemiological Assessment of Mass Drug Administration in the Global Programme to Eliminate Lymphatic Filariasis: A Manual for National Elimination Programmes, pp. 1-79, (2011); Lymphatic Filariasis: A Handbook for National Elimination Programmes, (2013); Eberhard M.L., Hightower A.W., Addiss D.G., Lammie P.J., Clearance of Wuchereria bancrofti antigen after treatment with diethylcarbamazine or ivermectin, Am. J. Trop. Med. Hyg., 57, pp. 483-486, (1997); Owusu I.O., de Souza D.K., Anto F., Wilson M.D., Boakye D.A., Bockarie M.J., Gyapong J.O., Evaluation of human and mosquito based diagnostic tools for defining endpoints for elimination of Anopheles- Transmitted lymphatic filariasis in Ghana, Trans. R. Soc. Trop. Med. Hyg., 109, pp. 628-635, (2015); Gass K., Beau de Rochars M.V., Boakye D., Bradley M., Fischer P.U., Gyapong J., Itoh M., Ituaso-Conway N., Joseph H., Kyelem D., Et al., A multicenter evaluation of diagnostic tools to define endpoints for programs to eliminate bancroftian filariasis, PLoS Negl. Trop. Dis., 6, (2012); Brabin L., Sex differentials in susceptibility to lymphatic filariasis and implications for maternal child immunity, Epidemiol. Infect., 105, pp. 335-353, (1990); Rao R.U., Samarasekera S.D., Nagodavithana K.C., Goss C.W., Punchihewa M.W., Dassanayaka T.D.M., Ranasinghe U.S.B., Mendis D., Weil G.J., Comprehensive assessment of a hotspot with persistent bancroftian filariasis in coastal Sri Lanka, Am. J. Trop. Med. Hyg., 99, pp. 735-742, (2018); Dunyo S.K., Appawu M., Nkrumah F.K., Baffoe-Wilmot A., Pedersen E.M., Simonsen P.E., Lymphatic filariasis on the coast of Ghana, Trans. R. Soc. Trop. Med. Hyg., 90, pp. 634-638, (1996); Dzodzomenyo M.D., Dunyo S.K., Ahorlu C.K., Coker W.Z., Appawu M.A., Pedersen E.M., Simonsen P., Bancroftian filariasis in an irrigation project community in southern Ghana, Trop. Med. Int. Health, 4, pp. 13-18, (1999); Aboagye-Antwi F., Kwansa-Bentum B., Dadzie S.K., Ahorlu C.K., Appawu M.A., Gyapong J., Wilson M.D., Boakye D.A., Transmission indices and microfilariae prevalence in human population prior to mass drug administration with ivermectin and albendazole in the Gomoa District of Ghana, Parasites Vectors, 8, (2015); Appawu M.A., Dadzie S.K., Wilmot-Baffoe A., Wilson M.D., Lymphatic filariasis in Ghana: Entomological investigation of transmission dynamics and intensity in communities served by irrigation systems in the Upper East Region of Ghana, Trop. Med. Int. Health, 6, pp. 511-516, (2001); Lammie P.J., Hightower A.W., Eberhard M.L., Age-specific prevalence of antigenemia in a Wuchereria bancrofti-exposed population, Am. J. Trop. Med. Hyg., 51, pp. 348-355, (1994); Pani S., Subramanyam Reddy G., Das L., Vanamail P., Hoti S., Ramesh J., Das P., Tolerability and efficacy of single-dose albendazole, diethylcarbamazine citrate (DEC) or co-administration of albendazole with DEC in the clearance of Wuchereria bancrofti in asymptomatic microfilaraemic volunteers in Pondicherry, south India: A hospital-based study, Filaria J, 1, (2002); Steel C., Golden A., Stevens E., Yokobe L., Domingo G.J., de los Santos T., Nutman T.B., Rapid point-of-contact tool for mapping and integrated surveillance of Wuchereria bancrofti and Onchocerca volvulus infection, Clin. Vaccine Immunol., 22, pp. 896-901, (2015); De Souza D.K., Offei Owusu I., Otchere J., Adimazoya M., Frempong K.K., Ahorlu C.S., Boakye D.A., Wilson M.D., An evaluation of Wb123 antibody ELISA in individuals treated with ivermectin and albendazole, and implementation challenges in Africa, Pan Afr. Med. J., 27, (2017); De Souza D., Kelly-Hope L., Lawson B., Wilson M., Boakye D., Environmental factors associated with the distribution of Anopheles gambiae s.s in Ghana; an important vector of lymphatic filariasis and malaria, PLoS ONE, 5, (2010); Opoku M., Minetti C., Kartey-Attipoe W.D., Otoo S., Otchere J., Gomes B., de Souza D.K., Reimer L.J., An assessment of mosquito collection techniques for xenomonitoring of anopheline-transmitted lymphatic filariasis in Ghana, Parasitology, pp. 1-9, (2018); Amuzu H., Wilson M., Boakye D., Studies of Anopheles gambiae s.l (Diptera: Culicidae) exhibiting different vectorial capacities in lymphatic filariasis transmission in the Gomoa District, Ghana, Parasites Vectors, 3, (2010); Ughasi J., Bekhard H., Coulibaly M., Adabie-Gomez D., Gyapong J., Appawu M., Wilson M., Boakye D., Mansonia africana and Mansonia uniformis are vectors in the transmission of Wuchereria bancrofti lymphatic filariasis in Ghana, Parasites Vectors, 5, (2012); Ahorlu C.S.K., Koka E., Adu-Amankwah S., Otchere J., de Souza D.K., Community perspectives on persistent transmission of lymphatic filariasis in three hotspot districts in Ghana after 15 rounds of mass drug administration: A qualitative assessment, BMC Public Health, 18, (2018)</t>
  </si>
  <si>
    <t xml:space="preserve">D.K. de Souza; Department of Parasitology, Noguchi Memorial Institute for Medical Research, College of Health Sciences, University of Ghana, Legon-Accra, Ghana; email: ddesouza@noguchi.ug.edu.gh</t>
  </si>
  <si>
    <t xml:space="preserve">2-s2.0-85072067501</t>
  </si>
  <si>
    <t xml:space="preserve">Noer N.B.; Hadju V.; Thaha R.M.; Daud A.; Arundhana A.I.; Mallongi A.</t>
  </si>
  <si>
    <t xml:space="preserve">Noer, Noor Bahri (57200576707); Hadju, Veni (8684558700); Thaha, Ridwan M. (57063186400); Daud, Anwar (57193112691); Arundhana, Andi Imam (57189491378); Mallongi, Anwar (57196100558)</t>
  </si>
  <si>
    <t xml:space="preserve">57200576707; 8684558700; 57063186400; 57193112691; 57189491378; 57196100558</t>
  </si>
  <si>
    <t xml:space="preserve">Malaria and nutritional status among female adolescents in West Sulawesi, Indonesia</t>
  </si>
  <si>
    <t xml:space="preserve">Background: Adolescent girls are one of the vulnerable groups in which the nutritional demand increases. One of the most common nutritional problems in adolescent girl is anemia. This risk of anemia increases especially for those living in endemic area of malaria. The relationship between nutritional status and malaria is complex and involves many determinant factors. Objective: This study aims to determine the relationship between anemia and nutritional status in adolescent girl in West Sulawesi Province. Material and Method: This study was a cross-sectional and conducted in North Mamuju Regency, West Sulawesi Province. A total of 200 adolescent girls as the subjects from 4 schools were selected using two stage random sampling. The variables measured were malaria status, type of malaria, worm status, and nutritional status. Diagnosis of malaria is conducted by health professional based on the result of blood sample analysis (250-500 ml). The type of malaria was observed in the sub-sample (43 students). Nutritional status was calculated after measurement of body weight and height by using weight for height indices (WHZ score). Feces collected are to see the presence of worm infection. Bivariate and multivariate analyzes were performed using chi-square, t-test, and ANOVA analysis using SPSS 15. Result: This study shows that most respondents have decent dwellings. It is characterized by 71.5% having own latrines, 60% having cemented wells, cemented floor (62.5%), and 73.5% tin roofs. This study also shows that the number of malaria was 21.5% and the dominant type of malaria was Tertiana (79.1%). Many of adolescent girls were malnutrition marked by BMI &lt;17 kg/m2, chronic energi deficiency, and anemia (9.5%, 54.5%, 71.9%, respectively). In addition, 28.5% of students were infected with the worms. Bivariate analysis showed that there was no significant association between malaria status and anemia (p = 0.368). However, it appears that those with malaria have lower mid-upper arm circumference (MUAC) than non-malaria. Similarly with the indicator of body mass index, adolescent girl with malaria had lower BMI than non-malaria (19.05 kg/ m2 vs. 19.39 kg/ m2). However, hemoglobin levels in the malaria group were higher than the non-malaria group (11.34 vs. 11.05). Conclusion: The current study concluded that malaria in adolescent girl may have an impact on body composition but not on hemoglobin levels. Further studies need to be done primarily to see the long-term repercussions of repeated malaria in adolescent girls. © 2018, Indian Journal of Public Health Research and Development. All rights reserved.</t>
  </si>
  <si>
    <t xml:space="preserve">10.5958/0976-5506.2018.00045.1</t>
  </si>
  <si>
    <t xml:space="preserve">https://www.scopus.com/inward/record.uri?eid=2-s2.0-85041721543&amp;doi=10.5958%2f0976-5506.2018.00045.1&amp;partnerID=40&amp;md5=b79ee1797483c00d07e7d29efdd14beb</t>
  </si>
  <si>
    <t xml:space="preserve">Department of Hospital Administration, Hasanuddin University, Makassar, Indonesia; Community Nutritional Department, Hasanuddin University, Makassar, Indonesia; Health and Education Promotion Department, Hasanuddin University, Makassar, Indonesia; Environmental Health Department, Faculty of Public Health, Hasanuddin University, Makassar, Indonesia</t>
  </si>
  <si>
    <t xml:space="preserve">Noer N.B., Department of Hospital Administration, Hasanuddin University, Makassar, Indonesia; Hadju V., Community Nutritional Department, Hasanuddin University, Makassar, Indonesia; Thaha R.M., Health and Education Promotion Department, Hasanuddin University, Makassar, Indonesia; Daud A., Environmental Health Department, Faculty of Public Health, Hasanuddin University, Makassar, Indonesia; Arundhana A.I., Community Nutritional Department, Hasanuddin University, Makassar, Indonesia; Mallongi A., Environmental Health Department, Faculty of Public Health, Hasanuddin University, Makassar, Indonesia</t>
  </si>
  <si>
    <t xml:space="preserve">Adolescent; Anemia; Body mass index; Falciparum; Nutritional status</t>
  </si>
  <si>
    <t xml:space="preserve">hemoglobin; adolescent; analysis of variance; anemia; arm circumference; Article; body height; body mass; body weight; chi square test; controlled study; cross-sectional study; female; helminthiasis; hemoglobin blood level; human; Indonesia; malaria; malnutrition; mid upper arm circumference; nutritional status; risk factor</t>
  </si>
  <si>
    <t xml:space="preserve">Nyakeriga A.M., Troye-Blomberg M., Chemtai A.K., Marsh K., Williams T.N., Malaria and nutritional status in children living on the coast of Kenya, The American Journal of Clinical Nutrition, 80, pp. 1604-1610, (2004); Zakiah W., Sembiring T., Irsa L., Nutritional status and malaria infection in primary school-aged children, Paediatrica Indonesiana2, 55, 4, pp. 209-214, (2015); Charchuk R., Houston S., Hawkes M.T., Elevated prevalence of malnutrition and malaria among school-aged children and adolescents in war-ravaged South Sudan, Pathogens and Global Health, 109, 8, pp. 395-400, (2015); Riset Kesehatan Daerah, (2007); Laporan Nasional Riset Kesehatan Dasar (RISKESDAS) tahun 2007, Jakarta, (2008); World Malaria Report 2016, WHO Publication, (2016); Ogbodo S., Ogah O., Obu H., Shu E., Afiukwa C., Lipid and lipoprotein levels in children with malaria parasitaemia, Curr Paediatr Res, 12, 12, pp. 12-17, (2008); Intiful F.D., Wiredu E.K., Asare G.A., Asante M., Adjei D.N., Anaemia in pregnant adolescent girls with malaria and practicing pica, Pan African Medical Journal, 24, pp. 1-7, (2016); Nkuo-Akenji T., Ntonifor N.N., Ndukum M.B., Abongwa E.L., Nkwescheu A., Anong D.N., Songmbe M., Boyo M.G., Ndamukong K.N., Titanji V.P.K., Environmental factors affecting malaria parasite prevalence in rural Bolifamba, South West Cameroon, African Journal of Health Sciences. Kenya, 13, 12, pp. 40-46, (2006); Pereira P.C., Meira D.A., Curi P.R., De Souza N., Burini R.C., The malarial impact on the nutritional status of Amazonian adult subjects, Revista Do Instituto De Medicina Tropical De Sao Paulo, pp. 19-24, (1995); Alexandre M.A.A., Benzecry S.G., Siqueira A.M., Vitor-Silva S., Melo G.C., Monteiro W.M., Leite H.P., Lacerda M.V.G., Alecrim D.G.C., The Association between Nutritional Status and Malaria in Children from a Rural Community in the Amazonian Region: A Longitudinal Study, Plos Neglected Tropical Diseases, 9, 4, pp. 1-15, (2015); Takakura M., Uza M., Sasaki Y., Nagahama N., Phommpida S., Bounyadeth S., Kobayashi J., Toma T., Miyagi I., The relationship between anthropometric indicators of nutritional status and malaria infection among youths in Khammouane Province, Lao PDR, Southeast Asian Journal of Tropical Medicine and Public Health, 32, 2, pp. 262-267, (2001); Friedman J.F., Kurtis J.D., Mtalib R., Opollo M., Lanar D.E., Duffy P.E., Malaria Is Related to Decreased Nutritional Status among Male Adolescents and Adults in the Setting of Intense Perennial Transmission, The Journal of Infectious Diseases, 188, 3, pp. 449-457, (2003); Nur R., Mallongi A., Impact of Violence on Health Reproduction Among Wives in Donggala, Pakistan Journal of Nutrition, 15, 11, pp. 980-988, (2016); Rahman S.A., Rahim A., Mallongi A., Forecasting of Dengue Disease Incident Risks Using Non-stationary Spatial of Geostatistics Model in Bone Regency Indonesia, J. Entomol., 14, pp. 49-57, (2017); Jafari S.M., Heidari G., Nabipour I., Amirinejad R., Assadi M., Bargahi A., Akbarzadeh S., Tahmasebi R., Sanjdideh Z., Serum retinol levels are positively correlated with hemoglobin concentrations, independent of iron homeostasis: A population-based study, Nutrition Research, 33, 4, pp. 279-285, (2013); Stewart C.P., Christian P., Leclerq S.C., West K.P., Khatry S.K., Antenatal supplementation with folic acid + iron + zinc improves linear growth, American Journal of Clinical Nutrition, 90, 1, pp. 132-140, (2009); Caulfield L.E., Richard S.A., Black R.E., Undernutrition as an underlying cause of malaria morbidity and mortality in children less than five years old, The American Journal of Tropical Medicine and Hygiene. United States, 71, pp. 55-63, (2004); Yani R.W.E., Mallongi A., Andarini S., Prijatmoko D., Dewanti I.R., The Effect of Zinc Saliva on the Toddlers’ Nutritional Status, J Int Dent Med Res, 9, 1, pp. 29-33, (2016)</t>
  </si>
  <si>
    <t xml:space="preserve">A. Mallongi; Environmental Health Department, Faculty of Public Health, Hasanuddin University, Makassar, Indonesia; email: anwar_envi@yahoo.com</t>
  </si>
  <si>
    <t xml:space="preserve">2-s2.0-85041721543</t>
  </si>
  <si>
    <t xml:space="preserve">Poostchi M.; Ersoy I.; McMenamin K.; Gordon E.; Palaniappan N.; Pierce S.; Maud R.J.; Bansal A.; Srinivasan P.; Miller L.; Palaniappan K.; Thoma G.; Jaeger S.</t>
  </si>
  <si>
    <t xml:space="preserve">Poostchi, Mahdieh (26421326000); Ersoy, Ilker (6507396660); McMenamin, Katie (58308736800); Gordon, Emile (57212516401); Palaniappan, Nila (59023926200); Pierce, Susan (7201961929); Maud, Richard J. (57205140820); Bansal, Abhisheka (55566845100); Srinivasan, Prakash (7103192271); Miller, Louis (7404986359); Palaniappan, Kannappan (6701784534); Thoma, George (7005141497); Jaeger, Stefan (55516608100)</t>
  </si>
  <si>
    <t xml:space="preserve">26421326000; 6507396660; 58308736800; 57212516401; 59023926200; 7201961929; 57205140820; 55566845100; 7103192271; 7404986359; 6701784534; 7005141497; 55516608100</t>
  </si>
  <si>
    <t xml:space="preserve">Malaria parasite detection and cell counting for human and mouse using thin blood smear microscopy</t>
  </si>
  <si>
    <t xml:space="preserve">Despite the remarkable progress that has been made to reduce global malaria mortality by 29% in the past 5 years, malaria is still a serious global health problem. Inadequate diagnostics is one of the major obstacles in fighting the disease. An automated system for malaria diagnosis can help to make malaria screening faster and more reliable. We present an automated system to detect and segment red blood cells (RBCs) and identify infected cells in Wright-Giemsa stained thin blood smears. Specifically, using image analysis and machine learning techniques, we process digital images of thin blood smears to determine the parasitemia in each smear. We use a cell extraction method to segment RBCs, in particular overlapping cells. We show that a combination of RGB color and texture features outperforms other features. We evaluate our method on microscopic blood smear images from human and mouse and show that it outperforms other techniques. For human cells, we measure an absolute error of 1.18% between the true and the automatic parasite counts. For mouse cells, our automatic counts correlate well with expert and flow cytometry counts. This makes our system the first one to work for both human and mouse. © 2018 SPIE.</t>
  </si>
  <si>
    <t xml:space="preserve">Journal of Medical Imaging</t>
  </si>
  <si>
    <t xml:space="preserve">10.1117/1.JMI.5.4.044506</t>
  </si>
  <si>
    <t xml:space="preserve">https://www.scopus.com/inward/record.uri?eid=2-s2.0-85058824984&amp;doi=10.1117%2f1.JMI.5.4.044506&amp;partnerID=40&amp;md5=b8bb061f11f6389f48d9fb3e6f32335d</t>
  </si>
  <si>
    <t xml:space="preserve">Lister Hill National Center for Biomedical Communications, National Library of Medicine, Bethesda, MD, United States; University of Missouri-Columbia, Informatics Institute, Missouri, United States; University of Colorado Boulder, Aerospace Engineering Sciences Department, Boulder, CO, United States; National Institute of Allergy and Infectious Diseases, Division of Intramural Research, Rockville, MD, United States; University of Missouri-Kansas City, School of Medicine, Kansas City, MO, United States; University of Oxford, Centre for Tropical Medicine and Global Health, Nuffield Department of Medicine, Oxford, United Kingdom; Mahidol University, Mahidol-Oxford Tropical Medicine Research Unit, Faculty of Tropical Medicine, Bangkok, Thailand; Harvard University, Harvard TH Chan School of Public Health, Boston, MA, United States; Jawaharlal Nehru University, School of Life Sciences, New Delhi, India; National Institute of Allergy and Infectious Diseases, Laboratory of Malaria and Vector Research, Rockville, MD, United States; Johns Hopkins Bloomberg School of Public Health, Molecular Microbiology and Immunology, Baltimore, MD, United States; University of Missouri-Columbia, Department of Electrical Engineering and Computer Science, Columbia, MO, United States</t>
  </si>
  <si>
    <t xml:space="preserve">Poostchi M., Lister Hill National Center for Biomedical Communications, National Library of Medicine, Bethesda, MD, United States; Ersoy I., University of Missouri-Columbia, Informatics Institute, Missouri, United States; McMenamin K., University of Colorado Boulder, Aerospace Engineering Sciences Department, Boulder, CO, United States; Gordon E., National Institute of Allergy and Infectious Diseases, Division of Intramural Research, Rockville, MD, United States; Palaniappan N., University of Missouri-Kansas City, School of Medicine, Kansas City, MO, United States; Pierce S., National Institute of Allergy and Infectious Diseases, Division of Intramural Research, Rockville, MD, United States; Maud R.J., University of Missouri-Kansas City, School of Medicine, Kansas City, MO, United States, University of Oxford, Centre for Tropical Medicine and Global Health, Nuffield Department of Medicine, Oxford, United Kingdom, Mahidol University, Mahidol-Oxford Tropical Medicine Research Unit, Faculty of Tropical Medicine, Bangkok, Thailand, Harvard University, Harvard TH Chan School of Public Health, Boston, MA, United States; Bansal A., Jawaharlal Nehru University, School of Life Sciences, New Delhi, India, National Institute of Allergy and Infectious Diseases, Laboratory of Malaria and Vector Research, Rockville, MD, United States; Srinivasan P., National Institute of Allergy and Infectious Diseases, Laboratory of Malaria and Vector Research, Rockville, MD, United States, Johns Hopkins Bloomberg School of Public Health, Molecular Microbiology and Immunology, Baltimore, MD, United States; Miller L., National Institute of Allergy and Infectious Diseases, Laboratory of Malaria and Vector Research, Rockville, MD, United States; Palaniappan K., University of Missouri-Columbia, Department of Electrical Engineering and Computer Science, Columbia, MO, United States; Thoma G., Lister Hill National Center for Biomedical Communications, National Library of Medicine, Bethesda, MD, United States; Jaeger S., Lister Hill National Center for Biomedical Communications, National Library of Medicine, Bethesda, MD, United States</t>
  </si>
  <si>
    <t xml:space="preserve">Automated malaria diagnosis; cell segmentation and classification; computational microscopy imaging; red blood cell infection; thin blood smears</t>
  </si>
  <si>
    <t xml:space="preserve">Automation; Blood; Cells; Computer aided diagnosis; Cytology; Learning systems; Textures; Automated malaria diagnose; Blood smears; Cell classification; Cell segmentation; Computational microscopies; Computational microscopy imaging; Malaria diagnosis; Microscopy imaging; Red blood cell; Red blood cell infection; Thin blood smear; algorithm; animal experiment; animal model; Article; artificial neural network; blood smear; cell counting; clinical feature; controlled study; erythrocyte; female; flow cytometry; global health; histogram; human; machine learning; mouse; nonhuman; parasitemia; Plasmodium; Plasmodium malariae infection; support vector machine; Diseases</t>
  </si>
  <si>
    <t xml:space="preserve">Poostchi M., Et al., Image analysis and machine learning for detecting malaria, Transl. Res., 194, pp. 36-55, (2018); Frean J., Microscopic determination of malaria parasite load: Role of image analysis, Microsc. Sci. Technol. Appl. Education FORMATEX, 3, pp. 862-866, (2010); Quinn J.A., Et al., Automated blood smear analysis for mobile malaria diagnosis, Mobile Point-of-Care Monitors and Diagnostic Device Design, 31, pp. 115-132, (2014); Pirnstill C.W., Cote G.L., Malaria diagnosis using a mobile phone polarized microscope, Sci. Rep., 5, (2015); Wilson M.L., Malaria rapid diagnostic tests, Clin. Infect. Dis., 54, 11, pp. 1637-1641, (2012); Das D., Mukherjee R., Chakraborty C., Computational microscopic imaging for malaria parasite detection: A systematic review, J. Microsc., 260, 1, pp. 1-19, (2015); Gitonga L., Et al., Determination of Plasmodium parasite life stages and species in images of thin blood smears using artificial neural network, Open J. Clin. Diagn., 4, 2, pp. 78-88, (2014); Jan Z., Et al., A review on automated diagnosis of malaria parasite in microscopic blood smears images, Multimedia Tools Appl., 77, pp. 9801-9826, (2018); Elter M., Hasslmeyer E., Zerfass T., Detection of malaria parasites in thick blood films, Conf. Proc. IEEE Eng. Med. Biol. Soc., 2011, pp. 5140-5144, (2011); Hanif N., Mashor M., Mohamed Z., Image enhancement and segmentation using dark stretching technique for plasmodium falciparum for thick blood smear image enhancement and segmentation using dark stretching technique for plasmodium falciparum for thick blood smear, Int. Colloquium on Signal Processing and Its Applications (CSPA), IEEE, pp. 257-260, (2011); Rosado L., Et al., Automated detection of malaria parasites on thick blood smears via mobile devices, Procedia Comput. Sci., 90, pp. 138-144, (2016); Krappe S., Et al., Automated plasmodia recognition in microscopic images for diagnosis of malaria using convolutional neural networks, Proc. SPIE, (2017); Quinn J.A., Et al., Deep convolutional neural networks for microscopybased point of care diagnostics, Machine Learning for Healthcare Conf., pp. 271-281, (2016); Kaewkamnerd S., Et al., An automatic device for detection and classification of malaria parasite species in thick blood film, BMC Bioinf., 13, 17, (2012); Khan N.A., Et al., Unsupervised identification of malaria parasites using computer vision, Int. Joint Conf. on Computer Science and Software Engineering, pp. 263-267, (2014); Arco J., Et al., Digital image analysis for automatic enumeration of malaria parasites using morphological operations, Expert Syst. Appl., 42, 6, pp. 3041-3047, (2015); Chakrabortya K., Et al., A combined algorithm for malaria detection from thick smear blood slides, J. Health Med. Inf., 6, 1, pp. 645-652, (2015); Karlen W., Mobile Point-of-Care Monitors and Diagnostic Device Design, (2014); Mehanian C., Et al., Computer-automated malaria diagnosis and quantitation using convolutional neural networks, Proc. of the IEEE Conf. on Computer Vision and Pattern Recognition, pp. 116-125, (2017); Bibin D., Nair M.S., Punitha P., Malaria parasite detection from peripheral blood smear images using deep belief networks, IEEE Access, 5, pp. 9099-9108, (2017); Dong Y., Et al., Evaluations of deep convolutional neural networks for automatic identification of malaria infected cells, EMBS Int. Conf. on Biomedical &amp; Health Informatics (BHI), IEEE, pp. 101-104, (2017); Gopakumar G.P., Et al., Convolutional neural network-based malaria diagnosis from focus stack of blood smear images acquired using custom-built slide scanner, J. Biophotonics, 11, 3, (2018); Hung J., Carpenter A., Applying faster R-CNN for object detection on malaria images, 2017 IEEE Conf. on Computer Vision and Pattern Recognition Workshops (CVPRW), IEEE, pp. 808-813, (2017); Das D., Maiti A., Chakraborty C., Automated system for characterization and classification of malaria-infected stages using light microscopic images of thin blood smears, J. Microsc., 257, 3, pp. 238-252, (2015); Sheeba F., Et al., Detection of plasmodium falciparum in peripheral blood smear images, Proc. of Seventh Int. Conf. on Bio-Inspired Computing: Theories and Applications, pp. 289-298, (2013); Annaldas S., Shirgan S., Marathe V., Automatic identification of malaria parasites using image processing, Int. J. Emerging Eng. Res. Technol., 2, 4, pp. 107-112, (2014); Mehrjou A., Abbasian T., Izadi M., Automatic malaria diagnosis system, First RSI/ISM Int. Conf. on Robotics and Mechatronics, pp. 205-211, (2013); Wahyuningrum R.T., Indrawan A.K., A hybrid automatic method for parasite detection and identification of plasmodium falciparum in thin blood images, Int. J. Acad. Res., 4, 6, pp. 44-50, (2012); Linder N., Et al., A malaria diagnostic tool based on computer vision screening and visualization of Plasmodium falciparum candidate areas in digitized blood smears, PLoS One, 9, 8, (2014); Vink J., Et al., An automatic vision-based malaria diagnosis system, J. Microsc., 250, 3, pp. 166-178, (2013); Sheikhhosseini M., Et al., Automatic diagnosis of malaria based on complete circle-ellipse fitting search algorithm, J. Microsc., 252, 3, pp. 189-203, (2013); Ersoy I., Et al., Coupled edge profile active contours for red blood cell flow analysis, 9th IEEE Int. Symp. on Biomedical Imaging, pp. 748-751, (2012); Hafiane A., Palaniappan K., Seetharaman G., Joint adaptive median binary patterns for texture classification, Pattern Recognit., 48, 8, pp. 2609-2620, (2015); Malleret B., Et al., A rapid and robust tri-color flow cytometry assay for monitoring malaria parasite development, Sci. Rep., 1, (2011); Alomari Y.M., Et al., Automatic detection and quantification of WBCs and RBCs using iterative structured circle detection algorithm, Comput. Math. Methods Med., 2014, pp. 1-17, (2014); Berge H., Et al., Improved red blood cell counting in thin blood smears, IEEE Int. Symp. on Biomedical Imaging: From Nano to Macro, pp. 204-207, (2011); Moon S., Et al., An image analysis algorithm for malaria parasite stage classification and viability quantification, PloS One, 8, 4, (2013); Anggraini D., Et al., Automated status identification of microscopic images obtained from malaria thin blood smears using Bayes decision: A study case in Plasmodium falciparum, IEEE Int. Conf. on Advanced Computer Science and Information System, pp. 347-352, (2011); Das D., Et al., Probabilistic prediction of malaria using morphological and textural information, IEEE Int. Conf. on Image Information Processing, pp. 1-6, (2011); Savkare S., Narote S., Automatic detection of malaria parasites for estimating parasitemia, Int. J. Comput. Sci. Secur., 5, 3, (2011); Sharif J.M., Et al., Red blood cell segmentation using masking and watershed algorithm: A preliminary study, IEEE Int. Conf. on Biomedical Engineering, pp. 258-262, (2012); Kim J.-D., Et al., Automatic detection of malaria parasite in blood images using two parameters, Technol. Health Care, 24, S1, pp. S33-S39, (2015); Bhowmick S., Et al., Structural and textural classification of erythrocytes in anaemic cases: A scanning electron microscopic study, Micron, 44, pp. 384-394, (2013); Das D., Et al., Quantitative microscopy approach for shape-based erythrocytes characterization in anaemia, J. Microsc., 249, 2, pp. 136-149, (2013); Poostchi M., Et al., Multi-scale spatially weighted local histograms in O(1), IEEE Applied Imagery Pattern Recognition Workshop (AIPR), IEEE, pp. 1-7, (2017); Nguyen N.-T., Duong A.-D., Vu H.-Q., A new method for splitting clumped cells in red blood images, Second Int. Conf. on Knowledge and Systems Engineering, pp. 3-8, (2010); Makkapati V.V., Rao R.M., Segmentation of malaria parasites in peripheral blood smear images, IEEE Int. Conf. on Acoustics, Speech and Signal Processing, pp. 1361-1364, (2009); Purwar Y., Et al., Automated and unsupervised detection of malarial parasites in microscopic images, Malaria J., 10, 1, (2011); Bibin D., Punitha P., Stained blood cell detection and clumped cell segmentation useful for malaria parasite diagnosis, Multimedia Processing, Communication and Computing Applications, pp. 195-207, (2013); Otsu N., A threshold selection method from gray-level histograms, IEEE Trans. Syst. Man Cybern., 9, 1, pp. 62-66, (1979); Gonzalez R.C., Woods R.E., Digital Image Processing, (2007); Chan T.F., Vese L.A., Active contours without edges, IEEE Trans. Image Process., 10, 2, pp. 266-277, (2001); Powers D.M., Evaluation: From precision, recall and F-measure to ROC, informedness, markedness and correlation, J. Mach. Learn. Technol., 2, 1, pp. 37-63, (2011); Jaccard P., Distribution de la flore alpine dans le bassin des dranses et dans quelques régions voisines, Bull. Soc. Vaudoise Sci. Nat., 37, pp. 241-272, (1901); Ojala T., Pietikainen M., Maenpaa T., Multiresolution gray-scale and rotation invariant texture classification with local binary patterns, IEEE Trans. Pattern Anal. Mach. Intell., 24, 7, pp. 971-987, (2002)</t>
  </si>
  <si>
    <t xml:space="preserve">M. Poostchi; Lister Hill National Center for Biomedical Communications, National Library of Medicine, Bethesda, United States; email: mahdieh.poostchi@gmail.com</t>
  </si>
  <si>
    <t xml:space="preserve">J. Med. Imaging </t>
  </si>
  <si>
    <t xml:space="preserve">2-s2.0-85058824984</t>
  </si>
  <si>
    <t xml:space="preserve">Fukutani K.F.; Kasprzykowski J.I.; Paschoal A.R.; Gomes M.S.; Barral A.; de Oliveira C.I.; Ramos P.I.P.; de Queiroz A.T.L.</t>
  </si>
  <si>
    <t xml:space="preserve">Fukutani, Kiyoshi Ferreira (36008465900); Kasprzykowski, José Irahe (57195350684); Paschoal, Alexandre Rossi (55212011400); Gomes, Matheus de Souza (57199421276); Barral, Aldina (7006303214); de Oliveira, Camila I. (7102223141); Ramos, Pablo Ivan Pereira (55355709100); de Queiroz, Artur Trancoso Lopo (57188836999)</t>
  </si>
  <si>
    <t xml:space="preserve">36008465900; 57195350684; 55212011400; 57199421276; 7006303214; 7102223141; 55355709100; 57188836999</t>
  </si>
  <si>
    <t xml:space="preserve">Meta-analysis of Aedes aegypti expression datasets: Comparing virus infection and blood-fed transcriptomes to identify markers of virus presence</t>
  </si>
  <si>
    <t xml:space="preserve">The mosquito Aedes aegypti (L.) is vector of several arboviruses including dengue, yellow fever, chikungunya, and more recently zika. Previous transcriptomic studies have been performed to elucidate altered pathways in response to viral infection. However, the intrinsic coupling between alimentation and infection were unappreciated in these studies. Feeding is required for the initial mosquito contact with the virus and these events are highly dependent. Addressing this relationship, we reinterrogated datasets of virus-infected mosquitoes with two different diet schemes (fed and unfed mosquitoes), evaluating the metabolic cross-talk during both processes. We constructed coexpression networks with the differentially expressed genes of these comparison: virus-infected versus blood-fed mosquitoes and virus-infected versus unfed mosquitoes. Our analysis identified one module with 110 genes that correlated with infection status (representing ~0.7% of the A. aegypti genome). Furthermore, we performed a machine-learning approach and summarized the infection status using only four genes (AAEL012128, AAEL014210, AAEL002477, and AAEL005350). While three of the four genes were annotated as hypothetical proteins, AAEL012128 gene is a membrane amino acid transporter correlated with viral envelope binding. This gene alone is able to discriminate all infected samples and thus should have a key role to discriminate viral infection in the A. aegypti mosquito. Moreover, validation using external datasets found this gene as differentially expressed in four transcriptomic experiments. Therefore, these genes may serve as a proxy of viral infection in the mosquito and the others 106 identified genes provides a framework to future studies. © 2018 Fukutani, Kasprzykowski, Paschoal, Gomes, Barral, de Oliveira, Ramos and Queiroz.</t>
  </si>
  <si>
    <t xml:space="preserve">Frontiers in Bioengineering and Biotechnology</t>
  </si>
  <si>
    <t xml:space="preserve">JAN</t>
  </si>
  <si>
    <t xml:space="preserve">10.3389/fbioe.2017.00084</t>
  </si>
  <si>
    <t xml:space="preserve">https://www.scopus.com/inward/record.uri?eid=2-s2.0-85041309278&amp;doi=10.3389%2ffbioe.2017.00084&amp;partnerID=40&amp;md5=3557cee67de4411250d4b235af645269</t>
  </si>
  <si>
    <t xml:space="preserve">Instituto Gonçalo Moniz, Fundação Oswaldo Cruz (FIOCRUZ), Salvador, Brazil; Post-Graduation Program in Biotechnology in Health and Investigative Medicine, Fundação Oswaldo Cruz (FIOCRUZ), Salvador, Brazil; Federal University of Technology-Paraná, UTFPR, Campus Cornélio Procópio, Cornélio Procópio, Brazil; Federal University of Uberlândia, Patos de Minas, Brazil; Post-Graduation Program in Health Sciences, School of Medicine, Federal University of Bahia, Salvador, Brazil; Post-Graduation Program in Applied Computation, Universida de Estadual de Feira de Santana, Feira de Santana, Brazil; Department of Biochemistry and Immunology, Ribeirão Preto Medical School, University of São Paulo, Ribeirão Preto, São Paulo, Brazil</t>
  </si>
  <si>
    <t xml:space="preserve">Fukutani K.F., Instituto Gonçalo Moniz, Fundação Oswaldo Cruz (FIOCRUZ), Salvador, Brazil, Department of Biochemistry and Immunology, Ribeirão Preto Medical School, University of São Paulo, Ribeirão Preto, São Paulo, Brazil; Kasprzykowski J.I., Instituto Gonçalo Moniz, Fundação Oswaldo Cruz (FIOCRUZ), Salvador, Brazil, Post-Graduation Program in Biotechnology in Health and Investigative Medicine, Fundação Oswaldo Cruz (FIOCRUZ), Salvador, Brazil; Paschoal A.R., Federal University of Technology-Paraná, UTFPR, Campus Cornélio Procópio, Cornélio Procópio, Brazil; Gomes M.S., Federal University of Uberlândia, Patos de Minas, Brazil; Barral A., Instituto Gonçalo Moniz, Fundação Oswaldo Cruz (FIOCRUZ), Salvador, Brazil, Post-Graduation Program in Health Sciences, School of Medicine, Federal University of Bahia, Salvador, Brazil; de Oliveira C.I., Instituto Gonçalo Moniz, Fundação Oswaldo Cruz (FIOCRUZ), Salvador, Brazil, Post-Graduation Program in Health Sciences, School of Medicine, Federal University of Bahia, Salvador, Brazil; Ramos P.I.P., Instituto Gonçalo Moniz, Fundação Oswaldo Cruz (FIOCRUZ), Salvador, Brazil; de Queiroz A.T.L., Instituto Gonçalo Moniz, Fundação Oswaldo Cruz (FIOCRUZ), Salvador, Brazil, Post-Graduation Program in Biotechnology in Health and Investigative Medicine, Fundação Oswaldo Cruz (FIOCRUZ), Salvador, Brazil, Post-Graduation Program in Applied Computation, Universida de Estadual de Feira de Santana, Feira de Santana, Brazil</t>
  </si>
  <si>
    <t xml:space="preserve">Aedes aegypti; Alimentation; Blood-feeding; Meta-analysis; Transcriptomics; Vector-borne diseases; Virus infection</t>
  </si>
  <si>
    <t xml:space="preserve">Blood; Computer viruses; Epidemiology; Genes; Learning systems; Nutrition; Aedes aegypti; Alimentation; Meta analysis; Transcriptomics; Vector-borne disease; Virus infection; Viruses</t>
  </si>
  <si>
    <t xml:space="preserve">Arrese E.L., Soulages J.L., Insect fat body: energy, metabolism, and regulation, Annu. Rev. Entomol, 55, pp. 207-225, (2010); Bae H.-G., Drosten C., Emmerich P., Colebunders R., Hantson P., Pest S., Et al., Analysis of two imported cases of yellow fever infection from Ivory Coast and the Gambia to Germany and Belgium, J. Clin. Virol, 33, pp. 274-280, (2005); Bartholomay L.C., Waterhouse R.M., Mayhew G.F., Campbell C.L., Michel K., Zou Z., Et al., Pathogenomics of Culex quinquefasciatus and meta-analysis of infection responses to diverse pathogens, Science, 330, pp. 88-90, (2010); Behura S.K., Gomez-Machorro C., Harker B.W., deBruyn B., Lovin D.D., Hemme R.R., Et al., Global cross-talk of genes of the mosquito Aedes aegypti in response to dengue virus infection, PLoS Negl. Trop. Dis, 5, (2011); Bonizzoni M., Dunn W.A., Campbell C.L., Olson K.E., Dimon M.T., Marinotti O., Et al., RNA-seq analyses of blood-induced changes in gene expression in the mosquito vector species, Aedes aegypti, BMC Genomics, 12, (2011); Bonizzoni M., Dunn W.A., Campbell C.L., Olson K.E., Marinotti O., James A.A., Strain variation in the transcriptome of the dengue fever vector, Aedes aegypti, G3 Genes Genomes Genet. 2, (2012); Bottino-Rojas V., Talyuli O.A.C., Jupatanakul N., Sim S., Dimopoulos G., Venancio T.M., Et al., Heme signaling impacts global gene expression, immunity and dengue virus infectivity in Aedes aegypti, PLoS ONE, 10, (2015); Boudko D.Y., Tsujimoto H., Rodriguez S.D., Meleshkevitch E.A., Price D.P., Drake L.L., Et al., Substrate specificity and transport mechanism of amino-acid transceptor Slimfast from Aedes aegypti, Nat. Commun, 6, (2015); Cauchemez S., Ledrans M., Poletto C., Quenel P., de Valk H., Colizza V., Et al., Local and regional spread of chikungunya fever in the Americas, Euro Surveill, 19, (2014); Chen Y., Liu F., Yang B., Lu A., Wang S., Wang J., Et al., Specific amino acids affecting Drosophila melanogaster prophenoloxidase activity in vitro, Dev. Comp. Immunol, 38, pp. 88-97, (2012); Colpitts T.M., Cox J., Vanlandingham D.L., Feitosa F.M., Cheng G., Kurscheid S., Et al., Alterations in the Aedes aegypti transcriptome during infection with West Nile, dengue and yellow fever viruses, PLoS Pathog, 7, (2011); Davis T.J., Kline D.L., Kaufman P.E., Aedes albopictus (Diptera: Culicidae) oviposition preference as influenced by container size and Buddleja davidii plants, J. Med. Entomol, 53, pp. 273-278, (2016); Dissanayake S.N., Ribeiro J.M., Wang M.-H., Dunn W.A., Yan G., James A.A., Et al., aeGEPUCI: a database of gene expression in the dengue vector mosquito, Aedes aegypti, BMC Res. Notes, 3, (2010); Dong Y., Dimopoulos G., Anopheles fibrinogen-related proteins provide expanded pattern recognition capacity against bacteria and malaria parasites, J. Biol. Chem, 284, pp. 9835-9844, (2009); Espindola M.S., Lima L.J.G., Soares L.S., Cacemiro M.C., Zambuzi F.A., de Souza Gomes M., Et al., Dysregulated immune activation in second-line HAART HIV+ patients is similar to that of untreated patients, PLoS ONE, 10, (2015); Evans A.M., Aimanova K.G., Gill S.S., Characterization of a blood-meal-responsive proton-dependent amino acid transporter in the disease vector, Aedes aegypti, J. Exp. Biol, 212, pp. 3263-3271, (2009); Giraldo-Calderon G.I., Emrich S.J., MacCallum R.M., Maslen G., Dialynas E., Topalis P., Et al., VectorBase: an updated bioinformatics resource for invertebrate vectors and other organisms related with human diseases, Nucleic Acids Res, 43, pp. D707-D713, (2015); Gruber A.R., Lorenz R., Bernhart S.H., Neubock R., Hofacker I.L., The Vienna RNA websuite, Nucleic Acids Res, 36, pp. W70-W74, (2008); Hansen I.A., Boudko D.Y., Shiao S.-H., Voronov D.A., Meleshkevitch E.A., Drake L.L., Et al., AaCAT1 of the yellow fever mosquito, Aedes aegypti, J. Biol. Chem, 286, pp. 10803-10813, (2011); Helt A.-M., Harris E., S-phase-dependent enhancement of dengue virus 2 replication in mosquito cells, but not in human cells, J. Virol, 79, pp. 13218-13230, (2005); Ito K., Kidokoro K., Sezutsu H., Nohata J., Yamamoto K., Kobayashi I., Et al., Deletion of a gene encoding an amino acid transporter in the midgut membrane causes resistance to a Bombyx parvo-like virus, Proc. Natl. Acad. Sci. U.S.A, 105, pp. 7523-7527, (2008); Johnson W.E., Li C., Rabinovic A., Adjusting batch effects in microarray expression data using empirical Bayes methods, Biostatistics, 8, pp. 118-127, (2007); Jupatanakul N., Sim S., Anglero-Rodriguez Y.I., Souza-Neto J., Das S., Poti K.E., Et al., Engineered Aedes aegypti JAK/STAT pathway-mediated immunity to dengue virus, PLoS Negl. Trop. Dis, 11, (2017); Kasai S., Komagata O., Itokawa K., Shono T., Ng L.C., Kobayashi M., Et al., Mechanisms of pyrethroid resistance in the dengue mosquito vector, Aedes aegypti: target site insensitivity, penetration, and metabolism, PLoS Negl. Trop. Dis, 8, (2014); Kerpedjiev P., Hammer S., Hofacker I.L., Forna (force-directed RNA): simple and effective online RNA secondary structure diagrams, Bioinformatics, 31, pp. 3377-3379, (2015); Kogelman L.J.A., Cirera S., Zhernakova D.V., Fredholm M., Franke L., Kadarmideen H.N., Identification of co-expression gene networks, regulatory genes and pathways for obesity based on adipose tissue RNA Sequencing in a porcine model, BMC Med. Genomics, 7, (2014); Langfelder P., Horvath S., WGCNA: an R package for weighted correlation network analysis, BMC Bioinformatics, 9, (2008); Langfelder P., Horvath S., Fast R functions for robust correlations and hierarchical clustering, J. Stat. Softw, 46, (2012); Leming M.T., Rund S.S., Behura S.K., Duffield G.E., O'Tousa J.E., A database of circadian and diel rhythmic gene expression in the yellow fever mosquito Aedes aegypti, BMC Genomics, 15, (2014); Lorenzo M.G., Vidal D.M., Zarbin P.H.G., Control of neglected disease insect vectors: future prospects for the use of tools based on behavior manipulation-interference, J. Braz. Chem. Soc, 25, pp. 1799-1809, (2014); Luplertlop N., Surasombatpattana P., Patramool S., Dumas E., Wasinpiyamongkol L., Saune L., Et al., Induction of a peptide with activity against a broad spectrum of pathogens in the Aedes aegypti salivary gland, following infection with dengue virus, PLoS Pathog, 7, (2011); Mackenzie J.S., Gubler D.J., Petersen L.R., Emerging flaviviruses: the spread and resurgence of Japanese encephalitis, West Nile and dengue viruses, Nat. Med, 10, pp. S98-S109, (2004); Medlock J.M., Hansford K.M., Schaffner F., Versteirt V., Hendrickx G., Zeller H., Et al., A review of the invasive mosquitoes in Europe: ecology, public health risks, and control options, Vector Borne Zoonotic Dis, 12, pp. 435-447, (2012); Morens D.M., Fauci A.S., Chikungunya at the door-Déjà Vu all over again?, N. Engl. J. Med, 371, pp. 885-887, (2014); Mosso C., Galvan-Mendoza I.J., Ludert J.E., del Angel R.M., Endocytic pathway followed by dengue virus to infect the mosquito cell line C6/36 HT, Virology, 378, pp. 193-199, (2008); Nene V., Wortman J.R., Lawson D., Haas B., Kodira C., Tu Z., Et al., Genome sequence of Aedes aegypti, a major arbovirus vector, Science, 316, pp. 1718-1723, (2007); Pan Y., Tiong K.H., Abd-Rashid B.A., Ismail Z., Ismail R., Mak J.W., Et al., Inhibitory effects of cytochrome P450 enzymes CYP2C8, CYP2C9, CYP2C19 and CYP3A4 by Labisia pumila extracts, J. Ethnopharmacol, 143, pp. 586-591, (2012); Petersen E., Wilson M.E., Touch S., McCloskey B., Mwaba P., Bates M., Et al., Rapid spread of Zika virus in the Americas-implications for public health preparedness for mass gatherings at the 2016 Brazil Olympic Games, Int. J. Infect. Dis, 44, pp. 11-15, (2016); Porse C.C., Kramer V., Yoshimizu M.H., Metzger M., Hu R., Padgett K., Et al., Public health response to Aedes aegypti and A. albopictus mosquitoes invading California, USA, Emerg. Infect. Dis, 21, pp. 1827-1829, (2015); Pradier S., Lecollinet S., Leblond A., West Nile virus epidemiology and factors triggering change in its distribution in Europe, Rev. Sci. Tech, 31, pp. 829-844, (2012); Ptitsyn A.A., Reyes-Solis G., Saavedra-Rodriguez K., Betz J., Suchman E.L., Carlson J.O., Et al., Rhythms and synchronization patterns in gene expression in the Aedes aegypti mosquito, BMC Genomics, 12, (2011); Ricklefs R.E., Goldberg T.L., Ruiz M.O., Hamer G.L., Medeiros M.C.I., Brawn J.D., Overlap in the seasonal infection patterns of avian malaria parasites and West Nile virus in vectors and hosts, Am. J. Trop. Med. Hyg, 95, pp. 1121-1129, (2016); Roth A., Mercier A., Lepers C., Hoy D., Duituturaga S., Benyon E., Et al., Concurrent outbreaks of dengue, chikungunya and Zika virus infections-an unprecedented epidemic wave of mosquito-borne viruses in the Pacific 2012-2014, Eurosurveillance, 19, (2014); Sathler-Avelar R., Vitelli-Avelar D.M., Mattoso-Barbosa A.M., Perdigao-de-Oliveira M., Costa R.P., Eloi-Santos S.M., Et al., Phenotypic features of circulating leukocytes from non-human primates naturally infected with Trypanosoma cruzi resemble the major immunological findings observed in human Chagas disease, PLoS Negl. Trop. Dis, 10, (2016); Seixas G., Salgueiro P., Silva A.C., Campos M., Spenassatto C., Reyes-Lugo M., Et al., Aedes aegypti on Madeira Island (Portugal): genetic variation of a recently introduced dengue vector, Mem. Inst. Oswaldo Cruz, 108, pp. 3-10, (2013); Sim S., Dimopoulos G., Dengue virus inhibits immune responses in Aedes aegypti cells, PLoS ONE, 5, (2010); Sim S., Ramirez J.L., Dimopoulos G., Dengue virus infection of the Aedes aegypti salivary gland and chemosensory apparatus induces genes that modulate infection and blood-feeding behavior, PLoS Pathog, 8, (2012); Skalsky R.L., Cullen B.R., Viruses, microRNAs, and host interactions, Annu. Rev. Microbiol, 64, pp. 123-141, (2010); Slavov S.N., Otaguiri K.K., Kashima S., Covas D.T., Overview of Zika virus (ZIKV) infection in regards to the Brazilian epidemic, Braz. J. Med. Biol. Res, 49, (2016); Souza-Neto J.A., Sim S., Dimopoulos G., An evolutionary conserved function of the JAK-STAT pathway in anti-dengue defense, Proc. Natl. Acad. Sci. U.S.A, 106, pp. 17841-17846, (2009); Supek F., Bosnjak M., Skunca N., Smuc T., REVIGO summarizes and visualizes long lists of Gene Ontology terms, PLoS ONE, 6, 7, (2011); Umesh A., Cohen B.N., Ross L.S., Gill S.S., Functional characterization of a glutamate/aspartate transporter from the mosquito Aedes aegypti, J. Exp. Biol, 206, pp. 2241-2255, (2003); Wang H., Kavanaugh M.P., North R.A., Kabat D., Cell-surface receptor for ecotropic murine retroviruses is a basic amino-acid transporter, Nature, 352, pp. 729-731, (1991); Wang Z., Gerstein M., Snyder M., RNA-Seq: a revolutionary tool for transcriptomics, Nat. Rev. Genet, 10, 1, pp. 57-63, (2009); Wickham H., Elegant Graphics for Data Analysis, (2016); Global Strategy for Dengue Prevention and Control, 2012-2020, (2015); Zanluca C., Melo V.C., Mosimann A.L., Santos G.I., Santos C.N., Luz K., First report of autochthonous transmission of Zika virus in Brazil, Mem. Inst. Oswaldo Cruz, 110, pp. 569-572, (2015)</t>
  </si>
  <si>
    <t xml:space="preserve">K.F. Fukutani; Instituto Gonçalo Moniz, Fundação Oswaldo Cruz (FIOCRUZ), Salvador, Brazil; email: ferreirafk@gmail.com</t>
  </si>
  <si>
    <t xml:space="preserve">Front. Bioeng. Biotechnol.</t>
  </si>
  <si>
    <t xml:space="preserve">2-s2.0-85041309278</t>
  </si>
  <si>
    <t xml:space="preserve">Kampondeni S.D.; Birbeck G.L.; Seydel K.B.; Beare N.A.; Glover S.J.; Hammond C.A.; Chilingulo C.A.; Taylor T.E.; Potchen M.P.</t>
  </si>
  <si>
    <t xml:space="preserve">Kampondeni, Samuel D. (6506740762); Birbeck, Gretchen L. (55522980200); Seydel, Karl B. (36800850500); Beare, Nicholas A. (6603858517); Glover, Simon J. (21334230900); Hammond, Colleen A. (53877303700); Chilingulo, Cowles A. (56560086500); Taylor, Terrie E. (35413137400); Potchen, Michael P. (6506536838)</t>
  </si>
  <si>
    <t xml:space="preserve">6506740762; 55522980200; 36800850500; 6603858517; 21334230900; 53877303700; 56560086500; 35413137400; 6506536838</t>
  </si>
  <si>
    <t xml:space="preserve">Noninvasive measures of brain edema predict outcome in pediatric cerebral malaria</t>
  </si>
  <si>
    <t xml:space="preserve">Background: Increased brain volume (BV) and subsequent herniation are strongly associated with death in pediatric cerebral malaria (PCM), a leading killer of children in developing countries. Accurate noninvasive measures of BV are needed for optimal clinical trial design. Our objectives were to examine the performance of six different magnetic resonance imaging (MRI) BV quantification measures for predicting mortality in PCM and to review the advantages and disadvantages of each method. Methods: Receiver operator characteristics were generated from BV measures of MRIs of children admitted to an ongoing research project with PCM between 2009 and 2014. Fatal cases were matched to the next available survivor. A total of 78 MRIs of children aged 5 months to 13 years (mean 4.0 years), of which 45% were males, were included. Results: Areas under the curve (AUC) with 95% confidence interval on measures from the initial MRIs were: Radiologist-derived score = 0.69 (0.58-0.79; P = 0.0037); prepontine cistern anteroposterior (AP) dimension = 0.70 (0.56-0.78; P = 0.0133); SamKam ratio [Rt. parietal lobe height/(prepontine AP dimension + fourth ventricle AP dimension)] = 0.74 (0.63-0.83; P = 0.0002); and global cerebrospinal fluid (CSF) space ascertained by ClearCanvas = 0.67 (0.55-0.77; P = 0.0137). For patients with serial MRIs (n = 37), the day 2 global CSF space AUC was 0.87 (0.71-0.96; P &lt; 0.001) and the recovery factor (CSF volume day 2/CSF volume day 1) was 0.91 (0.76-0.98; P &lt; 0.0001). Poor prognosis is associated with radiologist score of ≥7; prepontine cistern dimension ≤3 mm; cisternal CSF volume ≤7.5 ml; SamKam ratio ≥6.5; and recovery factor ≤0.75. Conclusion: All noninvasive measures of BV performed well in predicting death and providing a proxy measure for brain volume. Initial MRI assessment may inform future clinical trials for subject selection, risk adjustment, or stratification. Measures of temporal change may be used to stage PCM. © 2018 Surgical Neurology International | Published by Wolters Kluwer - Medknow.</t>
  </si>
  <si>
    <t xml:space="preserve">Surgical Neurology International</t>
  </si>
  <si>
    <t xml:space="preserve">Medknow Publications</t>
  </si>
  <si>
    <t xml:space="preserve">10.4103/sni.sni_297_17</t>
  </si>
  <si>
    <t xml:space="preserve">https://www.scopus.com/inward/record.uri?eid=2-s2.0-85043583439&amp;doi=10.4103%2fsni.sni_297_17&amp;partnerID=40&amp;md5=b46d9ad266f8967ace81b1de445e0d95</t>
  </si>
  <si>
    <t xml:space="preserve">Blantyre Malaria Project, University of Malawi, College of Medicine, Chichiri, Blantyre, Malawi; Strong Epilepsy Center, University of Rochester, United States; Department of Osteopathic Medical Specialties, United States; St. Paul's Eye Unit, Royal Liverpool University Hospital, Liverpool, United Kingdom; School of Medicine, University of St. Andrews, North Haugh, St. Andrews, United Kingdom; Department of Radiology, Michigan State University, Michigan, United States; Department of Imaging Sciences, Division of Diagnostic and Interventional Neuroradiology, University of Rochester Medical Center, Rochester, NY, United States</t>
  </si>
  <si>
    <t xml:space="preserve">Kampondeni S.D., Blantyre Malaria Project, University of Malawi, College of Medicine, Chichiri, Blantyre, Malawi, Department of Imaging Sciences, Division of Diagnostic and Interventional Neuroradiology, University of Rochester Medical Center, Rochester, NY, United States; Birbeck G.L., Blantyre Malaria Project, University of Malawi, College of Medicine, Chichiri, Blantyre, Malawi, Strong Epilepsy Center, University of Rochester, United States; Seydel K.B., Blantyre Malaria Project, University of Malawi, College of Medicine, Chichiri, Blantyre, Malawi, Department of Osteopathic Medical Specialties, United States; Beare N.A., St. Paul's Eye Unit, Royal Liverpool University Hospital, Liverpool, United Kingdom; Glover S.J., School of Medicine, University of St. Andrews, North Haugh, St. Andrews, United Kingdom; Hammond C.A., Department of Radiology, Michigan State University, Michigan, United States; Chilingulo C.A., Blantyre Malaria Project, University of Malawi, College of Medicine, Chichiri, Blantyre, Malawi; Taylor T.E., Blantyre Malaria Project, University of Malawi, College of Medicine, Chichiri, Blantyre, Malawi, Department of Osteopathic Medical Specialties, United States; Potchen M.P., Blantyre Malaria Project, University of Malawi, College of Medicine, Chichiri, Blantyre, Malawi, Department of Imaging Sciences, Division of Diagnostic and Interventional Neuroradiology, University of Rochester Medical Center, Rochester, NY, United States</t>
  </si>
  <si>
    <t xml:space="preserve">Brain herniation; brain volume; intracranial pressure; noninvasive measures; pediatric cerebral malaria; receiver operator characteristic</t>
  </si>
  <si>
    <t xml:space="preserve">adolescent; area under the curve; Article; brain edema; brain size; case control study; cerebral malaria; cerebrospinal fluid analysis; child; controlled study; diagnostic test accuracy study; female; human; infant; major clinical study; male; mortality; non invasive procedure; nuclear magnetic resonance imaging; parietal lobe; prepontine cistern; priority journal; prognosis; radiologist; receiver operating characteristic; retrospective study; scoring system; survival rate</t>
  </si>
  <si>
    <t xml:space="preserve">Beare N.A., Lewallen S., Taylor T.E., Molyneux M.E., Redefining cerebral malaria by including malaria retinopathy, Future Microbiol, 6, pp. 349-355, (2011); Brinker T., Stopa E., Morrison J., Klinge P., A new look at cerebrospinal fluid circulation, Fluids Barriers CNS, 11, (2014); Brott T., Marler J.R., Olinger C.P., Adams H.P., Tomsick T., Barsan W.G., Et al., Measurements of acute cerebral infarction: Lesion size by computed tomography, Stroke, 20, pp. 871-875, (1989); Chesnut R.M., Temkin N., Carney N., Dikmen S., Rondina C., Videtta W., Et al., A trial of intracranial-pressure monitoring in traumatic brain injury, N Engl J Med, 367, pp. 2471-2481, (2012); Kampondeni S.D., Chilingulo C., Seydel K.B., Potchen M.J., Bradley W.G., Latourette M., MRI Measure (SamKam) Predicts Outcome in Pediatric Cerebral Malaria (Abstract No: 1427), 87, (2012); Khan M.N., Shallwani H., Khan M.U., Shamim M.S., Noninvasive monitoring intracranial pressurea review of available modalities, Surg Neurol Int, 8, (2017); Lewallen S., Bronzan R.N., Beare N.A., Harding S.P., Molyneux M.E., Taylor T.E., Using malarial retinopathy to improve the classification of children with cerebral malaria, Trans R Soc Trop Med Hyg, 102, pp. 1089-1094, (2008); Marsh K., Forster D., Waruiru C., Mwangi I., Winstanley M., Marsh V., Et al., Indicators of life-threatening malaria in African children, N Engl J Med, 332, pp. 1399-1404, (1995); Milner D.A., Whitten R.O., Kamiza S., Carr R., Liomba G., Dzamalala C., Et al., The systemic pathology of cerebral malaria in African children, Front Cell Infect Microbiol, 4, (2014); Newton C.R., Crawley J., Sowumni A., Waruiru C., Mwangi I., English M., Et al., Intracranial hypertension in Africans with cerebral malaria, Arch Dis Child, 76, pp. 219-226, (1997); Newton C.R., Kirkham F.J., Winstanley P.A., Pasvol G., Peshu N., Warrell D.A., Et al., Intracranial pressure in African children with cerebral malaria, Lancet, 337, pp. 573-576, (1991); Newton C.R., Peshu N., Kendall B., Kirkham F.J., Sowunmi A., Waruiru C., Et al., Brain swelling and ischaemia in Kenyans with cerebral malaria, Arch Dis Child, 70, pp. 281-287, (1994); Potchen M.J., Kampondeni S.D., Ibrahim K., Bonner J., Seydel K.B., Taylor T.E., Et al., NeuroInterp: A method for facilitating neuroimaging research on cerebral malaria, Neurology, 81, pp. 585-588, (2013); Potchen M.J., Kampondeni S.D., Seydel K.B., Birbeck G.L., Hammond C.A., Bradley W.G., Et al., Acute brain MRI findings in 120 Malawian children with cerebral malaria: New insights into an ancient disease, AJNR Am J Neuroradiol, 33, pp. 1740-1746, (2012); Seydel K.B., Kampondeni S.D., Valim C., Potchen M.J., Milner D.A., Muwalo F.W., Et al., Brain swelling and death in children with cerebral malaria, N Engl J Med, 372, pp. 1126-1137, (2015); Smith M., Monitoring intracranial pressure in traumatic brain injury, Anesth Analg, 106, pp. 240-248, (2008); Taylor T.E., Caring for children with cerebral malaria: Insights gleaned from 20 years on a research ward in Malawi, Trans R Soc Trop Med Hyg, 103, pp. S6-10, (2009); Taylor T.E., Fu W.J., Carr R.A., Whitten R.O., Mueller J.S., Fosiko N.G., Et al., Differentiating the pathologies of cerebral malaria by postmortem parasite counts, Nat Med, 10, pp. 143-145, (2004); Tucker B., Aston J., Dines M., Caraman E., Yacyshyn M., McCarthy M., Et al., Early Brain Edema is a Predictor of In-Hospital Mortality in Traumatic Brain Injury, J Emerg Med, 53, pp. 18-29, (2017); Van Der Worp H.B., Claus S.P., Bar P.R., Ramos L.M., Algra A., Van Gijn J., Et al., Reproducibility of measurements of cerebral infarct volume on CT scans, Stroke, 32, pp. 424-430, (2001); World Malaria Report, (2017)</t>
  </si>
  <si>
    <t xml:space="preserve">M.P. Potchen; Blantyre Malaria Project, University of Malawi, College of Medicine, Chichiri, Blantyre, Malawi; email: Michael_Potchen@URMC.Rochester.edu</t>
  </si>
  <si>
    <t xml:space="preserve">Surg. Neurol. Intl.</t>
  </si>
  <si>
    <t xml:space="preserve">2-s2.0-85043583439</t>
  </si>
  <si>
    <t xml:space="preserve">Veretennikova M.A.; Sikorskii A.; Boivin M.J.</t>
  </si>
  <si>
    <t xml:space="preserve">Veretennikova, Maria A. (57194559770); Sikorskii, Alla (8554152100); Boivin, Michael J. (35301930500)</t>
  </si>
  <si>
    <t xml:space="preserve">57194559770; 8554152100; 35301930500</t>
  </si>
  <si>
    <t xml:space="preserve">Parameters of stochastic models for electroencephalogram data as biomarkers for child’s neurodevelopment after cerebral malaria</t>
  </si>
  <si>
    <t xml:space="preserve">The objective of this study was to test statistical features from the electroencephalogram (EEG) recordings as predictors of neurodevelopment and cognition of Ugandan children after coma due to cerebral malaria. The increments of the frequency bands of EEG time series were modeled as Student processes; the parameters of these Student processes were estimated and used along with clinical and demographic data in a machine-learning algorithm for the prediction of children’s neurodevelopmental and cognitive scores 6 months after cerebral malaria illness. The key innovation of this work is in the identification of stochastic EEG features that can serve as language-independent markers of the impact of cerebral malaria on the developing brain. The results can enhance prognostic determination of which children are in most need of rehabilitative interventions, which is especially important in resource-constrained settings such as sub-Saharan Africa. © 2018, The Author(s).</t>
  </si>
  <si>
    <t xml:space="preserve">Journal of Statistical Distributions and Applications</t>
  </si>
  <si>
    <t xml:space="preserve">10.1186/s40488-018-0086-7</t>
  </si>
  <si>
    <t xml:space="preserve">https://www.scopus.com/inward/record.uri?eid=2-s2.0-85062721372&amp;doi=10.1186%2fs40488-018-0086-7&amp;partnerID=40&amp;md5=c57d945c4c8c2bbc26df4cd42ed9936a</t>
  </si>
  <si>
    <t xml:space="preserve">Department of Statistics and Data Analysis, Faculty of Economic Science, National Research University, Higher School of Economics, Shabolovka 28/11, 9, Moscow, 19049, Russian Federation; Department of Psychiatry and Department of Statistics and Probability, Michigan State University, 909 Wilson Road, East Lansing, 48824, MI, United States; Department of Psychiatry and Department of Neurology and Ophtalmology, Michigan State University, 909 Wilson Road, East Lansing, 48824, MI, United States</t>
  </si>
  <si>
    <t xml:space="preserve">Veretennikova M.A., Department of Statistics and Data Analysis, Faculty of Economic Science, National Research University, Higher School of Economics, Shabolovka 28/11, 9, Moscow, 19049, Russian Federation; Sikorskii A., Department of Psychiatry and Department of Statistics and Probability, Michigan State University, 909 Wilson Road, East Lansing, 48824, MI, United States; Boivin M.J., Department of Psychiatry and Department of Neurology and Ophtalmology, Michigan State University, 909 Wilson Road, East Lansing, 48824, MI, United States</t>
  </si>
  <si>
    <t xml:space="preserve">Student processes coma EEG wavelets regression regularization</t>
  </si>
  <si>
    <t xml:space="preserve">National Institutes of Health, NIH, (R01 HD064416, R01 NS055349); Russian Science Foundation, RSF, (17–11-01098)</t>
  </si>
  <si>
    <t xml:space="preserve">Data collection was supported by the National Institutes of Health (NIH) grant R01 NS055349 (PI: C. John). For M. Veretennikova the study has been funded by the Russian Science Foundation (project number 17–11-01098). M. J. Boivin and A. Sikorskii were supported by the grant NIH R01 HD064416 (PI: M. Boivin).</t>
  </si>
  <si>
    <t xml:space="preserve">Awal M.A., Lai M.M., Azemi G., Colditz P.B., EEG background features that predict outcome in term neonates with hypoxic ischaemic encephalopathy: A structured review, Clin. Neurophysiol., 125, 1, pp. 285-296, (2016); Bangirana P., Opoka R.O., Boivin M.J., Idro R., Hodges J.S., John C.C., Neurocognitive domains affected by cerebral malaria and severe malarial anemia in children, Learn. Individ. Differ., 46, pp. 38-44, (2016); Bangirana P., Seggane M., Allebeck P., Giordani B., John C.C., Byarugaba J., Ehnvall A., Boivin M.J., A preliminary investigation of the construct validity of the KABC-II in Ugandan children with prior cerebral insult, Afr. Health Sci., 9, 3, pp. 186-192, (2009); Bradley R.H., Caldwell B.M., Home observation for measurement of the environment, (1979); Chen Z., Cao J., Cao Y., Zhang Y., Gu F., Zhu G., Hoong Z., Wang B., Cichocki A., An empirical EEG analysis in brain death diagnosis for adults, Cogn. Neurodyn., 2, 3, pp. 257-271, (2008); Daubechies I., Ten Lectures on Wavelets, (1992); De Oliveira H., Shannon and Renyi Entropy of Wavelets, International Journal of Mathematics and Computer Science, 10, pp. 13-26, (2015); Deng R., Koenig M.A., Young L.M., Jia X., Early Quantitative Gamma-Band EEG Marker is Associated with Outcomes After Cardiac Arrest and Targeted Temperature Management, Neurocrit. Care., 23, 2, pp. 262-273, (2015); Duncan D., Talmon R., Zaveri H., Coifman R., Identifying preseizure state in intracranial EEG data using diffusion kernels, Math. Biosci. Eng., 10, pp. 579-590, (2013); Fraschini M., Demuru M., Crobe A., Marrosu F., Stam C.J., Hillebrand A., The effect of epoch length on estimated EEG functional connectivity and brain network organisation, J. Neural Eng., 13, (2016); Grahovac D., Jia M., Leonenko N.N., Taufer E., Asymptotic properties of the partition function and applications in tail index inference of heavy-tailed data, Statistics, 49, 6, pp. 1221-1242, (2015); Heyde C.C., Quasi-likelihood and its application: A general approach to optimal parameter estimation, (1997); Heyde C.C., Leonenko N.N., Student processes, Adv. Appl. Probab., 37, pp. 342-365, (2005); Hjorth B., EEG analysis based on time domain properties, Electroencephalography and Clinical Neurophysiology, 29, 3, pp. 306-310, (1970); Idro R., Marsh K., John C.C., Newton C.R., Cerebral malaria; mechanisms of brain injury and strategies for improved neuro-cognitive outcome, Pediatr. Res., 68, 4, pp. 267-274, (2010); Ignaccolo M., Latka M., Jernajczyk W., Grigolini P., West B., The dynamics of EEG entropy, J. Biol. Phys., 36, pp. 185-196, (2009); John C.C., Bangirana P., Byarugaba J., Opoka R.O., Idro R., Jurek A.M., Wu B., Boivin M.J., Cerebral malaria in children is associated with long-term cognitive impairment, Pediatrics, 122, 1, pp. e92-e99, (2008); Juan E., Kaplan P.W., Oddo M., Rossetti A.O., EEG as an indicator of cerebral functioning in postanoxic coma, J. Clin. Neurophysiol., 32, pp. 447-465, (2015); Kaufman N.L., Kaufman A.S., Manual for the Kaufman AssessmentBbattery for Children, (2004); Kirch C., Muhsa B., Ombao H., Detection of Changes in Multivariate Time Series With Application to EEG Data, J. Am. Stat. Assoc., 110, 511, pp. 1197-1216, (2015); Leonenko N.N., Suvak N., Statistical inference for Student diffusion process, Stoch. Anal. Appl., 28, 6, pp. 972-1002, (2010); Li L., Wilton A., Marcora S., Bowman H., Mandic D.P., EEG-based brain connectivity analysis of states of awareness, (2014); Makeig S., Delorme A., EEGLAB: an open source toolbox for analysis of single-trial EEG dynamics, J. Neurosci. Methods, 134, 1, pp. 9-21, (2004); Malagurski B., Peran P., Sarton B., Riu B., Vardon-Bounes F., Seguin T., Geeraerts T., Fourcade O., de Pasquale F., Silva S., Neural signature of coma revealed by posteromedial cortex connection density analysis, NeuroImage Clinical, 15, pp. 315-324, (2017); Mazumder R., Hastie T., Tibshirani R., Spectral Regularization Algorithms for Learning Large Incomplete Matrices, J. Mach. Learn. Res., 11, pp. 2287-2322, (2010); Montgomery D.C., Design of Experiments, (2012); Mullen E.M., Mullen Scales of Early Learning, (1995); Oyeyemi G.M., Ogunjobi E.O., Folorunsho A.I., On performance of shrinkage methods - a Monte Carlo study, Int. J. Stat. Appl., 5, 2, pp. 72-76, (2015); Piryatinska A., Terdik G., Woyczynski W.A., Lopar K.A., Scher M.S., Zlotnik A., Automated detection of neonate EEG sleep stages, Comput. Methods Prog. Biomed., 95, 1, pp. 31-46, (2009); Shabani E., Ouma B.J., Idro R., Bangirana P., Opoka R.O., Park G.S., Conrov A.L., John C.C., Elevated cerebrospinal fluid tumour necrosis factor is associated with acute and long-term neurocognitive impairment in cerebral malaria, Parasite Immunol, 39, 7, (2017); Smolentsev N.K., Fundamentals of the theory of wavelets, (2014); Stekhoven D., Buhlmann P., MissForest - Non-parametric missing value imputation for mixed-type data, Bioinformatics (Oxf. Engl.), 28, pp. 112-118, (2012); Temko A., Thomas E., Marnane W., Lightbody G., Boylan G., EEG-based neonatal seizure detection with Support Vector Machines, Clin. Neurophysiol., 122, 3, pp. 464-473, (2011); Teplan M., Fundamentals of EEG Measurement, Meas. Sci. Rev., 2, 2, pp. 1-11, (2002); Uhlhaas P., Pipa G., Lima B., Melloni L., Neuenschwander S., Nikolic D., Singer W., Neural synchrony in cortical networks: history, concept and current status, Front. Integr. Neurosci., 3, (2009); (2009); Tropical Medicine and International Health, (2014)</t>
  </si>
  <si>
    <t xml:space="preserve">M.A. Veretennikova; Department of Statistics and Data Analysis, Faculty of Economic Science, National Research University, Higher School of Economics, Moscow, Shabolovka 28/11, 9, 19049, Russian Federation; email: mveretennikova@hse.ru</t>
  </si>
  <si>
    <t xml:space="preserve">J. Statist. Distrib. Appl.</t>
  </si>
  <si>
    <t xml:space="preserve">2-s2.0-85062721372</t>
  </si>
  <si>
    <t xml:space="preserve">Adeodu O.; Olorunmoteni O.; Oseni S.; Obuotor E.</t>
  </si>
  <si>
    <t xml:space="preserve">Adeodu, Oluwagbemiga (56372372500); Olorunmoteni, Oluwatosin (57193927825); Oseni, Saheed (9238265800); Obuotor, Efere (16417069000)</t>
  </si>
  <si>
    <t xml:space="preserve">56372372500; 57193927825; 9238265800; 16417069000</t>
  </si>
  <si>
    <t xml:space="preserve">Plasma and cerebrospinal fluid beta-endorphin levels show a strong association in children with cerebral malaria</t>
  </si>
  <si>
    <t xml:space="preserve">Background: Beta (β)-endorphins are endogenous neuropeptides found in the plasma and cerebrospinal fluid (CSF) of humans but there have been reports of the relationship between the plasma and CSF β-endorphin levels in different clinical conditions. However, the relationship between β-endorphin levels in the plasma and CSF of children with cerebral malaria (CM) has not been reported. Aim: To determine the relationship between β-endorphin levels in the CSF and plasma of children with CM. Settings and Design: This cross-sectional study involved 40 children, aged between 6 months and 14 years, admitted with a diagnosis of CM at the Obafemi Awolowo University Teaching Hospitals Complex (OAUTHC), Ile-Ife, Nigeria. Materials and Methods: One milliliter (mL) of venous blood and 1mL of CSF obtained from each subject at admission were used to determine the β-endorphin levels using enzyme-linked immunosorbent assay (ELISA) method. Statistical Analysis: Bivariate linear regression was used to determine the association between plasma and CSF β-endorphin levels using the correlation coefficient (r), coefficient of determination (R2), and P values. Results: The plasma β-endorphin levels significantly positively correlated with CSF β-endorphin (r &lt; 0.568, P &lt; 0.001) such that for every unit rise in plasma β-endorphin, CSF β-endorphin rose by 0.252 pmol/L (confidence interval: 0.132-0.371 pmol/L). Conclusion: The finding of positive correlation between plasma and CSF β-endorphin levels in this study suggests a possible direct link between plasma and CSF in CM, probably from the disruption of the blood-brain barrier that has been reported in CM. © 2019 Journal of Pediatric Neurosciences | Published by Wolters Kluwer - Medknow.</t>
  </si>
  <si>
    <t xml:space="preserve">Journal of Pediatric Neurosciences</t>
  </si>
  <si>
    <t xml:space="preserve">10.4103/JPN.JPN_15_18</t>
  </si>
  <si>
    <t xml:space="preserve">https://www.scopus.com/inward/record.uri?eid=2-s2.0-85062430199&amp;doi=10.4103%2fJPN.JPN_15_18&amp;partnerID=40&amp;md5=e6b002c826e0c4f751fa88f6be2b6f56</t>
  </si>
  <si>
    <t xml:space="preserve">Department of Paediatrics and Child Health, Obafemi Awolowo University, Obafemi Awolowo University Teaching Hospitals Complex (OAUTHC), Ile-Ife, Nigeria; Department of Biochemistry, Obafemi Awolowo University, Ile-Ife, Nigeria</t>
  </si>
  <si>
    <t xml:space="preserve">Adeodu O., Department of Paediatrics and Child Health, Obafemi Awolowo University, Obafemi Awolowo University Teaching Hospitals Complex (OAUTHC), Ile-Ife, Nigeria; Olorunmoteni O., Department of Paediatrics and Child Health, Obafemi Awolowo University, Obafemi Awolowo University Teaching Hospitals Complex (OAUTHC), Ile-Ife, Nigeria; Oseni S., Department of Paediatrics and Child Health, Obafemi Awolowo University, Obafemi Awolowo University Teaching Hospitals Complex (OAUTHC), Ile-Ife, Nigeria; Obuotor E., Department of Biochemistry, Obafemi Awolowo University, Ile-Ife, Nigeria</t>
  </si>
  <si>
    <t xml:space="preserve">cerebral malaria; cerebrospinal fluid; plasma; β-Endorphin</t>
  </si>
  <si>
    <t xml:space="preserve">beta endorphin; anthropometry; Article; body height; body weight; cerebral malaria; cerebrospinal fluid level; child; clinical article; cross-sectional study; enzyme linked immunosorbent assay; female; hospital admission; human; infant; male; malnutrition; marasmus; nutritional status; obesity; protein blood level; social class; stunting</t>
  </si>
  <si>
    <t xml:space="preserve">beta endorphin, 59887-17-1</t>
  </si>
  <si>
    <t xml:space="preserve">Herath H.M., Cabot P.J., Shaw P.N., Hewavitharana A.K., Study of beta endorphin metabolism in inflamed tissue, serum and trypsin solution by liquid chromatography-tandem mass spectrometric analysis, Anal Bioanal Chem, 402, pp. 2089-2100, (2012); Koneru A., Satyanarayana S., Rizwan S., Endogenous opioids: Their physiological role and receptors, Global J Pharmacol, 3, pp. 149-153, (2009); Molina P.E., Opioids and opiates: Analgesia with cardiovascular, haemodynamic and immune implications in critical illness, J Intern Med, 259, pp. 138-154, (2006); O'Connor T.M., O'Halloran D.J., Shanahan F., The stress response and the hypothalamic-pituitary-adrenal axis: From molecule to melancholia, QJM, 93, pp. 323-333, (2000); Veening J.G., Gerrits P.O., Barendregt H.P., Volume transmission of beta-endorphin via the cerebrospinal fluid; A review, Fluids Barriers CNS, 9, (2012); Knigge K.M., Joseph S.A., Anatomy of the opioid-systems of the brain, Can J Neurol Sci, 11, pp. 14-23, (1984); Bloom F., Battenberg E., Rossier J., Ling N., Guillemin R., Neurons containing beta-endorphin in rat brain exist separately from those containing enkephalin: Immunocytochemical studies, Proc Natl Acad Sci U S A, 75, pp. 1591-1595, (1978); Watson S.J., Akil H., Alpha-MSH in rat brain: Occurrence within and outside of beta-endorphin neurons, Brain Res, 182, pp. 217-223, (1980); Mezey E., Kiss J.Z., Mueller G.P., Eskay R., O'Donohue T.L., Palkovits M., Distribution of the pro-opiomelanocortin derived peptides, adrenocorticotrope hormone, alpha-melanocytestimulating hormone and beta-endorphin (ACTH, alpha-MSH, beta-END) in the rat hypothalamus, Brain Res, 328, pp. 341-347, (1985); Tranchand-Bunel D., Delbende C., Guy J., Jegou S., Jenks B.J., Mocaer E., Et al., [Pro-opiomelanocortin neuronal systems], Rev Neurol (Paris), 143, pp. 471-489, (1987); McGinty J.F., Bloom F.E., Double immunostaining reveals distinctions among opioid peptidergic neurons in the medial basal hypothalamus, Brain Res, 278, pp. 145-153, (1983); Ibata Y., Kawakami F., Okamura H., Obata-Tsuto H.L., Morimoto N., Zimmerman E.A., Light and electron microscopic immunocytochemistry of beta-endorphin/beta-LPH-like immunoreactive neurons in the arcuate nucleus and surrounding areas of the rat hypothalamus, Brain Res, 341, pp. 233-242, (1985); Przewocki R., Some aspects of physiology and pharmacology of endogenous opioid peptides, Polish J Pharmacol Pharmacy, 36, pp. 137-158, (1984); Rossier J., Vargo T.M., Minick S., Ling N., Bloom F.E., Guillemin R., Regional dissociation of beta-endorphin and enkephalin contents in rat brain and pituitary, Proc Natl Acad Sci U S A, 74, pp. 5162-5165, (1977); Houghten R.A., Swann R.W., Li C.H., Beta-endorphin: Stability, clearance behavior, and entry into the central nervous system after intravenous injection of the tritiated peptide in rats and rabbits, Proc Natl Acad Sci U S A, 77, pp. 4588-4591, (1980); Abbruscato T.J., Thomas S.A., Hruby V.J., Davis T.P., Brain and spinal cord distribution of biphalin: Correlation with opioid receptor density and mechanism of CNS entry, J Neurochem, 69, pp. 1236-1245, (1997); Skipor J., Thiery J.C., The choroid plexus-cerebrospinal fluid system: Undervaluated pathway of neuroendocrine signaling into the brain, Acta Neurobiol Exp (Wars), 68, pp. 414-428, (2008); Reiber H., Proteins in cerebrospinal fluid and blood: Barriers, CSF flow rate and source-related dynamics, Restor Neurol Neurosci, 21, pp. 79-96, (2003); Stoodley M.A., Jones N.R., Brown C.J., Evidence for rapid fluid flow from the subarachnoid space into the spinal cord central canal in the rat, Brain Res, 707, pp. 155-164, (1996); Stoodley M.A., Brown S.A., Brown C.J., Jones N.R., Arterial pulsation-dependent perivascular cerebrospinal fluid flow into the central canal in the sheep spinal cord, J Neurosurg, 86, pp. 686-693, (1997); Blalock J.E., The immune system as the sixth sense, J Intern Med, 257, pp. 126-138, (2005); Machelska H., Stein C., Pain control by immune-derived opioids, Clin Exp Pharmacol Physiol, 27, pp. 533-536, (2000); Brack A., Rittner H.L., Machelska H., Beschmann K., Sitte N., Schafer M., Et al., Mobilization of opioid-containing polymorphonuclear cells by hematopoietic growth factors and influence on inflammatory pain, Anesthesiology, 100, pp. 149-157, (2004); Sacerdote P., Brini A.T., Locatelli L., Radulovic J., Panerai A.E., Tumor necrosis factor alpha differentially regulates betaendorphin concentrations and proopiomelanocortin RNA in the anterior and neurointermediate pituitary in vivo, Neuroimmunomodulation, 1, pp. 357-360, (1994); Jeffcoate W.J., Rees L.H., McLoughlin L., Ratter S.J., Hope J., Lowry P.J., Et al., Beta-endorphin in human cerebrospinal fluid, Lancet, 2, pp. 119-121, (1978); Nakao K., Nakai Y., Oki S., Matsubara S., Konishi T., Nishitani H., Et al., Immunoreactive beta-endorphin in human cerebrospinal fluid, J Clin Endocrinol Metab, 50, pp. 230-233, (1980); Smith R., Owens P.C., Lovelock M., Chan E.C., Falconer J., Acute hemorrhagic stress in conscious sheep elevates immunoreactive beta-endorphin in plasma but not in cerebrospinal fluid, Endocrinology, 118, pp. 2572-2576, (1986); Shealy N.C., Cady R.K., Culver-Veehoff D., Cox Liss R.S., Cerebrospinal fluid and plasma neurochemicals: Response to cranial electrical stimulation, J Neurol Orthop Med Surg, 18, pp. 94-97, (1998); Bach F.W., Langemark M., Secher N.H., Olesen J., Plasma and cerebrospinal fluid beta-endorphin in chronic tension-type headache, Pain, 51, pp. 163-168, (1992); McKay R.J., O'Donnell M., Sankaran K., Hindmarsh K.W., Wallace S.M., Cerebrospinal fluid and plasma beta-endorphin concentrations in prolonged infant apnea (near-miss sudden infant death syndrome), Dev Pharmacol Ther, 9, pp. 224-230, (1986); Facchinetti F., Petraglia F., Sances G., Garuti C., Tosca P., Nappi G., Et al., Dissociation between CSF and plasma B-endorphin in major depressive disorders: Evidence for a different regulation, J Endocrinol Invest, 9, pp. 11-14, (1986); Barna I., Sweep C.G., Veldhuis H.D., Wiegant V.M., Differential effects of cisterna magna cannulation on beta-endorphin levels in rat plasma and cerebrospinal fluid, Acta Endocrinol (Copenh), 117, pp. 517-524, (1988); Kosten T.R., Kreek M.J., Swift C., Carney M.K., Ferdinands L., Beta endorphin levels in CSF during methadone maintenance, Life Sci, 41, pp. 1071-1076, (1987); Pasaoglu H., Inci Karakucuk E., Kurtsoy A., Pasaoglu A., Endogenous neuropeptides in patients with acute traumatic head injury, I: Cerebrospinal fluid beta-endorphin levels are increased within 24 hours following the trauma, Neuropeptides, 30, pp. 47-51, (1996); Severe and complicated malaria. 2nd ed, Trans R Soc Trop Med Hyg, 84, pp. 1-65, (1990); Oyedeji G.A., Socioeconomic and cultural background of hospitalized children in Ilesa, Nig J Pediatr, 12, pp. 111-117, (1985); Classification of infantile malnutrition, Lancet, 2, pp. 143-146, (1972); Skelton J.A., Rudolph C.D., Overweight and obesity, Nelson Textbook of Paediatrics, pp. 232-241, (2007); Orimadegun A.E., Fawole O., Okereke J.O., Akinbami F.O., Sodeinde O., Increasing burden of childhood severe malaria in a Nigerian tertiary hospital: Implication for control, J Trop Pediatr, 53, pp. 185-189, (2007); Phillips R.E., Solomon T., Cerebral malaria in children, Lancet, 336, pp. 1355-1360, (1990); Hendrickse R.G., Parasitic diseases: Malaria, Paediatrics in the Tropics, pp. 695-710, (1991); Elusiyan J.B.E., Obiajunwa P.O., Adejuyigbe E.A., Olowu W.A., Adeodu O.O., Et al., Pattern of morbidity and mortality among children hospitalized at the Obafemi Awolowo University Teaching Hospital, Ile-Ife, Nig J Paediatri, 36, pp. 22-28, (2009); Monebenimp F., Bisong C.E., Chiabi A., Chelo D., Moyo-Somo R., Clinical and biological factors associated with treatment outcome of cerebral malaria in children under five in Yaounde, J Neuroparasitol, 1, pp. 1-5, (2010); Oguche S., Omokhodion S.I., Adeyemo A.A., Olumese P.E., Low plasma bicarbonate predicts poor outcome of cerebral malaria in Nigerian children, West Afr J Med, 21, pp. 276-279, (2002); Coleman P.G., Goodman C.A., Mills A., Rebound mortality and the cost-effectiveness of malaria control: Potential impact of increased mortality in late childhood following the introduction of insecticide treated nets, Trop Med Int Health, 4, pp. 175-186, (1999); Greenwood B.M., The impact of malaria chemoprophylaxis on the immune status of Africans, Bull World Health Organ, 62, pp. 69-75, (1984); Stanfield P., Brueton M, Chan M, Parkin M, Waterson J, editors, Disease of Children in the Subtropics and Tropics, (1991); Murray M.J., Murray A.B., Murray N.J., Murray M.B., Diet and cerebral malaria: The effect of famine and refeeding, Am J Clin Nutr, 31, pp. 57-61, (1978); Medana I.M., Turner G.D., Human cerebral malaria and the blood-brain barrier, Int J Parasitol, 36, pp. 555-568, (2006); Olumese P.E., Sodeinde O., Ademowo O.G., Walker O., Protein energy malnutrition and cerebral malaria in Nigerian children, J Trop Pediatr, 43, pp. 217-219, (1997); Brown H., Rogerson S., Taylor T., Tembo M., Mwenechanya J., Molyneux M., Et al., Blood-brain barrier function in cerebral malaria in Malawian children, Am J Trop Med Hyg, 64, pp. 207-213, (2001); Scrimshaw N.S., SanGiovanni J.P., Synergism of nutrition, infection, and immunity: An overview, Am J Clin Nutr, 66, pp. 464-775, (1997)</t>
  </si>
  <si>
    <t xml:space="preserve">O. Olorunmoteni; Department of Paediatrics and Child Health, Obafemi Awolowo University, Obafemi Awolowo University Teaching Hospitals Complex (OAUTHC), Ile-Ife, Nigeria; email: doc-tosino@yahoo.com</t>
  </si>
  <si>
    <t xml:space="preserve">J. Pediatr. Neurosci.</t>
  </si>
  <si>
    <t xml:space="preserve">2-s2.0-85062430199</t>
  </si>
  <si>
    <t xml:space="preserve">Castro B.; Sala de Medeiros M.; Sadri B.; Martinez R.V.</t>
  </si>
  <si>
    <t xml:space="preserve">Castro, Beatriz (57191629185); Sala de Medeiros, Marina (57203874280); Sadri, Behnam (55152737200); Martinez, Ramses V. (57208893424)</t>
  </si>
  <si>
    <t xml:space="preserve">57191629185; 57203874280; 55152737200; 57208893424</t>
  </si>
  <si>
    <t xml:space="preserve">Portable and power-free serodiagnosis of Chagas disease using magnetic levitating microbeads</t>
  </si>
  <si>
    <t xml:space="preserve">This work describes the detection of anti-T. cruzi antibodies in whole blood solutions using magnetic levitating microbeads (MLμBs). This simple diagnostic method can be easily performed by minimally trained personnel using an inexpensive and portable magnetic stage that requires no electricity. A multiphase test tube containing the MLμBs facilitates the sequential incubation, filtering, and reading of the immunoassays. The diagnostic method starts by adding a blood sample to the top phase of the test tube where the anti-T. cruzi antibodies present in the blood attach to the T. cruzi antigens on the surface of the MLμBs. Shaking the test tube after incubation mixes the top layer with a paramagnetic medium loaded with SiO2 microcrystals. The attachment of SiO2 microcrystals to those MLμBs bound to T. cruzi antibodies decreases their levitation height once the tube is placed between two antialigned permanent magnets. Measuring the levitation height of MLμBs enables the accurate detection and quantification of anti-T. cruzi antibodies in the blood across the clinically relevant range, with a detection limit of 5 μg mL−1. The small size of the test tubes facilitates the simultaneous analysis of over 50 different samples. MLμBs act as partial collimators for non-polarized light, facilitating their visual identification by the naked eye or by projecting incident light on a thin paper screen. A machine-vision algorithm was created to automatically interpret the results of the MLμB tests from a digital image, resulting in a rapid, accurate, and user-friendly assay for Chagas disease that can be used in resource-limited settings. © The Royal Society of Chemistry.</t>
  </si>
  <si>
    <t xml:space="preserve">Analyst</t>
  </si>
  <si>
    <t xml:space="preserve">10.1039/c8an01374h</t>
  </si>
  <si>
    <t xml:space="preserve">https://www.scopus.com/inward/record.uri?eid=2-s2.0-85053409235&amp;doi=10.1039%2fc8an01374h&amp;partnerID=40&amp;md5=87f1bb36f808b50b5ea22752f1e62281</t>
  </si>
  <si>
    <t xml:space="preserve">Department of Animal Sciences, Purdue University, 270 S. Russell St, West Lafayette, 47907, IN, United States; School of Industrial Engineering, Purdue University, 315 N. Grant Street, West Lafayette, 47907, IN, United States; Weldon School of Biomedical Engineering, Purdue University, 206 S. Martin Jischke Drive, West Lafayette, 47907, IN, United States</t>
  </si>
  <si>
    <t xml:space="preserve">Castro B., Department of Animal Sciences, Purdue University, 270 S. Russell St, West Lafayette, 47907, IN, United States; Sala de Medeiros M., School of Industrial Engineering, Purdue University, 315 N. Grant Street, West Lafayette, 47907, IN, United States; Sadri B., School of Industrial Engineering, Purdue University, 315 N. Grant Street, West Lafayette, 47907, IN, United States; Martinez R.V., School of Industrial Engineering, Purdue University, 315 N. Grant Street, West Lafayette, 47907, IN, United States, Weldon School of Biomedical Engineering, Purdue University, 206 S. Martin Jischke Drive, West Lafayette, 47907, IN, United States</t>
  </si>
  <si>
    <t xml:space="preserve">Antibodies, Protozoan; Chagas Disease; Humans; Image Interpretation, Computer-Assisted; Magnetics; Microspheres; Sensitivity and Specificity; Silicon Dioxide; microsphere; protozoon antibody; silicon dioxide; blood; Chagas disease; computer assisted diagnosis; human; magnetism; sensitivity and specificity</t>
  </si>
  <si>
    <t xml:space="preserve">silicon dioxide, 10279-57-9, 14464-46-1, 14808-60-7, 15468-32-3, 60676-86-0, 7631-86-9; Antibodies, Protozoan, ; Silicon Dioxide, </t>
  </si>
  <si>
    <t xml:space="preserve">Procter and Gamble, P&amp;G, (209621); Procter and Gamble, P&amp;G; Purdue University; Fundación Alfonso Martín Escudero</t>
  </si>
  <si>
    <t xml:space="preserve">The authors gratefully acknowledge the start-up funding from Purdue University. B. S. and M. S. M. also acknowledge the funding from the Procter &amp; Gamble (No. 209621). B. C. gratefully acknowledges the support from the Alfonso Martin Escudero Foundation. All experiments were performed in accordance with the Guidelines of Purdue University. An ethical approval was not required for this purpose. Informed consent was obtained from the human participants of this study.</t>
  </si>
  <si>
    <t xml:space="preserve">Bern C., N. Engl. J. Med., 373, pp. 456-466, (2015); Messenger L.A., Gilman R.H., Verastegui M., Galdos-Cardenas G., Sanchez G., Valencia E., Sanchez L., Malaga E., Rendell V.R., Jois M., Shah V., Santos N., Abastoflor M.D.C., LaFuente C., Colanzi R., Bozo R., Bern C., Clin. Infect. Dis., 65, pp. 268-275, (2017); Wei B., Chen L., Kibukawa M., Kang J., Waskin H., Marton M., PLoS Neglected Trop. Dis., 10, (2016); Granjon E., Dichtel-Danjoy M.-L., Saba E., Sabino E., De Oliveira L.C., Zrein M., PLoS Neglected Trop. Dis., 10, (2016); Drain P.K., Hyle E.P., Noubary F., Freedberg K.A., Wilson D., Bishai W.R., Rodriguez W., Bassett I.V., Lancet Infect. Dis., 14, pp. 239-249, (2014); Zarei M., Trends Anal. Chem., 91, pp. 26-41, (2017); Song J., Mauk M.G., Hackett B.A., Cherry S., Bau H.H., Liu C., Anal. Chem., 88, pp. 7289-7294, (2016); Pandya H.J., Kanakasabapathy M.K., Verma S., Chug M.K., Memic A., Gadjeva M., Shafiee H., Biosens. Bioelectron., 91, pp. 32-39, (2017); Mosley G.L., Pereira D.Y., Han Y., Lee S.Y., Wu C.M., Wu B.M., Kamei D.T., Microchim. Acta, 184, pp. 4055-4064, (2017); Silva E.T., Souto D.E., Barragan J.T., Giarola J.F., Moraes A.C., Kubota L.T., ChemElectroChem, 4, pp. 778-794, (2017); Dincer C., Bruch R., Kling A., Dittrich P.S., Urban G.A., Trends Biotechnol., 35, pp. 728-742, (2017); Janissen R., Sahoo P.K., Santos C.A., Da Silva A.M., Von Zuben A.A., Souto D.E., Costa A.D., Celedon P., Zanchin N.I., Almeida D.B., Oliveira D.S., Kubota L.T., Cesar C.L., De Souza A.P., Cotta M.A., Nano Lett., 17, pp. 5938-5949, (2017); Park H., Han G.C., Lee S.W., Lee H., Jeong S.H., Naqi M., AlMutairi A., Kim Y.J., Lee J., Kim W.-J., Kim S., Yoon Y., ACS Appl. Mater. Interfaces, 9, pp. 43490-43497, (2017); Do Nascimento N.M., Juste-Dolz A., Grau-Garcia E., Roman-Ivorra J.A., Puchades R., Maquieira A., Morais S., Gimenez-Romero D., Biosens. Bioelectron., 90, pp. 166-173, (2017); Jiang Q., Chandar Y.J., Cao S., Kharasch E.D., Singamaneni S., Morrissey J.J., Adv. Biosyst., 1, (2017); Cortina M.E., Melli L.J., Roberti M., Mass M., Longinotti G., Tropea S., Lloret P., Serantes D.A.R., Salomon F., Lloret M., Lloret M., Caillava A.J., Restuccia S., Altcheh J., Buscaglia C.A., Malatto L., Ugalde J.E., Fraigi L., Moina C., Ybarra G., Ciocchini A.E., Comerci D.J., Biosens. Bioelectron., 80, pp. 24-33, (2016); Martins L.F., Mesquita J.T., Pinto E.G., Costa-Silva T.A., Borborema S.E., Galisteo Junior A.J., Neves B.J., Andrade C.H., Shuhaib Z.A., Bennett E.L., Black G.P., Harper P.M., Evans D.M., Fituri H.S., Leyland J.P., Martin C., Roberts T.D., Thornhill A.J., Vale S.A., Howard-Jones A., Thomas D.A., Williams H.L., Overman L.E., Berlinck R.G., Murphy P.J., Tempone A.G., J. Nat. Prod., 79, pp. 2202-2210, (2016); Castro-Sesquen Y.E., Gilman R.H., Mejia C., Clark D.E., Choi J., Reimer-McAtee M.J., Castro R., Valencia-Ayala E., Flores J., Bowman N., Castillo-Neyra R., Torrico F., Liotta L., Bern C., Luchini A., PLoS Neglected Trop. Dis., 10, (2016); Nemiroski A., Kumar A.A., Soh S., Harburg D.V., Yu H.-D., Whitesides G.M., Anal. Chem., 88, pp. 2666-2674, (2016); Ge S., Semenov S.N., Nagarkar A.A., Milette J., Christodouleas D.C., Yuan L., Whitesides G.M., J. Am. Chem. Soc., 139, pp. 18688-18697, (2017); Subramaniam A.B., Yang D., Yu H.-D., Nemiroski A., Tricard S., Ellerbee A.K., Soh S., Whitesides G.M., Proc. Natl. Acad. Sci. U. S. A., 111, pp. 12980-12985, (2014); Mirica K.A., Ilievski F., Ellerbee A.K., Shevkoplyas S.S., Whitesides G.M., Adv. Mater., 23, pp. 4134-4140, (2011); Tasoglu S., Yu C.H., Liaudanskaya V., Guven S., Migliaresi C., Demirci U., Adv. Healthcare Mater., 4, pp. 1469-1476, (2015); Souza G.R., Molina J.R., Raphael R.M., Ozawa M.G., Stark D.J., Levin C.S., Bronk L.F., Ananta J.S., Mandelin J., Georgescu M.-M., Bankson J.A., Gelovani J.C., Killian T.C., Wadih A., Renata P., Nat. Nanotechnol., 5, pp. 291-296, (2010); Durmus N.G., Tekin H.C., Guven S., Sridhar K., Yildiz A.A., Calibasi G., Ghiran I., Davis R.W., Steinmetz L.M., Demirci U., Proc. Natl. Acad. Sci. U. S. A., 112, pp. E3661-E3668, (2015); Lewis E.E.L., Wheadon H., Lewis N., Yang J., Mullin M., Hursthouse A., Stirling D., Dalby M.J., Berry C.C., ACS Nano, 10, pp. 8346-8354, (2016); Shapiro N.D., Mirica K.A., Soh S., Phillips S.T., Taran O., Mace C.R., Shevkoplyas S.S., Whitesides G.M., J. Am. Chem. Soc., 134, pp. 5637-5646, (2012); Iranmanesh M., Hulliger J., Chem. Soc. Rev., 46, pp. 5925-5934, (2017); Baday M., Calamak S., Durmus N.G., Davis R.W., Steinmetz L.M., Demirci U., Small, 12, pp. 1222-1229, (2016); Concha-Valdez F., Marin C., Canas-Ruiz R., Sosa-Matu C., Escobedo-Ortegon J., Martin-Montes A., Francisco O., Sanchez-Moreno M., J. Immunol. Infect. Dis., 4, (2017); Santos F.L.N., Celedon P.A.F., Zanchin N.I.T., Brasil T.D.A.C., Foti L., De Souza W.V., Silva E.D., De Miranda Gomes Y., Krieger M.A., PLoS One, 11, (2016); Pal A., Cuellar H.E., Kuang R., Caurin H.F., Goswami D., Martinez R.V., Adv. Mater. Technol., 2, (2017); Pieters B.J., Van Eldijk M.B., Nolte R.J., Mecinovic J., Chem. Soc. Rev., 45, pp. 24-39, (2016)</t>
  </si>
  <si>
    <t xml:space="preserve">R.V. Martinez; School of Industrial Engineering, Purdue University, West Lafayette, 315 N. Grant Street, 47907, United States; email: rmartinez@purdue.edu</t>
  </si>
  <si>
    <t xml:space="preserve">ANALA</t>
  </si>
  <si>
    <t xml:space="preserve">2-s2.0-85053409235</t>
  </si>
  <si>
    <t xml:space="preserve">Armando</t>
  </si>
  <si>
    <t xml:space="preserve">Chae S.; Kwon S.; Lee D.</t>
  </si>
  <si>
    <t xml:space="preserve">Chae, Sangwon (57203220880); Kwon, Sungjun (57203224435); Lee, Donghyun (57092313500)</t>
  </si>
  <si>
    <t xml:space="preserve">57203220880; 57203224435; 57092313500</t>
  </si>
  <si>
    <t xml:space="preserve">Predicting infectious disease using deep learning and big data</t>
  </si>
  <si>
    <t xml:space="preserve">Infectious disease occurs when a person is infected by a pathogen from another person or an animal. It is a problem that causes harm at both individual and macro scales. The Korea Center for Disease Control (KCDC) operates a surveillance system to minimize infectious disease contagions. However, in this system, it is difficult to immediately act against infectious disease because of missing and delayed reports. Moreover, infectious disease trends are not known, which means prediction is not easy. This study predicts infectious diseases by optimizing the parameters of deep learning algorithms while considering big data including social media data. The performance of the deep neural network (DNN) and long-short term memory (LSTM) learning models were compared with the autoregressive integrated moving average (ARIMA) when predicting three infectious diseases one week into the future. The results show that the DNN and LSTM models perform better than ARIMA. When predicting chickenpox, the top-10 DNN and LSTM models improved average performance by 24% and 19%, respectively. The DNN model performed stably and the LSTM model was more accurate when infectious disease was spreading. We believe that this study’s models can help eliminate reporting delays in existing surveillance systems and, therefore, minimize costs to society. © 2018 by the authors. Licensee MDPI, Basel, Switzerland.</t>
  </si>
  <si>
    <t xml:space="preserve">10.3390/ijerph15081596</t>
  </si>
  <si>
    <t xml:space="preserve">https://www.scopus.com/inward/record.uri?eid=2-s2.0-85050977874&amp;doi=10.3390%2fijerph15081596&amp;partnerID=40&amp;md5=987799957f8a9b686eef36f9d1b666ad</t>
  </si>
  <si>
    <t xml:space="preserve">Department of Business Administration, Korea Polytechnic University, 237 Sangidaehak-ro, Siheung-si, 15073, Gyeonggi-do, South Korea</t>
  </si>
  <si>
    <t xml:space="preserve">Chae S., Department of Business Administration, Korea Polytechnic University, 237 Sangidaehak-ro, Siheung-si, 15073, Gyeonggi-do, South Korea; Kwon S., Department of Business Administration, Korea Polytechnic University, 237 Sangidaehak-ro, Siheung-si, 15073, Gyeonggi-do, South Korea; Lee D., Department of Business Administration, Korea Polytechnic University, 237 Sangidaehak-ro, Siheung-si, 15073, Gyeonggi-do, South Korea</t>
  </si>
  <si>
    <t xml:space="preserve">Deep learning; Deep neural network; Infectious disease prediction; Long short-term memory; Social media big data</t>
  </si>
  <si>
    <t xml:space="preserve">Algorithms; Communicable Diseases; Deep Learning; Forecasting; Humans; Models, Theoretical; Republic of Korea; Korea; Animalia; artificial neural network; data set; disease control; infectious disease; model; prediction; social media; Article; autoregressive integrated moving average; chickenpox; cost minimization analysis; data analysis; deep neural network; diagnostic accuracy; disease surveillance; human; infection; information processing; intermethod comparison; learning algorithm; long term memory; malaria; mathematical model; nonhuman; prediction; scarlet fever; short term memory; social media; South Korea; algorithm; communicable disease; forecasting; theoretical model</t>
  </si>
  <si>
    <t xml:space="preserve">Ministry of Environment, MOE, (2014001300001); National Research Foundation of Korea, NRF, (NRF-2016R1E1A2A01953984, NRF-2018R1E1A2A02059027)</t>
  </si>
  <si>
    <t xml:space="preserve">Funding: This work was funded by the National Research Foundation of Korea grant number NRF-2016R1E1A2A01953984 and NRF-2018R1E1A2A02059027 and the Korea Ministry of Environment as Climate Change Correspondence R&amp;D Program grant number 2014001300001.</t>
  </si>
  <si>
    <t xml:space="preserve">Jae C.M., Infectious disease, safety, state: History of infectious disease prevention and MERS situation, Crit. Stud. Mod. Korean Hist, 34, pp. 517-542, (2015); Cheng C.K., Lau E.H., Ip D.K., Yeung A.S., Ho L.M., Cowling B.J., A profile of the online dissemination of national influenza surveillance data, BMC Public Health, 9, (2009); Balcan D., Colizza V., Goncalves B., Hu H., Ramasco J.J., Vespignani A., Multiscale mobility networks and the spatial spreading of infectious diseases, Proc. Natl. Acad. Sci. USA, 106, (2009); Colizza V., Barrat A., Barthelemy M., Valleron A., Vespignani A., Modeling the Worldwide Spread of Pandemic Influenza: Baseline Case and Containment Interventions, PLOS Med, 4, (2007); Balcan D., Hu H., Goncalves B., Bajardi P., Poletto C., Ramasco J.J., Paolotti D., Perra N., Tizzoni M., van den Broeck W., Et al., Seasonal transmission potential and activity peaks of the new influenza A(H1N1): A Monte Carlo likelihood analysis based on human mobility, BMC Med, 1, (2009); Eubank S., Guclu H., Anil Kumar V.S., Marathe M.V., Srinivasan A., Toroczkai Z., Wang N., Modelling disease outbreaks in realistic urban social networks, Nature, 429, (2004); Ferguson N.M., Cummings D.A.T., Fraser C., Cajka J.C., Cooley P.C., Burke D.S., Strategies for mitigating an influenza pandemic, Nature, 442, (2006); Epstein J.M., Goedecke D.M., Yu F., Morris R.J., Wagener D.K., Bobashev G.V., Controlling Pandemic Flu: The Value of International Air Travel Restrictions, Plos ONE, 2, (2007); Ciofi Degli Atti M.L., Merler S., Rizzo C., Ajelli M., Massari M., Manfredi P., Furlanello C., Scalia Tomba G., Iannelli M., Mitigation Measures for Pandemic Influenza in Italy: An Individual Based Model Considering Different Scenarios, Plos ONE, 3, (2008); Zhang Y., Milinovich G., Xu Z., Bambrick H., Mengersen K., Tong S., Hu W., Monitoring Pertussis Infections Using Internet Search Queries, Sci. Rep, 7, (2017); Rohart F., Milinovich G.J., Avril S.M.R., Le Cao K., Tong S., Hu W., Disease surveillance based on Internet-based linear models: An Australian case study of previously unmodeled infection diseases, Sci. Rep, 6, (2016); Lampos V., Miller A.C., Crossan S., Stefansen C., Advances in nowcasting influenza-like illness rates using search query logs, Sci. Rep, 5, 1; Cho S., Sohn C.H., Jo M.W., Shin S.Y., Lee J.H., Ryoo S.M., Kim W.Y., Seo D.W., Correlation between national influenza surveillance data and google trends in South Korea, Plos ONE, 8, (2013); Teng Y., Bi D., Xie G., Jin Y., Huang Y., Lin B., An X., Feng D., Tong Y., Dynamic Forecasting of Zika Epidemics Using Google Trends, Plos ONE, 12, (2017); Dugas A.F., Jalalpour M., Gel Y., Levin S., Torcaso F., Igusa T., Rothman R.E., Influenza forecasting with Google Flu Trends, Plos ONE, 8, (2013); Towers S., Afzal S., Bernal G., Bliss N., Brown S., Espinoza B., Jackson J., Judson-Garcia J., Khan M., Lin M., Et al., Mass Media and the Contagion of Fear: The Case of Ebola in America, Plos ONE, 10, (2015); Huang D.C., Wang J.F., Monitoring hand, foot and mouth disease by combining search engine query data and meteorological factors. Sci, Total Environ, 612, pp. 1293-1299, (2018); Tenkanen H., Di Minin E., Heikinheimo V., Hausmann A., Herbst M., Kajala L., Toivonen T., Instagram, Flickr, or Twitter: Assessing the usability of social media data for visitor monitoring in protected areas, Sci. Rep, 7, (2017); Reece A.G., Reagan A.J., Lix K.L.M., Dodds P.S., Danforth C.M., Langer E.J., Forecasting the onset and course of mental illness with Twitter data, Sci. Rep., 7, (2017); Shin S., Seo D., An J., Kwak H., Kim S., Gwack J., Jo M., High correlation of Middle East respiratory syndrome spread with Google search and Twitter trends in Korea, Sci. Rep., 6, (2016); Thapen N., Simmie D., Hankin C., Gillard J., DEFENDER: Detecting and Forecasting Epidemics Using Novel Data-Analytics for Enhanced Response, Plos ONE, 11, (2016); Allen C., Tsou M., Aslam A., Nagel A., Gawron J., Applying GIS and Machine Learning Methods to Twitter Data for Multiscale Surveillance of Influenza, Plos ONE, 11, (2016); Volkova S., Ayton E., Porterfield K., Corley C.D., Forecasting influenza-like illness dynamics for military populations using neural networks and social media, Plos ONE, 12, (2017); Simon T., Goldberg A., Aharonson-Daniel L., Leykin D., Adini B., Twitter in the Cross Fire—The Use of Social Media in the Westgate Mall Terror Attack in Kenya, Plos ONE, 9, (2014); Tafti A., Zotti R., Jank W., Real-Time Diffusion of Information on Twitter and the Financial Markets, Plos ONE, 11, (2016); Xia F., Su X., Wang W., Zhang C., Ning Z., Lee I., Bibliographic Analysis of Nature Based on Twitter and Facebook Altmetrics Data, Plos ONE, 11, (2016); Patel R., Belousov M., Jani M., Dasgupta N., Winakor C., Nenadic G., Dixon, W.G. Frequent discussion of insomnia and weight gain with glucocorticoid therapy: An analysis of Twitter posts, Npj Digit. Med, 1, (2018); Xu Q., Gel Y.R., Ramirez Ramirez L.L., Nezafati K., Zhang Q., Tsui K.L., Forecasting influenza in Hong Kong with Google search Queries and statistical model fusion, PLOS ONE, 12, (2017); He F., Hu Z., Zhang W., Cai L., Cai G., Aoyagi K., Construction and evaluation of two computational models for predicting the incidence of influenza in Nagasaki Prefecture, Japan, Sci. Rep, 7, (2017); Najafabadi M.M., Villanustre F., Khoshgoftaar T.M., Seliya N., Wald R., Muharemagic E., Deep learning applications and challenges in big data analytics, J. Big Data, (2017); Janowczyk A., Madabhushi A., Deep learning for digital pathology image analysis: A comprehensive tutorial with selected use cases, J. Pathol. Inform, 7, (2016); Esteva A., Kuprel B., Novoa R.A., Ko J., Swetter S.M., Blau H.M., Thrun S., Dermatologist-level classification of skin cancer with deep neural networks, Nature, 542, (2017); Bychkov D., Linder N., Turkki R., Nordling S., Kovanen P.E., Verrill C., Walliander M., Lundin M., Haglund C., Lundin J., Deep learning based tissue analysis predicts outcome in colorectal cancer, Sci. Rep, 8, (2018); Song Y., Wang F., Wang B., Tao S., Zhang H., Liu S., Ramirez O., Zeng Q., Time Series Analyses of Hand, Foot and Mouth Disease Integrating Weather Variables, Plos ONE, 10, (2015); Hii Y.L., Rocklov J., Ng N., Short Term Effects of Weather on Hand, Foot and Mouth Disease, Plos ONE, 6, (2011); Lopman B.E., Armstrong B.E., Atchison C., Gray J.J., Host, Weather and Virological Factors Drive Norovirus Epidemiology: Time-Series Analysis of Laboratory Surveillance Data in England and Wales, Plos ONE, 4, (2009); Huang X., Williams G., Clements A.C.A., Hu W., Imported Dengue Cases, Weather Variation and Autochthonous Dengue Incidence in Cairns, Australia, Plos ONE, 8, (2013); Liu T., Zhang Y., Lin H., Lv X., Xiao J., Zeng W., Gu Y., Rutherford S., Tong S., Ma W., A large temperature fluctuation may trigger an epidemic erythromelalgia outbreak in China, Sci. Rep, 5, (2015); Blanford J.I., Blanford S., Crane R.G., Mann M.E., Paaijmans K.P., Schreiber K.V., Thomas M.B., Implications of temperature variation for malaria parasite development across Africa, Sci. Rep, 3, (2013); Noden B.H., Kent M.D., Beier J.C., The impact of variations in temperature on early Plasmodium falciparum development in Anopheles stephensi, Parasitology, 111, pp. 539-545, (1995); Liang W., Gu X., Li X., Zhang K., Wu K., Pang M., Dong J., Merrill H.R., Hu T., Liu K., Et al., Mapping the epidemic changes and risks of hemorrhagic fever with renal syndrome in Shaanxi Province, China, 2005-2016, Sci. Rep, 8, (2018); Huang X., Clements A.C.A., Williams G., Milinovich G., Hu W., A threshold analysis of dengue transmission in terms of weather variables and imported dengue cases in Australia. Emerg, Microbes Amp Infect, 2, (2013); Kwon C., Hwang S., Jung J., Monitoring Seasonal Influenza Epidemics in Korea through Query Search, J. Korea Soc. Simul, 23, pp. 31-39, (2014); Zheng Y.L., Zhang L.P., Zhang X.L., Wank K., Zheng Y.J., Forecast Model Analysis for the Morbidity of Tuberculosis in Xinjiang, China, Plos ONE, 10, (2015); Myriam G., Philippe Q., Joel G., Sylvie C., Guy L., Laurent G., Laurence M., Time series analysis of dengue incidence in Guadeloupe, French West Indies: Forecasting models using climate variables as predictors, BMC Infect. Dis., 11, (2011); Li Q., Guo N.N., Han Z.Y., Zhang Y.B., Qi S.X., Xu Y.G., Wei Y.M., Han X., Liu Y.Y., Application of an autoregressive integrated moving average model for predicting the incidence of hemorrhagic fever with renal syndrome, Am. J. Trop. Med. Hyg, 87, pp. 364-370, (2012); Bao W., Yue J., Rao Y., A deep learning framework for financial time series using stacked autoencoders and long-short term memory, Plos ONE, 12, (2017); Alex G., Supervised Sequence Labelling with Recurrent Neural Networks; Studies in Computational Intelligence, (2012)</t>
  </si>
  <si>
    <t xml:space="preserve">D. Lee; Department of Business Administration, Korea Polytechnic University, Siheung-si, 237 Sangidaehak-ro, 15073, South Korea; email: madeby2@gmail.com</t>
  </si>
  <si>
    <t xml:space="preserve">2-s2.0-85050977874</t>
  </si>
  <si>
    <t xml:space="preserve">Tian S.; Yan Y.; Yu L.; Wang M.; Li L.</t>
  </si>
  <si>
    <t xml:space="preserve">Tian, Shengwei (35119846500); Yan, Yilin (57195054996); Yu, Long (55272883600); Wang, Mei (57193417331); Li, Li (57142810600)</t>
  </si>
  <si>
    <t xml:space="preserve">35119846500; 57195054996; 55272883600; 57193417331; 57142810600</t>
  </si>
  <si>
    <t xml:space="preserve">Prediction of Anti-Malarial Activity Based on Deep Belief Network</t>
  </si>
  <si>
    <t xml:space="preserve">Malaria is a kind of disease that greatly threatens human health. Nearly half of the world's population is at risk of malaria. Anti-malarial drugs which are sought, developed and synthesized keep malaria under control, having received increasing attention in drug discovery field. Machine learning techniques have been used widely in drug research and development. On the basis of semi-supervised machine learning for molecular descriptions, this research develops a multilayer deep belief network (DBN) that can be used to identify whether compounds have the anti-malarial activity. Firstly, the influence of feature dimensions on predicting accuracy is discussed. Furthermore, the proposed model is applied to contrast shallow machine learning and supervised machine learning with the similar deep architecture. The research results show that the proposed model can predict anti-malarial activity accurately. The stable performance on the evaluation metrics confirms the practicability of our model. The proposed DBN model performs better than other shallow supervised models and deep supervised models. Moreover, it could be applied to reduce the cost and the time of drug discovery. © 2018 World Scientific Publishing Europe Ltd.</t>
  </si>
  <si>
    <t xml:space="preserve">International Journal of Computational Intelligence and Applications</t>
  </si>
  <si>
    <t xml:space="preserve">World Scientific Publishing Co.</t>
  </si>
  <si>
    <t xml:space="preserve">10.1142/S1469026818500128</t>
  </si>
  <si>
    <t xml:space="preserve">https://www.scopus.com/inward/record.uri?eid=2-s2.0-85052961566&amp;doi=10.1142%2fS1469026818500128&amp;partnerID=40&amp;md5=7a5a51e2bd68ed4fe4b655d81ddb58d9</t>
  </si>
  <si>
    <t xml:space="preserve">College of Software, Xinjiang University, 499 Xibei Road, Urumqi, 830008, China; Institute of Information Science and Engineering, Xinjiang University, 14 Shengli Road, Urumqi, 830046, China; Network Center, Xinjiang University, 14 Shengli Road, Urumqi, 830046, China; College of Pharmacy, Xinjiang Medical University, 393 Xinyi Road, Urumqi, 830011, China; College of Engineering, Xinjiang Medical University, 393 Xinyi Road, Urumqi, 830011, China</t>
  </si>
  <si>
    <t xml:space="preserve">Tian S., College of Software, Xinjiang University, 499 Xibei Road, Urumqi, 830008, China; Yan Y., Institute of Information Science and Engineering, Xinjiang University, 14 Shengli Road, Urumqi, 830046, China; Yu L., Network Center, Xinjiang University, 14 Shengli Road, Urumqi, 830046, China; Wang M., College of Pharmacy, Xinjiang Medical University, 393 Xinyi Road, Urumqi, 830011, China; Li L., College of Engineering, Xinjiang Medical University, 393 Xinyi Road, Urumqi, 830011, China</t>
  </si>
  <si>
    <t xml:space="preserve">anti-malarial activity; Chemical pattern recognition; machine learning; semi-supervised learning</t>
  </si>
  <si>
    <t xml:space="preserve">Artificial intelligence; Diseases; Forecasting; Learning algorithms; Learning systems; Malaria control; Outsourcing; Pattern recognition; Supervised learning; Anti malarial activities; Chemical pattern recognition; Deep belief network (DBN); Deep belief networks; Machine learning techniques; Molecular descriptions; Semi- supervised learning; Supervised machine learning; Deep learning</t>
  </si>
  <si>
    <t xml:space="preserve">Shah M., Et al., Assessment of molecular markers for anti-malarial drug resistance after the introduction and scale-up of malaria control interventions in western Kenya, Malar. J., 14, 75, pp. 1-14, (2015); Nyssa D., Sheena M.G., From crystal to compound: Structure-based antimalarial drug discovery, Biochem. J., 461, 3, pp. 349-369, (2014); Jain A.K., Duin R.P.W., Mao J., Statistical pattern recognition: A review, IEEE Trans. Pattern Anal. Mach. Intell., 22, 1, pp. 4-37, (2000); Bengio Y., Delalleau O., On the expressive power of deep architectures, ALT 2011, 1, pp. 18-36, (2011); Lavecchia A., Machine-learning approaches in drug discovery: Methods and applications, Drug Discov. Today, 20, 3, pp. 318-331, (2015); Goodarzi M., Freitas M.P., Jensen R., Ant colony optimization as a feature selection method in the QSAR modeling of anti-HIV-1 activities of 3-(3 5-dimethylbenzyl) uracil derivatives using MLR, PLS and SVM regressions, Chemo. Intell. Lab. Syst., 98, 2, pp. 123-129, (2009); Riahi S., Et al., Support vector machine-based quantitative structure-activity relationship study of cholesteryl ester transfer protein inhibitors, Chem. Biol. Drug Des., 73, 5, pp. 558-571, (2009); Zhao Y., Et al., Application of support vector machines for T-cell epitopes prediction, Bioinformatics, 19, 15, pp. 1978-1984, (2003); Amescua G., Miller D., Alfonso E.C., What is causing the corneal ulcer? Management strategies for unresponsive corneal ulceration, EYE, 26, 2, pp. 228-236, (2012); Cheng F., Et al., Classification of cytochrome P450 inhibitors and noninhibitors using combined classifiers, J. Chem. Inf. Model., 51, 5, pp. 996-1011, (2011); Parhizgar H., Et al., Application of neural networks in the prediction of surface tensions of binary mixtures, Ind. Eng. Chem. Res., 51, 6, pp. 2775-2781, (2012); Hinton G.E., Salakhutdinov R.R., Reducing the dimensionality of data with neural networks, Science, 313, 5786, pp. 504-507, (2006); Hinton G.E., Osindero S., Teh Y.W., A fast learning algorithm for deep belief nets, Neural Comput., 18, 7, pp. 1527-1554, (2006); Mohamed A., Yu D., Deng L., Investigation of full-sequence training of deep belief networks for speech recognition, INTERSPEECH 2010, 4, pp. 2850-2854, (2010); Lee H., Et al., Unsupervised learning of hierarchical representations with convolutional deep belief networks, Commun. ACM., 54, 10, pp. 95-103, (2011); Roy P.P., Chherawala Y., Cheriet M., Deep-belief-network based rescoring approach for handwritten word recognition, ICFHR 2014, 1, pp. 506-511, (2014); Bengio Y., Courville A., Vincent P., Representation learning: A review and new perspectives, IEEE Trans. Pattern Anal. Mach. Intell., 35, 8, pp. 1798-1828, (2013); Bengio Y., Et al., Greedy layer-wise training of deep networks, NIPS 2006, 1, pp. 144-151, (2006); LeCun Y., Et al., Gradient-based learning applied to document recognition, Proc. IEEE, 86, 11, pp. 2278-2324, (1998); Hinton G.E., Deep Belief Networks, (2018); Bengio Y., Learning deep architectures for AI, Found. Trendsr Mach. Learn., 8, 1, pp. 1-127, (2009); Chen Y., Et al., Using deep belief nets for Chinese named entity categorization, NEWS 2010, 1, pp. 102-109, (2010); Ottilie S., Goldgof G.M., Two inhibitors of yeast plasma membrane ATPase 1 (ScPma1p): Toward the development of novel antifungal therapies, J. Cheminformatics, 10, 6, pp. 1-9, (2018); Helal K.Y., Et al., Public domain HTS fingerprints: Design and evaluation of compound bioactivity profiles from PubChem's bioassay repository, J. Chem. Inf. Model., 56, 2, pp. 390-398, (2016); Chang C., Lin C., Libsvm Tutorial, (2018)</t>
  </si>
  <si>
    <t xml:space="preserve">L. Yu; Network Center, Xinjiang University, Urumqi, 14 Shengli Road, 830046, China; email: yul_xju@163.com</t>
  </si>
  <si>
    <t xml:space="preserve">Int. J. Comput. Intell. Appl.</t>
  </si>
  <si>
    <t xml:space="preserve">2-s2.0-85052961566</t>
  </si>
  <si>
    <t xml:space="preserve">Akinyemi H.A.; Urum U.I.; Ayodele E.T.; Fadairo E.A.; Sam-Wobo S.O.; Adeoye G.O.</t>
  </si>
  <si>
    <t xml:space="preserve">Akinyemi, H.A. (56505615700); Urum, U.I. (57210317770); Ayodele, E.T. (57210317936); Fadairo, E.A. (57210322612); Sam-Wobo, S.O. (24470752500); Adeoye, G.O. (6603503816)</t>
  </si>
  <si>
    <t xml:space="preserve">56505615700; 57210317770; 57210317936; 57210322612; 24470752500; 6603503816</t>
  </si>
  <si>
    <t xml:space="preserve">Prevalence of onchocerciasis and loiasis in five communities in Yewa south lga, Ogun state</t>
  </si>
  <si>
    <t xml:space="preserve">Onchocerciasis is a disease of public health importance as it affects 25 million people worldwide, of which 300,000 are blind. Nigeria is highly endemic for onchocerciasis. People with co-infection of onchocerciasis with loiasis are at increased risk of neurologic severe adverse events (SAEs) following mass drug administration with ivermectin. In this study, 291 individuals from 5 selected communities of Idogo, Ipaja, Olokuta, Erinja Orile and Ilobi in Yewa South LGA, Ogun State, Nigeria, were examined for Onchocerca volvulus and Loa loa microfilaremia. The field work was conducted from 12th to 20th of October, 2015 and it lasted for a week. SD BIOLINE onchocerciasis IgG4 rapid diagnostic test kits and skin snip technique were used for onchocerciasis while thick blood smear technique was used for loiasis. Structured questionnaires and rapid assessment procedure for loiasis were used to obtain information on the knowledge, attitude and practices from 452 respondents in all the 5 selected communities. Chi-square and ANOVA statistical methods were used to analyze the disease prevalence relative to demographic factors such as gender, age, occupation and education. The overall prevalence of 1.03% was recorded for onchocerciasis using diagnostic kits and 1.64% with the skin snip method. Loiasis prevalence in the studied area was 34.02%. The mean intensity for onchocerciasis was 4.62 mf/ss while 31.31 mf/ml was recorded for loiasis. No co-infection of onchocerciasis and loiasis was observed in this study. Ivermectin can therefore be administered safely for the treatment of onchocerciasis in Yewa South, Ogun State. © Parasitology and Public Health Society of Nigeria, 2018.</t>
  </si>
  <si>
    <t xml:space="preserve">Nigerian Journal of Parasitology</t>
  </si>
  <si>
    <t xml:space="preserve">Korean Society of Automotive Engineers</t>
  </si>
  <si>
    <t xml:space="preserve">10.4314/njpar.v39i2.7</t>
  </si>
  <si>
    <t xml:space="preserve">https://www.scopus.com/inward/record.uri?eid=2-s2.0-85070318884&amp;doi=10.4314%2fnjpar.v39i2.7&amp;partnerID=40&amp;md5=64e546d2df123242e3a57c22e451896e</t>
  </si>
  <si>
    <t xml:space="preserve">Department of Zoology, University of Lagos, Akoka, Yaba, Lagos State, Nigeria; State Ministry of Health, Abeokuta, Ogun State, Nigeria; Dept of Pure and Applied Zoology, Federal University of Agriculture, Abeokuta, Ogun State, Nigeria</t>
  </si>
  <si>
    <t xml:space="preserve">Akinyemi H.A., Department of Zoology, University of Lagos, Akoka, Yaba, Lagos State, Nigeria; Urum U.I., Department of Zoology, University of Lagos, Akoka, Yaba, Lagos State, Nigeria; Ayodele E.T., Department of Zoology, University of Lagos, Akoka, Yaba, Lagos State, Nigeria; Fadairo E.A., State Ministry of Health, Abeokuta, Ogun State, Nigeria; Sam-Wobo S.O., Dept of Pure and Applied Zoology, Federal University of Agriculture, Abeokuta, Ogun State, Nigeria; Adeoye G.O., Department of Zoology, University of Lagos, Akoka, Yaba, Lagos State, Nigeria</t>
  </si>
  <si>
    <t xml:space="preserve">Co-infection; Conchocerciasis; Loiasis; SAEs</t>
  </si>
  <si>
    <t xml:space="preserve">immunoglobulin G4; ivermectin; adolescent; adult; aged; Article; blood examination; child; community medicine; educational status; female; gender; human; Loa loa; loiasis; major clinical study; male; microfilariasis; microscopy; mixed infection; Onchocerca volvulus; onchocerciasis; prevalence; questionnaire; skin snip technique; skin test</t>
  </si>
  <si>
    <t xml:space="preserve">ivermectin, 70288-86-7</t>
  </si>
  <si>
    <t xml:space="preserve">Ministry of Health, Abeokuta</t>
  </si>
  <si>
    <t xml:space="preserve">Appreciation goes to staff of Ogun State Ministry of Health, Abeokuta, Prof. Sam-Wobo’s research team, and health officials in the five communities studied in Yewa South LGA for their technical support. Late Prof. G. O. Adeoye is greatly appreciated for her moral and financial support. Many thanks go to Mr. O. Y. Alimi of the University of Lagos for his contributions in terms of review and to all community members for their cooperation.</t>
  </si>
  <si>
    <t xml:space="preserve">Onchocerciasis Control Programme, (2010); Connor D.H., Palmieri J.R., Blackfly bite, onchocerciasis and leopard skin, Transactions of the Royal Society of Tropical Medicine and Hygiene, 79, 3, pp. 415-417, (1985); Parasites-Onchocerciasis (Also Known as River Blindness), (2013); Dazdie Y., Neira M., Hopkins D., Final report of the Conference on the eradicability of onchocerciasis, Filarial Journal, 2, (2003); Diawara L., Traore M.O., Badji A., Bissan Y., Doumbia K., Goita S.F., Konate L., Mounkoro K., Sarr M.D., Seck A.F., Toe L., Touree S., Remme J.H., Feasibility of onchocerciasis elimination with ivermectin treatment in endemic foci in Africa: First evidence from studies in Mali and Senegal, Plos Neglected Tropical Diseases, 3, (2009); Success in Africa: The Onchocerciasis Control Programme in West Africa 1974-2002, (2002); Hougard J.M., Agoua H., Yameogo L., Akpaboua K.L.B., Seketeli A., Dadzie K.Y., Blackfly Control: What choices after onchocerciasis?, World Health Forum, 19, pp. 281-284, (1998); Gardon J., Gardon-Wendel N., Demangangangue Kamgno J., Chippaux J.P., Boussinesq M., Serious reactions after mass treatment of onchocerciasis with ivermectin in an endemic area for Loa loa infection, Lancet, 350, pp. 18-22, (1997); Kipp W., Bamhuhiiga J., Rubaale T., Buttner D.W., Adverse reaction to ivermectin treatment in Simulium neavei-transmitted onchocerciasis, American Journal of Tropical Medicine and Hygiene, 69, pp. 621-623, (2003); Report of a Multicountry Study, (2003); Otubanjo O.A., Adeoye G.O., Ibidapo C.A., Akinsanya B., Okeke P., Atalabi T., Adejai E.T., Braide E., Adverse reactions from community directed treatment with ivermectin (CDTI) for onchocerciasis and loiasis in Ondo State, Nigeria, Revista De Biologia Tropical, 56, 4, (2008); Chippaux J.P., Boussinesq M., Gardon J., Gardon-Wendel N., Ernould J.C., Severe adverse reaction risk during mass treatment with ivermectin in loiasis-endemic areas, Parasitology Today, 12, pp. 448-450, (1996); Boussinesq M., Gardon J., Gardon-Wendel N., Kamgno J., Chippaux J.P., Three probable cases of Loa loa encephalopathy following ivermectin treatment for onchocerciasis, American Journal of Tropical Medicine and Hygiene, 58, pp. 461-469, (1998); Ratmanov P., Mediannikov O., Raoult D., Vectorborne diseases in West Africa: Geographic distribution and geospatial characteristics, Transactions of the Royal Society of Tropical Medicine and Hygiene, 107, pp. 273-284, (2013); Metzger W.G., Mordmuller B., Loa loa-does it deserve to be neglected?, Lancet Infectious Diseases, 14, pp. 353-357, (2014); Parasites-Loiasis, (2015); Akue J.P., Nkoghe D., Padilla C., Moussavou G., Moukana H., Mbou R.A., Epidemiology of Concomitant Infection Due to Loa loaand Mansonella perstans in Gabon, Plos Neglected Tropical Diseases, 5, pp. 3-29, (2011); Kamgno J., Pion S.D., Mackenzie C.D., Thylefors B., Boussinesq M., Loa loa Microfilarial periodicity in ivermectin-treated patients: Comparison between those developing and those free of serious adverse events, American Journal Tropical Medicine &amp; Hygiene, 81, pp. 1056-1061, (2009)</t>
  </si>
  <si>
    <t xml:space="preserve">H.A. Akinyemi; Department of Zoology, University of Lagos, Yaba, Akoka, Nigeria; email: ladyhafsoh@gmail.com</t>
  </si>
  <si>
    <t xml:space="preserve">Niger. J. Parasitol.</t>
  </si>
  <si>
    <t xml:space="preserve">2-s2.0-85070318884</t>
  </si>
  <si>
    <t xml:space="preserve">Mancuso F.J.N.; Moises V.A.; Almeida D.R.; Poyares D.; Storti L.J.; Brito F.S.; Tufik S.; de Paola A.A.V.; Carvalho A.C.C.; Campos O.</t>
  </si>
  <si>
    <t xml:space="preserve">Mancuso, Frederico J. N. (22035414800); Moises, Valdir A. (7003721389); Almeida, Dirceu R. (7006196146); Poyares, Dalva (6602674930); Storti, Luciana J. (56403122500); Brito, Flavio S. (35785676500); Tufik, Sergio (7006596857); de Paola, Angelo A. V. (7007043484); Carvalho, Antonio C. C. (57202358891); Campos, Orlando (57202333174)</t>
  </si>
  <si>
    <t xml:space="preserve">22035414800; 7003721389; 7006196146; 6602674930; 56403122500; 35785676500; 7006596857; 7007043484; 57202358891; 57202333174</t>
  </si>
  <si>
    <t xml:space="preserve">Prognostic value of real-time three-dimensional echocardiography compared to two-dimensional echocardiography in patients with systolic heart failure</t>
  </si>
  <si>
    <t xml:space="preserve">Heart failure (HF) is associated with morbidity and mortality. Real-time three-dimensional echocardiography (RT3DE) may offer additional prognostic data in patients with HF. The study aimed to evaluate the prognostic value of real-time three-dimensional echocardiography (RT3DE). This is a prospective study that included 89 patients with HF and left ventricular ejection fraction (LVEF) &lt; 0.50 who were followed for 48 months. Left atrium and ventricular volumes and functions were evaluated by RT3DE. TDI and two-dimensional echocardiography parameters were also obtained. The endpoint was a composite of death, heart transplantation and hospitalization for acute decompensated HF. The mean age was 55 ± 11 years, and the LVEF was 0.32 ± 0.10. The composite endpoint occurred in 49 patients (18 deaths, 30 hospitalizations, one heart transplant). Patients with outcomes had greater left atrial volume (40 ± 16 vs. 32 ± 12 mL/m2; p &lt; 0.01) and right ventricle diameter (41 ± 9 vs. 37 ± 8 mm, p = 0.01), worse total emptying fraction of the left atrium (36 ± 13% vs. 41 ± 11%; p = 0.03), LVEF (0.30 ± 0.09 vs. 0.34 ± 0.11; p = 0.02), right ventricle fractional area change (34.8 ± 12.1% vs. 39.2 ± 11.3%; p = 0.04), and greater E/e′ ratio (19 ± 9 vs. 16 ± 8; p = 0.04) and systolic pulmonary artery pressure (SPAP) (50 ± 15 vs. 36 ± 11 mmHg; p &lt; 0.01). In multivariate analysis, LVEF (OR 4.6; CI 95% 1.2–17.6; p &lt; 0.01) and SPAP (OR 12.5; CI 95% 1.8–86.9; p &lt; 0.01) were independent predictors of patient outcomes. LVEF and the SPAP were independent predictors of outcomes in patients with HF. © 2017, Springer Science+Business Media B.V., part of Springer Nature.</t>
  </si>
  <si>
    <t xml:space="preserve">International Journal of Cardiovascular Imaging</t>
  </si>
  <si>
    <t xml:space="preserve">10.1007/s10554-017-1266-0</t>
  </si>
  <si>
    <t xml:space="preserve">https://www.scopus.com/inward/record.uri?eid=2-s2.0-85032941789&amp;doi=10.1007%2fs10554-017-1266-0&amp;partnerID=40&amp;md5=028eee6732a0f038e68b18ec2c38a1d9</t>
  </si>
  <si>
    <t xml:space="preserve">Cardiology Department, Universidade Federal de São Paulo/Escola Paulista de Medicina (UNIFESP/EPM), Rua Domiciano Leite Ribeiro 51, Apt 13, Bloco 2, Sao Paulo, 04317-000, SP, Brazil; Sleep Institute, Universidade Federal de São Paulo/Escola Paulista de Medicina (UNIFESP/EPM), Sao Paulo, Brazil</t>
  </si>
  <si>
    <t xml:space="preserve">Mancuso F.J.N., Cardiology Department, Universidade Federal de São Paulo/Escola Paulista de Medicina (UNIFESP/EPM), Rua Domiciano Leite Ribeiro 51, Apt 13, Bloco 2, Sao Paulo, 04317-000, SP, Brazil; Moises V.A., Cardiology Department, Universidade Federal de São Paulo/Escola Paulista de Medicina (UNIFESP/EPM), Rua Domiciano Leite Ribeiro 51, Apt 13, Bloco 2, Sao Paulo, 04317-000, SP, Brazil; Almeida D.R., Cardiology Department, Universidade Federal de São Paulo/Escola Paulista de Medicina (UNIFESP/EPM), Rua Domiciano Leite Ribeiro 51, Apt 13, Bloco 2, Sao Paulo, 04317-000, SP, Brazil; Poyares D., Sleep Institute, Universidade Federal de São Paulo/Escola Paulista de Medicina (UNIFESP/EPM), Sao Paulo, Brazil; Storti L.J., Cardiology Department, Universidade Federal de São Paulo/Escola Paulista de Medicina (UNIFESP/EPM), Rua Domiciano Leite Ribeiro 51, Apt 13, Bloco 2, Sao Paulo, 04317-000, SP, Brazil, Sleep Institute, Universidade Federal de São Paulo/Escola Paulista de Medicina (UNIFESP/EPM), Sao Paulo, Brazil; Brito F.S., Cardiology Department, Universidade Federal de São Paulo/Escola Paulista de Medicina (UNIFESP/EPM), Rua Domiciano Leite Ribeiro 51, Apt 13, Bloco 2, Sao Paulo, 04317-000, SP, Brazil; Tufik S., Sleep Institute, Universidade Federal de São Paulo/Escola Paulista de Medicina (UNIFESP/EPM), Sao Paulo, Brazil; de Paola A.A.V., Cardiology Department, Universidade Federal de São Paulo/Escola Paulista de Medicina (UNIFESP/EPM), Rua Domiciano Leite Ribeiro 51, Apt 13, Bloco 2, Sao Paulo, 04317-000, SP, Brazil; Carvalho A.C.C., Cardiology Department, Universidade Federal de São Paulo/Escola Paulista de Medicina (UNIFESP/EPM), Rua Domiciano Leite Ribeiro 51, Apt 13, Bloco 2, Sao Paulo, 04317-000, SP, Brazil; Campos O., Cardiology Department, Universidade Federal de São Paulo/Escola Paulista de Medicina (UNIFESP/EPM), Rua Domiciano Leite Ribeiro 51, Apt 13, Bloco 2, Sao Paulo, 04317-000, SP, Brazil</t>
  </si>
  <si>
    <t xml:space="preserve">Heart failure; Prognosis; Real-time three-dimensional echocardiography</t>
  </si>
  <si>
    <t xml:space="preserve">Adult; Aged; Area Under Curve; Disease-Free Survival; Echocardiography, Doppler, Color; Echocardiography, Three-Dimensional; Female; Heart Failure, Systolic; Hemodynamics; Humans; Male; Middle Aged; Multivariate Analysis; Observer Variation; Odds Ratio; Predictive Value of Tests; Prospective Studies; Reproducibility of Results; Risk Factors; ROC Curve; Stroke Volume; Time Factors; Ventricular Function, Left; adult; Article; Chagas disease; diastolic blood pressure; event free survival; female; heart left atrium; heart left ventricle ejection fraction; heart rate; heart transplantation; heart ventricle size; heart ventricle volume; human; hypertension; image analysis; image quality; lung artery pressure; major clinical study; male; mitral valve regurgitation; prognosis; prospective study; receiver operating characteristic; sensitivity and specificity; systolic blood pressure; systolic heart failure; three dimensional echocardiography; two dimensional echocardiography; aged; area under the curve; color Doppler echocardiography; comparative study; diagnostic imaging; disease free survival; evaluation study; heart left ventricle function; heart stroke volume; hemodynamics; middle aged; mortality; multivariate analysis; observer variation; odds ratio; pathophysiology; predictive value; reproducibility; risk factor; systolic heart failure; time factor</t>
  </si>
  <si>
    <t xml:space="preserve">Lang R.M., Badano L.P., Tsang W., Adams D.H., Agricola E., Buck T., Faletra F.F., Franke A., Hung J., de Isla L.P., Kamp O., Kasprzak J.D., Lancellotti P., Marwick T.H., McCulloch M.L., Monaghan M.J., Nihoyannopoulos P., Pandian N.G., Pellikka P.A., Pepi M., Roberson D.A., Shernan S.K., Shirali G.S., Sugeng L., Ten Cate F.J., Vannan M.A., Zamorano J.L., Zoghbi W.A., American society of echocardiography; European association of echocardiography, J Am Soc Echocardiogr, 25, pp. 3-46, (2012); Anwar A.M., Soliman O.I., Geleijnse M.L., Nemes A., Vletter W.B., tenCate F.J., Assessment of left atrial volume and function by real-time three-dimensional echocardiography, Int J Cardiol, 123, pp. 155-161, (2008); Hibberd M.G., Chuang M.L., Beaudin R.A., Riley M.F., Mooney M.G., Fearnside H.T., Manning W.J., Douglas P.S., Accuracy of three-dimensional echocardiography with unrestricted selection of imaging planes for measurement of left ventricular volumes and ejection fraction, Am Heart J, 140, pp. 469-475, (2000); Dorosz J.L., Lezotte D.C., Weitzenkamp D.A., Allen L.A., Salcedo E.E., Performance of 3-dimensional echocardiography in measuring left ventricular volumes and ejection fraction: a systematic review and meta-analysis, J Am Coll Cardiol, 59, pp. 1799-1808, (2012); Moceri P., Doyen D., Bertora D., Cerboni P., Ferrari E., Gibelin P., Real time three-dimensional echocardiographic assessment of left ventricular function in heart failure patients: underestimation of left ventricular volume increases with the degree of dilatation, Echocardiography, 29, pp. 970-977, (2012); Mu Y., Chen L., Tang Q., Ayoufu G., Real time three-dimensional echocardiographic assessment of left ventricular regional systolic function and dyssynchrony in patients with dilated cardiomyopathy, Echocardiography, 27, pp. 415-420, (2010); Muller H., Frangos C., Fleury E., Righetti A., Lerch R., Burri H., Measurement of left ventricular ejection fraction by real time 3D echocardiography in patients with severe systolic dysfunction: comparison with radionuclide angiography, Echocardiography, 27, pp. 167-173, (2010); Kleijn S.A., van Dijk J., de Cock C.C., Allaart C.P., van Rossum A.C., Kamp O., Assessment of intraventricular mechanical dyssynchrony and prediction of response to cardiac resynchronization therapy: comparison between tissue Doppler imaging and real-time three-dimensional echocardiography, J Am Soc Echocardiogr, 22, pp. 1047-1054, (2009); Nagueh S.F., Middleton K.J., Kopelen H.A., Zoghbi W.A., Quinones M.A., Doppler tissue imaging: a noninvasive technique for evaluation of left ventricular relaxation and estimation of filling pressures, J Am Coll Cardiol, 30, pp. 1527-1533, (1997); Santas E., Garcia-Blas S., Minana G., Sanchis J., Bodi V., Escribano D., Munoz J., Chorro F.J., Nunez J., Prognostic implications of tissue Doppler imaging-derived E/e a ratio in acute heart failure patients, Echocardiography, 32, pp. 213-220, (2015); Ommen S.R., Nishimura R.A., Appleton C.P., Miller F.A., Oh J.K., Redfield M.M., Tajik A.J., Clinical utility of Doppler echocardiography and tissue Doppler imaging in the estimation of left ventricular filling pressures: a comparative simultaneous Doppler-catheterization study, Circulation, 102, pp. 1788-1794, (2000); Kim Y.J., Sohn D.W., Mitral annulus velocity in the estimation of left ventricular filling pressure: prospective study in 200 patients, J Am Soc Echocardiogr, 13, pp. 980-985, (2000); Stanton T., Jenkins C., Haluska B.A., Marwick T.H., Association of outcome with left ventricular parameters measured by two-dimensional and three-dimensional echocardiography in patients at high cardiovascular risk, J Am Soc Echocardiogr, 27, pp. 65-73, (2014); Wu V.C., Takeuchi M., Kuwaki H., Iwataki M., Nagata Y., Otani K., Haruki N., Yoshitani H., Tamura M., Abe H., Negishi K., Lin F.C., Otsuji Y., Prognostic value of LA volumes assessed by transthoracic 3D echocardiography: comparison with 2D echocardiography, JACC Cardiovasc Imaging, 6, pp. 1025-1035, (2013); Suh I.W., Song J.M., Lee E.Y., Kang S.H., Kim M.J., Kim J.J., Kang D.H., Song J.K., Left atrial volume measured by real-time 3-dimensional echocardiography predicts clinical outcomes in patients with severe left ventricular dysfunction and in sinus rhythm, J Am Soc Echocardiogr, 21, pp. 439-445, (2008); Lang R.M., Bierid M., Devereux R.B., Flachskampf F.A., Foster E., Pellikka P.A., Picard M.H., Roman M.J., Seward H., Shanewise J.S., Solomon S.D., Spencer K.T., Sutton M.S., Stewart W.J., Recommendations for chamber quantification: a report from the American Society of Echocardiography’s Guidelines and Standards Committee and the Chamber Quantification Writing Group, developed in conjunction with the European Association of Echocardiography, J Am Soc Echocardiogr, 18, pp. 1440-1463, (2005); Rudski L.G., Lai W.W., Afilalo J., Hua L., Handschumacher M.D., Chandrasekaran K., Solomon S.D., Louie E.K., Schiller N.B., Guidelines for the echocardiographic assessment of the right heart in adults, J Am Soc Echocardiogr, 23, pp. 685-713, (2010); Nagueh S.F., Appleton C.P., Gillebert T.C., Marino P.N., Oh J.K., Smiseth O.A., Waggoner A.D., Flachskampf F.A., Pellikka P.A., Evangelista A., Recommendations for the evaluation of left ventricular diastolic function by echocardiography, J Am Soc Echocardiogr, 22, pp. 107-133, (2009); Bax J.J., Bleeker G.B., Marwick T.H., Molhoek S.G., Boersma E., Steendijk P., van der Wall E.E., Schalij M.J., Left ventricular dyssynchrony predicts response and prognosis after cardiac resynchronization therapy, J Am Coll Cardiol, 44, pp. 1834-1840, (2004); Gorcsan J., Abraham T., Agler D.A., Bax J.J., Derumeaux G., Grimm R.A., Martin R., Steinberg K.S., Sutton M.S., Yu C.M., Recommendations for Performance and Reporting—A Report from the American Society of Echocardiography Dyssynchrony Writing Group Endorsed by the Heart Rhythm Society, J Am Soc Echocardiogr, 21, pp. 191-212, (2008); Penicka M., Bartunek J., De Bruyne B., Vanderheyden M., Goethals M., De Zutter M., Brugada P., Geelen P., Improvement of left ventricular function after cardiac resynchronization therapy is predicted by tissue Doppler imaging echocardiography, Circulation, 109, pp. 978-983, (2004); Yang H.S., Bansal R.C., Mookadam F., Khandheria B.K., Tajik A.J., Chandrasekaran K., Practical guide for three-dimensional transthoracic echocardiography using a fully sampled matrix array transducer, J Am Soc Echocardiogr, 21, pp. 979-989, (2008); Muraru D., Badano L.P., Piccoli G., Gianfagna P., Del Mestre L., Ermacora D., Proclemer A., Validation of a novel automated border-detection algorithm for rapid and accurate quantitation of left ventricular volumes based on three-dimensional echocardiography, Eur J Echocardiogr, 11, pp. 359-368, (2010); Kapetanakis S.M.T., Siva A., Gall N., Cooklin M., Monaghan M.J., Real-time three-dimensional echocardiography: a novel technique to quantify global left ventricular mechanical dyssynchrony, Circulation, 112, pp. 992-1000, (2005); Mancuso F.J.N., Almeida D.R., Moises V.A., Oliveira W.A., Mello E.S., Poyares D., Tufik S., Carvalho A.C., Campos O., Left atrial dysfunction in Chagas cardiomyopathy is more severe than in idiopathic dilated cardiomyopathy: a study with real-time three-dimensional echocardiography, J Am Soc Echocardiogr, 24, pp. 526-532, (2011); Rossi A., Cicoira M., Zanolla L., Sandrini R., Golia G., Zardini P., Enriquez-Sarano M., Determinants and prognostic value of left atrial volume in patients with dilated cardiomyopathy, J Am Coll Cardiol, 40, pp. 1425-1430, (2002); Nunes M.C.P., Barbosa M.M., Ribeiro A.L., Colosimo E.A., Rocha M.O., Left atrial volume provides independent prognostic value in patients with Chagas cardiomyopathy, J Am Soc Echocardiogr, 22, pp. 82-88, (2009); Mancuso F.J.N., Moises V.A., Almeida D.R., Poyares D., Storti L.J., Oliveira W.A., Brito F.S., de Paola A.A., Carvalho A.C., Campos O., Left atrial volume determinants in patients with non-Ischemic dilated cardiomyopathy, Arq Bras Cardiol, 105, pp. 65-70, (2015); Buechel R.R., Stephan F.P., Sommer G., Bremerich J., Zellweger M.J., Kaufmann B.A., Head-to-head comparison of two-dimensional and three-dimensional echocardiographic methods for left atrial chamber quantification with magnetic resonance imaging, J Am Soc Echocardiogr, 26, pp. 428-435, (2013); Jenkins C., Bricknell K., Hanekom L., Marwick T.H., Reproducibility and accuracy of echocardiographic measurements of left ventricular parameters using real-time three-dimensional echocardiography, J Am Coll Cardiol, 44, pp. 878-886, (2004); Jenkins C., Moir S., Chan J., Rakhit D., Haluska B., Marwick T.H., Left ventricular volume measurement with echocardiography: a comparison of left ventricular opacification, three-dimensional echocardiography, or both with magnetic resonance imaging, Eur Heart J, 30, pp. 98-106, (2009); Jacobs L.D., Salgo I.S., Goonewardena S., Weinert L., Coon P., Bardo D., Gerard O., Allain P., Zamorano J.L., de Isla L.P., Mor-Avi V., Lang R.M., Rapid online quantification of left ventricular volume from real-time three-dimensional echocardiographic data, Eur Heart J, 27, pp. 460-468, (2006); Andrade J.P., Marin-Neto J.A., Paola A.A.V., Et al., Sociedade Brasileira de Cardiologia. I Diretriz Latino Americana para o Diagnóstico e Tratamento da Cardiopatia Chagásica, Arq Bras Cardiol, 97, 2 supl.3, pp. 1-48, (2011); Artang R., Migrino R.Q., Harmann L., Bowers M., Woods T.D., Left atrial volume measurement with automated border detection by 3-dimensional echocardiography: comparison with Magnetic Resonance Imaging, Cardiovasc Ultrasound, 31, pp. 7-16, (2009); McLaughlin V.V., Archer S.L., Badesch D.B., Barst R.J., Farber H.W., Lindner J.R., Mathier M.A., McGoon M.D., Park M.H., Rosenson R.S., Rubin L.J., Tapson V.F., Varga J., Harrington R.A., Anderson J.L., Bates E.R., Bridges C.R., Eisenberg M.J., Ferrari V.A., Grines C.L., Hlatky M.A., Jacobs A.K., Kaul S., Lichtenberg R.C., Lindner J.R., Moliterno D.J., Mukherjee D., Pohost G.M., Rosenson R.S., Schofield R.S., Shubrooks S.J., Stein J.H., Tracy C.M., Weitz H.H., Wesley D.J., ACCF/AHA ACCF/AHA 2009 expert consensus document on pulmonary hypertension, Circulation, 119, pp. 2250-2294, (2009)</t>
  </si>
  <si>
    <t xml:space="preserve">F.J.N. Mancuso; Cardiology Department, Universidade Federal de São Paulo/Escola Paulista de Medicina (UNIFESP/EPM), Sao Paulo, Rua Domiciano Leite Ribeiro 51, Apt 13, Bloco 2, 04317-000, Brazil; email: fredmancuso@uol.com.br</t>
  </si>
  <si>
    <t xml:space="preserve">IJCIB</t>
  </si>
  <si>
    <t xml:space="preserve">Int. J. Card. Imaging</t>
  </si>
  <si>
    <t xml:space="preserve">2-s2.0-85032941789</t>
  </si>
  <si>
    <t xml:space="preserve">Kallet R.H.; Ho K.; Lipnick M.S.; Matthay M.A.</t>
  </si>
  <si>
    <t xml:space="preserve">Kallet, Richard H. (6701584125); Ho, Kelly (57201862850); Lipnick, Michael S. (57201680896); Matthay, Michael A. (7102250237)</t>
  </si>
  <si>
    <t xml:space="preserve">6701584125; 57201862850; 57201680896; 7102250237</t>
  </si>
  <si>
    <t xml:space="preserve">Pulmonary mechanics and gas exchange characteristics in uncommon etiologies of acute respiratory distress syndrome</t>
  </si>
  <si>
    <t xml:space="preserve">Background: Common causes of acute respiratory distress syndrome (ARDS) include pneumonia, aspiration, non-pulmonary sepsis and trauma. Little is known about pulmonary mechanics and gas exchange in less-common etiologies of ARDS, which comprises 12-23% of cases. Our hospital's ARDS quality assurance database contained a substantial number of these cases. This descriptive study examines the pulmonary mechanics, and gas exchange characteristics of this diverse cohort of ARDS subjects. Methods: Between March 2010 and April 2017 we identified 94 subjects with less common etiologies of ARDS who had dead space fraction (VD/VT) and respiratory system compliance (CRS) measured within 24 hours of ARDS onset; 86 of whom did not have sepsis as a co-diagnosis. There were 18 identifiable sources of ARDS. For descriptive purposes these were subsumed under 10 etiologic categories: pancreatitis (n=16), hemorrhagic shock/reperfusion injury (n=9), transfusion-associated acute lung injury (TRALI) (n=3), drug overdose (n=13), inhalation injury (n=10), idiopathic (n=10), neurogenic (n=8), pulmonary toxicity (n=3), hyper-immune response (n=4), hepatic failure (n=7), and 3 other cases: 2 cutaneous burns and one case of malaria. VD/VT was measured using the Enghoff-Bohr equation. Arterial blood gases were drawn simultaneously with mixed expired CO2 using volumetric capnography and standard pulmonary mechanics measurements. Data are expressed as median (IQR). Comparisons between groups used Kruskal-Wallis and Dunn's post-tests, Mann-Whitney tests or Fisher exact tests. Results: The majority of less common ARDS were from indirect sources (79%) with 9% attributed to direct causes and 11% idiopathic. Because of the small sample sizes, there were no differences in pulmonary mechanics or gas exchange between subgroups classified as indirect, direct and idiopathic, or between subgroups sharing common lung injury mechanisms. Nevertheless, salient trends were apparent particularly in CRS and VD/VT. CRS was most severely reduced in the toxicity subgroup and least impaired in the idiopathic subgroup [18 (11 to 22), and 40 (30 to 43) mL/cmH2O respectively]. VD/VT was extraordinarily high in the hepatic failure subgroup and lowest in pancreatitis [0.78 (0.57 to 0.79) and 0.54 (0.47 to 0.65) respectively]. There was less distinction in oxygenation as median values for all subgroups met moderate ARDS criteria. For the entire cohort, only VD/VT was statistically different between non-survivors and survivors: 0.66 (0.57 to 0.78) vs. 0.59 (0.51 to 0.68), P=0.012. Conclusions: Within a diverse cohort having less common presentations of ARDS, there was apparent variability in the distribution of CRS, VD/VT compared to differences oxygenation dysfunction. Elevated pulmonary dead space still identified patients with higher mortality, as is the case with more common causes of ARDS. © Journal of Thoracic Disease. All rights reserved.</t>
  </si>
  <si>
    <t xml:space="preserve">Journal of Thoracic Disease</t>
  </si>
  <si>
    <t xml:space="preserve">AME Publishing Company</t>
  </si>
  <si>
    <t xml:space="preserve">10.21037/jtd.2018.07.78</t>
  </si>
  <si>
    <t xml:space="preserve">https://www.scopus.com/inward/record.uri?eid=2-s2.0-85055665055&amp;doi=10.21037%2fjtd.2018.07.78&amp;partnerID=40&amp;md5=3d9a693408214c6221ed7db78b3ae77a</t>
  </si>
  <si>
    <t xml:space="preserve">Respiratory Care Services Bld-5: GA-2, Zuckerberg San Francisco General Hospital, 1001 Potrero Ave., San Francisco, 94110, CA, United States; Critical Care Division, Department of Anesthesia and Perioperative Care, University of California San Francisco, Zuckerberg San Francisco General Hospital and Trauma Center, San Francisco, CA, United States; Cardiovascular Research Institute, University of California San Francisco, San Francisco, CA, United States</t>
  </si>
  <si>
    <t xml:space="preserve">Kallet R.H., Respiratory Care Services Bld-5: GA-2, Zuckerberg San Francisco General Hospital, 1001 Potrero Ave., San Francisco, 94110, CA, United States; Ho K., Respiratory Care Services Bld-5: GA-2, Zuckerberg San Francisco General Hospital, 1001 Potrero Ave., San Francisco, 94110, CA, United States; Lipnick M.S., Critical Care Division, Department of Anesthesia and Perioperative Care, University of California San Francisco, Zuckerberg San Francisco General Hospital and Trauma Center, San Francisco, CA, United States; Matthay M.A., Cardiovascular Research Institute, University of California San Francisco, San Francisco, CA, United States</t>
  </si>
  <si>
    <t xml:space="preserve">Acute respiratory distress syndrome (ARDS); Pulmonary dead-space fraction; Respiratory system compliance (CRS)</t>
  </si>
  <si>
    <t xml:space="preserve">carbon dioxide; acute lung injury; adult; adult respiratory distress syndrome; aged; arterial gas; Article; blood transfusion; burn; capnometry; cohort analysis; comorbidity; controlled study; descriptive research; disease duration; disease severity; drug overdose; Enghoff-Bohr equation; female; gas exchange; hemorrhagic shock; human; hyperimmune response; idiopathic disease; immune response; inhalation injury; liver failure; lung compliance; lung dead space; lung gas exchange; lung mechanics; lung toxicity; major clinical study; malaria; male; mathematical parameters; middle aged; mortality; neurologic disease; pancreatitis; reperfusion injury; sepsis; survivor; transfusion associated acute lung injury; trend study</t>
  </si>
  <si>
    <t xml:space="preserve">carbon dioxide, 124-38-9, 58561-67-4</t>
  </si>
  <si>
    <t xml:space="preserve">Villar J., What is the acute respiratory distress syndrome?, Respir Care, 56, pp. 1539-1545, (2011); Roupie E., Lepage E., Wysocki M., Et al., Prevalence, etiologies and outcome of the acute respiratory distress syndrome among hypoxemic ventilated patients, Intensive Care Med, 25, pp. 920-929, (1999); Manzano F., Yuste E., Colmenero M., Et al., Incidence of acute respiratory distress syndrome and its relation to age, J Crit Care, 20, pp. 274-280, (2005); Kallet R.H., Zhuo H., Ho K., Et al., Lung injury etiology and other factors influencing the relationship between dead-space fraction and mortality in ARDS, Respir Care, 62, pp. 1241-1248, (2017); Brower R.G., Matthay M.A., Et al., A trial of traditional tidal volume versus lower tidal volume ventilation in acute lung injury and acute respiratory distress syndrome, N Engl J Med, 342, pp. 1301-1308, (2000); Bernard G.R., Artigas A., Brigham K.L., Et al., Report of the American-european consensus conference on acute respiratory distress syndrome: Definitions mechanisms, relevant outcomes, and clinical trials coordination, Am J Respir Crit Care Med, 149, pp. 818-824, (1994); Ards Definition Task Force Ranieri V.M., Rubenfeld G.D., Et al., Acute respiratory distress syndrome: The Berlin definition, JAMA, 307, pp. 2526-2533, (2012); Enghoff H., Volumen inefficax: Bemerkungen zur frage des schädlichen raumes, Upsala Lakareforen Forh, 44, pp. 191-218, (1938); Kallet R.H., Daniel B., Garcia O., Et al., Accuracy of physiologic dead space measurements in patients with acute respiratory distress syndrome using volumetric capnography: Comparison with the metabolic monitor method, Respir Care, 50, pp. 462-467, (2005); Kallet R.H., Katz J.A., Respiratory system mechanics in acute respiratory distress syndrome, Respir Care Clin N Am, 9, pp. 297-319, (2003); Ortiz R.M., Cilley R.E., Bartlett R.H., Extracorporeal membrane oxygenation in pediatric respiratory failure, Pediatr Clin North Am, 34, pp. 39-46, (1987); Murray J.F., Matthay M.A., Luce J.M., Et al., An expanded definition of the adult respiratory distress syndrome, Am Rev Respir Dis, 138, pp. 720-723, (1988); Le Gall J.R., Lemeshow S., Saulnier F., A new simplified acute physiology score (saps II) based on a european-north American multicenter study, JAMA, 270, pp. 2957-2963, (1993); Knaus W.A., Draper E.A., Wagner D.P., Et al., Apache II. A severity of disease classification system, Crit Care Med, 13, pp. 818-829, (1985); Siegel J.H., Goldwyn R.M., Farrell E.J., Et al., Hyperdynamic states and the physiologic determinants of survival in patients with cirrhosis and portal hypertension, Arch Surg, 108, pp. 282-292, (1974); Suter P.M., Fairley H.B., Isenberg M.D., Optimum end-expiratory airway pressure in patients with acute pulmonary failure, N Engl J Med, 292, pp. 284-289, (1975); Matuschak G.M., Shaw B.W., Adult respiratory distress syndrome associated with acute liver allograft rejection: Resolution following hepatic retransplantation, Crit Care Med, 15, pp. 878-881, (1987); Schwartz D.B., Bone R.C., Balk R.A., Et al., Hepatic dysfunction in adult respiratory distress syndrome, Chest, 95, pp. 871-875, (1989); Matute-Bello G., Frevert C.W., Martin T.R., Animal models of acute lung injury, Am J Physiol Lung Cell Mol Physiol, 295, pp. L379-L399, (2008); Adamson I.Y., Bowden D.H., The pathogenesis of bleomycin-induced pulmonary fibrosis in mice, Am J Pathol, 77, pp. 185-197, (1974); Kallet R.H., Matthay M.A., Hyperoxic acute lung injury, Respir Care, 58, pp. 123-141, (2013); Marenco J.P., Nervi A., White A.C., Ards associated with tumor lysis syndrome in a patient with non-hodgkin's lymphoma, Chest, 113, pp. 550-552, (1998); Sharma S.K., Soneja M., HIV and immune reconstitution inflammatory syndrome, Indian J Med Res, 134, pp. 866-877, (2011); Timsit J.F., Mion G., Rouyer N., Et al., Bronchopulmonary distress associated with toxic epidermal necrolysis, Intensive Care Med, 18, pp. 42-44, (1992); Pastor C.M., Matthay M.A., Frossard J.L., Pancreatitis-associated acute lung injury, New Insights. Chest, 124, pp. 2341-2351, (2003); Elder A.S., Saccone G.T., Dixon D.L., Lung injury in acute pancreatitis: Mechanisms underlying augmented secondary injury, Pancreatology, 12, pp. 49-56, (2012); Blaisdell F.W., Stallone R.J., The mechanism of pulmonary damage following traumatic shock, Surg Gynecol Obstet, 130, pp. 15-22, (1970); Luterman A., Manwaring D., Curreri P.W., The role of fibrinogen degradation products in the pathogenesis of the respiratory distress syndrome, Surgery, 82, pp. 703-709, (1977); Manwaring D., Curreri P.W., The role of platelet aggregation and release in fragment d-induced pulmonary dysfunction, Ann Surg, 192, pp. 103-107, (1980); Angele M.K., Schneider C.P., Chaudry I.H., Bench-to-bedside review: Latest results in hemorrhagic shock, Crit Care, 12, (2008); Halladin N.L., Oxidative and inflammatory biomarkers of ischemia and reperfusion injuries, Dan Med J, 62, (2015); Alvarez P., Carrasco R., Romero-Dapueto C., Et al., Transfusion-related acute lung injury (trali): Current concepts, Open Respir Med J, 9, pp. 92-96, (2015); Enkhbaatar P., Traber D.L., Patholphysiology of acute lung injury in combined burn and smoke inhalation injury, Clin Sci, 107, pp. 137-143, (2004); Jin F., Li C., Seawater-drowning-induced acute lung injury: From molecular mechanisms to potential treatments, Exp Ther Med, 13, pp. 2591-2598, (2017); Folkesson H.G., Kheradmand F., Matthay M.A., The effect of salt water on alveolar epithelial barrier function, Am J Respir Crit Care Med, 150, pp. 1555-1563, (1994); Rui M., Duan Y.Y., Zhang X.H., Et al., Differences between seawater-and freshwater-induced lung injuries, Zhongguo Wei Zhong Bing Ji Jiu Yi Xue, 21, pp. 416-420, (2009); Kallet R.H., Alonso J.A., Pittet J.P., Et al., Prognostic value of the pulmonary dead-space fraction during the first six days of acute respiratory distress syndrome, Respir Care, 49, pp. 1008-1014, (2004); Kallet R.H., Zhao H., Liu K.D., Et al., The association between physiologic dead-space fraction and mortality in patients with acute respiratory distress syndrome enrolled into prospective, multi-centered clinical trial, Respir Care, 59, pp. 1611-1618, (2014); Seeley E.J., McAuley D.F., Eisner M., Et al., Decreased respiratory system compliance on day 6 of mechanical ventilation is a predictor of death in patients with established acute lung injury, Respir Res, 12, (2011)</t>
  </si>
  <si>
    <t xml:space="preserve">R.H. Kallet; Respiratory Care Services Bld-5: GA-2, Zuckerberg San Francisco General Hospital, San Francisco, 1001 Potrero Ave., 94110, United States; email: richkallet@gmail.com</t>
  </si>
  <si>
    <t xml:space="preserve">J. Thorac. Dis.</t>
  </si>
  <si>
    <t xml:space="preserve">2-s2.0-85055665055</t>
  </si>
  <si>
    <t xml:space="preserve">Tchapet Njafa J.-P.; Nana Engo S.G.</t>
  </si>
  <si>
    <t xml:space="preserve">Tchapet Njafa, J.-P. (55260655000); Nana Engo, S.G. (6506070168)</t>
  </si>
  <si>
    <t xml:space="preserve">55260655000; 6506070168</t>
  </si>
  <si>
    <t xml:space="preserve">Quantum associative memory with linear and non-linear algorithms for the diagnosis of some tropical diseases</t>
  </si>
  <si>
    <t xml:space="preserve">This paper presents the QAMDiagnos, a model of Quantum Associative Memory (QAM) that can be a helpful tool for medical staff without experience or laboratory facilities, for the diagnosis of four tropical diseases (malaria, typhoid fever, yellow fever and dengue) which have several similar signs and symptoms. The memory can distinguish a single infection from a polyinfection. Our model is a combination of the improved versions of the original linear quantum retrieving algorithm proposed by Ventura and the non-linear quantum search algorithm of Abrams and Lloyd. From the given simulation results, it appears that the efficiency of recognition is good when particular signs and symptoms of a disease are inserted given that the linear algorithm is the main algorithm. The non-linear algorithm helps confirm or correct the diagnosis or give some advice to the medical staff for the treatment. So, our QAMDiagnos that has a friendly graphical user interface for desktop and smart-phone is a sensitive and a low-cost diagnostic tool that enables rapid and accurate diagnosis of four tropical diseases. © 2017 Elsevier Ltd</t>
  </si>
  <si>
    <t xml:space="preserve">Neural Networks</t>
  </si>
  <si>
    <t xml:space="preserve">10.1016/j.neunet.2017.09.002</t>
  </si>
  <si>
    <t xml:space="preserve">https://www.scopus.com/inward/record.uri?eid=2-s2.0-85030863640&amp;doi=10.1016%2fj.neunet.2017.09.002&amp;partnerID=40&amp;md5=26c523926082719558e4926d61215bf1</t>
  </si>
  <si>
    <t xml:space="preserve">Laboratory of Photonics, Department of Physics, University of Ngaoundere, PO. BOX 454 Ngaoundere, Cameroon</t>
  </si>
  <si>
    <t xml:space="preserve">Tchapet Njafa J.-P., Laboratory of Photonics, Department of Physics, University of Ngaoundere, PO. BOX 454 Ngaoundere, Cameroon; Nana Engo S.G., Laboratory of Photonics, Department of Physics, University of Ngaoundere, PO. BOX 454 Ngaoundere, Cameroon</t>
  </si>
  <si>
    <t xml:space="preserve">Linear search algorithm; Non-linear search algorithm; Quantum associative memory; Quantum search algorithm; Tropical diseases</t>
  </si>
  <si>
    <t xml:space="preserve">Algorithms; Artificial Intelligence; Databases, Factual; Dengue; Humans; Machine Learning; Malaria; Neural Networks (Computer); Nonlinear Dynamics; Quantum Theory; Smartphone; Tropical Medicine; Typhoid Fever; User-Computer Interface; Yellow Fever; Associative processing; Associative storage; Graphical user interfaces; Learning algorithms; Memory architecture; mHealth; Smartphones; Tropics; Associative memory; Linear search algorithms; Non linear; Quantum search algorithm; Tropical disease; algorithm; Article; associative memory; dengue; diagnostic accuracy; human; linear system; malaria; nonlinear system; priority journal; quantum associative memory; simulation; tropical disease; typhoid fever; yellow fever; algorithm; artificial intelligence; artificial neural network; computer interface; factual database; machine learning; nonlinear system; quantum theory; smartphone; tropical medicine; Diagnosis</t>
  </si>
  <si>
    <t xml:space="preserve">Abrams D.S., Lloyd S., Nonlinear Quantum Mechanics Implies Polynomial-Time Solution for NP-Complete and # P Problems, Physical Review Letters, 81, pp. 3992-3995, (1998); Agarkar A.M., Ghatol D.A.A., FFANN based cost effective major infant disease management, International Journal of Computer Applications, 7, 11, pp. 29-33, (2010); Ahirwar N., Pattnaik S., Acharya B., Advanced image analysis based system for automatic detection and classification of malarial parasite in blood images, International Journal of Information Technology and Knowledge Management, 5, 1, pp. 59-64, (2012); Ali K.F., Elamir A.M., Suliman R.M., Article: A comparative study of three intelligent techniques for malaria in Africa continent, International Journal of Computer Applications, 67, 2, pp. 1-5, (2013); Alkim E., Gurbuz E., Kilic E., A fast and adaptive automated disease diagnosis method with an innovative neural network model, Neural Networks, 33, pp. 88-96, (2012); Andrade B., Reis-Filho A., Barros A., Souza-Neto S., Nogueira L., Fukutani K., Et al., Towards a precise test for malaria diagnosis in the Brazilian Amazon: comparison among field microscopy, a rapid diagnostic test, nested PCR, and a computational expert system based on artificial neural networks, Malaria Journal, 9, 1, (2010); Beg A.H., Islam M.; CMIT, (2016); Dybowski R., Gant V., Clinical applications of artificial neural networks, (2007); Ezhov A.A., Nifanova A.V., Ventura D., Quantum associative memory with distributed queries, Information Science Information Computing Science, 128, 3-4, pp. 271-293, (2000); Farrar J., Et al., Manson's Tropical Infectious Diseases, (2013); Filippo A., Alberto L., Eladia Maria P.-M., Petr V., Ales H., Josef H., Artificial neural networks in medical diagnosis, Journal of Applied Biomedicine, 11, (2013); Hopfield J.J., Neural networks and physical systems with emergent collective computational abilities, Proceedings of the National Academy of Sciences, 79, pp. 2554-2558, (1982); Hopfield J.J., Neurons with graded response have collective computational properties like those of two-state neurons, Proceedings of the National Academy of Sciences, 81, pp. 3088-3092, (1984); Horvath G., Neural networks in measurement systems (an engineering view), Advances in learning theory: methods, models, and applications, (2003); Kasabov N., To spike or not to spike: A probabilistic spiking neuron model, Neural Networks, 23, 1, pp. 16-19, (2010); Mario A.-P., Cornelio Y.-M., Oscar C.-N., Arguelles-Cruz Amadeo J., An associative memory approach to medical decision support systems, Computer Methods Programs Biomedicine, 106, 3, pp. 287-307, (2012); Pilly E., (2011); Platel M.D., Schliebs S., Kasabov N., Quantum-inspired evolutionary algorithm: A multimodel EDA, Transaction of Evolution Computers, 13, 6, pp. 1218-1232, (2009); Rosenbaum D., Binary superposed quantum decision diagrams, Quantum Information Processing, 9, 4, pp. 463-496, (2010); Schliebs S., Defoin-Platel M., Worner S., Kasabov N., Integrated feature and parameter optimization for an evolving spiking neural network: Exploring heterogeneous probabilistic models, Neural Networks, 22, 5-6, pp. 623-632, (2009); Schliebs S., Kasabov N., Defoin-Platel M., On the probabilistic optimization of spiking neural networks, International Journal of Neural Systems, 20, 6, pp. 481-500, (2010); Sunny Ochi-Okorie A., Combining medical records with case-based reasoning in a mixed paradigm design — TROPIX architecture &amp; implementation, Case-Based Reasoning Research and Development, Lecture Notes in Computer Science, 1266, (1997); Tchapet Njafa J.-P., Nana Engo S.G., Concise quantum associative memories with non-linear search algorithm, Fortschritte der Physik, 64, 2-3, pp. 250-268, (2016); Tchapet Njafa J.-P., Nana Engo S.G., Woafo P., Quantum Associative Memory with Improved Distributed Queries, International Journal of Theoeretical Physics, 52, 6, pp. 1787-1801, (2013); Ventura D., Martinez T.R., Initializing the amplitude distribution of a quantum state, Foundations of Physics Letters, 6, pp. 547-559, (1999); Ventura D., Martinez T.R., Quantum associative memory, Information Science Information Computing Science, 124, 1-4, pp. 273-296, (2000)</t>
  </si>
  <si>
    <t xml:space="preserve">J.-P. Tchapet Njafa; Laboratory of Photonics, Department of Physics, University of Ngaoundere, PO. BOX 454 Ngaoundere, Cameroon; email: jptchapet@univ-ndere.cm</t>
  </si>
  <si>
    <t xml:space="preserve">NNETE</t>
  </si>
  <si>
    <t xml:space="preserve">Neural Netw.</t>
  </si>
  <si>
    <t xml:space="preserve">2-s2.0-85030863640</t>
  </si>
  <si>
    <t xml:space="preserve">Sinkala E.; Zyambo K.; Besa E.; Kaonga P.; Nsokolo B.; Kayamba V.; Vinikoor M.; Zulu R.; Bwalya M.; Foster G.R.; Kelly P.</t>
  </si>
  <si>
    <t xml:space="preserve">Sinkala, Edford (26538102800); Zyambo, Kanekwa (56717697000); Besa, Ellen (56375247300); Kaonga, Patrick (56192424500); Nsokolo, Bright (57201396687); Kayamba, Violet (55635907500); Vinikoor, Michael (34868896300); Zulu, Rabison (57201641169); Bwalya, Martin (57201634962); Foster, Graham R. (7403211206); Kelly, Paul (7403399928)</t>
  </si>
  <si>
    <t xml:space="preserve">26538102800; 56717697000; 56375247300; 56192424500; 57201396687; 55635907500; 34868896300; 57201641169; 57201634962; 7403211206; 7403399928</t>
  </si>
  <si>
    <t xml:space="preserve">Rifaximin reduces markers of inflammation and bacterial 16S rRNA in Zambian adults with hepatosplenic schistosomiasis: A randomized control trial</t>
  </si>
  <si>
    <t xml:space="preserve">Cirrhosis is the dominant cause of portal hypertension globally but may be overshadowed by hepatosplenic schistosomiasis (HSS) in the tropics. In Zambia, schistosomiasis seroprevalence can reach 88% in endemic areas. Bacterial translocation (BT) drives portal hypertension in cirrhosis contributing to mortality but remains unexplored in HSS. Rifaximin, a non-absorbable antibiotic may reduce BT. We aimed to explore the influence of rifaximin on BT, inflammation, and fibrosis in HSS. In this phase II open-label trial (ISRCTN67590499), 186 patients with HSS in Zambia were evaluated and 85 were randomized to standard care with or without rifaximin for 42 days. Changes in markers of inflammation, BT, and fibrosis were the primary outcomes. BT was measured using plasma 16S rRNA, lipopolysaccharidebinding protein, and lipopolysaccharide, whereas hyaluronan was used to measure fibrosis. Tumor necrosis factor receptor 1 (TNFR1) and soluble cluster of differentiation 14 (sCD14) assessed inflammation. 16S rRNA reduced from baseline (median 146 copies/μL, interquartile range [IQR] 9, 537) to day 42 in the rifaximin group (median 63 copies/μL, IQR 12, 196), P &lt; 0.01. The rise in sCD14 was lower (P &lt; 0.01) in the rifaximin group (median rise 122 ng/mL, IQR-184, 783) than in the non-rifaximin group (median rise 832 ng/mL, IQR 530, 967). TNFR1 decreased (P &lt; 0.01) in the rifaximin group (median -39 ng/mL IQR-306, 563) but increased in the non-rifaximin group (median 166 ng/mL, IQR 3, 337). Other markers remained unaffected. Rifaximin led to a reduction of inflammatory markers and bacterial 16S rRNA which may implicate BT in the inflammation in HSS. © 2018 by The American Society of Tropical Medicine and Hygiene.</t>
  </si>
  <si>
    <t xml:space="preserve">10.4269/ajtmh.17-0637</t>
  </si>
  <si>
    <t xml:space="preserve">https://www.scopus.com/inward/record.uri?eid=2-s2.0-85045433038&amp;doi=10.4269%2fajtmh.17-0637&amp;partnerID=40&amp;md5=6af1f1f9a0dc50e33bea2a8d4bc275a0</t>
  </si>
  <si>
    <t xml:space="preserve">Department of Internal Medicine, University Teaching Hospital, Private bag RW 1X, Lusaka, Zambia; Department of Internal Medicine, Tropical Gastroenterology and Nutritional Group, University of Zambia, Lusaka, Zambia; Department of Medicine, University of Alabama at Birmingham, Birmingham, AL, United States; Centre for Infectious Disease Research in Zambia, Lusaka, Zambia; Paediatric Centre of Excellence Laboratory, University Teaching Hospital, Lusaka, Zambia; Blizard Institute, Barts and the London School of Medicine, Queen Mary University of London, London, United Kingdom</t>
  </si>
  <si>
    <t xml:space="preserve">Sinkala E., Department of Internal Medicine, University Teaching Hospital, Private bag RW 1X, Lusaka, Zambia, Department of Internal Medicine, Tropical Gastroenterology and Nutritional Group, University of Zambia, Lusaka, Zambia; Zyambo K., Department of Internal Medicine, Tropical Gastroenterology and Nutritional Group, University of Zambia, Lusaka, Zambia; Besa E., Department of Internal Medicine, Tropical Gastroenterology and Nutritional Group, University of Zambia, Lusaka, Zambia; Kaonga P., Department of Internal Medicine, University Teaching Hospital, Private bag RW 1X, Lusaka, Zambia, Department of Internal Medicine, Tropical Gastroenterology and Nutritional Group, University of Zambia, Lusaka, Zambia; Nsokolo B., Department of Internal Medicine, University Teaching Hospital, Private bag RW 1X, Lusaka, Zambia, Department of Internal Medicine, Tropical Gastroenterology and Nutritional Group, University of Zambia, Lusaka, Zambia; Kayamba V., Department of Internal Medicine, University Teaching Hospital, Private bag RW 1X, Lusaka, Zambia, Department of Internal Medicine, Tropical Gastroenterology and Nutritional Group, University of Zambia, Lusaka, Zambia; Vinikoor M., Department of Medicine, University of Alabama at Birmingham, Birmingham, AL, United States, Centre for Infectious Disease Research in Zambia, Lusaka, Zambia; Zulu R., Paediatric Centre of Excellence Laboratory, University Teaching Hospital, Lusaka, Zambia; Bwalya M., Paediatric Centre of Excellence Laboratory, University Teaching Hospital, Lusaka, Zambia; Foster G.R., Blizard Institute, Barts and the London School of Medicine, Queen Mary University of London, London, United Kingdom; Kelly P., Department of Internal Medicine, University Teaching Hospital, Private bag RW 1X, Lusaka, Zambia, Department of Internal Medicine, Tropical Gastroenterology and Nutritional Group, University of Zambia, Lusaka, Zambia, Blizard Institute, Barts and the London School of Medicine, Queen Mary University of London, London, United Kingdom</t>
  </si>
  <si>
    <t xml:space="preserve">Adult; Anti-Bacterial Agents; Bacterial Translocation; Biomarkers; Female; Humans; Inflammation; Lipopolysaccharide Receptors; Liver Diseases, Parasitic; Male; Middle Aged; Receptors, Tumor Necrosis Factor, Type I; Rifaximin; RNA, Bacterial; RNA, Ribosomal, 16S; Schistosomiasis; Splenic Diseases; Zambia; glycoprotein; hyaluronic acid; lipopolysaccharide; lipopolysaccharide binding protein; rifaximin; RNA 16S; soluble cluster of differentiation 14 protein; tumor necrosis factor receptor 1; unclassified drug; antiinfective agent; bacterial RNA; biological marker; lipopolysaccharide receptor; rifaximin; RNA 16S; tumor necrosis factor receptor 1; abdominal discomfort; adult; Article; bacterial translocation; controlled study; drug efficacy; drug mechanism; drug safety; female; hepatosplenic schistosomiasis; hepatosplenic schistosomiasis; human; inflammation; liver fibrosis; major clinical study; male; outcome assessment; phase 2 clinical trial; randomized controlled trial; rectum hemorrhage; schistosomiasis; Zambia; Zambian; blood; clinical trial; drug effect; inflammation; microbiology; middle aged; parasitic liver disease; schistosomiasis; spleen disease</t>
  </si>
  <si>
    <t xml:space="preserve">hyaluronic acid, 31799-91-4, 9004-61-9, 9067-32-7; lipopolysaccharide binding protein, 203946-66-1; rifaximin, 80621-81-4, 88747-56-2; Anti-Bacterial Agents, ; Biomarkers, ; Lipopolysaccharide Receptors, ; Receptors, Tumor Necrosis Factor, Type I, ; Rifaximin, ; RNA, Bacterial, ; RNA, Ribosomal, 16S, </t>
  </si>
  <si>
    <t xml:space="preserve">Wellcome Trust, WT, (WT087537MA); Wellcome Trust, WT; Medical Research Council, MRC, (MR/K007394/1); Medical Research Council, MRC</t>
  </si>
  <si>
    <t xml:space="preserve">Acknowledgments: We thank the Wellcome Trust through the Southern Africa Consortium for Research Excellence for funding this study (WT087537MA). We thank the Norgine Pharmaceutical Company, United Kingdom, for donating rifaximin. We also thank the endoscopy nurses; Temba Banda, Rose Soko, and Joyce Sibwani for assistance in recruitment and Michelo Simuyandi for conducting the randomization.</t>
  </si>
  <si>
    <t xml:space="preserve">Shaker Y., Samy N., Ashour E., Review article hepatobiliary schistosomiasis, J Clin Transl Hepatol, 2, pp. 212-216, (2014); Sinkala E., Kapulu M.C., Besa E., Zyambo K., Chisoso N.J., Foster G.R., Kelly P., Hepatosplenic schistosomiasis is characterised by high blood markers of translocation, inflammation and fibrosis, Liver Int, 36, pp. 145-150, (2015); Ibrahim S.Z., Arbab B.M., Suleiman S.H., Abdelwahab O., Hassan M.A., The natural history of bleeding oesophageal varices in patients with schistosomal portal hypertension, Khartoum Med J, 3, pp. 385-392, (2010); Rajekar H., Vasishta R.K., Chawla Y.K., Dhiman R.K., Noncirrhotic portal hypertension, J Clin Exp Hepatol, 1, pp. 94-108, (2011); Kibiki G.S., Drenth J.P.H., Nagengast J.M.F., Hepatosplenic schistosomiasis: A review, East Afr Med J, 81, pp. 480-485, (2004); Chipeta J., Mwansa J., Kachimba J.S., Schistosomiasis disease burden in Zambian children: Time for affirmative action is now, Med J Zambia, 36, pp. 1-5, (2009); Mutengo M.M., Mwansa J.C.L., Mduluza T., Sianongo S., Chipeta J., High Schistosoma mansoni disease burden in a rural district of western Zambia, Am J Trop Med Hyg, 91, pp. 965-972, (2014); Payne L., Turner-Moss E., Mutengo M., Asombang A.W., Kelly P., Prevalence of schistosome antibodies with hepatosplenic signs and symptoms among patients from Kaoma, western province, Zambia, BMC Res Notes, 6, (2013); Bellot P., Frances R., Such J., Pathological bacterial translocation in cirrhosis: Pathophysiology, diagnosis and clinical implications, Liver Int, 33, pp. 31-39, (2013); Vlachogiannakos J., Saveriadis A.S., Viazis N., Theodoropoulos I., Foudoulis K., Manolakopoulos S., Raptis S., Karamanolis D.G., Intestinal decontamination improves liver haemodynamics in patients with alcohol-related decompensated cirrhosis, Aliment Pharmacol Ther, 29, pp. 992-999, (2009); Balzan S., De Almeida Quadros C., De Cleva R., Zilberstein B., Cecconello I., Bacterial translocation: Overview of mechanisms and clinical impact, J Gastroenterol Hepatol, 22, pp. 464-471, (2007); Wiest R., Das S., Cadelina G., Garcia-Tsao G., Milstien S., Groszmann R.J., Bacterial translocation in cirrhotic rats stimulates eNOS-derived NO production and impairs mesenteric vascular contractility, J Clin Invest, 104, pp. 1223-1233, (1999); Gou Y.-Z., Lian J.-Q., Nie Q.-H., Bacterial translocation and its consequences in patients with liver cirrhosis, Chin J Hepatol, 14, pp. 796-797, (2006); Bellot P., Garcia-Pagan J.C., Frances R., Abraldes J.G., Navasa M., Perez-Mateo M., Jose S., Jaime B., Bacterial DNA translocation is associated with systemic circulatory abnormalities and intrahepatic endothelial dysfunction in patients with cirrhosis, Hepatology, 52, pp. 2044-2052, (2010); Fukui H., Gut-liver axis in liver cirrhosis: How to manage leaky gut and endotoxemia, World J Hepatol, 7, pp. 425-442, (2015); Nagasue N., Dhar D.K., Yamanoi A., Emi Y., Udagawa J., Yamamoto A., Tachibana M., Kubota H., Kohno H., Harada T., Production and release of endothelin-1 from the gut and spleen in portal hypertension due to cirrhosis, Hepatology, 31, pp. 1107-1114, (2000); Chavez-Tapia N.C., Barrientos-Gutierrez T., Tellez-Avila F., Soares-Weiser K., Mendez-Sanchez N., Gluud C., Uribe M., Metaanalysis: Antibiotic prophylaxis for cirrhotic patients with upper gastrointestinal bleeding-an updated Cochrane review, Aliment Pharmacol Ther, 34, pp. 509-518, (2011); Koutsounas I., Markers of bacterial translocation in endstage liver disease, World J Hepatol, 7, (2015); Onguru D., Liang Y., Griffith Q., Nikolajczyk B., Mwinzi P., Ganley-Leal L., Human schistosomiasis is associated with endotoxemia and toll-like receptor 2- and 4-bearing B cells, Am J Trop Med Hyg, 84, pp. 321-324, (2011); Ferraz A.A.B., Campos J.M., Ju Nior J.G.C.D.A., De Albuquerque A.C., Ferraz E.M., Gut bacterial translocation and postoperative infections: A prospective study in schistosomotic patients, Surg Infect (Larchmt), 6, pp. 197-201, (2005); Lutz P., Parcina M., Bekeredjian-Ding I., Nischalke H.D., Nattermann J., Sauerbruch T., Hoerauf A., Strassburg C.P., Spengler U., Impact of rifaximin on the frequency and characteristics of spontaneous bacterial peritonitis in patients with liver cirrhosis and ascites, PLoS One, 9, (2014); Bremer E., Targeting of the tumor necrosis factor receptor superfamily for cancer immunotherapy, ISRN Oncol, 2013, (2013); Nathan B.M., Et al., Rifaximin treatment in hepatic encephalopathy, N Engl J Med, 362, pp. 1071-1081, (2010); Taylor D.N., McKenzie R., Durbin A., Carpenter C., Haake R., Bourgeois A.L., Systemic pharmacokinetics of rifaximin in volunteers with shigellosis, Antimicrob Agents Chemother, 52, pp. 1179-1181, (2008); Xu D., Gao J., Gillilland M., Wu X., Song I., Kao J.Y., Owyang C., Rifaximin alters intestinal bacteria and prevents stressinduced gut inflammation and visceral hyperalgesia in rats, Gastroenterol, 146, pp. 484-496, (2014); Koo L.H., Sabounchi S., Huang D.B., DuPont H.L., Rifaximin therapy of irritable bowel syndrome, Clin Med Insights Gastroenterol, 5, pp. 31-41, (2012); Bajaj J.S., Barrett A.C., Bortey E., Paterson C., Forbes W.P., Prolonged remission from hepatic encephalopathy with rifaximin: Results of a placebo crossover analysis, Aliment Pharmacol Ther, 41, pp. 39-45, (2015); Brenner S.A., Zacheja S., Sch M., Bischoff S.C., Soluble CD14 is essential for lipopolysaccharide-dependent activation of human intestinal mast cells from macroscopically normal as well as Crohn's disease tissue, Immunology, 143, pp. 174-183, (2014); Marchetti G., Tincati C., Silvestri G., Microbial translocation in the pathogenesis of HIV infection and AIDS, Clin Microbiol Rev, 26, pp. 2-18, (2013); Lopez M., Figueras F., Coll O., Gonce A., Hernandez S., Lonca M., Vila J., Gratacos E., Palacio M., Inflammatory markers related to microbial translocation among HIV-infected pregnant women: A risk factor of preterm delivery, J Infect Dis, 213, pp. 343-350, (2015); Dinh D.M., Volpe G.E., Duffalo C., Bhalchandra S., Tai A.K., Kane A.V., Wanke C.A., Ward D.H., Intestinal microbiota, microbial translocation, and systemic inflammation in chronic HIV infection, J Infect Dis, 211, pp. 19-27, (2015); Berbee J.F.P., Coomans C.P., Westerterp M., Romijn J.A., Havekes L.M., Rensen P.C.N., Apolipoprotein CI enhances the biological response to LPS via the CD14/TLR4 pathway by LPSbinding elements in both its N- and C-terminal helix, J Lipid Res, 51, pp. 1943-1952, (2010); Tarrats N., Moles A., Morales A., Garcia-Ruiz C., Fernandez-Checa J.C., Mari M., Critical role of tumor necrosis factor receptor 1, but not 2, in hepatic stellate cell proliferation, extracellular matrix remodeling, and liver fibrogenesis, Hepatology, 54, pp. 319-327, (2011); Gonzalez-Quintela A., Alonso M., Campos J., Vizcaino L., Loidi L., Gude F., Determinants of serum concentrations of lipopolysaccharide-binding protein (LBP) in the adult population: The role of obesity, PLoS One, 8, pp. 1-8, (2013); Stehle J.R., Leng X., Kitzman D.W., Nicklas B.J., Kritchevsky S.B., High K.P., Lipopolysaccharide-binding protein, a surrogate marker of microbial translocation, is associated with physical function in healthy older adults, J Gerontol A Biol Sci Med Sci, 67, pp. 1212-1218, (2012); Myc A., Buck J., Gonin J., Reynolds B., Hammerling U., Emanuel D., The level of lipopolysaccharide-binding protein is significantly increased in plasma in patients with the systemic inflammatory response syndrome, Clin Diagn Lab Immunol, 4, pp. 113-116, (1997); Marinho C.C., Bretas T., Voieta I., De Queiroz L.C., Ruiz-Guevara R., Teixeira A.L., Antunes C.M., Prata A., Lambertucci J.R., Serum hyaluronan and collagen IV as non-invasive markers of liver fibrosis in patients from an endemic area for Schistosomiasis mansoni: A field-based study in Brazil, Mem Inst Oswaldo Cruz, Rio, 105, pp. 471-478, (2010); Zhu Q., Zou L., Jagavelu K., Simonetto D.A., Huebert R.C., Jiang Z.-D., DuPont H.L., Shah V.H., Intestinal decontamination inhibits TLR4 dependent fibronectin mediated crosstalk between stellate cells and endothelial cells in liver fibrosis in mice, J Hepatol, 56, pp. 893-899, (2012); Arthur L., Leite C., Relationship between splenomegaly and hematologic findings in patients with hepatosplenic schistosomiasis, Rev Bras Hematol Hemoter, 35, pp. 332-336, (2013); Funakoshi N., Segalas-Largey F., Duny Y., Oberti F., Valats J., Bismuth M., Daures J.P., Blanc P., Benefit of combination β-blocker and endoscopic treatment to prevent variceal rebleeding: A meta-analysis, World J Gastroenterol, 16, pp. 5982-5992, (2010)</t>
  </si>
  <si>
    <t xml:space="preserve">E. Sinkala; Department of Internal Medicine, University Teaching Hospital, Lusaka, Private bag RW 1X, Zambia; email: sinkalaeddie@yahoo.com</t>
  </si>
  <si>
    <t xml:space="preserve">2-s2.0-85045433038</t>
  </si>
  <si>
    <t xml:space="preserve">Coulibaly J.T.; Andrews J.R.; Lo N.C.; N’Goran E.K.; Utzinger J.; Keiser J.; Bogoch I.I.</t>
  </si>
  <si>
    <t xml:space="preserve">Coulibaly, Jean T. (41260999100); Andrews, Jason R. (15058787200); Lo, Nathan C. (57204295887); N’Goran, Eliézer K. (7003451565); Utzinger, Jürg (7003667858); Keiser, Jennifer (32867784000); Bogoch, Isaac I. (6506268396)</t>
  </si>
  <si>
    <t xml:space="preserve">41260999100; 15058787200; 57204295887; 7003451565; 7003667858; 32867784000; 6506268396</t>
  </si>
  <si>
    <t xml:space="preserve">Schistosoma haematobium egg excretion does not increase after exercise: Implications for diagnostic testing</t>
  </si>
  <si>
    <t xml:space="preserve">Children are frequently invited to exercise before micturition, as it is believed that this activity will result in higher Schistosoma haematobium egg excretion, and hence, increases sensitivity of microscopic diagnoses. However, the evidence of this recommendation is scant. In the study presented here, 257 children, aged 2-15 years from south Côte d’Ivoire, provided urine samples for microscopy on consecutive days; one sample without prior exercise and one sample after exercise. Comparing the same individuals without and with prior exercise, sample positivity for S. haematobium (25.7% versus 23.0%, P = 0.31) and mean egg counts (10.2 eggs/10 mL versus 8.5 eggs/10 mL, P = 0.45) did not differ. Exercise before urine collection does not appear to increase S. haematobium egg excretion. Copyright © 2018 by The American Society of Tropical Medicine and Hygiene.</t>
  </si>
  <si>
    <t xml:space="preserve">10.4269/ajtmh.17-0728</t>
  </si>
  <si>
    <t xml:space="preserve">https://www.scopus.com/inward/record.uri?eid=2-s2.0-85043503884&amp;doi=10.4269%2fajtmh.17-0728&amp;partnerID=40&amp;md5=2f82d325295495e9a6e5871005a11fb7</t>
  </si>
  <si>
    <t xml:space="preserve">Unité de Formation et de Recherche Biosciences, Université Félix Houphouët-Boigny, Abidjan, Cote d'Ivoire; Centre Suisse de Recherches Scientifiques en Côte d’Ivoire, Abidjan, Cote d'Ivoire; Swiss Tropical and Public Health Institute, Basel, Switzerland; University of Basel, Basel, Switzerland; Division of Infectious Diseases and Geographic Medicine, Stanford University School of Medicine, Stanford, CA, United States; Division of Epidemiology, Stanford University School of Medicine, Stanford, CA, United States; Department of Medicine, University of Toronto, Toronto, ON, Canada; Divisions of General Internal Medicine and Infectious Diseases, Toronto General Hospital, 14EN 209, 200 Elizabeth Street, Toronto, M5G 2C4, ON, Canada</t>
  </si>
  <si>
    <t xml:space="preserve">Coulibaly J.T., Unité de Formation et de Recherche Biosciences, Université Félix Houphouët-Boigny, Abidjan, Cote d'Ivoire, Centre Suisse de Recherches Scientifiques en Côte d’Ivoire, Abidjan, Cote d'Ivoire, Swiss Tropical and Public Health Institute, Basel, Switzerland, University of Basel, Basel, Switzerland; Andrews J.R., Division of Infectious Diseases and Geographic Medicine, Stanford University School of Medicine, Stanford, CA, United States; Lo N.C., Division of Infectious Diseases and Geographic Medicine, Stanford University School of Medicine, Stanford, CA, United States, Division of Epidemiology, Stanford University School of Medicine, Stanford, CA, United States; N’Goran E.K., Unité de Formation et de Recherche Biosciences, Université Félix Houphouët-Boigny, Abidjan, Cote d'Ivoire, Centre Suisse de Recherches Scientifiques en Côte d’Ivoire, Abidjan, Cote d'Ivoire; Utzinger J., Swiss Tropical and Public Health Institute, Basel, Switzerland, University of Basel, Basel, Switzerland; Keiser J., Swiss Tropical and Public Health Institute, Basel, Switzerland, University of Basel, Basel, Switzerland; Bogoch I.I., Department of Medicine, University of Toronto, Toronto, ON, Canada, Divisions of General Internal Medicine and Infectious Diseases, Toronto General Hospital, 14EN 209, 200 Elizabeth Street, Toronto, M5G 2C4, ON, Canada</t>
  </si>
  <si>
    <t xml:space="preserve">Adolescent; Animals; Child; Child, Preschool; Cote d'Ivoire; Cross-Sectional Studies; Diagnostic Tests, Routine; Exercise; Female; Humans; Male; Microscopy; Parasite Egg Count; Rural Population; Schistosoma haematobium; Schistosomiasis haematobia; Urination; Zygote; adolescent; article; controlled study; excretion; exercise; female; human; major clinical study; male; microscopy; nonhuman; Schistosoma haematobium; urine sampling; animal; child; Cote d'Ivoire; cross-sectional study; cytology; diagnostic test; exercise; isolation and purification; micturition; parasite egg count; parasitology; physiology; preschool child; procedures; rural population; Schistosoma haematobium; schistosomiasis haematobia; urine; zygote</t>
  </si>
  <si>
    <t xml:space="preserve">AMO Innovation Fund; MSH UHN AMO</t>
  </si>
  <si>
    <t xml:space="preserve">Financial support: I. I. B. was supported by a grant from the MSH UHN AMO Innovation Fund.</t>
  </si>
  <si>
    <t xml:space="preserve">Colley D.G., Bustinduy A.L., Secor W.E., King C.H., Human schistosomiasis, Lancet, 383, pp. 2253-2264, (2014); Hotez P.J., Et al., The Global Burden of Disease study 2010: Interpretation and implications for the neglected tropical diseases, PLoS Negl Trop Dis, 8, (2014); Koukounari A., Gabrielli A.F., Toure S., Bosque-Oliva E., Zhang Y., Sellin B., Donnelly C.A., Fenwick A., Webster J.P., Schistosoma haematobium infection and morbidity before and after large-scale administration of praziquantel in Burkina Faso, J Infect Dis, 196, pp. 659-669, (2007); Van der Werf M.J., De Vlas S.J., Brooker S., Looman C.W.N., Nagelkerke N.J.D., Habbema J.D.F., Engels D., Quantification of clinical morbidity associated with schistosome infection in sub-Saharan Africa, Acta Trop, 86, pp. 125-139, (2003); Mbabazi P.S., Andan O., Fitzgerald D.W., Chitsulo L., Engels D., Downs J.A., Examining the relationship between urogenital schistosomiasis and HIV infection, PLoS Negl Trop Dis, 5, (2011); El-Bolkainy M.N., Mokhtar N.M., Ghoneim M.A., Hussein M.H., The impact of schistosomiasis on the pathology of bladder carcinoma, Cancer, 48, pp. 2643-2648, (1981); Prevention and control of schistosomiasis and soil-transmitted helminthiasis: Report of a WHO expert committee, WHO Tech Rep Ser, 912, pp. 1-57, (2002); Utzinger J., Becker S.L., Van Lieshout L., Van Dam G.J., Knopp S., New diagnostic tools in schistosomiasis, Clin Microbiol Infect, 21, pp. 529-542, (2015); Bogoch I.I., Andrews J.R., Dadzie Ephraim R.K., Utzinger J., Simple questionnaire and urine reagent strips compared to microscopyforthediagnosisofSchistosomahaematobiumina community in northern Ghana, Trop Med Int Health, 17, pp. 1217-1221, (2012); Mott K.E., Dixon H., Osei-Tutu E., England E.C., Ekue K., Tekle A., Evaluation of reagent strips in urine tests for detection of Schistosoma haematobium infection: A comparative study in Ghana and Zambia, Bull World Health Organ, 63, pp. 125-133, (1985); Bierman W.F., Wetsteyn J.C., Van Gool T., Presentation and diagnosis of imported schistosomiasis: Relevance of eosino-philia, microscopy for ova, and serology, J Travel Med, 12, pp. 9-13, (2005); Obeng B.B., Et al., Application of a circulating-cathodic-antigen (CCA) strip test and real-time PCR, in comparison with microscopy, for the detection of Schistosoma haematobium in urine samples from Ghana, Ann Trop Med Parasitol, 102, pp. 625-633, (2008); De Jonge N., Fillie Y.E., Hilberath G.W., Krijger F.W., Lengeler C., De Savigny D.H., Van Vliet N.G., Deelder A.M., Presence of the schistosome circulating anodic antigen (CAA) in urine of patients with Schistosoma mansoni or S. Haematobium infections, Am J Trop Med Hyg, 41, pp. 563-569, (1989); Helminth Control in School-Age Children: A Guide for Managers of Control Programmes, (2011); Chammartin F., Et al., Bayesian risk mapping and model-based estimation of Schistosoma haematobium-Schistosoma mansoni co-distribution in Côte d’Ivoire, PLoS Negl Trop Dis, 8, (2014); Lo N.C., Et al., A call to strengthen the global strategy against schistosomiasis and soil-transmitted helminthiasis: The time is now, Lancet Infect Dis, 17, pp. e64-e69, (2017); Lo N.C., Bogoch I.I., Blackburn B.G., Raso G., N'Goran E.K., Coulibaly J.T., Becker S.L., Abrams H.B., Utzinger J., Andrews J.R., Comparison of community-wide, integrated mass drug administration strategies for schistosomiasis and soil-transmitted helminthiasis: A cost-effectiveness modelling study, Lancet Glob Health, 3, pp. e629-e638, (2015); Knopp S., Et al., Sensitivity and specificity of a urine circulating anodic antigen test for the diagnosis of Schistosoma haematobium in low endemic settings, PLoS Negl Trop Dis, 9, (2015); McMahon J.E., Circadian rhythm in Schistosoma haematobium egg excretion, Int J Parasitol, 6, pp. 373-377, (1976); Doehring E., Feldmeier H., Daffalla A.A., Day-to-day variation and circadian rhythm of egg excretion in urinary schistosomiasis in the Sudan, Ann Trop Med Parasitol, 77, pp. 587-594, (1983); Pugh R.N., Periodicity of output of Schistosoma haematobium eggs in the urine, Ann Trop Med Parasitol, 73, pp. 89-90, (1979)</t>
  </si>
  <si>
    <t xml:space="preserve">2-s2.0-85043503884</t>
  </si>
  <si>
    <t xml:space="preserve">Rosinger A.Y.; Young S.L.; Collins S.M.; Haider S.R.; Mishra P.; Nagai H.T.; Petro M.; Downs J.A.</t>
  </si>
  <si>
    <t xml:space="preserve">Rosinger, Asher Y. (55498774300); Young, Sera L. (35249987400); Collins, Shalean M. (57192389446); Haider, Syeda Razia (57203429441); Mishra, Pallavi (57203433744); Nagai, Honest T. (57203437036); Petro, Mnyeshi (57203432406); Downs, Jennifer A. (37116644800)</t>
  </si>
  <si>
    <t xml:space="preserve">55498774300; 35249987400; 57192389446; 57203429441; 57203433744; 57203437036; 57203432406; 37116644800</t>
  </si>
  <si>
    <t xml:space="preserve">Schistosomiasis and hydration status: Schistosoma haematobium, but not Schistosoma mansoni increases urine specific gravity among rural Tanzanian women</t>
  </si>
  <si>
    <t xml:space="preserve">Objectives: Schistosome infections can damage organs important for water homeostasis, especially the kidneys. Urogenital schistosomiasis (caused by Schistosoma haematobium) increases protein and blood in urine and intestinal schistosomiasis (caused by S. mansoni) affects total body water. However, no data exist on how different schistosome species affect urine specific gravity (USG), a hydration biomarker. Therefore, we assessed the relationship between S. haematobium- and S. mansoni-infected and uninfected women and USG in rural Tanzania. Materials and methods: Surveys were conducted and stool and urine samples were collected among 211 nonpregnant women aged 18–50. S. haematobium eggs were detected using the urine filtration method. S. mansoni eggs were detected using the Kato Katz method. USG was measured using a refractometer and analyzed as both a continuous and dichotomous variable. Regression (linear/logistic) models were estimated to test the relationship between infection and hydration status. Results: The prevalence of S. haematobium was 5.9% and S. mansoni was 5.4% with no coinfections. In regression models, S. haematobium-infected women had significantly higher USG (Beta = 0.007 g mL−1; standard error = 0.002; p = 0.001) and odds (Odds ratio: 7.76, 95% CI: 1.21-49.5) of elevated USG (&gt;1.020 g mL−1) than uninfected women, whereas S. mansoni-infected women did not. Discussion: Schistosoma haematobium, but not S. mansoni, infection is associated with higher USG and risk of inadequate hydration. Future work should determine whether findings are attributable to parasite-induced debris in urine or urinary tract pathologies and signs of renal damage. Human and non-human primate studies using USG in schistosome-endemic areas should account for schistosomiasis. © 2018 Wiley Periodicals, Inc.</t>
  </si>
  <si>
    <t xml:space="preserve">American Journal of Physical Anthropology</t>
  </si>
  <si>
    <t xml:space="preserve">10.1002/ajpa.23479</t>
  </si>
  <si>
    <t xml:space="preserve">https://www.scopus.com/inward/record.uri?eid=2-s2.0-85051702358&amp;doi=10.1002%2fajpa.23479&amp;partnerID=40&amp;md5=6e64cb319e86a7c3ef360d6f285e662c</t>
  </si>
  <si>
    <t xml:space="preserve">Department of Biobehavioral Health, Pennsylvania State University, University Park, 16802, PA, United States; Department of Anthropology, Pennsylvania State University, University Park, 16802, PA, United States; Department of Anthropology, Northwestern University, Evanston, 60208, IL, United States; Institute for Policy Research, Northwestern University, Evanston, 60208, IL, United States; Department of Medicine, Weill Cornell Medicine, Center for Global Health, New York, 10065, NY, United States; National Institute for Medical Research, Mwanza, Tanzania</t>
  </si>
  <si>
    <t xml:space="preserve">Rosinger A.Y., Department of Biobehavioral Health, Pennsylvania State University, University Park, 16802, PA, United States, Department of Anthropology, Pennsylvania State University, University Park, 16802, PA, United States; Young S.L., Department of Anthropology, Northwestern University, Evanston, 60208, IL, United States, Institute for Policy Research, Northwestern University, Evanston, 60208, IL, United States; Collins S.M., Department of Anthropology, Northwestern University, Evanston, 60208, IL, United States; Haider S.R., Department of Medicine, Weill Cornell Medicine, Center for Global Health, New York, 10065, NY, United States; Mishra P., Department of Medicine, Weill Cornell Medicine, Center for Global Health, New York, 10065, NY, United States; Nagai H.T., National Institute for Medical Research, Mwanza, Tanzania; Petro M., National Institute for Medical Research, Mwanza, Tanzania; Downs J.A., Department of Medicine, Weill Cornell Medicine, Center for Global Health, New York, 10065, NY, United States</t>
  </si>
  <si>
    <t xml:space="preserve">hydration; kidney pathology; schistosomiasis; USG</t>
  </si>
  <si>
    <t xml:space="preserve">Adolescent; Adult; Animals; Cross-Sectional Studies; Feces; Female; Humans; Kidney Diseases; Middle Aged; Organism Hydration Status; Rural Population; Schistosomiasis haematobia; Schistosomiasis mansoni; Tanzania; Urinalysis; Urine; Young Adult; adult; Article; controlled study; cross-sectional study; error; feces analysis; female; gravity; human; hydration status; major clinical study; mixed infection; nonhuman; observational study; pregnancy; pregnant woman; rural population; schistosomiasis haematobia; schistosomiasis mansoni; standard; Tanzanian; urine; urine sampling; urine specific gravity; adolescent; animal; chemistry; complication; feces; hydration status; kidney disease; middle aged; parasitology; physiology; schistosomiasis haematobia; schistosomiasis mansoni; statistics and numerical data; Tanzania; urinalysis; urine; young adult</t>
  </si>
  <si>
    <t xml:space="preserve">National Institutes of Health, NIH; National Institute of Mental Health, NIMH, (R21MH108444); National Institute of Mental Health, NIMH; National Institute of Allergy and Infectious Diseases, NIAID, (K23 AI 110238); National Institute of Allergy and Infectious Diseases, NIAID</t>
  </si>
  <si>
    <t xml:space="preserve">Funding text 1: National Institutes of Health/National Institute of Allergy and Infectious Diseases, Grant Number: K23 AI 110238; National Institute of Mental Health, Grant Number: R21MH108444; Funding text 2: The authors thank the additional members of their study team without whom this work would not be possible (Jane Mlingi, Ndalloh Paul, Inobena Tosiri, Ester Zanzibar). They also thank the study participants for their willing participation in this and other ongoing research projects. Finally, they thank two anonymous reviewers who provided useful feedback to improve the article.</t>
  </si>
  <si>
    <t xml:space="preserve">Andrade Z.A., Andrade S.G., Sadigursky M., Renal changes in patients with hepatosplenic schistosomiasis, The American Journal of Tropical Medicine and Hygiene, 20, pp. 77-83, (1971); Anestis S.F., Breakey A.A., Beuerlein M.M., Bribiescas R.G., Specific gravity as an alternative to creatinine for estimating urine concentration in captive and wild chimpanzee (Pan troglodytes) Samples, American Journal of Primatology, 71, pp. 130-135, (2009); Armstrong L., Assessing hydration status: the elusive gold standard, Journal of the American College of Nutrition, 26, pp. 575S-584S, (2007); Armstrong L.E., Johnson E.C., Munoz C.X., Swokla B., Le Bellego L., Jimenez L., Maresh C.M., Hydration biomarkers and dietary fluid consumption of women, Journal of the Academy of Nutrition &amp; Dietetics, 112, pp. 1056-1061, (2012); Atalabi T.E., Adubi T.O., Lawal U., Rapid mapping of urinary schistosomiasis: An appraisal of the diagnostic efficacy of some questionnaire-based indices among high school students in Katsina State, northwestern Nigeria, PLOS Neglected Tropical Diseases, 11, (2017); Berhe N., Medhin G., Erko B., Smith T., Gedamu S., Bereded D., Gundersen S.G., Variations in helminth faecal egg counts in Kato–Katz thick smears and their implications in assessing infection status with Schistosoma mansoni, Acta Tropica, 92, pp. 205-212, (2004); Clark W.F., Sontrop J.M., Huang S.H., Moist L., Bouby N., Bankir L., Hydration and chronic kidney disease progression: A critical review of the evidence, American Journal of Nephrology, 43, pp. 281-292, (2016); Colley D.G., Bustinduy A.L., Secor W.E., King C.H., Human schistosomiasis, The Lancet, 383, pp. 2253-2264, (2014); Colombe S., Lee M.H., Masikini P.J., van Lieshout L., de Dood C.J., Hoekstra P.T., Downs J.A., Decreased sensitivity of Schistosoma sp. egg microscopy in women and HIV-infected individuals, The American Journal of Tropical Medicine and Hygiene, (2018); De Lorenzo A., Bedogni G., Andreoli A., Kandil S., El-Hefni S., Brancati A., Assessment of body hydration in subjects with schistosomiasis, Annals of Human Biology, 24, pp. 315-321, (1997); Dettwyler K.A., Dancing skeletons: Life and death in West Africa, (2013); Downs J.A., Mguta C., Kaatano G.M., Mitchell K.B., Bang H., Simplice H., Fitzgerald D.W., Urogenital schistosomiasis in women of reproductive age in Tanzania's Lake Victoria region, The American Journal of Tropical Medicine and Hygiene, 84, pp. 364-369, (2011); Drukker D.M., (2016); Farid Z., McConnell E., Bassily S., Schulert A., Sabour M., Abdel Wahab M.F., Symptomatic, radiological, and functional improvement following treatment of urinary schistosomiasis in egypt, The Lancet, 290, pp. 1110-1113, (1967); Girges R., Schistosomiasis Mansoni, The Lancet, 213, pp. 816-819, (1929); Heinze G., Schemper M., A solution to the problem of separation in logistic regression, Statistics in Medicine, 21, pp. 2409-2419, (2002); Hibbs A.C., Secor W.E., Van Gerven D., Armelagos G., Irrigation and infection: The immunoepidemiology of schistosomiasis in ancient Nubia, American Journal of Physical Anthropology, 145, pp. 290-298, (2011); Inhorn M.C., Brown P.J., The anthropology of infectious disease, Annual Review of Anthropology, 19, pp. 89-117, (1990); Katz N., Chaves A., Pellegrino J., A simple device for quantitative stool thick-smear technique in schistosomiasis mansoni, Revista Do Instituto De Medicina Tropical De Sao Paulo, 14, pp. 397-400, (1972); Lehman J.S., Farid Z., Bassily S., Kent D.C., Renal function in urinary schistosomiasis, The American Journal of Tropical Medicine and Hygiene, 19, pp. 1001-1006, (1970); Lovell N.C., An evolutionary framework for assessing illness and injury in nonhuman primates, American Journal of Physical Anthropology, 34, pp. 117-155, (1991); Mosha N.R., Mahande M., Juma A., Mboya I., Peck R., Urassa M., Todd J., Prevalence, awareness and factors associated with hypertension in North West Tanzania, Global Health Action, 10, (2017); Mshinda H., Vounatsou P., Nkulila T., Tanner M., Mayombana C., Vennervald B.J., Hatz C.F., Evolution of Schistosoma haematobium-related pathology over 24 months after treatment with praziquantel among school children in southeastern Tanzania, The American Journal of Tropical Medicine and Hygiene, 59, pp. 775-781, (1998); Muller C.J., MacLehose R.F., Estimating predicted probabilities from logistic regression: different methods correspond to different target populations, International Journal of Epidemiology, 43, pp. 962-970, (2014); Nmorsi O., Egwunyenga O., Nwokolo N., Urinary schistosomiasis in a rural community in Edo state, Nigeria: Eosinophiluria as a diagnostic marker, International Journal of Basic and Applied Sciences, 2, pp. 183-1186, (2005); Ochodo E.A., Gopalakrishna G., Spek B., Reitsma J.B., van Lieshout L., Polman K., Leeflang M.M.G., Circulating antigen tests and urine reagent strips for diagnosis of active schistosomiasis in endemic areas, Cochrane Database of Systematic Reviews, 3, pp. 1-295, (2015); Popkin B.M., D'Anci K.E., Rosenberg I.H., Water, hydration, and health, Nutrition Reviews, 68, pp. 439-458, (2010); Popowski L.A., Oppliger R.A., Patrick Lambert G., Johnson R.F., Kim Johnson A., Gisolfi C.V., Blood and urinary measures of hydration status during progressive acute dehydration, Medicine &amp; Science in Sports &amp; Exercise, 33, pp. 747-753, (2001); Rosinger A., Dehydration among lactating mothers in the Amazon: A neglected problem, American Journal of Human Biology, 27, pp. 576-578, (2015); Rosinger A., Heat and hydration status: Predictors of repeated measures of urine specific gravity among Tsimane' adults in the Bolivian Amazon, American Journal of Physical Anthropology, 158, pp. 696-707, (2015); Rosinger A.Y., Lawman H.G., Akinbami L.J., Ogden C.L., The role of obesity in the relation between total water intake and urine osmolality in US adults, 2009–2012, The American Journal of Clinical Nutrition, 104, pp. 1554-1561, (2016); Sattenspiel L., Tropical environments, human activities, and the transmission of infectious diseases, American Journal of Physical Anthropology, 113, 2000, pp. 3-31, (2000); Standley C., Mugisha L., Dobson A., Stothard J.R., Zoonotic schistosomiasis in non-human primates: Past, present and future activities at the human–wildlife interface in Africa, Journal of Helminthology, 86, pp. 131-140, (2012); StataCorp L., (2015); Wami W.M., Nausch N., Midzi N., Gwisai R., Mduluza T., Woolhouse M., Mutapi F., Identifying and evaluating field indicators of urogenital schistosomiasis-related morbidity in preschool-aged children, PLOS Neglected Tropical Diseases, 9, (2015); (2006); (2017)</t>
  </si>
  <si>
    <t xml:space="preserve">A.Y. Rosinger; Department of Biobehavioral Health, Pennsylvania State University, University Park, 16802, United States; email: arosinger@psu.edu</t>
  </si>
  <si>
    <t xml:space="preserve">AJPNA</t>
  </si>
  <si>
    <t xml:space="preserve">Am. J. Phys. Anthropol.</t>
  </si>
  <si>
    <t xml:space="preserve">2-s2.0-85051702358</t>
  </si>
  <si>
    <t xml:space="preserve">Haddawy P.; Hasan A.H.M.I.; Kasantikul R.; Lawpoolsri S.; Sa-angchai P.; Kaewkungwal J.; Singhasivanon P.</t>
  </si>
  <si>
    <t xml:space="preserve">Haddawy, Peter (6701739890); Hasan, A.H.M. Imrul (57213073905); Kasantikul, Rangwan (57196464704); Lawpoolsri, Saranath (15848887500); Sa-angchai, Patiwat (57193994248); Kaewkungwal, Jaranit (6701733827); Singhasivanon, Pratap (7003665904)</t>
  </si>
  <si>
    <t xml:space="preserve">6701739890; 57213073905; 57196464704; 15848887500; 57193994248; 6701733827; 7003665904</t>
  </si>
  <si>
    <t xml:space="preserve">Spatiotemporal Bayesian networks for malaria prediction</t>
  </si>
  <si>
    <t xml:space="preserve">Targeted intervention and resource allocation are essential for effective malaria control, particularly in remote areas, with predictive models providing important information for decision making. While a diversity of modeling technique have been used to create predictive models of malaria, no work has made use of Bayesian networks. Bayes nets are attractive due to their ability to represent uncertainty, model time lagged and nonlinear relations, and provide explanations. This paper explores the use of Bayesian networks to model malaria, demonstrating the approach by creating village level models with weekly temporal resolution for Tha Song Yang district in northern Thailand. The networks are learned using data on cases and environmental covariates. Three types of networks are explored: networks for numeric prediction, networks for outbreak prediction, and networks that incorporate spatial autocorrelation. Evaluation of the numeric prediction network shows that the Bayes net has prediction accuracy in terms of mean absolute error of about 1.4 cases for 1 week prediction and 1.7 cases for 6 week prediction. The network for outbreak prediction has an ROC AUC above 0.9 for all prediction horizons. Comparison of prediction accuracy of both Bayes nets against several traditional modeling approaches shows the Bayes nets to outperform the other models for longer time horizon prediction of high incidence transmission. To model spread of malaria over space, we elaborate the models with links between the village networks. This results in some very large models which would be far too laborious to build by hand. So we represent the models as collections of probability logic rules and automatically generate the networks. Evaluation of the models shows that the autocorrelation links significantly improve prediction accuracy for some villages in regions of high incidence. We conclude that spatiotemporal Bayesian networks are a highly promising modeling alternative for prediction of malaria and other vector-borne diseases. © 2017 Elsevier B.V.</t>
  </si>
  <si>
    <t xml:space="preserve">10.1016/j.artmed.2017.12.002</t>
  </si>
  <si>
    <t xml:space="preserve">https://www.scopus.com/inward/record.uri?eid=2-s2.0-85037563667&amp;doi=10.1016%2fj.artmed.2017.12.002&amp;partnerID=40&amp;md5=90c53c16b63d0a70ffabe1b68dc90ff1</t>
  </si>
  <si>
    <t xml:space="preserve">Faculty of ICT, Mahidol University, 999 Phuttamonthon 4 Rd, Salaya, Nakhonpathom, 73170, Thailand; Faculty of Tropical Medicine, Mahidol University, 420/6 Ratchawithi Rd, Bangkok, 10400, Thailand</t>
  </si>
  <si>
    <t xml:space="preserve">Haddawy P., Faculty of ICT, Mahidol University, 999 Phuttamonthon 4 Rd, Salaya, Nakhonpathom, 73170, Thailand; Hasan A.H.M.I., Faculty of ICT, Mahidol University, 999 Phuttamonthon 4 Rd, Salaya, Nakhonpathom, 73170, Thailand; Kasantikul R., Faculty of ICT, Mahidol University, 999 Phuttamonthon 4 Rd, Salaya, Nakhonpathom, 73170, Thailand; Lawpoolsri S., Faculty of Tropical Medicine, Mahidol University, 420/6 Ratchawithi Rd, Bangkok, 10400, Thailand; Sa-angchai P., Faculty of Tropical Medicine, Mahidol University, 420/6 Ratchawithi Rd, Bangkok, 10400, Thailand; Kaewkungwal J., Faculty of Tropical Medicine, Mahidol University, 420/6 Ratchawithi Rd, Bangkok, 10400, Thailand; Singhasivanon P., Faculty of Tropical Medicine, Mahidol University, 420/6 Ratchawithi Rd, Bangkok, 10400, Thailand</t>
  </si>
  <si>
    <t xml:space="preserve">Bayesian networks; Malaria prediction; Probability logic; Spatiotemporal models</t>
  </si>
  <si>
    <t xml:space="preserve">Animals; Area Under Curve; Artificial Intelligence; Bayes Theorem; Disease Vectors; Humans; Incidence; Malaria; Neural Networks (Computer); Nonlinear Dynamics; ROC Curve; Thailand; Time Factors; Autocorrelation; Computer circuits; Decision making; Diseases; Forecasting; Knowledge based systems; Malaria control; Probabilistic logics; Rural areas; Mean absolute error; Nonlinear relations; Prediction accuracy; Probability logic; Spatial autocorrelations; Spatio-temporal models; Temporal resolution; Vector-borne disease; accuracy; Article; Bayesian learning; decision making; epidemic; geography; human; malaria; malaria control; prediction; priority journal; resource allocation; Thailand; animal; area under the curve; artificial intelligence; artificial neural network; Bayes theorem; disease carrier; incidence; malaria; nonlinear system; receiver operating characteristic; time factor; transmission; Bayesian networks</t>
  </si>
  <si>
    <t xml:space="preserve">Hanse-Wissenschaftskolleg Institute for Advanced Study; ITC-PAC, (FA5209-15-P-0183); US Army International Technology Center Pacific</t>
  </si>
  <si>
    <t xml:space="preserve">This paper is based upon work supported by the US Army International Technology Center Pacific (ITC-PAC) under contract FA5209-15-P-0183. This work was partially supported through a fellowship from the Hanse-Wissenschaftskolleg Institute for Advanced Study, Delmenhorst, Germany to Haddawy.  </t>
  </si>
  <si>
    <t xml:space="preserve">WHO, World malaria report 2015, (2015); Zinszer K., Verma A.D., Charland K., Brewer T.F., Brownstein J.S., Sun Z., Et al., A scoping review of malaria forecasting: past works and future directions, BMJ Open, 2, (2012); Gomez-Elipe A., Otero A., Van Herp M., Aguirre-Jaime A., Forecasting malaria incidence based on monthly case reports and environmental factors in Karuzi, Burundi, 1997–2003, Malar J, 6, September (1), (2007); Wangdi K., Singhasivanon P., Silawan T., Lawpoolsri S., White N.J., Kaewkungwal J., Development of temporal modelling for forecasting and prediction of malaria infections using time-series and ARIMAX analyses: a case study in endemic districts of Bhutan, Malar J, 9, September (1), (2010); Laneri K., Bhadra A., Ionides E.L., Bouma M., Dhiman R.C., Yadav R.S., Et al., Forcing versus feedback: epidemic malaria and monsoon rains in northwest India, PLoS Comput Biol, 6, September (9), (2010); Kiang R., Adimi F., Soika V., Nigro J., Singhasivanon P., Sirichaisinthop J., Et al., Meteorological, environmental remote sensing and neural network analysis of the epidemiology of malaria transmission in Thailand, Geospat Health, 1, November (1), pp. 71-84, (2006); Kulkarni M.A., Desrochers R.E., Kerr J.T., High resolution niche models of malaria vectors in northern Tanzania: a new capacity to predict malaria risk?, PLoS One, 5, February (2), (2010); Zinszer K., Kigozi R., Charland K., Dorsey G., Brewer T.F., Brownstein J.S., Et al., Forecasting malaria in a highly endemic country using environmental and clinical predictors, Malar J, 14, June (1), (2015); Haghdoost A.A., Alexander N., Cox J., Modelling of malaria temporal variations in Iran, Trop Med Int Health, 13, December (12), pp. 1501-1508, (2008); Teklehaimanot H.D., Schwartz J., Teklehaimanot A., Lipsitch M., Weather-based prediction of Plasmodium falciparum malaria in epidemic-prone regions of Ethiopia II. Weather-based prediction systems perform comparably to early detection systems in identifying times for interventions, Malar J, 3, November (1), (2004); Buczak A.L., Baugher B., Guven E., Ramac-Thomas L.C., Elbert Y., Babin S.M., Et al., Fuzzy association rule mining and classification for the prediction of malaria in South Korea, BMC Med Inform Decis Mak, 15, June (1), (2015); Johnson S., Mengersen K., de Waal A., Marnewick K., Cilliers D., Houser A.M., Et al., Modelling cheetah relocation success in southern africa using an iterative bayesian network development cycle, Ecol Modell, 221, 4, pp. 641-651, (2010); Dlamini W.M., A Bayesian belief network analysis of factors influencing wildfire occurrence in Swaziland, Environ Modell Softw, 25, February (2), pp. 199-208, (2010); Johnson S., Fielding F., Hamilton G., Mengersen K., An integrated Bayesian network approach to Lyngbya majuscula bloom initiation, Mar Environ Res, 69, February (1), pp. 27-37, (2010); Wilkinson L.A., Chee Y.E., Nicholson A., Quintana-Ascencio P., An object-oriented spatial and temporal bayesian network for managing willows in an American heritage river catchment, UAI Workshop on Models for Spatial, Temporal, and Networked Data 2013 Jul 15, pp. 77-86, (2017); Cooper G.F., Dash D.H., Levander J.D., Wong W.K., Hogan W.R., Wagner M.M., Bayesian biosurveillance of disease outbreaks, Proceedings of the 20th conference on Uncertainty in Artificial Intelligence 2004 Jul 7, AUAI Press, pp. 94-103, (2017); Laskey K.B., Wright E.J., da Costa P.C., Envisioning uncertainty in geospatial information, Int J Approximate Reason, 51, January (2), pp. 209-223, (2010); Khamsiriwatchara A., Sudathip P., Sawang S., Vijakadge S., Potithavoranan T., Sangvichean A., Et al., Artemisinin resistance containment project in Thailand. (I): implementation of electronic-based malaria information system for early case detection and individual case management in provinces along the Thai-Cambodian border, Malar J, 11, July (1), (2012); Haque U., Hashizume M., Glass G.E., Dewan A.M., Overgaard H.J., Yamamoto T., The role of climate variability in the spread of malaria in Bangladeshi highlands, PLoS One, 5, December (12), (2010); Mordecai E.A., Paaijmans K.P., Johnson L.R., Balzer C., Ben-Horin T., Moor E., Et al., Optimal temperature for malaria transmission is dramatically lower than previously predicted, Ecol Lett, 16, January (1), pp. 22-30, (2013); Koenraadt C.J., Harrington L.C., Flushing effect of rain on container-inhabiting mosquitoes Aedes aegypti and Culex pipiens (Diptera: Culicidae), J Med Entomol, 45, January (1), pp. 28-35, (2008); Chatfield C., The analysis of time series: an introduction, (2004); Hall M., Frank E., Holmes G., Pfahringer B., Reutemann P., Witten I.H., The WEKA data mining software: an update, ACM SIGKDD Explorations Newslett, 11, November (1), pp. 10-18, (2009); Saito T., Rehmsmeier M., The precision-recall plot is more informative than the ROC plot when evaluating binary classifiers on imbalanced datasets, PLoS One, 10, March (3), (2015); Yeshiwondim A.K., Gopal S., Hailemariam A.T., Dengela D.O., Patel H.P., Spatial analysis of malaria incidence at the village level in areas with unstable transmission in Ethiopia, Int J Health Geogr, 8, January (1), (2009); Gemperli A., Sogoba N., Fondjo E., Mabaso M., Bagayoko M., Briet O.J., Et al., Mapping malaria transmission in west and central africa, Trop Med Int Health, 11, July (7), pp. 1032-1046, (2006); Ngo L., Haddawy P., Answering queries from context-sensitive probabilistic knowledge bases, Theor Comput Sci, 171, January (1), pp. 147-177, (1997); Kleinschmidt I., Bagayoko M., Clarke G.P., Craig M., Le Sueur D., A spatial statistical approach to malaria mapping, Int J Epidemiol, 29, April (2), pp. 355-361, (2000); Oliver N., Rosario B., Pentland A., Graphical models for recognizing human interactions, Advances in Neural Information Processing Systems, pp. 924-930, (1999); Basu S., Choudhury T., Clarkson B., Pentland A., Learning human interactions with the influence model, 539, (2001); Pan W., Dong W., Cebrian M., Kim T., Pentland A.S., Modeling dynamical influence in human interaction, IEEE Signal Process Mag, 29, May, pp. 77-86, (2012); Zhang D., Gatica-Perez D., Bengio S., Roy D., Learning influence among interacting Markov chains, Advances in Neural Information Processing Systems, pp. 1577-1584, (2006)</t>
  </si>
  <si>
    <t xml:space="preserve">P. Haddawy; Faculty of ICT, Mahidol University, Nakhonpathom, 999 Phuttamonthon 4 Rd, Salaya, 73170, Thailand; email: peter.had@mahidol.ac.th</t>
  </si>
  <si>
    <t xml:space="preserve">2-s2.0-85037563667</t>
  </si>
  <si>
    <t xml:space="preserve">Gambhir S.; Malik S.K.; Kumar Y.</t>
  </si>
  <si>
    <t xml:space="preserve">Gambhir, Shalini (57191830184); Malik, Sanjay Kumar (55757783601); Kumar, Yugal (55085037000)</t>
  </si>
  <si>
    <t xml:space="preserve">57191830184; 55757783601; 55085037000</t>
  </si>
  <si>
    <t xml:space="preserve">The Diagnosis of Dengue Disease: An Evaluation of Three Machine Learning Approaches</t>
  </si>
  <si>
    <t xml:space="preserve">This article describes how Dengue fever is a fatal and hazardous disease resulting from the bite of several species of the female mosquito (principally, Aedesaegypti). Symptoms of the dengue fever mimic those of a number of other infectious and/or mosquito-borne tropical diseases such as Viral flu, Chikungunya, and Zika fever. Yet, with dengue fever, human life can be more at risk due to severe depletion of blood platelets. Thus, early detection of dengue disease can ensure saving lives; furthermore, it can help in making a preventive move before the disease progresses to epidemic proportion. Hence, the target of this article is to propose a model for an early detection and precise diagnosis of dengue disease. In this article, three prevalent machine learning methodologies, including, Artificial Neural Network (ANN), Decision Tree (DT) and Naive Bayes (NB) are evaluated for designing a diagnostic model. The performance of these models is assessed utilizing available dengue datasets. Results comparing and contrasting performance of diagnostic models utilizing accuracy, sensitivity, specificity and error rate parameters showed that ANN-based diagnostic model appears to yield better performance measures over both the DT and NB models. Copyright © 2018, IGI Global.</t>
  </si>
  <si>
    <t xml:space="preserve">International Journal of Healthcare Information Systems and Informatics</t>
  </si>
  <si>
    <t xml:space="preserve">10.4018/IJHISI.2018070101</t>
  </si>
  <si>
    <t xml:space="preserve">https://www.scopus.com/inward/record.uri?eid=2-s2.0-85045874948&amp;doi=10.4018%2fIJHISI.2018070101&amp;partnerID=40&amp;md5=8400a622c6f83d811b9702efcece3903</t>
  </si>
  <si>
    <t xml:space="preserve">SRM University, Sonepat, Haryana, India; SRM University, Sonepat, India; Jaypee University of Information Technology, Solan, India</t>
  </si>
  <si>
    <t xml:space="preserve">Gambhir S., SRM University, Sonepat, Haryana, India; Malik S.K., SRM University, Sonepat, India; Kumar Y., Jaypee University of Information Technology, Solan, India</t>
  </si>
  <si>
    <t xml:space="preserve">ANN; Dengue Disease; Diagnosis; DT; Machine Learning; NB</t>
  </si>
  <si>
    <t xml:space="preserve">Barium compounds; Decision trees; Learning systems; Neural networks; Niobium; Blood platelets; Chikungunya; Dengue fevers; Diagnostic model; Human lives; Machine learning approaches; Performance measure; Tropical disease; Diagnosis</t>
  </si>
  <si>
    <t xml:space="preserve">Albinati J., Meira W., Pappa G.L., An Accurate Gaussian Process-Based Early Warning System for Dengue Fever, Proceedings of The 2016 5th Brazilian Conference on Intelligent Systems (BRACIS), pp. 43-48, (2016); Althouse B.M., Ng Y.Y., Cummings D.A., Prediction of dengue incidence using search query surveillance, PLoS Neglected Tropical Diseases, 5, 8, (2011); Austin P.C., Tu J.V., Ho J.E., Levy D., Lee D.S., Using methods from the data-mining and machine-learning literature for disease classification and prediction: A case study examining classification of heart failure subtypes, Journal of Clinical Epidemiology, 66, 4, pp. 398-407, (2013); Bhatt S., Gething P.W., Brady O.J., Messina J.P., Farlow A.W., Moyes C.L., Myers M.F., Et al., The global distribution and burden of dengue, Nature, 496, 7446, pp. 504-507, (2013); Bishop C.M., Neural Networks for Pattern Recognition, (1995); Brady O.J., Gething P.W., Bhatt S., Messina J.P., Brownstein J.S., Hoen A.G., Hay S.I., Refining the global spatial limits of dengue virus transmission by evidence-based consensus, PLoS Neglected Tropical Diseases, 6, 8, (2012); Breiman L., Friedman J., Stone C.J., Olshen R.A., Classification and Regression Trees, (1984); Breiman L., Spector P., Submodel selection and evaluation in regression. The X-random case, International Statistical Review/Revue Internationale De Statistique, pp. 291-319, (1992); Bujlow T., Riaz T., Pedersen J.M., A method for classification of network traffic based on C5. 0 Machine Learning Algorithm, Proceedings of The 2012 International Conference on Computing, Networking and Communications (ICNC), pp. 237-241, (2012); Cheong Y.L., Leitao P.J., Lakes T., Assessment of land use factors associated with dengue cases in Malaysia using Boosted Regression Trees, Spatial and Spatio-Temporal Epidemiology, 10, pp. 75-84, (2014); Das R., Turkoglu I., Sengur A., Effective diagnosis of heart disease through neural networks ensembles, Expert Systems with Applications, 36, 4, pp. 7675-7680, (2009); Domingos P., Pazzani M., On the optimality of the simple Bayesian classifier under zero-one loss, Machine Learning, 29, 2, pp. 103-130, (1997); Er O., Temurtas F., Tanrikulu A.C., Tuberculosis disease diagnosis using artificial neural networks, Journal of Medical Systems, 34, 3, pp. 299-302, (2010); Er O., Yumusak N., Temurtas F., Diagnosis of chest diseases using artificial immune system, Expert Systems with Applications, 39, 2, pp. 1862-1868, (2012); Faisal T., Ibrahim F., Taib M.N., A noninvasive intelligent approach for predicting the risk in dengue patients, Expert Systems with Applications, 37, 3, pp. 2175-2181, (2010); Friedman N., Geiger D., Goldszmidt M., Bayesian network classifiers, Machine Learning, 29, 2-3, pp. 131-163, (1997); Gambhir S., Malik S.K., Kumar Y., Role of Soft Computing Approaches in HealthCare Domain: A Mini Review, Journal of Medical Systems, 40, 12, (2016); Gambhir S., Malik S.K., Kumar Y., PSO-ANN based diagnostic model for the early detection of dengue disease, New Horizons in Translational Medicine, 4, pp. 1-4, (2017); Grzymala-Busse J.W., LERS-a system for learning from examples based on rough sets, Intelligent Decision Support, pp. 3-18, (1992); Gubler D.J., Dengue and dengue hemorrhagic fever, Clinical Microbiology Reviews, 11, 3, pp. 480-496, (1998); Gupta E., Dar L., Kapoor G., Broor S., The changing epidemiology of dengue in Delhi, India, Virology Journal, 3, 1, (2006); Hati A.K., Studies on dengue and dengue hemorrhagic fever (DHF) in West Bengal State, India, The Journal of Communicable Diseases, 38, 2, (2006); Hsieh C.H., Lu R.H., Lee N.H., Chiu W.T., Hsu M.H., Li Y.C.J., Novel solutions for an old disease: Diagnosis of acute appendicitis with random forest, support vector machines, and artificial neural networks, Surgery, 149, 1, pp. 87-93, (2011); John G.H., Langley P., Estimating continuous distributions in Bayesian classifiers, Proceedings of The Eleventh Conference on Uncertainty in Artificial Intelligence, pp. 338-345, (1995); Karabatak M., Ince M.C., An expert system for detection of breast cancer based on association rules and neural network, Expert Systems with Applications, 36, 2, pp. 3465-3469, (2009); Kohavi R., A study of cross-validation and bootstrap for accuracy estimation and model selection, IJCAI (United States), 14, 2, pp. 1137-1145, (1995); Kumar Y., Sahoo G., Prediction of different types of liver diseases using rule based classification model, Technology and Health Care, 21, 5, pp. 417-432, (2013); Langley P., Iba W., Thompson K., An analysis of Bayesian classifiers, Proceedings of The 10th National Conference on Articial Intelligence, pp. 223-228, (1992); Loh W.Y., Shih Y.S., Split selection methods for classification trees, Statistica Sinica, pp. 815-840, (1997); Mao Y., Huang X., Yu K., Qu H.B., Liu C.X., Cheng Y.Y., Metabonomic analysis of hepatitis B virus-induced liver failure: Identification of potential diagnostic biomarkers by fuzzy support vector machine, Journal of Zhejiang University. Science. B., 9, 6, pp. 474-481, (2008); Mulyani Y., Rahman E.F., Riza L.S., A new approach on prediction of fever disease by using a combination of Dempster Shafer and Naïve bayes, Science in Information Technology (ICSITech), 2016 2nd International Conference on, pp. 367-371, (2016); Ozcift A., Random forests ensemble classifier trained with data resampling strategy to improve cardiac arrhythmia diagnosis, Computers in Biology and Medicine, 41, 5, pp. 265-271, (2011); Quinlan J.R., Induction of decision trees, Machine Learning, 1, 1, pp. 81-106, (1986); Quinlan J.R., C4.5: Programs for Machine Learning, (1995); Rahmawati D., Huang Y.P., Using C-support vector classification to forecast dengue fever epidemics in Taiwan, Proceedings of The 2016 International Conference on System Science and Engineering (ICSSE), (2016); Sahoo A.J., Kumar Y., Seminal quality prediction using data mining methods, Technology and Health Care, 22, 4, pp. 531-545, (2014); Schaffer C., Selecting a classification method by cross-validation, Machine Learning, 13, 1, pp. 135-143, (1993); Sengur A., An expert system based on principal component analysis, artificial immune system and fuzzy k-NN for diagnosis of valvular heart diseases, Computers in Biology and Medicine, 38, 3, pp. 329-338, (2008); Sengur A., An expert system based on linear discriminant analysis and adaptive neuro-fuzzy inference system to diagnosis heart valve diseases, Expert Systems with Applications, 35, 1, pp. 214-222, (2008); Shaukat K., Masood N., Mehreen S., Azmeen U., Dengue Fever Prediction: A Data Mining Problem, Journal of Data Mining in Genomics &amp; Proteomics, (2015); Silverman B.W., Density Estimation for Statistics and Data Analysis, 26, (1986); Siriyasatien P., Phumee A., Ongruk P., Jampachaisri K., Kesorn K., Analysis of significant factors for dengue fever incidence prediction, BMC Bioinformatics, 17, 1, (2016); Soman T., Bobbie P.O., Classification of arrhythmia using machine learning techniques, WSEAS Transactions on Computers, 4, 6, pp. 548-552, (2005); Temurtas F., A comparative study on thyroid disease diagnosis using neural networks, Expert Systems with Applications, 36, 1, pp. 944-949, (2009); Utgoff P.E., ID5: An incremental ID3, Proc. of The Fifth National Conference on Machine Learning, pp. 107-120, (1988); Utgoff P.E., Incremental induction of decision trees, Machine Learning, 4, 2, pp. 161-186, (1989); Yadav G., Kumar Y., Sahoo G., Predication of Parkinson’s disease using data mining methods: A comparative analysis of tree, statistical and support vector machine classifiers, Proceedings of The 2012 National Conference on Computing and Communication Systems (NCCCS), pp. 1-8, (2012); Yan H., Jiang Y., Zheng J., Peng C., Li Q., A multilayer perceptron-based medical decision support system for heart disease diagnosis, Expert Systems with Applications, 30, 2, pp. 272-281, (2006)</t>
  </si>
  <si>
    <t xml:space="preserve">Int.</t>
  </si>
  <si>
    <t xml:space="preserve">2-s2.0-85045874948</t>
  </si>
  <si>
    <t xml:space="preserve">Pincelli A.; Neves P.A.R.; Lourenço B.H.; Corder R.M.; Malta M.B.; Sampaio-Silva J.; De Souza R.M.; Cardoso M.A.; Castro M.C.; Ferreira M.U.</t>
  </si>
  <si>
    <t xml:space="preserve">Pincelli, Anaclara (57202867010); Neves, Paulo A. R. (56204044000); Lourenço, Barbara H. (25226768200); Corder, Rodrigo M. (57202867784); Malta, Máira B. (25932208500); Sampaio-Silva, Juliana (57196066220); De Souza, Rodrigo M. (55383034300); Cardoso, Marly A. (35477830600); Castro, Marcia C. (22933643900); Ferreira, Marcelo U. (7402787474)</t>
  </si>
  <si>
    <t xml:space="preserve">57202867010; 56204044000; 25226768200; 57202867784; 25932208500; 57196066220; 55383034300; 35477830600; 22933643900; 7402787474</t>
  </si>
  <si>
    <t xml:space="preserve">The Hidden Burden of Plasmodium vivax Malaria in Pregnancy in the Amazon: An Observational Study in Northwestern Brazil</t>
  </si>
  <si>
    <t xml:space="preserve">We measured the prevalence of malaria in pregnancy and estimated its impact on birth weight and length and maternal hemoglobin in 1,180 women from JuruáValley, the main malaria hotspot in Brazil. Antenatal malaria episodes, 74.6% of them due to Plasmodium vivax, were microscopically diagnosed in 8.0% of the women and were associated with an average reduction in birth weight z-scores of 0.35 (95% confidence interval [CI] = 0.14-0.57) and in birth length z-scores of 0.31 (95% CI = 0.08-0.54), compared with malaria-free pregnancies. Affected mothers had amean decrease in hemoglobin concentration at delivery of 0.33 g/100 mL (95% CI = 0.05-0.62 g/100 mL); 51.6% were anemic. The timing and frequency of antenatal infections influenced pregnancy outcomes and first- or secondtrimester infections were not associated with decreased birth weight and length and maternal hemoglobin at delivery. Although repeated antenatal vivax infections were associated with poorer birth outcomes, even a single vivax malaria episode was associated with a significant reduction in birth weight and length andmaternal hemoglobin. Overall, 7.5% women had the parasite's DNA found in peripheral blood at delivery. Most (83.1%) of these 89 perinatal infections were due to P. vivax and only 7.9% of them progressed to symptomatic disease after delivery. Plasmodium vivax and Plasmodium falciparum DNA was found in 0.6% and 0.3%of 637 cord blood samples examined, respectively, but only one newborn developed clinical neonatal malaria. Our results further challenge the notion that vivaxmalaria is relatively benign during pregnancy and call for better strategies for its prevention. Copyright © 2018 by The American Society of Tropical Medicine and Hygiene.</t>
  </si>
  <si>
    <t xml:space="preserve">10.4269/ajtmh.18-0135</t>
  </si>
  <si>
    <t xml:space="preserve">https://www.scopus.com/inward/record.uri?eid=2-s2.0-85049657614&amp;doi=10.4269%2fajtmh.18-0135&amp;partnerID=40&amp;md5=1e929a797086637ce54a0e5b6120f13c</t>
  </si>
  <si>
    <t xml:space="preserve">Department of Parasitology, Institute of Biomedical Sciences, University of São Paulo, Av. Prof. Lineu Prestes 1374, Cidade Universitária, São Paulo, 05508-900, Brazil; Department of Nutrition, School of Public Health, University of São Paulo, São Paulo, Brazil; Department of Preventive Medicine, Escola Paulista de Medicina, Federal University of São Paulo, São Paulo, Brazil; Multidisciplinary Center, Federal University of Acre, Cruzeiro do Sul, Brazil; Department of Global Health and Population, Harvard T. H. Chan School of Public Health, Boston, MA, United States</t>
  </si>
  <si>
    <t xml:space="preserve">Pincelli A., Department of Parasitology, Institute of Biomedical Sciences, University of São Paulo, Av. Prof. Lineu Prestes 1374, Cidade Universitária, São Paulo, 05508-900, Brazil; Neves P.A.R., Department of Nutrition, School of Public Health, University of São Paulo, São Paulo, Brazil; Lourenço B.H., Department of Nutrition, School of Public Health, University of São Paulo, São Paulo, Brazil, Department of Preventive Medicine, Escola Paulista de Medicina, Federal University of São Paulo, São Paulo, Brazil; Corder R.M., Department of Parasitology, Institute of Biomedical Sciences, University of São Paulo, Av. Prof. Lineu Prestes 1374, Cidade Universitária, São Paulo, 05508-900, Brazil; Malta M.B., Department of Nutrition, School of Public Health, University of São Paulo, São Paulo, Brazil; Sampaio-Silva J., Department of Nutrition, School of Public Health, University of São Paulo, São Paulo, Brazil; De Souza R.M., Multidisciplinary Center, Federal University of Acre, Cruzeiro do Sul, Brazil; Cardoso M.A., Department of Nutrition, School of Public Health, University of São Paulo, São Paulo, Brazil; Castro M.C., Department of Global Health and Population, Harvard T. H. Chan School of Public Health, Boston, MA, United States; Ferreira M.U., Department of Parasitology, Institute of Biomedical Sciences, University of São Paulo, Av. Prof. Lineu Prestes 1374, Cidade Universitária, São Paulo, 05508-900, Brazil</t>
  </si>
  <si>
    <t xml:space="preserve">Adolescent; Adult; Anemia; Birth Weight; Body Height; Brazil; DNA, Protozoan; Female; Hemoglobins; Humans; Infant, Newborn; Malaria, Falciparum; Malaria, Vivax; Plasmodium falciparum; Plasmodium vivax; Pregnancy; Pregnancy Complications, Infectious; Prospective Studies; folic acid; hemoglobin; iron; hemoglobin; protozoal DNA; adolescent; adult; anemia; Article; body height; Brazil; cordocentesis; disease association; disease burden; disease carrier; female; fetus growth; first trimester pregnancy; hemoglobin determination; human; infection prevention; infection risk; intrauterine infection; major clinical study; malaria; molecular diagnosis; neonatal weight loss; newborn; newborn infection; nonhuman; observational study; Plasmodium falciparum; Plasmodium vivax; Plasmodium vivax malaria; pregnancy; pregnancy outcome; pregnant woman; prevalence; prospective study; retrospective study; second trimester pregnancy; spontaneous abortion; stillbirth; young adult; anemia; birth weight; blood; growth, development and aging; malaria falciparum; metabolism; parasitology; pathogenicity; Plasmodium vivax malaria; pregnancy; pregnancy complication</t>
  </si>
  <si>
    <t xml:space="preserve">folic acid, 59-30-3, 6484-89-5; hemoglobin, 9008-02-0; iron, 14093-02-8, 53858-86-9, 7439-89-6; DNA, Protozoan, ; Hemoglobins, </t>
  </si>
  <si>
    <t xml:space="preserve">National Institutes of Health, NIH, (U19 AI089681); National Institute of Allergy and Infectious Diseases, NIAID; Harvard University; Fundação de Amparo à Pesquisa do Estado de São Paulo, FAPESP, (2016/00270-6); Conselho Nacional de Desenvolvimento Científico e Tecnológico, CNPq, (407255/2013-3); Fundação Cearense de Apoio ao Desenvolvimento Científico e Tecnológico, FUNCAP; Fundação Maria Cecilia Souto Vidigal, FMCSV</t>
  </si>
  <si>
    <t xml:space="preserve">Financial support: This study was supported by the Fundação de Amparo à Pesquisa do Estado de São Paulo, Brazil (FAPESP; grant 2016/00270-6 to MAC), the David Rockefeller Center for Latin American Studies (DRCLAS), Harvard University, Cambridge, MA, and the Fundação Maria Cecília Couto Vidigal, Brazil (to M. C. C.), the Con-selho Nacional de Desenvolvimento Científico e Tecnológico, Brazil (CNPq; 407255/2013-3 to M. A. C.), and the National Institute of Allergy and Infectious Diseases (NIAID), National Institutes of Health (NIH), USA (International Centers of Excellence in Malaria Research [ICEMR] program, grant U19 AI089681 to Joseph M. Vinetz). A. P., M. B. M., J. S-S., and M. C. C. receive or received scholarships from FAPESP. P. A. R. N., R. M. C., M. A. C., M. C. C., and M. U. F. receive or received scholarships from CNPq.</t>
  </si>
  <si>
    <t xml:space="preserve">Dellicour S., Tatem A.J., Guerra C.A., Snow R.W., Ter Kuile F.O., Quantifying the number of pregnancies at risk of malaria in 2007: A demographic study, PLoS Med, 7, (2010); Rogerson S.J., Desai M., Mayor A., Sicuri E., Taylor S.M., Van Eijk A.M., Burden, pathology, and costs of malaria in pregnancy: New developments for an old problem, Lancet Infect Dis, 18, pp. e107-e118, (2018); Steketee R.W., Nahlen B.L., Parise M.E., Menendez C., The burden of malaria in pregnancy in malaria-endemic areas, Am J Trop Med Hyg, 64, pp. 28-35, (2001); Singh N., Singh M.P., Wylie B.J., Hussain M., Kojo Y.A., Shekhar C., Sabin L., Desai M., Udhayakumar V., Hamer D.H., Malaria prevalence among pregnant women in two districts with differing endemicity in Chhattisgarh, India, Malar J, 11, (2012); Brutus L., Santalla J., Schneider D., Avila J.C., Deloron P., Plasmodium vivax malaria during pregnancy, Bolivia, Emerg Infect Dis, 19, pp. 1605-1611, (2013); Yanow S.K., Gavina K., Gnidehou S., Maestre A., Impact of malaria in pregnancy as Latin America approaches elimination, Trends Parasitol, 32, pp. 416-427, (2016); Nosten F., McGready R., Simpson J.A., Thwai K.L., Balkan S., Cho T., Hkirijaroen L., Looareesuwan S., White N.J., Effects of Plasmodium vivax malaria in pregnancy, Lancet, 354, pp. 546-549, (1999); Luxemburger C., McGready R., Kham A., Morison L., Cho T., Chongsuphajaisiddhi T., White N.J., Nosten F., Effects of malaria during pregnancy on infant mortality in an area of low malaria transmission, Am J Epidemiol, 154, pp. 459-465, (2001); Poespoprodjo J.R., Et al., Adverse pregnancy outcomes in an area where multidrug-resistant Plasmodium vivax and Plasmodium falciparum infections are endemic, Clin Infect Dis, 46, pp. 1374-1381, (2008); Bardaji A., Et al., Burden and impact of Plasmodium vivax in pregnancy: A multi-centre prospective observational study, PLoS Negl Trop Dis, 11, (2017); McGready R., Et al., The effects of Plasmodium falciparum and P, Vivax Infections on Placental Histopathology in An Area of Lowmalaria Transmission. Am J TropMed Hyg, 70, pp. 398-407, (2004); Souza R.M., Ataide R., Dombrowski J.G., Ippolito V., Aitken E.H., Valle S.N., Alvarez J.M., Epipha'Nio S., Marinho C.R.F., Placental histopathological changes associated with Plasmodium vivax infection during pregnancy, PLoS Negl Trop Dis, 7, (2013); Machado Filho A.C., Da Costa E.P., Da Costa E.P., Reis I.S., Fernandes E.A.C., Paim B.V., Martinez-Espinosa F.E., Effects of vivax malaria acquired before 20 weeks of pregnancy on subsequent changes in fetal growth, Am J Trop Med Hyg, 90, pp. 371-376, (2014); Umbers A.J., Aitken E.H., Rogerson S.J., Malaria in pregnancy: Small babies, big problem, Trends Parasitol, 27, pp. 168-175, (2001); Guidelines for the Treatment of Malaria, III Edition, (2015); Marchesini P., Costa F.T.M., Marinho C.R.F., A decade of malaria during pregnancy in Brazil: What has been done concerning prevention and management, Mem Inst Oswaldo Cruz, 109, pp. 706-708, (2014); Luz T.C., Suarez-Mutis M.C., Miranda E.S., Moritz A.F., Freitas L.F., Brasil J.C., Osorio-De-Castro C.G., Uncomplicated malaria among pregnant women in the Brazilian Amazon: Local barriers to prompt and effective case management, Acta Trop, 125, pp. 137-142, (2013); Mayor A., Moro L., Aguilar R., Bardaji A., Cistero P., Serra-Casas E., Sigauque B., Alonso P.L., Ordi J., Menendez C., Howhidden can malaria be in pregnant women. Diagnosis by microscopy, placental histology, polymerase chain reaction and detection of histidine-rich protein 2 in plasma, Clin Infect Dis, 54, pp. 1561-1568, (2012); Ferreira M.U., Castro M.C., Challenges for malaria elimination in Brazil, Malar J, 15, (2016); Sinka M.E., Rubio-Palis Y., Manguin S., Patil A.P., Temperley W.H., Gething P.W., Van Boeckel T., Kabaria C.W., Harbach R.E., Hay S.I., The dominant Anopheles vectors of humanmalaria in the Americas: Occurrence data, distribution maps and bionomic précis, Parasit Vectors, 3, (2010); Reis I.C., Et al., Contribution of fish farming ponds to the production of immature Anopheles spp. in a malaria-endemic Amazonian town, Malar J, 14, (2015); Sistema de Informação Sobre Nascidos Vivos, (2018); Filmer D., Pritchett L.H., Estimating wealth effects without expenditure data-or tears: An application to educational enrollments in states of India, Demography, 38, pp. 115-132, (2001); Wylie B.J., Et al., Gestational age assessment in malaria pregnancy cohorts: A prospective ultrasound demonstration project in Malawi, Malar J, 12, (2013); Salomon L.J., Bernard J.P., Duyme M., Doris B., Mas N., Ville Y., Feasibility and reproducibility of an image-scoring method for quality control of fetal biometry in the second trimester, Ultrasound Obstet Gynecol, 27, pp. 34-40, (2006); Low-Risk Antenatal Care [In Portuguese], (2012); Practical Guidelines for Malaria Therapy [In Portuguese], (2010); Villar J., Et al., International standards for newborn weight, length, and head circumference by gestational age and sex: The newborn crosssectional study of the INTERGROWTH-21st project, Lancet, 384, pp. 857-868, (2014); Rougemont M., Van Saanen M., Sahli R., Hinrikson H.P., Bille J., Jaton K., Detection of four Plasmodium species in blood from humans by 18S rRNA gene subunit-based and speciesspecific real-time PCR assays, J Clin Microbiol, 42, pp. 5636-5643, (2004); Victora C.G., Huttly S.R., Fuchs S.C., Olinto M.T., The role of conceptual frameworks in epidemiological analysis: A hierarchical approach, Int J Epidemiol, 26, pp. 224-227, (1997); Negreiros Do Valle S.C., Malaria in the Municipality of Cruzeiro Do Sul, Brazilian Amazon [in Portuguese], (2011); Carter K.H., Singh P., Mujica O.J., Escalada R.P., Ade M.P., Castellanos L.G., Espinal M.A., Malaria in the Americas: Trends from 1959 to 2011, Am J Trop Med Hyg, 92, pp. 302-316, (2015); Carmona-Fonseca J., Agudelo O.M., Arango E.M., Asymptomatic plasmodial infection in Colombian pregnant women, Acta Trop, 172, pp. 97-101, (2017); Agudelo-Garcia O.M., Arango-Florez E.M., Carmona-Fonseca J., Submicroscopic and asymptomatic congenital infection by Plasmodium vivax or P. Falciparum in Colombia: 37 cases with placental histopathology and cytokine profile in maternal and placental blood, J Trop Med, 2017, (2017); Pineros-Jimenez J.G., Arboleda M., Jaramillo J.C., Blair S., Report of five cases of severe neonatal Plasmodium vivax malaria in Urabá, Colombia [in Spanish], Biomedica, 28, pp. 471-479, (2008); Pineros-Jimenez J.G., Alvarez G., Tobon A., Arboleda M., Carrero S., Blair S., Congenital malaria in Urabá, Colombia, Malar J, 10, (2011); Rodriguez-Morales A.J., Sanchez E., Vargas M., Piccolo C., Colina R., Arria M., Franco-Paredes C., Short report: Pregnancy outcomes associated with Plasmodium vivax malaria in northeastern Venezuela, Am J Trop Med Hyg, 74, pp. 755-757, (2006); McGready R., Et al., Adverse effects of falciparum and vivax malaria and the safety of antimalarial treatment in early pregnancy: A population-based study, Lancet Infect Dis, 12, pp. 388-396, (2012); Moore K.A., Et al., Influence of the number and timing of malaria episodes during pregnancy on prematurity and small-forgestational-age in an area of lowtransmission, BMCMed, 15, (2017); Schmiegelow C., Et al., Plasmodium falciparum infection early in pregnancy has profound consequences for fetal growth, J Infect Dis, 216, pp. 1601-1610, (2017); Huynh B.T., Cottrell G., Cot M., Briand V., Burden of malaria in early pregnancy: A neglected problem, Clin Infect Dis, 60, pp. 598-604, (2015); Moore K.A., Simpson J.A., Scoullar M.J.L., McGready R., Fowkes F.J.I., Quantification of the association between malaria in pregnancy and stillbirth: A systematic review and meta-analysis, Lancet Glob Health, 5, pp. e1101-e1112, (2017)</t>
  </si>
  <si>
    <t xml:space="preserve">M.U. Ferreira; Department of Parasitology, Institute of Biomedical Sciences, University of São Paulo, São Paulo, Av. Prof. Lineu Prestes 1374, Cidade Universitária, 05508-900, Brazil; email: muferrei@usp.br</t>
  </si>
  <si>
    <t xml:space="preserve">2-s2.0-85049657614</t>
  </si>
  <si>
    <t xml:space="preserve">Chen Y.; Chu C.W.; Chen M.I.C.; Cook A.R.</t>
  </si>
  <si>
    <t xml:space="preserve">Chen, Yirong (56697838000); Chu, Collins Wenhan (57195512733); Chen, Mark I.C. (8215183800); Cook, Alex R. (23392022000)</t>
  </si>
  <si>
    <t xml:space="preserve">56697838000; 57195512733; 8215183800; 23392022000</t>
  </si>
  <si>
    <t xml:space="preserve">The utility of LASSO-based models for real time forecasts of endemic infectious diseases: A cross country comparison</t>
  </si>
  <si>
    <t xml:space="preserve">Introduction: Accurate and timely prediction for endemic infectious diseases is vital for public health agencies to plan and carry out any control methods at an early stage of disease outbreaks. Climatic variables has been identified as important predictors in models for infectious disease forecasts. Various approaches have been proposed in the literature to produce accurate and timely predictions and potentially improve public health response. Methods: We assessed how the machine learning LASSO method may be useful in providing useful forecasts for different pathogens in countries with different climates. Separate LASSO models were constructed for different disease/country/forecast window with different model complexity by including different sets of predictors to assess the importance of different predictors under various conditions. Results: There was a more apparent cyclicity for both climatic variables and incidence in regions further away from the equator. For most diseases, predictions made beyond 4 weeks ahead were increasingly discrepant from the actual scenario. Prediction models were more accurate in capturing the outbreak but less sensitive to predict the outbreak size. In different situations, climatic variables have different levels of importance in prediction accuracy. Conclusions: For LASSO models used for prediction, including different sets of predictors has varying effect in different situations. Short term predictions generally perform better than longer term predictions, suggesting public health agencies may need the capacity to respond at short-notice to early warnings. © 2018 Elsevier Inc.</t>
  </si>
  <si>
    <t xml:space="preserve">10.1016/j.jbi.2018.02.014</t>
  </si>
  <si>
    <t xml:space="preserve">https://www.scopus.com/inward/record.uri?eid=2-s2.0-85044538905&amp;doi=10.1016%2fj.jbi.2018.02.014&amp;partnerID=40&amp;md5=6386048f778ba8373a400b28d3b48e3c</t>
  </si>
  <si>
    <t xml:space="preserve">Saw Swee Hock School of Public Health, National University of Singapore and National University Health System, Tahir Foundation Building, 12 Science Drive 2, 117549, Singapore; Genome Institute of Singapore, 60 Biopolis Street, Genome, 138672, Singapore; Department of Clinical Epidemiology, Communicable Disease Centre, Tan Tock Seng Hospital, Singapore, Moulmein Road, 308433, Singapore</t>
  </si>
  <si>
    <t xml:space="preserve">Chen Y., Saw Swee Hock School of Public Health, National University of Singapore and National University Health System, Tahir Foundation Building, 12 Science Drive 2, 117549, Singapore; Chu C.W., Genome Institute of Singapore, 60 Biopolis Street, Genome, 138672, Singapore; Chen M.I.C., Saw Swee Hock School of Public Health, National University of Singapore and National University Health System, Tahir Foundation Building, 12 Science Drive 2, 117549, Singapore, Department of Clinical Epidemiology, Communicable Disease Centre, Tan Tock Seng Hospital, Singapore, Moulmein Road, 308433, Singapore; Cook A.R., Saw Swee Hock School of Public Health, National University of Singapore and National University Health System, Tahir Foundation Building, 12 Science Drive 2, 117549, Singapore</t>
  </si>
  <si>
    <t xml:space="preserve">Endemic infectious disease; LASSO; Real time forecast</t>
  </si>
  <si>
    <t xml:space="preserve">Algorithms; Chickenpox; Climate; Communicable Disease Control; Communicable Diseases; Dengue; Disease Outbreaks; Forecasting; Hand, Foot and Mouth Disease; Humans; Incidence; Infectious Disease Medicine; Japan; Machine Learning; Malaria; Models, Statistical; Public Health; Reproducibility of Results; Singapore; Taiwan; Thailand; Wavelet Analysis; Disease control; Diseases; Learning systems; Public health; Climatic variables; Country comparisons; Infectious disease; LASSO; Prediction accuracy; Public-health agencies; Real-time forecasts; Short term prediction; Article; climate; comparative study; controlled study; endemic disease; equator; forecasting; geography; human; infection; infectious agent; intermethod comparison; machine learning; mathematical model; measurement accuracy; nonhuman; prediction; priority journal; public health; real time forecast; sensitivity analysis; algorithm; chickenpox; communicable disease; communicable disease control; dengue; epidemic; hand foot and mouth disease; incidence; infectious disease medicine; Japan; malaria; procedures; reproducibility; Singapore; statistical model; Taiwan; Thailand; wavelet analysis; Forecasting</t>
  </si>
  <si>
    <t xml:space="preserve">National University Health System, NUHS</t>
  </si>
  <si>
    <t xml:space="preserve">The work was partially supported by the Singapore Population Health Improvement Centre (SPHERIC), National University Health System . </t>
  </si>
  <si>
    <t xml:space="preserve">Heymann D.L., Rodier G., Global surveillance, national surveillance, and SARS, Emerg. Infect. Dis., 10, 2, pp. 173-175, (2004); 362, 18, pp. 1708-1719, (2010); Assiri A., McGeer A., Perl T.M., Price C.S., Al Rabeeah A.A., Cummings D.A.T., Et al., Hospital outbreak of Middle East respiratory syndrome coronavirus, N. Engl. J. Med., 369, 5, pp. 407-416, (2013); Rainisch G., Shankar M., Wellman M., Merlin T., Meltzer M.I., Regional spread of Ebola virus, West Africa, 2014, Emerg. Infect. Dis., 21, 3, pp. 444-447, (2015); Baud D., Gubler D.J., Schaub B., Lanteri M.C., Musso D., An update on Zika virus infection, Lancet Lond. Engl., 390, pp. 2099-2109, (2017); Morens D.M., Folkers G.K., Fauci A.S., The challenge of emerging and re-emerging infectious diseases, Nature, 430, 6996, pp. 242-249, (2004); Wang L., Wang Y., Jin S., Wu Z., Chin D.P., Koplan J.P., Et al., Emergence and control of infectious diseases in China, The Lancet, 372, 9649, pp. 1598-1605, (2008); Fauci A.S., Emerging and reemerging infectious diseases: the perpetual challenge, Acad. Med. J. Assoc. Am. Med. Coll., 80, 12, pp. 1079-1085, (2005); Molinari N.-A.M., Ortega-Sanchez I.R., Messonnier M.L., Thompson W.W., Wortley P.M., Weintraub E., Et al., The annual impact of seasonal influenza in the US: measuring disease burden and costs, Vaccine, 25, 27, pp. 5086-5096, (2007); Peasah S.K., Azziz-Baumgartner E., Breese J., Meltzer M.I., Widdowson M.-A., Influenza cost and cost-effectiveness studies globally – a review, Vaccine, 31, 46, pp. 5339-5348, (2013); Sachs J., Malaney P., The economic and social burden of malaria, Nature, 415, 6872, pp. 680-685, (2002); Ooi E.-E., Goh K.-T., Gubler D.J., Dengue prevention and 35 years of vector control in Singapore, Emerg. Infect. Dis., 12, 6, pp. 887-893, (2006); Reidy M., Ryan F., Hogan D., Lacey S., Buckley C., Preparedness of hospitals in the Republic of Ireland for an influenza pandemic, an infection control perspective, BMC Public Health, 15, (2015); Rebmann T., APIC state-of-the-art report: the role of the infection preventionist in emergency management, Am. J. Infect. Control, 37, 4, pp. 271-281, (2009); Jovanovic M., Radovanovic S., Vukicevic M., Van Poucke S., Delibasic B., Building interpretable predictive models for pediatric hospital readmission using Tree-Lasso logistic regression, Artif. Intell. Med., 72, pp. 12-21, (2016); Beatty M.E., Stone A., Fitzsimons D.W., Hanna J.N., Lam S.K., Vong S., Guzman M.G., Mendez-Galvan J.F., Halstead S.B., Letson G.W., Kuritsky J., Mahoney R., Margolis H.S., Best practices in dengue surveillance: a report from the Asia-Pacific and Americas dengue prevention boards, PLoS Negl. Trop. Dis., 4, (2010); Poucke S.V., Zhang Z., Schmitz M., Vukicevic M., Laenen M.V., Celi L.A., Et al., Scalable predictive analysis in critically Ill patients using a visual open data analysis platform, PLOS ONE, 11, 1, (2016); Van Poucke S., Thomeer M., Heath J., Vukicevic M., Are randomized controlled trials the (g)old standard? From clinical intelligence to prescriptive analytics, J. Med. Internet Res., 18, 7, (2016); Zhang Y., Wang T., Liu K., Xia Y., Lu Y., Jing Q., Et al., Developing a time series predictive model for Dengue in Zhongshan, China based on weather and Guangzhou Dengue surveillance data, PLoS Negl. Trop. Dis., 10, 2, (2016); Johansson M.A., Reich N.G., Hota A., Brownstein J.S., Santillana M., Evaluating the performance of infectious disease forecasts: a comparison of climate-driven and seasonal dengue forecasts for Mexico, Sci. Rep., 26, 6, (2016); Zhang X., Hou F., Qiao Z., Li X., Zhou L., Liu Y., Et al., Temporal and long-term trend analysis of class C notifiable diseases in China from 2009 to 2014, BMJ Open., 6, 10, (2016); Pell B., Kuang Y., Viboud C., Chowell G., Using phenomenological models for forecasting the 2015 Ebola challenge, Epidemics, (2016); Held L., Meyer S., Bracher J., Probabilistic forecasting in infectious disease epidemiology: the 13th Armitage lecture: L. HELD, S. MEYER AND J. BRACHER, Stat. Med., (2017); Funk S., Camacho A., Kucharski A.J., Eggo R.M., Edmunds W.J., Real-time forecasting of infectious disease dynamics with a stochastic semi-mechanistic model, Epidemics, (2016); Cotar A.I., Falcuta E., Prioteasa L.F., Dinu S., Ceianu C.S., Paz S., Transmission dynamics of the West Nile virus in mosquito vector populations under the influence of weather factors in the danube delta, Romania, EcoHealth, (2016); Sundell N., Andersson L.-M., Brittain-Long R., Lindh M., Westin J., A four year seasonal survey of the relationship between outdoor climate and epidemiology of viral respiratory tract infections in a temperate climate, J. Clin. Virol. Off. Publ. Pan. Am. Soc. Clin. Virol., 7, 84, pp. 59-63, (2016); Butterworth M.K., Morin C.W., Comrie A.C., An analysis of the potential impact of climate change on dengue transmission in the Southeastern United States, Environ. Health Perspect., (2016); Wang P., Goggins W.B., Chan E.Y.Y., Hand, foot and mouth disease in Hong Kong: a time-series analysis on its relationship with weather, PloS One, 11, 8, (2016); Deyle E.R., Maher M.C., Hernandez R.D., Basu S., Sugihara G., Global environmental drivers of influenza, Proc. Natl. Acad. Sci. USA, (2016); Lowen A.C., Mubareka S., Steel J., Palese P., Influenza virus transmission is dependent on relative humidity and temperature, PLoS Pathog., 3, 10, (2007); Shaman J., Pitzer V.E., Viboud C., Grenfell B.T., Lipsitch M., Absolute humidity and the seasonal onset of influenza in the continental United States, PLoS Biol., 8, 2, (2010); da Cruz Ferreira D.A., Degener C.M., de Almeida Marques-Toledo C., Bendati M.M., Fetzer L.O., Teixeira C.P., Eiras A.E., Meteorological variables and mosquito monitoring are good predictors for infestation trends of Aedes aegypti, the vector of dengue, chikungunya and Zika, Parasit. Vectors, 10, (2017); Mordecai E.A., Cohen J.M., Evans M.V., Gudapati P., Johnson L.R., Lippi C.A., Et al., Detecting the impact of temperature on transmission of Zika, dengue, and chikungunya using mechanistic models, PLoS Negl. Trop. Dis., 11, 4, (2017); Tibshirani R., Regression shrinkage and selection via the lasso, J. R. Stat. Soc. Ser. B Methodol., 58, 1, pp. 267-288, (1996); Albert A., Anderson J.A., On the existence of maximum likelihood estimates in logistic regression models, Biometrika, 71, 1, pp. 1-10, (1984); Efron B., Hastie T., Johnstone I., Tibshirani R., Least angle regression, Ann. Stat., 32, 2, pp. 407-499, (2004); World Health Organization, (2017); Shi Y., Liu X., Kok S.-Y., Rajarethinam J., Liang S., Yap G., Chong C.-S., Lee K.-S., Tan S.S.Y., Chin C.K.Y., Lo A., Kong W., Ng L.C., Cook A.R., Three-month real-time dengue forecast models: an early warning system for outbreak alerts and policy decision support in Singapore, Environ. Health Perspect., 124, pp. 1369-1375, (2016); Peel M.C., Finlayson B.L., McMahon T.A., Updated world map of the Köppen-Geiger climate classification, Hydrol. Earth Syst. Sci., 11, 5, pp. 1633-1644, (2007); Chuang T.-W., Chaves L.F., Chen P.-J., Effects of local and regional climatic fluctuations on dengue outbreaks in southern Taiwan, PLOS ONE, 12, 6, (2017); Kipruto E.K., Ochieng A.O., Anyona D.N., Mbalanya M., Mutua E.N., Onguru D., Nyamongo I.K., Estambale B.B.A., Effect of climatic variability on malaria trends in Baringo County, Kenya, Malar. J., 16, (2017); Wang C., Cao K., Zhang Y., Fang L., Li X., Xu Q., Huang F., Tao L., Guo J., Gao Q., Guo X., Different effects of meteorological factors on hand, foot and mouth disease in various climates: a spatial panel data model analysis, BMC Infect. Dis., 16, (2016); Harigane K., Sumi A., Mise K., Kobayashi N., The role of temperature in reported chickenpox cases from 2000 to 2011 in Japan, Epidemiol. Infect., 143, 12, pp. 2666-2678, (2015); National Institute; Zhao X.; Grenfell B.T., Bjornstad O.N., Kappey J., Travelling waves and spatial hierarchies in measles epidemics, Nature, 414, 6865, pp. 716-723, (2001); Farge M., Wavelet transforms and their applications to turbulence, Annu. Rev. Fluid Mech., 24, 1, pp. 395-458, (1992); Torrence C., Compo G.P., A practical guide to wavelet analysis, Bull. Am. Meteorol. Soc., 79, 1, pp. 61-78, (1998); (2014); Chen Y., Cook A.R., Lim A.X.L., Randomness of dengue outbreaks on the equator, Emerg. Infect. Dis., 21, 9, pp. 1651-1653, (2015); Feng H., Duan G., Zhang R., Zhang W., Time series analysis of hand-foot-mouth disease hospitalization in Zhengzhou: establishment of forecasting models using climate variables as predictors, PLoS ONE, 9, 1, (2014); Zhao D., Wang L., Cheng J., Xu J., Xu Z., Xie M., Et al., Impact of weather factors on hand, foot and mouth disease, and its role in short-term incidence trend forecast in Huainan City, Anhui Province. Int J Biometeorol, (2016); Song X., Xiao J., Deng J., Kang Q., Zhang Y., Xu J., Time series analysis of influenza incidence in Chinese provinces from 2004 to 2011, Medicine (Baltimore), 95, 26, (2016); Craigmile P.F., Kim N., Fernandez S.A., Bonsu B.K., Modeling and detection of respiratory-related outbreak signatures, BMC Med. Inf. Decis. Making, 5, 7, (2007); Nobre F.F., Monteiro A.B., Telles P.R., Williamson G.D., Dynamic linear model and SARIMA: a comparison of their forecasting performance in epidemiology, Stat. Med., 20, 20, pp. 3051-3069, (2001); Goldstein E., Cowling B.J., Aiello A.E., Takahashi S., King G., Lu Y., Et al., Estimating incidence curves of several infections using symptom surveillance data, PLoS ONE, 6, 8, (2011); Zhang X.-S., Pebody R., Charlett A., de Angelis D., Birrell P., Kang H., Baguelin M., Choi Y.H., Estimating and modelling the transmissibility of middle east respiratory syndrome corona virus during the 2015 outbreak in the Republic of Korea, Influenza Other Respir Viruses, 11, pp. 434-444, (2017); Zhao X., Fang V.J., Ohmit S.E., Monto A.S., Cook A.R., Cowling B.J., Quantifying protection against influenza virus infection measured by hemagglutination-inhibition assays in vaccine trials, Epidemiology, 27, 1, pp. 143-151, (2016); Kasowski E.J., Garten R.J., Bridges C.B., Influenza pandemic epidemiologic and virologic diversity: reminding ourselves of the possibilities, Clin. Infect. Dis., 52, pp. S44-S49, (2011); Keeling M.J., Eames K.T.D., Networks and epidemic models, J. R. Soc. Interface, 2, 4, pp. 295-307, (2005); Chao D.L., Halloran M.E., Obenchain V.J., FluTE I.M.L., A publicly available stochastic influenza epidemic simulation model, PLOS Comput. Biol., 6, 1, (2010); World Health Organization, (2009); Enserink M., INFECTIOUS DISEASES: massive outbreak draws fresh attention to little-known virus, Science, 311, 5764, (2006); Campos G.S., Bandeira A.C., Sardi S.I., Zika virus outbreak, Bahia, Brazil, Emerg Infect Dis., 21, 10, pp. 1885-1886, (2015); Halder N., Kelso J.K., Milne G.J., Analysis of the effectiveness of interventions used during the 2009 A/H1N1 influenza pandemic, BMC Public Health, 10, (2010); Dickens B.L., Yang J., Cook A.R., Carrasco L.R., Time to empower release of insects carrying a dominant lethal and Wolbachia against Zika, Open Forum Infect Dis, 3, 2, (2016); Paez Chavez J., Gotz T., Siegmund S., Wijaya K.P., An SIR-Dengue transmission model with seasonal effects and impulsive control, Math. Biosci., 1, 289, pp. 29-39, (2017)</t>
  </si>
  <si>
    <t xml:space="preserve">A.R. Cook; Saw Swee Hock School of Public Health, National University of Singapore and National University Health System, Tahir Foundation Building, 12 Science Drive 2, 117549, Singapore; email: alex.richard.cook@gmail.com</t>
  </si>
  <si>
    <t xml:space="preserve">2-s2.0-85044538905</t>
  </si>
  <si>
    <t xml:space="preserve">Walker J.W.; Han B.A.; Ott I.M.; Drake J.M.</t>
  </si>
  <si>
    <t xml:space="preserve">Walker, Joseph W. (57204592141); Han, Barbara A. (9736346500); Ott, Isabel M. (57216774133); Drake, John M. (7201816666)</t>
  </si>
  <si>
    <t xml:space="preserve">57204592141; 9736346500; 57216774133; 7201816666</t>
  </si>
  <si>
    <t xml:space="preserve">Transmissibility of emerging viral zoonoses</t>
  </si>
  <si>
    <t xml:space="preserve">Effective public health research and preparedness requires an accurate understanding of which virus species possess or are at risk of developing human transmissibility. Unfortunately, our ability to identify these viruses is limited by gaps in disease surveillance and an incomplete understanding of the process of viral adaptation. By fitting boosted regression trees to data on 224 human viruses and their associated traits, we developed a model that predicts the human transmission ability of zoonotic viruses with over 84% accuracy. This model identifies several viruses that may have an undocumented capacity for transmission between humans. Viral traits that predicted human transmissibility included infection of nonhuman primates, the absence of a lipid envelope, and detection in the human nervous system and respiratory tract. This predictive model can be used to prioritize high-risk viruses for future research and surveillance, and could inform an integrated early warning system for emerging infectious diseases. © 2018 Walker et al. This is an open access article distributed under the terms of the Creative Commons Attribution License, which permits unrestricted use, distribution, and reproduction in any medium, provided the original author and source are credited.</t>
  </si>
  <si>
    <t xml:space="preserve">e0206926</t>
  </si>
  <si>
    <t xml:space="preserve">10.1371/journal.pone.0206926</t>
  </si>
  <si>
    <t xml:space="preserve">https://www.scopus.com/inward/record.uri?eid=2-s2.0-85056256725&amp;doi=10.1371%2fjournal.pone.0206926&amp;partnerID=40&amp;md5=5ad7544a28c93af99b5bcf210cfbf3f3</t>
  </si>
  <si>
    <t xml:space="preserve">Odum School of Ecology, University of Georgia, Athens, GA, United States; Center for Ecology of Infectious Diseases, University of Georgia, Athens, GA, United States; Cary Institute for Ecosystem Studies, Millbrook, NY, United States; College of Veterinary Medicine, Southeastern Cooperative Wildlife Disease Study, University of Georgia, Athens, GA, United States</t>
  </si>
  <si>
    <t xml:space="preserve">Walker J.W., Odum School of Ecology, University of Georgia, Athens, GA, United States, Center for Ecology of Infectious Diseases, University of Georgia, Athens, GA, United States; Han B.A., Cary Institute for Ecosystem Studies, Millbrook, NY, United States; Ott I.M., College of Veterinary Medicine, Southeastern Cooperative Wildlife Disease Study, University of Georgia, Athens, GA, United States; Drake J.M., Odum School of Ecology, University of Georgia, Athens, GA, United States, Center for Ecology of Infectious Diseases, University of Georgia, Athens, GA, United States</t>
  </si>
  <si>
    <t xml:space="preserve">Animals; Communicable Diseases, Emerging; Epidemiological Monitoring; Humans; Machine Learning; Models, Biological; Public Health; Virus Diseases; Viruses; Zoonoses; Arenaviridae; Article; boosted regression tree; Bunyaviridae; Chikungunya virus; controlled study; Dengue virus; Flaviviridae; human; machine learning; nonhuman; O nyong nyong virus; Oropouche virus; Poxviridae; Togaviridae; virion; virus envelope; virus genome; virus particle; virus transmission; Yellow fever virus; animal; biological model; communicable disease; epidemiological monitoring; pathogenicity; public health; transmission; virology; virus; virus infection; zoonosis</t>
  </si>
  <si>
    <t xml:space="preserve">National Science Foundation, NSF, (1717282); National Science Foundation, NSF</t>
  </si>
  <si>
    <t xml:space="preserve">Jones K.E., Et al., Global trends in emerging infectious diseases, Nature, 451, pp. 990-993, (2008); Woolhouse M.E.J., Brierley L., McCaffery C., Lycett S., Assessing the Epidemic Potential of RNA and DNA Viruses. Emerg, Infect. Dis., 22, pp. 2037-2044, (2016); Taylor L.H., Latham S.M., Woolhouse M.E.J., Risk factors for human disease emergence, Phil. Trans. R. Soc. B., 356, pp. 983-989, (2001); Lloyd-Smith J.O., Et al., Epidemic Dynamics at the Human-Animal Interface, Science, 362, pp. 1362-1367, (2009); Morse S.S., Schluederberg A., Emerging Viruses: The Evolution of Viruses and Viral Diseases, J. Infect. Dis., 162, pp. 1-7, (1990); Piot P., Bartos M., Ghys P.D., Walker N., Schwartlander B., The global impact of HIV/AIDS, Nature, 410, pp. 968-973, (2001); Bhatt S., Et al., The global distribution and burden of dengue, Nature, 496, pp. 504-507, (2013); Socio-Economic Impact of Ebola Virus Disease in West African Countries, (2015); Siedner M.J., Gostin L.O., Cranmer H.H., Kraemer J.D., Strengthening the Detection of and Early Response to Public Health Emergencies: Lessons from the West African Ebola Epidemic, PLoS Med, 12, (2015); Han B.A., Drake J.M., Future directions in analytics for infectious disease intelligence, EMBO Reports, (2016); Plowright R.K., Et al., Pathways to zoonotic spillover, Nature Rev. Microbiol, (2017); Parrish C.R., Et al., Cross-species Virus Transmission and the Emergence of New Epidemic Diseases, Microbiology and Molecular Biology Reviews, 72, pp. 457-470, (2008); Evans M.V., Et al., Data-driven identification of potential Zika virus vectors, ELife, 6, (2017); Yang L.H., Han B.A., Data-driven predictions and novel hypotheses about zoonotic tick vectors from the genus Ixodes, BMC Ecology, 18, (2018); Olival K.J., Et al., Host and viral traits predict zoonotic spillover from mammals, Nature, 451, pp. 990-993, (2017); Han B.A., Schmidt J.P., Bowden S.E., Drake J.M., Rodent reservoirs of future zoonotic diseases, Proc. Natl. Acad. Sci., 112, pp. 7039-7044, (2015); Han B.A., Et al., Undiscovered Bat Hosts of Filoviruses, PLoS. Negl. Trop. Dis, 10, (2016); Geoghegan J.L., Senior A.M., Giallonardo F.D., Holmes E.C., Virological factors that increase the transmissibility of emerging human viruses, Proc. Natl. Acad. Sci., 113, pp. 4170-4175, (2016); Elith J., Leathwick J.R., Hastie T., A working guide to boosted regression trees, J. Anim. Ecol, 77, pp. 802-813, (2008); Friedman J., Hastie T., Tibshirani R., The Elements of Statistical Learning: Data Mining, (2009); Herfst S., Et al., Drivers of airborne human-to-human pathogen transmission, Current Opinion in Virology, 22, pp. 22-29, (2017); Boone S.A., Gerba C.P., Significance of Fomites in the Spread of Respiratory and Enteric Viral Disease, Appl. Environ. Microbiol, 73, pp. 1687-1696, (2007); Lucas W., Knipe D.M., Viral Capsids and Envelopes: Structure and Function, Encyclopedia of Life Sciences; Jepsen J.R., Et al., Aleutian Mink Disease Virus and Humans, Emerg. Infect. Dis., 15, pp. 2040-2042, (2009); Playford E.G., Et al., Human Hendra Virus Encephalitis Associated with Equine Outbreak, Australia, 2008, Emerg. Infect. Dis., 16, pp. 219-223, (2010); Oberste M.S., Et al., Human Febrile Illness Caused by Encephalomyocarditis Virus Infection, Peru, Emerg. Infect. Dis., 15, pp. 640-646, (2009); Blinkova O., Et al., Cardioviruses Are Genetically Diverse and Cause Common Enteric Infections in South Asian Children, J. Virol., 83, pp. 4631-4641; Lim E.S., Cao S., Holtz L.R., Antonio M., Stine O.C., Wang D., Discovery of rosavirus 2, a novel variant of a rodent-associated picornavirus, in children from The Gambia, Virology, pp. 25-33; Mahieux R., Gessain A., HTLV-3/STLV-3 and HTLV-4 Viruses: Discovery, Epidemiology, Serology and Molecular Aspects, Viruses, 3, pp. 1074-1090, (2011); Calattini S., Simian Foamy Virus Transmission from Apes to Humans, Rural Cameroon, Emerg. Infect. Dis., 13, pp. 1314-1320, (2007); Halliday J., Et al., Bringing together emerging and endemic zoonoses surveillance: Shared challenges and a common solution, Phil. Trans. R. Soc. B., 367, pp. 2872-2880, (2012); Jhung M.A., Et al., Epidemiology of 2009 Pandemic Influenza A (H1N1) in the United States, Clin. Infect. Dis., 52, pp. S13-S26; Payungporn S., Et al., Influenza A Virus (H3N8) in Dogs with Respiratory Disease, Emerg. Infect. Dis., 14, pp. 902-908; Geoghegan J.L., Duchene S., Holmes E.C., Comparative analysis estimates the relative frequencies of co-divergence and cross-species transmission within viral families, PLoS Pathog, 13; Holmes E.C., The Evolution and Emergence of RNA Viruses, (2009); Sanjuan R., Domingo-Calap P., Mechanisms of viral mutation, Cell. Mol. Life. Sci, 73, pp. 4433-4448, (2016); The comparative genomics of viral emergence, Holmes E. C., Proc. Natl. Acad. Sci., 107, pp. 1742-1746, (2010); Tomley F.M., Shirley M.W., Livestock infectious diseases and zoonoses, Phil. Trans. R. Soc. B., 364, pp. 2637-2642, (2009); Woelk C.H., Holmes E.C., Reduced Positive Selection in Vector-Borne RNA Viruses, Mol. Biol. Evol, 19, pp. 2333-2336, (2000); Berger S.A., GIDEON: A comprehensive Web-based resource for geographic medicine, International Journal of Health Geographics, 4, (2005); Hulo C., Et al., ViralZone: A knowledge resource to understand virus diversity, Nucleic. Acids. Res., 39, pp. 576-582, (2011); Pickett B., Et al., ViPR: An open bioinformatics database and analysis resource for virology research, Nucleic. Acids. Res., 40, pp. 593-598, (2011); Virus Taxonomy: The Classification and Nomenclature of Viruses-The Online (10th) Report of the ICTV; R: A Language and Environment for Statistical Computing, (2016); Ridgeway G., Gbm: Generalized Boosted Regression Models, (2017); Friedman J.H., Greedy function approximation: A gradient boosting machine, The Annals of Statistics, 29, pp. 1189-1232, (2001); Hastie T., Fithian W., Inference from presence-only data; the ongoing controversy, Ecography, 36, pp. 864-867, (2013); Lancaster T., Imbens G., Case-control studies with contaminated controls, Journal of Econometrics, 71, pp. 145-160, (1996)</t>
  </si>
  <si>
    <t xml:space="preserve">2-s2.0-85056256725</t>
  </si>
  <si>
    <t xml:space="preserve">Rajaraman S.; Silamut K.; Hossain M.A.; Ersoy I.; Maude R.J.; Jaeger S.; Thoma G.R.; Antani S.K.</t>
  </si>
  <si>
    <t xml:space="preserve">Rajaraman, Sivaramakrishnan (51764361200); Silamut, Kamolrat (57208458283); Hossain, Md. A. (7402472823); Ersoy, I. (6507396660); Maude, Richard J. (25625222500); Jaeger, Stefan (55516608100); Thoma, George R. (7005141497); Antani, Sameer K. (6701355570)</t>
  </si>
  <si>
    <t xml:space="preserve">51764361200; 57208458283; 7402472823; 6507396660; 25625222500; 55516608100; 7005141497; 6701355570</t>
  </si>
  <si>
    <t xml:space="preserve">Understanding the learned behavior of customized convolutional neural networks toward malaria parasite detection in thin blood smear images</t>
  </si>
  <si>
    <t xml:space="preserve">Convolutional neural networks (CNNs) have become the architecture of choice for visual recognition tasks. However, these models are perceived as black boxes since there is a lack of understanding of the learned behavior from the underlying task of interest. This lack of transparency is a serious drawback, particularly in applications involving medical screening and diagnosis since poorly understood model behavior could adversely impact subsequent clinical decision-making. Recently, researchers have begun working on this issue and several methods have been proposed to visualize and understand the behavior of these models. We highlight the advantages offered through visualizing and understanding the weights, saliencies, class activation maps, and region of interest localizations in customized CNNs applied to the challenge of classifying parasitized and uninfected cells to aid in malaria screening. We provide an explanation for the models' classification decisions. We characterize, evaluate, and statistically validate the performance of different customized CNNs keeping every training subject's data separate from the validation set. © 2018 Society of Photo-Optical Instrumentation Engineers (SPIE).</t>
  </si>
  <si>
    <t xml:space="preserve">10.1117/1.JMI.5.3.034501</t>
  </si>
  <si>
    <t xml:space="preserve">https://www.scopus.com/inward/record.uri?eid=2-s2.0-85050652206&amp;doi=10.1117%2f1.JMI.5.3.034501&amp;partnerID=40&amp;md5=43ddebb6c05f590b6caaba8c64aefefb</t>
  </si>
  <si>
    <t xml:space="preserve">Lister Hill National Center for Biomedical Communications, National Library of Medicine, Bethesda, MD, United States; Mahidol University, Mahidol Oxford Tropical Medicine Research Unit, Bangkok, Thailand; Chittagong Medical Hospital, Department of Medicine, Chittagong, Bangladesh; University of Missouri, MU Informatics Institute, Department of Pathology and Anatomical Science, Columbia, MO, United States; University of Oxford, Centre for Tropical Medicine and Global Health, Nuffield Department of Medicine, Oxford, United Kingdom</t>
  </si>
  <si>
    <t xml:space="preserve">Rajaraman S., Lister Hill National Center for Biomedical Communications, National Library of Medicine, Bethesda, MD, United States; Silamut K., Mahidol University, Mahidol Oxford Tropical Medicine Research Unit, Bangkok, Thailand; Hossain M.A., Chittagong Medical Hospital, Department of Medicine, Chittagong, Bangladesh; Ersoy I., University of Missouri, MU Informatics Institute, Department of Pathology and Anatomical Science, Columbia, MO, United States; Maude R.J., Mahidol University, Mahidol Oxford Tropical Medicine Research Unit, Bangkok, Thailand, University of Oxford, Centre for Tropical Medicine and Global Health, Nuffield Department of Medicine, Oxford, United Kingdom; Jaeger S., Lister Hill National Center for Biomedical Communications, National Library of Medicine, Bethesda, MD, United States; Thoma G.R., Lister Hill National Center for Biomedical Communications, National Library of Medicine, Bethesda, MD, United States; Antani S.K., Lister Hill National Center for Biomedical Communications, National Library of Medicine, Bethesda, MD, United States</t>
  </si>
  <si>
    <t xml:space="preserve">blood smears; classification; computer-aided diagnosis; convolutional neural networks; deep learning; visualization</t>
  </si>
  <si>
    <t xml:space="preserve">Blood; Classification (of information); Computer aided instruction; Convolution; Decision making; Deep learning; Diseases; Flow visualization; Image segmentation; Neural networks; Blood smears; Classification decision; Clinical decision making; Convolutional neural network; Medical screening; Modeling behavior; Region of interest; Visual recognition; article; blood smear; conditioning; controlled study; human; nervous system; nonhuman; Plasmodium; scientist; validation process; Computer aided diagnosis</t>
  </si>
  <si>
    <t xml:space="preserve">MORU; National Institutes of Health, NIH; U.S. National Library of Medicine, NLM; Wellcome Trust, WT; Lister Hill National Center for Biomedical Communications, LHNCBC</t>
  </si>
  <si>
    <t xml:space="preserve">This work was supported, in part, by the Intramural Research Program of the Lister Hill National Center for Biomedical Communications (LHNCBC), the National Library of Medicine (NLM), and the U.S. National Institutes of Health (NIH). The Mahidol-Oxford Research Unit (MORU) is funded by the Wellcome Trust of Great Britain.</t>
  </si>
  <si>
    <t xml:space="preserve">Poostchi M., Et al., Image analysis and machine learning for detecting malaria, Transl. Res, 194, pp. 36-55, (2018); Das D.K., Et al., Machine learning approach for automated screening of malaria parasite using light microscopic images, Micron, 45, pp. 97-106, (2012); Ross N.E., Et al., Automated image processing method for the diagnosis and classification of malaria on thin blood smears, Med. Biol. Eng. Comput, 44, 5, pp. 427-436, (2006); Mitiku K., Mengistu G., Gelaw B., The reliability of blood film examination for malaria at the peripheral health unit, Ethiop. J. Health Dev, 17, 3, pp. 197-204, (2003); LeCun Y., Bengio Y., Hinton G., Deep learning, Nature, 521, 7553, pp. 436-444, (2015); Schmidhuber J., Deep learning in neural networks: An overview, Neural Networks, 61, pp. 85-117, (2015); Srivastava N., Et al., Dropout: A simple way to prevent neural networks from overfitting, J. Mach. Learn. Res, 15, pp. 1929-1958, (2014); Krizhevsky A., Sutskever I., Hinton G.E., ImageNet classification with deep convolutional neural networks, Advances in Neural Information Processing Systems, 25, pp. 1097-1105, (2012); Simonyan K., Zisserman A., Very deep convolutional networks for large-scale image recognition, CoRR, (2014); Szegedy C., Et al., Going deeper with convolutions, IEEE Conf. on Computer Vision and Pattern Recognition (CVPR, pp. 1-9, (2015); He K., Et al., Deep residual learning for image recognition, IEEE Conf. on Computer Vision and Pattern Recognition (CVPR, pp. 770-778, (2015); Szegedy C., Et al., Rethinking the inception architecture for computer vision, IEEE Conf. on Computer Vision and Pattern Recognition (CVPR, pp. 2818-2826, (2016); Chollet F., Xception: Deep learning with depthwise separable convolutions, IEEE Conf. on Computer Vision and Pattern Recognition (CVPR, pp. 1800-1807, (2017); Huang G., Et al., Densely connected convolutional networks, IEEE Conf. on Computer Vision and Pattern Recognition (CVPR, pp. 2261-2269, (2017); Zeiler M.D., Fergus R., Visualizing and understanding convolutional networks, Lect. Notes Comput. Sci, 8689, pp. 818-833, (2014); Samek W., Et al., Evaluating the visualization of what a deep neural network has learned, IEEE Trans. Neural Networks Learn. Syst, 28, 11, pp. 2660-2673, (2017); Suzuki K., Overview of deep learning in medical imaging, Radiol. Phys. Technol, 10, 3, pp. 257-273, (2017); Zhou B., Et al., Learning deep features for discriminative localization, IEEE Conf. on Computer Vision and Pattern Recognition (CVPR, pp. 2921-2929, (2016); Sivaramakrishnan R., Et al., Visualizing abnormalities in chest radiographs through salient network activations in deep learning, Proc. IEEE Life Sciences Conf. (LSC, pp. 71-74, (2017); Bar Y., Et al., Chest pathology detection using deep learning with nonmedical training, Proc. IEEE 12th Int. Symp. on Biomedical Imaging (ISBI, pp. 294-297, (2015); Wang X., Et al., ChestX-ray8: Hospital-scale chest X-ray database and benchmarks on weakly-supervised classification and localization of common thorax diseases, Proc. IEEE Conf. on Computer Vision and Pattern Recognition (CVPR, pp. 3462-3471, (2017); Liang Z., Et al., CNN-based image analysis for malaria diagnosis, Proc. IEEE Int. Conf. on Bioinformatics and Biomedicine (BIBM, pp. 493-496, (2017); Dong Y., Et al., Evaluations of deep convolutional neural networks for automatic identification of malaria infected cells, IEEE EMBS Int. Conf. on Biomedical and Health Informatics (BHI, pp. 101-104, (2017); LeCun Y., Et al., Gradient-based learning applied to document recognition, Proc. IEEE, 86, 11, pp. 2278-2324, (1998); Gopakumar G.P., Et al., Convolutional neural network-based malaria diagnosis from focus stack of blood smear images acquired using custom-built slide scanner, J. Biophotonics, 11, 5, (2017); Bibin D., Nair M.S., Punitha P., Malaria parasite detection from peripheral blood smear images using deep belief networks, IEEE Access, 5, pp. 9099-9108, (2017); LeCun Y., Bengio Y., Convolutional networks for images, speech, and time series, The Handbook of Brain Theory and Neural Networks, pp. 255-258, (1995); Shang W., Et al., Understanding and improving convolutional neural networks via concatenated rectified linear units, Proc. of 33rd Int. Conf. on Machine Learning (ICML, pp. 2217-2225, (2016); Botev A., Lever G., Barber D., Nesterov's accelerated gradient and momentum as approximations to regularised update descent, Int. Joint Conf. on Neural Networks (IJCNN, pp. 1899-1903, (2017); Bergstra J., Bengio Y., Random search for hyper-parameter optimization, J. Mach. Learn. Res, 13, pp. 281-305, (2012); Chollet F., Deep learning models, GitHub, (2017); Majumdar S., Dense Net implementation in Keras, Git Hub, (2017); Lipton Z.C., Elkan C., Naryanaswamy B., Optimal thresholding of classifiers to maximize F1 measure, Lect. Notes Comput. Sci, 8725, pp. 225-239, (2014); Matthews B.W., Comparison of the predicted and observed secondary structure of T4 phage lysozyme, Biochim. Biophys. Acta, Protein Struct, 405, 2, pp. 442-451, (1975); Ramprasaath R., Et al., Grad-CAM: Visual explanations from deep networks via gradient-based localization, IEEE Conf. on Computer Vision and Pattern Recognition (CVPR, pp. 618-626, (2017); Rossi J.S., One-way Anova from summary statistics, Educ. Psychol. Meas, 47, 1, pp. 37-38, (1987); Daya S., One-way analysis of variance, Evidence-Based Obstet. Gynecol., 5, 4, pp. 153-155, (2003); Vargha A., Delaney H.D., Vargha A., The Kruskal-Wallis test and stochastic homogeneity, J. Educ. Behav. Stat, 23, 2, pp. 170-192, (1998); Kucuk U., Et al., Importance of using proper post hoc test with ANOVA, Int. J. Cardiol, 209, (2016); Royston P., Approximating the Shapiro-Wilk W-test for non-normality, Stat. Comput, 2, 3, pp. 117-119, (1992); Gastwirth J.L., Gel Andw Miao Y.R., The impact of Levene's test of equality of variances on statistical theory and practice, Stat. Sci, 24, 3, pp. 343-360, (2009); IBM SPSS Statistics for Windows, (2015); Chicco D., Ten quick tips for machine learning in computational biology, BioData Min, 10, 1, (2017); Bressler S.L., Large-scale cortical networks and cognition, Brain Res. Rev, 20, 3, pp. 288-304, (1995)</t>
  </si>
  <si>
    <t xml:space="preserve">S. Rajaraman; Lister Hill National Center for Biomedical Communications, National Library of Medicine, Bethesda, United States; email: sivaramakrishnan.rajaraman@nih.gov</t>
  </si>
  <si>
    <t xml:space="preserve">2-s2.0-85050652206</t>
  </si>
  <si>
    <t xml:space="preserve">Rubaba O.; Chimbari M.J.; Soko W.; Manyangadze T.; Mukaratirwa S.</t>
  </si>
  <si>
    <t xml:space="preserve">Rubaba, O. (55338601000); Chimbari, M.J. (6603694073); Soko, W. (15077010500); Manyangadze, T. (56951316500); Mukaratirwa, S. (57201214447)</t>
  </si>
  <si>
    <t xml:space="preserve">55338601000; 6603694073; 15077010500; 56951316500; 57201214447</t>
  </si>
  <si>
    <t xml:space="preserve">Validation of a urine circulating cathodic antigen cassette test for detection of Schistosoma haematobiumin uMkhanyakude district of South Africa</t>
  </si>
  <si>
    <t xml:space="preserve">Circulating cathodic antigen (CCA) tests for schistosomiasis are fast and less complicated allowing making them good candidates for routine qualitative screening for schistosomiasis at point of care. The urine-CCA has been evaluated for detection of S. mansoni with promising results. Its specificity and consistency in detecting S. haematobium infection in different endemic regions has been variable. This study validated a rapid urine-CCA cassette test for qualitative detection of S. haematobium infection in an S. haematobium endemic area with low S. mansoni prevalence. Microscopic examination for the standard urine filtration technique was used to validate the commercially available urine-CCA cassette test (rapid medical diagnostics ®). The validation was done in a sample of primary school pupils (n = 420) aged 10–15 years in schools in the Jozini Municipality, KZN. There was a relationship between infection intensity and a positive urine-CCA test. Using the urine filtration method as the gold standard, the prevalence for S. haematobium was 40%, the accuracy of the CCA kit was 54.8%, sensitivity was 68.1% while the specificity was 45.8%. The positive predictive value was 45.82% while the negative predictive value was 68.05%. Both the urine filtration and the urine-CCA methods detected heavy (≥50 eggs/10 mL urine) and light infections at statistically significant levels. The overall accuracy, sensitivity and specificity of the urine-CCA cassette test were low. The urine-CCA cassette test performed much better for heavy infections than low infections (p &lt; 0.05) implying that the kit may not be suitable for low endemic areas. © 2018 Elsevier B.V.</t>
  </si>
  <si>
    <t xml:space="preserve">10.1016/j.actatropica.2018.02.029</t>
  </si>
  <si>
    <t xml:space="preserve">https://www.scopus.com/inward/record.uri?eid=2-s2.0-85042861366&amp;doi=10.1016%2fj.actatropica.2018.02.029&amp;partnerID=40&amp;md5=3696947aa5bffd1355793900c66e8898</t>
  </si>
  <si>
    <t xml:space="preserve">School of Nursing and Public Health, College of Health Science, University of KwaZulu-Natal, Durban, South Africa; School of Life Sciences, University of KwaZulu-Natal, Durban, South Africa</t>
  </si>
  <si>
    <t xml:space="preserve">Rubaba O., School of Nursing and Public Health, College of Health Science, University of KwaZulu-Natal, Durban, South Africa; Chimbari M.J., School of Nursing and Public Health, College of Health Science, University of KwaZulu-Natal, Durban, South Africa; Soko W., School of Nursing and Public Health, College of Health Science, University of KwaZulu-Natal, Durban, South Africa; Manyangadze T., School of Nursing and Public Health, College of Health Science, University of KwaZulu-Natal, Durban, South Africa; Mukaratirwa S., School of Life Sciences, University of KwaZulu-Natal, Durban, South Africa</t>
  </si>
  <si>
    <t xml:space="preserve">Point of care diagnosis; Schistosoma haematobium; Schistosoma mansoni; Urine circulating cathodic antigens</t>
  </si>
  <si>
    <t xml:space="preserve">Adolescent; Animals; Antigens, Helminth; Child; Cross-Sectional Studies; Female; Humans; Male; Point-of-Care Systems; Schistosomiasis haematobia; KwaZulu-Natal; South Africa; Umkhanyakude; Schistosoma; Schistosoma haematobium; Schistosoma mansoni; circulating cathodic antigen; parasite antigen; unclassified drug; parasite antigen; accuracy assessment; antigen; child health; detection method; endemic species; filtration; schistosomiasis; student; urine; adolescent; Article; child; controlled study; diagnostic accuracy; diagnostic test; diagnostic test accuracy study; endemic disease; human; nonhuman; parasite identification; predictive value; prevalence; qualitative analysis; Schistosoma haematobium; Schistosoma mansoni; schistosomiasis haematobia; school child; sensitivity and specificity; South Africa; urinalysis; urine; urine circulating cathodic antigen cassette test; validation process; animal; cross-sectional study; female; male; point of care system; schistosomiasis haematobia; urine; validation study</t>
  </si>
  <si>
    <t xml:space="preserve">Antigens, Helminth, </t>
  </si>
  <si>
    <t xml:space="preserve">Canadian International Development Research Centre; UNDP/World Bank/WHO Special Program for research and Training in Tropical Diseases; International Development Research Centre, IDRC; Inyuvesi Yakwazulu-Natali, UKZN</t>
  </si>
  <si>
    <t xml:space="preserve">This work was partly funded by the UNDP/World Bank/WHO Special Program for research and Training in Tropical Diseases (TDR) and the Canadian International Development Research Centre (IDRC) . The urine- CCA cassette kit, Kato-Katz kit and part of the formalin-ether sedimentation kit was kindly donated by the World Health Organisation. The lead author is a recipient of the College of Health Sciences of the University of KwaZulu-Natal postdoctoral fellowship.  </t>
  </si>
  <si>
    <t xml:space="preserve">Ayele B., Erko B., Legesse M., Hailu A., Medhin G., Evaluation of circulating cathodic antigen (CCA) strip for diagnosis of urinary schistosomiasis in Hassoba school children Afar, Ethiopia, Parasite, 15, 1, pp. 69-75, (2008); Bergquist R., Johansen M.V., Utzinger J., Diagnostic dilemmas in helminthology: what tools to use and when?, Trends Parasitol., 25, 4, pp. 151-156, (2009); Brooker S., Kabatereine N., Gyapong J., Stothard J., Utzinger J., Rapid mapping of schistosomiasis and other neglected tropical diseases in the context of integrated control programmes in Africa, Parasitology, 136, 13, pp. 1707-1718, (2009); Coulibaly J.T., Knopp S., N'Guessan N.A., Silue K.D., Furst T., Lohourignon L.K., N'Goran E.K., Accuracy of urine circulating cathodic antigen (CCA) test for Schistosoma mansoni diagnosis in different settings of Côte d'Ivoire, PLoS Negl. Trop. Dis., 5, 11, (2011); Daniel A.K., Spatial Analysis of Schistosoma Haematobium Infection Among School Children in a Rural Sub-District of South Africa: an Application of Geographical Information. Thesis, (2009); De Vlas S., Gryseels B., Underestimation of Schistosoma mansoni prevalences, Parasitol. Today, 8, 8, pp. 274-277, (1992); Katz N., Chaves A., Pellegring J., A Simple Device for Quantitative Stool Thick-Smear Technique in Schistosomiasis Manson, (1972); Knopp S., Corstjens P.L., Koukounari A., Cercamondi C.I., Ame S.M., Ali S.M., Rollinson D., Sensitivity and specificity of a urine circulating anodic antigen test for the diagnosis of Schistosoma haematobium in low endemic settings, PLoS Negl. Trop. Dis., 9, 5, (2015); Kremsner P.G., Deelder A.M., Rapid diagnosis of schistosomiasis by antigen detection in urine with a reagent strip, J. Clin. Microbiol., pp. 2404-2406, (1994); Kremsner P.G., Enyong P., Krijger F.W., De Jonge N., Zotter G.M., Thalhammer F., Deelder A.M., Circulating anodic and cathodic antigen in serum and urine from Schistosoma haematobium-infected Cameroonian children receiving praziquantel: a longitudinal study, Clin. Infect. Dis., 18, 3, pp. 408-413, (1994); Landis J.R., Koch G.G., The measurement of observer agreement for categorical data, Biometrics, pp. 159-174, (1977); Legesse M., Erko B., Field-based evaluation of a reagent strip test for diagnosis of Schistosoma mansoni by detecting circulating cathodic antigen in urine before and after chemotherapy, Trans. R. Soc. Trop. Med. Hyg., 101, 7, pp. 668-673, (2007); Malan H., Appleton C., Day J., Dini J., Wetlands and invertebrate disease hosts: are we askin for trouble, Water Sa, 35, 5, pp. 753-768, (2009); Mott K.E., Baltes R., Bambagha J., Baldassini B., Field studies of a reusable polyamide filter for detection of Schistosoma haematobium eggs by urine filtration, Tropenmedizin und Parasitologie, 33, 4, pp. 227-228, (1982); Naing L., Winn T., Rusli B.N., Practical issues in calculating the sample size for prevalence studies, Arch. Orofacial Sci., 1, pp. 9-14, (2006); Saathoff E., Olsen A., Magnussen P., Kvalsvig J.D., Becker W., Appleton C.C., Patterns of Schistosoma haematobium infection, impact of praziquantel treatment and re-infection after treatment in a cohort of schoolchildren from rural KwaZulu-Natal/South Africa, BMC Infect. Dis., 4, 1, (2004); Sharma S., Zapatero-Rodriguez J., Estrela P., O'Kennedy R., Point-of-care diagnostics in low resource settings: present status and future role of microfluidics, Biosensors, 5, 3, pp. 577-601, (2015); Stothard J.R., Kabatereine N.B., Tukahebwa E.M., Kazibwe F., Rollinson D., Mathieson W., Et al., Use of circulating cathodic antigen (CCA) dipsticks for detection of intestinal and urinary schistosomiasis, Acta Trop., 97, 2, pp. 219-228, (2006); Stothard J.R., Sousa-Figueiredo J.C., Standley C., Van Dam G.J., Knopp S., Utzinger J., Deelder A.M., An evaluation of urine-CCA strip test and fingerprick blood SEA-ELISA for detection of urinary schistosomiasis in schoolchildren in Zanzibar, Acta Trop., 111, 1, pp. 64-70, (2009); Utzinger J., Booth M., N'goran E., Muller I., Tanner M., Lengeler C., Relative contribution of day-to-day and intra-specimen variation in faecal egg counts of Schistosoma mansoni before and after treatment with praziquantel, Parasitology, 122, 5, pp. 537-544, (2001); Utzinger J., N'Goran E.K., Caffrey C.R., Keiser J., From innovation to application: social–ecological context, diagnostics, drugs and integrated control of schistosomiasis, Acta Trop., 120, pp. S121-S137, (2011); Van Dam G., Wichers J., Ferreira T.F., Ghati D., Van Amerongen A., Deelder A., Diagnosis of schistosomiasis by reagent strip test for detection of circulating cathodic antigen, J. Clin. Microbiol., 42, 12, pp. 5458-5461, (2004); WHO, Preventive Chemotherapy in Human Helminthiasis: Coordinated Use of Anthelminthic Drugs in Control Interventions: a Manual for Health Professionals and Programme Managers, (2006); Watson P.F., Petrie A., Method agreement analysis: a review of correct methodology, Theriogenelogy, pp. 1167-1179, (2010)</t>
  </si>
  <si>
    <t xml:space="preserve">O. Rubaba; School of Nursing and Public Health, College of Health Science, University of KwaZulu-Natal, Durban, South Africa; email: Rubaba@ukzn.ac.za</t>
  </si>
  <si>
    <t xml:space="preserve">2-s2.0-85042861366</t>
  </si>
  <si>
    <t xml:space="preserve">Lakshmi Devi R.; Jayashree L.S.</t>
  </si>
  <si>
    <t xml:space="preserve">Lakshmi Devi, R. (57208683685); Jayashree, L.S. (16047732000)</t>
  </si>
  <si>
    <t xml:space="preserve">57208683685; 16047732000</t>
  </si>
  <si>
    <t xml:space="preserve">Grey wolf optimization-based big data analytics for dengue outbreak prediction</t>
  </si>
  <si>
    <t xml:space="preserve">In recent decades, dengue fever (DF) and dengue hemorrhagic fever (DHF) outbreaks have occurred frequently in many tropical and subtropical regions of Asia. Big data-driven analytics are recently facilitated on the large dataset to monitor climate-driven changes and also for the dengue outbreak prediction. Many past studies have established an association between the meteorological variables and the dengue incidence. Hence, this paper examines the effects of meteorological factors on dengue incidence in one of the climatic categories of the tropical region in Asia. The nine meteorological parameters and number of dengue cases per week were considered in this study. Subsequently, the most influencing variables of dengue incidence were selected using a new heuristic optimization algorithm such as grey wolf optimization (GWO) based on Adaptive Neuro-Fuzzy Inference System (ANFIS) followed by negative binomial regression model which was employed to evaluate various lag times between dengue incidences and meteorological variables. Therefore, the derived meteorological variables with a time lag period are utilized for the big data analytics of dengue outbreak prediction. © 2018, Springer Nature Singapore Pte Ltd.</t>
  </si>
  <si>
    <t xml:space="preserve">10.1007/978-981-10-7200-0_35</t>
  </si>
  <si>
    <t xml:space="preserve">https://www.scopus.com/inward/record.uri?eid=2-s2.0-85045153768&amp;doi=10.1007%2f978-981-10-7200-0_35&amp;partnerID=40&amp;md5=bced9e3921baac3899cfdb868ac25e20</t>
  </si>
  <si>
    <t xml:space="preserve">Department of Computer Applications, S.A Engineering College, Chennai, India; Department of Computer Science and Engineering, PSG College of Technology, Coimbatore, India</t>
  </si>
  <si>
    <t xml:space="preserve">Lakshmi Devi R., Department of Computer Applications, S.A Engineering College, Chennai, India; Jayashree L.S., Department of Computer Science and Engineering, PSG College of Technology, Coimbatore, India</t>
  </si>
  <si>
    <t xml:space="preserve">Dengue; Feature selection; Grey wolf optimization; Negative binomial regression; Optimization algorithm</t>
  </si>
  <si>
    <t xml:space="preserve">Feature extraction; Forecasting; Fuzzy inference; Fuzzy neural networks; Fuzzy systems; Inference engines; Optimization; Regression analysis; Tropics; Adaptive neuro fuzzy inference systems (ANFIS); Dengue; Dengue hemorrhagic fever; Heuristic optimization algorithms; Meteorological parameters; Negative binomial regression; Negative binomial regression model; Optimization algorithms; Big data</t>
  </si>
  <si>
    <t xml:space="preserve">Rajapakse S., Rodrigo C., Rajapakse A., Treatment of dengue fever, Infect Drug Resist, 5, pp. 103-112, (2012); Rasgon J.L., Dengue fever: Mosquitoes attacked from within, Nature, 476, pp. 407-408, (2011); Brady O.J., Gething P.W., Bhatt S., Messina J.P., Brownstein J.S., Et al., Refining the global spatial limits of dengue virus transmission by evidence-based consensus, Plos Negl Trop Dis, 6, (2012); WHO: Dengue Guidelines for Diagnosis, Treatment, Prevention and Control: World Health Organization, pp. 1-147, (2009); Egbendewe-Mondzozo A., Musumba M., McCarl B.A., Wu X., Climate change and vector-borne diseases: An economic impact analysis of malaria in Africa, Int. J. Environ. Res. Public Health, 8, pp. 913-930, (2011); Huang F., Zhou S., Zhang S., Wang H., Tang L., Temporal correlation analysis between malaria and meteorological factors in Motuo County. Tibet, Malar J, 10, (2011); Haque U., Hashizume M., Glass G.E., Dewan A.M., Overgaard H.J., Et al., The role of climate variability in the spread of malaria in Bangladeshi highlands, Plos ONE, 5, (2010); Traerup S.L., Ortiz R.A., Markandya A., The costs of climate change: A study of cholera in Tanzania, Int. J. Environ. Res. Public Health, 8, pp. 4386-4405, (2011); Xu L., Liu Q., Stige L.C., Ben Ari T., Fang X., Et al., Nonlinear effect of climate on plague during the third pandemic in China, Proc. Natl. Acad. Sci. USA, 108, pp. 10214-10219, (2011); Ari T.B., Gershunov A., Tristan R., Cazelles B., Gage K., Et al., Interannual variability of human plague occurrence in the Western United States explained by tropical and North Pacific Ocean climate variability, Am. J. Trop. Med. Hyg., 83, pp. 624-632, (2010); Fairos W.Y.W., Azaki W.H.W., Alias M., Wah Y.B., Modelling dengue fever (DF) and dengue hemorrhagic fever (DHF) outbreak using Poisson and negative binomial model, World Acad. Sci. Eng. Technol. Int. J. Math. Comput. Nat. Phys. Eng, 4, 2, (2010); Ahmed S.A., Siddiqi J.S., Quaiser S., Kamal S., Using PCA, Poisson and negative binomial model to study the climatic factor and dengue fever outbreak in Lahore, J. Basic Appl. Sci., 11, pp. 8-16, (2015); Siriyasatien P., Phumee A., Ongruk P., Jampachaisri K., Kesorn K., Analysis of significant factors for dengue fever incidence prediction, BMC Bioinform, 17, (2016); Honda Y., Ono M., Issues in health risk assessment of current and future heat extremes, Glob. Health Action, 2, (2009); Epidemiology Unit, Ministry of Health, Sri Lanka.; Mirjalili S., Mirjalili S.M., Lewis A., Grey wolf optimization, Adv. Eng. Softw., 69, pp. 46-61, (2014); Kira K., Rendell L., The feature selection problem: Traditional methods and a new algorithm, Proceedings of AAAI’92, (1992)</t>
  </si>
  <si>
    <t xml:space="preserve">R. Lakshmi Devi; Department of Computer Applications, S.A Engineering College, Chennai, India; email: lakshmidevir@saec.ac.in</t>
  </si>
  <si>
    <t xml:space="preserve">2-s2.0-85045153768</t>
  </si>
  <si>
    <t xml:space="preserve">Uzoka F.-M.E.; Akinnuwesi B.A.; Amoo T.; Debele F.; Fashoto G.; Nwafor-Okoli C.</t>
  </si>
  <si>
    <t xml:space="preserve">Uzoka, Faith-Michael E. (8712970500); Akinnuwesi, Boluwaji Ade (39860962400); Amoo, Taiwo (57428630400); Debele, Fikru (48861006300); Fashoto, Gbenga (57192069213); Nwafor-Okoli, Chinyere (36925905700)</t>
  </si>
  <si>
    <t xml:space="preserve">8712970500; 39860962400; 57428630400; 48861006300; 57192069213; 36925905700</t>
  </si>
  <si>
    <t xml:space="preserve">An expert system for malaria diagnosis using the fuzzy cognitive map engine</t>
  </si>
  <si>
    <t xml:space="preserve">The complexity of malaria diagnosis increases because of symptom manifestation that could be confused with other tropical diseases and the fuzziness associated with patients' expression of their health conditions. There is a need for appropriate diagnostic tools that would assist the physician (or other trained medical personnel) in the differential diagnosis of malaria and other tropical diseases. In this paper, we present an initial result of an effort to develop a fuzzy cognitive map (FCM) system for the diagnosis of malaria. Concepts and their causality were defined based on the experiential knowledge from 30 physicians in 3 hospitals in Nigeria, who served as knowledge sources for this study. The semantic relationships among concepts were utilized in constructing an FCM model for malaria diagnosis, which was further integrated into a decision support engine (DSE). The comparative summary showed that the initial hypotheses (IH) by the physicians correctly matched the final diagnosis in 55% of the cases, whereas the accurate diagnosis (AD) of the FCM was 85%. This result is interesting; further analysis using Kendall's taub and the Spearman's rank order test also indicated a higher (though equally significant) correlation between the FCM results and AD than between IH and AD. The correlation between the physician's initial hypothesis and the FCM diagnosis was not significant. © 2018 IST-Africa Institute.</t>
  </si>
  <si>
    <t xml:space="preserve">2018 IST-Africa Week Conference, IST-Africa 2018</t>
  </si>
  <si>
    <t xml:space="preserve">https://www.scopus.com/inward/record.uri?eid=2-s2.0-85051169681&amp;partnerID=40&amp;md5=cb54a7ac042ce2691778478194cf2055</t>
  </si>
  <si>
    <t xml:space="preserve">Department of Mathematics and Computing, Mount Royal University, Calgary, Canada; Department of Computer Science, Lagos State University, Lagos, Nigeria; Department of Information Technology, Bells University of Technology, Ota, Nigeria; School of ICT, Southern Alberta Institute of Technology, Calgary, Canada; Department of Computer Science, University of Swaziland, Kwaluseni, Swaziland; Canadian Institute for Innovation and Development, Calgary, Canada</t>
  </si>
  <si>
    <t xml:space="preserve">Uzoka F.-M.E., Department of Mathematics and Computing, Mount Royal University, Calgary, Canada; Akinnuwesi B.A., Department of Computer Science, Lagos State University, Lagos, Nigeria; Amoo T., Department of Information Technology, Bells University of Technology, Ota, Nigeria; Debele F., School of ICT, Southern Alberta Institute of Technology, Calgary, Canada; Fashoto G., Department of Computer Science, University of Swaziland, Kwaluseni, Swaziland; Nwafor-Okoli C., Canadian Institute for Innovation and Development, Calgary, Canada</t>
  </si>
  <si>
    <t xml:space="preserve">diagnosis; fuzzy cognitive map; malaria; medical decision support system; tropical diseases</t>
  </si>
  <si>
    <t xml:space="preserve">Artificial intelligence; Cognitive systems; Decision support systems; Diseases; Engines; Expert systems; Fuzzy rules; Semantics; Tropics; Differential diagnosis; Experiential knowledge; Fuzzy cognitive map; Initial hypothesis; malaria; Medical decision support system; Semantic relationships; Tropical disease; Diagnosis</t>
  </si>
  <si>
    <t xml:space="preserve">World Malaria Report 2016, (2016); Bharti P.K., Silawat N., Singh P.P., Singh M.P., Shukla M., Chand G., Dash A.P., Singh N., The usefulness of a new rapid diagnostic test, the First Response® Malaria Combo (pLDH/HRP2) card test, for malaria diagnosis in the forested belt of central India, Malaria Journal, 7, 1, pp. 126-132, (2008); Seising R., From vagueness in medical thought to the foundations of fuzzy reasoning in medical diagnosis, Artificial Intelligence in Medicine, 38, 3, pp. 237-256, (2006); Djam X., Wajiga G., A novel diagnostic framework: The application of soft computing technology, The Pacific Journal of Science and Technology, 13, 1, pp. 261-272, (2012); Djam X., Wajiga G., Kimbi Y., Blamah N., A fuzzy expert system for the management of malaria, International Journal of Pure and Applied Sciences and Technology, 5, 2, pp. 84-108, (2011); Driver C., Malaria and its avoidance, Practice Nurse, 37, 8, pp. 19-24, (2009); Kulikowski C.A., Artificial Intelligence in Medicine: A Personal Retrospective on Its Emergence and Early Function; Shortliffe E., Computer-based Medical Consultations, (2012); Shortliffe E.H., A Rule-based Computer Program for Advising Physicians Regarding Antimicrobial Therapy Selection; Szolovits P., Patil R.S., Schwartz W.B., Artificial intelligence in medical diagnosis, Annals of Internal Medicine, 108, 1, pp. 80-87, (1988); Szolovits P., Uncertainty and decisions in medical informatics, Methods of Information in Medicine-Methodik der Information in der Medizin, 34, 1, pp. 111-121, (1995); Kaeding A.-K., Flor T., Processing Unexact Information in A Medical Used Multiparadigm System, pp. 590-592; Song Q., Ma T., Kasabov N., A Novel Generic Higher-order TSK Fuzzy Model for Prediction and Applications for Medical Decision Support, pp. 241-245; Obot O.U., Uzoka F.-M.E., A framework for application of neuro-case-rule base hybridization in medical diagnosis, Applied Soft Computing, 9, 1, pp. 245-253, (2009); Barca C.C., Rodriguez J.M., Puddu P.E., Lustrek M., Cvetkovi B., Bordone M., Soudah E., Moreno A., De La Pena P., Rugnone A., Advanced Medical Expert Support Tool (A-MEST): HER Based Integration of Multiple Risk Assessment Solutions for Congestive Heart Failure Patients, pp. 1334-1337; Kosko B., Fuzzy cognitive maps, International Journal of Man-machine Studies, 24, 1, pp. 65-75, (1986); Zadeh L., Fuzzy Set Theory and Its Applications, (1965); Tolman E.C., Cognitive maps in rats and men, Psychological Review, 55, 4, pp. 189-204, (1948); Georgopoulos V., Stylios C., Augmented fuzzy cognitive maps supplemented with case based reasoning for advanced medical decision support, Soft Computing for Information Processing and Analysis, pp. 391-405, (2005); Georgopoulos V.C., Malandraki G.A., Stylios C.D., A fuzzy cognitive map approach to differential diagnosis of specific language impairment, Artificial Intelligence in Medicine, 29, 3, pp. 261-278, (2003); Papageorgiou E.I., A new methodology for decisions in medical informatics using fuzzy cognitive maps based on fuzzy rule-extraction techniques, Applied Soft Computing, 11, 1, pp. 500-513, (2011); John R.I., Innocent P.R., Modeling uncertainty in clinical diagnosis using fuzzy logic, IEEE Transactions on Systems, Man, and Cybernetics, Part B (Cybernetics), 35, 6, pp. 1340-1350, (2005); Sedki K., Debeaufort L.B., Cognitive Maps for Knowledge Represenation and Reasoning, pp. 1035-1040; Reggia J.A., Nau D.S., Wang P.Y., Diagnostic expert systems based on a set covering model, International Journal of Man-machine Studies, 19, 5, pp. 437-460, (1983); Mago V.K., Papageorgiou E.I., Mago A., Employing fuzzy cognitive map for periodontal disease assessment, Fuzzy Cognitive Maps for Applied Sciences and Engineering, pp. 375-389, (2014); Marateb H.R., Mansourian M., Faghihimani E., Amini M., Farina D., A hybrid intelligent system for diagnosing microalbuminuria in type 2 diabetes patients without having to measure urinary albumin, Computers in Biology and Medicine, 45, pp. 34-42, (2014); Papageorgiou E.I., Papandrianos N.I., Apostolopoulos D.J., Vassilakos P.J., Fuzzy Cognitive Map Based Decision Support System for Thyroid Diagnosis Management, pp. 1204-1211; Nagarajan G., Thyagharajan K., Rule-based semantic content extraction in image using fuzzy ontology, Int Rev Comput Softw, 9, 2, pp. 266-277, (2014); Foley M., McGrory J., The Application of Fuzzy Logic in Determining Linguistic Rules and Associative Membership Functions for the Control of A Manufacturing Process, (2011); Mamdani E.H., Assilian S., An experiment in linguistic synthesis with a fuzzy logic controller, International Journal of Man-machine Studies, 7, 1, pp. 1-13, (1975); Pham D.T., Castellani M., Action aggregation and defuzzification in Mamdani-type fuzzy systems, Proceedings of the Institution of Mechanical Engineers, Part C: Journal of Mechanical Engineering Science, 216, 7, pp. 747-759, (2002); Mago V.K., Mehta R., Woolrych R., Papageorgiou E.I., Supporting meningitis diagnosis amongst infants and children through the use of fuzzy cognitive mapping, BMC Medical Informatics and Decision Making, 12, 1, (2012); Groumpos P.P., Fuzzy cognitive maps: Basic theories and their application to complex systems, Fuzzy Cognitive Maps, pp. 1-22, (2010); Groumpos P.P., Fuzzy cognitive maps: Basic theories and their applications in medical problems, pp. 1490-1497; Papageorgiou E.I., Papandrianos N.I., Karagianni G., Kyriazopoulos G.C., Sfyras D., A Fuzzy Cognitive Map Based Tool for Prediction of Infectious Diseases, pp. 2094-2099; Reibnegger G., Fuchs D., Hausen A., Schmutzhard E., Werner E., Wachter H., The dependence of cell-mediated immune activation in malaria on age and endemicity, Transactions of the Royal Society of Tropical Medicine and Hygiene, 81, 5, (1987); Dondorp A.M., Lee S.J., Faiz M., Mishra S., Price R., Tjitra E., Than M., Htut Y., Mohanty S., Yunus E.B., The relationship between age and the manifestations of and mortality associated with severe malaria, Clinical Infectious Diseases, 47, 2, pp. 151-157, (2008); Schwartz E., Paul F., Pener H., Almog S., Rotenberg M., Golenser J., Malaria antibodies and mefloquine levels among United Nations troops in Angola, Journal of Travel Medicine, 8, 3, pp. 113-116, (2001); Schwartz E., Sadetzki S., Murad H., Raveh D., Age as a risk factor for severe Plasmodium falciparum malaria in nonimmune patients, Clinical Infectious Diseases, 33, 10, pp. 1774-1777, (2001); Doherty J., Grant A., Bryceson A., Fever as the presenting complaint of travellers returning from the tropics, QJM: An International Journal of Medicine, 88, 4, pp. 277-281, (1995); Grove W.M., Zald D.H., Lebow B.S., Snitz B.E., Nelson C., Clinical versus mechanical prediction: A meta-analysis, Psychological Assessment, 12, 1, (2000); Bright T.J., Wong A., Dhurjati R., Bristow E., Bastian L., Coeytaux R.R., Samsa G., Hasselblad V., Williams J.W., Musty M.D., Effect of clinical decision-support systems: A systematic review, Annals of Internal Medicine, 157, 1, pp. 29-43, (2012)</t>
  </si>
  <si>
    <t xml:space="preserve">9 May 2018 through 11 May 2018</t>
  </si>
  <si>
    <t xml:space="preserve">Gaborone</t>
  </si>
  <si>
    <t xml:space="preserve">978-190582460-1</t>
  </si>
  <si>
    <t xml:space="preserve">IST-Africa Week Conf., IST-Africa</t>
  </si>
  <si>
    <t xml:space="preserve">2-s2.0-85051169681</t>
  </si>
  <si>
    <t xml:space="preserve">Delas Peñas K.; Rivera P.T.; Naval P.C., Jr.</t>
  </si>
  <si>
    <t xml:space="preserve">Delas Peñas, Kristofer (57201152179); Rivera, Pilarita T. (8888157300); Naval, Prospero C. (15045386000)</t>
  </si>
  <si>
    <t xml:space="preserve">57201152179; 8888157300; 15045386000</t>
  </si>
  <si>
    <t xml:space="preserve">Analysis of Convolutional Neural Networks and Shape Features for Detection and Identification of Malaria Parasites on Thin Blood Smears</t>
  </si>
  <si>
    <t xml:space="preserve">The gold standard for malaria diagnosis still remains to be microscopy. However, cases from remote areas needing immediate diagnosis and treatment can benefit from a faster diagnostic process. Several intelligent systems for malaria diagnosis have been proposed using different computer vision techniques. In this research, models using convolutional neural networks, and a model using extracted shape features are implemented and compared. The CNN models, one trained from scratch and the other utilizing transfer learning, with accuracies of 92.4% and 93.60%, both outperform the shape feature model in malaria parasite recognition. © Springer International Publishing AG, part of Springer Nature 2018.</t>
  </si>
  <si>
    <t xml:space="preserve">10752 LNAI</t>
  </si>
  <si>
    <t xml:space="preserve">10.1007/978-3-319-75420-8_45</t>
  </si>
  <si>
    <t xml:space="preserve">https://www.scopus.com/inward/record.uri?eid=2-s2.0-85043586258&amp;doi=10.1007%2f978-3-319-75420-8_45&amp;partnerID=40&amp;md5=67a34456d7eb1d4c67d6102915646134</t>
  </si>
  <si>
    <t xml:space="preserve">Department of Computer Science, College of Engineering, University of the Philippines, Diliman, Philippines; Department of Parasitology, College of Public Health, University of the Philippines, Manila, Philippines</t>
  </si>
  <si>
    <t xml:space="preserve">Delas Peñas K., Department of Computer Science, College of Engineering, University of the Philippines, Diliman, Philippines; Rivera P.T., Department of Parasitology, College of Public Health, University of the Philippines, Manila, Philippines; Naval P.C., Jr., Department of Computer Science, College of Engineering, University of the Philippines, Diliman, Philippines</t>
  </si>
  <si>
    <t xml:space="preserve">Convolution; Database systems; Intelligent systems; Neural networks; Computer vision techniques; Convolutional neural network; Detection and identifications; Diagnostic process; Gold standards; Malaria diagnosis; Malaria parasite; Transfer learning; Diseases</t>
  </si>
  <si>
    <t xml:space="preserve">World Health Organization: World Malaria Report 2016, (2016); Paniker C.J., Paniker’s Textbook of Medical Parasitology, (2013); Centers for Disease Control Prevention: About Malaria, (2015); Makkapati V., Rao R., Segmentation of Malaria Parasites in Peripheral Blood Smear Images, pp. 1361-1364, (2009); Nanoti A., Jain S., Gupta C., Vyas G., Detection of malaria parasite species and life cycle stages using microscopic images of thin blood smear, 2016 International Conference on Inventive Computation Technologies (ICICT), 1, pp. 1-6, (2016); Pinkaew A., Limpiti T., Trirat A., Automated classification of malaria parasite species on thick blood film using support vector machine, 2015 8Th Biomedical Engineering International Conference (Bmeicon), pp. 1-5, (2015); Delas Penas K.E., Rivera P.T., Naval P.C., Malaria parasite detection and species identification on thin blood smears using a convolutional neural network, 2017 IEEE/ACM International Conference on Connected Health: Applications, Systems and Engineering Technologies (CHASE), pp. 1-6; Mathworks: Measure Properties of Image Regions, (2014); Szegedy C., Liu W., Jia Y., Sermanet P., Reed S., Anguelov D., Erhan D., Vanhoucke V., Rabinovich A., Going deeper with convolutions, 2015 IEEE Conference on Computer Vision and Pattern Recognition (CVPR), pp. 1-9, (2015)</t>
  </si>
  <si>
    <t xml:space="preserve">P.C. Naval; Department of Computer Science, College of Engineering, University of the Philippines, Diliman, Philippines; email: pcnaval@dcs.upd.edu.ph</t>
  </si>
  <si>
    <t xml:space="preserve">Hoang D.H.; Hong T.-P.; Nguyen N.T.; Trawinski B.; Pham H.</t>
  </si>
  <si>
    <t xml:space="preserve">et al; European Research Center for Information Systems; IEEE SMC Technical Committee on Computational Collective Intelligence; Quang Binh University; University of Newcastle; Wrocław University of Science and Technology</t>
  </si>
  <si>
    <t xml:space="preserve">10th International scientific conferences on research and applications in the field of intelligent information and database systems, ACIIDS 2018</t>
  </si>
  <si>
    <t xml:space="preserve">19 March 2018 through 21 March 2018</t>
  </si>
  <si>
    <t xml:space="preserve">Dong Hoi City</t>
  </si>
  <si>
    <t xml:space="preserve">978-331975419-2</t>
  </si>
  <si>
    <t xml:space="preserve">2-s2.0-85043586258</t>
  </si>
  <si>
    <t xml:space="preserve">Putra R.K.; Mulyati S.</t>
  </si>
  <si>
    <t xml:space="preserve">Putra, Rizky Karunia (57211503265); Mulyati, Sri (58036796200)</t>
  </si>
  <si>
    <t xml:space="preserve">57211503265; 58036796200</t>
  </si>
  <si>
    <t xml:space="preserve">Classification of childhood diseases with fever using fuzzy K-nearest neighbor method</t>
  </si>
  <si>
    <t xml:space="preserve">Fever or pyrexia is a condition when the body temperature rises above the average. This may occur due to viral or bacterial infection of the body. In addition, fever is the main symptom of diseases such as dengue fever, typhoid fever, diarrhea, gastroenteritis, measles, pneumonia, pharyngitis, and bronchitis. These diseases have similar symptoms, causing difficulty to distinguish them. In fact, the symptoms of diseases are usually recorded in a medical record document.Medical records can be categorized in order to ease diagnosis. The technique to categorize based on certain characteristics to several classes is called classification. Classification can categorize textual data which are first converted into numerical data so that the classification process can generate results. Fuzzy K-Nearest Neighbor is one classification technique that measures the distance between training and testing data, which then put them into a fuzzy set. This study developed a classification system for childhood diseases with fever using Fuzzy K-Nearest Neighbor based on textual medical record documents.The test results of the classification system showed an accuracy of 83.3% in the dengue fever and pneumonia data with a comparison of training and testing data of 80: 20, K value of 10, and M value of 2. Thus, it can be concluded that Fuzzy K-Nearest Neighbor classification system can be used as a solution to the classification of childhood diseases with fever. © 2018 IEEE.</t>
  </si>
  <si>
    <t xml:space="preserve">2018 International Seminar on Research of Information Technology and Intelligent Systems, ISRITI 2018</t>
  </si>
  <si>
    <t xml:space="preserve">10.1109/ISRITI.2018.8864475</t>
  </si>
  <si>
    <t xml:space="preserve">https://www.scopus.com/inward/record.uri?eid=2-s2.0-85074202925&amp;doi=10.1109%2fISRITI.2018.8864475&amp;partnerID=40&amp;md5=6772130876c28111bfcf66028e8e373f</t>
  </si>
  <si>
    <t xml:space="preserve">Department of Informatics, Universitas Islam Indonesia, Yogyakarta, Indonesia</t>
  </si>
  <si>
    <t xml:space="preserve">Putra R.K., Department of Informatics, Universitas Islam Indonesia, Yogyakarta, Indonesia; Mulyati S., Department of Informatics, Universitas Islam Indonesia, Yogyakarta, Indonesia</t>
  </si>
  <si>
    <t xml:space="preserve">Classification; Classification of childhood diseases with fever; FKNN; Fuzzy k-nearest neighbor; Machine learning</t>
  </si>
  <si>
    <t xml:space="preserve">Diagnosis; Diseases; Intelligent systems; Learning systems; Motion compensation; Nearest neighbor search; Bacterial infections; Childhood disease; Classification process; Classification system; Classification technique; FKNN; Fuzzy k nearest neighbor (FKNN); Training and testing; Classification (of information)</t>
  </si>
  <si>
    <t xml:space="preserve">Jamil A.I., Ucu K.R., Memasuki Pancaroba Anak-Anak Rentan Terserang Demam, (2016); Baerheim A., The diagnostic process in general practice?: Has it a two-phase structure?, Fam. Pract, 18, 3, pp. 243-245, (2001); Wafiyah F., Hidayat N., Perdana R.S., Implementasi algoritma modified k-nearest neighbor (mknn) untuk klasifikasi penyakit demam, J. Pengemb. Teknol. Inf. Dan Ilmu Komun, 1, 10, pp. 1210-1219, (2017); Keller J.M., Gray M.R., Givens J., James A., A fuzzy k-nearest neighbor algorithm, IEEE Trans. Syst. Man. Cybern, SMC-16, 4, pp. 580-585, (1985); Markhan K., Simple Guide to Confusion Matrix Terminology, (2014); Machine Learning What It Is and Why It Matters, (2016); Mulyati S., Kusumadewi S., Rosita L., Model sistem pendukung keputusan untuk diagnosis penyakit anak dengan gejala demam menggunakan naive bayes, Seminar Nasional Informatika Medis III (SNIMed III), 3, pp. 50-54, (2012); Nugraha S.D., Regasari R., Putri M., Wihandika R.C., Penerapan fuzzy k-nearest neighbor (fk-nn) dalam menentukan status gizi balita, J. Pengemb. Teknol. Inf. Dan Ilmu Komput, 1, 9, pp. 925-932, (2017); Infectious diseases, WHO.Int, (2015)</t>
  </si>
  <si>
    <t xml:space="preserve">21 November 2018 through 22 November 2018</t>
  </si>
  <si>
    <t xml:space="preserve">978-153867422-2</t>
  </si>
  <si>
    <t xml:space="preserve">Int. Semin. Res. Inf. Technol. Intell. Syst., ISRITI</t>
  </si>
  <si>
    <t xml:space="preserve">2-s2.0-85074202925</t>
  </si>
  <si>
    <t xml:space="preserve">Pandiyarajan P.; Thangairulappan K.</t>
  </si>
  <si>
    <t xml:space="preserve">Pandiyarajan, Pandiselvam (56142642100); Thangairulappan, Kathirvalavakumar (6506931003)</t>
  </si>
  <si>
    <t xml:space="preserve">56142642100; 6506931003</t>
  </si>
  <si>
    <t xml:space="preserve">Classification of dengue serotypes using protein sequence based on rule extraction from neural network</t>
  </si>
  <si>
    <t xml:space="preserve">Dengue virus is a growing problem in tropical countries. It serves disease, especially in children. Some exiting clinical methods CIMSiM, DENSiM, ELISA, SPSS, SARIMA, PCR and RT-PCR need a volume of blood cells which cannot be obtained from children. Meanwhile, some existing machine learning algorithms are used to diagnose the dengue infection based on the date of dengue fever, days, current temperature, white blood cell count, joint muscles, metallic taste in mouth, appetite, abdomen pain, hemoglobin, mild bleeding, vomiting, headaches, rainfall, and relative humidity attributes. These methods are used to diagnose the dengue in later stages. Sometimes these methods could not identify the correct results. To overcome these problems, this paper proposes the stable method of classifying dengue serotypes based on amino acids in the protein sequences. It needs only skin cells or hair or nail which can be easily obtained from any person including children also. The proposed method classifies dengue serotypes using entropy-based feature selection and rule extracted from the neural network. Results of the experiments show that the proposed method for classifying dengue fevers with its serotypes. © Springer Nature Switzerland AG 2018.</t>
  </si>
  <si>
    <t xml:space="preserve">11308 LNAI</t>
  </si>
  <si>
    <t xml:space="preserve">10.1007/978-3-030-05918-7_12</t>
  </si>
  <si>
    <t xml:space="preserve">https://www.scopus.com/inward/record.uri?eid=2-s2.0-85059079021&amp;doi=10.1007%2f978-3-030-05918-7_12&amp;partnerID=40&amp;md5=345a7ae24cb40ab220ab1e43b080e717</t>
  </si>
  <si>
    <t xml:space="preserve">Department of Computer Science, Ayya Nadar Janaki Ammal College, Sivakasi, 626124, Tamilnadu, India; Research Centre in Computer Science, V.H.N.Senthikumara Nadar College, Virudhunagar, 626001, Tamilnadu, India</t>
  </si>
  <si>
    <t xml:space="preserve">Pandiyarajan P., Department of Computer Science, Ayya Nadar Janaki Ammal College, Sivakasi, 626124, Tamilnadu, India; Thangairulappan K., Research Centre in Computer Science, V.H.N.Senthikumara Nadar College, Virudhunagar, 626001, Tamilnadu, India</t>
  </si>
  <si>
    <t xml:space="preserve">Classification; Dengue diagnosis; Neural network; Protein sequence; Rule extraction</t>
  </si>
  <si>
    <t xml:space="preserve">Cells; Classification (of information); Computer aided diagnosis; Extraction; Learning algorithms; Learning systems; Neural networks; Proteins; Viruses; Clinical methods; Dengue fevers; Entropy-based; Protein sequences; Rule extraction; Rule extraction from neural networks; Tropical countries; White blood cells; Blood</t>
  </si>
  <si>
    <t xml:space="preserve">Thitiprayoonwongre D., Suriyaphol P., Soonthornphisaj N., Data mining of dengue infection using decision tree, Lat. Adv. Info. Sci. Appl, pp. 154-159, (2017); Rahim N.F., Taib S.M., Abidin A.I.Z., Dengue fatality prediction using data mining, J. Fundam. Appl. Sci., 9, pp. 671-683, (2017); Ahmed N., Ishaq A., Shoaib M., Wahab A., Role of expert systems in identification and overcoming oof dengue fever, Int. J. Adv. Comp. Sci. Appl., 8, pp. 82-89, (2017); Gambhir S., Malik S.K., Kumar Y., PSO ANN based diagnostic model for the early detection of dengue disease, New. Hori. Trans. Med, 4, pp. 1-8, (2017); Fatima M., Pasha M., Survey of machine learning algorithms for disease diagnostic, J. Intell. Learn. Syst. Appl., 9, pp. 1-16, (2017); Hanirex D.K., Kaliyamurthie K.P., An adaptive transaction reduction approach for mining frequent item sets: A comparative study on dengue virus type-1, Int. J. Pharm. Bio. Sci., 6, pp. 336-340, (2015); Kowia T., Ohwada H., Extraction of disease related genes from pubmed paper using word2vec, CSBio’17 8Th International Conference on Computational Systems Biology and Bioinformatics, pp. 46-49, (2017); Iqbal N., Islam M., Machine learning for dengue outbreak prediction: An outlook, Int. J. Adv. Res. Comp. Sci., 8, pp. 93-102, (2017); Karim S., Learning from experience in context of climate prediction in Pakistan using data mining techniques avidence from computer research in Pakistan, Pak. J. Eng. Technol. Sci., 6, pp. 81-93, (2016); Freeze J., Erraguntla M., Varma A., Data integration and predictive analysis system for disease prophylaxis: Incorporating dengue fever forecasts, The Proceedings of the 51St Hawaii International Conference on System Sciences, pp. 913-922, (2018); Tate A., Gavhane V., Pawar J., Rajpurohit B., Deshmwch G.B., Prediction of dengue diabetes and swine flu using random forest classification algorithm, Int. R. J. Engg. Tech., 4, pp. 685-690, (2017); Sandhu R., Kaur J., Thapar V., An effective framework for finding similar cases of dengue from audio and text data using domain thesaurus and case base reasoning, Enterprise. Info. Sys., 12, pp. 155-172, (2017); Villanes A., Griffiths E., Rappa M., Healey C.G., Dengue fever surveillance in India using text mining in public media, Am. J. Trop. Med. Hyg., 98, pp. 181-191, (2018); Saravanan N., Gayathri V., An performance and classification evaluation of J48 algorithm and Person’s based J48 algorithm PNJ48, Int. J. Adv. Res. Comp. Sci. Manag. Stu., 6, pp. 22-32, (2018); Sakil K.A., Anis S., Alam M., Dengue Disease Prediction Using Weka Data Mining Tool, (2017); National Center for Biotechnology Information; Inbamalar S., Filtering Approach to DNA Signal Processing, IACSIT Coimbatore Conferences IPCSIT 28, (2012); Augasta M.G., Kathirvalavakumar T., Reverse engineering the neural networks for rule extraction in classification problems, Neural. Process. Lett., 35, pp. 131-150, (2011); Pandiselvam P., Kathirvalavakumar T., Classification of dengue gene expression using entropy based feature selection and pruning on neural network, Ad. Intell. Sys. Comp., 736, pp. 519-529, (2018); Dengue: Guidelines for Diagnosis, Treatment, Prevention and Control, (2009); Rocha B.A.M., Et al., Dengue specific serotype related to clinical severity during the 2012/2013 epidemic in centre of Brazil, Inf. Dis. Poverty, 6, pp. 2-11, (2017); Munasinghe A., Premaratne H.L., Fernando M.G.N.A.S., Towards an early warning system to combat dengue, Int. J. Comput. Sci. Elect. Engg., 1, pp. 252-256, (2013); Shamala D.S., Laboratory diagnosis of dengue: A review, Int. Med. J. Malaysia, 14, pp. 17-28, (2015); Focks D.A., Alexander N., Villegas E., Multicounty Study of Aedes Aegypti Pupil Productivity Survey Methodology: Findings and Recommendations, pp. 1-56, (2006)</t>
  </si>
  <si>
    <t xml:space="preserve">P. Pandiyarajan; Department of Computer Science, Ayya Nadar Janaki Ammal College, Sivakasi, 626124, India; email: pandiselvam.pps@gmail.com</t>
  </si>
  <si>
    <t xml:space="preserve">Groza A.; Prasath R.</t>
  </si>
  <si>
    <t xml:space="preserve">6th International Conference on Mining Intelligence and Knowledge Exploration, MIKE 2018</t>
  </si>
  <si>
    <t xml:space="preserve">20 December 2018 through 22 December 2018</t>
  </si>
  <si>
    <t xml:space="preserve">Cluj-Napoca</t>
  </si>
  <si>
    <t xml:space="preserve">978-303005917-0</t>
  </si>
  <si>
    <t xml:space="preserve">2-s2.0-85059079021</t>
  </si>
  <si>
    <t xml:space="preserve">Mustaffa Z.; Sulaiman M.H.; Ernawan F.; Yusof Y.; Mohsin M.F.M.</t>
  </si>
  <si>
    <t xml:space="preserve">Mustaffa, Zuriani (54789967400); Sulaiman, Mohd Herwan (55336854400); Ernawan, Ferda (53663438800); Yusof, Yuhanis (57068283500); Mohsin, Mohamad Farhan Mohamad (25825198500)</t>
  </si>
  <si>
    <t xml:space="preserve">54789967400; 55336854400; 53663438800; 57068283500; 25825198500</t>
  </si>
  <si>
    <t xml:space="preserve">Dengue outbreak prediction: Hybrid meta-heuristic model</t>
  </si>
  <si>
    <t xml:space="preserve">Parameter tuning of Leas Squares Support Vector Machines (LSSVM) hyper-parameters, namely regularization parameter and kernel parameters plays a crucial role in obtaining a promising result in prediction task. Any improper values setting of the said hyper-parameters would demote the generalization of LSSVM. Concerning that matter, in this study, Flower Pollination Algorithm (PA), which is relatively new optimization algorithm is hybrid with LSSVM. Here, the FPA is served as an optimization algorithm for LSSVM. The hybrid FPA-LSSVM is later realized for prediction of dengue outbreak in Yogyakarta, Indonesia. Since it was first recognized, until now Dengue Fever (DF) remains as a major concern of public health in community, specifically during the massive outbreaks. A serious infection of dengue can progress into a more critical condition namely Dengue Hemorrhagic Fever (DHF). Therefore, a good prediction model is vital to predict the dengue outbreak cases. By using monthly disease surveillance and meteorological data, the performance of the prediction model is guided by Mean Square Error (MSE) and Root Mean Square Percentage Error (RMSPE). Findings of the study demonstrate that FPA-LSSVM is able to produce lower error rate compared to the other identified algorithms. © 2018 IEEE.</t>
  </si>
  <si>
    <t xml:space="preserve">Proceedings - 2018 IEEE/ACIS 19th International Conference on Software Engineering, Artificial Intelligence, Networking and Parallel/Distributed Computing, SNPD 2018</t>
  </si>
  <si>
    <t xml:space="preserve">10.1109/SNPD.2018.8441095</t>
  </si>
  <si>
    <t xml:space="preserve">https://www.scopus.com/inward/record.uri?eid=2-s2.0-85053557708&amp;doi=10.1109%2fSNPD.2018.8441095&amp;partnerID=40&amp;md5=df3af24d1242d34e082dd65cf4465fc2</t>
  </si>
  <si>
    <t xml:space="preserve">Faculty of Computer System Software Engineering, Universiti Malaysia, Gambang, Kuantan, Pahang, 26300, Malaysia; Faculty of Electrical and Electronic Engineering, Universiti Malaysia Pahang, Pekan, Pahang, 26600, Malaysia; School of Computing, Universiti Utara Malaysia, UUM Sintok, Kedah, 06010, Malaysia; UUM CAS Development Alumni, Universiti Utara Malaysia, UUM Sintok, Kedah, 06010, Malaysia</t>
  </si>
  <si>
    <t xml:space="preserve">Mustaffa Z., Faculty of Computer System Software Engineering, Universiti Malaysia, Gambang, Kuantan, Pahang, 26300, Malaysia; Sulaiman M.H., Faculty of Electrical and Electronic Engineering, Universiti Malaysia Pahang, Pekan, Pahang, 26600, Malaysia; Ernawan F., Faculty of Computer System Software Engineering, Universiti Malaysia, Gambang, Kuantan, Pahang, 26300, Malaysia; Yusof Y., School of Computing, Universiti Utara Malaysia, UUM Sintok, Kedah, 06010, Malaysia; Mohsin M.F.M., UUM CAS Development Alumni, Universiti Utara Malaysia, UUM Sintok, Kedah, 06010, Malaysia</t>
  </si>
  <si>
    <t xml:space="preserve">Dengue outbreak prediction; Flower Pollination Algorithm; Least Squares Support Vector Machines; Machine Learning</t>
  </si>
  <si>
    <t xml:space="preserve">Errors; Forecasting; Learning systems; Mean square error; Meteorology; Optimization; Software engineering; Support vector machines; Critical condition; Dengue hemorrhagic fever; Disease surveillance; Hybrid Meta-heuristic; Least squares support vector machines; Meteorological data; Optimization algorithms; Regularization parameters; Machine learning</t>
  </si>
  <si>
    <t xml:space="preserve">Eberhart K.R., Particle swarm optimization, Proceedings of the IEEE International Conference on Neural Networks (ICNN), pp. 1942-1948, (1995); Karaboga D., An Idea Based on Honey Bee Swarm for Numerical Optimization, (2005); Yang X.-S., Nature-Inspired Metaheuristic Algorithms and Second, (2010); Mirjalili S., Mirjalili S.M., Lewis A., Grey Wolf optimizer, Anvances Eng. Softw., 69, pp. 46-61, (2014); Aref Yelghi C.K., A modified firefly algorithm for global minimum optimization, Appl. Soft Comput., 62, pp. 29-44, (2018); Rentao Dong B.L., Xu J., ROI-based study on impact factors of disctributed PV projects by LSSVM-PSO, Energy, 124, pp. 336-349, (2017); Mustaffa Z., Yusof Y., Optimizing LSSVM using ABC for non-volatile financial prediction, Aust. J. Basic Appl. Sci., 5, 11, pp. 549-556, (2011); Ali Barati-Harooni A.H.M., Najafi-Marghmaleki A., Arabloo M., An Accurate CSA-LSSVM model for estimation of densities of ionic liquids, J. Mol. Liq., 224, pp. 954-964, (2016); Yang X.S., Flower Pollination Algorithm for global optimization, Proceedings of the International Conference on Unconventional Computing and Natural Computation, pp. 240-249, (2012); Aditya Lia Ramadona J.R., Lazuardi L., Hii Y.L., Holmner A., Kusnanto H., Prediction of dengue outbreaks based on disease surveillance and meteorological data, PLoS One, 11, 3, pp. 1-11, (2016); Guohun Zhu Y.J., Hunter J., Improved prediction of dengue outbreak using the delay permutation entropy, Proceedings of the 2016 IEEE International Conference on Internet of Things (IThings) and IEEE Green Computing and Communications (GreenCom) and IEEE Cyber, Physical and Social Computing (CPSCom) and IEEE Smart Data (SmartData), pp. 828-832, (2016); Hani M.S., Aburas M., Gultekin B., Dengue confirmed-cases prediction: A neural network model, Expert Syst. Appl., 37, pp. 4256-4260, (2010); Vapnik V.N., The Nature of Statistical Learning Theory, 2nd Ed, (1995); Suykens J.A.K., Van Gestel T., De Brabanter J., De Moor B., Vandewalle J., Least Squares Support Vector Machines. Leuven Belgium, (2002)</t>
  </si>
  <si>
    <t xml:space="preserve">Kim H.K.; Miao H.; Ito T.; Yeo H.; Hong C.S.; Yeom G.H.; Cai L.; Matsuo T.; Fukuta N.; Hwang H.J.</t>
  </si>
  <si>
    <t xml:space="preserve">IEEE Computer Society; International Association for Computer and Information Science (ACIS)</t>
  </si>
  <si>
    <t xml:space="preserve">19th IEEE/ACIS International Conference on Software Engineering, Artificial Intelligence, Networking and Parallel/Distributed Computing, SNPD 2018</t>
  </si>
  <si>
    <t xml:space="preserve">27 June 2018 through 29 June 2018</t>
  </si>
  <si>
    <t xml:space="preserve">Busan</t>
  </si>
  <si>
    <t xml:space="preserve">978-153865889-5</t>
  </si>
  <si>
    <t xml:space="preserve">Proc. - IEEE/ACIS Int. Conf. Softw. Eng., Artif. Intell., Netw. Parallel/Distrib. Comput., SNPD</t>
  </si>
  <si>
    <t xml:space="preserve">2-s2.0-85053557708</t>
  </si>
  <si>
    <t xml:space="preserve">Caicedo-Torres W.; Paternina-Caicedo Á.; Pinzón-Redondo H.; Gutiérrez J.</t>
  </si>
  <si>
    <t xml:space="preserve">Caicedo-Torres, William (55782426500); Paternina-Caicedo, Ángel (35769665400); Pinzón-Redondo, Hernando (56375235000); Gutiérrez, Jairo (7401653270)</t>
  </si>
  <si>
    <t xml:space="preserve">55782426500; 35769665400; 56375235000; 7401653270</t>
  </si>
  <si>
    <t xml:space="preserve">Differential diagnosis of dengue and chikungunya in colombian children using machine learning</t>
  </si>
  <si>
    <t xml:space="preserve">Dengue and chikungunya are vector borne diseases endemic in tropical countries around the world, with very similar clinical presentation, which makes it hard for physicians to tell them apart. Here we propose the use of Machine Learning based classifiers to perform differential diagnosis of dengue and chikungunya in pediatric patients, using simple blood test results as predictors instead of symptoms. Three variables (platelet count, white cell count and hematocrit percentage) from 447 pediatric patients from Hospital Infantil Napoleón Franco Pareja were collected to construct a dataset, later partitioned into train and test sets using Stratified Random Sampling. Grid Search with Stratified 5-Fold Cross-Validation was conducted to assess the performance of Logistic Regression, Support Vector Machine, and CART Decision Tree classifiers. Cross-Validation results show a L2 Logistic Regression model with second degree polynomial features outperforming the other models considered, with a cross-validated Receiver Operating Characteristic Area Under the Curve (ROC AUC) score of 0.8694. Subsequent results over the test set showed a 0.8502 ROC AUC score. Despite a reduced sample and a heavily imbalanced data set, ROC AUC score results are promising and support our approach for dengue and chikungunya differential diagnosis. © Springer Nature Switzerland AG 2018.</t>
  </si>
  <si>
    <t xml:space="preserve">11238 LNAI</t>
  </si>
  <si>
    <t xml:space="preserve">10.1007/978-3-030-03928-8_15</t>
  </si>
  <si>
    <t xml:space="preserve">https://www.scopus.com/inward/record.uri?eid=2-s2.0-85057089239&amp;doi=10.1007%2f978-3-030-03928-8_15&amp;partnerID=40&amp;md5=eb0deb2a1d840b5ff71ebabd700ffa29</t>
  </si>
  <si>
    <t xml:space="preserve">School of Engineering, Computer and Mathematical Sciences, Auckland University of Technology, Auckland, New Zealand; Department of Computer Science, Universidad Tecnológica de Bolívar, Cartagena, Colombia; Hospital Infantil Napoleón Franco Pareja, Cartagena, Colombia; Facultad de Medicina, Universidad de Cartagena, Cartagena, Colombia</t>
  </si>
  <si>
    <t xml:space="preserve">Caicedo-Torres W., School of Engineering, Computer and Mathematical Sciences, Auckland University of Technology, Auckland, New Zealand, Department of Computer Science, Universidad Tecnológica de Bolívar, Cartagena, Colombia; Paternina-Caicedo Á., Hospital Infantil Napoleón Franco Pareja, Cartagena, Colombia; Pinzón-Redondo H., Hospital Infantil Napoleón Franco Pareja, Cartagena, Colombia, Facultad de Medicina, Universidad de Cartagena, Cartagena, Colombia; Gutiérrez J., School of Engineering, Computer and Mathematical Sciences, Auckland University of Technology, Auckland, New Zealand</t>
  </si>
  <si>
    <t xml:space="preserve">CART; Chikungunya; Decision tree; Dengue; Logistic regression; Support vector machine</t>
  </si>
  <si>
    <t xml:space="preserve">Artificial intelligence; Decision trees; Learning algorithms; Pediatrics; Regression analysis; Statistical tests; Support vector machines; CART; Chikungunya; Decision tree classifiers; Dengue; Logistic Regression modeling; Logistic regressions; Receiver operating characteristics; Stratified random sampling; Diagnosis</t>
  </si>
  <si>
    <t xml:space="preserve">Bhatt S., Et al., The global distribution and burden of dengue, Nature, 496, 7446, pp. 504-507, (2013); Breiman L., Friedman J., Olshen R., Stone C., Classification and Regression Trees, (1984); Caglioti C., Lalle E., Castilletti C., Carletti F., Capobianchi M.R., Bordi L., Chikungunya virus infection: An overview, New Microbiologica, 36, 3, pp. 211-227, (2013); Caicedo W., Quintana M., Pinzon H., Differential diagnosis of hemorrhagic fevers using ARTMAP, IBERAMIA 2012. LNCS (LNAI), 7637, pp. 221-230, (2012); Caicedo-Torres W., Paternina A., Pinzon H., Machine learning models for early dengue severity prediction, IBERAMIA 2016. LNCS (LNAI), 10022, pp. 247-258, (2016); Cortes C., Vapnik V., Support-vector networks, Mach. Learn., 20, 3, pp. 273-297, (1995); Faisal T., Taib M.N., Ibrahim F., Neural network diagnostic system for dengue patients risk classification, J. Med. Syst., 36, 2, pp. 661-676, (2012); Shameem Fathima A., Manimeglai D., Analysis of significant factors for dengue infection prognosis using the random forest classifier, Int. J. Adv. Comput. Sci. Appl. (IJACSA), 6, 2, (2015); Fullerton L.M., Dickin S.K., Schuster-Wallace C.J., Mapping Global Vulnerability to Dengue Using the Water Associated Disease Index, (2014); Goodfellow I., Bengio Y., Courville A., Deep Learning, (2016); Keerthi S.S., Lin C.J., Asymptotic behaviors of support vector machines with Gaussian kernel, Neural Comput, 15, 7, pp. 1667-1689, (2003); Khan M.I.H., Et al., Factors predicting severe dengue in patients with dengue fever, Mediterr. J. Hematol. Infect. Diseases, 5, 1, (2013); Laoprasopwattana K., Kaewjungwad L., Jarumanokul R., Geater A., Differential diagnosis of chikungunya, dengue viral infection and other acute febrile illnesses in children, Pediatr. Infect. Disease J., 31, 5, (2012); Lee V.J., Et al., Simple clinical and laboratory predictors of chikungunya versus dengue infections in adults, Plos Negl. Trop. Diseases, 6, 9, pp. 1-9, (2012); Lee V.J., Et al., Simple clinical and laboratory predictors of chikungunya versus dengue infections in adults, Plos Negl. Trop. Diseases, 6, 9, (2012); Mardekian S.K., Roberts A.L., Diagnostic options and challenges for dengue and chikungunya viruses, Biomed. Res. Int., 2015, (2015); McCullagh P., Nelder J., Generalized Linear Models, Chapman &amp; Hall/Crc Monographs on Statistics &amp; Applied Probability, (1989); (2014); Paternina-Caicedo A., Et al., Features of dengue and chikungunya infections of Colombian children under 24 months of age admitted to the emergency department, J. Trop. Pediatr., (2017); Pedregosa F., Et al., Scikit-learn: Machine learning in Python, J. Mach. Learn. Res., 12, pp. 2825-2830, (2011); Potts J.A., Et al., Prediction of dengue disease severity among pediatric Thai patients using early clinical laboratory indicators, Plos Negl. Trop. Dis., 4, 8, (2010); (2015)</t>
  </si>
  <si>
    <t xml:space="preserve">W. Caicedo-Torres; School of Engineering, Computer and Mathematical Sciences, Auckland University of Technology, Auckland, New Zealand; email: william.caicedo@aut.ac.nz</t>
  </si>
  <si>
    <t xml:space="preserve">Fermé E.; Simari G.R.; Gutiérrez Segura F.; Rodríguez Melquiades J.A.</t>
  </si>
  <si>
    <t xml:space="preserve">16th Ibero-American Conference on Artificial Intelligence, IBERAMIA 2018</t>
  </si>
  <si>
    <t xml:space="preserve">13 November 2018 through 16 November 2018</t>
  </si>
  <si>
    <t xml:space="preserve">Trujillo</t>
  </si>
  <si>
    <t xml:space="preserve">978-303003927-1</t>
  </si>
  <si>
    <t xml:space="preserve">2-s2.0-85057089239</t>
  </si>
  <si>
    <t xml:space="preserve">Pham D.N.; Aziz T.; Kohan A.; Nellis S.; Jamil J.B.A.; Khoo J.J.; Lukose D.; AbuBakar S.; Sattar A.; Ong H.H.</t>
  </si>
  <si>
    <t xml:space="preserve">Pham, Duc Nghia (56221073300); Aziz, Tarique (58253037300); Kohan, Ali (57210391105); Nellis, Syahrul (57045714900); Jamil, Juraina Binti Abd. (57210389209); Khoo, Jing Jing (56735898400); Lukose, Dickson (6603342131); AbuBakar, Sazaly (56573017200); Sattar, Abdul (7006680929); Ong, Hong Hoe (57193737230)</t>
  </si>
  <si>
    <t xml:space="preserve">56221073300; 58253037300; 57210391105; 57045714900; 57210389209; 56735898400; 6603342131; 56573017200; 7006680929; 57193737230</t>
  </si>
  <si>
    <t xml:space="preserve">How to Efficiently Predict Dengue Incidence in Kuala Lumpur</t>
  </si>
  <si>
    <t xml:space="preserve">Mosquito-borne diseases are rapidly spreading in all regions of the world with an estimation of 2.5 billion people globally are at risk. The recent surge in dengue outbreaks has caused severe affliction to Malaysian society. Hence, the ability to predict a dengue outbreak and mitigate its damage and loss proactively is very critical. In this paper, we study the possibility of applying machine learning (ML) and deep learning (DL) approaches to predict the number of confirmed dengue fever (DF) cases in Kuala Lumpur. We identified several contribution factors correlate to a dengue outbreak. In addition to the two frequently used factors (daily mean temperature and daily rainfall), we also took into account the enhanced vegetation index (EVI), humidity and wind speed as input factors to our prediction engines. We collected and cleansed data on these factors and the daily DF incidents in Kuala Lumpur from 2002 to 2012. We then used these data to train and evaluate our 3 ML/DL models. Among the three models, GA-RNN was the best performer and achieved a MAE of 10.95 for DF incidence prediction. © 2018 IEEE.</t>
  </si>
  <si>
    <t xml:space="preserve">Proceedings - 2018 4th International Conference on Advances in Computing, Communication and Automation, ICACCA 2018</t>
  </si>
  <si>
    <t xml:space="preserve">10.1109/ICACCAF.2018.8776790</t>
  </si>
  <si>
    <t xml:space="preserve">https://www.scopus.com/inward/record.uri?eid=2-s2.0-85070553311&amp;doi=10.1109%2fICACCAF.2018.8776790&amp;partnerID=40&amp;md5=0aa9f9fbdb5133247121444f9e61a4d2</t>
  </si>
  <si>
    <t xml:space="preserve">Artificial Intelligence Lab, MIMOS Berhad, Kuala Lumpur, Malaysia; TIDREC, University of Malaya, Kuala Lumpur, Malaysia; Data Science, GCS Agile Pty Ltd, VIC, Australia; IIIS, Griffith University, QLD, Australia</t>
  </si>
  <si>
    <t xml:space="preserve">Pham D.N., Artificial Intelligence Lab, MIMOS Berhad, Kuala Lumpur, Malaysia; Aziz T., Artificial Intelligence Lab, MIMOS Berhad, Kuala Lumpur, Malaysia; Kohan A., Artificial Intelligence Lab, MIMOS Berhad, Kuala Lumpur, Malaysia; Nellis S., TIDREC, University of Malaya, Kuala Lumpur, Malaysia; Jamil J.B.A., TIDREC, University of Malaya, Kuala Lumpur, Malaysia; Khoo J.J., TIDREC, University of Malaya, Kuala Lumpur, Malaysia; Lukose D., Data Science, GCS Agile Pty Ltd, VIC, Australia; AbuBakar S., TIDREC, University of Malaya, Kuala Lumpur, Malaysia; Sattar A., IIIS, Griffith University, QLD, Australia; Ong H.H., Artificial Intelligence Lab, MIMOS Berhad, Kuala Lumpur, Malaysia</t>
  </si>
  <si>
    <t xml:space="preserve">deep learning; dengue outbreak prediction; machine learning</t>
  </si>
  <si>
    <t xml:space="preserve">Forecasting; Learning systems; Machine learning; Risk perception; Wind; Daily rainfall; Dengue fevers; Enhanced vegetation index; Input factors; Mean temperature; Mosquito-borne disease; Prediction engines; Three models; Deep learning</t>
  </si>
  <si>
    <t xml:space="preserve">MESTECC; Ministry of Energy, Science, Technology, Environment and Climate Change</t>
  </si>
  <si>
    <t xml:space="preserve">ACKNOWLEDGMENT This research was supported by the Science Fund Grant 01-03-04-SF0061 from the Ministry of Energy, Science, Technology, Environment and Climate Change (MESTECC).</t>
  </si>
  <si>
    <t xml:space="preserve">Impact of Dengue, (2015); Focks D.A., Daniels E., Haile D., Keesling J., A simulation model of the epidemiology of urban dengue fever: Literature analysis, model development, preliminary validation, and samples of simulation results, The American Journal of Tropical Medicine and Hygiene, 53, 5, pp. 489-506, (1995); Gubler D.J., Dengue and dengue hemorrhagic fever, Clinical Microbiology Reviews, 11, 3, pp. 480-496, (1998); Avirutnan P., Punyadee N., Noisakran S., Komoltri C., Thiemmeca S., Auethavornanan K., Jairungsri A., Kanlaya R., Tangthawornchaikul N., Puttikhunt C., Pattanakitsakul S.-N., Yenchitsomanus P.-T., Mongkolsapaya J., Kasinrerk W., Sittisombut N., Husmann M., Blettner M., Vasanawathana S., Bhakdi S., Malasit P., Vascular leakage in severe dengue virus infections: A potential role for the nonstructural viral protein ns1 and complement, The Journal of Infectious Diseases, 193, 8, pp. 1078-1088, (2006); Bhatnagar S., Lal V., Gupta S.D., Gupta O.P., Forecasting incidence of dengue in Rajasthan, using time series analyses, Indian Journal of Public Health, 56, 4, pp. 281-285, (2012); Gibbons R.V., Vaughn D.W., Dengue: An escalating problem, BMJ, 324, 7353, pp. 1563-1566, (2002); Barbazan P., Guiserix M., Boonyuan W., Tuntaprasart W., Pontier D., Gonzalez J.-P., Modelling the effect of temperature on transmission of dengue, Medical and Veterinary Entomology, 24, 1, pp. 66-73; Shang C.-S., Fang C.-T., Liu C.-M., Wen T.-H., Tsai K.-H., King C.-C., The role of imported cases and favorable meteorological conditions in the onset of dengue epidemics, PLOS Neglected Tropical Diseases, (2010); Runge-Ranzinger S., Horstick O., Marx M., Kroeger A., What does dengue disease surveillance contribute to predicting and detecting outbreaks and describing trends?, Tropical Medicine and International Health, 13, 8, pp. 1022-1041, (2008); Eisen L., Eisen R.J., Using geographic information systems and decision support systems for the prediction, prevention, and control of vector-borne diseases, Annual Review of Entomology, 56, 1, pp. 41-61, (2011); Hii Y.L., Zhu H., Ng N., Ng L.C., Rocklv J., Forecast of dengue incidence using temperature and rainfall, PLOS Neglected Tropical Diseases, 6, 11, pp. 1-9, (2012); Eastin M.D., Delmelle E., Casas I., Wexler J., Self C., Intra- and interseasonal autoregressive prediction of dengue outbreaks using local weather and regional climate for a tropical environment in Colombia, The American Journal of Tropical Medicine and Hygiene, 91, 3, (2014); Dom N.C., Hassan A.A., Latif Z.A., Ismail R., Generating Temporal Model Using Climate Variables for the Prediction of Dengue Cases in Subang Jaya, Malaysia, (2013); Gharbi M., Quenel P., Gustave J., Cassadou S., Ruche G.L., Girdary L., Marrama L., Time series analysis of dengue incidence in guadeloupe, French west indies: Forecasting models using climate variables as predictors, BMC Infectious Diseases, 11, 1, (2011); Yu H.-L., Yang S.-J., Yen H.-J., Christakos G., A spatio-temporal climate-based model of early dengue fever warning in southern Taiwan, Stochastic Environmental Research and Risk Assessment, (2011); Lowe R., Bailey T.C., Stephenson D.B., Graham R., Coelho C.A.S., Carvalho M., Barcellos C., Spatio-temporal modelling of climate sensitive disease risk: Towards an early warning system for dengue in Brazil, Computers &amp; Geosciences, 37, 3, pp. 371-381, (2011); Bakar A.A., Kefli Z., Abdullah S., Sahani M., Predictive models for dengue outbreak using multiple rulebase classifiers, Proceedings of the 2011 International Conference on Electrical Engineering and Informatics, pp. 1-6, (2011); Buczak A.L., Koshute P.T., Babin S.M., Feighner B.H., Lewis S.H., A data-driven epidemiological prediction method for dengue outbreaks using local and remote sensing data, BMC Medical Informatics and Decision Making, 12, 1, (2012); Astrom C., Rocklov J., Hales S., Beguin A., Louis V., Sauerborn R., Potential distribution of dengue fever under scenarios of climate change and economic development, EcoHealth, 9, 4, pp. 448-454, (2012); Ho S., Xie M., Goh T., A comparative study of neural network and box-jenkins ARIMA modeling in time series prediction, Computers and Industrial Engineering, (2002); Zhang J., Man K.F., Time series prediction using rnn in multidimension embedding phase space, IEEE International Conference on Systems, Man, and Cybernetics, (1998); Che Z., Purushotham S., Cho K., Sontag D.A., Liu Y., Recurrent neural networks for multivariate time series with missing values, Scientific Reports, (2018); Hochreiter S., Schmidhuber J., Long short-term memory, Neural Computation, 9, 8, pp. 1735-1780, (1997); Whitley D., A genetic algorithm tutorial, Statistics and Computing, 4, 2, pp. 66-85, (1994); Pham D.N., Aziz T., Kohan A., Nellis S., Binti Abd-Jamil J., Khoo J.J., Lukose D., Abu Bakar S., Sattar A., An efficient method to predict dengue outbreaks in Kuala Lumpur, Proceeding of the 3rd International Conference on Artificial Intelligence and Computer Science, (2015)</t>
  </si>
  <si>
    <t xml:space="preserve">BAE Systems; Configura Pacific Sdn Bhd.; Huawei Technology Malaysia Sdn Bhd.; INFOPRO Sdn Bhd; Taylor's University</t>
  </si>
  <si>
    <t xml:space="preserve">4th International Conference on Advances in Computing, Communication and Automation, ICACCA 2018</t>
  </si>
  <si>
    <t xml:space="preserve">26 October 2018 through 28 October 2018</t>
  </si>
  <si>
    <t xml:space="preserve">Subang Jaya</t>
  </si>
  <si>
    <t xml:space="preserve">978-153867167-2</t>
  </si>
  <si>
    <t xml:space="preserve">Proc. - Int. Conf. Adv. Comput., Commun. Autom., ICACCA</t>
  </si>
  <si>
    <t xml:space="preserve">2-s2.0-85070553311</t>
  </si>
  <si>
    <t xml:space="preserve">Braga O.; Albuquerque G.; Oliveira M.; Monteiro O.</t>
  </si>
  <si>
    <t xml:space="preserve">Braga, Oton (57197812155); Albuquerque, Gerson (57204924953); Oliveira, Mauro (55913082200); Monteiro, Odorico (57192238920)</t>
  </si>
  <si>
    <t xml:space="preserve">57197812155; 57204924953; 55913082200; 57192238920</t>
  </si>
  <si>
    <t xml:space="preserve">Intelligent solution for classification of diseases transmitted by vector aedes aegypti</t>
  </si>
  <si>
    <t xml:space="preserve">Several physical or emotional factors can contribute negatively to critical moments in the health area, negatively influencing the diagnosis of diseases. Therefore, this work proposes an intelligent solution based on classifiers as an inference mechanism capable of assisting health professionals during the process of clinical management of diseases transmitted by the Aedes Aegypti mosquito, identifying the most probable diagnosis based on symptoms and outcome of exams. Thus, two learning models capable of inferring the probability of a patient being infected with a particular disease were applied, with an accuracy up to 91.6%. An intelligent API to support decision-making was then built during the clinical management of dengue and chikungunya. The solution allows several applications to access learning models. As proof of concept, a mobile application of popular consultation for the identification of dengue and chikungunya was also developed. © 2018 Association for Computing Machinery.</t>
  </si>
  <si>
    <t xml:space="preserve">a8</t>
  </si>
  <si>
    <t xml:space="preserve">10.1145/3293614.3293640</t>
  </si>
  <si>
    <t xml:space="preserve">https://www.scopus.com/inward/record.uri?eid=2-s2.0-85064512903&amp;doi=10.1145%2f3293614.3293640&amp;partnerID=40&amp;md5=d568f2b428a7fb73737542c15967d88a</t>
  </si>
  <si>
    <t xml:space="preserve">Icapuí Government, Icapuí, Ceará, Brazil; Federal Institute of Ceará, Fortaleza, Ceará, Brazil; Federal Institute of Ceará, Aracati, Ceará, Brazil; Brazilian National Congress, Brasília, Brazil</t>
  </si>
  <si>
    <t xml:space="preserve">Braga O., Icapuí Government, Icapuí, Ceará, Brazil; Albuquerque G., Federal Institute of Ceará, Fortaleza, Ceará, Brazil; Oliveira M., Federal Institute of Ceará, Aracati, Ceará, Brazil; Monteiro O., Brazilian National Congress, Brasília, Brazil</t>
  </si>
  <si>
    <t xml:space="preserve">Chikungunya; Classification; Data mining; Dengue; Health system; Machine learning</t>
  </si>
  <si>
    <t xml:space="preserve">Classification (of information); Data mining; Decision making; Information systems; Information use; Learning systems; Chikungunya; Clinical management; Dengue; Health professionals; Health systems; Inference mechanism; Intelligent solutions; Mobile applications; Computer aided diagnosis</t>
  </si>
  <si>
    <t xml:space="preserve">BPI, (09/2015); Fundação Cearense de Apoio ao Desenvolvimento Científico e Tecnológico, FUNCAP</t>
  </si>
  <si>
    <t xml:space="preserve">This work was supported by FUNCAP (Fundação Cearense de Apoio ao Desenvolvimento Científico e Tecnológico) under the Program of Research Productivity Grants, Incentive for Interiorization and Technological Innovation - BPI, FUNCAP Edital No. 09/2015.</t>
  </si>
  <si>
    <t xml:space="preserve">Alves Silva R.M.R., Gadelha C.V.M., ONTO2AE: Um Sistema de Auxílio aos Pré-Diagnósticos de Doenças Oriundas do Mosquito Aedes Aegypti, Instituto Federal Do Rio Grande Do Norte (IFRN), (2016); Awad M., Khanna R., Machine Learning, pp. 1-18, (2015); Berry M.J., Linoff G., Data Mining Techniques: For Marketing, Sales, and Customer Support, (1997); Monitoramento Dos Casos de Dengue, Febre de Chikungunya e Febre Pelo VÍrus Zika Até A Semana Epidemiológica 13, (2016); Prevenção e Combate: Dengue, Chikungunya e Zika, (2016); Browne M.W., Cross-validation methods, Journal of Mathematical Psychology, 44, pp. 108-132, (2000); Coiera E., Guide to Health Informatics, (2015); De Sousa F.J.G., MARCIA, UMA METODOLOGIA PARA O MANEJO DE REGISTRO CLÍNICO COM USO DE ARQUÉTIPOS PARA INTEROPERABILIDADE ENTRE SISTEMAS DE SAÚDE, Dissertação, Curso de Mestrado Profissional Integrado em Computação Aplicada da Instituto Federal Do Ceará (UECE), (2017); Faceli K., Carolina Lorena A., Gama J., De Carvalho C.F.L.P.A., Inteligência Artificial: Uma Abordagem de Aprendizado de Máquina, LTC, (2015); Fayyad U.M., Piatetsky-Shapiro G., Smyth P., Uthurusamy R., Advances in Knowledge Discovery and Data Mining., 21, (1996); Frank E., Hall M.A., Witten I.H., The WEKA Workbench Online Appendix for Data Mining: Practical Machine Learning Tools and Techniques, (2016); Hilario M., Kalousis A., Nguyen P., Woznica A., A data mining ontology for algorithm selection and meta-mining, Proceedings of the ECML/PKDD09 Workshop on 3rd Generation Data Mining (SoKD-09), pp. 76-87, (2009); Carlos Lobo L., Inteligência Artificial e Medicina, 41, pp. 185-193, (2017); Giovanni Luz K., Igor Dos Viana Santos G., De Magalhaes Vieira R., Febre pelo VÍrus Zika, Epidemiologia e Serviços de Saúde, 24, 4, pp. 785-788, (2015); Ramos R.F., Mattos C.C.L., Junior Souza A.H., Neto Rocha A.R., Barreto G.A., Mazzal H.A., Mota M.O., Heart Diseases Prediction Using Data from Health Assurance Systems in Models and Methods for Supporting Decision-Making in Human Health and Environment Protection, (2016); Casos de Dengue, Zika e Chikungunya, (2016)</t>
  </si>
  <si>
    <t xml:space="preserve">Euro American Association on Telematics and Information Systems (EATIS)</t>
  </si>
  <si>
    <t xml:space="preserve">2018 Euro American Conference on Telematics and Information Systems, EATIS 2018</t>
  </si>
  <si>
    <t xml:space="preserve">12 November 2018 through 15 November 2018</t>
  </si>
  <si>
    <t xml:space="preserve">Fortaleza</t>
  </si>
  <si>
    <t xml:space="preserve">978-145036572-7</t>
  </si>
  <si>
    <t xml:space="preserve">2-s2.0-85064512903</t>
  </si>
  <si>
    <t xml:space="preserve">Modu B.; Polovina N.; Lan Y.; Konur S.</t>
  </si>
  <si>
    <t xml:space="preserve">Modu, Babagana (56521520900); Polovina, Nereida (56678534300); Lan, Yang (36808501000); Konur, Savas (36174232900)</t>
  </si>
  <si>
    <t xml:space="preserve">56521520900; 56678534300; 36808501000; 36174232900</t>
  </si>
  <si>
    <t xml:space="preserve">Machine learning analysis and agent-based modelling of malaria transmission</t>
  </si>
  <si>
    <t xml:space="preserve">Malaria is the leading cause of death in many countries. Numerous studies have been carried out to introduce prevention mechanisms; but most methods employed are limited to mathematical modelling and analysis. Predicting the occurrence of malaria incidence and understanding the dynamics of transmission still remain two key challenges. In this paper, we have utilised two different computational techniques to address these issues. We have used machine learning methods and developed models for predicting the likelihood of malaria outbreak using the incidence data against climatic factors. The success of machine learning depends on the availability of reliable large data sets; but in most cases it is not possible to have reliable and complete data. Also, machine learning does not provide a good understanding of the transmission mechanism. Hence, we have used agent-based modelling approach to simulate the malaria dynamics using some parameters. The model developed has potential to emulate real scenarios for showing impact of the incubation period on malaria dynamics. Moreover, the model can also assist hospitals, public health officials and policy makers with near-real evidence on how malaria infection invading population so as to strategies for feasible intervention. © 2018 The authors and IOS Press. All rights reserved.</t>
  </si>
  <si>
    <t xml:space="preserve">Frontiers in Artificial Intelligence and Applications</t>
  </si>
  <si>
    <t xml:space="preserve">10.3233/978-1-61499-927-0-465</t>
  </si>
  <si>
    <t xml:space="preserve">https://www.scopus.com/inward/record.uri?eid=2-s2.0-85057340148&amp;doi=10.3233%2f978-1-61499-927-0-465&amp;partnerID=40&amp;md5=d1ba6ebd060891cc8bc417dd55d2240c</t>
  </si>
  <si>
    <t xml:space="preserve">School of Electrical Engineering and Computer Science, University of Bradford, United Kingdom; Manchester Metropolitan University, All Saints Campus, Manchester, United Kingdom; School of Electrical Engineering and Computer Science, University of Bradford, BD7 1DP, United Kingdom</t>
  </si>
  <si>
    <t xml:space="preserve">Modu B., School of Electrical Engineering and Computer Science, University of Bradford, United Kingdom, School of Electrical Engineering and Computer Science, University of Bradford, BD7 1DP, United Kingdom; Polovina N., Manchester Metropolitan University, All Saints Campus, Manchester, United Kingdom; Lan Y., School of Electrical Engineering and Computer Science, University of Bradford, United Kingdom; Konur S., School of Electrical Engineering and Computer Science, University of Bradford, United Kingdom</t>
  </si>
  <si>
    <t xml:space="preserve">Agent-based modelling; Climatic factors; Incubation period; Machine learning; Malaria; NetLogo</t>
  </si>
  <si>
    <t xml:space="preserve">Autonomous agents; Computational methods; Diseases; Machine learning; Simulation platform; Agent-based model; Causes of death; Climatic factors; Computational technique; Incubation periods; Machine-learning; Malaria; Malaria transmission; Modelling and analysis; NetLogo; Dynamics</t>
  </si>
  <si>
    <t xml:space="preserve">Innovate UK, (KTP010551); Tertiary Education Trust Fund, TETFund</t>
  </si>
  <si>
    <t xml:space="preserve">BM acknowledges the Tertiary Education Fund (tetFund) Nigeria (in collaboration with Yobe State University Damaturu) for sponsoring his PhD studies at University of Bradford, UK. YL’s SK’s work is supported by Innovate UK [grant number KTP010551].</t>
  </si>
  <si>
    <t xml:space="preserve">World Malaria Report 2015, (2016); Modu B., Asyhari A.T., Konur S., Peng Y., An assessment on the hidden ecological factors of the incidence of malaria, Multidisciplinary Digital Publishing Institute Proceedings, 1, 3, (2017); Modu B., Asyhari A.T., Peng Y., Data Analytics of climatic factor influence on the impact of malaria incidence, Computational Intelligence (SSCI), 2016 IEEE Symposium Series on, pp. 1-8, (2016); Modu B., Polovina N., Lan Y., Konur S., Asyhari A.T., Peng Y., Towards a predictive analytics-based intelligent malaria outbreak warning system, Applied Sciences, 7, 8, (2017); Khalil K.M., Abdel-Aziz M., Nazmy T.T., Salem A.B.M., An agent-based modelling for pandemic influenza in Egypt, Handbook on Decision Making, pp. 205-218, (2012); Illangakoon C., McLeod R.D., Friesen M.R., Agent based modelling of malaria, Humanitarian Technology Conference-(IHTC), 2014 IEEE Canada International, pp. 1-6, (2014); Wilensky U., Rand W., An Introduction to Agent-Based Modelling: Modelling Natural, Social, and Engineered Complex Systems with NetLogo, (2015); Craig M.H., Snow R.W., Le Sueur D., A climate-based distribution model of malaria transmission in sub-Saharan Africa, Parasitology Today, 15, 3, pp. 105-111, (1999); Okuneye K., Gumel A.B., Analysis of a temperature-and rainfall-dependent model for malaria transmission dynamics, Mathematical Biosciences, 287, pp. 72-92, (2017); Nah K., Nakata Y., RA ust G., Malaria dynamics with long incubation period in hosts, Computers &amp; Mathematics with Applications, 68, 9, pp. 915-930, (2014); Nah K., Kim Y., Lee J.M., The dilution effect of the domestic animal population on the transmission of P. Vivax malaria, Journal of Theoretical Biology, 266, 2, pp. 299-306, (2010); Dan E.D., Jude O., Idochi O., Modelling and forecasting malaria mortality rate using SARIMA models (a case study of Aboh Mbaise general hospital, Imo State Nigeria), Science Journal of Applied Mathematics and Statistics, 2, 1, pp. 31-41, (2014); Sharma V., Kumar A., Panat L., Karajkhede G., Lele A., Malaria outbreak prediction model using machine learning, Int. J. Adv. Res. Comput. Eng. Technol, 4, pp. 4415-4419, (2015); Zacarias O.P., BostrA um H., Predicting the incidence of malaria cases in Mozambique using regression trees and forests, International Journal of Computer Science and Electronics Engineering (IJCSEE), 1, 1, pp. 50-54, (2013); Hasan A.I., Haddawy P., Lawpoolsri S., A comparative analysis of Bayesian network and ARIMA approaches to malaria outbreak prediction, International Conference on Computing and Information Technology, pp. 108-117, (2017); Hakizimana L., Cheruiyot W.K., Kimani S., Nyararai M., A hybrid based classification and regression model for predicting diseases outbreak in datasets, International Journal of Computer (IJC), 27, 1, pp. 69-83, (2017); Konur S., Kiran M., Gheorghe M., Burkitt M., Ipate F., Agent-based high-performance simulation of biological systems on the GPU, High Performance Computing and Communications (HPCC), 2015 IEEE 7th International Symposium on Cyberspace Safety and Security (CSS), 2015 IEEE 12th International Conferen on Embedded Software and Systems (ICESS), 2015 IEEE 17th International Conference on, pp. 84-89, (2015)</t>
  </si>
  <si>
    <t xml:space="preserve">B. Modu; School of Electrical Engineering and Computer Science, University of Bradford, United Kingdom; email: b.modu@bradford.ac.uk</t>
  </si>
  <si>
    <t xml:space="preserve">Tallon-Ballesteros A.J.; Li K.</t>
  </si>
  <si>
    <t xml:space="preserve">4th International Conference on Fuzzy Systems and Data Mining, FSDM 2018</t>
  </si>
  <si>
    <t xml:space="preserve">15 November 2018 through 16 November 2018</t>
  </si>
  <si>
    <t xml:space="preserve">978-161499927-0</t>
  </si>
  <si>
    <t xml:space="preserve">Front. Artif. Intell. Appl.</t>
  </si>
  <si>
    <t xml:space="preserve">2-s2.0-85057340148</t>
  </si>
  <si>
    <t xml:space="preserve">Oyelade J.; Uwoghiren E.; Isewon I.; Oladipupo O.; Aromolaran O.; Michael K.</t>
  </si>
  <si>
    <t xml:space="preserve">Oyelade, Jelili (52464245600); Uwoghiren, Efosa (57192298036); Isewon, Itunuoluwa (57192174870); Oladipupo, Olufunke (36543110300); Aromolaran, Olufemi (57192299788); Michael, Kingsley (57202498093)</t>
  </si>
  <si>
    <t xml:space="preserve">52464245600; 57192298036; 57192174870; 36543110300; 57192299788; 57202498093</t>
  </si>
  <si>
    <t xml:space="preserve">Machine learning and sentiment analysis: Examining the contextual polarity of public sentiment on malaria disease in social networks</t>
  </si>
  <si>
    <t xml:space="preserve">Malaria, a major deadly disease which is still a threat to human life’s even though numerous efforts has been put to fight it, still affects over two hundred million people each year amongst which over a million individuals dies. Twitter happens to be an important and comprehensive source of information that is quite subjective to individual sentiments towards public health care. In this study, we extracted tweets from the social network twitter, we preprocessed the tweets extracted and built a model to fit our data using a machine learning approach for text classification to determine the contextual polarity of every tweet on the subject of malaria in the bid to harvest peoples’ opinion towards malaria and understand how well research and recent development in the aid to tackle malaria has affected the opinions of the public towards the subject malaria. This study finds that tweets extracted, preprocessed and classified in this study were majorly classified as negative (-ve) due to the fact that tweets tweeted were majorly about different occurrence of death, misinformation and need for donations to save a life, hence a major awareness is needed. © 2018 ISCA, BICOB.</t>
  </si>
  <si>
    <t xml:space="preserve">Proceedings of the 10th International Conference on Bioinformatics and Computational Biology, BICOB 2018</t>
  </si>
  <si>
    <t xml:space="preserve">The International Society for Computers and Their Applications (ISCA)</t>
  </si>
  <si>
    <t xml:space="preserve">https://www.scopus.com/inward/record.uri?eid=2-s2.0-85048558271&amp;partnerID=40&amp;md5=579b7406ed7ae51b88538af9a4c782ef</t>
  </si>
  <si>
    <t xml:space="preserve">Department of Computer and Information Science, Covenant University, Ota, Nigeria; Department of Accounting, Covenant University, Ota, Nigeria; Covenant University Bioinformatics Research Cluster (CUBRe), Ota, Japan</t>
  </si>
  <si>
    <t xml:space="preserve">Oyelade J., Department of Computer and Information Science, Covenant University, Ota, Nigeria, Covenant University Bioinformatics Research Cluster (CUBRe), Ota, Japan; Uwoghiren E., Department of Computer and Information Science, Covenant University, Ota, Nigeria; Isewon I., Department of Computer and Information Science, Covenant University, Ota, Nigeria, Covenant University Bioinformatics Research Cluster (CUBRe), Ota, Japan; Oladipupo O., Department of Computer and Information Science, Covenant University, Ota, Nigeria; Aromolaran O., Department of Computer and Information Science, Covenant University, Ota, Nigeria, Covenant University Bioinformatics Research Cluster (CUBRe), Ota, Japan; Michael K., Department of Accounting, Covenant University, Ota, Nigeria</t>
  </si>
  <si>
    <t xml:space="preserve">Data mining; Machine learning technique; Malaria; Sentiment analysis; Twitter</t>
  </si>
  <si>
    <t xml:space="preserve">Artificial intelligence; Bioinformatics; Classification (of information); Disease control; Diseases; Learning systems; Sentiment analysis; Social networking (online); Text processing; Human lives; Machine learning approaches; Machine learning techniques; Malaria; Public sentiments; Text classification; Twitter; Data mining</t>
  </si>
  <si>
    <t xml:space="preserve">Covenant University</t>
  </si>
  <si>
    <t xml:space="preserve">We acknowledge the support of Covenant University Center for Research, Innovation and Discovery, Covenant University, Ota, Nigeria.</t>
  </si>
  <si>
    <t xml:space="preserve">Ekenna C., Fatumo S., Adebiyi E., In-silico evaluation of malaria drug targets, Int. J., (2010); Golldack A., Henke B., Bergmann B., Wiechert M., Substrate-analogous inhibitors exert antimalarial action by targeting the plasmodium lactate transporter PfFNT at nanomolar scale, PLoS, (2017); Sahan K., Pell C., Smithuis F., Community Engagement and The Social Context of Targeted Malaria Treatment: A Qualitative Study in Kayin (Karen) State, Myanmar, (2017); Hapuarachchi S., Cobbold S., Shafik S., The malaria parasite’s lactate transporter PfFNT is the target of antiplasmodial compounds identified in whole cell phenotypic screens, PLoS, (2017); WHO | World Malaria Report 2016, (2016); Dholakia N., Dhandhukia P., Roy N., Screening of potential targets in plasmodium falciparum using stage-specific metabolic network analysis, Mol. Divers., (2015); Huthmacher C., Hoppe A., Bulik S., Antimalarial drug targets in plasmodium falciparum predicted by stage-specific metabolic network analysis, BMC Syst, (2010); Teahton J., In Vitro and in Vivo Anti-Plasmodial Activities of Senna Occidentalis Roots Extracts Against Plasmodium Falciparum and Plasmodium Berghei, (2016); Fatumo S., Plaimas K., Adebiyi E., Konig R., Comparing metabolic network models based on genomic and automatically inferred enzyme information from plasmodium and its human host to define drug targets in silico, Infection, Genetics and Evolution, 11, pp. 201-208, (2011); AIM 2016-2030 — Roll Back Malaria, (2016); Goff D.A., Kullar R., Newland J.G., Review of twitter for infectious diseases clinicians: Useful or a waste of time?, Clin. Infect. Dis., 512, 10, pp. 126-129, (2015); Lazard A.J., Scheinfeld E., Bernhardt J.M., Wilcox G.B., Suran M., Detecting themes of public concern: A text mining analysis of the centers for disease control and prevention’s ebola live twitter chat, Am. J. Infect. Control, 43, 10, pp. 1109-1111, (2015); HIV/AIDS and the millennium development goals: A public sentiment analysis of world AIDS day twitter chat, Int. J. HIV/AIDS Res., pp. 129-132, (2016); Kwak H., Lee C., Park H., Moon S., What is twitter, a social network or a news media?, Proceedings of The 19th International Conference on World Wide Web - WWW’10, (2010); Akshay Ghaisas R.J.P.N.N.N., International Journal of Engineering Research and Technology IJERT, 2-3, (2012); Chowdhury G.G., Natural language processing, Annu. Rev. Appl. Linguist., 37, 1, pp. 51-89, (2003); Pisoni D.B., Levi S.V., Some Observations on Representations and Representational Specificity in Speech Perception and Spoken Word Recognition 2 Conventional View of Speech 2.1 Background, (2005); Hume E., Johnson K., A model of the interplay of speech perception and phonology, Stud. Interplay Speech Percept. Phonol., 55, pp. 1-22, (2001); Shapiro M., Style, pp. 203-278, (2017); Patterson K.J., When is a metaphor not a metaphor? An investigation into lexical characteristics of metaphoricity among uncertain cases, Metaphor Symb, 32, 2, pp. 103-117, (2017); Warsha M., Choudhari M., Rinku Rajankar M., Introduction to Natural Language Processing With Python, (2015); Tamrakar A., Dubey D., Query optimisation using natural language processing, Int. J. Comput. Sci. Technol., 3, 1, (2012); Tan A.-H., Text mining: The state of the art and the challenges, Proceedings of The PAKDD 1999 Workshop on Knowledge Disocovery from Advanced Databases, 8, pp. 65-70, (1999); Vijayarani S., Ilamathi J., Nithya M., Preprocessing techniques for text mining - An overview, Int. J. Comput. Sci. Commun. Networks, 5, 1, pp. 7-16, (2015); Anshika S., Udayan G., Text mining: A burgeoning technology for knowledge extraction, Int. J. Sci. Res. Eng. Technol., 1, 12, pp. 022-026, (2013); Brahme A., A Review of Knowledge Discovery Using Text Mining and Its Applications, 5, pp. 291-295, (2015); Zhang Y., Desouza P., Enhance the power of sentiment analysis, Int. J. Comput. Autom. Control Inf. Eng., 8, 3, pp. 7-12, (2014); Cambria E., Das D., Bandyopadhyay S., Editors A.F., A Practical Guide to Sentiment Analysis, 5, (2017); Pang B., Lee L., Opinion mining and sentiment analysis, Found. Trends Inf. Retr., 2, 1-2, pp. 1-135, (2004); Yusof N.N., Mohamed A., Abdul-Rahman S., Reviewing classification approaches in sentiment analysis, Communications in Computer and Information Science, 545, pp. 43-53, (2015); Rahate R.S., Emmanuel M., Feature selection for sentiment analysis by using SVM, Int. J. Comput. Appl., 84, 5, pp. 975-8887, (2013); Aggarwal U., Aggarwal G., Sentiment analysis: A survey, Int. J. Comput. Sci. Eng. Open Access Surv. Pap., 5, 5, (2017); Osama M.R., Ahmad K.H., Dana A.A.Q., Sentiment analysis as a way of web optimization, Sci. Res. Essays, 11, 8, pp. 90-96, (2016); Mostafa A.M., An evaluation of sentiment analysis and classification algorithms for Arabic textual data, Int. J. Comput. Appl., 158, 3, pp. 975-8887, (2017); Medhat W., Hassan A., Korashy H., Sentiment analysis algorithms and applications: A survey, Ain Shams Eng. J., 5, 4, pp. 1093-1113, (2014); Khan K., Baharudin B., Khan A., Ullah A., Mining opinion components from unstructured reviews: A review, J. King Saud Univ. - Comput. Inf. Sci., 26, 3, pp. 258-275, (2014); Fang X., Zhan J., Sentiment analysis using product review data, J. Big Data, 2, 1, (2015); Zhang L., Liu B., Sentiment analysis and opinion mining, Encyclopedia of Machine Learning and Data Mining, pp. 1-10, (2016); Shreya B., Rupal P., A brief review of sentiment analysis methods, Int. J. Inf. Sci. Tech., 6, (2016); Zhou H., Guo J., Wang Y., A feature selection approach based on term distributions, Springerplus, 5, (2016); Ding X., Street S.M., Liu B., Street S.M., Yu P.S., Street S.M., A holistic lexicon-based approach to opinion mining, Wsdm’08, (2008); Hajjouz M., Information and Knowledge Management Opinions Mining in Facebook, 6, 3, (2016); Shouval R., Bondi O., Mishan H., Shimoni A., Unger R., Nagler A., Application of machine learning algorithms for clinical predictive modeling: A data-mining approach in SCT, Bone Marrow Transplant, 49, 3, pp. 332-337, (2014); Bastanlar Y., Ozuysal M., Introduction to machine learning, Methods in Molecular Biology, 1107, pp. 105-128, (2014)</t>
  </si>
  <si>
    <t xml:space="preserve">Al-Mubaid A.-M.; Eulenstein O.; Ding Q.</t>
  </si>
  <si>
    <t xml:space="preserve">International Society for Computers and Their Applications (ISCA)</t>
  </si>
  <si>
    <t xml:space="preserve">10th International Conference on Bioinformatics and Computational Biology, BICOB 2018</t>
  </si>
  <si>
    <t xml:space="preserve">978-194343611-8</t>
  </si>
  <si>
    <t xml:space="preserve">Proc. Int. Conf. Bioinform. Comput. Biol., BICOB</t>
  </si>
  <si>
    <t xml:space="preserve">2-s2.0-85048558271</t>
  </si>
  <si>
    <t xml:space="preserve">Gezahegn Y.G.; Medhin Y.H.G.; Etsub E.A.; Tekele G.N.G.</t>
  </si>
  <si>
    <t xml:space="preserve">Gezahegn, Yaecob Girmay (6507267443); Medhin, Yirga Hagos G. (57202948956); Etsub, Eneyew Adugna (57202948824); Tekele, Gereziher Niguse G. (57202942202)</t>
  </si>
  <si>
    <t xml:space="preserve">6507267443; 57202948956; 57202948824; 57202942202</t>
  </si>
  <si>
    <t xml:space="preserve">Malaria detection and classification using machine learning algorithms</t>
  </si>
  <si>
    <t xml:space="preserve">Malaria is one of the most infectious diseases, specifically in tropical areas where it affects millions of lives each year. Manual laboratory diagnosis of Malaria needs careful examination to distinguish infected and healthy Red Blood Cells (RBCs). However, it is time consuming, needs experience, and may face inaccurate lab results due to human errors. As a result, doctors and specialists are likely to provide improper prescriptions. With the current technological advancement, the whole diagnosis process can be automated. Hence, automating the process needs analysis of the infected blood smear images so as to provide reliable, objective result, rapid, accurate, low cost and easily interpretable outcome. In this paper comparison of conventional image segmentation techniques for extracting Malaria infected RBC are presented. In addition, Scale Invariant Feature Transform (SIFT) for extraction of features and Support Vector Machine (SVM) for classification are also discussed. SVM is used to classify the features which are extracted using SIFT. The overall performance measures of the experimentation are, accuracy (78.89%), sensitivity (80%) and specificity (76.67%). As the dataset used for training and testing is increased, the performance measures can also be increased. This technique facilitates and translates microscopy diagnosis of Malaria to a computer platform so that reliability of the treatment and lack of medical expertise can be solved wherever the technique is employed. © 2018, ICST Institute for Computer Sciences, Social Informatics and Telecommunications Engineering.</t>
  </si>
  <si>
    <t xml:space="preserve">10.1007/978-3-319-95153-9_3</t>
  </si>
  <si>
    <t xml:space="preserve">https://www.scopus.com/inward/record.uri?eid=2-s2.0-85049879879&amp;doi=10.1007%2f978-3-319-95153-9_3&amp;partnerID=40&amp;md5=f8c9c0363c6e88cd26e2e3a3c57f3ecb</t>
  </si>
  <si>
    <t xml:space="preserve">Addis Ababa University, Addis Ababa, Ethiopia; Mekelle University, Mekelle, Ethiopia</t>
  </si>
  <si>
    <t xml:space="preserve">Gezahegn Y.G., Addis Ababa University, Addis Ababa, Ethiopia; Medhin Y.H.G., Mekelle University, Mekelle, Ethiopia; Etsub E.A., Addis Ababa University, Addis Ababa, Ethiopia; Tekele G.N.G., Mekelle University, Mekelle, Ethiopia</t>
  </si>
  <si>
    <t xml:space="preserve">Blood smear; Feature extraction; Image segmentation; Machine learning; Microscopic; SIFT; SVM</t>
  </si>
  <si>
    <t xml:space="preserve">Artificial intelligence; Blood; Diagnosis; Diseases; Extraction; Feature extraction; Image segmentation; Learning systems; Statistical tests; Support vector machines; Tropics; Blood smears; Microscopic; Performance measure; Scale invariant feature transforms; Segmentation techniques; SIFT; Technological advancement; Training and testing; Learning algorithms</t>
  </si>
  <si>
    <t xml:space="preserve">WHO: Global Report on Antimalarial Efficacy and Drug Resistance (2000-2010); Korenromp E., Et al., (2005); Gallup J., Sachs J., The economic burden of malaria, J. Trop. Med., 64, pp. 85-96, (2001); National Centers for Disease Control Prevention: Laboratory Identification of Parasites of Public Health Concern, (2017); Coatney G., Et al., The primate malarias. U.S. Department of Health, Education and Welfare, (1971); Microsoft Corporation: Microsoft Encarta Encyclopedia, (2002); Sherman I.W., Malaria: Parasite Biology, Pathogenesis and Protection, (1998); Kareem S., Et al., A novel method to count the red blood cells in thin blood films, IEEE International Symposium on Circuits and Systems (ISCAS), pp. 1021-1024, (2011); Kareem S., Et al., Automated malaria parasite detection in thin blood films: A hybrid illumination and color constancy insensitive, morphological approach, Applied DSP and VLSI Research Group, University of Westminster London, United Kingdom, (2012); Zhiming T., Research on Graph Theory Based Image Segmentation and Its Embedded Application, pp. 14-24, (2007); Acharya T., Ray A.K., Image Processing Principles and Applications; WHO: New Perspectives, Malaria Diagnosis, (2000); Tek F.B., Computerized Diagnosis of Malaria, (2007); Lowe D.G., Distinctive image features from scale-invariant keypoints, Int. J. Comput. Vis., 60, 2, pp. 91-110, (2004); Cortes C., Vapnik V., Support-vector networks, Mach. Learn., 20, pp. 273-297, (1995); Kareem Reni S., Automated Low-Cost Malaria Detection System in Thin Blood Slide Images Using Mobile Phones, (2014)</t>
  </si>
  <si>
    <t xml:space="preserve">Y.G. Gezahegn; Addis Ababa University, Addis Ababa, Ethiopia; email: yaecob.girmay@gmail.com</t>
  </si>
  <si>
    <t xml:space="preserve">Dargie W.; Tegegne T.; Nigussie E.E.; Edward M.; Mekuria F.</t>
  </si>
  <si>
    <t xml:space="preserve">1st International Conference on Information and Communication Technology for Development for Africa, ICT4DA 2017</t>
  </si>
  <si>
    <t xml:space="preserve">25 September 2017 through 27 September 2017</t>
  </si>
  <si>
    <t xml:space="preserve">978-331995152-2</t>
  </si>
  <si>
    <t xml:space="preserve">2-s2.0-85049879879</t>
  </si>
  <si>
    <t xml:space="preserve">Var E.; Boray Tek F.</t>
  </si>
  <si>
    <t xml:space="preserve">Var, Esra (57201677944); Boray Tek, F. (57895774700)</t>
  </si>
  <si>
    <t xml:space="preserve">57201677944; 57895774700</t>
  </si>
  <si>
    <t xml:space="preserve">Malaria Parasite Detection with Deep Transfer Learning</t>
  </si>
  <si>
    <t xml:space="preserve">This study aims to aromatically detect malaria parasites (Plasmodium sp) on images taken from Giemsa stained blood smears. Deep learning methods provide limited performance when sample size is low. In transfer learning, visual features are learned from large general data sets, and problem-specific classification problem can be solved successfully in restricted problem specific data sets. In this study, we apply transfer learning method to detect and classify malaria parasites. We use a popular pre-trained CNN model VGG19. We trained the model for 20 epoch on 1428 P. Vivax, 1425 P. Ovale, 1446 P. Falciparum, 1450 P. Malariae and 1440 non-parasite samples. The transfer learning model achieves %80, %83, %86, %75 precision and 83%, 86%, 86%, 79% f-measure on 19 test images. © 2018 IEEE.</t>
  </si>
  <si>
    <t xml:space="preserve">UBMK 2018 - 3rd International Conference on Computer Science and Engineering</t>
  </si>
  <si>
    <t xml:space="preserve">10.1109/UBMK.2018.8566549</t>
  </si>
  <si>
    <t xml:space="preserve">https://www.scopus.com/inward/record.uri?eid=2-s2.0-85060661093&amp;doi=10.1109%2fUBMK.2018.8566549&amp;partnerID=40&amp;md5=6e6091ddd4482385d6ffd5e2cfd967fa</t>
  </si>
  <si>
    <t xml:space="preserve">Bilgisayar Mühendisliǧi, Işik Üniversitesi, Istanbul, Turkey</t>
  </si>
  <si>
    <t xml:space="preserve">Var E., Bilgisayar Mühendisliǧi, Işik Üniversitesi, Istanbul, Turkey; Boray Tek F., Bilgisayar Mühendisliǧi, Işik Üniversitesi, Istanbul, Turkey</t>
  </si>
  <si>
    <t xml:space="preserve">computer-aided diagnosis; Convolutional neural network; deep learning; malaria</t>
  </si>
  <si>
    <t xml:space="preserve">Classification (of information); Computer aided diagnosis; Computer aided instruction; Diseases; Neural networks; Convolutional neural network; Learning methods; malaria; Malaria parasite; Restricted problem; Specific data sets; Transfer learning; Transfer learning methods; Deep learning</t>
  </si>
  <si>
    <t xml:space="preserve">World Malaria Report, (2017); Akdur R., Stma Laboratuvar Teknisyeni El Kitab, (1997); Di Ruberto C., Dempster A., Khan S., Jarra B., Analysis of infected blood cell images using morphological operators, Image Vis. Comput, pp. 133-146, (2002); Iqbal J., Hira P., Ali A., Sher A., Modified giemsa staining for rapid diagnosis of malaria infection, Medical Principles and Practice International Journal of the Kuwait University, Health Science Centre, pp. 156-159, (2003); Ross N., Pritchard C., Rubin D., Duse A., Automated image processing method for the diagnosis and classification of malaria on thin blood smears, Med. Biol. Eng. Comput, pp. 427-436, (2006); Diaz G., Gonzalez F., Romero E., A semi-automatic method for quantification and classification of erythrocytes infected with malaria parasites in microscopic images, J. Biomed. Inform, pp. 296-307, (2009); Boray Tek F., Andrew Dempster G., Kale I., Computer vision for microscopy diagnosis of malaria, Malaria Journal, (2009); Quinn A., Nakasi R., Mugagga P., Byanyima P., Lubega W., Andama A., Deep convolutional neural networks for microscopy-based point of care diagnostics, Proceedings of International Conference on Machine Learning for Health Care, (2016); Arkadaslar C., Computer-automated malaria diagnosis and quantitation using convolutional neural networks, IEEE International Conference on Computer Vision Workshops (ICCVW), pp. 116-125, (2017); Liang Arkadaslar Z., CNN-based image analysis for malaria diagnosis, 2016 IEEE International Conference on Bioinformatics and Biomedicine (BIBM), pp. 493-496, (2016); Oliveiraarkadaslar A., The malaria system microapp: A new, mobile device-based tool for malaria diagnosis, JMIR Res. Protoc, pp. 1-11, (2017); Das D., Maiti A., Chakraborty C., Textural pattern classification of microscopic images for malaria screening, Advances in Therapeutic Engineering, pp. 419-446, (2014); Boray Tek F., Andrew Dempster G., Kale I., Parasite detection and identification for automated thin blood film malaria diagnosis, Computer Vision and Image Understanding, 114, pp. 21-32, (2010); Zhao W., Research on the deep learning of the small sample data based on transfer learning, AIP Conference Proceedings, (2017); Bodla N., Singh B., Chellappa R., Davis L., Soft-NMS-Improving object detection with one line of code, ICCV, 2017, pp. 5562-5570, (2017); Simonyan K., Zisserman A., Very deep convolutional networks for large-scale image recognition, Computer Vision and Pattern Recognition, (2014); PIXNIO-Public Domain Images</t>
  </si>
  <si>
    <t xml:space="preserve">3rd International Conference on Computer Science and Engineering, UBMK 2018</t>
  </si>
  <si>
    <t xml:space="preserve">20 September 2018 through 23 September 2018</t>
  </si>
  <si>
    <t xml:space="preserve">978-153867893-0</t>
  </si>
  <si>
    <t xml:space="preserve">UBMK - Int. Conf. Comput. Sci. Eng.</t>
  </si>
  <si>
    <t xml:space="preserve">2-s2.0-85060661093</t>
  </si>
  <si>
    <t xml:space="preserve">Bent O.; Remy S.L.; Roberts S.; Walcott-Bryant A.</t>
  </si>
  <si>
    <t xml:space="preserve">Bent, Oliver (56598063700); Remy, Sekou L. (23980969400); Roberts, Stephen (57203276441); Walcott-Bryant, Aisha (55555506200)</t>
  </si>
  <si>
    <t xml:space="preserve">56598063700; 23980969400; 57203276441; 55555506200</t>
  </si>
  <si>
    <t xml:space="preserve">Novel exploration techniques (NETs) for malaria policy interventions</t>
  </si>
  <si>
    <t xml:space="preserve">The task of decision-making under uncertainty is daunting, especially for problems which have significant complexity. Healthcare policy makers across the globe are facing problems under challenging constraints, with limited tools to help them make data driven decisions. In this work we frame the process of finding an optimal malaria policy as a stochastic multi-armed bandit problem, and implement three agent based strategies to explore the policy space. We apply a Gaussian Process regression to the findings of each agent, both for comparison and to account for stochastic results from simulating the spread of malaria in a fixed population. The generated policy spaces are compared with published results to give a direct reference with human expert decisions for the same simulated population. Our novel approach provides a powerful resource for policy makers, and a platform which can be readily extended to capture future more nuanced policy spaces. Copyright © 2018, Association for the Advancement of Artificial Intelligence (www.aaai.org). All rights reserved.</t>
  </si>
  <si>
    <t xml:space="preserve">32nd AAAI Conference on Artificial Intelligence, AAAI 2018</t>
  </si>
  <si>
    <t xml:space="preserve">AAAI press</t>
  </si>
  <si>
    <t xml:space="preserve">https://www.scopus.com/inward/record.uri?eid=2-s2.0-85060472737&amp;partnerID=40&amp;md5=e2b4cdfc599fed7902667524ba2f51ec</t>
  </si>
  <si>
    <t xml:space="preserve">University of Oxford, Oxford, United Kingdom; IBM Research Africa Nairobi, Kenya</t>
  </si>
  <si>
    <t xml:space="preserve">Bent O., University of Oxford, Oxford, United Kingdom, IBM Research Africa Nairobi, Kenya; Remy S.L., IBM Research Africa Nairobi, Kenya; Roberts S., University of Oxford, Oxford, United Kingdom; Walcott-Bryant A., IBM Research Africa Nairobi, Kenya</t>
  </si>
  <si>
    <t xml:space="preserve">Artificial intelligence; Diseases; Stochastic systems; Data driven decision; Decision making under uncertainty; Exploration techniques; Gaussian process regression; Human expert; Multi-armed bandit problem; Policy intervention; Policy makers; Decision making</t>
  </si>
  <si>
    <t xml:space="preserve">Auer P., Ortner R., UCB revisited: Improved regret bounds for the stochastic multi-armed bandit problem, Periodica Mathematica Hungarica, 61, 1, pp. 55-65, (2010); Auer P., Cesa-Bianchi N., Fischer P., Finite-time analysis of the multiarmed bandit problem, Machine Learning, 47, 2-3, pp. 235-256, (2002); Briet O.J., Penny M., Hardy D., Awolola T.S., Van Bortel W., Corbel V., Dabire R.K., Etang J., Koudou B.G., Tungu P.K., Chitnis N., Effects of pyrethroid resistance on the cost effectiveness of a mass distribution of long-lasting insecticidal nets: A modelling study, Malaria Journal, 12, 1, (2013); Contal E., Buffoni D., Robicquet A., Vayatis N., Parallel Gaussian process optimization with upper confidence bound and pure exploration, Lecture Notes in Computer Science (Including Subseries Lecture Notes in Artificial Intelligence and Lecture Notes in Bioinformatics), 8188, pp. 225-240, (2013); Dimitrov N.B., Morton D.P., Combinatorial design of a stochastic Markov decision process, Operations Research/ Computer Science Interfaces Series, 47, pp. 167-193, (2009); Goldberg D.E., Deb K., A comparative analysis of selection schemes used in genetic algorithms, Foundations of Genetic Algorithms, 1, pp. 69-93, (1991); Holland J.H., Genetic Algorithms - Computer Programs That”Evolve, (1992); Moran M., The Malaria Product Pipeline: Planning for the Future, (2007); Murray C.J.L., Lopez A.D., The Global Burden of Disease: A Comprehensive Assessment of Mortality and Disability from Deceases, Injuries and Risk Factors in 1990 and Projected to 2010, 1, pp. 1-35, (1996); Network I., INDEPTH Model Life Tables for Sub-Saharan Africa, (2004); Piette J.D., Krein S.L., Striplin D., Marinec N., Kerns R.D., Farris K.B., Singh S., An L., Heapy A.A., Patient-centered pain care using artificial intelligence and mobile health tools: Protocol for a randomized study funded by the US Department of veterans Affairs Health services research and Development program, JMIR Research Protocols, 5, 2, (2016); Smith T., Maire N., Ross A., Penny M., Chitnis N., Schapira A., Studer A., Genton B., Lengeler C., Tediosi F., De Savigny D., Tanner M., Towards a comprehensive simulation model of malaria epidemiology and control, Parasitology, 135, 13, (2008); Srinivas N., Krause A., Kakade S.M., Seeger M., Gaussian Process Optimization in the Bandit Setting: No Regret and Experimental Design, (2009); Stuckey E.M., Stevenson J.C., Cooke M.K., Owaga C., Marube E., Oando G., Hardy D., Drakeley C., Smith T.A., Cox J., Chitnis N., Simulation of malaria epidemiology and control in the highlands of western Kenya, Malaria Journal, 11, 1, (2012); Stuckey E.M., Stevenson J., Galactionova K., Baidjoe A.Y., Bousema T., Odongo W., Kariuki S., Drakeley C., Smith T.A., Cox J., Chitnis N., Modeling the cost effectiveness of malaria control interventions in the highlands of western Kenya, PLoS ONE, 9, 10, (2014); Sutton R.S., Mcallester D., Singh S., Mansour Y., Policy gradient methods for reinforcement learning with function approximation, Advances in Neural Information Processing Systems, 12, pp. 1057-1063, (1999); Tediosi F., Maire N., Penny M., Studer A., Smith T., Simulation of the cost-effectiveness of malaria vaccines, Malaria Journal, 8, (2009); Williams C.K.I., Rasmussen C.E., Gaussian processes for regression, Advances in Neural Information Processing Systems, 8, 8, pp. 514-520, (1996); Winskill P., Rowland M., Mtove G., Malima R.C., Kirby M.J., Malaria risk factors in north-east Tanzania, Malaria Journal, 10, 1, (2011); Winskill P., Walker P.G.T., Griffin J.T., Ghani A.C., Modelling the cost-effectiveness of introducing the RTS,S malaria vaccine relative to scaling up other malaria interventions in sub-Saharan Africa, BMJ Global Health, 2, 1, (2017)</t>
  </si>
  <si>
    <t xml:space="preserve">Association for the Advancement of Artificial Intelligence</t>
  </si>
  <si>
    <t xml:space="preserve">2 February 2018 through 7 February 2018</t>
  </si>
  <si>
    <t xml:space="preserve">978-157735800-8</t>
  </si>
  <si>
    <t xml:space="preserve">AAAI Conf. Artif. Intell., AAAI</t>
  </si>
  <si>
    <t xml:space="preserve">2-s2.0-85060472737</t>
  </si>
  <si>
    <t xml:space="preserve">Jaffar Sadiq M.; Balaram V.V.S.S.S.</t>
  </si>
  <si>
    <t xml:space="preserve">Jaffar Sadiq, Md. (48761157000); Balaram, V.V.S.S.S. (59039079100)</t>
  </si>
  <si>
    <t xml:space="preserve">48761157000; 59039079100</t>
  </si>
  <si>
    <t xml:space="preserve">OFS-Z: Optimal features selection by z-score for malaria-infected erythrocyte detection using supervised learning</t>
  </si>
  <si>
    <t xml:space="preserve">Analyzing microscopic image of blood smears has a pivotal role in analysis characterization of erythrocytes in the screening of malarial parasites. Characteristics feature of erythrocyte undergo changes if it infected by malaria parasite infection. Morphology, texture and intensity are key features of erythrocytes. Numerous solutions have proposed in improving the microscopic image analysis. An image processing algorithm to automate and accurate the diagnosis of malaria parasite scope in microscopic images of the blood smears is proposed in this paper. The experimental study indicating that identification of malaria parasite scope in erythrocytes by the proposed OFS-Z (Optimal Feature Selection by Z-Score) is significant and robust. The renowned classifiers such as naive Bayes, SVM, and AdaBoost classifiers are used to assess the performance of the proposed model. The metrics cross-validation and miss-classification rate rarely used to estimate the optimality of the classifiers under the proposed feature selection approach. © 2018, Springer Nature Singapore Pte Ltd.</t>
  </si>
  <si>
    <t xml:space="preserve">10.1007/978-981-10-8228-3_21</t>
  </si>
  <si>
    <t xml:space="preserve">https://www.scopus.com/inward/record.uri?eid=2-s2.0-85051141269&amp;doi=10.1007%2f978-981-10-8228-3_21&amp;partnerID=40&amp;md5=6d4187b08390493779ad514b0193e148</t>
  </si>
  <si>
    <t xml:space="preserve">Department of IT, Sreenidhi Institute of Science &amp; Technology, Ghatkeser, Hyderabad, Telangana, India</t>
  </si>
  <si>
    <t xml:space="preserve">Jaffar Sadiq M., Department of IT, Sreenidhi Institute of Science &amp; Technology, Ghatkeser, Hyderabad, Telangana, India; Balaram V.V.S.S.S., Department of IT, Sreenidhi Institute of Science &amp; Technology, Ghatkeser, Hyderabad, Telangana, India</t>
  </si>
  <si>
    <t xml:space="preserve">Classifiers; Erythrocyte; Feature selection; Malaria detection; Microscopic image processing; Morphological features; P-value; Texture features; Z-score</t>
  </si>
  <si>
    <t xml:space="preserve">Adaptive boosting; Artificial intelligence; Classification (of information); Classifiers; Diseases; Feature extraction; Image analysis; Image enhancement; Erythrocyte; Microscopic image processing; Morphological features; P-values; Texture features; Z-scores; Blood</t>
  </si>
  <si>
    <t xml:space="preserve">What is Malaria? And What is Leukemia; Ross N.E., Pritchard C.J., Rubin D.M., Duse A.G., Automated image processing method for the diagnosis and classification of malaria on thin blood smears, Med. Biol. Eng. Comput., 44, 5, pp. 427-436, (2006); Ruberto C.D., Dempster A., Khan S., Jarra B., Analysis of infected blood cell images using morphological operators, Image Vis. Comput., 20, 2, pp. 133-146, (2002); Sio S.W.S., Sun W., Kumar S., Bin W.Z., Tan S.S., Ong S.H., Kikuchi H., Oshima Y., Tan K.S.W., Malaria Count: An image analysis-based program for the accurate determination of parasitemia, J. Microbiol. Methods, 68, 1, pp. 11-18, (2007); Zuiderveld K., Contrast limited adaptive histogram equalization, Graphics Gems IV, pp. 474-485, (1994); Le M.T., Bretschneider T.R., Kuss C., Preiser P.R., A novel semi-automatic image processing approach to determine plasmodium falciparum parasitemia in giemsa-stained thin blood smears, BMC Cell Biol, 9, 15, (2008); Nasir A.S.A., Mashor M.Y., Mohamed Z., Colour image segmentation approach for detection of malaria parasites using various colour models and k-means clustering, WSEAS Trans. Biol. Biomed., 1, 10, pp. 41-55, (2013); Di Ruberto C., Dempster A., Khan S., Jarra B., Morphological Image Processing for Evaluating Malaria Disease, (2001); Tek F.B., Dempster A.G., Kale I., Malaria Parasite Detection in Peripheral Blood Images, Proceedings of the British Machine Vision Conference, UK, pp. 347-356, (2006); Boray Tek F., Parasite Detection and Identification for Automated Thin Blood Film Malaria diagnosis”, Computer Vision and Image Understanding, pp. 21-31, (2007); Diaz G., Gonzalez A., Romero E., A semi-automatic method for quantification and classification of erythrocytes infected with malaria parasites in microscopic images, Journal of Biomedical Informatics, pp. 296-307, (2009); Springl V., Automatic Malaria Diagnosis through Microscopic Imaging”, Thesis, Faculty of Electrical Engineering, (2009); Edison M., Jeeva J.B., Singh M., Digital analysis of changes by plasmodium vivax malaria in erythrocytes, Indian Journal of Experimental Biology, 49, pp. 11-15, (2011); Khan M., Acharya B., Content Based Image Retrieval Approaches for Detection of Malarial Parasite in Blood Images, International Journal of Biometrics and Bioinformatics (IJBB)”, 5, pp. 97-110, (2011); Ghosh M., Das D., Chakraborty C., Ray A.K., Quantitative characterization of Plasmodium vivax in infected erythrocytes: A textural approach, Int. J. Artif. Intell. Soft Co, 3, 3, pp. 203-221, (2013); Das D.K., Ghosh M., Pal M., Maiti A.K., Chakraborty C., Machine learning approach for automated screening of malaria parasite using light microscopic images, Micron, 45, pp. 97-106, (2013); Malihi L., Ansari-Asl K., Behbahani A., Malaria parasite detection in giemsa-stained blood cell images, In Proceedings of 8Th Iranian Conference on Machine Vision and Image Processing (MVIP), Zanjan, Iran, pp. 360-365, (2013); Linder N., Turkki R., Walliander M., Martensson A., Diwan V., Rahtu E., Pietikainen M., Lundin M., Lundin J., A malaria diagnostic tool based on computer vision screening and visualization of plasmodium falciparum candidate areas in digitized blood smears, Plos One, 9; John C., Christian Russ J., Introduction to image processing and analysis, CRC Pr I Llc, ISBN, pp. 978-980, (2008); Ching-Hao L., Et al., A protozoan parasite extraction scheme for digital microscopic images, Computerized Medical Imaging and Graphics, 34, 2, pp. 122-130, (2010); Gonzalez R.C., Digital Image Processing, (2002); Zhouping W., Et al., A median-Gaussian filtering framework for Moiré pattern noise removal from X-ray microscopy image, Micron, 43, 2, pp. 170-176, (2012); Chokkalingam S., Komathy K., Sowmya M., Performance Analysis of Various Lymphocytes Images De-Noising Filters over a Microscopic Blood Smear Image, International Journal of Pharma and Bio Sciences, pp. 1250-1258, (2013); Gonzalezeddins R.C., Et al., Digital Image Processing Using MATLAB. No. 04; TA1637, G6, (2004); Hatamlou A., In search of optimal centroids on data clustering using a binary search algorithm, Pattern Recognition Letters, 33, 13, pp. 1756-1760, (2012); Suykens J.A.K., Vandewalle J., Least Squares Support Vector Machine classifiers.” Neural Processing Letters, 9, 3, pp. 293-300, (1999); Murphy K.P., Naive Bayes classifiers, University of British Columbia, (2006); An T.-K., Kim M.-H., A new diverse AdaBoost classifier, Artificial Intelligence and Computational Intelligence (AICI), 2010 International Conference On, 1, (2010); Galloway M.M., Texture analysis using gray level run lengths, Computer Graphics and Image Processing, 4, 2, pp. 172-179, (1975); Timo O., Pietikainen M., Maenpaa T., Multi-resolution gray-scale and rotation invariant texture classification with local binary patterns, IEEE Transactions on Pattern Analysis and Machine Intelligence, 24, 7, pp. 971-987, (2002); Krishnanmuthu Rama M., Et al., Textural characterization of histopathological images for oral sub-mucous fibrosis detection, Tissue and Cell, 43, 5, pp. 318-330, (2011); Hu M.-K., Visual pattern recognition by moment invariants, IRE Transactions on Information Theory, 8, 2, pp. 179-187, (1962); Das D., Et al., Invariant moment based feature analysis for abnormal erythrocyte recognition, Systems in Medicine and Biology (ICSMB), 2010 International Conference On, (2010); Ruben O.-M., Image Color Dimension Reduction. a Comparative Study of State-Of-The-Art Methods, (2016); Choras R.S., Image feature extraction techniques and their applications for CBIR and biometrics systems, ” International Journal of Biology and Biomedical Engineering, 1, 1, pp. 6-16, (2007); Altman D.G., Et al., Statistical guidelines for contributors to medical journals, British Medical Journal (Clinical Research Ed.), (1983); Schindelin J., Arganda-Carreras I., Frise E., Et al., Fiji: An open-source platform for biological-image analysis, Nature Methods, 9, 7, pp. 676-682, (2012)</t>
  </si>
  <si>
    <t xml:space="preserve">M. Jaffar Sadiq; Department of IT, Sreenidhi Institute of Science &amp; Technology, Hyderabad, Ghatkeser, India; email: jaffer_610@yahoo.com</t>
  </si>
  <si>
    <t xml:space="preserve">Rani B.P.; Prasad V.K.; Tavares J.M.; Bhateja V.; Raju K.S.</t>
  </si>
  <si>
    <t xml:space="preserve">2nd International Conference on Computational Intelligence and Informatics, ICCII 2017</t>
  </si>
  <si>
    <t xml:space="preserve">978-981108227-6</t>
  </si>
  <si>
    <t xml:space="preserve">2-s2.0-85051141269</t>
  </si>
  <si>
    <t xml:space="preserve">Osigbemeh M.; Ohaneme C.; Inyiama H.</t>
  </si>
  <si>
    <t xml:space="preserve">Osigbemeh, Michael (57193065305); Ohaneme, Cletus (57194008241); Inyiama, Hyacinth (50861624800)</t>
  </si>
  <si>
    <t xml:space="preserve">57193065305; 57194008241; 50861624800</t>
  </si>
  <si>
    <t xml:space="preserve">An algorithm for characterizing pre-fuzzified linguistic nuance using artificial neural network</t>
  </si>
  <si>
    <t xml:space="preserve">The attractiveness of artificial neural networks (ANNs) in solving many complex real world and computational demanding problems was used in characterizing linguistic nuance for harnessing malicious intent or decoding a communication trend. A set of adjectival watch lists was created a priori to serve as target convergence outputs to the ANN’s graphical user interface designed by the researchers. A set of pre-fuzzified or pre-processed speech conversation or written text was used as inputs to the neural network and represents a sub set of actual words used in the investigated two-way communication. The watch lists represents an editable set of words that represents malicious intent or key elements of conversation intent in bidirectional conversation or communication. The watch list database was generated a priori by identifying adjectives and specific nouns as used in the communication under investigation and then normalized. The pre-processed speech and text have been obtained from Recognizers utilizing the hidden Markov models and its hybrids for its processing. The algorithm showed robustness in sorting out pre-normalized and fuzzified speech that ordinarily contained certain elements of interest as conveyed by the investigated conversations. Analysis of a patient-to-healthcare provider’s bidirectional communication during malaria diagnosis and used for testing the developed algorithm showed significant accuracy when compared with the results of clinical analysis or consultation for the corresponding diagnosis. © 2017, Springer Science+Business Media New York.</t>
  </si>
  <si>
    <t xml:space="preserve">International Journal of Speech Technology</t>
  </si>
  <si>
    <t xml:space="preserve">10.1007/s10772-017-9413-5</t>
  </si>
  <si>
    <t xml:space="preserve">https://www.scopus.com/inward/record.uri?eid=2-s2.0-85018244215&amp;doi=10.1007%2fs10772-017-9413-5&amp;partnerID=40&amp;md5=828b131b45f1680c380e4eb7c2356148</t>
  </si>
  <si>
    <t xml:space="preserve">Department of Electrical and Electronics Engineering, Federal University Ndufu-Alike Ikwo, Ikwo, Nigeria; Department of Electronics and Computer Engineering, Nnamdi Azikiwe University, Awka, Nigeria</t>
  </si>
  <si>
    <t xml:space="preserve">Osigbemeh M., Department of Electrical and Electronics Engineering, Federal University Ndufu-Alike Ikwo, Ikwo, Nigeria; Ohaneme C., Department of Electronics and Computer Engineering, Nnamdi Azikiwe University, Awka, Nigeria; Inyiama H., Department of Electronics and Computer Engineering, Nnamdi Azikiwe University, Awka, Nigeria</t>
  </si>
  <si>
    <t xml:space="preserve">Approximate learning; Decoding communication; Fuzzy reasoning; Fuzzy-neural algorithm; Linguistic nuance; Speech recognition</t>
  </si>
  <si>
    <t xml:space="preserve">Character recognition; Decoding; Graphical user interfaces; Hidden Markov models; Linguistics; Markov processes; Neural networks; Speech communication; User interfaces; Watches; Approximate learning; Bi-directional communication; Clinical analysis; Fuzzy reasoning; Fuzzy-Neural algorithms; Health care providers; Malaria diagnosis; Two way communications; Speech recognition</t>
  </si>
  <si>
    <t xml:space="preserve">Aires F., Prigent C., Rossow W., Neural network uncertainty assessment using bayesian statistics: A remote sensing application. Massachusetts Institute of Technology, Neural Computation, 16, pp. 2415-2458, (2004); Badiru B.B., Asaolu O.S., Omitaomu A.O., Eyewitness information management system using neuro–fuzzy classification schemes, Journal of Information Science and Technology (JIST), 2, 3, pp. 49-64, (2006); Basheer I.A., Hajmeer M., Artificial neural network: Fundamentals, computing, design and application, Elsevier Journal of Microbiological Methods, 43, 1, pp. 3-31, (2000); Bengio Y., Markovian models for sequential data, Neural Computing Surveys, 2, pp. 129-162, (1999); Bourlard H., Morgan N., Connectionist speech recognition: A hybrid approach, (1994); Dharmale R.D., Ingole P.V., Text detection and recognition with speech output for visually challenged person: A review, International Journal of Engineering Research and Applications, 5, 3, pp. 84-87, (2015); Gaebel J., Cypko M.A., Lemke H.U., Schreier G., Accessing patient information for probabilistic patient models using existing standards, Proceedings of the 10th eHealth2016 Conference. 223, pp. 107-112, (2016); Graves A., Fernandez S., Liwicki M., Bunke H., Schmidhuber J., Unconstrained online handwriting recognition with recurrent neural networks, Advances in neural information processing systems, (2008); Graves A., Liwicki M., Fernandez S., Bertolami R., Bunke H., Schmidhuber J., A novel connectionist system for unconstrained handwriting recognition., (2008); Hagan M.T., Demuth H.B., Beale M.H., DeJesus O., Neural network design, (2013); Kirk D.B., Hwu W.W., Programming massively parallel processors: A hands-on approach, (2010); Kulkarni A.D., Lulla K., Fuzzy neural network based logic models for supervised classification: Multispectral image analysis, Geocarto International, 14, 4, pp. 43-50, (1999); Laroche J., Stylianou Y., Moulines E., HNS: Speech modification based on a harmonic + noise model, Proceedings of the IEEE ICASSP-93, (1993); LeCun Y., Bottou L., Bengio Y., Haffner P., Gradient-based learning applied to document recognition, Proceedings of the IEEE, pp. 1-46, (1998); Moller A., Efficient training of feed-forward neural networkPh. D. Thesis, (1993); Osigbemeh M.S., Okezie C.C., Inyiama H.C., Performance Metrics of various Topologies of a Feed Forward Error-Back Propagation Neural Network, Unizik Faculty of Engineering International Conference held at the University auditorium in Awka, (2016); Pittman J.A., Handwriting recognition: Tablet PC text input, Computer, 40, 9, pp. 49-54, (2007); Rabiner L.R., A tutorial on hidden markov models and selected applications in speech recognition, Proceedings of the IEEE, 77, 2, pp. 257-286, (1989); Rumelhart D., McClelland J., Parallel Distributed Processing, (1986); Schneider M., Kandel A., General purpose fuzzy expert systems, Fuzzy Expert Systems, pp. 23-41, (1992); Srihari S.N., High-performance reading machines, Proceedings of the IEEE, Special Issue on Optical Character Recognition, 80, 7, pp. 1120-1132, (1992); Stylianou Y., Cappe O., Moulines E., Continuous probabilistic transform for voice conversion, IEEE Transactions on Speech and Audio Processing, 6, 2, pp. 131-142, (1998); Stylianou Y., Laroche J., Moulines E., High-quality speech modification based on a harmonic + noise model, Proceeding of EUROSPEECH, (1995); Suen C.Y., Nadal C., Legault R., Mai T.A., Lam L., Computer recognition of unconstrained handwritten numerals, Proceedings of the IEEE, Special Issue on Optical Character Recognition, 8, 7, pp. 1162-1180, (1992); Suzuki K., Shiraishi J., Abe H., MacMahon H., Doi K., False-positive reduction in computer-aided diagnostic scheme for detecting nodules in chest radiographs by means of massive training artificial neural network, Academic Radiology, 12, 2, pp. 191-201, (2005); Swamy S., Ramakrishnan K.V., An efficient speech recognition system, Computer Science &amp; Engineering: An International Journal (CSEIJ), 3, 4, pp. 21-28, (2013); Topping B.H.V., Sziveri J., Bahreinejad A., Leite J.P.B., Cheng B., Parallel processing, neural networks and genetic algorithms, Advances in Engineering Software, 29, 10, pp. 763-786, (1998); Zadeh L.A., Outline of a new approach to analysis of complex systems and decision processes, IEEE Transactions on Systems, Man, and Cybernetics, 3, pp. 28-44, (1973); Zen H., Tokuda K., Black A., Statistical parametric speech synthesis, Speech Communication, 51, 11, pp. 1039-1064, (2009); Zimmermann M., Chappelier J.C., Bunke H., Offline grammar based recognition of handwritten sentences, IEEE Transactions on Pattern Analysis and Machine Intelligence, 28, 5, pp. 818-821, (2006)</t>
  </si>
  <si>
    <t xml:space="preserve">M. Osigbemeh; Department of Electrical and Electronics Engineering, Federal University Ndufu-Alike Ikwo, Ikwo, Nigeria; email: eosigbemeh@yahoo.com</t>
  </si>
  <si>
    <t xml:space="preserve">ISTEF</t>
  </si>
  <si>
    <t xml:space="preserve">Int J Speech Technol</t>
  </si>
  <si>
    <t xml:space="preserve">2-s2.0-85018244215</t>
  </si>
  <si>
    <t xml:space="preserve">Khan M.; Hayat M.; Khan S.A.; Ahmad S.; Iqbal N.</t>
  </si>
  <si>
    <t xml:space="preserve">Khan, Muslim (57192275301); Hayat, Maqsood (7103411647); Khan, Sher Afzal (24343816600); Ahmad, Saeed (57213511614); Iqbal, Nadeem (8426893000)</t>
  </si>
  <si>
    <t xml:space="preserve">57192275301; 7103411647; 24343816600; 57213511614; 8426893000</t>
  </si>
  <si>
    <t xml:space="preserve">Bi-PSSM: Position specific scoring matrix based intelligent computational model for identification of mycobacterial membrane proteins</t>
  </si>
  <si>
    <t xml:space="preserve">Mycobacterium is a pathogenic bacterium, which is a causative agent of tuberculosis (TB) and leprosy. These diseases are very crucial and become the cause of death of millions of people every year in the world. So, the characterize structure of membrane proteins of the protozoan play a vital role in the field of drug discovery because, without any knowledge about this Mycobacterium's membrane protein and their types, the scientists are unable to treat this pathogenic protozoan. So, an accurate and competitive computational model is needed to characterize this uncharacterized structure of mycobacterium. Series of attempts were carried out in this connection. Split amino acid compositions, Unbiased-Dipeptide peptide compositions (Unb-DPC), Over-represented tri-peptide compositions, compositions &amp; translation were the few recent encoding techniques followed by different researchers in their publications. Although considerable results have been achieved by these models, still there is a gap which is filled in this study. In this study, an evolutionary feature extraction technique position specific scoring matrix (PSSM) is applied in order to extract evolutionary information from protein sequences. Consequently, 99.6% accuracy was achieved by the learning algorithms. The experimental results demonstrated that the proposed computational model will lead to develop a powerful tool for anti-mycobacterium drugs as well as play a promising rule in proteomic and bioinformatics. © 2017 Elsevier Ltd</t>
  </si>
  <si>
    <t xml:space="preserve">Journal of Theoretical Biology</t>
  </si>
  <si>
    <t xml:space="preserve">10.1016/j.jtbi.2017.09.013</t>
  </si>
  <si>
    <t xml:space="preserve">https://www.scopus.com/inward/record.uri?eid=2-s2.0-85029694086&amp;doi=10.1016%2fj.jtbi.2017.09.013&amp;partnerID=40&amp;md5=42f8fba6b589570fe2c56e7800dcf19a</t>
  </si>
  <si>
    <t xml:space="preserve">Department of Computer Science, Abdul Wali Khan University Mardan, Pakistan; School of Computer Science and Engineering, Nanjing University of science and technology, Nanjing, 210094, China</t>
  </si>
  <si>
    <t xml:space="preserve">Khan M., Department of Computer Science, Abdul Wali Khan University Mardan, Pakistan; Hayat M., Department of Computer Science, Abdul Wali Khan University Mardan, Pakistan; Khan S.A., Department of Computer Science, Abdul Wali Khan University Mardan, Pakistan; Ahmad S., School of Computer Science and Engineering, Nanjing University of science and technology, Nanjing, 210094, China; Iqbal N., Department of Computer Science, Abdul Wali Khan University Mardan, Pakistan</t>
  </si>
  <si>
    <t xml:space="preserve">Mycobacterium protein; PSSM; SVM</t>
  </si>
  <si>
    <t xml:space="preserve">Amino Acid Sequence; Artificial Intelligence; Bacterial Proteins; Computational Biology; Evolution, Molecular; Membrane Proteins; Mycobacterium; Position-Specific Scoring Matrices; Bacteria (microorganisms); Mycobacterium; Protozoa; membrane protein; bacterial protein; membrane protein; algorithm; amino acid; bacterium; membrane; pattern recognition; protein; amino acid sequence; Article; classification algorithm; jackknife test; k nearest neighbor; learning algorithm; Mycobacterium; nonhuman; position weight matrix; prediction; principal component analysis; priority journal; random forest; sensitivity and specificity; support vector machine; artificial intelligence; biology; chemistry; molecular evolution; Mycobacterium; position weight matrix; procedures</t>
  </si>
  <si>
    <t xml:space="preserve">Bacterial Proteins, ; Membrane Proteins, </t>
  </si>
  <si>
    <t xml:space="preserve">Afridi T.H., Khan A., Lee Y.S., Mito-GSAAC: mitochondria prediction using genetic ensemble classifier and split amino acid composition, Amino Acids, 42, pp. 1443-1454, (2012); Ahmad S., Kabir M., Hayat M., Identification of heat shock protein families and J-protein types by incorporating dipeptide composition into Chou's general PseAAC, Comput. Meth. Progr. Biomed., 122, pp. 165-174, (2015); Ali S., Majid A., Khan A., IDM-PhyChm-Ens: intelligent decision-making ensemble methodology for classification of human breast cancer using physicochemical properties of amino acids, Amino acids, 46, pp. 977-993, (2014); Altschul S.F., Koonin E.V., Iterated profile searches with PSI-BLAST—a tool for discovery in protein databases, Trends Biochem. Sci., 23, pp. 444-447, (1998); An Y., Wang J., Li C., Leier A., Marquez-Lago T., Wilksch J., Zhang Y., Webb G.I., Song J., Lithgow T., Comprehensive assessment and performance improvement of effector protein predictors for bacterial secretion systems III, IV and VI, Briefings Bioinf., (2016); Bartenhagen C., Klein H.-U., Ruckert C., Jiang X., Dugas M., Comparative study of unsupervised dimension reduction techniques for the visualization of microarray gene expression data, BMC Bioinf., 11, (2010); Berardi M.J., Shih W.M., Harrison S.C., Chou J.J., Mitochondrial uncoupling protein 2 structure determined by NMR molecular fragment searching, Nature, 476, pp. 109-113, (2011); Breiman L., Random forests, Mach. Learn., 45, pp. 5-32, (2001); Cai Y.-D., Lin S.L., Support vector machines for predicting rRNA-, RNA-, and DNA-binding proteins from amino acid sequence, Biochim. Biophys. Acta, 1648, pp. 127-133, (2003); Cai Z., Xu D., Zhang Q., Zhang J., Ngai S.-M., Shao J., Classification of lung cancer using ensemble-based feature selection and machine learning methods, Mol. BioSyst., 11, pp. 791-800, (2015); Chen C., Chen L., Zou X., Cai P., Prediction of protein secondary structure content by using the concept of Chou's pseudo amino acid composition and support vector machine, Protein Pept. Lett., 16, pp. 27-31, (2009); Chen W., Ding H., Feng P., Lin H., Chou K.-C., iACP: a sequence-based tool for identifying anticancer peptides, Oncotarget, 7, (2016); Chen W., Feng P., Yang H., Ding H., Lin H., Chou K.-C., iRNA-AI: identifying the adenosine to inosine editing sites in RNA sequences, Oncotarget, 8, (2017); Cheng X., Zhao S.-G., Xiao X., Chou K.-C., iATC-mISF: a multi-label classifier for predicting the classes of anatomical therapeutic chemicals, Bioinformatics, 33, pp. 341-346, (2016); Chou K.-C., Using pair-coupled amino acid composition to predict protein secondary structure content, J. Protein Chem., 18, pp. 473-480, (1999); Chou K.-C., Pseudo amino acid composition and its applications in bioinformatics, proteomics and system biology, Curr. Proteomics, 6, pp. 262-274, (2009); Chou K.-C., Some remarks on protein attribute prediction and pseudo amino acid composition, J. Theoret. Biol., 273, pp. 236-247, (2011); Chou K.-C., Some remarks on predicting multi-label attributes in molecular biosystems, Mol. Biosyst., 9, pp. 1092-1100, (2013); Chou K.-C., Impacts of bioinformatics to medicinal chemistry, Med. Chem., 11, pp. 218-234, (2015); Chou K.-C., Shen H.-B., Hum-PLoc: a novel ensemble classifier for predicting human protein subcellular localization, Biochem. Biophys. Res. Commun., 347, pp. 150-157, (2006); Chou K.-C., Shen H.-B., Large-scale predictions of gram-negative bacterial protein subcellular locations, J. Proteome Res., 5, pp. 3420-3428, (2006); Chou K.-C., Shen H.-B., Predicting eukaryotic protein subcellular location by fusing optimized evidence-theoretic K-nearest neighbor classifiers, J. Proteome Res., 5, pp. 1888-1897, (2006); Chou K.-C., Shen H.-B., MemType-2L: a web server for predicting membrane proteins and their types by incorporating evolution information through Pse-PSSM, Biochem. Biophys. Res. Commun., 360, pp. 339-345, (2007); Chou K.-C., Shen H.-B., Recent advances in developing web-servers for predicting protein attributes, Nat. Sci., 1, (2009); Chou K., An unprecedented revolution in medicinal chemistry driven by the progress of biological science, Curr. Topics Med. Chem, (2017); Chou K.C., Prediction of protein cellular attributes using pseudo‐amino acid composition, Proteins, 43, pp. 246-255, (2001); Dev J., Park D., Fu Q., Chen J., Ha H.J., Ghantous F., Herrmann T., Chang W., Liu Z., Frey G., Structural basis for membrane anchoring of HIV-1 envelope spike, Science, 353, pp. 172-175, (2016); Ding C.H., Dubchak I., Multi-class protein fold recognition using support vector machines and neural networks, Bioinformatics, 17, pp. 349-358, (2001); Ding H., Deng E.-Z., Yuan L.-F., Liu L., Lin H., Chen W., Chou K.-C., iCTX-Type: a sequence-based predictor for identifying the types of conotoxins in targeting ion channels, BioMed. Res. Int., 2014, (2014); Du P., Gu S., Jiao Y., PseAAC-General: fast building various modes of general form of Chou's pseudo-amino acid composition for large-scale protein datasets, Int. J. Mol. Sci., 15, pp. 3495-3506, (2014); Fan G.-L., Li Q.-Z., Predict mycobacterial proteins subcellular locations by incorporating pseudo-average chemical shift into the general form of Chou's pseudo amino acid composition, J. Theor. Biol., 304, pp. 88-95, (2012); Feng P., Ding H., Yang H., Chen W., Lin H., Chou K.-C., iRNA-PseColl: identifying the occurrence sites of different rna modifications by incorporating collective effects of nucleotides into PseKNC, Mol. Therapy, 7, pp. 155-163, (2017); Fu Q., Fu T.-M., Cruz A.C., Sengupta P., Thomas S.K., Wang S., Siegel R.M., Wu H., Chou J.J., Structural basis and functional role of intramembrane trimerization of the Fas/CD95 death receptor, Mol. cell, 61, pp. 602-613, (2016); Gao Q.-B., Ye X.-F., Jin Z.-C., He J., Improving discrimination of outer membrane proteins by fusing different forms of pseudo amino acid composition, Anal. Biochem., 398, pp. 52-59, (2010); Hayat M., Iqbal N., Discriminating protein structure classes by incorporating pseudo average chemical shift to Chou's general PseAAC and support vector machine, Comput. Meth. Programs Biomed., 116, pp. 184-192, (2014); Hayat M., Khan A., MemHyb: predicting membrane protein types by hybridizing SAAC and PSSM, J. Theor. Biol., 292, pp. 93-102, (2012); Huang T., Shi X.-H., Wang P., He Z., Feng K.-Y., Hu L., Kong X., Li Y.-X., Cai Y.-D., Chou K.-C., Analysis and prediction of the metabolic stability of proteins based on their sequential features, subcellular locations and interaction networks, PloS one, 5, (2010); Jia J., Liu Z., Xiao X., Liu B., Chou K.-C., iCar-PseCp: identify carbonylation sites in proteins by Monte Carlo sampling and incorporating sequence coupled effects into general PseAAC, Oncotarget, 7, (2016); Jia J., Liu Z., Xiao X., Liu B., Chou K.-C., iPPBS-Opt: a sequence-based ensemble classifier for identifying protein-protein binding sites by optimizing imbalanced training datasets, Molecules, 21, (2016); Jia J., Liu Z., Xiao X., Liu B., Chou K.-C., iSuc-PseOpt: identifying lysine succinylation sites in proteins by incorporating sequence-coupling effects into pseudo components and optimizing imbalanced training dataset, Anal. Biochem., 497, pp. 48-56, (2016); Jia J., Liu Z., Xiao X., Liu B., Chou K.-C., pSuc-Lys: predict lysine succinylation sites in proteins with PseAAC and ensemble random forest approach, J. Theor. Biol., 394, pp. 223-230, (2016); Kabir M., Hayat M., iRSpot-GAEnsC: identifing recombination spots via ensemble classifier and extending the concept of Chou's PseAAC to formulate DNA samples, Mol. Genet. Genomics, 291, pp. 285-296, (2016); Kabir M., Iqbal M., Ahmad S., Hayat M., iTIS-PseKNC: Identification of Translation Initiation Site in human genes using pseudo k-tuple nucleotides composition, Comput. Biol. Med., 66, pp. 252-257, (2015); Khan A., Khan M., Choi T.-S., Proximity based GPCRs prediction in transform domain, Biochem. Biophys. Res. Commun., 371, pp. 411-415, (2008); Khan M., Hayat M., Khan S.A., Iqbal N., Unb-DPC: identify mycobacterial membrane protein types by incorporating un-biased dipeptide composition into Chou's general PseAAC, J. Theor. Biol., 415, pp. 13-19, (2017); Kumar M., Gromiha M.M., Raghava G.P., SVM based prediction of RNA‐binding proteins using binding residues and evolutionary information, J. Mol. Recognit., 24, pp. 303-313, (2011); Li Y., Wei D.-Q., Gao W.-N., Gao H., Liu B.-N., Huang C.-J., Xu W.-R., Liu D.-K., Chen H.-F., Chou K.-C., Computational approach to drug design for oxazolidinones as antibacterial agents, Med. Chem, 3, pp. 576-582, (2007); Lin H., The modified Mahalanobis discriminant for predicting outer membrane proteins by using Chou's pseudo amino acid composition, J. Theor. Biol., 252, pp. 350-356, (2008); Lin H., Deng E.-Z., Ding H., Chen W., Chou K.-C., iPro54-PseKNC: a sequence-based predictor for identifying sigma-54 promoters in prokaryote with pseudo k-tuple nucleotide composition, Nucleic Acids Res., 42, pp. 12961-12972, (2014); Lin H., Ding H., Guo F.-B., Zhang A.-Y., Huang J., Predicting subcellular localization of mycobacterial proteins by using Chou's pseudo amino acid composition, Protein Pept. Lett., 15, pp. 739-744, (2008); Lin S.-X., Lapointe J., Theoretical and experimental biology in one—A symposium in honour of Professor Kuo-Chen Chou's 50th anniversary and Professor Richard Giegé’s 40th anniversary of their scientific careers, J. Biomed. Sci. Eng., 6, (2013); Liu B., Wang S., Long R., Chou K.-C., iRSpot-EL: identify recombination spots with an ensemble learning approach, Bioinformatics, 33, pp. 35-41, (2016); Liu B., Wu H., Chou K.-C., Pse-in-One 2.0: an improved package of web servers for generating various modes of pseudo components of DNA, RNA, and protein sequences, Nat. Sci., 9, (2017); Liu B., Yang F., Chou K.-C., 2L-piRNA: a two-layer ensemble classifier for identifying piwi-interacting RNAs and their function, Mol. Therapy, 7, pp. 267-277, (2017); Liu L., Xu Y., Chou K., iPGK-PseAAC: identify lysine phosphoglycerylation sites in proteins by incorporating four different tiers of amino acid pairwise coupling information into the general PseAAC, Med. Chem, (2017); Liu T., Zheng X., Wang J., Prediction of protein structural class for low-similarity sequences using support vector machine and PSI-BLAST profile, Biochimie, 92, pp. 1330-1334, (2010); Liu Z., Xiao X., Qiu W.-R., Chou K.-C., iDNA-Methyl: identifying DNA methylation sites via pseudo trinucleotide composition, Anal. Biochem., 474, pp. 69-77, (2015); Madden T., The BLAST sequence analysis tool, (2013); Magrane M., Consortium U., UniProt Knowledgebase: A Hub Of Integrated Protein Data, 2011, (2011); Meher P.K., Sahu T.K., Saini V., Rao A.R., Predicting antimicrobial peptides with improved accuracy by incorporating the compositional, physico-chemical and structural features into Chou's general PseAAC, Sci. Rep., 7, (2017); Niederweis M., Danilchanka O., Huff J., Hoffmann C., Engelhardt H., Mycobacterial outer membranes: in search of proteins, Trends Microbiol., 18, pp. 109-116, (2010); Ouyang B., Xie S., Berardi M.J., Zhao X., Dev J., Yu W., Sun B., Chou J.J., Unusual architecture of the p7 channel from hepatitis C virus, Nature, 498, pp. 521-525, (2013); Oxenoid K., Dong Y., Cao C., Cui T., Sancak Y., Markhard A.L., Grabarek Z., Kong L., Liu Z., Ouyang B., Architecture of the mitochondrial calcium uniporter, Nature, (2016); Pajon R., Yero D., Lage A., Llanes A., Borroto C.J., Computational identification of beta-barrel outer-membrane proteins in Mycobacterium tuberculosis predicted proteomes as putative vaccine candidates, Tuberculosis (Edinb), 86, 3-4, pp. 290-302, (2006); Peng H., Long F., Ding C., Feature selection based on mutual information criteria of max-dependency, max-relevance, and min-redundancy, IEEE Trans. Patt. Anal. Mach. Intell., 27, pp. 1226-1238, (2005); Qiu W.-R., Xiao X., Xu Z.-C., Chou K.-C., iPhos-PseEn: identifying phosphorylation sites in proteins by fusing different pseudo components into an ensemble classifier, Oncotarget, 7, pp. 51270-51283, (2016); Qiu W., Jiang S., Sun B., Xiao X., Cheng X., Chou K., iRNA-2methyl: identify RNA 2′-O-methylation sites by incorporating sequence-coupled effects into general PseKNC and ensemble classifier, Med. Chem, (2017); Rezaei M.A., Abdolmaleki P., Karami Z., Asadabadi E.B., Sherafat M.A., Abrishami-Moghaddam H., Fadaie M., Forouzanfar M., Prediction of membrane protein types by means of wavelet analysis and cascaded neural networks, J. Theor. Biol., 254, pp. 817-820, (2008); Schaffer A.A., Aravind L., Madden T.L., Shavirin S., Spouge J.L., Wolf Y.I., Koonin E.V., Altschul S.F., Improving the accuracy of PSI-BLAST protein database searches with composition-based statistics and other refinements, Nucleic Acids Res., 29, pp. 2994-3005, (2001); Schnell J.R., Chou J.J., Structure and mechanism of the M2 proton channel of influenza A virus, Nature, 451, pp. 591-595, (2008); Shao J., Xu D., Hu L., Kwan Y.-W., Wang Y., Kong X., Ngai S.-M., Systematic analysis of human lysine acetylation proteins and accurate prediction of human lysine acetylation through bi-relative adapted binomial score Bayes feature representation, Mol. BioSyst., 8, pp. 2964-2973, (2012); Shen H.-B., Chou K.-C., Gneg-mPLoc: a top-down strategy to enhance the quality of predicting subcellular localization of Gram-negative bacterial proteins, J. Theor. Biol., 264, pp. 326-333, (2010); Shen H., Chou K.-C., Using optimized evidence-theoretic K-nearest neighbor classifier and pseudo-amino acid composition to predict membrane protein types, Biochem. Biophys. Res. Commun., 334, pp. 288-292, (2005); Walzer G., Rosenberg E., Ron E.Z., Identification of outer membrane proteins with emulsifying activity by prediction of β-barrel regions, J. Microbiol. Meth., 76, pp. 52-57, (2009); Wang J., Yang B., Revote J., Leier A., Marquez-Lago T.T., Webb G., Song J., Chou K.-C., Lithgow T., POSSUM: a bioinformatics toolkit for generating numerical sequence feature descriptors based on PSSM profiles, Bioinformatics, (2017); Wang M., Yang J., Liu G.-P., Xu Z.-J., Chou K.-C., Weighted-support vector machines for predicting membrane protein types based on pseudo-amino acid composition, Protein Eng. Des. Sel., 17, pp. 509-516, (2004); Xiao X., Min J.-L., Lin W.-Z., Liu Z., Cheng X., Chou K.-C., iDrug-Target: predicting the interactions between drug compounds and target proteins in cellular networking via benchmark dataset optimization approach, J. Biomol. Struct. Dyn., 33, pp. 2221-2233, (2015); Xiao X., Wang P., Lin W.-Z., Jia J.-H., Chou K.-C., iAMP-2L: a two-level multi-label classifier for identifying antimicrobial peptides and their functional types, Anal. Biochem., 436, pp. 168-177, (2013); Xiao X., Wu Z.-C., Chou K.-C., A multi-label classifier for predicting the subcellular localization of gram-negative bacterial proteins with both single and multiple sites, PloS one, 6, (2011); Xiao X., Ye H.-X., Liu Z., Jia J.-H., Chou K.-C., iROS-gPseKNC: predicting replication origin sites in DNA by incorporating dinucleotide position-specific propensity into general pseudo nucleotide composition, Oncotarget, 7, (2016); Xie Y., Li X., Ngai E., Ying W., Customer churn prediction using improved balanced random forests, Expert Syst. Appl., 36, pp. 5445-5449, (2009); Xu Y., Wang Z., Li C., Chou K., iPreny-PseAAC: identify C-terminal cysteine prenylation sites in proteins by incorporating two tiers of sequence couplings into PseAAC, Med. Chem., (2017); Youn E., Peters B., Radivojac P., Mooney S.D., Evaluation of features for catalytic residue prediction in novel folds, Protein Sci., 16, pp. 216-226, (2007)</t>
  </si>
  <si>
    <t xml:space="preserve">M. Hayat; Department of Computer Science, Abdul Wali Khan University Mardan, Pakistan; email: m.hayat@awkum.edu.pk</t>
  </si>
  <si>
    <t xml:space="preserve">JTBIA</t>
  </si>
  <si>
    <t xml:space="preserve">J. Theor. Biol.</t>
  </si>
  <si>
    <t xml:space="preserve">2-s2.0-85029694086</t>
  </si>
  <si>
    <t xml:space="preserve">Pratiwi D.; Ariwibowo A.B.</t>
  </si>
  <si>
    <t xml:space="preserve">Pratiwi, Dian (56703180200); Ariwibowo, Anung Barlianto (57210280564)</t>
  </si>
  <si>
    <t xml:space="preserve">56703180200; 57210280564</t>
  </si>
  <si>
    <t xml:space="preserve">Dengue Haemorrhagic Fever (DHF) severity detection by using neural network technique based on human blood components</t>
  </si>
  <si>
    <t xml:space="preserve">Generally, in the diagnosis of dengue fever, the action taken by the doctor is to see the external symptoms that arise. From these actions, to ensure the disease that arises then will be continued by taking blood samples. From these results can be sure what disease is suffered and as bad as what conditions, where the analysis can be done only by a specialist. This is the basis of the researchers to develop a system to analyze dengue fever, where the severity of the disease is determined based on the value of eight components of cells in the blood through the method of Perceptron Artificial Neural Network. This study consists of three main stages, namely laboratory data collection, data normalization with Min-Max method, and severity of dengue disease measurement through neural network. First, all data collection normalized to change the input value interval from eight different blood components to the same interval, which is between 0 to 1. After that, the data is processed into the network training stage to get the weights. These weights are then used in the testing phase along with the testing data to obtain the diagnostic results of the severity of dengue fever. From the testing result of system using parameter of learning rate equal to 0.3, tolerance value of 0.02, 8 input units, 2 output units, binary activation function with threshold equal to 0.5, and number of training sample as much as 20 data, maximum accuracy reached by system le 80%, which 8 out of 10 data successfully predicted the severity level correctly (according to doctor's diagnosis). Therefore, it can be concluded that the application system developed can be applied to help doctors or other medical parties in determining the severity of dengue fever based on the results of blood testing with a fairly good percentage of accuracy, so it can be quickly handled as well as appropriate treatment provided. © June 2017 IJENS.</t>
  </si>
  <si>
    <t xml:space="preserve">International Journal of Mechanical and Mechatronics Engineering</t>
  </si>
  <si>
    <t xml:space="preserve">International Journals of Engineering and Sciences Publisher</t>
  </si>
  <si>
    <t xml:space="preserve">https://www.scopus.com/inward/record.uri?eid=2-s2.0-85024388040&amp;partnerID=40&amp;md5=209e225c0ed1175ba7633b6c40a1d5cb</t>
  </si>
  <si>
    <t xml:space="preserve">Trisakti University, Jakarta, Indonesia; The University of Indonesia, Depok, Indonesia</t>
  </si>
  <si>
    <t xml:space="preserve">Pratiwi D., Trisakti University, Jakarta, Indonesia; Ariwibowo A.B., The University of Indonesia, Depok, Indonesia</t>
  </si>
  <si>
    <t xml:space="preserve">Blood; Dengue haemorrhagic fever; Min-Max normalization; Neural network</t>
  </si>
  <si>
    <t xml:space="preserve">Pratiwi D., Rika L., Implementation of Artificial Neural Network Method inApplication Development to Measuring The Severity of Narcotics Substances in Blood, International Journal of Computer Application (IJCA), 95, 15, (2014); Pratiwi D., Santika D.D., Pardamean B., An Application of Backpropagation Artificial Neural Network Method for Measuring The Severity of Osteoarthritis, International Journal of Engineering &amp; Technology IJET-IJENS, 11, 3, (2011); Widodo W., Rachman A., Amelia R., Jaringan Syaraf Tiruan Prediksi Penyakit Demam Berdarah dengan Menggunakan Metode Backpropagation, Jurnal IPTEK, 18, 1, (2014)</t>
  </si>
  <si>
    <t xml:space="preserve">Int. J. Mech. Mech. Eng.</t>
  </si>
  <si>
    <t xml:space="preserve">2-s2.0-85024388040</t>
  </si>
  <si>
    <t xml:space="preserve">Sadiq M.J.; Balaram V.V.S.S.S.</t>
  </si>
  <si>
    <t xml:space="preserve">Sadiq, Md. Jaffar (48761157000); Balaram, V.V.S.S.S. (59039079100)</t>
  </si>
  <si>
    <t xml:space="preserve">DTBC: Decision tree based binary classification using with feature selection and optimization for malaria infected erythrocyte detection</t>
  </si>
  <si>
    <t xml:space="preserve">Malaria is one of the most rapidly spreading and contagious disease, mostly spread through microbes. Efficient treatment of the disease requires early and accurate estimation to ensure control from spreading and treatment in early phases. Accordingly, several studies have been put forward during the past decade. Analyzing the blood smear’s images is one of the prominent works proposed in this context. This manuscript attempts to automate the process of diagnosis through machine learning techniques. The algorithm trains the model through different selected features of the input images and thereby uses the learning experience to classify the blood smears as disease prone or healthy. The CUCKOO search algorithm is used for designing a heuristic scale, which is further assessed through multiple experiments to evaluate its accuracy. Different performance evaluation measures like precision, sensitivity, specificity, and accuracy are used to assess the robustness of the model towards early identification of Malaria in the premature stage. © Research India Publications.</t>
  </si>
  <si>
    <t xml:space="preserve">International Journal of Applied Engineering Research</t>
  </si>
  <si>
    <t xml:space="preserve">Research India Publications</t>
  </si>
  <si>
    <t xml:space="preserve">https://www.scopus.com/inward/record.uri?eid=2-s2.0-85057644700&amp;partnerID=40&amp;md5=b058a412bd18b70bfb7b1c369764086f</t>
  </si>
  <si>
    <t xml:space="preserve">Department of Information Technology, Sreenidhi Institute of Science &amp; Technology, Ghatkeser, Hyderabad, Telangana State, India</t>
  </si>
  <si>
    <t xml:space="preserve">Sadiq M.J., Department of Information Technology, Sreenidhi Institute of Science &amp; Technology, Ghatkeser, Hyderabad, Telangana State, India; Balaram V.V.S.S.S., Department of Information Technology, Sreenidhi Institute of Science &amp; Technology, Ghatkeser, Hyderabad, Telangana State, India</t>
  </si>
  <si>
    <t xml:space="preserve">Blood smear; Case-specific analysis; Malaria disease; ML approach; Premature detection; RBCs</t>
  </si>
  <si>
    <t xml:space="preserve">Mathieu R., Et al., Detection of Four Plasmodium Species in Blood from Humans by 18S rRNA Gene Subunit-Based and Species-Specific Real-Time PCR Assays, JOURNAL OF CLINICAL MICROBIOLOGY, pp. 5636-5643, (2004); Florens L., Et al., A proteomic view of the Plasmodium falciparum life cycle, Nature, 419, 6906, pp. 520-526, (2002); Pain A., Et al., The genome of the simian and human malaria parasite Plasmodium knowlesi, Nature, 455, 7214, pp. 799-803, (2008); Snow R.W., Et al., The global distribution of clinical episodes of Plasmodium falciparum malaria, Nature, 434, pp. 214-217, (2005); World Health Organization, pp. 9-12, (2010); Hugh R., New WHO Guidelines for the Treatment of Malaria, (2010); Hu M.-K., Visual pattern recognition by moment invariants, Information Theory, IRE Transactions On, 8, 2, pp. 179-187, (1962); Galloway M.M., Texture classification using gray level run length." Comput. Graph, Image Process, 4, pp. 172-179, (1975); Mandelbrot B.B., The Fractal Geometry of Nature/Revised and Enlarged Edition.", (1983); Chu A., Sehgal C.M., Greenleaf J.F., Use of gray value distribution of run lengths for texture analysis, Pattern Recognition Letters, 11, 6, pp. 415-419, (1990); Dasarathy B.V., Holder E.B., Image characterizations based on joint gray level-run length distributions, Pattern Recognition Letters, 12, 8, pp. 497-502, (1991); Sarkar N., Chaudhuri C., An efficient differential box-counting approach to compute fractal dimension of image, IEEE Transactions on Systems, Man, and Cybernetics, 24, 1, pp. 115-120, (1994); Timo O., Pietikaeinen M., Maeenpaeae T., Multiresolution Gray-Scale and Rotation Invariant Texture Classification with Local Binary Patterns, IEEE Transactions on Pattern Analysis and Machine Intelligence, 24, pp. 971-987, (2002); Gonzalez R.C., Woods R.E., Processing, (2002); Amar Partap P., Singh, and Baljit Singh. "Shannon and Non-Shannon Measures of Entropy for Statistical Texture Feature Extraction in Digitized Mammograms, Proceedings of the World Congress on Engineering and Computer Science, 2, (2009); Ghosh M., Das D., Chakraborty C., Entropy based divergence for leukocyte image segmentation, International Conference on Systems in Medicine and Biology, (2010); Krishnan M.M.R., Et al., Textural characterization of histopathological images for oral sub-mucous fibrosis detection, Tissue and Cell, 43, 5, pp. 318-330, (2011); Krishnan M.M.R., Et al., Statistical Analysis of Textural Features for Improved Classification of Oral Histopathological Images, Journal of Medical Systems, 36, 2, pp. 865-881, (2012); Celebi M.E., Et al., An improved objective evaluation measure for border detection in dermoscopy images, Skin Research and Technology: Official Journal of International Society for Bioengineering and the Skin (Isbs)[And] International Society for Digital Imaging of Skin (Isdis)[And] International Society for Skin Imaging (ISSI) 15.4, (2009); Xin-She Y., Street T., Deb S., Cuckoo Search via Lévy Flights, (2010); Ross N.E., Et al., Automated image processing method for the diagnosis and classification of malaria on thin blood smears, Medical and Biological Engineering and Computing, 44, 5, pp. 427-436, (2006); Kaewkamnerd S., Et al., An automatic device for detection and classification of malaria parasite species in thick blood film, BMC Bioinformatics, 13, (2012); Diaz G., Gonzalez F.A., Romero E., A semiautomatic method for quantification and classification of erythrocytes infected with malaria parasites in microscopic images, Journal of Biomedical Informatics, 42, 2, pp. 296-307, (2009); Lai C.H., Et al., A protozoan parasite extraction scheme for digital microscopic images, Computerized Medical Imaging and Graphics: The Official Journal of The Computerized Medical Imaging Society 34.2, (2010); Le M.T., A novel semi-automatic image processing approach to determine Plasmodium falciparum parasitemia in giemsa-stained thin blood smears, BMC Cell Biology, 9, 1, (2008); Diaz G., Gonzalez F., Romero E., Infected cell identification in thin blood images based on color pixel classification: Comparison and analysis, Proceedings of the Congress on Pattern Recognition 12Th Iberoamerican Conference on Progress in Pattern Recognition, Image Analysis and Applications, (2007); Tek F.B., Dempster A.G., Kale I., Computer vision for microscopy diagnosis of malaria, Malaria Journal, 8, (2009); Tek F.B., Dempster A.G., Kale I., Parasite detection and identification for automated thin blood film malaria diagnosis, Computer Vision and Image Understanding, 114, 1, pp. 21-32, (2010); Memeu D.M., Et al., Detection of plasmodium parasites from images of thin blood smears, (2013); Yunda L., Alarcon A., Millan J., Automated Image Analysis Method for p-vivax Malaria Parasite Detection in Thick Film Blood Images, Sistemas &amp; Telemática, 10, 20, pp. 9-25, (2012); Sio S.W., Et al., MalariaCount: An image analysis-based program for the accurate determination of parasitemia, Journal of Microbiological Methods, 68, 1, pp. 11-18, (2007); Tek F.B., Dempster A.G., Kale I., Malaria parasite detection in peripheral blood images, In Proc. British Machine Vision Conference., (2006); Makkapati V.V., Rao R.M., Segmentation of Malaria Parasites in Peripheral Blood Smear Images, (2009); Yashasvi P., Et al., Automated and unsupervised detection of malarial parasites in microscopic images, Malaria Journal, 10, (2011); Somasekar J., Eswara Reddy B., Segmentation of erythrocytes infected with malaria parasites for the diagnosis using microscopy imaging, Computers and Electrical Engineering, 45, pp. 336-351, (2015); Das D.K., Et al., Machine learning approach for automated screening of malaria parasite using light microscopic images, Micron (Oxford, England, 1993, 45, pp. 97-106, (2013); Khan M.I., Et al., Content Based Image Retrieval Approaches for Detection of Malarial Parasite in Blood Images, International Journal of Biometrics and Bioinformatics (IJBB) 5.2, (2011); Hearst M.A., Et al., Support vector machines, IEEE Intelligent Systems and Their Applications 13.4, pp. 18-28, (1998); Pat L., Sage S., Induction of Selective Bayesian Classifiers, ARTIFICIAL INTELLIGENCE, (1994); Tabachnick B.G., Fidell L.S., Using Multivariate Statistics. Boston: Ally and Bacon Pearson, Education, (2001); Iwaki Y., (2014); Kanan C., Cottrell G.W., Color-to-Grayscale: Does the Method Matter in Image Recognition, Plos ONE, 7, 1, (2012); Jelena K., Chebira A., An introduction to frames, Signal Processing, 2, pp. 1-94, (2008); Abdul-Nasir A.S., Colour Image Segmentation Approach for Detection of Malaria Parasites, WSEAS Transactions on Biology and Biomedicine, 10, pp. 41-55, (2013); Yeon J., Et al., Effective Grayscale Conversion Method for Malaria Parasite Detection, (2014); Jong-Dae K., Et al., Comparison of grayscale conversion methods for malaria classification, International Journal of Bio-Science and Bio-Technology, 7, 1, pp. 141-150, (2015); Lai C.H., Et al., A protozoan parasite extraction scheme for digital microscopic images, Computerized Medical Imaging and Graphics: The Official Journal of The Computerized Medical Imaging Society 34.2, (2010); Chokkalingam S., Komathy K., Sowmya M., PERFORMANCE ANALYSIS OF VARIOUS LYMPHOCYTES IMAGES DE-NOISING FILTERS OVER a MICROSCOPIC BLOOD SMEAR IMAGE; Zhouping W., Et al., Median-Gaussian filtering framework for Moiré pattern noise removal from X-ray microscopy image, Micron, (2012); Astola J., Kuosmanen P., Fundamentals of Nonlinear Digital Filtering, 8, (1997); (2011); Aizenberg I., Bregin T., Paliy D., New method for impulsive noise filtering using its preliminary detection, SPIE Proceedings, 4667, (2002); Gonzalez R.C., Woods R.E., Eddins S.L., Digital Image Processing Using MATLAB: Pearson Education India, (2004); Hartigan J.A., Wong M.A., Algorithm AS 136: A K-Means Clustering Algorithm, Applied Statistics, 28, 1, pp. 100-108, (1979); Mc Jobin C., Parvathi R.M.S., Segmentation of medical image using K-Means clustering and marker controlled watershed algorithm, European Journal of Scientific Research, 71, pp. 190-194, (2012); Das D., Et al., Invariant moment based feature analysis for abnormal erythrocyte recognition, 2010 International Conference on Systems in Medicine and Biology; Sadiq J., Balaram V.V.S.S.S., OFS-Z: Optimal Features Selection by Z-Score for Malaria Infected Erythrocyte Detection using Supervised Learning, Proceedings of the First International Conference on Computational Intelligence and Informatics, (2018); Altman D.G., Et al., Statistical guidelines for contributors to medical journals, British Medical Journal (Clinical Research Ed.), 287, (1983); Johannes S., Et al., Fiji: An open-source platform for biological-image analysis, Nature Methods, 9, 7, pp. 676-682, (2012); Jagtap C.D., Usha Rani N., Heuristic Scale to Estimate Premature Malaria Parasites: Scope in Microscopic Blood Smear Images, Indian Journal of Science and Technology, 10, 8, (2017)</t>
  </si>
  <si>
    <t xml:space="preserve">Int. J. Appl. Eng. Res.</t>
  </si>
  <si>
    <t xml:space="preserve">2-s2.0-85057644700</t>
  </si>
  <si>
    <t xml:space="preserve">Mthembu C.L.; Sabela M.I.; Mlambo M.; Madikizela L.M.; Kanchi S.; Gumede H.; Mdluli P.S.</t>
  </si>
  <si>
    <t xml:space="preserve">Mthembu, Christian L. (59052338500); Sabela, Myalowenkosi I. (55206142700); Mlambo, Mbuso (55627649000); Madikizela, Lawrence M. (56410845800); Kanchi, Suvardhan (36699599700); Gumede, Halalisani (57202251462); Mdluli, Phumlane S. (14013807800)</t>
  </si>
  <si>
    <t xml:space="preserve">59052338500; 55206142700; 55627649000; 56410845800; 36699599700; 57202251462; 14013807800</t>
  </si>
  <si>
    <t xml:space="preserve">Google Analytics and quick response for advancement of gold nanoparticle-based dual lateral flow immunoassay for malaria-: Plasmodium lactate dehydrogenase (pLDH)</t>
  </si>
  <si>
    <t xml:space="preserve">A rapid dual lateral flow diagnostic assay fabricated with quick response (QR) barcodes was developed to improve the quality control of malaria diagnostic tests, as well as to enhance systems for transferring data from survey studies among community healthcare workers at a point-of-care facility and centralized laboratories. The lateral flow kit has been modified with QR technology encoded with Google Analytics information for the detection and real-time tracking of Plasmodium lactate dehydrogenase (pLDH). The QR barcode was fabricated by attaching two QR barcodes which were encoded with websites that were linked to Google Analytics. The optical and structural properties of gold nanoparticles (AuNPs) were studied using UV-visible spectroscopy, transmission electron microscopy and a Biodot XYZ. The anti-mouse IgG antibody was used as a secondary antibody to act as a control and anti-pLDH. The antibody binding with pLDH antigens shows a test line indicating a positive test in the presence of phosphate buffer as a mobile phase. The diagnostic kit for the rapid detection of pLDH was developed and validated for the detection of malaria antigens at the lowest detectable recombinant concentration of 10 ng ml-1. The diagnostic kit was incorporated with quick QR barcodes for positive, negative and invalid tests readable with a smartphone. These QR barcodes successfully allowed us to track the precise location of the test through Google Analytics. © The Royal Society of Chemistry.</t>
  </si>
  <si>
    <t xml:space="preserve">Analytical Methods</t>
  </si>
  <si>
    <t xml:space="preserve">10.1039/c7ay01645j</t>
  </si>
  <si>
    <t xml:space="preserve">https://www.scopus.com/inward/record.uri?eid=2-s2.0-85032616578&amp;doi=10.1039%2fc7ay01645j&amp;partnerID=40&amp;md5=eb82704808c4b100c0086bec8ad48db5</t>
  </si>
  <si>
    <t xml:space="preserve">Department of Chemistry, Durban University of Technology, Faculty of Applied Sciences, Steve Biko Campus, P.O Box 1334, Durban, 4000, South Africa; Umbogintwini Industrial Complex, 1 Dickens Road, Durban, South Africa; Department of Physics, University of Pretoria, Pretoria, South Africa</t>
  </si>
  <si>
    <t xml:space="preserve">Mthembu C.L., Department of Chemistry, Durban University of Technology, Faculty of Applied Sciences, Steve Biko Campus, P.O Box 1334, Durban, 4000, South Africa, Umbogintwini Industrial Complex, 1 Dickens Road, Durban, South Africa; Sabela M.I., Department of Chemistry, Durban University of Technology, Faculty of Applied Sciences, Steve Biko Campus, P.O Box 1334, Durban, 4000, South Africa; Mlambo M., Department of Physics, University of Pretoria, Pretoria, South Africa; Madikizela L.M., Department of Chemistry, Durban University of Technology, Faculty of Applied Sciences, Steve Biko Campus, P.O Box 1334, Durban, 4000, South Africa; Kanchi S., Department of Chemistry, Durban University of Technology, Faculty of Applied Sciences, Steve Biko Campus, P.O Box 1334, Durban, 4000, South Africa; Gumede H., Umbogintwini Industrial Complex, 1 Dickens Road, Durban, South Africa; Mdluli P.S., Department of Chemistry, Durban University of Technology, Faculty of Applied Sciences, Steve Biko Campus, P.O Box 1334, Durban, 4000, South Africa</t>
  </si>
  <si>
    <t xml:space="preserve">Antibodies; Antigens; Bar codes; Diseases; Gold; High resolution transmission electron microscopy; Malaria control; Metal nanoparticles; mHealth; Nanoparticles; Quality control; Transmission electron microscopy; Ultraviolet visible spectroscopy; Gold nanoparticle; Gold Nanoparticles; Healthcare workers; Lateral flow immunoassay; Plasmodium lactate dehydrogenase; Real time tracking; Secondary antibodies; UV visible spectroscopy; Web services</t>
  </si>
  <si>
    <t xml:space="preserve">Technology Innovation Agency Bioprocessing Platform; National Research Foundation, NRF</t>
  </si>
  <si>
    <t xml:space="preserve">The authors would like to thank ESKOM SA, Mintek/NIC, the Technology Innovation Agency Bioprocessing Platform (Umbongintwini) and the National Research Foundation (NRF), South Africa, for nancial support.</t>
  </si>
  <si>
    <t xml:space="preserve">Inocencio Da Luz R.A., Mavoko H.M., Crandall I., Deshpande S., Lutumba P., Van geertruyden J.P., Talanta, 147, pp. 473-477, (2016); Azikiwe C.C.A., Ifezulike C.C., Siminialayi I.M., Amazu L.U., Enye J.C., Nwakwunite O.E., Asian Pac. J. Trop. Biomed., 2, pp. 307-310, (2012); Smart L.R., Orgenes N., Mazigo H.D., Minde M., Hokororo A., Shakir M., Verweij J.J., Downs J.A., Peck R.N., Acta Trop., 159, pp. 36-43, (2016); Hu X., Cheng S., Liu X., Li J., Zheng W., Lu G., Zhang J., Zheng J., Zhang J., Protein Expression Purif., 119, pp. 94-101, (2016); Dakic Z., Ivovic V., Pavlovic M., Lavadinovic L., Markovic M., Djurkovic-Djakovic O., Int. J. Infect. Dis., 29, pp. 24-30, (2014); Surabattula R., Vejandla M.P., Mallepaddi P.C., Faulstich K., Polavarapu R., Exp. Parasitol., 134, pp. 333-340, (2013); Fu X., Cheng Z., Yu J., Choo P., Chen L., Choo J., Biosens. Bioelectron., 78, pp. 530-537, (2016); Philip D., Spectrochim. Acta, Part A, 71, pp. 80-85, (2008); Schwamberger A., De Roo B., Jacob D., Dillemans L., Bruegemann L., Seo J.W., Locquet J.P., Nucl. Instrum. Methods Phys. Res., Sect. B, 343, pp. 116-122, (2015); Piper R., Lebras J., Wentworth L., Hunt-Cooke A., Houze S., Chiodini P., Makler M., Am. J. Trop. Med. Hyg., 60, pp. 109-118, (1999); Endeshaw T., Graves P.M., Shargie E.B., Gebre T., Ayele B., Yohannes G., Zerihun M., Genet A., Melak B., Kebede A., Jima D., Tadesse Z., Ngondi J., Mosher A.W., Richards F.O., Emerson P.M., Trans. R. Soc. Trop. Med. Hyg., 104, pp. 467-474, (2010); Gulka C.P., Swartz J.D., Wright D.W., Talanta, 135, pp. 94-101, (2015); Verma R., Jayaprakash N.S., Vijayalakshmi M.A., Venkataraman K., Exp. Parasitol., 150, pp. 56-66, (2015); Singh J., Sharma S., Nara S., Food Chem., 170, pp. 470-483, (2015); Tahar R., Sayang C., Ngane Foumane V., Soula G., Moyou-Somo R., Delmont J., Basco L.K., Acta Trop., 125, pp. 214-219, (2013); Bahadir E.B., Sezginturk M.K., TrAC, Trends Anal. Chem., 82, pp. 286-306, (2016); Mills L.A., Kagaayi J., Shott J.P., Newell K., Bwanika J.B., Ssempijja V., Aluma S., Quinn T.C., Reynolds S.J., Gray R.H., Trans. R. Soc. Trop. Med. Hyg., 104, pp. 237-239, (2010); Ang S.H., Thevarajah T.M., Woi P.M., Alias Y.B., Khor S.M., J. Chromatogr. B: Anal. Technol. Biomed. Life Sci., 1015-1016, pp. 157-165, (2016); Rodriguez M.O., Covian L.B., Garcia A.C., Blanco-Lopez M.C., Talanta, 148, pp. 272-278, (2016); Moody A., American Society for Microbiology, 15, pp. 66-78, (2002); Tomar D., Biswas S., Tripathi V., Rao D.N., Immunobiology, 211, pp. 797-805, (2006); Mak W.C., Beni V., Turner A.P.F., TrAC, Trends Anal. Chem., 79, pp. 297-305, (2016); Sinawang P.D., Rai V., Ionescu R.E., Marks R.S., Biosens. Bioelectron., 77, pp. 400-408, (2016); Basile A.J., Goodman C., Horiuchi K., Laven J., Panella A.J., Kosoy O., Lanciotti R.S., Johnson B.W., J. Virol. Methods, 225, pp. 41-48, (2015); Howard R., Uni S., Aikawa M., Aley S., Leech J., Lew A., Wellems T., Rener J., Taylor D., J. Cell Biol., 103, pp. 1269-1277, (1986); Brince Paul K., Kumar S., Tripathy S., Vanjari S.R.K., Singh V., Singh S.G., Biosens. Bioelectron., 80, pp. 39-46, (2016); Kim J.-H., Lee J., Sohn H.-J., Song H.-O., Kim J.-Y., Lee W.-J., Park H., Shin H.-J., Parasitol. Res., 111, pp. 1645-1650, (2012); Makler M.T., Hinrichs D.J., Am. J. Trop. Med. Hyg., 48, pp. 205-210, (1993); Makler M., Ries J., Williams J., Bancroft J., Piper R., Gibbins B., Hinrichs D., Am. J. Trop. Med. Hyg., 48, pp. 739-741, (1993); Bich C., Scott M., Panagiotidis A., Wenzel R.J., Nazabal A., Zenobi R., Anal. Biochem., 375, pp. 35-45, (2008); Wong J.X., Li X., Liu F.S., Yu H.-Z., Sci. Rep., 5, (2015); Scherr T.F., Gupta S., Wright D.W., Haselton F.R., Sci. Rep., 6, (2016); Jamu J.T., Lowi-Jones H., Mitchell C., Nurse Educ. Pract., 19, pp. 107-112, (2016); Kim Y.G., Woo E., Food Res. Int., 85, pp. 266-272, (2016); Wang Z., Zhang S., Liu H., Qin Y., Opt. Commun., 332, pp. 36-41, (2014); Feng S., Caire R., Cortazar B., Turan M., Wong A., Ozcan A., ACS Nano, 8, pp. 3069-3079, (2014); Pakkala H., Presser K., Christensen T., Int. J. Inform. Manag., 32, pp. 504-512, (2012); Quesada-Gonzalez D., Merkoci A., Biosens. Bioelectron., 92, pp. 549-562, (2017); Scherr T.F., Gupta S., Wright D.W., Haselton F.R., Lab Chip, 17, pp. 1314-1322, (2017); Turkevich J., Stevenson P.C., Hillier J., Faraday Discuss., 11, pp. 55-75, (1951); Mdluli P., Tetyana P., Sosibo N., Van Der Walt H., Mlambo M., Skepu A., Tshikhudo R., Biosens. Bioelectron., 54, pp. 1-6, (2014); Oyeyemi O.T., Sode O.J., Adebayo O.D., Mensah-Agyei G.O., J. Infect. Public Health, 9, pp. 471-477, (2016); Piper R., Lebras J., Wentworth L., Hunt-Cooke A., Houze S., Chiodini P., Makler M., Am. J. Trop. Med. Hyg., 60, pp. 109-118, (1999)</t>
  </si>
  <si>
    <t xml:space="preserve">P.S. Mdluli; Department of Chemistry, Durban University of Technology, Faculty of Applied Sciences, Steve Biko Campus, Durban, P.O Box 1334, 4000, South Africa; email: phumlanem@dut.ac.za</t>
  </si>
  <si>
    <t xml:space="preserve">Anal. Methods</t>
  </si>
  <si>
    <t xml:space="preserve">2-s2.0-85032616578</t>
  </si>
  <si>
    <t xml:space="preserve">Valletta J.J.; Recker M.</t>
  </si>
  <si>
    <t xml:space="preserve">Valletta, John Joseph (35749205200); Recker, Mario (6603456883)</t>
  </si>
  <si>
    <t xml:space="preserve">35749205200; 6603456883</t>
  </si>
  <si>
    <t xml:space="preserve">Identification of immune signatures predictive of clinical protection from malaria</t>
  </si>
  <si>
    <t xml:space="preserve">Antibodies are thought to play an essential role in naturally acquired immunity to malaria. Prospective cohort studies have frequently shown how continuous exposure to the malaria parasite Plasmodium falciparum cause an accumulation of specific responses against various antigens that correlate with a decreased risk of clinical malaria episodes. However, small effect sizes and the often polymorphic nature of immunogenic parasite proteins make the robust identification of the true targets of protective immunity ambiguous. Furthermore, the degree of individual-level protection conferred by elevated responses to these antigens has not yet been explored. Here we applied a machine learning approach to identify immune signatures predictive of individual-level protection against clinical disease. We find that commonly assumed immune correlates are poor predictors of clinical protection in children. On the other hand, antibody profiles predictive of an individual’s malaria protective status can be found in data comprising responses to a large set of diverse parasite proteins. We show that this pattern emerges only after years of continuous exposure to the malaria parasite, whereas susceptibility to clinical episodes in young hosts (&lt; 10 years) cannot be ascertained by measured antibody responses alone. © 2017 Valletta, Recker.</t>
  </si>
  <si>
    <t xml:space="preserve">e1005812</t>
  </si>
  <si>
    <t xml:space="preserve">10.1371/journal.pcbi.1005812</t>
  </si>
  <si>
    <t xml:space="preserve">https://www.scopus.com/inward/record.uri?eid=2-s2.0-85032721183&amp;doi=10.1371%2fjournal.pcbi.1005812&amp;partnerID=40&amp;md5=acf0538a444bb97fd04a6fce455961bb</t>
  </si>
  <si>
    <t xml:space="preserve">Centre for Mathematics and the Environment, University of Exeter, Penryn Campus, Penryn, United Kingdom</t>
  </si>
  <si>
    <t xml:space="preserve">Valletta J.J., Centre for Mathematics and the Environment, University of Exeter, Penryn Campus, Penryn, United Kingdom; Recker M., Centre for Mathematics and the Environment, University of Exeter, Penryn Campus, Penryn, United Kingdom</t>
  </si>
  <si>
    <t xml:space="preserve">Adolescent; Adult; Aging; Antigens, Protozoan; Autoantibodies; Biomarkers; Child; Child, Preschool; Disease Susceptibility; Humans; Immunity, Innate; Infant; Machine Learning; Malaria; Plasmodium falciparum; Young Adult; Antibodies; Diseases; Learning systems; autoantibody; biological marker; parasite antigen; Cohort studies; Continuous exposure; Effect size; Individual levels; Malaria parasite; Parasite-; Plasmodium falciparum; Prospectives; Protective immunities; Robust identification; adolescent; adult; antibody production; antibody response; Article; child; correlational study; disease predisposition; human; immunity; infant; infection risk; machine learning; malaria control; microbial diversity; Plasmodium; prediction; predictive value; aging; blood; immunology; innate immunity; machine learning; malaria; Plasmodium falciparum; preschool child; young adult; Antigens</t>
  </si>
  <si>
    <t xml:space="preserve">Antigens, Protozoan, ; Autoantibodies, ; Biomarkers, </t>
  </si>
  <si>
    <t xml:space="preserve">Medical Research Council, MRC, (MR/M003906/1)</t>
  </si>
  <si>
    <t xml:space="preserve">Cohen S., McGregor I., Carrington S., Gamma-Globulin and Aquired Immunity to Human Malaria, Nature, 192, 4804, pp. 733-737, (1961); McGregor I.A., The passive transfer of human malarial immunity, The American journal of tropical medicine and hygiene, 13, SUPPL, pp. 237-239, (1964); Osier F.H., Fegan G., Polley S.D., Murungi L., Verra F., Tetteh K.K., Et al., Breadth and magnitude of antibody responses to multiple Plasmodium falciparum merozoite antigens are associated with protection from clinical malaria, Infection and immunity, 76, 5, pp. 2240-2248, (2008); Dodoo D., Aikins A., Kusi K.A., Lamptey H., Remarque E., Milligan P., Et al., Cohort study of the association of antibody levels to AMA1, MSP119, MSP3 and GLURP with protection from clinical malaria in Ghanaian children, Malaria journal, 7, (2008); Nebie I., Diarra A., Ouedraogo A., Soulama I., Bougouma E.C., Tiono A.B., Et al., Humoral Responses to Plasmodium falciparum Blood-Stage Antigens and Association with Incidence of Clinical Malaria in Children Living in an Area of Seasonal Malaria Transmission in Burkina Faso, West Africa, Infection and Immunity, 76, 2, pp. 759-766, (2008); Gray J.C., Corran P.H., Mangia E., Gaunt M.W., Li Q., Tetteh K.K., Et al., Profiling the antibody immune response against blood stage malaria vaccine candidates, Clinical Chemistry, 53, pp. 1244-1253, (2007); Stanisic D.I., Richards J.S., McCallum F.J., Michon P., King C.L., Schoepflin S., Et al., Immunoglobulin G subclass-specific responses against Plasmodium falciparum merozoite antigens are associated with control of parasitemia and protection from symptomatic illness, Infection and immunity, 77, 3, pp. 1165-1174, (2009); Crompton P.D., Kayala M.A., Traore B., Kayentao K., Ongoiba A., Weiss G.E., Et al., A prospective analysis of the Ab response to Plasmodium falciparum before and after a malaria season by protein microarray, Proceedings of the National Academy of Sciences of the United States of America, 107, 15, pp. 6958-6963, (2010); Richards J.S., Stanisic D.I., Fowkes F.J.I., Tavul L., Dabod E., Thompson J.K., Et al., Association between naturally acquired antibodies to erythrocyte-binding antigens of Plasmodium falciparum and protection from malaria and high-density parasitemia, Clinical infectious diseases: an official publication of the Infectious Diseases Society of America, 51, 8, pp. e50-60, (2010); Greenhouse B., Ho B., Hubbard A., Njama-Meya D., Narum D.L., Lanar D.E., Et al., Antibodies to Plasmodium falciparum antigens predict a higher risk of malaria but protection from symptoms once parasitemic, The Journal of infectious diseases, 204, 1, pp. 19-26, (2011); Richards J.S., Arumugam T.U., Reiling L., Healer J., Hodder A.N., Fowkes F.J.I., Et al., Identification and prioritization of merozoite antigens as targets of protective human immunity to Plasmodium falciparum malaria for vaccine and biomarker development, Journal of immunology (Baltimore, Md: 1950), 191, 2, (2013); Osier F.H., Mackinnon M.J., Crosnier C., Fegan G., Kamuyu G., Wanaguru M., Et al., New antigens for a multicomponent blood-stage malaria vaccine, Science Translational Medicine, 6, 247, (2014); Stanisic D.I., Fowkes F.J.I., Koinari M., Javati S., Lin E., Kiniboro B., Et al., Acquisition of Antibodies against Plasmodium falciparum Merozoites and Malaria Immunity in Young Children and the Influence of Age, Force of Infection, and Magnitude of Response, Infection and immunity, 83, 2, pp. 646-660, (2015); Irani V., Ramsland P.A., Guy A.J., Siba P.M., Mueller I., Richards J.S., Et al., Acquisition of functional antibodies that block the binding of erythrocyte binding antigen 175 and protection against Plasmodium falciparum malaria in children, Clinical infectious diseases: an official publication of the Infectious Diseases Society of America, (2015); Beeson J.G., Drew D.R., Boyle M.J., Feng G., Fowkes F.J.I., Richards J.S., Merozoite surface proteins in red blood cell invasion, immunity and vaccines against malaria, FEMS microbiology reviews, 40, 3, pp. 343-372, (2016); Bejon P., Warimwe G., Mackintosh C.L., Mackinnon M.J., Kinyanjui S.M., Musyoki J.N., Et al., Analysis of immunity to febrile malaria in children that distinguishes immunity from lack of exposure, Infection and Immunity, 77, 5, pp. 1917-1923, (2009); Fowkes F.J.I., Richards J.S., Simpson J.A., Beeson J.G., The relationship between anti-merozoite antibodies and incidence of Plasmodium falciparum malaria: A systematic review and meta-analysis, PLoS medicine, 7, 1, (2010); Cutler D.R., Edwards T.C., Beard K.H., Cutler A., Hess K.T., Gibson J., Et al., Random Forests for Classification in Ecology, Ecology, 88, 11, pp. 2783-2792, (2007); Diaz-Uriarte R., Alvarez de Andres S., Gene selection and classification of microarray data using random forest, BMC bioinformatics, 7, (2006); Finney O.C., Danziger S., Molina D.M., Vignali M., Takagi A., Ji M., Et al., Predicting antidisease immunity using proteome arrays and sera from children naturally exposed to malaria, Molecular &amp; cellular proteomics: MCP, 13, 10, pp. 2646-2660, (2014); Helb D.A., Tetteh K.K.A., Felgner P.L., Skinner J., Hubbard A., Arinaitwe E., Et al., Novel serologic biomarkers provide accurate estimates of recent Plasmodium falciparum exposure for individuals and communities, Proceedings of the National Academy of Sciences of the United States of America, (2015); Valletta J.J., Torney C., Kings M., Thornton A., Madden J., Applications of machine learning in animal behaviour studies, Animal Behaviour, 124, December, pp. 203-220, (2017); Vitsios D.M., Kentepozidou E., Quintais L., Benito-Gutierrez E., van Dongen S., Davis M.P., Et al., Mirnovo: genome-free prediction of microRNAs from small RNA sequencing data and single-cells using decision forests, Nucleic Acids Research, (2017); Bejon P., Turner L., Lavstsen T., Cham G., Olotu A., Drakeley C.J., Et al., Serological evidence of discrete spatial clusters of Plasmodium falciparum parasites, PloS one, 6, 6, (2011); Bejon P., Lusingu J., Olotu A., Leach A., Lievens M., Vekemans J., Et al., Efficacy of RTS,S/AS01E vaccine against malaria in children 5 to 17 months of age, The New England journal of medicine, 359, 24, pp. 2521-2532, (2008); Breiman L., Random forests, Machine learning, pp. 5-32, (2001); Liaw A., Wiener M., Classification and Regression by randomForest, R news, 2, pp. 18-22, (2002); Geurts P., Fillet M., de Seny D., Meuwis M.A., Malaise M., Merville M.P., Et al., Proteomic mass spectra classification using decision tree based ensemble methods, Bioinformatics, 21, 14, pp. 3138-3145, (2005); Bolon-Canedo V., Sanchez-Marono N., Alonso-Betanzos A., Benitez J.M., Herrera F., A review of microarray datasets and applied feature selection methods, Information Sciences, 282, pp. 111-135, (2014); Tolosi L., Lengauer T., Classification with correlated features: Unreliability of feature ranking and solutions, Bioinformatics, 27, 14, pp. 1986-1994, (2011); Huynh-Thu V.A., Saeys Y., Wehenkel L., Geurts P., Statistical interpretation of machine learning-based feature importance scores for biomarker discovery, Bioinformatics, 28, 13, pp. 1766-1774, (2012); Nguyen T., Huang J., Thuy T., Unbiased Feature Selection in Learning Random Forests for High Dimensional Data, The Scientific World Journal, 2015, pp. 1-18, (2014); Ambroise C., McLachlan G.J., Selection bias in gene extraction on the basis of microarray gene-expression data, Proceedings of the National Academy of Sciences of the United States of America, 99, 10, pp. 6562-6566, (2002); Kampstra P., Beanplot: A Boxplot Alternative for Visual Comparison of Distributions, Journal of Statistical Software, 28, code snippet 1, pp. 1-9, (2008); Gupta S., Snow R.W., Donnelly C.A., Marsh K., Newbold C., Immunity to non-cerebral severe malaria is acquired after one or two infections, Nature medicine, 5, 3, pp. 340-343, (1999); Tran T.M., Ongoiba A., Coursen J., Crosnier C., Diouf A., Huang C.Y., Et al., Naturally acquired antibodies specific for Plasmodium falciparum reticulocyte-binding protein homologue 5 inhibit parasite growth and predict protection from malaria, The Journal of infectious diseases, 209, 5, pp. 789-798, (2014)</t>
  </si>
  <si>
    <t xml:space="preserve">M. Recker; Centre for Mathematics and the Environment, University of Exeter, Penryn, Penryn Campus, United Kingdom; email: m.recker@exeter.ac.uk</t>
  </si>
  <si>
    <t xml:space="preserve">2-s2.0-85032721183</t>
  </si>
  <si>
    <t xml:space="preserve">Rosnelly R.; Hartati S.; Winarko E.; Mulatsih S.</t>
  </si>
  <si>
    <t xml:space="preserve">Rosnelly, Rika (57193321318); Hartati, Sri (35795369000); Winarko, Edi (8876439700); Mulatsih, Sri (58655402000)</t>
  </si>
  <si>
    <t xml:space="preserve">57193321318; 35795369000; 8876439700; 58655402000</t>
  </si>
  <si>
    <t xml:space="preserve">Identification of malaria disease and its stadium based on digital image processing</t>
  </si>
  <si>
    <t xml:space="preserve">Malaria is one of the public health problems that could cause death, especially in infants, toddlers, pregnant women. Malaria is still a health problem not only in Indonesia but also in some countries in the world. Microscopic testing is the gold standard to malaria disease diagnosis. However, the level of accuracy depends on the level of microbiological expertise and experience. Microscope testing also time consuming and requires extensive equipment. This study built a texture of feature extraction and morphology model that can be used to identify the type of malaria parasites along with the stadium on the image of a thin blood smear. Samples are a number of preparations that have been given indications of malaria and have given a Giemsa staining. Image acquisition process is done by using a digital microscope with 1000 times of magnification. The process of segmentation used thresholding method of Otsu. Selection feature used sequential forward selection (SFS). Classification technique used artificial neural network of learning vector quantization (LVQ) with K-fold cross validation to identify patterns of types of parasites and their life stages in order to get different types and stages of malaria disease. The results used a combination of texture with morphological traits to get the values of accuracy. © 2005 – ongoing JATIT &amp; LLS.</t>
  </si>
  <si>
    <t xml:space="preserve">Asian Research Publishing Network</t>
  </si>
  <si>
    <t xml:space="preserve">https://www.scopus.com/inward/record.uri?eid=2-s2.0-85013007926&amp;partnerID=40&amp;md5=7319f36432cf63c89fd6ad5c407f9c01</t>
  </si>
  <si>
    <t xml:space="preserve">Department of Computer Science and Electronics, UGM, Indonesia; Department of Pediatric, Faculty of Medicine, UGM/ Dr. Sardjito General Hospital, Indonesia</t>
  </si>
  <si>
    <t xml:space="preserve">Rosnelly R., Department of Computer Science and Electronics, UGM, Indonesia; Hartati S., Department of Computer Science and Electronics, UGM, Indonesia; Winarko E., Department of Computer Science and Electronics, UGM, Indonesia; Mulatsih S., Department of Pediatric, Faculty of Medicine, UGM/ Dr. Sardjito General Hospital, Indonesia</t>
  </si>
  <si>
    <t xml:space="preserve">K-Fold validation; LVQ; Malaria disease; SFS; Texture of feature extraction and morphology</t>
  </si>
  <si>
    <t xml:space="preserve">Ajala F.A., Fenwa O.D., Aku M.A., Comparative Analysis of Different Types of Malaria Diseases using First Order Features, International Journal of Applied Information Systems (IJAIS), 8, 3, (2015); Annaldas S., Shirgan S.S., Automatic Diagnosis of Malaria Parasites Using Neural Network and Support Vector Machine, International Journal of Advance Foundation and Research in Computer (IJAFRC), 2, (2015); Anggraini D., Nugroho A.S., Pratama C., Rozi I.E., Pragesjvara V., Gunawan M., Automated Status Identification of Microscopic Images Obtained from Malaria Thin Blood Smears using Bayes Decision: A study case in Plasmodium Falciparum, ICACSIS, pp. 347-352, (2011); Chavan S., Nagmode M., Malaria Disease Identification and Analysis Using Image Processing, International Journal of Computing and Technology (IJCAT), 1, (2014); Das D., Ghosh M., Chakraborty C., Maiti A.K., Pal M., Probabilistic Prediction of Malaria using Morphological and Textural Information, International Conference on Image Information Processing (ICIIP), (2011); Das D.K., Mukherjee R., Chakraborty C., Computational microscopic imaging for malaria parasite detection: A systematic review, Journal of Microscopy, 260, 1, (2015); Dewi R., Penyakit Tropis Mengancam Di Indonesia, (2014); Fausett L., Fundamentals of Neural Networks, (1994); Gitonga L., Memeu D.M., Kaduki K.A., Mjomba A.C.K., Muriuki N.S., Determination of Plasmodium Parasite Life Stages and Species in Images of Thin Blood Smears Using Artificial Neural Network, Open Journal of Clinic Diagnostics, Scientific Research Publishing Inc, (2014); Goswami B., Texture Based Image Segmentation Using GLCM, (2010); Upaya Pengendalian Malaria Selamatkan 3.3 Juta Nyawa, (2015); Kareem S., Kale I., Morling R.C.S., Automated Malaria Parasite Detection in Thin Blood Films: A Hybrid Illumination and Color Constancy Insensitive, Morphological Approach, IEEE Asia Pasific Conference On, Kaohsiung, (2012); Komagal E., Kumar K.S., Vigneswaran A., Recognition and Classification Of Malaria Plasmodium Diagnosis, International Journal of Engineering Research &amp; Technology (IJERT), 2, 1, (2013); Liwan A.S., Diagnosis dan Penatalaksanaan Malaria Tanpa Komplikasi pada Anak, Cermin Dunia Kedokteran, 42, 1, (2015); Makkapati V.V., Rao R.M., Ontology-based Malaria Parasite Stage and Species Identification from Peripheral Blood Smear Images, International Conference of the IEEE, Boston, (2011); May Z., Aziz S., Salamat R., Automated Quantification and Classification of Malaria Parasites in Thin Blood Smears, International Conference on Signal and Image Processing Application (ICSIPA), (2013); Memeu D.M., Kaduki K.A., Mjomba A.C.K., Muriuki N.S., Gitonga L., Detection of Plasmodium Parasites from Images of Thin Blood Smears, Open Journal of Clinic Diagnostics, (2013); Otsu N., 1979, A threshold selection method from gray-level histogram, IEEE Trans. Syst. Man Cybernet., 9, 1, pp. 62-66, (1979); Refaeilzadeh P., Tang L., Liu H., Cross Validation, Encyclopedia of Biometric, (2008); Ritter N., Copper J., Segmentation and border identification of cells in image of peripheral blood smear slides, Proceeding of Thirtieth Autralasian Computer Science Conference, pp. 161-169, (2007); Savkare S.S., Narote S.P., Automated System for Malaria Parasite Identification, International Conference on Communication, (2015); Soni J., Advanced Image Analysis based system for automatic detection of malarial Parasite in Blood Images Using Susan Approach, International Journal of Engineering Science and Technology (IJEST), 3, 6, (2011); Suryawanshi S., Dixit V.V., Comparative Study of Malaria Parasite Detection using Euclidean Distance Classifier &amp; SVM, International Journal of Advanced Research in Computer Engineering &amp; Technology (IJARCET), 2, 11, (2013); Suwalka I., Sanadhya A., Mathur A., Chouhan M.S., Identify Malaria Parasite Using Pattern Recognition Technique, (2012); Thung F., Suwardi I.S., Blood Parasite Identification using Feature Based Recognition, International Conference on Electrical Engineering and Informatics, (2011); Widodowijayanto S., Texture Analysis To Detect Malaria Tropica In Blood Smears Image Using Support Vector Machine, International Journal of Innovative Research in Advanced Engineering (IJIRAE), 1, 8, (2014); Witoelar A., Biehl M., Hammer B., Learning Vector Quantization: Generalization Ability and Dynamics of Competing Prototypes, (2007)</t>
  </si>
  <si>
    <t xml:space="preserve">2-s2.0-85013007926</t>
  </si>
  <si>
    <t xml:space="preserve">Chan J.F.-W.; Yip C.C.-Y.; Tee K.-M.; Zhu Z.; Tsang J.O.-L.; Chik K.K.-H.; Tsang T.G.-W.; Chan C.C.-S.; Poon V.K.-M.; Sridhar S.; Yin F.; Hung I.F.-N.; Chau S.K.-Y.; Zhang A.J.; Chan K.-H.; Yuen K.-Y.</t>
  </si>
  <si>
    <t xml:space="preserve">Chan, Jasper Fuk-Woo (24278817900); Yip, Cyril Chik-Yan (57851608500); Tee, Kah-Meng (56740473800); Zhu, Zheng (57192312759); Tsang, Jessica Oi-Ling (57192304786); Chik, Kenn Ka-Heng (57188760529); Tsang, Terance Gi-Wai (57193769241); Chan, Chris Chung-Sing (16021156900); Poon, Vincent Kwok-Man (54934161900); Sridhar, Siddharth (55845494300); Yin, Feifei (57192318269); Hung, Ivan Fan-Ngai (7006103457); Chau, Sandy Ka-Yee (55151628900); Zhang, Anna Jinxia (57194286379); Chan, Kwok-Hung (7406034307); Yuen, Kwok-Yung (36078079100)</t>
  </si>
  <si>
    <t xml:space="preserve">24278817900; 57851608500; 56740473800; 57192312759; 57192304786; 57188760529; 57193769241; 16021156900; 54934161900; 55845494300; 57192318269; 7006103457; 55151628900; 57194286379; 7406034307; 36078079100</t>
  </si>
  <si>
    <t xml:space="preserve">Improved detection of Zika virus RNA in human and animal specimens by a novel, highly sensitive and specific real-time RT-PCR assay targeting the 5′-untranslated region of Zika virus</t>
  </si>
  <si>
    <t xml:space="preserve">Objective and Method: We developed and evaluated five novel real-time RT-PCR assays targeting conserved regions in the 5′-untranslated region (5′-UTR), envelope (E'), non-structural protein 2A (NS2A), NS5 and 3′-UTR of the ZIKV genome. Results: The ZIKV-5′-UTR assay exhibited the lowest in vitro limit of detection (5–10 RNA copies/reaction and 3.0 × 10−1 plaque-forming units/ml). Compared to the modified version of a widely adopted RT-PCR assay targeting the ZIKV-E gene, the ZIKV-5′-UTR assay showed better sensitivity in human clinical specimens, and representative mouse specimens, including many organs which are known to be involved in human ZIKV infection but difficult to obtain in clinical settings. The ZIKV-5′-UTR assay detected ZIKV RNA in 84/84 (100.0%) ZIKV-E'-positive and an additional 30/296 (10.1%, P &lt; 0.01) ZIKV-E'-negative mouse specimens. The higher sensitivity of the ZIKV-5′-UTR assay was most significant in kidney and testis/epididymis specimens (P &lt; 0.01). No in vitro or in vivo cross-reactivity was found between the ZIKV-5′-UTR assay and dengue virus, yellow fever virus, Japanese encephalitis virus, West Nile virus, hepatitis C virus and Chikungunya virus. Conclusions: The highly sensitive and specific ZIKV-5′-UTR assay may help to improve the laboratory diagnosis of ZIKV infection. © 2017 John Wiley &amp; Sons Ltd</t>
  </si>
  <si>
    <t xml:space="preserve">Tropical Medicine and International Health</t>
  </si>
  <si>
    <t xml:space="preserve">10.1111/tmi.12857</t>
  </si>
  <si>
    <t xml:space="preserve">https://www.scopus.com/inward/record.uri?eid=2-s2.0-85016451210&amp;doi=10.1111%2ftmi.12857&amp;partnerID=40&amp;md5=d8ee2e7b71b32a9b06fc1f5a8a4751c3</t>
  </si>
  <si>
    <t xml:space="preserve">State Key Laboratory of Emerging Infectious Diseases, The University of Hong Kong, Hong Kong; Department of Microbiology, The University of Hong Kong, Hong Kong; Research Centre of Infection and Immunology, The University of Hong Kong, Hong Kong; Carol Yu Centre for Infection, The University of Hong Kong, Hong Kong; Key Laboratory of Tropical Diseases and Translational Medicine, Hainan Medical University, Haikou, China; Department of Medicine, The University of Hong Kong, Hong Kong; Department of Pathology, United Christian Hospital, Hong Kong; Collaborative Innovation Center for Diagnosis and Treatment of Infectious Diseases, The University of Hong Kong, Hong Kong</t>
  </si>
  <si>
    <t xml:space="preserve">Chan J.F.-W., State Key Laboratory of Emerging Infectious Diseases, The University of Hong Kong, Hong Kong, Department of Microbiology, The University of Hong Kong, Hong Kong, Research Centre of Infection and Immunology, The University of Hong Kong, Hong Kong, Carol Yu Centre for Infection, The University of Hong Kong, Hong Kong; Yip C.C.-Y., Department of Microbiology, The University of Hong Kong, Hong Kong; Tee K.-M., Department of Microbiology, The University of Hong Kong, Hong Kong; Zhu Z., Department of Microbiology, The University of Hong Kong, Hong Kong; Tsang J.O.-L., Department of Microbiology, The University of Hong Kong, Hong Kong; Chik K.K.-H., Department of Microbiology, The University of Hong Kong, Hong Kong; Tsang T.G.-W., Department of Microbiology, The University of Hong Kong, Hong Kong; Chan C.C.-S., Department of Microbiology, The University of Hong Kong, Hong Kong; Poon V.K.-M., Department of Microbiology, The University of Hong Kong, Hong Kong; Sridhar S., Department of Microbiology, The University of Hong Kong, Hong Kong; Yin F., Key Laboratory of Tropical Diseases and Translational Medicine, Hainan Medical University, Haikou, China; Hung I.F.-N., Research Centre of Infection and Immunology, The University of Hong Kong, Hong Kong, Department of Medicine, The University of Hong Kong, Hong Kong; Chau S.K.-Y., Department of Pathology, United Christian Hospital, Hong Kong; Zhang A.J., Department of Microbiology, The University of Hong Kong, Hong Kong; Chan K.-H., Department of Microbiology, The University of Hong Kong, Hong Kong; Yuen K.-Y., State Key Laboratory of Emerging Infectious Diseases, The University of Hong Kong, Hong Kong, Department of Microbiology, The University of Hong Kong, Hong Kong, Research Centre of Infection and Immunology, The University of Hong Kong, Hong Kong, Carol Yu Centre for Infection, The University of Hong Kong, Hong Kong, Collaborative Innovation Center for Diagnosis and Treatment of Infectious Diseases, The University of Hong Kong, Hong Kong</t>
  </si>
  <si>
    <t xml:space="preserve">diagnostics; flavivirus; polymerase chain reaction; untranslated; virus; Zika</t>
  </si>
  <si>
    <t xml:space="preserve">5' Untranslated Regions; Animals; Cross Reactions; Humans; Mice; Real-Time Polymerase Chain Reaction; Reverse Transcriptase Polymerase Chain Reaction; RNA, Viral; Sensitivity and Specificity; Zika Virus; Zika Virus Infection; Animalia; Chikungunya virus; Dengue virus; Flavivirus; Hepatitis C virus; Japanese encephalitis virus; West Nile virus; Yellow fever virus; Zika virus; envelope protein; nonstructural protein 2; nonstructural protein 2a; nonstructural protein 5; unclassified drug; virus RNA; 5' untranslated region; virus RNA; bioassay; detection method; genome; polymerase chain reaction; protein; RNA; rodent; virus; Zika virus disease; 3' untranslated region; 5' untranslated region; animal tissue; Article; bladder; blood sampling; brain analysis; Chikungunya virus; controlled study; cross reaction; Dengue virus; epidemic; epididymis; eye; feces; heart; Hepatitis C virus; human; in vitro study; in vivo study; intestine; Japanese encephalitis virus; kidney; limit of detection; liver; lung; nonhuman; ovary; pancreas; prostate; real time polymerase chain reaction; reverse transcription polymerase chain reaction; salivary gland; sensitivity and specificity; spleen; urine sampling; virus detection; virus genome; West Nile virus; Yellow fever virus; Zika fever; Zika virus; animal; evaluation study; genetics; mouse; procedures; real time polymerase chain reaction; reverse transcription polymerase chain reaction; virology; Zika virus; Zika Virus Infection</t>
  </si>
  <si>
    <t xml:space="preserve">5' Untranslated Regions, ; RNA, Viral, </t>
  </si>
  <si>
    <t xml:space="preserve">Collaborative Innovation Center for Diagnosis and Treatment of Infectious Diseases; Consultancy Service for Enhancing Laboratory Surveillance of Emerging Infectious Diseases; European Virus Archive; ZIKA-HKU; Horizon 2020 Framework Programme, H2020; Department of Health and Social Care, DH; Ministry of Education of the People's Republic of China, MOE; University of Hong Kong, HKU; Food and Health Bureau, FHB; Horizon 2020, (653316); Hui Hoy and Chow Sin Lan Charity Fund</t>
  </si>
  <si>
    <t xml:space="preserve">We thank Ting-Hung Leung (Centre for Health Protection, Department of Health, The Government of the Hong Kong Special Administrative Region) and Janice Yee-Chi Lo (Public Health Laboratory Centre, Department of Health, Hong Kong Special Administrative Region) for provision of clinical specimens and facilitation of the study. This work was partly supported by the donations of Larry Chi-Kin Yung, and Hui Hoy and Chow Sin Lan Charity Fund Limited; and funding from the Consultancy Service for Enhancing Laboratory Surveillance of Emerging Infectious Diseases of the Department of Health, Hong Kong Special Administrative Region; the Food and Health Bureau, The Government of the Hong Kong Special Administrative Region (ZIKA-HKU); Hong Kong University Foundation; and the Collaborative Innovation Center for Diagnosis and Treatment of Infectious Diseases, the Ministry of Education of China; and the European Virus Archive goes Global (EVAg) project that has received funding from the European Union's Horizon 2020 research and innovation programme under grant agreement No 653316. The sponsors had no role in the design and conduct of the study, in the collection, analysis and interpretation of data or in the preparation, review or approval of the manuscript. Preliminary findings related to this work were presented as poster presentation at the 3rd Annual Microbiology &amp; Infectious Diseases Asia Congress (Singapore).</t>
  </si>
  <si>
    <t xml:space="preserve">Chan J.F., Lau S.K., To K.K., Cheng V.C., Woo P.C., Yuen K.Y., Middle East respiratory syndrome coronavirus: another zoonotic betacoronavirus causing SARS-like disease, Clin Microbiol Rev, 28, pp. 465-522, (2015); To K.K., Chan J.F., Chen H., Li L., Yuen K.Y., The emergence of influenza A H7N9 in human beings 16 years after influenza A H5N1: a tale of two cities, Lancet Infect Dis, 13, pp. 809-821, (2013); To K.K., Chan J.F., Tsang A.K., Cheng V.C., Yuen K.Y., Ebola virus disease: a highly fatal infectious disease reemerging in West Africa, Microbes Infect, 17, pp. 84-97, (2015); Dick G.W., Kitchen S.F., Haddow A.J., Zika virus. I. Isolations and serological specificity, Trans R Soc Trop Med Hyg, 46, pp. 509-520, (1952); Musso D., Gubler D.J., Zika virus, Clin Microbiol Rev, 29, pp. 487-524, (2016); Duffy M.R., Chen T.H., Hancock W.T., Et al., Zika virus outbreak on Yap Island, Federated States of Micronesia, N Engl J Med, 360, pp. 2536-2543, (2009); Chan J.F., Choi G.K., Yip C.C., Cheng V.C., Yuen K.Y., Zika fever and congenital Zika syndrome: an unexpected emerging arboviral disease, J Infect, 72, pp. 507-524, (2016); Pessoa R., Patriota J.V., Lourdes de Souza M., Felix A.C., Mamede N., Sanabani S.S., Investigation into an outbreak of dengue-like illness in Pernambuco, Brazil, revealed a cocirculation of zika, chikungunya, and dengue virus type 1, Medicine (Baltimore), 95, (2016); Sardi S.I., Somasekar S., Naccache S.N., Et al., Coinfections of zika and chikungunya viruses in Bahia, Brazil, identified by metagenomic next-generation sequencing, J Clin Microbiol, 54, pp. 2348-2353, (2016); Chan J.F., To K.K., Chen H., Yuen K.Y., Cross-species transmission and emergence of novel viruses from birds, Curr Opin Virol, 10, pp. 63-69, (2015); Musso D., Roche C., Robin E., Nhan T., Teissier A., Cao-Lormeau V.M., Potential sexual transmission of Zika virus, Emerg Infect Dis, 21, pp. 359-361, (2015); Foy B.D., Kobylinski K.C., Chilson Foy J.L., Et al., Probable non-vector-borne transmission of Zika virus, Colorado, USA, Emerg Infect Dis, 17, pp. 880-882, (2011); Calvet G., Aguiar R.S., Melo A.S., Et al., Detection and sequencing of Zika virus from amniotic fluid of fetuses with microcephaly in Brazil: a case study, Lancet Infect Dis, 16, pp. 653-660, (2016); Chan J.F., Yip C.C., Tsang J.O., Et al., Differential cell line susceptibility to the emerging Zika virus: implications for disease pathogenesis, non-vector-borne human transmission and animal reservoirs, Emerg Microbes Infect, 5, (2016); Waggoner J.J., Pinsky B.A., Zika virus: diagnostics for an emerging pandemic threat, J Clin Microbiol, 54, pp. 860-867, (2016); Song J., Mauk M.G., Hackett B.A., Cherry S., Bau H.H., Liu C., Instrument-free point-of-care molecular detection of zika virus, Anal Chem, 88, pp. 7289-7294, (2016); Tian B., Qiu Z., Ma J., Et al., Attomolar Zika virus oligonucleotide detection based on loop-mediated isothermal amplification and AC susceptometry, Biosens Bioelectron, 86, pp. 420-425, (2016); Pardee K., Green A.A., Takahashi M.K., Et al., Rapid, low-cost detection of Zika virus using programmable biomolecular components, Cell, 165, pp. 1255-1266, (2016); Wang X., Yin F., Bi Y., Et al., Rapid and sensitive detection of Zika virus by reverse transcription loop-mediated isothermal amplification, J Virol Methods, 238, pp. 86-93, (2016); Lanciotti R.S., Kosoy O.L., Laven J.J., Et al., Genetic and serologic properties of Zika virus associated with an epidemic, Yap State, Micronesia, 2007, Emerg Infect Dis, 14, pp. 1232-1239, (2008); Faye O., Faye O., Dupressoir A., Weidmann M., Ndiaye M., Alpha Sall A., One-step RT-PCR for detection of Zika virus, J Clin Virol, 43, pp. 96-101, (2008); Balm M.N., Lee C.K., Lee H.K., Chiu L., Koay E.S., Tang J.W., A diagnostic polymerase chain reaction assay for Zika virus, J Med Virol, 84, pp. 1501-1505, (2012); Faye O., Faye O., Diallo D., Diallo M., Weidmann M., Sall A.A., Quantitative real-time PCR detection of Zika virus and evaluation with field-caught mosquitoes, Virol J, 10, (2013); Pyke A.T., Daly M.T., Cameron J.N., Et al., Imported Zika virus infection from the Cook Islands into Australia, 2014, PLoS Curr, 6, (2014); Tappe D., Rissland J., Gabriel M., Et al., First case of laboratory-confirmed Zika virus infection imported into Europe, November 2013, Euro Surveill, 19, (2014); Goebel S., Snyder B., Sellati T., Et al., A sensitive virus yield assay for evaluation of Antivirals against Zika Virus, J Virol Methods, 238, pp. 13-20, (2016); Charrel R.N., Leparc-Goffart I., Pas S., de Lamballerie X., Koopmans M., Reusken C., Background review for diagnostic test development for Zika virus infection, Bull World Health Organ, 94, pp. 574-584, (2016); Corman V.M., Rasche A., Baronti C., Et al., Assay optimization for molecular detection of Zika virus, Bull World Health Organ, 94, pp. 880-892, (2016); Chan J.F., Chik K.K., Yuan S., Et al., Novel antiviral activity and mechanism of bromocriptine as a Zika virus NS2B-NS3 protease inhibitor, Antiviral Res, 141, pp. 29-37, (2017); Chan J.F., Zhang A.J., Chan C.C., Et al., Zika virus infection in dexamethasone-immunosuppressed mice demonstrating disseminated infection with multi-organ involvement including orchitis effectively treated by recombinant type I interferons, EBioMedicine, 14, pp. 112-122, (2016); Chan J.F., Choi G.K., Tsang A.K., Et al., Development and evaluation of novel real-time reverse transcription-PCR assays with locked nucleic acid probes targeting leader sequences of human-pathogenic coronaviruses, J Clin Microbiol, 53, pp. 2722-2726, (2015); Crooks G.E., Hon G., Chandonia J.M., Brenner S.E., WebLogo: a sequence logo generator, Genome Res, 14, pp. 1188-1190, (2004); Burd E.M., Validation of laboratory-developed molecular assays for infectious diseases, Clin Microbiol Rev, 23, pp. 550-576, (2010); Zhu Z., Chan J.F., Tee K.M., Et al., Comparative genomic analysis of pre-epidemic and epidemic Zika virus strains for virological factors potentially associated with the rapidly expanding epidemic, Emerg Microbes Infect, 5, (2016); Chiu W.W., Kinney R.M., Dreher T.W., Control of translation by the 5′- and 3′-terminal regions of the dengue virus genome, J Virol, 79, pp. 8303-8315, (2005); Yip C.C., Lau S.K., Woo P.C., Et al., Recombinant coxsackievirus A2 and deaths of children, Hong Kong, 2012, Emerg Infect Dis, 19, pp. 1285-1288, (2013); Waggoner J.J., Abeynayake J., Sahoo M.K., Et al., Single-reaction, multiplex, real-time rt-PCR for the detection, quantitation, and serotyping of dengue viruses, PLoS Negl Trop Dis, 7, (2013); Eiden M., Vina-Rodriguez A., Hoffmann B., Ziegler U., Groschup M.H., Two new real-time quantitative reverse transcription polymerase chain reaction assays with unique target sites for the specific and sensitive detection of lineages 1 and 2 West Nile virus strains, J Vet Diagn Invest, 22, pp. 748-753, (2010); Lazear H.M., Govero J., Smith A.M., Et al., A mouse model of Zika virus pathogenesis, Cell Host Microbe, 19, pp. 720-730, (2016); Aliota M.T., Caine E.A., Walker E.C., Larkin K.E., Camacho E., Osorio J.E., Characterization of Lethal Zika Virus Infection in AG129 Mice, PLoS Negl Trop Dis, 10, (2016); Dowall S.D., Graham V.A., Rayner E., Et al., A susceptible mouse model for Zika virus infection, PLoS Negl Trop Dis, 10, (2016); Rossi S.L., Tesh R.B., Azar S.R., Et al., Characterization of a novel murine model to study Zika virus, Am J Trop Med Hyg, 94, pp. 1362-1369, (2016); Dudley D.M., Aliota M.T., Mohr E.L., Et al., A rhesus macaque model of Asian-lineage Zika virus infection, Nat Commun, 7, (2016); Li X.F., Dong H.L., Huang X.Y., Et al., Characterization of a 2016 clinical isolate of Zika virus in non-human primates, EBioMedicine, 12, pp. 170-177, (2016); Osuna C.E., Lim S.Y., Deleage C., Et al., Zika viral dynamics and shedding in rhesus and cynomolgus macaques, Nat Med, 22, pp. 1448-1455, (2016); Arzuza-Ortega L., Polo A., Perez-Tatis G., Et al., Fatal sickle cell disease and Zika virus infection in girl from Colombia, Emerg Infect Dis, 22, pp. 925-927, (2016); Sarmiento-Ospina A., Vasquez-Serna H., Jimenez-Canizales C.E., Villamil-Gomez W.E., Rodriguez-Morales A.J., Zika virus associated deaths in Colombia, Lancet Infect Dis, 16, pp. 523-524, (2016); Calvo E.P., Sanchez-Quete F., Duran S., Sandoval I., Castellanos J.E., Easy and inexpensive molecular detection of dengue, chikungunya and Zika viruses in febrile patients, Acta Trop, 163, pp. 32-37, (2016); Waggoner J.J., Gresh L., Mohamed-Hadley A., Et al., Single-reaction multiplex reverse transcription PCR for detection of zika, chikungunya, and dengue viruses, Emerg Infect Dis, 22, pp. 1295-1297, (2016); Tappe D., Nachtigall S., Kapaun A., Schnitzler P., Gunther S., Schmidt-Chanasit J., Acute Zika virus infection after travel to Malaysian Borneo, September 2014, Emerg Infect Dis, 21, pp. 911-913, (2015); Chan K., Weaver S.C., Wong P.Y., Et al., Rapid, affordable and portable medium-throughput molecular device for Zika virus, Sci Rep, 6, (2016)</t>
  </si>
  <si>
    <t xml:space="preserve">J.F.-W. Chan; State Key Laboratory of Emerging Infectious Diseases, The University of Hong Kong, Hong Kong; email: jfwchan@hku.hk</t>
  </si>
  <si>
    <t xml:space="preserve">TMIHF</t>
  </si>
  <si>
    <t xml:space="preserve">Trop. Med. Int. Health</t>
  </si>
  <si>
    <t xml:space="preserve">2-s2.0-85016451210</t>
  </si>
  <si>
    <t xml:space="preserve">Ketema T.; Bacha K.; Yohannes M.; Alemayehu E.; Ambelu A.</t>
  </si>
  <si>
    <t xml:space="preserve">Ketema, Tsige (34067623200); Bacha, Ketema (34067520800); Yohannes, Moti (54791843100); Alemayehu, Esayas (26538538900); Ambelu, Argaw (35279317000)</t>
  </si>
  <si>
    <t xml:space="preserve">34067623200; 34067520800; 54791843100; 26538538900; 35279317000</t>
  </si>
  <si>
    <t xml:space="preserve">In vivo effect of chronic nicotine exposure on outcome of Plasmodium berghei ANKA malaria</t>
  </si>
  <si>
    <t xml:space="preserve">Objective: To assess effect of nicotine, major addictive component of tobacco smoke, on outcomes of the deadly malaria parasite using mice as animal model. Methods: Male Swiss albino mice were treated with 100 and 200 μg/mL of nicotine in drinking water daily for 6 weeks followed by Plasmodium berghei ANKA (PbA) infection. On the seventh day of post infection (p.i.), physical, clinical, histopathological, biochemical and hematological parameters were assessed. Data were analyzed using SPSS software. Results: Nicotine was significantly (P &lt; 0.05) positively associated with lower levels of hemoglobin (Hb), hematocrit (HCT), red blood cells (RBCs), C-reactive protein (CRP) and uric acid (UA), higher risk to incidence of pulmonary edema, elevated level of liver and kidney biomarkers. Also significant increment (P &lt; 0.01) of monocyte-lymphocyte count ratio (MLCR) was observed. Risk to high temperature, lower platelet count, high parastemia and cerebral malaria was lesser in mice treated with nicotine (100 and 200 μg/mL) followed by PbA infection than the positive control. Lack of neurological symptoms might be accounted to the anti-inflammatory property of nicotine that could inhibit production of pro-inflammatory mediators responsible for occurrence of cerebral malaria. Conclusions: This study showed that despite down regulation of most cerebral malaria symptoms nicotine was strongly associated with increased risk to most clinical symptoms of malaria. Thus, like in respiratory infections, nicotine use might enhance susceptibility to malaria. © 2017 by the Asian Pacific Journal of Tropical Disease.</t>
  </si>
  <si>
    <t xml:space="preserve">Asian Pacific Journal of Tropical Disease</t>
  </si>
  <si>
    <t xml:space="preserve">Editorial Office of Asian Pacific Journal of Tropical Disease</t>
  </si>
  <si>
    <t xml:space="preserve">10.12980/apjtd.7.2017D6-397</t>
  </si>
  <si>
    <t xml:space="preserve">https://www.scopus.com/inward/record.uri?eid=2-s2.0-85019629828&amp;doi=10.12980%2fapjtd.7.2017D6-397&amp;partnerID=40&amp;md5=65dc993df6bceecd65b3be0aa6d564f3</t>
  </si>
  <si>
    <t xml:space="preserve">Department of Environmental Health Sciences and Technology, College of Health Sciences, Jimma University, Jimma, Ethiopia; Department of Biology, College of Natural Sciences, Jimma University, Jimma, Ethiopia; Department of Microbiology and Veterinary Public Health, College of Agriculture and Veterinary Medicine, Jimma University, Jimma, Ethiopia; School of Civil and Environmental Engineering, Institute of Technology, Jimma University, Jimma, Ethiopia</t>
  </si>
  <si>
    <t xml:space="preserve">Ketema T., Department of Environmental Health Sciences and Technology, College of Health Sciences, Jimma University, Jimma, Ethiopia, Department of Biology, College of Natural Sciences, Jimma University, Jimma, Ethiopia; Bacha K., Department of Biology, College of Natural Sciences, Jimma University, Jimma, Ethiopia; Yohannes M., Department of Microbiology and Veterinary Public Health, College of Agriculture and Veterinary Medicine, Jimma University, Jimma, Ethiopia; Alemayehu E., School of Civil and Environmental Engineering, Institute of Technology, Jimma University, Jimma, Ethiopia; Ambelu A., Department of Environmental Health Sciences and Technology, College of Health Sciences, Jimma University, Jimma, Ethiopia</t>
  </si>
  <si>
    <t xml:space="preserve">C-reactive protein; Cerebral malaria; Hemoglobin; Monocyte-lymphocyte count ratio; Nicotine; Plasmodium berghei ANKA</t>
  </si>
  <si>
    <t xml:space="preserve">alanine aminotransferase; albumin; aspartate aminotransferase; C reactive protein; creatinine; hemoglobin; nicotine; uric acid; animal cell; animal experiment; animal model; animal tissue; Article; blood cell ratio; cerebral malaria; concentration (parameters); controlled study; correlational study; disease predisposition; disease severity; erythrocyte; hematocrit; high temperature; histopathology; in vivo study; kidney mass; liver weight; long term exposure; lung edema; male; monocyte lymphocyte count ratio; mouse; nonhuman; organ weight; outcome assessment; parasite load; parasitemia; Plasmodium berghei infection; priority journal; spleen weight; survival time; Swiss Webster mouse; thymus; weight reduction</t>
  </si>
  <si>
    <t xml:space="preserve">alanine aminotransferase, 9000-86-6, 9014-30-6; aspartate aminotransferase, 9000-97-9; C reactive protein, 9007-41-4; creatinine, 19230-81-0, 60-27-5; hemoglobin, 9008-02-0; nicotine, 54-11-5; uric acid, 69-93-2</t>
  </si>
  <si>
    <t xml:space="preserve">Morton J., Song Y., Fouad H., Awa F.E., Abou El Naga R., Zhao L., Et al., Cross-country comparison of water pipe use: nationally representative data from 13 low and middle-income countries from the Global Adult Tobacco Survey (GATS), Tob Control, 23, 5, pp. 419-427, (2014); Ng M., Freeman M.K., Fleming T.D., Robinson M., Dwyer-Lindgren L., Thomson B., Et al., Smoking prevalence and cigarette consumption in 187 countries, 1980-2012, JAMA, 311, 2, pp. 183-192, (2014); Toustad S., Andrew-Johnston J., Cardiovascular risks associated with smoking: a review for clinicians, Eur J Cardiovasc Prev Rehabil, 13, pp. 507-514, (2006); Furrukh M., Tobacco smoking and lung cancer, Sultan Qaboos Univ Med J, 13, 3, pp. 345-358, (2013); Jha P., Ramasundarahettige C., Landsman V., Rostron B., Thun M., Anderson R.N., Et al., 21st-Century hazards of smoking and benefits of cessation in the United States, N Engl J Med, 368, 4, pp. 341-350, (2013); Samet J.M., The surgeon generals' reports and respiratory disease, From 1964 to 2014. Ann Am Thorac Soc, 11, 2, pp. 141-148, (2014); Dani J.A., De Biasi M., Cellular mechanisms of nicotine addiction, Pharmacol Biochem Behav, 70, pp. 439-446, (2001); Schaal C., Chellappan S., Nicotine-mediated regulation of nicotinic acetylcholine receptors in non-small cell lung adenocarcinoma by E2F1 and STAT1 transcription factors, PLoS One, 11, 5, (2016); Mishra A., Chaturvedi P., Datta S., Sinukumar S., Joshi P., Garg A., Harmful effects of nicotine, Indian J Med Paediatr Oncol, 36, 1, pp. 24-31, (2015); Bagaitkar J., Demuth D.R., Scott D.A., Tobacco use increases susceptibility to bacterial infection, Tob Induc Dis, 18, 4, (2008); Digard H., Proctor C., Kulasekaran A., Malmqvist U., Richter A., Determination of nicotine absorption from multiple tobacco products and nicotine gum, Nicotine Tob Res, 15, 1, pp. 255-261, (2013); Benowitz N.L., Nicotine addiction, N Engl J Med, 362, pp. 2295-2303, (2010); O'Malley M., King A.N., Conte M., Ellingrod V.L., Ramnath N., Effects of cigarette smoking on metabolism and effectiveness of systemic therapy for lung cancer, J Thorac Oncol, 9, 7, pp. 917-926, (2014); Moyses C., Hearn A., Redfern A., Evaluation of a novel nicotine inhaler device: part 2-effect on craving and smoking urges, Nicotine Tob Res, 17, 1, pp. 26-33, (2015); (2008); (2001); Lai A., Parameswaran N., Khwaja M., Whiteaker P., Lindstrom J.M., Fan H., Et al., Long-term nicotine treatment decreases striatal. nicotinic acetylcholine receptor sites and function in mice, Mol Pharmacol, 67, pp. 1639-1647, (2005); Frevert U., Nacer A., Cabrera M., Movila A., Leberl M., Imaging Plasmodium immunobiology in the liver, brain, and lung, Parasitol Int, 63, 1, pp. 171-186, (2014); Nacer A., Movila A., Sohet F., Girgis N.M., Gundra U.M., Loke P., Et al., Experimental cerebral malaria pathogenesis--hemodynamics at the blood brain barrier, PLoS Pathog, 10, 12, (2014); White N.J., Turner G.D., Medana I.M., Dondorp A.M., Day N.P., The murine cerebral malaria phenomenon, Trends Parasitol, 26, 1, pp. 11-15, (2010); Basir R., Rahiman S.F., Hasballah K., Chong W., Talib H., Yam M., Et al., Plasmodium berghei ANKA Infection in ICR mice as a model of cerebral malaria, Iran J Parasitol, 7, 4, pp. 62-74, (2012); Ding Y., Xu W., Zhou T., Liu T., Zheng H., Fu Y., Establishment of a murine model of cerebral malaria in KunMing mice infected with Plasmodium berghei ANKA, Parasitol, 143, 12, pp. 1672-1680, (2016); Dende C., Meena J., Nagarajan P., Panda A.K., Rangarajan P.N., Padmanaban G., Simultaneously targeting inflammatory response and parasite sequestration in brain to treat experimental cerebral malaria, Sci Rep, 5, (2015); King T., Lamb T., Interferon-γ: the Jekyll and Hyde of malaria, PLoS Pathog, 11, 10, (2015); Kumar S., Gowda N.M., Wu X., Gowda R.N., Gowda D.C., CD36 modulates pro-inflammatory cytokine responses to Plasmodium falciparum glycosylphosphatidy linositols and merozoites by dendritic cells, Parasite Immunol, 34, 7, pp. 372-382, (2012); Hviid L., Jensen A.T., PfEMP1-a parasite protein family of key importance in Plasmodium falciparum malaria immunity and pathogenesis, Adv Parasitol, 88, pp. 51-84, (2015); White N.J., Turner G.D., Medana I.M., Dondorp A.M., Day N.P., The murine cerebral malaria phenomenon, Trends Parasitol, 26, pp. 11-15, (2010); Li T., Wu S., Zhang H., Wang Y., Luo H., Zuo X., Et al., Activation of nicotinic receptors inhibits TNF-a-induced production of proinflammatory mediators through the JAK2/STAT3 signaling pathway in fibroblast-like synoviocytes, Inflammation, 38, 4, pp. 1424-1433, (2015); Baez-Pagan C.A., Delgado-Velez M., Lasalde-Dominicci J.A., Activation of the macrophage a7 nicotinic acetylcholine receptor and control of inflammation, J Neuroimmune Pharmacol, 10, 3, pp. 468-476, (2015); Ciaccio C.E., Gentile D., Effects of tobacco smoke exposure in childhood on atopic diseases, Curr Allergy Asthm R, 13, 6, (2013); Chang J.J., Strauss J.F., Deshazo J.P., Rigby F.B., Chelmow D.P., Macones G.A., Reassessing the impact of smoking on preeclampsia/eclampsia: are there age and racial differences?, PLoS One, 9, 10, (2014); Mishra A., Chaturvedi P., Datta S., Sinukumar S., Joshi P., Garg A., Harmful effects of nicotine, Indian J Med Paediatr Oncol, 36, 1, pp. 24-31, (2015); Rachid M., Nacera H., Salah B.M., Ibrahim Y.M., Haematological and reproductive toxicity of nicotine and protective role of green tea extract in male rats, Endocrine Abstracts, 26, (2011); Ingyang A.L., Okpako D.T., Essien E.M., Platelet reactions in acute Plasmodium berghei infection in Swiss albino mice, Haematologia, 20, pp. 101-108, (1987); Okamoto M., Kita T., Okuda H., Tanaka T., Nakashima T., Effects of aging on acute toxicity of nicotine in rats, Pharmacol Toxicol, 75, 1, pp. 1-6, (1994); Warimwe G.M., Murungi L.M., Kamuyu G., Nyangweso G.M., Wambua J., Naranbhai V., Et al., The ratio of monocytes to lymphocytes in peripheral blood correlates with increased susceptibility to clinical malaria in Kenyan children, PLoS One, 8, (2013); Berens-Riha N., Kroidl I., Schunk M., Alberer M., Beissner M., Pritsch M., Et al., Evidence for significant influence of host immunity on changes in differential blood count during malaria, Malar J, 13, (2014); Wassmer S.C., Grau G., Platelets as pathogenetic effectors and killer cells in cerebral malaria, Expert Review Hematol, 9, 6, pp. 515-517, (2016); Srivastava K., Srivastava K., Role of platelet-mediated cytoadherence and chemokines release in severe malaria, SOJ Immunol, 3, 3, pp. 1-6, (2015); Bridges D.J., Bunn J., van Mourik J.A., Grau G., Preston R.J.S., Molyneux M., Et al., Rapid activation of endothelial cells enables P, falciparum adhesion to platelet decorated von Will brand factor strings. Blood, 115, pp. 1472-1474, (2010); Greenbaum D.C., FitzGerald G.A., Platelets, pyrexia and plasmodia, N Engl J Med, 361, pp. 526-528, (2009); Wassmer S.C., de Souza J.B., Frere C., Candal F.J., Juhan-Vague I., Grau G.E., TGF-beta1 released from activated platelets can induce TNFstimulated human brain endothelium apoptosis: a new mechanism for microvascular lesion during cerebral malaria, J Immunol, 176, pp. 1180-1184, (2006); Wassmer S.C., Combes V., Candal F.J., Juhan-Vague I., Grau G.E., Platelets potentiate brain endothelial alterations induced by Plasmodium falciparum, Infect Immun, 74, pp. 645-653, (2006); Van den Steen P.E., Deroost K., Deckers J., Van Herck E., Struyf S., Opdenakker G., Pathogenesis of malaria-associated acute respiratory distress syndrome, Trends Parasitol, 29, 7, pp. 346-358, (2013); Ware L.B., Lee J.W., Wickersham N., Nguyen J., Matthay M.A., Calfee C.S., California Transplant Donor Network, Donor smoking is associated with pulmonary edema, inflammation and epithelial dysfunction in ex vivo human donor lungs. Am J Transplant, 14, 10, pp. 2295-2302, (2014); Vestbo J., Hurd S.S., Agusti A.G., Jones P.W., Vogelmeier C., Anzueto A., Et al., Global strategy for the diagnosis, management, and prevention of chronic obstructive pulmonary disease: GOLD executive summary, Am J Respir Crit Care Med, 187, 4, pp. 347-365, (2013); Whirl-Carrillo M., McDonagh E.M., Hebert J.M., Gong L., Sangkuhl K., Thorn C.F., Et al., Pharmacogenomics knowledge for personalized medicine, Clin Pharmacol Ther, 92, 4, pp. 414-417, (2012); Viriyavejakul P., Khachonsaksumet V., Punsawad C., Liver changes in severe Plasmodium falciparum malaria: histopathology, apoptosis and nuclear factor kappa B expression, Malar J, 13, (2014); Akanbi O.M., The influence of malaria infection on kidney and liver function in children in Akoko area of Ondo state, Nigeria, J Parasitol Vec Biol, 7, 8, pp. 163-168, (2015)</t>
  </si>
  <si>
    <t xml:space="preserve">T. Ketema; Department of Environmental Health Sciences and Technology, College of Health Sciences, Jimma University, Jimma, Ethiopia; email: tsigeketema@gmail.com</t>
  </si>
  <si>
    <t xml:space="preserve">Asian Pac. J. Trop. Dis.</t>
  </si>
  <si>
    <t xml:space="preserve">2-s2.0-85019629828</t>
  </si>
  <si>
    <t xml:space="preserve">Hao S.-R.; Geng S.-C.; Fan L.-X.; Chen J.-J.; Zhang Q.; Li L.-J.</t>
  </si>
  <si>
    <t xml:space="preserve">Hao, Shao-rui (49663162900); Geng, Shi-chao (56204101200); Fan, Lin-xiao (57129587400); Chen, Jia-jia (59063249800); Zhang, Qin (57219137628); Li, Lan-juan (55540790300)</t>
  </si>
  <si>
    <t xml:space="preserve">49663162900; 56204101200; 57129587400; 59063249800; 57219137628; 55540790300</t>
  </si>
  <si>
    <t xml:space="preserve">Intelligent diagnosis of jaundice with dynamic uncertain causality graph model</t>
  </si>
  <si>
    <t xml:space="preserve">Jaundice is a common and complex clinical symptom potentially occurring in hepatology, general surgery, pediatrics, infectious diseases, gynecology, and obstetrics, and it is fairly difficult to distinguish the cause of jaundice in clinical practice, especially for general practitioners in less developed regions. With collaboration between physicians and artificial intelligence engineers, a comprehensive knowledge base relevant to jaundice was created based on demographic information, symptoms, physical signs, laboratory tests, imaging diagnosis, medical histories, and risk factors. Then a diagnostic modeling and reasoning system using the dynamic uncertain causality graph was proposed. A modularized modeling scheme was presented to reduce the complexity of model construction, providing multiple perspectives and arbitrary granularity for disease causality representations. A “chaining” inference algorithm and weighted logic operation mechanism were employed to guarantee the exactness and efficiency of diagnostic reasoning under situations of incomplete and uncertain information. Moreover, the causal interactions among diseases and symptoms intuitively demonstrated the reasoning process in a graphical manner. Verification was performed using 203 randomly pooled clinical cases, and the accuracy was 99.01% and 84.73%, respectively, with or without laboratory tests in the model. The solutions were more explicable and convincing than common methods such as Bayesian Networks, further increasing the objectivity of clinical decision-making. The promising results indicated that our model could be potentially used in intelligent diagnosis and help decrease public health expenditure. © 2017, Zhejiang University and Springer-Verlag Berlin Heidelberg.</t>
  </si>
  <si>
    <t xml:space="preserve">Journal of Zhejiang University: Science B</t>
  </si>
  <si>
    <t xml:space="preserve">Zhejiang University Press</t>
  </si>
  <si>
    <t xml:space="preserve">10.1631/jzus.B1600273</t>
  </si>
  <si>
    <t xml:space="preserve">https://www.scopus.com/inward/record.uri?eid=2-s2.0-85019109204&amp;doi=10.1631%2fjzus.B1600273&amp;partnerID=40&amp;md5=5d8394da076d45e750b394025da1c32e</t>
  </si>
  <si>
    <t xml:space="preserve">State Key Laboratory for Diagnosis and Treatment of Infectious Diseases, Collaborative Innovation Center for Diagnosis and Treatment of Infectious Diseases, the First Affiliated Hospital, School of Medicine, Zhejiang University, Hangzhou, 310003, China; School of Communication, Shandong Normal University, Jinan, 250014, China; School of Computer Science and Engineering, Beihang University, Beijing, 100191, China</t>
  </si>
  <si>
    <t xml:space="preserve">Hao S.-R., State Key Laboratory for Diagnosis and Treatment of Infectious Diseases, Collaborative Innovation Center for Diagnosis and Treatment of Infectious Diseases, the First Affiliated Hospital, School of Medicine, Zhejiang University, Hangzhou, 310003, China; Geng S.-C., School of Communication, Shandong Normal University, Jinan, 250014, China, School of Computer Science and Engineering, Beihang University, Beijing, 100191, China; Fan L.-X., State Key Laboratory for Diagnosis and Treatment of Infectious Diseases, Collaborative Innovation Center for Diagnosis and Treatment of Infectious Diseases, the First Affiliated Hospital, School of Medicine, Zhejiang University, Hangzhou, 310003, China; Chen J.-J., State Key Laboratory for Diagnosis and Treatment of Infectious Diseases, Collaborative Innovation Center for Diagnosis and Treatment of Infectious Diseases, the First Affiliated Hospital, School of Medicine, Zhejiang University, Hangzhou, 310003, China; Zhang Q., School of Computer Science and Engineering, Beihang University, Beijing, 100191, China; Li L.-J., State Key Laboratory for Diagnosis and Treatment of Infectious Diseases, Collaborative Innovation Center for Diagnosis and Treatment of Infectious Diseases, the First Affiliated Hospital, School of Medicine, Zhejiang University, Hangzhou, 310003, China</t>
  </si>
  <si>
    <t xml:space="preserve">Dynamic uncertain causality graph; Expert system; Intelligent diagnosis; Jaundice</t>
  </si>
  <si>
    <t xml:space="preserve">Algorithms; Bayes Theorem; Causality; Computer Graphics; Computer Simulation; Decision Support Systems, Clinical; Diagnosis, Computer-Assisted; Humans; Jaundice; Machine Learning; Models, Statistical; Prevalence; Reproducibility of Results; Sensitivity and Specificity; bilirubin; Article; artificial intelligence; autoimmune hepatitis; bacterial infection; Bayes theorem; bilirubin blood level; calculation; causality; clinical article; common bile duct stone; delta agent hepatitis; demography; diagnostic accuracy; diagnostic imaging; diagnostic reasoning; Dubin Johnson syndrome; dynamic uncertain causality graph; expert system; Gilbert disease; hepatitis A; hepatitis B; hepatitis C; hepatitis E; human; jaundice; knowledge base; laboratory test; liver cancer; liver cirrhosis; malaria; medical history; mononucleosis; pancreas cancer; primary biliary cirrhosis; priority journal; risk factor; toxic hepatitis; typhus; algorithm; causality; clinical decision support system; computer assisted diagnosis; computer graphics; computer simulation; jaundice; machine learning; prevalence; procedures; reproducibility; sensitivity and specificity; statistical model</t>
  </si>
  <si>
    <t xml:space="preserve">Avci E., A new expert system for diagnosis of lung cancer: GDA-LS_SVM, J. Med. Syst, 36, 3, pp. 2005-2009, (2012); Bhat S., Acharya U.R., Adeli H., Et al., Automated diagnosis of autism: in search of a mathematical marker, Rev. Neurosci, 25, 6, pp. 851-861, (2014); Bhutani V.K., Johnson-Hamerman L., The clinical syndrome of bilirubin-induced neurologic dysfunction, Semin. Fetal Neonatal Med, 20, 1, pp. 6-13, (2015); Dong C., Wang Y., Zhang Q., Et al., The methodology of dynamic uncertain causality graph for intelligent diagnosis of vertigo, Comput. Methods Prog. Biomed, 113, 1, pp. 162-174, (2014); Dong C., Zhang Q., Geng S., A modeling and probabilistic reasoning method of dynamic uncertain causality graph for industrial fault diagnosis, Int. J. Automat. Comput, 11, 3, pp. 288-298, (2014); Gottesman L.E., del Vecchio M.T., Aronoff S.C., Etiologies of conjugated hyperbilirubinemia in infancy: a systematic review of 1692 subjects, BMC Pediatrics, 15, 1, (2015); Hatzilygeroudis I., Prentzas J., Integrating (rules, neural networks) and cases for knowledge representation and reasoning in expert systems, Expert Syst. Appl, 27, 1, pp. 63-75, (2004); Keith R.D., Beckley S., Garibaldi J.M., Et al., A multicentre comparative study of 17 experts and an intelligent computer system for managing labour using the cardiotocogram, Br. J. Obstet. Gynaecol, 102, 9, pp. 688-700, (1995); Kruk M., Osowski S., Markiewicz T., Et al., Computer approach to recognition of Fuhrman grade of cells in clear-cell renal cell carcinoma, Anal. Quant Cytopathol. Histpathol, 36, 3, pp. 147-160, (2014); Lee G.H., Rule-based and case-based reasoning approach for internal audit of bank, Knowl.-Based Syst, 21, 2, pp. 140-147, (2008); Li P., Bi T., Huang J., Et al., Breast cancer early diagnosis based on hybrid strategy, Biomed. Mater. Eng, 24, 6, pp. 3397-3404, (2014); Madabhushi A., Doyle S., Lee G., Et al., Integrated diagnostics: a conceptual framework with examples, Clin. Chem. Lab. Med, 48, 7, pp. 989-998, (2010); Malek S., Phillips R., Mohsen A., Et al., Computer assisted orthopaedic surgical system for insertion of distal locking screws in intra-medullary nails: a valid and reliable navigation system, Int. J. Med. Robot. Comput. Assist. Surg, 1, 4, pp. 34-44, (2005); Oladipupo O.O., Uwadia C.O., Ayo C.K., Improving medical rule-based expert systems comprehensibility: fuzzy association rule mining approach, Int. J. Artif. Intell. Soft Comput, 3, 1, pp. 29-38, (2012); Pearl J., Causality: Models, Reasoning, and Inference, (2009); Poole D., Zhang N.L., Exploiting contextual independence in probabilistic inference, J. Artif. Intell. Res, 18, pp. 263-313, (2003); Sasikumar M., Ramani S., Raman S.M., Et al., A practical introduction to rule based expert systems, (2007); Shen Y., Colloc J., Jacquet-Andrieu A., Et al., Emerging medical informatics with case-based reasoning for aiding clinical decision in multi-agent system, J. Biomed. Inform, 56, pp. 307-317, (2015); Siniscalchi S.M., Svendsen T., Lee C., An artificial neural network approach to automatic speech processing, Neurocomputing, 140, pp. 326-338, (2014); Suk H.I., Lee S.W., Shen D., Subclass-based multi-task learning for Alzheimer’s disease diagnosis, Front. Aging Neurosci, 6, (2014); Xu B.G., Intelligent fault inference for rotating flexible rotors using bayesian belief network, Expert Syst. Appl, 39, 1, pp. 816-822, (2012); Zhang Q., Dynamic uncertain causality graph for knowledge representation and reasoning: discrete DAG cases, J. Comput. Sci. Technol, 27, 1, pp. 1-23, (2012); Zhang Q., Dynamic uncertain causality graph for knowledge representation and probabilistic reasoning: directed cyclic graph and joint probability distribution, IEEE Trans. Neural Netw. Learn. Syst, 26, 7, pp. 1503-1517, (2015); Zhang Q., Dynamic uncertain causality graph for knowledge representation and reasoning: continuous variable, uncertain evidence, and failure forecast, IEEE Trans. Syst. Man Cybern. Syst, 45, 7, pp. 990-1003, (2015); Zhang Q., Geng S., Dynamic uncertain causality graph applied to dynamic fault diagnoses of large and complex systems, IEEE Trans. Reliab, 64, 3, pp. 910-927, (2015); Zhang Q., Dong C., Cui Y., Et al., Dynamic uncertain causality graph for knowledge representation and probabilistic reasoning: statistics base, matrix, and application, IEEE Trans. Neural Netw. Learn. Syst, 25, 4, pp. 645-663, (2014)</t>
  </si>
  <si>
    <t xml:space="preserve">L.-J. Li; State Key Laboratory for Diagnosis and Treatment of Infectious Diseases, Collaborative Innovation Center for Diagnosis and Treatment of Infectious Diseases, the First Affiliated Hospital, School of Medicine, Zhejiang University, Hangzhou, 310003, China; email: ljli@zju.edu.cn</t>
  </si>
  <si>
    <t xml:space="preserve">J. Zhejiang Uni. Sci. B</t>
  </si>
  <si>
    <t xml:space="preserve">2-s2.0-85019109204</t>
  </si>
  <si>
    <t xml:space="preserve">Kanwal F.; Lu C.; Qadri I.; Sohail M.; Farooqi Z.-U.-R.</t>
  </si>
  <si>
    <t xml:space="preserve">Kanwal, Fariha (57194287392); Lu, Changrui (56174624500); Qadri, Ishtiaq (6601934531); Sohail, Muhammad (58421637100); Farooqi, Zia-ur-Rahman (36716055500)</t>
  </si>
  <si>
    <t xml:space="preserve">57194287392; 56174624500; 6601934531; 58421637100; 36716055500</t>
  </si>
  <si>
    <t xml:space="preserve">Interleukin-6: A promising disease severity index for dengue virus infection</t>
  </si>
  <si>
    <t xml:space="preserve">Objective: To study the relationship between expression of interleukin-6 (IL-6) in serum samples and dengue virus (DV) infection in Pakistani population. Methods: This study involved three different groups, namely, DV2-infected DF patients (n = 30), DHF patients (n = 30) and healthy subjects (n = 30). Quantification of IL-6 expression in human serum samples among all the three groups from Pakistan was done by ELISA method. Other demographic findings, clinical parameters and symptoms were recorded and reported in the study. Results: IL-6 expression in DHF group (mean value = 523.23 pg/mL) was significantly higher than that in DF group (mean value = 88.83 pg/mL) and healthy subjects (mean value = 6.72 pg/ mL). Our data suggested that IL-6 level was considerably elevated (P &lt; 0.01) with severe DV infection leading to fatal outcome in DHF patients as compared to DF and control group. Conclusions: Our findings indicate that the up-regulation of IL-6 has a significant role towards DHF, suggesting it as a prognostic marker for severe DV infection. © 2017 by the Asian Pacific Journal of Tropical Disease.</t>
  </si>
  <si>
    <t xml:space="preserve">10.12980/apjtd.7.2017D6-461</t>
  </si>
  <si>
    <t xml:space="preserve">https://www.scopus.com/inward/record.uri?eid=2-s2.0-85019552754&amp;doi=10.12980%2fapjtd.7.2017D6-461&amp;partnerID=40&amp;md5=4f949dc567b6003e38d96674556b3892</t>
  </si>
  <si>
    <t xml:space="preserve">College of Chemistry, Chemical Engineering and Biotechnology, Donghua University, Shanghai, 201620, China; Department of Biological Sciences, Faculty of Science, King Abdul Aziz University, Jeddah, Saudi Arabia; School of Computer Science and Technology, Donghua University, Shanghai, 201620, China; Shifa College of Pharmaceutical Sciences, Shifa Tameer-e-Millat University, Islamabad, 44000, Pakistan</t>
  </si>
  <si>
    <t xml:space="preserve">Kanwal F., College of Chemistry, Chemical Engineering and Biotechnology, Donghua University, Shanghai, 201620, China; Lu C., College of Chemistry, Chemical Engineering and Biotechnology, Donghua University, Shanghai, 201620, China; Qadri I., Department of Biological Sciences, Faculty of Science, King Abdul Aziz University, Jeddah, Saudi Arabia; Sohail M., School of Computer Science and Technology, Donghua University, Shanghai, 201620, China; Farooqi Z.-U.-R., Shifa College of Pharmaceutical Sciences, Shifa Tameer-e-Millat University, Islamabad, 44000, Pakistan</t>
  </si>
  <si>
    <t xml:space="preserve">Cytokines; Dengue fever; Dengue virus; DHF; Interleukin-6; Pakistan; Pathogenesis</t>
  </si>
  <si>
    <t xml:space="preserve">interleukin 6; adult; Article; clinical article; controlled study; demography; dengue; dengue hemorrhagic fever; disease severity; disease severity assessment; enzyme linked immunosorbent assay; fatality; female; human; immunopathogenesis; male; Pakistani; priority journal; prognosis; protein blood level; protein expression; symptomatology; upregulation</t>
  </si>
  <si>
    <t xml:space="preserve">Guzman M.G., Halstead S.B., Artsob H., Buchy P., Farrar J., Gubler D.J., Et al., Dengue: a continuing global threat, Nat Rev Microbiol, 8, pp. S7-16, (2010); Bhatt S., Gething P.W., Brady O.J., Messina J.P., Farlow A.W., Moyes C.L., Et al., The global distribution and burden of dengue, Nature, 496, pp. 504-507, (2013); Brady O.J., Gething P.W., Bhatt S., Messina J.P., Brownstein J.S., Hoen A.G., Et al., Refining the global spatial limits of dengue virus transmission by evidence-based consensus, PLoS Negl Trop Dis, 6, (2012); Dengue and severe dengue. Geneva: World Health Organization, (2016); Azeredo E.L., Zagne S.M., Alvarenga A.R., Nogueira R.M., Kubelka C.F., de Oliveira-Pinto L.M., Activated peripheral lymphocytes with increased expression of cell adhesion molecules and cytotoxic markers are associated with dengue fever disease, Mem Inst Oswaldo Cruz, 101, 4, pp. 437-449, (2006); Diamond M.S., Pierson T.C., Molecular insight into dengue virus pathogenesis and its implications for disease control, Cell, 162, 3, pp. 488-492, (2015); Mady B.J., Erbe D., Kurane I., Fanger M., Ennis F., Antibody-dependent enhancement of dengue virus infection mediated by bispecific antibodies against cell surface molecules other than Fc gamma receptors, J Immunol, 147, 9, pp. 3139-3144, (1991); Williams K.L., Zompi S., Beatty P.R., Harris E., A mouse model for studying dengue virus pathogenesis and immune response, Ann N Y Acad Sci, 1171, pp. E12-23, (2009); Kohase M., Henriksen-DeStefano D., May L.T., Vilcek J., Sehgal P.B., Induction of ß 2-interferon by tumor necrosis factor: a homeostatic mechanism in the control of cell proliferation, Cell, 45, 5, pp. 659-666, (1986); Zust R., Toh Y-X., Valdes I., Cerny D., Heinrich J., Hermida L., Et al., Type I interferon signals in macrophages and dendritic cells control dengue virus infection: implications for a new mouse model to test dengue vaccines, J Virol, 88, 13, pp. 7276-7285, (2014); Suleman M., Faryal R., Aamir U.B., Alam M.M., Nisar N., Sharif S., Et al., Dengue outbreak in Swat and Mansehra, Pakistan 2013: an epidemiological and diagnostic perspective, Asian Pac J Trop Med, 9, 4, pp. 380-384, (2016); Akram D.S., Igarashi A., Takasu T., Dengue virus infection among children with undifferentiated fever in Karachi, Indian J Pediatr, 65, 5, pp. 735-740, (1998); Rasheed S., Butlin R., Boots M., A review of dengue as an emerging disease in Pakistan, Public Health, 127, 1, pp. 11-17, (2013); Daisy V.J., Yee-Shin L., Guey C.P., Biomarkers of severe dengue disease -a review, J Biomed Sci, 22, (2015); Julia N.A.M., Nguyen T.H., Nguyen T.P.L., Evaristus C.M., Tran T.N.H., Lam Q.B., Et al., The association of cytokines with severe dengue in children, Trop Med Health, 42, 4, pp. 137-144, (2014); Humayoun M.A., Waseem T., Jawa A.A., Hashmi M.S., Akram J., Multiple dengue serotypes and high frequency of dengue hemorrhagic fever at two tertiary care hospitals in Lahore during the 2008 dengue virus outbreak in Punjab, Pakistan, Int J Infect Dis, 14, pp. e54-e59, (2010); Martina B.E., Koraka P., Osterhaus A.D., Dengue virus pathogenesis: an integrated view, Clin Microbiol Rev, 22, pp. 564-581, (2009); Noisakran S., Perng G.C., Alternate hypothesis on the pathogenesis of dengue hemorrhagic fever (DHF)/dengue shock syndrome (DSS) in dengue virus infection, Exp Biol Med, 233, pp. 401-408, (2008); Tanaka T., Narazaki M., Masuda K., Kishimoto T., Regulation of IL-6 in immunity and diseases, Adv Exp Med Biol, 941, pp. 79-88, (2016); Sergio I.C., Henry N.P.G., Hilario F.A., Silvia G.M., Irma L.M., Vianney O.N., Et al., Primary dengue virus infections induce differential cytokine production in Mexican patients, Mem Inst Oswaldo Cruz, 111, 3, pp. 161-167, (2016); Huang Y.H., Lei H.Y., Liu H.S., Lin Y.S., Liu C.C., Yeh T.M., Dengue virus infects human endothelial cells and induces IL-6 and IL-8 production, Am J Trop Med Hyg, 63, 1, pp. 71-75, (2000); Rachman A., Rinaldi I., Coagulopathy in dengue infection and the role of interleukin-6, Acta Med Indones, 38, 2, pp. 105-108, (2006); Priyadarshini D., Gadia R.R., Tripathy A., Gurukumar K.R., Bhagat A., Patwardhan S., Et al., Clinical findings and pro-inflammatory cytokines in dengue patients in western India: a facility-based study, PLoS ONE, 5, (2010); Mangione J.N., Huy N.T., Lan N.T., Mbanefo E.C., Ha T.T., Bao L.Q., Et al., The association of cytokines with severe dengue in children, Trop Med Health, 42, pp. 137-144, (2014); Singla M., Kar M., Sethi T., Kabra S.K., Lodha R., Chandele A., Et al., Immune response to dengue virus infection in pediatric patients in New Delhi, India-association of viremia, inflammatory mediators and monocytes with disease severity, PLoS Negl Trop Dis, 10, 3, (2016); Suharti C., Gorp E., Setiati T.E., Dolmans W., Djokomoeljanto R.J., Hack C.E., Et al., The role of cytokines in activation of coagulation and fibrinolysis in dengue shock syndrome, Thromb Haemost, 87, pp. 42-46, (2002); Kurane I., Matsutani T., Suzuki R., Takasaki T., Kalayanarooj S., Green S., Et al., T-cell responses to dengue virus in humans, Trop Med Int Health, 39, 4, pp. S45-51, (2011); Pinto L.M., Oliveira S.A., Braga E.L., Nogueira R.M., Kubelka C.F., Increased pro-inflammatory cytokines (TNF-a and IL-6) and antiinflammatory compounds (sTNFRp55 and sTNFRp75) in Brazilian patients during exanthematic dengue fever, Mem Inst Oswaldo Cruz, 94, 3, pp. 387-394, (1999); Van de Weg C.A., Pannuti C.S., de Araujo E.S., van den Ham H.J., Andeweg A.C., Boas L.S., Et al., Microbial translocation is associated with extensive immune activation in dengue virus infected patients with severe disease, PLoS Negl Trop Dis, 7, 5, (2013); Chen L.C., Lei H.Y., Liu C.C., Shiesh S.C., Chen S.H., Liu H.S., Et al., Correlation of serum levels of macrophage migration inhibitory factor with disease severity and clinical outcome in dengue patients, Am J Trop Med Hyg, 74, 1, pp. 142-147, (2006); Bozza F.A., Cruz O.G., Zagne S.M., Azeredo E.L., Nogueira R.M., Assis E.F., Et al., Multiplex cytokine profile from dengue patients: MIP-1beta and IFN-gamma as predictive factors for severity, BMC Infect Dis, 8, 1, (2008); de Melo Iani F.C., Caldas S., Duarte M.M., Cury A.L.F., Cecilio A.B., Costa P.A.C., Et al., Dengue patients with early hemorrhagic manifestations lose coordinate expression of the anti-inflammatory cytokine IL-10 with the inflammatory cytokines IL-6 and IL-8, Am J Trop Med Hyg, 95, 1, pp. 193-200, (2016); Yie H.L., Wei-Yee L., Annelies W.S., Markers of dengue severity: a systematic review of cytokines and chemokines, J Gen Virol, 97, pp. 3103-3119, (2016)</t>
  </si>
  <si>
    <t xml:space="preserve">F. Kanwal; College of Chemistry, Chemical Engineering and Biotechnology, Donghua University, Shanghai, 201620, China; email: farihakaanwal@gmail.com</t>
  </si>
  <si>
    <t xml:space="preserve">2-s2.0-85019552754</t>
  </si>
  <si>
    <t xml:space="preserve">Costa S.A.; Rassi S.; Freitas E.M.M.; Gutierrez N.S.; Boaventura F.M.; Sampaio L.P.C.; Silva J.B.M.</t>
  </si>
  <si>
    <t xml:space="preserve">Costa, Sandra de Araújo (56199407700); Rassi, Salvador (24481949500); Freitas, Elis Marra da Madeira (56199355100); Gutierrez, Natália da Silva (7004008329); Boaventura, Fabiana Miranda (57194090397); Sampaio, Larissa Pereira da Costa (57194093326); Silva, João Bastista Masson (56675132700)</t>
  </si>
  <si>
    <t xml:space="preserve">56199407700; 24481949500; 56199355100; 7004008329; 57194090397; 57194093326; 56675132700</t>
  </si>
  <si>
    <t xml:space="preserve">Prognostic factors in severe chagasic heart failure; [Fatores Prognósticos na Insuficiência Cardíaca Grave de Etiologia Chagásica]</t>
  </si>
  <si>
    <t xml:space="preserve">Background: Prognostic factors are extensively studied in heart failure; however, their role in severe Chagasic heart failure have not been established. Objectives: To identify the association of clinical and laboratory factors with the prognosis of severe Chagasic heart failure, as well as the association of these factors with mortality and survival in a 7.5-year follow-up. Methods: 60 patients with severe Chagasic heart failure were evaluated regarding the following variables: age, blood pressure, ejection fraction, serum sodium, creatinine, 6-minute walk test, non-sustained ventricular tachycardia, QRS width, indexed left atrial volume, and functional class. Results: 53 (88.3%) patients died during follow-up, and 7 (11.7%) remained alive. Cumulative overall survival probability was approximately 11%. Non-sustained ventricular tachycardia (HR = 2.11; 95% CI: 1.04 – 4.31; p&lt;0.05) and indexed left atrial volume ≥ 72 mL/m2 (HR = 3.51; 95% CI: 1.63 – 7.52; p&lt;0.05) were the only variables that remained as independent predictors of mortality. Conclusions: The presence of non-sustained ventricular tachycardia on Holter and indexed left atrial volume &gt; 72 mL/ m2 are independent predictors of mortality in severe Chagasic heart failure, with cumulative survival probability of only 11% in 7.5 years. © 2017, Arquivos Brasileiros de Cardiologia. All rights reserved.</t>
  </si>
  <si>
    <t xml:space="preserve">10.5935/abc.20170027</t>
  </si>
  <si>
    <t xml:space="preserve">https://www.scopus.com/inward/record.uri?eid=2-s2.0-85018701199&amp;doi=10.5935%2fabc.20170027&amp;partnerID=40&amp;md5=ccbc2af27b44ca7eae2690e0d6187618</t>
  </si>
  <si>
    <t xml:space="preserve">Universidade Federal de Goiás - (UFG), Goiânia, GO, Brazil</t>
  </si>
  <si>
    <t xml:space="preserve">Costa S.A., Universidade Federal de Goiás - (UFG), Goiânia, GO, Brazil; Rassi S., Universidade Federal de Goiás - (UFG), Goiânia, GO, Brazil; Freitas E.M.M., Universidade Federal de Goiás - (UFG), Goiânia, GO, Brazil; Gutierrez N.S., Universidade Federal de Goiás - (UFG), Goiânia, GO, Brazil; Boaventura F.M., Universidade Federal de Goiás - (UFG), Goiânia, GO, Brazil; Sampaio L.P.C., Universidade Federal de Goiás - (UFG), Goiânia, GO, Brazil; Silva J.B.M., Universidade Federal de Goiás - (UFG), Goiânia, GO, Brazil</t>
  </si>
  <si>
    <t xml:space="preserve">Chagas Cardiomyopathy; Chagas Disease; Heart Failure/mortality; Prognosis</t>
  </si>
  <si>
    <t xml:space="preserve">Adult; Age Factors; Atrial Function, Left; Blood Pressure; Cardiac Volume; Chagas Cardiomyopathy; Creatinine; Epidemiologic Methods; Female; Heart Failure; Humans; Male; Middle Aged; Prognosis; Sodium; Stroke Volume; Tachycardia, Ventricular; Time Factors; Ventricular Dysfunction, Left; Walk Test; amiodarone; anticoagulant agent; carvedilol; creatinine; digoxin; enalapril; furosemide; losartan; sodium; spironolactone; creatinine; sodium; adult; anticoagulant therapy; Article; atrial fibrillation; blood pressure; Chagas cardiomyopathy; controlled study; death; disease severity; follow up; heart ejection fraction; heart failure; heart left atrium; heart left ventricle ejection fraction; heart ventricle arrhythmia; heart ventricle tachycardia; human; major clinical study; middle aged; mortality; nonhuman; overall survival; predictor variable; prognosis; QRS interval; retrospective study; six minute walk test; sodium blood level; survival rate; age; blood; Chagas cardiomyopathy; complication; epidemiology; female; heart atrium function; heart failure; heart left ventricle function; heart stroke volume; heart volume; male; mortality; pathophysiology; physiology; time factor; walk test</t>
  </si>
  <si>
    <t xml:space="preserve">amiodarone, 1951-25-3, 19774-82-4, 62067-87-2; carvedilol, 72956-09-3; creatinine, 19230-81-0, 60-27-5; digoxin, 20830-75-5, 57285-89-9; enalapril, 75847-73-3; furosemide, 54-31-9; losartan, 114798-26-4; sodium, 7440-23-5; spironolactone, 52-01-7; Creatinine, ; Sodium, </t>
  </si>
  <si>
    <t xml:space="preserve">Bocchi E.A., Marcondes-Braga F.G., Ayub-Ferreira S.M., Rohde L.E., Oliveira W.A., Almeida D.R., Et al., Sociedade Brasileira de Cardiologia. [III Brazilian guidelines on chronic heart failure], Arq Bras Cardiol, 93, 1, pp. 3-70, (2009); Albuquerque D.C., Souza Neto J.D., Bacal F., Rohde L.E., Bernardez-Pereira S., Berwanger O., Et al., Investigadores Estudo BREATHE. I Brazilian Registry of Heart Failure-Clinical Aspects, Care Quality and Hospitalization Outcomes, Arq Bras Cardiol, 104, 6, pp. 433-442, (2015); Nogueira P.R., Rassi S., Correa Kde S., Epidemiological, clinical and therapeutic profile of heart failure in a tertiary hospital, Arq Bras Cardiol, 95, 3, pp. 392-398, (2010); Bocchi E.A., Marcondes-Braga F.G., Bacal F., Ferraz A.S., Albuquerque D., Updating of the Brazilian guideline for chronic heart failure-2012, Arq Bras Cardiol, 98, 1, pp. 1-33, (2012); Areosa C.M., Almeida D.R., Carvalho A.C., De-Paola A.A., Evaluation of heart failure prognostic factors in patients referred for heart transplantation, Arq Bras Cardiol, 88, 6, pp. 667-673, (2007); Nunes M.P., Colosimo E.A., Reis R.C., Barbosa M.M., Da Silva J.P., Barbosa F., Et al., Different prognostic impact of the tissue Doppler-derived E/e’ ratio on mortality in Chagas cardiomyopathy patients with heart failure, J Heart Lung Transplant, 31, 6, pp. 634-641, (2012); Mady C., Cardoso R.H., Barretto A.C., Da Luz P.L., Bellotti G., Pileggi F., Survival and predictors of survival in patients with congestive heart failure due to Chagas’ cardiomyopathy, Circulation, 90, 6, pp. 3098-3102, (1994); Protocolo Do Estudo multicêntrico Randomizado De Terapia Celular Em Cardiopatias - EMRTCC Cardiopatia Chagásica, pp. 1-16, (2006); Ribeiro Dos Santos R., Rassi S., Feitosa G., Greco O.T., Rassi A., Da Cunha A.B., Et al., Chagas Arm of the MiHeart Study Investigators. Cell therapy in Chagas cardiomyopathy (Chagas arm of the multicenter randomized trial of cell therapy in cardiopathies study): A multicenter randomized trial, Circulation, 125, 20, pp. 2454-2461, (2012); Sociedade Brasileira de Cardiologia; Sociedade Brasileira de Hipertensão; Sociedade Brasileira de Nefrologia, Arq Bras Cardiol, 95, pp. 1-51, (2010); Paulo S., Hospital das Clínicas. FMUSP. Laboratório de análises clínicas. Intervalo de referência, (2015); Simoes L.A., Dias J.M., Marinho K.C., Pinto C.L., Britto R.R., Relationship between functional capacity assessed by walking test and respiratory and lower limb muscle function in community-dwelling elders, Rev Bras Fisioter, 14, 1, pp. 24-30, (2010); Brito R.R., Sousa L.A., Six minute walk test: A Brazilian standardization, Fisioter Mov, 19, 4, pp. 49-54, (2006); Effect of enalapril on survival in patients with reduced left ventricular ejection fraction and congestive heart failure. The SOLVD Investigators, N Engl J Med, 325, 5, pp. 293-302, (1991); Carvalho Filho H.A., Sousa A.S., Holanda M.T., Haffner P.M., Atie J., Americano Do Brasil P.E., Et al., Independent prognostic value of nonsustained ventricular tachycardia in the chronic phase of Chagas’ disease, Rev SOCERJ, 20, 6, pp. 395-405, (2007); Garcia M.I., Sousa A.S., Holanda M.T., Haffner P.M., Americano Do Brasil P.E., Hasslocher-Moreno A., Et al., Prognostic value of QRS width in patients with chronic Chagas cardiomyopathy, Rev SOCERJ, 1, 1, pp. 8-20, (2008); Lang R.M., Badano L.P., Mor-Avi V., Armstrong A., Ernande L., Flachskampf F.A., Et al., Recommendations for cardiac chamber quantification by echocardiography in adults: An update from the American Society of Echocardiography and the European Association of Cardiovascular Imaging, Eur Heart J Cardiovasc Imaging, 16, 3, pp. 233-270, (2015); Theodoropoulos T.A., Bestetti R.B., Otaviano A., Cordeiro J.A., Rodrigues V.C., Silva A.C., Predictors of all-cause mortality in chronic Chagas’ heart disease in the current era of heart failure therapy, Int J Cardiol, 128, 1, pp. 22-29, (2008); Rassi S., Barretto A.C., Porto C.C., Pereira C.R., Calaca B.W., Rassi D.C., Survival and prognostic factors in systolic heart failure with recent symptom onset, Arq Bras Cardiol, 84, 4, pp. 309-313, (2005); Rassi Ddo C., Vieira M.L., Arruda A.L., Hotta V.T., Furtado R.G., Rassi D.T., Et al., Echocardiographic parameters and survival in Chagas heart disease with severe systolic dysfunction, Arq Bras Cardiol, 102, 3, pp. 245-252, (2014); Jorge A.J., Ribeiro M.L., Rosa M.L., Licio F.V., Fernandes L.C., Lanzieri P.G., Et al., Left atrium measurement in patients suspected of having heart failure with preserved ejection fraction, Arq Bras Cardiol, 98, 2, pp. 175-181, (2012); Nunes M.C., Barbosa M.M., Ribeiro A.L., Colosimo E.A., Rocha M.O., Left atrial volume provides independent prognostic value in patients with Chagas cardiomyopathy, J am Soc Echocardiogr, 22, 1, pp. 82-88, (2009); Rassi A., Rassi A., Little W.C., Xavier S.S., Rassi S.G., Rassi A.G., Et al., Development and validation of a risk score for prediction death in Chagas heart disease, N Engl J Med, 355, 8, pp. 799-808, (2006); Ayub-Ferreira S.M., Mangini S., Issa V.S., Cruz F.D., Bacal F., Guimaraes G.V., Et al., Mode of death on Chagas heart disease: Comparison with other etiologies: A subanalysis of the REMADHE prospective trial, Plos Negl Trop Dis, 7, 4, (2013)</t>
  </si>
  <si>
    <t xml:space="preserve">S.A. Costa; Goiânia, Primeira Avenida, 565, Setor Leste Universitário, CEP 74605-020, Brazil; email: sandracardio@hotmail.com</t>
  </si>
  <si>
    <t xml:space="preserve">2-s2.0-85018701199</t>
  </si>
  <si>
    <t xml:space="preserve">PSO-ANN based diagnostic model for the early detection of dengue disease</t>
  </si>
  <si>
    <t xml:space="preserve">Large numbers of machine learning approaches have been developed for analysis of medical data in recent years. These approaches have also proved their significance through accurate and earlier diagnosis of diseases. The objective of this work is to develop a diagnostic model for earlier diagnosis of dengue disease. Dengue fever is spread through the bite of the female mosquito (Aedes aegypti). The symptoms of this fever are similar to other fever such as that of Viral influenza, Chikungunya, Zika fever, and so on. However, in this fever, human life can be at risk due to severe depletion of blood platelets. Therefore, early diagnosis of dengue disease can help in protecting human lives by making a preventive move before it turns into an infectious disease. In this work, an effort is made to develop a PSO-ANN based diagnostic model for earlier diagnosis of dengue fever. In the proposed model, PSO technique is applied to optimize the weight and bias parameters of ANN method. Further, PSO optimized ANN approach is used to detect dengue patients. The effectiveness of the proposed model is evaluated based on accuracy, sensitivity, specificity, error rate and AUC parameters. The results of the proposed model have been compared with other existing approaches like ANN, DT, NB, and PSO. It is observed that the proposed diagnostic model is a proficient and powerful model for more accurate and earlier detection of dengue fever. © 2017 European Society for Translational Medicine</t>
  </si>
  <si>
    <t xml:space="preserve">New Horizons in Translational Medicine</t>
  </si>
  <si>
    <t xml:space="preserve">10.1016/j.nhtm.2017.10.001</t>
  </si>
  <si>
    <t xml:space="preserve">https://www.scopus.com/inward/record.uri?eid=2-s2.0-85032356902&amp;doi=10.1016%2fj.nhtm.2017.10.001&amp;partnerID=40&amp;md5=751343cc9d3592346f2cdc39d703c393</t>
  </si>
  <si>
    <t xml:space="preserve">Department of Computer Science and Engineering, SRM University, Haryana, India; Department of Computer Science and Engineering, JUIT, Himachal Pardesh, India</t>
  </si>
  <si>
    <t xml:space="preserve">Gambhir S., Department of Computer Science and Engineering, SRM University, Haryana, India; Malik S.K., Department of Computer Science and Engineering, SRM University, Haryana, India; Kumar Y., Department of Computer Science and Engineering, JUIT, Himachal Pardesh, India</t>
  </si>
  <si>
    <t xml:space="preserve">CART; Classification; Decision tree; Naive Bayes; Neural network; PSO</t>
  </si>
  <si>
    <t xml:space="preserve">accuracy; area under the curve; Article; artificial neural network; coronary artery disease; decision making; dengue; diagnostic test accuracy study; female; male; nonhuman; priority journal; sensitivity and specificity; social learning</t>
  </si>
  <si>
    <t xml:space="preserve">Bhatt S., Gething P.W., Brady O.J., Messina J.P., Farlow A.W., Moyes C.L., Et al., The global distribution and burden of dengue, Nature, 496, pp. 504-507, (2016); Brady O.J., Gething P.W., Bhatt S., Messina J.P., Brownstein J.S., Hoen A.G., Et al., Refining the global spatial limits of dengue virus transmission by evidence-based consensus, PLoS Negl. Trop. Dis., 6, (2012); Gubler D.J., Dengue and dengue hemorrhagic fever, Clin. Microbiol. Rev., 11, 3, pp. 480-496, (1998); Gupta E., Dar L., Kapoor G., Broor S., The changing epidemiology of dengue in Delhi, India, Virol. J., 3, (2006); Hati A.K., Studies on dengue and dengue hemorrhagic fever (DHF) in West Bengal state, India, J. Commun. Dis., 38, 2, pp. 124-129, (2006); Sengur A., An expert system based on linear discriminant analysis and adaptive neuro-fuzzy inference system to diagnosis heart valve diseases, Exp. Syst. Appl., 35, 1-2, pp. 214-222, (2008); Sengur A., An expert system based on principal component analysis, artificial immune system and fuzzy k-NN for diagnosis of valvular heart diseases, Comput. Biol. Med., 38, 3, pp. 329-338, (2008); Hsu C.-C., Ho C.-S., A new hybrid case-based architecture for medical diagnosis, Inform. Sci., 166, pp. 231-247, (2004); Das R., Turkoglu I., Sengur A., Effective diagnosis of heart disease through neural networks ensembles, Exp. Syst. Appl., 36, pp. 7675-7680, (2009); Yan H., Jiang Y., Zheng J., ChenglinPeng and Li Q., A multilayer perceptron-based medical decision support system for heart disease diagnosis, Exp. Syst. Appl., 30, pp. 272-281, (2006); OrhanEr, Yumusak N., Temurtas F., Diagnosis of chest diseases using artificial immune system, Exp. Syst. Appl., 39, 2, pp. 1862-1868, (2012); Karabatak M., CevdetInce M., An expert system for detection of breast cancer based on association rules and neural network, Exp. Syst. Appl., 36, pp. 3465-3469, (2009); OrhanEr, Temurtas F., CetinTanrikulu A., Tuberculosis disease diagnosis using artificial neural networks, J. Med. Syst., 34, pp. 299-302, (2010); Giri D., Acharya U.R., Martis R.J., Sree S.V., Lim T.C., Ahamed T., Suri J.S., Automated diagnosis of coronary artery disease affected patients using LDA, PCA, ICA and discrete wavelet transform, Knowl.-Based Syst., 37, pp. 274-282, (2013); Babaoglu I., Findik O., Ulker E., A comparison of feature selection models utilizing binary particle swarm optimization and genetic algorithm in determining coronary artery disease using support vector machine, Exp. Syst. Appl., 37, 4, pp. 3177-3183, (2010); Patil B.M., Joshi R.C., Toshniwal D., Hybrid prediction model for type-2 diabetic patients, Exp. Syst. Appl., 37, 12, pp. 8102-8108, (2010); Calisir D., Dogantekin E., A new intelligent hepatitis diagnosis system: PCA–LSSVM, Exp. Syst. Appl., 38, 8, pp. 10705-10708, (2011); Zheng B., Yoon S.W., Lam S.S., Breast cancer diagnosis based on feature extraction using a hybrid of K-means and support vector machine algorithms, Exp. Syst. Appl., 41, 4, pp. 1476-1482, (2014); Ucar T., Karahoca A., Karahoca D., Tuberculosis disease diagnosis by using adaptive neuro fuzzy inference system and rough sets, Neural Comput. Appl., 23, 2, pp. 471-483, (2013); Uguz H., Adaptive neuro-fuzzy inference system for diagnosis of the heart valve diseases using wavelet transform with entropy, Neural Comput. Appl., 21, 7, pp. 1617-1628, (2012); Muthukaruppan S., Er M.J., A hybrid particle swarm optimization based fuzzy expert system for the diagnosis of coronary artery disease, Exp. Syst. Appl., 39, 14, pp. 11657-11665, (2012); Seera M., Lim C.P., A hybrid intelligent system for medical data classification, Exp. Syst. Appl., 41, 5, pp. 2239-2249, (2014); Ubeyli E.D., Implementing automated diagnostic systems for breast cancer detection, Exp. Syst. Appl., 33, 4, pp. 1054-1062, (2007); Kumar Y., Sahoo G., Prediction of different types of liver diseases using rule based classification model, Technol. Health Care, 21, 5, pp. 417-432, (2013); Sahoo, Anoop J., Kumar Y., Seminal quality prediction using data mining methods, Technol. Health Care, 22, 4, pp. 531-545, (2014); Yadav G., Kumar Y., Sahoo G.; Amato F., Lopez A., Pena-Mendez E.M., Vanhara P., Hampl A., Havel J., Artificial neural networks in medical diagnosis, J. Appl. Biomed., 11, pp. 47-58, (2013); Nahar J., Imam T., Tickle K.S., Chen Y.P.P., Computational intelligence for heart disease diagnosis: a medical knowledge driven approach, Exp. Syst. Appl., 40, 1, pp. 96-104, (2013); Ripley B.D., Pattern Recognition and Neural Networks, (1996); Haykin S., Neural Networks: A Comprehensive Foundation, Englewoods Cliffs, (1998); Bishop C.M., Neural Networks for Pattern Recognition, (2005); Rumelhart D.E., Hinton G.E., Williams R.J., Learning representations by back-propagating errors, Nature, 323, pp. 533-536, (1985); Kennedy J., Particle Swarm Optimization, Encyclopedia of Machine Learning, pp. 760-766, (2011); Schaffer C., Selecting a classification method by cross-validation”, Mach. Learn., 13, pp. 135-143, (1993); Kohavi R., A study of cross-validation and bootstrap for accuracy estimation and model selection,, pp. 1137-1145, (1995)</t>
  </si>
  <si>
    <t xml:space="preserve">Y. Kumar; Department of Computer Science and Engineering, JUIT, India; email: yugalkumar.14@gmail.com</t>
  </si>
  <si>
    <t xml:space="preserve">New Horizons Transl. Med.</t>
  </si>
  <si>
    <t xml:space="preserve">2-s2.0-85032356902</t>
  </si>
  <si>
    <t xml:space="preserve">Gomes M.D.S.M.; Vieira J.L.F.; Couto Á.A.R.D.; Couto V.S.C.D.; Vieira M.V.D.F.; Pereira F.C.D.S.; Machado R.L.D.</t>
  </si>
  <si>
    <t xml:space="preserve">Gomes, Margarete do Socorro Mendonça (59435846100); Vieira, José Luiz Fernandes (7202313230); Couto, Álvaro Augusto Ribeiro D'Almeida (57220441659); Couto, Vanja Suely Calvosa D'Almeida (23501478600); Vieira, Michelle Valéria Dias Ferreira (57193122860); Pereira, Francis Christian da Silva (57193121393); Machado, Ricado Luiz Dantas (7101977940)</t>
  </si>
  <si>
    <t xml:space="preserve">59435846100; 7202313230; 57220441659; 23501478600; 57193122860; 57193121393; 7101977940</t>
  </si>
  <si>
    <t xml:space="preserve">Recurrence of Plasmodium falciparum after treatment with quinine and doxycycline in the Amazon basin</t>
  </si>
  <si>
    <t xml:space="preserve">Objective: To investigate whether the recurrence of infection by Plasmodium falciparum in patients from the Brazilian Amazon was caused by an inadequate exposure to quinine. Methods: A retrospective study was carried out using blood samples from patients with slide-confirmed infection by P. falciparum, classified according to the parasitological response after 28 days of follow-up. Quinine and doxycycline were measured in plasma samples by high-performance liquid chromatography. A statistical model was used to estimate parasite clearance rates. Results: Six of 40 patients who met the criteria for inclusion in the study showed recurrence of parasitaemia within 28 days after the commencement of treatment. A group of six patients with adequate parasitological response was formed to avoid bias when the variables were compared. Parasitaemia at admission was similar in both groups. Plasma quinine concentrations were similar in both groups on days 1, 2 and 3 and ranged from 1.07 to 4.35 μg/ml in cured patients and from 1.1 to 3.2 μg/ml in patients with parasite recurrence. Concentrations of doxycycline were similar in both groups on day 3. The parasite clearance rate constant was 0.131 ± 0.16 h in the cured patients and 0.117 ± 0.02 h in those showing recurrence. The slope half-life in the cured patients was 4.8 h and 5.4 h in recurrence cases. The hillslope of the cured group (14.24) increased sharply compared to the recurrence group (4.13). Conclusion: There is evidence of a decreased in vivo sensitivity to quinine of P. falciparum strains in the Brazilian Amazon basin. © 2016 John Wiley &amp; Sons Ltd</t>
  </si>
  <si>
    <t xml:space="preserve">10.1111/tmi.12813</t>
  </si>
  <si>
    <t xml:space="preserve">https://www.scopus.com/inward/record.uri?eid=2-s2.0-85010928059&amp;doi=10.1111%2ftmi.12813&amp;partnerID=40&amp;md5=d3eef0b2c1ef897ebda7241cf6a19391</t>
  </si>
  <si>
    <t xml:space="preserve">Central Laboratory of Public Health of Amapá, Macapá, Amapá, Brazil; Pará Federal University, Belém, Pará, Brazil; Amapá State Health Department, Macapá, Amapá, Brazil; Evandro Chagas Institute, Belém, Pará, Brazil</t>
  </si>
  <si>
    <t xml:space="preserve">Gomes M.D.S.M., Central Laboratory of Public Health of Amapá, Macapá, Amapá, Brazil; Vieira J.L.F., Pará Federal University, Belém, Pará, Brazil; Couto Á.A.R.D., Pará Federal University, Belém, Pará, Brazil; Couto V.S.C.D., Amapá State Health Department, Macapá, Amapá, Brazil; Vieira M.V.D.F., Pará Federal University, Belém, Pará, Brazil; Pereira F.C.D.S., Pará Federal University, Belém, Pará, Brazil; Machado R.L.D., Evandro Chagas Institute, Belém, Pará, Brazil</t>
  </si>
  <si>
    <t xml:space="preserve">antimalarial drugs; malaria; resistance; tropical disease</t>
  </si>
  <si>
    <t xml:space="preserve">Adult; Animals; Antimalarials; Brazil; Doxycycline; Drug Resistance; Drug Therapy, Combination; Female; Humans; Malaria, Falciparum; Male; Plasmodium falciparum; Quinine; Recurrence; Retrospective Studies; Young Adult; Amazon Basin; Brazil; Plasmodium falciparum; doxycycline; mefloquine; primaquine; quinine sulfate; antimalarial agent; doxycycline; quinine; antimalarial agent; blood; clearance rate; concentration (composition); disease incidence; disease treatment; drug resistance; health monitoring; hemoparasite; malaria; protozoan; quinine; tropical environment; adult; Article; blood sampling; Brazil; clinical article; controlled study; drug blood level; drug half life; drug treatment failure; female; follow up; high performance liquid chromatography; human; limit of detection; malaria falciparum; male; microscopy; parasite clearance; parasitemia; Plasmodium falciparum; rate constant; recurrent disease; retrospective study; statistical model; treatment response; animal; Brazil; combination drug therapy; drug effects; drug resistance; epidemiology; Malaria, Falciparum; microbiology; Plasmodium falciparum; recurrent disease; young adult</t>
  </si>
  <si>
    <t xml:space="preserve">doxycycline, 10592-13-9, 17086-28-1, 564-25-0, 94088-85-4; mefloquine, 51773-92-3, 53230-10-7; primaquine, 90-34-6; quinine sulfate, 804-63-7; quinine, 130-89-2, 130-95-0, 14358-44-2, 549-48-4, 549-49-5, 60-93-5, 7549-43-1; Antimalarials, ; Doxycycline, ; Quinine, </t>
  </si>
  <si>
    <t xml:space="preserve">White N.J., The treatment of malaria, N Engl J Med, 335, pp. 800-806, (1996); Pukrittayakamee S., Wanwimolruk S., Stepniewska K., Et al., Quinine pharmacokinetic-pharmacodynamic relationships in uncomplicated falciparum malaria, Antimicrob Agents Chemother, 47, pp. 3458-3463, (2003); Achan J., Talisuna A.O., Erhart A., Et al., Quinine, an old anti-malarial drug in a modern world: role in the treatment of malaria, Malar J, 10, (2011); Gama B.E., Lacerda M.V.G., Daniel-Ribeiro C.T., Ferreira-da-Cruz M.F., Chemoresistance of Plasmodium falciparum and Plasmodium vivax parasites in Brazil: consequences on disease morbidity and control, Mem Inst Oswaldo Cruz, 106, pp. 159-166, (2011); Pukrittayakamee S., Supanaranond W., Looareesuwan S., Vanijanonra S., White N.J., Quinine in severe falciparum malaria: evidence of declining efficacy in Thailand, Trans R Soc Trop Med Hyg, 88, pp. 324-327, (1994); Peters W., Antimalarial drug resistance: an increasing problem, Br Med Bull, 38, pp. 187-192, (1982); Manual de Terapêutica da Malária, (2010); Guidelines for the Treatment of Malaria, (2015); White N.J., Antimalarial pharmacokinetics and treatment regimens, Br J Clin Pharmacol, 34, pp. 1-10, (1992); Methods and Techniques for Assessing Exposure to Antimalarial Drugs in Clinical Field Studies, (2011); Heuchert A., Abduselam N., Zeynudin A., Et al., Molecular markers of anti-malarial drug resistance in southwest Ethiopia over time: regional surveillance from 2006 to 2013, Malar J, 14, (2015); Zalis M.G., Pang L., Silveira M.S., Milhous W.K., Wirth D.F., Characterization of Plasmodium falciparum isolated from the Amazon region of Brazil: evidence for quinine resistance, Am J Trop Med Hyg, 58, pp. 630-637, (1998); Calvosa V.S.P., Lima E., Couto A.A., Protocolo multicêntrico: avaliação da resposta terapêutica do Plasmodium falciparum para dois esquemas antimaláricos: sulfato de quinino (3 dias) + Doxiciclina (5 dias) e mefloquina (dose única) no município de Macapá-AP, de setembro a novembro de 2001, Rev Soc Bras Med Trop, 35, (2002); Boulos M., Dutra A.P., Di S.S.M., Shiroma M., Amato Neto V., The clinical evaluation of quinine for the treatment of Plasmodium falciparum malaria, Rev Soc Bras Med Trop, 30, pp. 211-213, (1997); Dua V.K., Sarin R., Prakash A., Determination of quinine in serum, plasma, red blood cells and whole blood in healthy and Plasmodium falciparum malaria cases by high-performance liquid chromatography, J Chromatogr B Biomed Sci Appl, 614, pp. 87-93, (1993); Ruz N., Zabala M., Kramer M.G., Campanero M.A., Dios-Vieitez M.C., Blanco-Pietro M.J., Rapid and simple determination of doxycycline in serum by high-performance liquid chromatography application to particulate drug delivery systems, J Chromatogr A, 1031, pp. 295-301, (2004); Expert Committee on Malaria, 20th Report, (2000); Flegg J.A., Philippe J., Guerin P.J., White N.J., Stepniewska K., Standardizing the measurement of parasite clearance in falciparum malaria: the parasite clearance estimator, Malar J, 10, (2011); Dondorp A.M., Nosten F., Yi P., Et al., Artemisinin resistance in Plasmodium falciparum malaria, N Engl J Med, 361, pp. 455-467, (2009); GLOBAL Plan for Artemisinin Resistance Containment (GPARC), (2011); Yeka A., Achan J., D'Alessandro U., Talisuna A.O., Quinine monotherapy for treating uncomplicated malaria in the era of artemisinin-based combination therapy: an appropriate public health policy?, Lancet Infect Dis, 9, pp. 448-452, (2009); Vieira J.L.F., Borges L.M.G., Nascimento M.T.S., Gomes A.L.S., Quinine levels in patients with uncomplicated falciparum malaria in the Amazon region of Brazil, Braz J Infect Dis, 12, pp. 353-354, (2008); Pukrittayakamee S., Chantra A., Vanijanonta S., Clemens R., Looareesuwan S., White N.J., Therapeutic responses to quinine and clindamycin in multidrug-resistant falciparum malaria, Antimicrob Agents Chemother, 44, pp. 2395-2398, (2000); Rolain J.M., Boulos A., Mallet M.N., Raoult D., Correlation between ratio of serum doxycycline concentration to MIC and rapid decline of antibody levels during treatment of Q fever endocarditis, Antimicrob Agents Chemother, 49, pp. 2673-2676, (2005); Bjorkman A., Willcox M., Marbiah N., Payne D., Susceptibility of Plasmodium falciparum to different doses of quinine in vivo and to quinine and quinidine in vitro in relation to chloroquine in Liberia, Bull World Health Organ, 69, pp. 459-465, (1991); Katsuragawa T.H., Gil L.H.S., Tada M.S., Et al., The dynamics of transmission and spatial distribution of malaria in riverside areas of Porto Velho, Rondônia, in the Amazon region of Brazil, PLoS ONE, 5, (2010); Tinto H., Rwagacondo C., Karema C., Et al., In-vitro susceptibility of Plasmodium falciparum to monodesethylamodiaquine, dihydroartemisinin and quinine in an area of high chloroquine resistance in Rwanda, Trans R Soc Trop Med Hyg, 100, pp. 509-514, (2006); Pukrittayakamee S., Prakongpan S., Wanwimolruk S., Clemens R., Looareesuwan S., White N.J., Adverse effect of Rifampin on quinine efficacy in uncomplicated falciparum Malaria, Antimicrob Agents Chemother, 47, pp. 1509-1513, (2003); Segurado A.A.C., Di S.S.M., Shiroma M., In vivo and in vitro Plasmodium falciparum resistance to chloroquine, amodiaquine and quinine in the Brazilian Amazon, Rev Inst Med Trop Sao Paulo, 39, pp. 85-89, (1997); Snounou G., Beck H.P., The use of PCR genotyping in the assessment of recrudescence or reinfection after antimalarial drug treatment, Parasitol Today, 14, pp. 462-467, (1998)</t>
  </si>
  <si>
    <t xml:space="preserve">J.L.F. Vieira; Pará Federal University, Belém, Brazil; email: jvieira@ufpa.br</t>
  </si>
  <si>
    <t xml:space="preserve">2-s2.0-85010928059</t>
  </si>
  <si>
    <t xml:space="preserve">Khoshmanesh A.; Christensen D.; Perez-Guaita D.; Iturbe-Ormaetxe I.; O'Neill S.L.; McNaughton D.; Wood B.R.</t>
  </si>
  <si>
    <t xml:space="preserve">Khoshmanesh, Aazam (6602912133); Christensen, Dale (57194564533); Perez-Guaita, David (57200010619); Iturbe-Ormaetxe, Inaki (6603602071); O'Neill, Scott L. (7102723185); McNaughton, Don (7006370547); Wood, Bayden R. (7401873319)</t>
  </si>
  <si>
    <t xml:space="preserve">6602912133; 57194564533; 57200010619; 6603602071; 7102723185; 7006370547; 7401873319</t>
  </si>
  <si>
    <t xml:space="preserve">Screening of Wolbachia Endosymbiont Infection in Aedes aegypti Mosquitoes Using Attenuated Total Reflection Mid-Infrared Spectroscopy</t>
  </si>
  <si>
    <t xml:space="preserve">Dengue fever is the most common mosquito transmitted viral infection afflicting humans, estimated to generate around 390 million infections each year in over 100 countries. The introduction of the endosymbiotic bacterium Wolbachia into Aedes aegypti mosquitoes has the potential to greatly reduce the public health burden of the disease. This approach requires extensive polymerase chain reaction (PCR) testing of the Wolbachia-infection status of mosquitoes in areas where Wolbachia-A. aegypti are released. Here, we report the first example of small organism mid-infrared spectroscopy where we have applied attenuated total reflection Fourier transform infrared (ATR-FT-IR) spectroscopy and multivariate modeling methods to determine sex, age, and the presence of Wolbachia (wMel strain) in laboratory mosquitoes and sex and age in field mosquitoes. The prediction errors using partial least squares discriminant analysis (PLS-DA) discrimination models for laboratory studies on independent test sets ranged from 0 to 3% for age and sex grading and 3% to 5% for Wolbachia infection diagnosis using dry mosquito abdomens while field study results using an artificial neural network yielded a 10% error. The application of FT-IR analysis is inexpensive, easy to use, and portable and shows significant potential to replace the reliance on more expensive and laborious PCR assays. © 2017 American Chemical Society.</t>
  </si>
  <si>
    <t xml:space="preserve">Analytical Chemistry</t>
  </si>
  <si>
    <t xml:space="preserve">10.1021/acs.analchem.6b04827</t>
  </si>
  <si>
    <t xml:space="preserve">https://www.scopus.com/inward/record.uri?eid=2-s2.0-85020873910&amp;doi=10.1021%2facs.analchem.6b04827&amp;partnerID=40&amp;md5=6a0209d086d24c9007448d9327356f9e</t>
  </si>
  <si>
    <t xml:space="preserve">Centre for Biospectroscopy, School of Chemistry, Monash University, Clayton, 3800, VIC, Australia; Institute of Vector-Borne Disease, Monash University, Clayton, 3800, VIC, Australia</t>
  </si>
  <si>
    <t xml:space="preserve">Khoshmanesh A., Centre for Biospectroscopy, School of Chemistry, Monash University, Clayton, 3800, VIC, Australia; Christensen D., Centre for Biospectroscopy, School of Chemistry, Monash University, Clayton, 3800, VIC, Australia; Perez-Guaita D., Centre for Biospectroscopy, School of Chemistry, Monash University, Clayton, 3800, VIC, Australia; Iturbe-Ormaetxe I., Institute of Vector-Borne Disease, Monash University, Clayton, 3800, VIC, Australia; O'Neill S.L., Institute of Vector-Borne Disease, Monash University, Clayton, 3800, VIC, Australia; McNaughton D., Centre for Biospectroscopy, School of Chemistry, Monash University, Clayton, 3800, VIC, Australia; Wood B.R., Centre for Biospectroscopy, School of Chemistry, Monash University, Clayton, 3800, VIC, Australia</t>
  </si>
  <si>
    <t xml:space="preserve">Aedes; Aging; Animals; Discriminant Analysis; Female; Least-Squares Analysis; Male; Sex Factors; Spectroscopy, Fourier Transform Infrared; Symbiosis; Wolbachia; Bacteria; Diagnosis; Discriminant analysis; Electromagnetic wave reflection; Grading; Infrared devices; Infrared spectroscopy; Least squares approximations; Neural networks; Spectrum analysis; Attenuated total reflection fourier transform infrared; Attenuated total reflection mid infrared; Discrimination model; Endosymbiotic bacterium; Laboratory studies; Mid-infrared spectroscopy; Multivariate modeling; Partial least squares discriminant analyses (PLSDA); Aedes; aging; animal; chemistry; discriminant analysis; female; infrared spectroscopy; least square analysis; male; microbiology; pathogenicity; physiology; procedures; sex factor; symbiosis; Wolbachia; Polymerase chain reaction</t>
  </si>
  <si>
    <t xml:space="preserve">Eliminate Dengue diagnostics team at Monash; Eliminate Dengue insectary team at Monash; Australian Research Council, ARC, (FT120100926)</t>
  </si>
  <si>
    <t xml:space="preserve">B.R.W. is supported by an Australian Research Council (ARC) Future Fellowship grant FT120100926. We acknowledge Mr. Finlay Shanks for instrumental support, the Eliminate Dengue team in Cairns for providing field mosquito samples, the Eliminate Dengue insectary team at Monash for providing colony samples, and the Eliminate Dengue diagnostics team at Monash for validating the Wolbachia-infection status of the mosquitoes by PCR.</t>
  </si>
  <si>
    <t xml:space="preserve">Deen J., Lum L., Martinez E., Tan L.H., Dengue: Guidelines for Diagnosis, Treatment, Prevention and Control, pp. 23-55, (2009); Rodenhuis-Zybert I.A., Wilschut J., Smit J.M., Cell. Mol. Life Sci., 67, pp. 2773-2786, (2010); Mustafa M., Rasotgi V., Jain S., Gupta V., Med. J. Armed Forces India, 71, pp. 67-70, (2015); Screaton G., Mongkolsapaya J., Yacoub S., Roberts C., Nat. Rev. Immunol., 15, pp. 745-759, (2015); Bhatt S., Gething P.W., Brady O.J., Messina J.P., Farlow A.W., Moyes C.L., Drake J.M., Brownstein J.S., Hoen A.G., Sankoh O., Et al., Nature, 496, pp. 504-507, (2013); Axford J.K., Ross P.A., Yeap H.L., Callahan A.G., Hoffmann A.A., Am. J. Trop. Med. Hyg., 94, pp. 507-516, (2016); Joubert D.A., Walker T., Carrington L.B., De Bruyne J.T., Kien D.H.T., Hoang N.L.T., Chau N.V.V., Iturbe-Ormaetxe I., Simmons C.P., O'Neill S.L., PLoS Pathog., 12, (2016); Hancock P.A., White V.L., Callahan A.G., Godfray C.H., Hoffmann A.A., Ritchie S.A., J. Appl. Ecol., 53, pp. 785-793, (2016); Aliota M.T., Caine E.A., Walker E.C., Larkin K.E., Camacho E., Osorio J.E., PLoS Neglected Trop. Dis., 10, (2016); Dutra H.L.C., Rocha M.N., Dias F.B.S., Mansur S.B., Caragata E.P., Moreira L.A., Cell Host Microbe, 19, pp. 771-774, (2016); Moreira L.A., Iturbe-Ormaetxe I., Jeffery J.A., Lu G., Pyke A.T., Hedges L.M., Rocha B.C., Hall-Mendelin S., Day A., Riegler M., Et al., Cell, 139, pp. 1268-1278, (2009); Hoffmann A., Montgomery B., Popovici J., Iturbe-Ormaetxe I., Johnson P., Muzzi F., Greenfield M., Durkan M., Leong Y.S., Dong Y., Et al., Nature, 476, pp. 454-457, (2011); Walker T., Johnson P., Moreira L., Iturbe-Ormaetxe I., Frentiu F., McMeniman C., Leong Y.S., Dong Y., Axford J., Kriesner P., Et al., Nature, 476, pp. 450-453, (2011); Lambrechts L., Ann. Transl. Med., 3, (2015); Lee S.F., White V.L., Weeks A.R., Hoffmann A.A., Endersby N.M., Appl. Environ. Microbiol., 78, pp. 4740-4743, (2012); Braig H.R., Zhou W., Dobson S.L., O'Neill S.L., J. Bacteriol., 180, pp. 2373-2378, (1998); Calvitti M., Marini F., Desiderio A., Puggioli A., Moretti R., PLoS One, 10, (2015); De Oliveira C., Goncalves D. D S., Baton L.A., Shimabukuro P.H.F., Carvalho F.D., Moreira L.A., Bull. Entomol. Res., 105, pp. 305-315, (2015); Aw W.C., Dowell F.E., Ballard J.W.O., G3: Genes, Genomes, Genet., 2, pp. 1057-1065, (2012); Sikulu M., Killeen G.F., Hugo L.E., Ryan P.A., Dowell K.M., Wirtz R.A., Moore S.J., Dowell F.E., Parasites Vectors, 3, (2010); Mayagaya V.S., Michel K., Benedict M.Q., Killeen G.F., Wirtz R.A., Ferguson H.M., Dowell F.E., Am. J. Trop. Med. Hyg., 81, pp. 622-630, (2009); Perez-Mendoza J., Dowell F.E., Broce A.B., Throne J.E., Wirtz R.A., Xie F., Fabrick J.A., Baker J.E., J. Med. Entomol., 39, pp. 499-508, (2002); Sikulu-Lord M.T., Maia M.F., Milali M.P., Henry M., Mkandawile G., Kho E.A., Wirtz R.A., Hugo L.E., Dowell F.E., Devine G.J., PLoS Neglected Trop. Dis., 10, (2016); Baranska M., Schutze W., Schulz H., Anal. Chem., 78, pp. 8456-8461, (2006); Wilks P., Spectroscopy, 21, pp. 32-34, (2006); Erukhimovitch V., Talyshinsky M., Souprun Y., Huleihel M., DNA Viruses: Methods and Protocols, pp. 161-172, (2005); Erukhimovitch V., Huleihil M., Huleihel M., J. Spectrosc., 2013, (2013); Lee-Montiel F.T., Reynolds K.A., Riley M.R., J. Biol. Eng., 5, (2011); Hoffmann A.A., Montgomery B.L., Popovici J., Iturbe-Ormaetxe I., Johnson P.H., Muzzi P., Greenfield M., Durkan M., Leong Y.S., Dong Y., Cook H., Axford J., Callahan A.G., Kenny N., Omodei C., McGraw E.A., Ryan P.A., Ritchie S.A., Turelli M., O'Neill S.L., Nature, 476, pp. 454-457, (2011); Lee S.F., White V.L., Weeks A.R., Hoffmann A.A., Endersby N.M., Applied and Environmental Microbiology, 78, pp. 4740-4743, (2012); Brereton R.G., Lloyd G.R., J. Chemom., 28, pp. 213-225, (2014); Metz C.E., Semin. Nucl. Med., 8, pp. 283-298, (1978); Fawcett T., Pattern Recogn. Lett., 27, pp. 861-874, (2006); Derenne A., Claessens T., Conus C., Goormaghtigh E., Encyclopedia of Biophysics, pp. 1074-1081, (2013); Molloy J.C., Sommer U., Viant M.R., Sinkins S.P., Appl. Environ. Microbiol., 82, pp. 3109-3120, (2016); Caragata E.P., Rances E., Hedges L.M., Gofton A.W., Johnson K.N., O'Neill S.L., McGraw E.A., PLoS Pathog., 9, (2013)</t>
  </si>
  <si>
    <t xml:space="preserve">B.R. Wood; Centre for Biospectroscopy, School of Chemistry, Monash University, Clayton, 3800, Australia; email: bayden.wood@monash.edu</t>
  </si>
  <si>
    <t xml:space="preserve">ANCHA</t>
  </si>
  <si>
    <t xml:space="preserve">Anal. Chem.</t>
  </si>
  <si>
    <t xml:space="preserve">2-s2.0-85020873910</t>
  </si>
  <si>
    <t xml:space="preserve">Verras A.; Waller C.L.; Gedeck P.; Green D.V.S.; Kogej T.; Raichurkar A.; Panda M.; Shelat A.A.; Clark J.; Guy R.K.; Papadatos G.; Burrows J.</t>
  </si>
  <si>
    <t xml:space="preserve">Verras, Andreas (16314532400); Waller, Chris L. (7006001728); Gedeck, Peter (6603457731); Green, Darren V. S. (56231216400); Kogej, Thierry (57190279430); Raichurkar, Anandkumar (15820018500); Panda, Manoranjan (7006740542); Shelat, Anang A. (6603214807); Clark, Julie (36183295300); Guy, R. Kiplin (35452242400); Papadatos, George (7801435004); Burrows, Jeremy (57222096910)</t>
  </si>
  <si>
    <t xml:space="preserve">16314532400; 7006001728; 6603457731; 56231216400; 57190279430; 15820018500; 7006740542; 6603214807; 36183295300; 35452242400; 7801435004; 57222096910</t>
  </si>
  <si>
    <t xml:space="preserve">Shared Consensus Machine Learning Models for Predicting Blood Stage Malaria Inhibition</t>
  </si>
  <si>
    <t xml:space="preserve">The development of new antimalarial therapies is essential, and lowering the barrier of entry for the screening and discovery of new lead compound classes can spur drug development at organizations that may not have large compound screening libraries or resources to conduct high-throughput screens. Machine learning models have been long established to be more robust and have a larger domain of applicability with larger training sets. Screens over multiple data sets to find compounds with potential malaria blood stage inhibitory activity have been used to generate multiple Bayesian models. Here we describe a method by which Bayesian quantitative structure-activity relationship models, which contain information on thousands to millions of proprietary compounds, can be shared between collaborators at both for-profit and not-for-profit institutions. This model-sharing paradigm allows for the development of consensus models that have increased predictive power over any single model and yet does not reveal the identity of any compounds in the training sets. © 2017 American Chemical Society.</t>
  </si>
  <si>
    <t xml:space="preserve">10.1021/acs.jcim.6b00572</t>
  </si>
  <si>
    <t xml:space="preserve">https://www.scopus.com/inward/record.uri?eid=2-s2.0-85025075857&amp;doi=10.1021%2facs.jcim.6b00572&amp;partnerID=40&amp;md5=93c566ff2bb99bad4d41b7b81371a415</t>
  </si>
  <si>
    <t xml:space="preserve">Merck and Co. Inc., Kenilworth, 07033, NJ, United States; Merck and Co. Inc., Boston, 02210, MA, United States; Novartis Institute for Tropical Diseases Pte. Ltd., Singapore, 138670, Singapore; GlaxoSmithKline, Stevenage, SG1 2NY, United Kingdom; AstraZeneca, Gothenburg, 431 83, Sweden; AstraZeneca India Pvt. Ltd., Bangalore, 560045, India; Chemical Biology and Therapeutics Department, St. Jude Children's Research Hospital, Memphis, 38105, TN, United States; European Molecular Biology Laboratory, European Bioinformatics Institute, Wellcome Trust Genome Campus, Hinxton, Cambridgeshire, CB10 1SD, United Kingdom; Medicines for Malaria Ventures Discovery, Geneva, 1215, Switzerland</t>
  </si>
  <si>
    <t xml:space="preserve">Verras A., Merck and Co. Inc., Kenilworth, 07033, NJ, United States; Waller C.L., Merck and Co. Inc., Boston, 02210, MA, United States; Gedeck P., Novartis Institute for Tropical Diseases Pte. Ltd., Singapore, 138670, Singapore; Green D.V.S., GlaxoSmithKline, Stevenage, SG1 2NY, United Kingdom; Kogej T., AstraZeneca, Gothenburg, 431 83, Sweden; Raichurkar A., AstraZeneca India Pvt. Ltd., Bangalore, 560045, India; Panda M., AstraZeneca India Pvt. Ltd., Bangalore, 560045, India; Shelat A.A., Chemical Biology and Therapeutics Department, St. Jude Children's Research Hospital, Memphis, 38105, TN, United States; Clark J., Chemical Biology and Therapeutics Department, St. Jude Children's Research Hospital, Memphis, 38105, TN, United States; Guy R.K., Chemical Biology and Therapeutics Department, St. Jude Children's Research Hospital, Memphis, 38105, TN, United States; Papadatos G., European Molecular Biology Laboratory, European Bioinformatics Institute, Wellcome Trust Genome Campus, Hinxton, Cambridgeshire, CB10 1SD, United Kingdom; Burrows J., Medicines for Malaria Ventures Discovery, Geneva, 1215, Switzerland</t>
  </si>
  <si>
    <t xml:space="preserve">Antimalarials; Bayes Theorem; Drug Discovery; Machine Learning; Malaria; Models, Theoretical; Quantitative Structure-Activity Relationship; ROC Curve; Temperature; Bayesian networks; Diseases; Lead compounds; Machine learning; Profitability; antimalarial agent; Antimalarial therapy; Compound screenings; Consensus models; High-throughput screens; Inhibitory activity; Machine learning models; Multiple data sets; Quantitative structure activity relationship; Bayes theorem; blood; drug development; machine learning; malaria; quantitative structure activity relation; receiver operating characteristic; temperature; theoretical model; Blood</t>
  </si>
  <si>
    <t xml:space="preserve">World Health Organization World Malaria Report 2013, (2016); Gedeck P., Rohde B., Bartels C., QSAR - How Good Is It in Practice? Comparison of Descriptor Sets on an Unbiased Cross Section of Corporate Data Sets, J. Chem. Inf. Model., 46, pp. 1924-1936, (2006); Ekins S., Reynolds R.C., Franzblau S.G., Wan B., Freundlich J.S., Bunin B.A., Enhancing Hit Identification in Mycobacterium Tuberculosis Drug Discovery Using Validated Dual-Event Bayesian Models, PLoS One, 8, (2013); Lee J.H., Lee S., Choi S., In Silico Classification of Adenosine Receptor Antagonists Using Laplacian-Modified Naïve Bayesian, Support Vector Machine, and Recursive Partitioning, J. Mol. Graphics Modell., 28, pp. 883-890, (2010); Sun H., An Accurate and Interpretable Bayesian Classification Model for Prediction of HERG Liability, ChemMedChem, 1, pp. 315-322, (2006); BIOVIA Pipeline Pilot V. 8.5; Chen B., Sheridan R.P., Hornak V., Voigt J.H., Comparison of Random Forest and Pipeline Pilot Nalve Bayes in Prospective QSAR Predictions, J. Chem. Inf. Model., 52, pp. 792-803, (2012); Glick M., Klon A.E., Acklin P., Davies J.W., Enrichment of Extremely Noisy High-Throughput Screening Data Using a Nalve Bayes Classifier, J. Biomol. Screening, 9, pp. 32-36, (2004); Gamo F.-J., Sanz L.M., Vidal J., De Cozar C., Alvarez E., Lavandera J.-L., Vanderwall D.E., Green D.V.S., Kumar V., Hasan S., Brown J.R., Peishoff C.E., Cardon L.R., Garcia-Bustos J.F., Thousands of Chemical Starting Points for Antimalarial Lead Identification, Nature, 465, pp. 305-310, (2010); Guiguemde W.A., Shelat A.A., Bouck D., Duffy S., Crowther G.J., Davis P.H., Smithson D.C., Connelly M., Clark J., Zhu F., Jimenez-Diaz M.B., Martinez M.S., Wilson E.B., Tripathi A.K., Gut J., Sharlow E.R., Bathurst I., Mazouni F.E., Fowble J.W., Forquer I., McGinley P.L., Castro S., Angulo-Barturen I., Ferrer S., Rosenthal P.J., DeRisi J.L., Sullivan D.J., Lazo J.S., Roos D.S., Riscoe M.K., Phillips M.A., Rathod P.K., Van Voorhis W.C., Avery V.M., Guy R.K., Chemical Genetics of Plasmodium Falciparum, Nature, 465, pp. 311-315, (2010); Dossetter A.G., Griffen E.J., Leach A.G., Matched Molecular Pair Analysis in Drug Discovery, Drug Discovery Today, 18, pp. 724-731, (2013); Clark A.M., Dole K., Coulon-Spektor A., McNutt A., Grass G., Freundlich J.S., Reynolds R.C., Ekins S., Open Source Bayesian Models. 1. Application to ADME/Tox and Drug Discovery Datasets, J. Chem. Inf. Model., 55, pp. 1231-1245, (2015); Clark A.M., Ekins S., Open Source Bayesian Models. 2. Mining a "big Dataset" to Create and Validate Models with ChEMBL, J. Chem. Inf. Model., 55, pp. 1246-1260, (2015); Faulon J.-L., Brown W.M., Martin S., Reverse Engineering Chemical Structures from Molecular Descriptors: How Many Solutions?, J. Comput.-Aided Mol. Des., 19, pp. 637-650, (2005); ChEMBL-NTD, (2016); Bento A.P., Gaulton A., Hersey A., Bellis L.J., Chambers J., Davies M., Kruger F.A., Light Y., Mak L., McGlinchey S., Nowotka M., Papadatos G., Santos R., Overington J.P., The ChEMBL Bioactivity Database: An Update, Nucleic Acids Res., 42, pp. D1083-D1090, (2014); Martinez-Jimenez F., Papadatos G., Yang L., Wallace I.M., Kumar V., Pieper U., Sali A., Brown J.R., Overington J.P., Marti-Renom M.A., Target Prediction for an Open Access Set of Compounds Active against Mycobacterium Tuberculosis, PLoS Comput. Biol., 9, (2013); Riniker S., Fechner N., Landrum G.A., Heterogeneous Classifier Fusion for Ligand-Based Virtual Screening: Or, How Decision Making by Committee Can. Be a Good Thing, J. Chem. Inf. Model., 53, pp. 2829-2836, (2013); He L., Jurs P.C., Assessing the Reliability of a QSAR Model's Predictions, J. Mol. Graphics Modell., 23, pp. 503-523, (2005); Weaver S., Gleeson M.P., The Importance of the Domain of Applicability in QSAR Modeling, J. Mol. Graphics Modell., 26, pp. 1315-1326, (2008); Dragos H., Gilles M., Alexandre V., Predicting the Predictability: A Unified Approach to the Applicability Domain Problem of QSAR Models, J. Chem. Inf. Model., 49, pp. 1762-1776, (2009); Sheridan R.P., Feuston B.P., Maiorov V.N., Kearsley S.K., Similarity to Molecules in the Training Set Is a Good Discriminator for Prediction Accuracy in QSAR, J. Chem. Inf. Comput. Sci., 44, pp. 1912-1928, (2004); Hameed P.S., Chinnapattu M., Shanbag G., Manjrekar P., Koushik K., Raichurkar A., Patil V., Jatheendranath S., Rudrapatna S.S., Barde S.P., Rautela N., Awasthy D., Morayya S., Narayan C., Kavanagh S., Saralaya R., Bharath S., Viswanath P., Mukherjee K., Bandodkar B., Srivastava A., Panduga V., Reddy J., Prabhakar K.R., Sinha A., Jimenez-Diaz M.B., Martinez M.S., Angulo-Barturen I., Ferrer S., Sanz L.M., Gamo F.J., Duffy S., Avery V.M., Magistrado P.A., Lukens A.K., Wirth D.F., Waterson D., Balasubramanian V., Iyer P.S., Narayanan S., Hosagrahara V., Sambandamurthy V.K., Ramachandran S., Aminoazabenzimidazoles, a Novel Class of Orally Active Antimalarial Agents, J. Med. Chem., 57, pp. 5702-5713, (2014); Smilkstein M., Sriwilaijaroen N., Kelly J.X., Wilairat P., Riscoe M., Simple and Inexpensive Fluorescence-Based Technique for High-Throughput Antimalarial Drug Screening, Antimicrob. Agents Chemother., 48, pp. 1803-1806, (2004); Gagaring K., Borboa R., Francek C., Chen Z., Buenviaje J., Plouffe D., Winzeler E., Brinker A., Diagana T., Taylor J., Glynne R., Chatterjee A., Kuhen K., Novartis-GNF Malaria Box, (2016); Rogers D., Hahn M., Extended-Connectivity Fingerprints, J. Chem. Inf. Model., 50, pp. 742-754, (2010); Ghose A.K., Crippen G.M., Atomic Physicochemical Parameters for Three-Dimensional-Structure-Directed Quantitative Structure-Activity Relationships. 2. Modeling Dispersive and Hydrophobic Interactions, J. Chem. Inf. Model., 27, pp. 21-35, (1987); Truchon J.F., Bayly C.I., Evaluating Virtual Screening Methods: Good and Bad Metrics for the "early Recognition" Problem, J. Chem. Inf. Model., 47, pp. 488-508, (2007); Nicholls A., What Do We Know and When Do We Know It?, J. Comput.-Aided Mol. Des., 22, pp. 239-255, (2008)</t>
  </si>
  <si>
    <t xml:space="preserve">A. Verras; Merck and Co. Inc., Kenilworth, 07033, United States; email: andreas.verras@merck.com</t>
  </si>
  <si>
    <t xml:space="preserve">2-s2.0-85025075857</t>
  </si>
  <si>
    <t xml:space="preserve">Maia-Elkhoury A.N.S.; O. B. Valadas S.Y.; Puppim-Buzanovsky L.; Rocha F.; Sanchez-Vazquez M.J.</t>
  </si>
  <si>
    <t xml:space="preserve">Maia-Elkhoury, Ana N. S. (15132065300); O. B. Valadas, Samantha Y. (57195950442); Puppim-Buzanovsky, Lia (57195950413); Rocha, Felipe (59266782900); Sanchez-Vazquez, Manuel J. (16319733900)</t>
  </si>
  <si>
    <t xml:space="preserve">15132065300; 57195950442; 57195950413; 59266782900; 16319733900</t>
  </si>
  <si>
    <t xml:space="preserve">SisLeish: A multi-country standardized information system to monitor the status of Leishmaniasis in the Americas</t>
  </si>
  <si>
    <t xml:space="preserve">Background: In the Americas, leishmaniasis is endemic in 18 countries, and from 2001 through 2015, 17 countries reported 843,931 cases of cutaneous and mucocutaneous leishmaniasis, and 12 countries reported 52,176 cases of visceral leishmaniasis. A Regional Information System (SisLeish) was created in order to provide knowledge of the distribution and tendency of this disease to analyze and monitor the leishmaniasis status. This article analyses the performance and progress of SisLeish from 2012–2015. Methodology: The performance of SisLeish was evaluated by country adhesion, data completeness and delay in entering the data, and also by the SWOT technique. Furthermore, we outlined the structure and modus operandi of the system and indicators utilized. Results: In 2012, only 18% of the countries entered the data in SisLeish before the deadline, where 66.7% and 50% of the countries with autochthonous CL/ML and VL reported their cases to the system, respectively. Whereas in 2015, 59% of the countries reached the deadline, where 94.4% and 58.3% of the countries reported their CL/ML and VL data, respectively. Regarding data completeness, there was great progress for different variables since its launch, such as gender, which had an approximately 100% improvement from 2012 to 2015. The SWOT analysis of SisLeish showed 12 strengths, 11 opportunities, seven weaknesses and six threats. Conclusions: From 2012–2015 there has been an improvement in the adhesion, quality and data completeness, showing the effort of the majority of the countries to enhance their national database. The SWOT analysis demonstrated that strengths and opportunities exceed weaknesses and threats; however, it highlighted the system frailties and challenges that need to be addressed. Furthermore, it has stimulated several National Programs to advance their surveillance system. Therefore, SisLeish has become an essential tool to prioritize areas, assist in decision-making processes, and to guide surveillance and control actions. © 2017 Maia-Elkhoury et al.</t>
  </si>
  <si>
    <t xml:space="preserve">e0005868</t>
  </si>
  <si>
    <t xml:space="preserve">10.1371/journal.pntd.0005868</t>
  </si>
  <si>
    <t xml:space="preserve">https://www.scopus.com/inward/record.uri?eid=2-s2.0-85030448488&amp;doi=10.1371%2fjournal.pntd.0005868&amp;partnerID=40&amp;md5=bb4edb253e089baea280b485550a742f</t>
  </si>
  <si>
    <t xml:space="preserve">Communicable Diseases and Health Analysis (CHA), VT, Pan American Health Organization (PAHO), Duque de Caxias, Rio de Janeiro, Brazil; Communicable Diseases and Health Analysis (CHA), Panaftosa, Pan American Health Organization (PAHO), Duque de Caxias, Rio de Janeiro, Brazil</t>
  </si>
  <si>
    <t xml:space="preserve">Maia-Elkhoury A.N.S., Communicable Diseases and Health Analysis (CHA), VT, Pan American Health Organization (PAHO), Duque de Caxias, Rio de Janeiro, Brazil; O. B. Valadas S.Y., Communicable Diseases and Health Analysis (CHA), VT, Pan American Health Organization (PAHO), Duque de Caxias, Rio de Janeiro, Brazil; Puppim-Buzanovsky L., Communicable Diseases and Health Analysis (CHA), Panaftosa, Pan American Health Organization (PAHO), Duque de Caxias, Rio de Janeiro, Brazil; Rocha F., Communicable Diseases and Health Analysis (CHA), Panaftosa, Pan American Health Organization (PAHO), Duque de Caxias, Rio de Janeiro, Brazil; Sanchez-Vazquez M.J., Communicable Diseases and Health Analysis (CHA), Panaftosa, Pan American Health Organization (PAHO), Duque de Caxias, Rio de Janeiro, Brazil</t>
  </si>
  <si>
    <t xml:space="preserve">Americas; Epidemiological Monitoring; Health Services Research; Humans; Information Systems; International Cooperation; Leishmaniasis; Article; awareness; disease control; disease surveillance; disease transmission; endemic disease; epidemiological data; gender; geographic information system; human; leishmaniasis; medical information system; skin leishmaniasis; visceral leishmaniasis; Western Hemisphere; epidemiological monitoring; health services research; information system; international cooperation; leishmaniasis; organization and management; standards</t>
  </si>
  <si>
    <t xml:space="preserve">Desjeux P., Leishmaniasis: current situation and new perspectives, Comp Immunol Microbiol Infect Dis, 27, 5, pp. 305-318, (2004); Yamey G., Torreele E., The world's most neglected diseases, British Medical Journal, 325, 7357, pp. 176-177, (2002); Mathers C.D., Ezzati M., Lopez A.D., Measuring the burden of neglected tropical diseases: the global burden of disease framework, PLoS Negl Trop Dis, 1, 2, (2007); Bern C., Maguire J.H., Alvar J., Complexities of assessing the disease burden attributable to leishmaniasis, 2, 10, (2008); The World Health Assembly Resolution (WHA60.13) on the “Control of Leishmaniasis”, Geneva, Switzerland, (2007); Alvar J., Velez I.D., Bern C., Herrero M., Desjeux P., Cano J., Et al., Leishmaniasis worldwide and global estimates of its incidence, PLoS One, 7, 5, (2012); Leishmaniasis: Epidemiological Report in the Americas, (2017); Indicadores de salud: Elementos básicos para el análisis de la situación de salud, Boletín Epidemiológico, 22, 4, (2001); Ciegis R., Ramanauskiene J., Startiene G., Theoretical Reasoning of the Use of Indicators and Indices for Sustainable Development Assessment, Inzinerine Ekonomika-Engineering Economics, 3, pp. 33-40, (2009); Shea T., De Cieri H., Donohue R., Cooper B., Sheehan C., Leading indicators of occupational health and safety: An employee and workplace level validation study, Safety Science, 85, pp. 293-304, (2016); Weaver J.B., Mays D., Weaver S.S., Hopkins G.L., Eroglu D., Bernhardt J.M., Health information-seeking behaviors, health indicators, and health risks, Am J Public Health, 100, 8, pp. 1520-1525, (2010); Hyder A.A., Prasanthi P., Morrow R.H., Measuring the health of populations: explanining composite indicators, Journal of Public Health Research, 1, 3, pp. 222-228, (2012); Maia-Elkhoury A.N., Yadon Z.E., Diaz M.I.S., Lucena F.F.A., Castellanos L.G., Sanchez-Vazquez M.J., Exploring Spatial and Temporal Distribution of Cutaneous Leishmaniasis in the Americas, 2001–2011, PLoS Negl Trop Dis, 10, 11, (2016); Harrison J.P., Essentials of strategic planning in healthcare, pp. 91-97, (2010); Yadon Z.E., Quigley M.A., Davies C.R., Rodrigues L.C., Segura E.L., Assessment of Leishmaniasis notification system in Santiago del Estero, Argentina, 1990–1993, Am J Trop Med Hyg, 65, 1, pp. 27-30, (2001); Maia-Elkhoury A.N., Carmo E.H., Sousa-Gomes M.L., Mota E., Analysis of visceral leishmaniasis reports by the capture-recapture method, Rev Saúde Pública, 41, pp. 931-937, (2007); Armstrong M.P., Xiao N., Bennett D.A., Using genetic algorithms to create multicriteria class intervals for choropleth maps, Annals, Association of American Geographers, 93, 3, pp. 595-623, (2003); Saib M.S., Caudeville J., Beauchamp M., Carre F., Ganry O., Trugeon A., Cicolella A., Building spatial composite indicators to analyze environmental health inequalities on a regional scale, Environ. Health, 14, (2015); Kawa H., Sabroza P.C., Oliveira R.M., Barcellos C., A produção do lugar de transmissão da leishmaniose tegumentar: o caso da localidade pau da fome na cidade do Rio de Janeiro, Brasil, Cad Saúde Publica, 26, pp. 1495-1507, (2010); Negrao G.N., Ferreira M.M.C., Considerações sobre a Dispersão da Leishmaniose Tegumentar Americana nas Américas revista Percurso—NEMO Maringá, 1, 1, pp. 85-103, (2009); Cardenas R., Sandoval C.M., Rodriguez-Morales A.J., Vivas P., Zoonoses and climate variability: the example of leishmaniasis in southern departments of Colombia, Ann NY Acad Sci, 1149, pp. 326-330, (2008); Werneck G.L., Costa C.H.N., Walker A.M., David J.R., Wand M., Maguire J.H., The urban spread of visceral leishmaniasis: clues from spatial analysis, Epidemiology, 13, 3, pp. 364-367, (2002); Thompson R.A., Wellington de Oliveira L.J., Maguire J.H., Braud D.H., Scholl D.T., Climatic and demographic determinants of American visceral leishmaniasis in northeastern Brazil using remote sensing technology for environmental categorization of rain and region influences on leishmaniasis, Am J Trop Med Hyg, 67, 6, pp. 648-655, (2002); Cardim M.F.M., Chiaravalloti L.A.C., Dibo M.R., Guirado M.M., Oliveira A.M., Chiaravalloti N.F., Introdução e expansão da Leishmaniose visceral americana em humanos no estado de São Paulo, 1999–2011, Rev. Saúde Pública, 47, 4, pp. 691-700, (2013); Woratanarat T., Woratanarat P., Assessment of prospective physician characteristics by SWOT analysis, Malaya J Med Sci, 19, 1, pp. 60-64, (2012); Attaway D.F., Jacobsen K.H., Falconer A., Manca G., Waters N.M., Assessing the methods needed for improved dengue mapping: a SWOT analysis, Pan African Medical Journal, 17, (2014)</t>
  </si>
  <si>
    <t xml:space="preserve">A.N.S. Maia-Elkhoury; Communicable Diseases and Health Analysis (CHA), VT, Pan American Health Organization (PAHO), Duque de Caxias, Rio de Janeiro, Brazil; email: aelkhoury@paho.org</t>
  </si>
  <si>
    <t xml:space="preserve">2-s2.0-85030448488</t>
  </si>
  <si>
    <t xml:space="preserve">Oliveira A.D.; Prats C.; Espasa M.; Serrat F.Z.; Sales C.M.; Silgado A.; Codina D.L.; Arruda M.E.; Gomezi Prat J.; Albuquerque J.</t>
  </si>
  <si>
    <t xml:space="preserve">Oliveira, Allisson Dantas (56017667000); Prats, Clara (56349456600); Espasa, Mateu (6602813297); Serrat, Francesc Zarzuela (23394188300); Sales, Cristina Montañola (57223949932); Silgado, Aroa (57210978940); Codina, D.L. (57113049700); Arruda, Mercia Eliane (12771863400); Gomezi Prat, Jordi (57223951350); Albuquerque, Jones (26767453300)</t>
  </si>
  <si>
    <t xml:space="preserve">56017667000; 56349456600; 6602813297; 23394188300; 57223949932; 57210978940; 57113049700; 12771863400; 57223951350; 26767453300</t>
  </si>
  <si>
    <t xml:space="preserve">The malaria system microapp: A new, mobile device-based tool for malaria diagnosis</t>
  </si>
  <si>
    <t xml:space="preserve">Background: Malaria is a public health problem that affects remote areas worldwide. Climate change has contributed to the problem by allowing for the survival of Anopheles in previously uninhabited areas. As such, several groups have made developing news systems for the automated diagnosis of malaria a priority. Objective: The objective of this study was to develop a new, automated, mobile device-based diagnostic system for malaria. The system uses Giemsa-stained peripheral blood samples combined with light microscopy to identify the Plasmodium falciparum species in the ring stage of development. Methods: The system uses image processing and artificial intelligence techniques as well as a known face detection algorithm to identify Plasmodium parasites. The algorithm is based on integral image and haar-like features concepts, and makes use of weak classifiers with adaptive boosting learning. The search scope of the learning algorithm is reduced in the preprocessing step by removing the background around blood cells. Results: As a proof of concept experiment, the tool was used on 555 malaria-positive and 777 malaria-negative previously-made slides. The accuracy of the system was, on average, 91%, meaning that for every 100 parasite-infected samples, 91 were identified correctly. Conclusions: Accessibility barriers of low-resource countries can be addressed with low-cost diagnostic tools. Our system, developed for mobile devices (mobile phones and tablets), addresses this by enabling access to health centers in remote communities, and importantly, not depending on extensive malaria expertise or expensive diagnostic detection equipment. © Allisson Dantas Oliveira, Clara Prats, Mateu Espasa, Francesc Zarzuela Serrat, Cristina Montañola Sales, Aroa Silgado, Daniel Lopez Codina, Mercia Eliane Arruda, Jordi Gomez i Prat, Jones Albuquerque. Originally published in JMIR Research Protocols (http://www.researchprotocols.org), 25.04.2017. This is an open-access article distributed under the terms of the Creative Commons Attribution License (http://creativecommons.org/licenses/by/2.0/), which permits unrestricted use, distribution, and reproduction in any medium, provided the original work, first published in JMIR Research Protocols, is properly cited. The complete bibliographic information, a link to the original publication on http://www.researchprotocols.org, as well as this copyright and license information must be included.</t>
  </si>
  <si>
    <t xml:space="preserve">JMIR Research Protocols</t>
  </si>
  <si>
    <t xml:space="preserve">e70</t>
  </si>
  <si>
    <t xml:space="preserve">10.2196/resprot.6758</t>
  </si>
  <si>
    <t xml:space="preserve">https://www.scopus.com/inward/record.uri?eid=2-s2.0-85041797419&amp;doi=10.2196%2fresprot.6758&amp;partnerID=40&amp;md5=dac93dbf63522c9bd0060e4bbfe49661</t>
  </si>
  <si>
    <t xml:space="preserve">Federal Rural University of Pernambuco, Department of Statistics and Informatics, Recife, Brazil; Federal University of Rio Grande do Norte, Department of Informatics and Applied Mathematics, Natal, Brazil; Universitat Politècnica de Catalunya, BarcelonaTech, Barcelona, Spain; Vall dHebron University Hospital, Microbiology Department, Barcelona, Spain; Aggeu Magalhães Research Center, FIOCRUZ, Recife, Brazil; Keizo Asami Laboratory of Imunopathology, Federal University of Pernambuco, Recife, Brazil</t>
  </si>
  <si>
    <t xml:space="preserve">Oliveira A.D., Federal Rural University of Pernambuco, Department of Statistics and Informatics, Recife, Brazil, Federal University of Rio Grande do Norte, Department of Informatics and Applied Mathematics, Natal, Brazil; Prats C., Universitat Politècnica de Catalunya, BarcelonaTech, Barcelona, Spain; Espasa M., Vall dHebron University Hospital, Microbiology Department, Barcelona, Spain; Serrat F.Z., Vall dHebron University Hospital, Microbiology Department, Barcelona, Spain; Sales C.M., Universitat Politècnica de Catalunya, BarcelonaTech, Barcelona, Spain; Silgado A., Vall dHebron University Hospital, Microbiology Department, Barcelona, Spain; Codina D.L., Universitat Politècnica de Catalunya, BarcelonaTech, Barcelona, Spain; Arruda M.E., Aggeu Magalhães Research Center, FIOCRUZ, Recife, Brazil, Keizo Asami Laboratory of Imunopathology, Federal University of Pernambuco, Recife, Brazil; Gomezi Prat J., Vall dHebron University Hospital, Microbiology Department, Barcelona, Spain; Albuquerque J., Federal Rural University of Pernambuco, Department of Statistics and Informatics, Recife, Brazil, Keizo Asami Laboratory of Imunopathology, Federal University of Pernambuco, Recife, Brazil</t>
  </si>
  <si>
    <t xml:space="preserve">Applied computing; Artificial intelligence; Automated diagnosis; Malaria; Mobile devices</t>
  </si>
  <si>
    <t xml:space="preserve">World Malaria Report 2015, (2015); Management of Severe Malaria: A Practical Handbook, (2012); de Oliveira MR, de Castro Gomes A, Toscano CM., Cost effectiveness of OptiMal® rapid diagnostic test for malaria in remote areas of the Amazon Region, Brazil, Malar J, 9, (2010); Basic Malaria Microscopy: Part 1 Learner's Guide, (1991); New Perspectives: Malaria Diagnosis; Leal Neto OB, Albuquerque CM, Albuquerque JO, Barbosa CS., The schisto track: a system for gathering and monitoring epidemiological surveys by connecting geographical information systems in real time, JMIR Mhealth Uhealth, 2, 1, (2014); Kaewkamnerd S, Uthaipibull C, Intarapanich A, Pannarut M, Chaotheing S, Tongsima S., An automatic device for detection and classification of malaria parasite species in thick blood film, BMC Bioinformatics, 13, (2012); Gonzalez RC, Woods RS., Digital Image Processing, (2008); Anggraini D, Nugroho A, Pratama C, Rozi I, Iskandar A, Hartono R., Automated status identification of microscopic images obtained from malaria thin blood smears, 2011 Presented at: 2011 International Conference on Electrical Engineering and Informatics (ICEEI), (2011); Viola P, Jones MJ., Robust real-time face detection, Int J Comput Vision, 57, 2, pp. 137-154, (2004); Firmo AC, Oliveira AD, Viegas J, Albuquerque J., Schistosystem - inteligencia artificial para diagnostico automatico por imagens, (2013); de Oliveira AD, Cabral G, Lopez D, Firmo C, Serrat ZF, Albuquerque JO., A proposal for automatic diagnosis of malaria: extended abstract, 2013 Presented at: Proceedings of the 22nd International Conference on World Wide Web (WWW '13 Companion), pp. 681-682, (2013); de Oliveira AD, Arruda ME, Prat JG, Codina DL, Serrat FZ, Albuquerque JO., Malaria system: a new tool for automatic diagnosis of malaria in mobile devices, (2014); Freund Y, Schapire RE., Journal of JSAI. 1999. A short introduction to boosting; Gonzalez RC, Woods RE., Processamento de Imagens Digitais, pp. 85-212, (2000); Papageorgiou C, Oren M, Poggio T., A general framework for object detection, 1998 Presented at: IEEE International Conference on Computer Vision, (1998); Pedrini H, Schwartz W., Análise de Imagens Digitais: Princípios, Algoritmos e Aplicações, (2008); Bradski G, Kaehler A., Learning OpenCV: Computer Vision With the OpenCV Library, (2008); Otsu N., A threshold selection method from gray-level histograms, IEEE Trans Syst Man Cybern, 9, 1, pp. 62-66, (1979); Szeliski R., Computer Vision: Algorithms and Applications (Texts in Computer Science) 2011th Edition, (2011); Laganiere R., OpenCV 2 Computer Vision Application Programming Cookbook, (2011); Lienhart R, Maydt J., An extended set of haar-like features for rapid object detection, (2002); Android Developer; Mednieks Z, Dornin L, Meike G, Nakamura M., Programming Android: Java Programming for the New Generation of Mobile Devices, (2012); IOS Developer; Microsoft Windows Phone; Schildt H, Skrien D., Programação com Java: Uma Introdução Abrangente, (2013); Olson DL, Delen D., Advanced Data Mining Techniques, (2008); Araujo GM., Algoritmo Para Reconhecimento de Características Faciais Baseado em Filtros de Correlação, (2010); Public Health Image Library (PHIL); Haykin SS., Redes Neurais: Princípios e Práticas, (2001); Duda RO, Hart PW, Stork DG., Pattern Classification, (2001)</t>
  </si>
  <si>
    <t xml:space="preserve">A.D. Oliveira; Federal Rural University of Pernambuco, Department of Statistics and Informatics, Dois Irmãos Recife, Rua Dom Manoel de Medeiros, s/n, 52171900, Brazil; email: allissondantas@gmail.com</t>
  </si>
  <si>
    <t xml:space="preserve">JMIR Res. Prot.</t>
  </si>
  <si>
    <t xml:space="preserve">2-s2.0-85041797419</t>
  </si>
  <si>
    <t xml:space="preserve">Modu B.; Polovina N.; Lan Y.; Konur S.; Taufiq Asyhari A.; Peng Y.</t>
  </si>
  <si>
    <t xml:space="preserve">Modu, Babagana (56521520900); Polovina, Nereida (56678534300); Lan, Yang (36808501000); Konur, Savas (36174232900); Taufiq Asyhari, A. (24330878400); Peng, Yonghong (8349253200)</t>
  </si>
  <si>
    <t xml:space="preserve">56521520900; 56678534300; 36808501000; 36174232900; 24330878400; 8349253200</t>
  </si>
  <si>
    <t xml:space="preserve">Towards a predictive analytics-based intelligent malaria outbreakwarning system</t>
  </si>
  <si>
    <t xml:space="preserve">Malaria, as one of the most serious infectious diseases causing public health problems in the world, affects about two-thirds of the world population, with estimated resultant deaths close to a million annually. The effects of this disease are much more profound in third world countries, which have very limited medical resources. When an intense outbreak occurs, most of these countries cannot cope with the high number of patients due to the lack of medicine, equipment and hospital facilities. The prevention or reduction of the risk factor of this disease is very challenging, especially in third world countries, due to poverty and economic insatiability. Technology can offer alternative solutions by providing early detection mechanisms that help to control the spread of the disease and allow the management of treatment facilities in advance to ensure a more timely health service, which can save thousands of lives. In this study, we have deployed an intelligent malaria outbreak early warning system, which is a mobile application that predicts malaria outbreak based on climatic factors using machine learning algorithms. The system will help hospitals, healthcare providers, and health organizations take precautions in time and utilize their resources in case of emergency. To our best knowledge, the system developed in this paper is the first publicly available application. Since confounding effects of climatic factors have a greater influence on the incidence of malaria, we have also conducted extensive research on exploring a new ecosystem model for the assessment of hidden ecological factors and identified three confounding factors that significantly influence the malaria incidence. Additionally, we deploy a smart healthcare application; this paper also makes a significant contribution by identifying hidden ecological factors of malaria. © 2017 by the authors.</t>
  </si>
  <si>
    <t xml:space="preserve">Applied Sciences (Switzerland)</t>
  </si>
  <si>
    <t xml:space="preserve">10.3390/app7080836</t>
  </si>
  <si>
    <t xml:space="preserve">https://www.scopus.com/inward/record.uri?eid=2-s2.0-85027699126&amp;doi=10.3390%2fapp7080836&amp;partnerID=40&amp;md5=e3598050aa02f47a6a9ebbf804605981</t>
  </si>
  <si>
    <t xml:space="preserve">School of Electrical Engineering and Computer Science, University of Bradford, Bradford, BD7 1DP, United Kingdom; Manchester Metropolitan University Business School, Manchester Metropolitan University, Manchester, M15 6BH, United Kingdom; Centre for Electronic Warfare, Information and Cyber, Cranfield University, Shrivenham, SN6 8LA, United Kingdom; Faculty of Computer Science, University of Sunderland, St Peters Campus, Sunderland, SR6 0DD, United Kingdom</t>
  </si>
  <si>
    <t xml:space="preserve">Modu B., School of Electrical Engineering and Computer Science, University of Bradford, Bradford, BD7 1DP, United Kingdom; Polovina N., Manchester Metropolitan University Business School, Manchester Metropolitan University, Manchester, M15 6BH, United Kingdom; Lan Y., School of Electrical Engineering and Computer Science, University of Bradford, Bradford, BD7 1DP, United Kingdom; Konur S., School of Electrical Engineering and Computer Science, University of Bradford, Bradford, BD7 1DP, United Kingdom; Taufiq Asyhari A., Centre for Electronic Warfare, Information and Cyber, Cranfield University, Shrivenham, SN6 8LA, United Kingdom; Peng Y., Faculty of Computer Science, University of Sunderland, St Peters Campus, Sunderland, SR6 0DD, United Kingdom</t>
  </si>
  <si>
    <t xml:space="preserve">Climatic factors; Machine learning; Malaria; Mobile application; Partial least squares model; Prediction; Structural equation modelling</t>
  </si>
  <si>
    <t xml:space="preserve">National Research Centre; University of Bradford; UCB UK; Innovate UK; Tertiary Education Trust Fund</t>
  </si>
  <si>
    <t xml:space="preserve">Acknowledgments: The authors would like to thank National Centre for Environmental Prediction (NCEP), for their support in providing this work with relevant meteorological data. The author B.M. would like to thank Tertiary Education Trust Fund (tetFund), Nigeria for sponsoring his Ph.D. programme at the University of Bradford, UK. Y.L and S.K. acknowledge Innovate UK KTP010551 grant.</t>
  </si>
  <si>
    <t xml:space="preserve">Malaria Rapid Diagnostic Test Performance, (2015); Haque U., Hashizume M., Glass G.E., Dewan A.M., Overgaard H.J., Yamamoto T., The role of climate variability in the spread of malaria in Bangladeshi highlands, PLoS ONE, 5, (2010); Bonan G.B., Shugart H.H., Environmental factors and ecological processes in boreal forests, Annu. Rev. Ecol. Syst, 20, pp. 1-28, (1989); Kumar V., Mangal A., Panesar S., Yadav G., Talwar R., Raut D., Singh S., Forecasting malaria cases using climatic factors in Delhi, India: A time series analysis, Malar. Res. Treat, (2014); Ngarakana-Gwasira E.T., Bhunu C.P., Masocha M., Mashonjowa E., Assessing the Role of Climate Change in Malaria Transmission in Africa, Malar. Res. Treat, (2016); Nath D.C., Mwchahary D.D., Association between Climatic Variables and Malaria Incidence: A Study in Kokrajhar District of Assam, India: Climatic Variables and Malaria Incidence in Kokrajhar District, Glob. J. Health Sci, 5, (2013); Modu B., Asyhari A.T., Peng Y., Data Analytics of climatic factor influence on the impact of malaria incidence, Proceedings of the 2016 IEEE Symposium Series on Computational Intelligence (SSCI), pp. 1-8, (2016); Tenenhaus M., Vinzi V.E., Chatelin Y.M., Lauro C., PLS path modeling, Comput. Stat. Data Anal, 48, pp. 159-205, (2005); Sriram T., Rao V., Narayana S., Dowluru K., Intelligent Parkinson disease prediction using machine learning algorithms, Int. J. Eng. Innov. Technol, 3, pp. 212-215, (2013); Ganesan N., Venkatesh K., Rama M.A., Application of Neural Networks in diagnosing cancer disease using demographic data, Int. J. Comput. Appl, 1, pp. 76-85, (2010); Aditya M., Prince K., Himanshu A., Pankaj K., Early heart disease prediction using data mining techniques, Comput. Sci. Inf. Technol, pp. 53-59, (2014); Wang L., Support Vector Machines: Theory and Applications, 177, (2005); Sharma V., Kumar A., Panat L., Karajkhede G., Lele A., Malaria outbreak prediction model using machine learning, Int. J. Adv. Res. Comput. Eng. Technol, 4, pp. 4415-4419, (2015); Parham P.E., Michael E., Modelling the effects of weather and climate change on malaria transmission, Environ. Health Perspect, 118, (2010); Myers S.S., Patz J.A., Emerging threats to human health from global environmental change, Annu. Rev. Environ. Resour, 34, pp. 223-252, (2009); Myers S.S., Gaffikin L., Golden C.D., Ostfeld R.S., Redford K.H., Ricketts T.H., Osofsky S.A., Human health impacts of ecosystem alteration, Proc. Natl. Acad. Sci. USA, 110, pp. 18753-18760, (2013); Bayles B.R., Brauman K.A., Adkins J.N., Allan B.F., Ellis A.M., Goldberg T.L., Ricketts T.H., Ecosystem Services Connect Environmental Change to Human Health Outcomes, EcoHealth, 13, pp. 443-449, (2016); The Potsdam Institute for Climate Impact Research and Climate Analytics, Turn-Down the Heat-Why a 4 DegreeWarmerWorld Must Be Avoided, (2012); De Castro M.C., Monte-Mor R.L., Sawyer D.O., Singer B.H., Malaria risk on the Amazon frontier, Proc. Natl. Acad. Sci. USA, 103, pp. 2452-2457, (2006); Population and Housing Census, District Analytical Report, Ejisu-Juaben Municipal; Addai G., Anyatewon Kwesi D., 2010 Population and Housing Census: District Analytical Report, (2014); Takyi Appiah S., Otoo H., Nabubie I.B., Times Series Analysis Of Malaria Cases In Ejisu-Juaben Municipality, Int. J. Sci. Technol. Res, 4, pp. 220-226, (2015); Nitzl C., Chin W.W., The case of partial least squares (PLS) path modeling in managerial accounting research, J. Manag. Control, 28, pp. 137-156, (2017); Bagozzi R.P., Yi Y., Specification, evaluation, and interpretation of structural equation models, J. Acad. Mark. Sci, 40, pp. 8-34, (2012); Dan E.D., Jude O., Idochi O., Modelling and forecasting malaria mortality rate using SARIMA models (a case study of Aboh Mbaise general hospital, Imo State Nigeria), Sci. J. Appl. Math. Stat, 2, pp. 31-41, (2014); Ruscio J., Roche B., Determining the number of factors to retain in an exploratory factor analysis using comparison data of known factorial structure, Psychol. Assess, 24, (2012); Kline R.B., Principles and Practice of Structural Equation Modelling, (2015); Kelloway E.K., Santor D.A., Using LISREL for Structural Equation Modelling: A Researcher's Guide, Can. Psychol, 40, (1999); Monecke A., Leisch F., SemPLS: Structural Equation Modeling Using Partial Least Squares, J. Stat. Softw, 48, pp. 1-32, (2012); Wold H., Soft Modeling: The Basic Design and Some Extensions, Systems under Indirect Observation: Causality-Structure-Prediction, pp. 1-54, (1982); Dijkstra T.K., Latent variables and indices: Herman Wold's basic design and partial least squares, Handbook of Partial Least Squares; Springer: Berlin, pp. 23-46, (2010); Byrne B.M., Structural Equation Modelling with LISREL, PRELIS, and SIMPLIS: Basic Concepts, Applications, and Programming, (2013); Li X.X., Wang L.X., Zhang J., Liu Y.X., Zhang H., Jiang S.W., Zhou X.N., Exploration of ecological factors related to the spatial heterogeneity of tuberculosis prevalence in PR China, Glob. Health Action, 7, (2014); Yeomans K.A., Golder P.A., The Guttman-Kaiser criterion as a predictor of the number of common factors, Statistician, 31, pp. 221-229, (1982); Ledesma R.D., Valero-Mora P., Macbeth G., The scree test and the number of factors: A dynamic graphics approach, Span. J. Psychol, 18, (2015); Xu L., Stige L.C., Chan K.S., Zhou J., Yang J., Sang S., Lu L., Climate variation drives dengue dynamics, Proc. Natl. Acad. Sci. USA, 114, pp. 113-118, (2016); Srinivasulu N., Gujju Gandhi B., Naik R., Daravath S., Influence of Climate Change on Malaria Incidence in Mahaboobnagar District of Andhra Pradesh, India; Hair J.F., Sarstedt M., Pieper T.M., Ringle C.M., The use of partial least squares structural equation modelling in strategic management research: A review of past practices and recommendations for future applications, Long Range Plan, 45, pp. 320-340, (2012); Jarque C.M., Bera A.K., A test for normality of observations and regression residuals, Int. Stat. Rev./Rev. Int. Stat, 55, pp. 163-172, (1987); Wilk M.B., Gnanadesikan R., Probability plotting methods for the analysis for the analysis of data, Biometrika, 55, pp. 1-17, (1968); Lohmoller J.B., Latent Variable Path Analysis with Partial Least Squares, (1989); Lustgarten J.L., Gopalakrishnan V., Grover H., Visweswaran S., Improving classification performance with discretization on biomedical datasets, Proceedings of the AMIA Annual Symposium, (2008); Maslove D.M., Podchiyska T., Lowe H.J., Discretization of continuous features in clinical datasets, J. Am. Med. Inf. Assoc, 20, pp. 544-553, (2013); Gang S., Soft modeling: Intermediate between traditional model building and data analysis, In Mathematical Statistics, 6, pp. 333-346, (1980)</t>
  </si>
  <si>
    <t xml:space="preserve">B. Modu; School of Electrical Engineering and Computer Science, University of Bradford, Bradford, BD7 1DP, United Kingdom; email: b.modu@bradford.ac.uk</t>
  </si>
  <si>
    <t xml:space="preserve">Appl. Sci.</t>
  </si>
  <si>
    <t xml:space="preserve">2-s2.0-85027699126</t>
  </si>
  <si>
    <t xml:space="preserve">Aminu R.; Ibrahim M.A.; Rahman M.A.; Dash R.; Umar I.A.</t>
  </si>
  <si>
    <t xml:space="preserve">Aminu, Raphael (57193432932); Ibrahim, Mohammed Auwal (27170663100); Rahman, Md. Atiar (55457954600); Dash, Raju (56605919500); Umar, Ismaila Alhaji (35605613500)</t>
  </si>
  <si>
    <t xml:space="preserve">57193432932; 27170663100; 55457954600; 56605919500; 35605613500</t>
  </si>
  <si>
    <t xml:space="preserve">Trypanosuppresive effects of ellagic acid and amelioration of the trypanosome-associated pathological features coupled with inhibitory effects on trypanosomal sialidase in vitro and in silico</t>
  </si>
  <si>
    <t xml:space="preserve">Background The search for novel antitrypanosomal agents had previously led to the isolation of ellagic acid as a bioactive antitrypanosomal compound using in vitro studies. However, it is not known whether this compound will elicit antitrypanosomal activity in in vivo condition which is usually the next step in the drug discovery process. Purpose Herein, we investigated the in vivo activity of ellagic acid against bloodstream form of Trypanosoma congolense and its ameliorative effects on trypanosome-induced anemia and organ damage as well as inhibitory effects on trypanosomal sialidase. Methods Rats were infected with T. congolense and were treated with 100 and 200 mg/kg body weight (BW) of ellagic acid for fourteen days. The levels of parasitemia, packed cell volume and biochemical parameters were measured. Subsequently, T. congolense sialidase was partially purified on DEAE cellulose column and the mode of inhibition of ellagic acid on the T. congolense sialidase determined. Molecular docking study was also conducted to determine the mode of interaction of the ellagic acid to the catalytic domain of T. rangeli sialidase. Results At a dose of 100 and 200 mg/kg (BW), ellagic acid demonstrated significant (P &lt; 0.05) trypanosuppressive effect for most of the 24 days experimental period. Further, the ellagic acid significantly (P &lt; 0.05) ameliorated the trypanosome-induced anemia, hepatic and renal damages as well as hepatomegaly, splenomegaly and renal hypertrophy. The trypanosome-associated free serum sialic acid upsurge alongside the accompanied membrane bound sialic acid reduction were also significantly (P &lt; 0.05) prevented by the ellagic acid treatment. The T. congolense sialidase was purified to a fold of 6.6 with a yield of 83.8%. The enzyme had a KM and Vmax of 70.12 mg/ml and 0.04 µmol/min respectively, and was inhibited in a non-competitive pattern by ellagic acid with an inhibition binding constant of 1986.75 μM. However, in molecular docking study, ellagic acid formed hydrogen bonding interaction with major residues R39, R318, and W124 at the active site of T. rangeli sialidase with a predicted binding free energy of -25.584 kcal/mol. Conclusion We concluded that ellagic acid possesses trypanosuppressive effects and could ameliorate the trypanosome-induced pathological alterations. © 2017 Elsevier GmbH</t>
  </si>
  <si>
    <t xml:space="preserve">Phytomedicine</t>
  </si>
  <si>
    <t xml:space="preserve">Elsevier GmbH</t>
  </si>
  <si>
    <t xml:space="preserve">10.1016/j.phymed.2017.04.013</t>
  </si>
  <si>
    <t xml:space="preserve">https://www.scopus.com/inward/record.uri?eid=2-s2.0-85019159638&amp;doi=10.1016%2fj.phymed.2017.04.013&amp;partnerID=40&amp;md5=509095fe695953647b7a85ba68645e2d</t>
  </si>
  <si>
    <t xml:space="preserve">Department of Biochemistry, Ahmadu Bello University, Zaria, Nigeria; Department of Biochemistry and Molecular Biology, University of Chittagong, Chittagong, 4331, Bangladesh; Molecular Modeling and Drug Design Laboratory, Chittagong, Bangladesh</t>
  </si>
  <si>
    <t xml:space="preserve">Aminu R., Department of Biochemistry, Ahmadu Bello University, Zaria, Nigeria; Ibrahim M.A., Department of Biochemistry, Ahmadu Bello University, Zaria, Nigeria; Rahman M.A., Department of Biochemistry and Molecular Biology, University of Chittagong, Chittagong, 4331, Bangladesh; Dash R., Molecular Modeling and Drug Design Laboratory, Chittagong, Bangladesh; Umar I.A., Department of Biochemistry, Ahmadu Bello University, Zaria, Nigeria</t>
  </si>
  <si>
    <t xml:space="preserve">Anemia; Ellagic acid; Organ damage; Sialic acid; Sialidase; Trypanosoma congolense</t>
  </si>
  <si>
    <t xml:space="preserve">Animals; Computer Simulation; Ellagic Acid; Enzyme Inhibitors; Hematocrit; Hydrogen Bonding; Molecular Docking Simulation; Neuraminidase; Parasitemia; Rats, Wistar; Trypanocidal Agents; Trypanosoma congolense; Trypanosomiasis, African; antitrypanosomal agent; creatinine; ellagic acid; sialic acid; sialidase; urea; antitrypanosomal agent; ellagic acid; enzyme inhibitor; sialidase; anemia; animal model; Article; binding affinity; computer model; creatinine blood level; drug activity; drug effect; enzyme active site; hepatomegaly; hydrogen bond; in vitro study; in vivo study; kidney hypertrophy; kidney injury; liver injury; molecular docking; nonhuman; pathogenesis; predictive value; priority journal; rat; splenomegaly; Trypanosoma congolense; trypanosomiasis; urea blood level; animal; antagonists and inhibitors; chemistry; computer simulation; drug effects; hematocrit; metabolism; parasitemia; Trypanosoma congolense; Trypanosomiasis, African; Wistar rat</t>
  </si>
  <si>
    <t xml:space="preserve">creatinine, 19230-81-0, 60-27-5; ellagic acid, 476-66-4; sialidase, 9001-67-6; urea, 57-13-6; Ellagic Acid, ; Enzyme Inhibitors, ; Neuraminidase, ; Trypanocidal Agents, </t>
  </si>
  <si>
    <t xml:space="preserve">Aderbauer B., Clausen P.H., Kershaw O., Melzig M.F., In vitro and in vivo trypanocidal effect of lipophilic extracts of medicinal plants from Mali and Burkina Faso, J. Ethnopharmacol., 1192, pp. 225-231, (2008); Agusti R., Paris G., Ratiel L., Frasch A.C., de Lederkremer R.M., Lactose derivatives are inhibitors of Trypanosoma cruzi trans-sialidase activity toward conventional substrates in vitro and in vivo, Glycobiology, 14, pp. 659-670, (2004); Aminoff D., Methods for the qualitative estimation of Nacetylneuraminic acid and their application to hydrolysis of sialomucoids, Biochem. J., 81, pp. 384-392, (1961); Balogun E.O., Balogun J.B., Yusuf S., Inuwa H.M., Ndams I.S., Sheridan P., Inaoka D.K., Shiba T., Harada S., Kita K., Esievo K.A.N., Nok A.J., Anemia amelioration by lactose infusion during trypanosomosis could be associated with erythrocytes membrane de-galactosylation, Vet. Parasitol., 199, pp. 259-263, (2014); Barrett S.V., Barrett M.P., Anti-sleeping sickness drug and cancer chemotherapy, Parasitol. Today, 16, pp. 7-9, (2000); Buratai L.B., Nok A.J., Ibrahim S., Umar I.A., Esievo K.A.N., Characterization of sialidase from bloodstream forms of Trypanosoma vivax, Cell Biochem. Funct., 24, pp. 71-77, (2004); Coustou V., Plazolles N., Guegan F., Baltz T., Sialidases play a key role in infection and anaemia in Trypanosoma congolense animal trypanosomiasis, Cell Microbiol., 14, pp. 431-445, (2012); Friesner R.A., Murphy R.B., Repasky M.P., Frye L.L., Greenwood J.R., Halgren T.A., Sanschagrin P.C., Mainz D.T., Extra precision glide: docking and scoring incorporating a model of hydrophobic enclosure for protein-ligand complexes, J. Med. Chem., 49, pp. 6177-6196, (2006); Guegan F., Plazolles N., Baltz T., Coustou V., Erythrophagocytosis of desialylated red blood cells is responsible for anaemia during Trypanosoma vivax infection, Cell Microbiol., 15, pp. 1285-1303, (2013); Habila N., Mairo H.I., Idowu A.A., Michael U.U., Emmanuel H., Pathogenic mechanisms of Trypanosoma evansi infections, Res. Vet. Sci., 93, pp. 13-17, (2012); Herbert W.J., Lumsden W.H.R., Trypanosoma brucei: A rapid “matching” method for estimating the host's parasitaemia, Exp. Parasitol., 40, pp. 427-431, (1976); Hou T., Wang J., Li Y., Wang W., Assessing the performance of the MM/PBSA and MM/GBSA methods. 1. The accuracy of binding free energy calculations based on molecular dynamics simulations, J. Chem. Inf. Model, 51, pp. 69-82, (2011); Ibrahim M.A., Aliyu A.B., Sallau A.B., Bashir M., Yunusa I., Umar T.S., Senna occidentalis leaf extract possesses antitrypanosomal activity and ameliorates the trypanosome-induced anemia and organ damage, Pharmacog. Res., 2, pp. 175-180, (2010); Ibrahim M.A., Mohammed A., Isah M.B., Aliyu A.B., Anti-trypanosomal activity of African medicinal plants: a review update, J. Ethnopharmacol., 154, pp. 26-54, (2014); Ibrahim M.A., Koorbanally N., Islam M.S., Anti-oxidative activity and inhibition of key enzymes linked to type 2 diabetes (α-glucosidase and α-amylase) by Khaya senegalensis, Acta Pharm., 64, pp. 311-324, (2014); Ibrahim M.A., Isah M.B., Abdullahi A.S., Antioxidant therapy against trypanosome infections: a review update, Curr. Top. Med. Chem., 16, pp. 2233-2244, (2016); Ibrahim M.A., Aliyu A.B., Abdullahi H., Solomon T., Toko E., Garba A., Bashir M., Habila N., Lactones rich fraction from Vernonia blumeoides: antitrypanosomal activity and amelioration of the parasite-induced anemia and organ damage, J. Nat. Med., 67, pp. 750-757, (2013); Kashif F., Moreno-Herrera A., Lara-Ramirez E.E., Ramirez-Moreno E., Bocanegra-Garcia V., Ashfaq M., Rivera G., Recent developments in trans-sialidase inhibitors of Trypanosoma cruzi, J. Drug Target, pp. 1-14, (2017); Kumar D., Basu S., Parija L., Rout D., Manna S., Dandapat J., Debata P.R., Curcumin and ellagic acid synergistically induce ROS generation, DNA damage, p53 accumulation and apoptosis in HeLa cervical carcinoma cells, Biomed. Pharmacother., 81, pp. 31-37, (2016); Mbaya A., Aliyu M., Ibrahim U., The clinico-pathology and mechanisms of trypanosomosis in captive and free-living wild animals: a review, Vet. Res. Commun., 337, pp. 793-809, (2009); Nair A.B., Jacob S.A., A simple practice guide for dose conversion between animals and human, J. Basic Clin. Pharm., 7, pp. 27-31, (2016); Nok A.J., Balogun E.O., A bloodstream Trypanosoma congolense sialidase could be involved in anemia during experimental trypanosomiasis, J. Biochem., 133, pp. 725-730, (2003); Odhiambo J.A., Lukhoba C.W., Dossaji S.F., Evaluation of herbs as potential drugs/medicine, Afr. J. Trad. Complement. Altern. Med., 8, pp. 144-151, (2011); Ogbadoyi E.O., Kabiru A.Y., Omotosho R.F., Preliminary studies of the antitrypanosomal activity of Garcinia kola nut extract in mice infected with Trypanosoma brucei brucei, J. Med. Med. Sci., 21, pp. 628-631, (2011); Sallau A.B., Ibrahim M.A., Salihu A., Yusuf I.A., Bloodstream form of Trypanosoma evansi contains β-galactosidase, Middle East J. Sci. Res., 3, pp. 49-52, (2008); Samdi S.M., Abenga J.N., Attahir A., Haruna M.K., Wayo B.M., Fajinmi A.O., Sumayin H.M., Usman A.O., Hussaina J.Z., Muhammad H., Yarnap J.E., Ovbagbedia R.P., Abdullahi R.A., Impact of trypanosomosis on food security in Nigeria: a review, J. Animal Vet. Adv., 2, pp. 47-50, (2010); Seeram N.P., Adams L.S., Henning S.M., Niu Y., Zhang Y., Nair M.G., Heber D., In vitro anti proliferative, apoptotic and antioxidant activities of punicalagin, ellagic acid and a total pomegranate tannin extract are enhanced in combination with other polyphenols as found in pomegranate juice, J. Nutr. Biochem., 16, pp. 360-367, (2005); Silva B.L., Filho J.D.S., Andrade P., Carvalho I., Alves R.J., Design, synthesis and enzymatic evaluation of 3-O-substituted aryl β-D-galactopyranosides as inhibitors of Trypanosoma cruzi trans-sialidase, Bioorg. Med. Chem. Lett., 24, pp. 4529-4532, (2014); Shin J., Seol I., Son S., Interpretation of animal dose and human equivalent dose for drug development, J. Korean Orient. Med., 3, pp. 1-7, (2010); Shuaibu M.N., Wuyep P.T., Yanagi T., Hirayama K., Ichinose A., Tanaka T., Kouno I., Trypanocidal activity of extracts and compounds from the stem bark of Anogeissus leiocarpus and Terminalia avicennoides, Parasitol. Res., 1024, pp. 697-703, (2008); Umar I.A., Maryoms N.G., Daikwo E., Gidado A., Buratai L.B., Igbokwe I.O., Ibrahim M.A., The effects of consumption of Hibiscus sabdariffa calyces on heamatological profile and organ pathological changes in Trypanosoma congolense infected rats, Afr. J. Trad. Complement. Altern. Med., 6, pp. 585-591, (2009); Yousef A.I., El-Masry O.S., Yassin E.H., The anti-oncogenic influence of ellagic acid on colon cancer cells in leptin-enriched microenvironment, Tumor Biol., 37, pp. 13345-13353, (2016); Watts A.G., Damager I., Amaya M.L., Buschiazzo A., Alzari P., Frasch A.C., Withers S.G., Trypanosoma cruzi trans-sialidase operates through a covalent sialyl-enzyme intermediate: tyrosine is the catalytic nucleophile, J. Am. Chem. Soc., 125, pp. 7532-7533, (2003); Welburn S., Maudlin I., Simarro P., Controlling sleeping sickness–a review, Parasitology, 136, pp. 1943-1949, (2009); Zhang Y., Seeram N.P., Lee R., Feng L., Hebe D., Isolation and identification of strawberry phenolics with antioxidant and human cancer cell anti proliferative properties, J. Agric. Food Chem., 56, pp. 670-675, (2008)</t>
  </si>
  <si>
    <t xml:space="preserve">M.A. Ibrahim; Department of Biochemistry, Ahmadu Bello University, Zaria, Nigeria; email: mauwalibrahim@gmail.com</t>
  </si>
  <si>
    <t xml:space="preserve">PYTOE</t>
  </si>
  <si>
    <t xml:space="preserve">2-s2.0-85019159638</t>
  </si>
  <si>
    <t xml:space="preserve">Gui X.; Wang Y.; Kou Y.; Reynolds T.L.; Chen Y.; Mei Q.; Zheng K.</t>
  </si>
  <si>
    <t xml:space="preserve">Gui, Xinning (56902289000); Wang, Yue (57212028385); Kou, Yubo (56902279500); Reynolds, Tera Leigh (57194755556); Chen, Yunan (36006359500); Mei, Qiaozhu (12241600600); Zheng, Kai (35301387000)</t>
  </si>
  <si>
    <t xml:space="preserve">56902289000; 57212028385; 56902279500; 57194755556; 36006359500; 12241600600; 35301387000</t>
  </si>
  <si>
    <t xml:space="preserve">Understanding the Patterns of Health Information Dissemination on Social Media during the Zika Outbreak</t>
  </si>
  <si>
    <t xml:space="preserve">Social media are important platforms for risk communication during public health crises. Effective dissemination of accurate, relevant, and up-to-date health information is important for the public to raise awareness and develop risk management strategies. This study investigates Zika virus-related information circulated on Twitter, identifying the patterns of dissemination of popular tweets and tweets from public health authorities such as the CDC. We leveraged a large corpus of Twitter data covering the entire year of 2016. We analyzed the data using quantitative and qualitative content analyses, followed by machine learning to scale the manual content analyses to the corpus. The results revealed possible discrepancies between what the general public was most interested in, or concerned about, and what public health authorities provided during the Zika outbreak. We provide implications for public health authorities to improve risk communication through better alignment with the general public's information needs during public health crises.</t>
  </si>
  <si>
    <t xml:space="preserve">AMIA ... Annual Symposium proceedings. AMIA Symposium</t>
  </si>
  <si>
    <t xml:space="preserve">https://www.scopus.com/inward/record.uri?eid=2-s2.0-85046935619&amp;partnerID=40&amp;md5=56d5512dd124e0378f1cd767c7a2c3bb</t>
  </si>
  <si>
    <t xml:space="preserve">University of California, Irvine, CA, United States; University of Michigan, Ann Arbor, MI, United States; Purdue University, West Lafayette, IN, United States</t>
  </si>
  <si>
    <t xml:space="preserve">Gui X., University of California, Irvine, CA, United States; Wang Y., University of Michigan, Ann Arbor, MI, United States; Kou Y., Purdue University, West Lafayette, IN, United States; Reynolds T.L., University of California, Irvine, CA, United States; Chen Y., University of California, Irvine, CA, United States; Mei Q., University of Michigan, Ann Arbor, MI, United States; Zheng K., University of California, Irvine, CA, United States</t>
  </si>
  <si>
    <t xml:space="preserve">Communication; Consumer Health Information; Disease Outbreaks; Humans; Information Dissemination; Machine Learning; Public Health Practice; Risk; Social Media; Zika Virus; Zika Virus Infection; consumer health information; epidemic; human; information dissemination; interpersonal communication; machine learning; procedures; public health service; risk; social media; Zika fever; Zika virus</t>
  </si>
  <si>
    <t xml:space="preserve">1942597X</t>
  </si>
  <si>
    <t xml:space="preserve">AMIA Annu Symp Proc</t>
  </si>
  <si>
    <t xml:space="preserve">2-s2.0-85046935619</t>
  </si>
  <si>
    <t xml:space="preserve">Miller M.; Banerjee T.; Muppalla R.; Romine W.; Sheth A.</t>
  </si>
  <si>
    <t xml:space="preserve">Miller, Michele (57189521595); Banerjee, Tanvi (35774278400); Muppalla, Roopteja (57196213785); Romine, William (36728218300); Sheth, Amit (57200763252)</t>
  </si>
  <si>
    <t xml:space="preserve">57189521595; 35774278400; 57196213785; 36728218300; 57200763252</t>
  </si>
  <si>
    <t xml:space="preserve">What are people tweeting about zika? an exploratory study concerning its symptoms, treatment, transmission, and prevention</t>
  </si>
  <si>
    <t xml:space="preserve">Background: In order to harness what people are tweeting about Zika, there needs to be a computational framework that leverages machine learning techniques to recognize relevant Zika tweets and, further, categorize these into disease-specific categories to address specific societal concerns related to the prevention, transmission, symptoms, and treatment of Zika virus. Objective: The purpose of this study was to determine the relevancy of the tweets and what people were tweeting about the 4 disease characteristics of Zika: symptoms, transmission, prevention, and treatment. Methods: A combination of natural language processing and machine learning techniques was used to determine what people were tweeting about Zika. Specifically, a two-stage classifier system was built to find relevant tweets about Zika, and then the tweets were categorized into 4 disease categories. Tweets in each disease category were then examined using latent Dirichlet allocation (LDA) to determine the 5 main tweet topics for each disease characteristic. Results: Over 4 months, 1,234,605 tweets were collected. The number of tweets by males and females was similar (28.47% [351,453/1,234,605] and 23.02% [284,207/1,234,605], respectively). The classifier performed well on the training and test data for relevancy (F1 score=0.87 and 0.99, respectively) and disease characteristics (F1 score=0.79 and 0.90, respectively). Five topics for each category were found and discussed, with a focus on the symptoms category. Conclusions: We demonstrate how categories of discussion on Twitter about an epidemic can be discovered so that public health officials can understand specific societal concerns within the disease-specific categories. Our two-stage classifier was able to identify relevant tweets to enable more specific analysis, including the specific aspects of Zika that were being discussed as well as misinformation being expressed. Future studies can capture sentiments and opinions on epidemic outbreaks like Zika virus in real time, which will likely inform efforts to educate the public at large. © 2017 Michele Miller, Tanvi Banerjee, Roopteja Muppalla, William Romine, Amit Sheth.</t>
  </si>
  <si>
    <t xml:space="preserve">e38</t>
  </si>
  <si>
    <t xml:space="preserve">10.2196/publichealth.7157</t>
  </si>
  <si>
    <t xml:space="preserve">https://www.scopus.com/inward/record.uri?eid=2-s2.0-85045831651&amp;doi=10.2196%2fpublichealth.7157&amp;partnerID=40&amp;md5=ca1063caef744f3c0ad52d68fefaf8b9</t>
  </si>
  <si>
    <t xml:space="preserve">Department of Biological Sciences, Wright State University, Dayton, OH, United States; Department of Computer Science and Engineering, Wright State University, Dayton, OH, United States; Kno.e.sis, Computer Science and Engineering, Wright State University, Dayton, OH, United States</t>
  </si>
  <si>
    <t xml:space="preserve">Miller M., Department of Biological Sciences, Wright State University, Dayton, OH, United States; Banerjee T., Department of Computer Science and Engineering, Wright State University, Dayton, OH, United States, Kno.e.sis, Computer Science and Engineering, Wright State University, Dayton, OH, United States; Muppalla R., Department of Computer Science and Engineering, Wright State University, Dayton, OH, United States, Kno.e.sis, Computer Science and Engineering, Wright State University, Dayton, OH, United States; Romine W., Department of Biological Sciences, Wright State University, Dayton, OH, United States; Sheth A., Department of Computer Science and Engineering, Wright State University, Dayton, OH, United States, Kno.e.sis, Computer Science and Engineering, Wright State University, Dayton, OH, United States</t>
  </si>
  <si>
    <t xml:space="preserve">Epidemiology; Machine learning; Social media; Viruses</t>
  </si>
  <si>
    <t xml:space="preserve">Insitute of Educational Sciences, (R305A150364); National Science Foundation, NSF, (IIP 1542911); National Science Foundation, NSF; National Institutes of Health, NIH, (1K01LM012439-01); National Institutes of Health, NIH; National Institute of Child Health and Human Development, NICHD, (R01HD087132); National Institute of Child Health and Human Development, NICHD; U.S. Department of Education, ED, (U411C140081); U.S. Department of Education, ED</t>
  </si>
  <si>
    <t xml:space="preserve">We would like to thank Dr Megan Rúa for her help with interpreting the topic models, Scott Holdgreve, Ryan, Becker, and Dr. Amber Todd for their help with annotating, and Sampath Gogineni for his help with some of the initial analysis. Romine and Miller would like to acknowledge support from the Department of Education I3 project U411C140081 and the Insitute of Educational Sciences (IES) award R305A150364. Twitris is funded through the National Science Foundation award IIP 1542911. Banerjee and Muppalla are funded through NIH 1K01LM012439-01. Sheth is funded through NIH grant 1 R01 HD087132-01.</t>
  </si>
  <si>
    <t xml:space="preserve">Allafrica Nanlong M., Nigeriabola - two die after drinking salt water in Jos, (2016); (2016); Greenbiz Berg N., How citizens have become sensors, (2013); Tran T, Lee K., Understanding citizen reactions and Ebola-related information propagation on social media, 2016 Presented at: International Conference on Advances in Social Networks Analysis and Mining, (2016); Purohit H, Banerjee T, Hampton A, Shalin V, Bhandutia N, Sheth A., Gender-based violence in 140 characters or fewer: a #BigData case study of Twitter, (2016); Paul M, Dredze M., You are what you tweet: analyzing twitter for public health, (2011); Bhattacharya S, Tran H, Srinivasan P., Discovering health beliefs in twitter, 2012 Presented at: AAAI- Fall Symposium on Information RetrievalKnowledge Discovery in Biomedical Text, (2012); Wong SS, Poon RW, Wong SC., Zika virus infection-the next wave after dengue?, J Formos Med Assoc, 115, 4, pp. 226-242, (2016); Oyeyemi S, Gabarron E, Wynn R., Ebola, Twitter, and misinformation: a dangerous combination?, BMJ, 349, (2014); Majumder MS, Santillana M, Mekaru SR, McGinnis DP, Khan K, Brownstein JS., Utilizing nontraditional data sources for near real-time estimation of transmission dynamics during the 2015-2016 Colombian Zika virus disease outbreak, JMIR Public Health Surveill, 2, 1, (2016); Khatua A, Khatua A., Immediate and long-term effects of 2016 Zika outbreak: a twitter-based study, 2016 Presented at: IEEE 18th International Conference on e-Health Networking, Applications and Services (Healthcom), pp. 1-6, (2016); Glowacki EM, Lazard AJ, Wilcox GB, Mackert M, Bernhardt JM., Identifying the public's concerns and the Centers for Disease Control and Prevention's reactions during a health crisis: an analysis of a Zika live twitter chat, Am J Infect Control, 44, 12, pp. 1709-1711, (2016); Fu K, Liang H, Saroha N, Tse ZT, Ip P, Fung IC., How people react to Zika virus outbreaks on twitter? a computational content analysis, Am J Infect Control, 44, 12, pp. 1700-1702, (2016); Jadhav A, Purohit H, Kapanipathi P, Ananthram P, Ranabahu A, Nguyen V, Et al., Twitris 2.0: semantically empowered system for understanding perceptions from social data, 2010 Presented at: Semantic Web Application Challenge at ISWC, (2010); Twitter streaming API information; McHugh ML., Interrater reliability: the kappa statistic, Biochem Med (Zagreb), 22, 3, pp. 276-282, (2012); Hastie T, Tibshirani R, Friedman J., The elements of statistical learning: Data mining, inference, and prediction, (2009); Hong L, Davison B., Empirical study of topic modeling in twitter, 2010 Presented at: Proceedings of the first workshop on social media analytics, pp. 80-88, (2010); Blei D, Ng A, Jordan M., Latent dirichlet allocation, J Mach Learn Res, 3, (2003); Chemudugunta C, Smyth P, Steyvers M., Modeling general and specific aspects of documents with a probabilistic topic model, (2006); Genderize API; Sentiment; Landis J, Koch G., The measurement of observer agreement for categorical data, Biometrics, 33, 1, (1977); Frank E, Hall M, Witten I., The WEKA workbench, Data mining: Practical machine learning tools and techniques, (2016); McCallum A, Nigam K., A comparison of event models for naive bayes test classification, 1998 Presented at: AAAI-98 workshop on learning for text categorization, pp. 41-48, (1998); Zika study; Frank E, Bouckaert R., Naive bayes for text classification with unbalanced classes, 2006 Presented at: PKDD, (2006); BBC. Zika virus scarier than thought?</t>
  </si>
  <si>
    <t xml:space="preserve">M. Miller; Department of Biological Sciences, Wright State University, Dayton, 3640 Colonel Glenn Hwy, United States; email: millerme91@gmail.com</t>
  </si>
  <si>
    <t xml:space="preserve">2-s2.0-85045831651</t>
  </si>
  <si>
    <t xml:space="preserve">Saikia D.; Dutta J.C.</t>
  </si>
  <si>
    <t xml:space="preserve">Saikia, Darshana (57190860399); Dutta, Jiten Chandra (55084616100)</t>
  </si>
  <si>
    <t xml:space="preserve">57190860399; 55084616100</t>
  </si>
  <si>
    <t xml:space="preserve">Adaptive network based fuzzy inference system for early diagnosis of dengue disease</t>
  </si>
  <si>
    <t xml:space="preserve">There is always an increasing demand for the development of new soft computing technologies for medical diagnosis in regular clinical use. With the advent of soft computing technologies, the use of intelligent methods and algorithms provides a viable alternative for vague, uncertain and complex real life problems such as diagnosis of diseases, for which mathematical model is not available. In this work, a hybrid artificial intelligence system namely Adaptive Neuro-Fuzzy Inference System (ANFIS) based model is developed for early diagnosis of dengue disease. Dengue fever, caused by the dengue virus is an infectious tropical disease. Dengue disease has been considered as a fatal disease and delay in diagnosis may increase its severity as well as life risk of the patients. The signs and symptoms of early dengue disease are nonspecific and overlap with the other infectious diseases. So, the principal aim of this study was to develop an acceptable diagnostic system for early diagnosis of dengue disease. © Springer Nature Singapore Pte Ltd. 2017.</t>
  </si>
  <si>
    <t xml:space="preserve">10.1007/978-981-10-3770-2_68</t>
  </si>
  <si>
    <t xml:space="preserve">https://www.scopus.com/inward/record.uri?eid=2-s2.0-85020448679&amp;doi=10.1007%2f978-981-10-3770-2_68&amp;partnerID=40&amp;md5=2a911d0d9c69521c2b1008266eb490ad</t>
  </si>
  <si>
    <t xml:space="preserve">Department of Electronics and Communication Engineering, Tezpur University, Napaam, Tezpur, 784028, Assam, India</t>
  </si>
  <si>
    <t xml:space="preserve">Saikia D., Department of Electronics and Communication Engineering, Tezpur University, Napaam, Tezpur, 784028, Assam, India; Dutta J.C., Department of Electronics and Communication Engineering, Tezpur University, Napaam, Tezpur, 784028, Assam, India</t>
  </si>
  <si>
    <t xml:space="preserve">ANFIS; Artificial intelligence; Dengue disease; Fuzzy logic; Neural network</t>
  </si>
  <si>
    <t xml:space="preserve">Artificial intelligence; Computation theory; Fuzzy inference; Fuzzy logic; Fuzzy neural networks; Fuzzy systems; Neural networks; Soft computing; Adaptive network based fuzzy inference system; Adaptive neuro-fuzzy inference system; ANFIS; Diagnostic systems; Hybrid artificial intelligence systems; Infectious disease; Intelligent method; Real-life problems; Diagnosis</t>
  </si>
  <si>
    <t xml:space="preserve">Dengue: Guidelines for Diagnosis, Treatment, prevention, &amp; Control, A Joint Publication of the World Health Organization (WHO) and the Special Programme for Research and Training in Tropical Diseases (TDR), (2009); James A.P., Alan L.R., Clinical and laboratory features that distinguish dengue from other febrile illnesses in endemic populations, Trop Med Int Health, 13, 11, pp. 1328-1340, (2008); Lo C.H., Ben R.J., Chen C.D., Hsueh C.W., Feng N.H., Clinically Experience of Dengue Fever in A Regional Teaching Hospital in Southern Taiwan. Centre for Disease Control, Kaohsiung City, Ch, 20, pp. 248-254, (2009); Neshat M., Yaghobi M., Designing a Fuzzy Expert System of Diagnosing the Hepatitis B Intensity Rate and Comparing in with Adaptive Neural Network Fuzzy System, Proceeding of the World Congress on Engineering and Computer Science, (2009); Shing J., Jang R., ANFIS: Adaptive Neuro Fuzzy Inference System, computer methods and programs in biomedicine, IEEE Transaction on Systems, (1993); Guillaume S., Designing Fuzzy Inference Systems from Data: An Interpretability-Oriented Review, IEEE Transactions on Fuzzy Systems, 9, 3, (2001); Lim J.S., Wang D., Kim Y.S., Gupta S., A neuro-fuzzy approach for diagnosis of antibody deficiency syndrome, Neurocomputing, 69, pp. 969-974, (2006); Singh S., Kumar A., Panneerselvam K., Venilla J.J., Diagnosis of Arthritis Through Fuzzy Inference System, J Med Syst, 36, 3, pp. 1459-1468, (2012); Ziasabounchi N., Askerzade I., ANFIS Based Classification Model for Heart Disease Prediction, International Journal of Electrical &amp; Computer Sciences IJECS-IJENS, Vol, 2, (2014); Faisal T., Taib M.N., Ibrahim F., Adaptive Neuro-Fuzzy Inference System for diagnosis risk in dengue patients, Expert Systems with Applications, 39, pp. 4483-4495, (2012); Afan S., Yen L., Christian S., Computational Intelligence Method for Early Diagnosis Dengue Haemorrhagic Fever Using Fuzzy on Mobile Device, EPJ Web of Conferences, 68, (2014); Taun, Et al., Sensitivity and Specificity of a Novel Classifier for the Early Diagnosis of Dengue, PLOS Neglected Tropical Diseases, (2015); Bystrov D., Westin J., Practice. Neuro-fuzzy logic systems, Matlab Toolbox GUI, 2, pp. 8-39; Jang J.S.R., Sun C.T., Mizutani E., NeuroFuzzy and Soft Computing: A computational approach to learning and machine intelligence, Prentice Hall Inc, (1997); Delen D., Sharda R., Bessonov M., Identifying significant predictors of injury severity in traffic accidents using a series of artificial neural networks, Accident Analysis and Prevention, 38, 3, pp. 434-444, (2006)</t>
  </si>
  <si>
    <t xml:space="preserve">D. Saikia; Department of Electronics and Communication Engineering, Tezpur University, Tezpur, Napaam, 784028, India; email: darshanasaikia316@gmail.com</t>
  </si>
  <si>
    <t xml:space="preserve">Singh V.K.; Tiwari S.; Mishra K.K.; Bhatia S.K.</t>
  </si>
  <si>
    <t xml:space="preserve">International Conference on Computer, Communication and Computational Sciences, ICCCCS 2016</t>
  </si>
  <si>
    <t xml:space="preserve">12 August 2016 through 13 August 2016</t>
  </si>
  <si>
    <t xml:space="preserve">Ajmer</t>
  </si>
  <si>
    <t xml:space="preserve">978-981103769-6</t>
  </si>
  <si>
    <t xml:space="preserve">2-s2.0-85020448679</t>
  </si>
  <si>
    <t xml:space="preserve">Shimpi P.; Shah S.; Shroff M.; Godbole A.</t>
  </si>
  <si>
    <t xml:space="preserve">Shimpi, Prajwal (57202219224); Shah, Sanskruti (57193141189); Shroff, Maitri (57202209346); Godbole, Anand (56266711400)</t>
  </si>
  <si>
    <t xml:space="preserve">57202219224; 57193141189; 57202209346; 56266711400</t>
  </si>
  <si>
    <t xml:space="preserve">An artificial neural network approach for classification of vector-borne diseases</t>
  </si>
  <si>
    <t xml:space="preserve">Vector-Borne diseases are quite prevalent in India and cause a large number of deaths when they get aggravated, in turn leading to epidemics. It is quite easy to get infected by these diseases, which have very similar symptoms, most of which manifest after days. Technology, today, can provide a helping hand in the correct diagnosis of these diseases. In this paper, we take up three diseases prevalent in India: malaria, dengue and chikungunya. The proposed method uses an Artificial Neural Network (ANN) based backpropagation algorithm for training and testing. A number of gradient optimization techniques are used like Adaptive Moment Estimation, RMSProp, Adagrad, Classical Momentum and Nesterov accelerated gradient. The final probability of the most probable of the three diseases is given, based on the symptoms entered. Using backpropagation algorithm, an accuracy of 99.7% was achieved. © 2017 IEEE.</t>
  </si>
  <si>
    <t xml:space="preserve">Proceedings of the International Conference on Computing Methodologies and Communication, ICCMC 2017</t>
  </si>
  <si>
    <t xml:space="preserve">10.1109/ICCMC.2017.8282721</t>
  </si>
  <si>
    <t xml:space="preserve">https://www.scopus.com/inward/record.uri?eid=2-s2.0-85047491202&amp;doi=10.1109%2fICCMC.2017.8282721&amp;partnerID=40&amp;md5=41507130695457b27fe2f34b476c4bfe</t>
  </si>
  <si>
    <t xml:space="preserve">Department of Computer Engineering, Sardar Patel Institute of Technology, Mumbai, India</t>
  </si>
  <si>
    <t xml:space="preserve">Shimpi P., Department of Computer Engineering, Sardar Patel Institute of Technology, Mumbai, India; Shah S., Department of Computer Engineering, Sardar Patel Institute of Technology, Mumbai, India; Shroff M., Department of Computer Engineering, Sardar Patel Institute of Technology, Mumbai, India; Godbole A., Department of Computer Engineering, Sardar Patel Institute of Technology, Mumbai, India</t>
  </si>
  <si>
    <t xml:space="preserve">Artificial Intelligence; Artificial Neural Network; Chikungunya; Classification; Dengue; Expert System; Machine Learning; Malaria</t>
  </si>
  <si>
    <t xml:space="preserve">Diagnosis; Diseases; Learning systems; Machine learning; Neural networks; Artificial neural network approach; Chikungunya; Dengue; Gradient optimization; Machine-learning; Malaria; Network-based; Optimization techniques; Training and testing; Vector-borne disease; Expert systems</t>
  </si>
  <si>
    <t xml:space="preserve">Vector-borne diseases, Ecdc.europa.eu; Witte C., Small Bite, Big Danger : Vector-borne Disease, (2014); NVBDCP | National Vector Borne Disease Control Programme; Chikungunya World Health Organization; Searo.who.int, (2017); Bhalla J.S., Aggarwal A., A novel method for medical disease diagnosis using artificial neural networks based on backpropagation algorithm, Confluence 2013: The Next Generation Information Technology Summit (4th International Conference), (2013); Desai M., Rastogi A., Singh N., Shirpurwala A., Mehta E., Budget 2016 and poverty in India: A booster shot for MGNREGA? All you want to know in 10 points, The Financial Express; Fathima S., Hundewale N., Comparison of classification techniques-SVM and naives bayes to predict the Arboviral disease-Dengue, 2011 IEEE International Conference on Bioinformatics and Biomedicine Workshops (BIBMW), (2011); Liang Z., Powell A., Ersoy I., Poostchi M., Silamut K., Palaniappan K., Guo P., Hossain M., Sameer A., Maude R., Huang J., Jaeger S., Thoma G., CNN-based image analysis for malaria diagnosis, 2016 IEEE International Conference on Bioinformatics and Biomedicine (BIBM, (2016); Shiladitya S., Saha S., Combined committee machine for classifying dengue fever, 2016 International Conference on Microelectronics, Computing and Communications (MicroCom), (2016); Aisyah Kumala D., Novianty A., Waluyo Purboyo T., Stomach disorder detection through the iris image using Backpropagation Neural Network, 2016 International Conference on Informatics and Computing (ICIC), (2016); Sadia Zaman M., Rafiuddin S.M., Performance analysis of supervised machine learning Algorithms for Text Classification, 2016 19th International Conference on Computer and Information Technology (ICCIT), (2016); An Overview of Gradient Descent Optimization Algorithms, (2016); ADAM: A Method for Stochastic Optimization, (2017); Andrew S., Et al., An empirical study of learning rates in deep neural networks for Speech Recognition, 2013 IEEE International Conference on Acoustics, Speech and Signal Processing, (2013)</t>
  </si>
  <si>
    <t xml:space="preserve">2017 International Conference on Computing Methodologies and Communication, ICCMC 2017</t>
  </si>
  <si>
    <t xml:space="preserve">18 July 2017 through 19 July 2017</t>
  </si>
  <si>
    <t xml:space="preserve">978-150904890-8</t>
  </si>
  <si>
    <t xml:space="preserve">Proc. Int. Conf. Comput. Methodol. Commun., ICCMC</t>
  </si>
  <si>
    <t xml:space="preserve">2-s2.0-85047491202</t>
  </si>
  <si>
    <t xml:space="preserve">Krappe S.; Benz M.; Gryanik A.; Tannich E.; Wegner C.; Stamminger M.; Wittenberg T.; Münzenmayer C.</t>
  </si>
  <si>
    <t xml:space="preserve">Krappe, Sebastian (36711850400); Benz, Michaela (35232304000); Gryanik, Alexander (56258120300); Tannich, Egbert (7005792240); Wegner, Christine (57194381172); Stamminger, Marc (55906526700); Wittenberg, Thomas (6701619212); Münzenmayer, Chrisitan (8639210900)</t>
  </si>
  <si>
    <t xml:space="preserve">36711850400; 35232304000; 56258120300; 7005792240; 57194381172; 55906526700; 6701619212; 8639210900</t>
  </si>
  <si>
    <t xml:space="preserve">Automated plasmodia recognition in microscopic images for diagnosis of malaria using convolutional neural networks</t>
  </si>
  <si>
    <t xml:space="preserve">Malaria is one of the world's most common and serious tropical diseases, caused by parasites of the genus plasmodia that are transmitted by Anopheles mosquitoes. Various parts of Asia and Latin America are affected but highest malaria incidence is found in Sub-Saharan Africa. Standard diagnosis of malaria comprises microscopic detection of parasites in stained thick and thin blood films. As the process of slide reading under the microscope is an error-prone and tedious issue we are developing computer-assisted microscopy systems to support detection and diagnosis of malaria. In this paper we focus on a deep learning (DL) approach for the detection of plasmodia and the evaluation of the proposed approach in comparison with two reference approaches. The proposed classification schemes have been evaluated with more than 180,000 automatically detected and manually classified plasmodia candidate objects from so-called thick smears. Automated solutions for the morphological analysis of malaria blood films could apply such a classifier to detect plasmodia in the highly complex image data of thick smears and thereby shortening the examination time. With such a system diagnosis of malaria infections should become a less tedious, more reliable and reproducible and thus a more objective process. Better quality assurance, improved documentation and global data availability are additional benefits. © 2017 SPIE.</t>
  </si>
  <si>
    <t xml:space="preserve">101400B</t>
  </si>
  <si>
    <t xml:space="preserve">10.1117/12.2249845</t>
  </si>
  <si>
    <t xml:space="preserve">https://www.scopus.com/inward/record.uri?eid=2-s2.0-85020278206&amp;doi=10.1117%2f12.2249845&amp;partnerID=40&amp;md5=96525f32bdcbb9ea68d92b518a3cace1</t>
  </si>
  <si>
    <t xml:space="preserve">Image Processing and Medical Engineering Department, Fraunhofer Institute for Integrated Circuits IIS, Erlangen, Germany; Computer Graphics Group, Friedrich-Alexander-University Erlangen-Nuremberg (FAU), Erlangen, Germany; Department of Parasitology, Bernhard Nocht Institute for Tropical Medicine, Hamburg, Germany</t>
  </si>
  <si>
    <t xml:space="preserve">Krappe S., Image Processing and Medical Engineering Department, Fraunhofer Institute for Integrated Circuits IIS, Erlangen, Germany, Computer Graphics Group, Friedrich-Alexander-University Erlangen-Nuremberg (FAU), Erlangen, Germany; Benz M., Image Processing and Medical Engineering Department, Fraunhofer Institute for Integrated Circuits IIS, Erlangen, Germany; Gryanik A., Image Processing and Medical Engineering Department, Fraunhofer Institute for Integrated Circuits IIS, Erlangen, Germany; Tannich E., Department of Parasitology, Bernhard Nocht Institute for Tropical Medicine, Hamburg, Germany; Wegner C., Department of Parasitology, Bernhard Nocht Institute for Tropical Medicine, Hamburg, Germany; Stamminger M., Computer Graphics Group, Friedrich-Alexander-University Erlangen-Nuremberg (FAU), Erlangen, Germany; Wittenberg T., Image Processing and Medical Engineering Department, Fraunhofer Institute for Integrated Circuits IIS, Erlangen, Germany, Computer Graphics Group, Friedrich-Alexander-University Erlangen-Nuremberg (FAU), Erlangen, Germany; Münzenmayer C., Image Processing and Medical Engineering Department, Fraunhofer Institute for Integrated Circuits IIS, Erlangen, Germany</t>
  </si>
  <si>
    <t xml:space="preserve">Automated microscopy; Convolutional neural networks; Image analysis; Machine learning; Malaria diagnosis; Plasmodia recognition</t>
  </si>
  <si>
    <t xml:space="preserve">Automation; Blood; Computer aided diagnosis; Convolution; Diagnosis; Image analysis; Learning systems; Medical imaging; Neural networks; Pathology; Quality assurance; Anopheles mosquitoes; Automated microscopy; Classification scheme; Convolutional neural network; Detection and diagnosis; Malaria diagnosis; Morphological analysis; Plasmodia recognition; Diseases</t>
  </si>
  <si>
    <t xml:space="preserve">World Malaria Report 2013, (2013); Yu D., Eversole A., Seltzer M.L., Yao K., Huang Z., Guenter B., Kuachaiev O., Zhang Y., Seide F., Wang H., Droppo J., Zweig G., Rossbach C., Currey J., Gao J., May A., Peng B., Stolcke A., Slaney M., An introduction to computational networks and the computational network toolkit, Technical Report, Microsoft Research, (2014); Krizhevsky A., Learning multiple layers of features from tiny images, Technical Report, (2009); Schowe B., Morik K., Fast-ensembles of minimum redundancy feature selection; Ensembles in machine learning applications, Studies in Computational Intelligence, 373, pp. 75-95, (2011)</t>
  </si>
  <si>
    <t xml:space="preserve">Gurcan M.N.; Tomaszewski J.E.</t>
  </si>
  <si>
    <t xml:space="preserve">Alpinion Medical Systems; The Society of Photo-Optical Instrumentation Engineers (SPIE)</t>
  </si>
  <si>
    <t xml:space="preserve">Medical Imaging 2017: Digital Pathology</t>
  </si>
  <si>
    <t xml:space="preserve">12 February 2017 through 13 February 2017</t>
  </si>
  <si>
    <t xml:space="preserve">978-151060725-5</t>
  </si>
  <si>
    <t xml:space="preserve">2-s2.0-85020278206</t>
  </si>
  <si>
    <t xml:space="preserve">Liang Z.; Powell A.; Ersoy I.; Poostchi M.; Silamut K.; Palaniappan K.; Guo P.; Hossain M.A.; Sameer A.; Maude R.J.; Huang J.X.; Jaeger S.; Thoma G.</t>
  </si>
  <si>
    <t xml:space="preserve">Liang, Zhaohui (7402177895); Powell, Andrew (57193361298); Ersoy, Ilker (6507396660); Poostchi, Mahdieh (26421326000); Silamut, Kamolrat (57208458283); Palaniappan, Kannappan (6701784534); Guo, Peng (57191484184); Hossain, Md Amir (7402472823); Sameer, Antani (57193358052); Maude, Richard James (25625222500); Huang, Jimmy Xiangji (35230036000); Jaeger, Stefan (55516608100); Thoma, George (7005141497)</t>
  </si>
  <si>
    <t xml:space="preserve">7402177895; 57193361298; 6507396660; 26421326000; 57208458283; 6701784534; 57191484184; 7402472823; 57193358052; 25625222500; 35230036000; 55516608100; 7005141497</t>
  </si>
  <si>
    <t xml:space="preserve">CNN-based image analysis for malaria diagnosis</t>
  </si>
  <si>
    <t xml:space="preserve">Malaria is a major global health threat. The standard way of diagnosing malaria is by visually examining blood smears for parasite-infected red blood cells under the microscope by qualified technicians. This method is inefficient and the diagnosis depends on the experience and the knowledge of the person doing the examination. Automatic image recognition technologies based on machine learning have been applied to malaria blood smears for diagnosis before. However, the practical performance has not been sufficient so far. This study proposes a new and robust machine learning model based on a convolutional neural network (CNN) to automatically classify single cells in thin blood smears on standard microscope slides as either infected or uninfected. In a ten-fold cross-validation based on 27,578 single cell images, the average accuracy of our new 16-layer CNN model is 97.37%. A transfer learning model only achieves 91.99% on the same images. The CNN model shows superiority over the transfer learning model in all performance indicators such as sensitivity (96.99% vs 89.00%), specificity (97.75% vs 94.98%), precision (97.73% vs 95.12%), F1 score (97.36% vs 90.24%), and Matthews correlation coefficient (94.75% vs 85.25%). © 2016 IEEE.</t>
  </si>
  <si>
    <t xml:space="preserve">Proceedings - 2016 IEEE International Conference on Bioinformatics and Biomedicine, BIBM 2016</t>
  </si>
  <si>
    <t xml:space="preserve">10.1109/BIBM.2016.7822567</t>
  </si>
  <si>
    <t xml:space="preserve">https://www.scopus.com/inward/record.uri?eid=2-s2.0-85013270066&amp;doi=10.1109%2fBIBM.2016.7822567&amp;partnerID=40&amp;md5=2f57a021507142f5928e37f3010683b8</t>
  </si>
  <si>
    <t xml:space="preserve">School of Information Technology, York University, Toronto, M3J1P3, ON, Canada; Computer Science Department, Swarthmore College, Swarthmore, 19081, PA, United States; School of Medicine, University of Missouri, Columbia, 65212, MO, United States; Computer Science Department, University of Missouri, Columbia, 65211, MO, United States; Mahidol-Oxford Tropical Medicine Research Unit, Mahidol University, Bangkok, Thailand; Electrical and Computer Engineering Department, Missouri SandT, Rolla, 65409, MO, United States; Chittagong Medical College Hospital, Chittagong, Bangladesh; National Library of Medicine, National Institute of Health, Bethesda, 20894, MD, United States</t>
  </si>
  <si>
    <t xml:space="preserve">Liang Z., School of Information Technology, York University, Toronto, M3J1P3, ON, Canada; Powell A., Computer Science Department, Swarthmore College, Swarthmore, 19081, PA, United States; Ersoy I., School of Medicine, University of Missouri, Columbia, 65212, MO, United States; Poostchi M., Computer Science Department, University of Missouri, Columbia, 65211, MO, United States; Silamut K., Mahidol-Oxford Tropical Medicine Research Unit, Mahidol University, Bangkok, Thailand; Palaniappan K., Computer Science Department, University of Missouri, Columbia, 65211, MO, United States; Guo P., Electrical and Computer Engineering Department, Missouri SandT, Rolla, 65409, MO, United States; Hossain M.A., Chittagong Medical College Hospital, Chittagong, Bangladesh; Sameer A., National Library of Medicine, National Institute of Health, Bethesda, 20894, MD, United States; Maude R.J., Mahidol-Oxford Tropical Medicine Research Unit, Mahidol University, Bangkok, Thailand; Huang J.X., School of Information Technology, York University, Toronto, M3J1P3, ON, Canada; Jaeger S., National Library of Medicine, National Institute of Health, Bethesda, 20894, MD, United States; Thoma G., National Library of Medicine, National Institute of Health, Bethesda, 20894, MD, United States</t>
  </si>
  <si>
    <t xml:space="preserve">Computer-aided diagnosis; Convolutional neural network; Deep learning; Machine learning; Malaria</t>
  </si>
  <si>
    <t xml:space="preserve">Artificial intelligence; Bioinformatics; Blood; Computer aided diagnosis; Computer aided instruction; Convolution; Deep neural networks; Diseases; Health risks; Image recognition; Learning systems; Neural networks; Convolutional neural network; Correlation coefficient; Image recognition technology; Machine learning models; Malaria; Malaria diagnosis; Performance indicators; Transfer learning; Deep learning</t>
  </si>
  <si>
    <t xml:space="preserve">HHS Ventures Fund; National Institutes of Health, NIH; U.S. National Library of Medicine, NLM; Lister Hill National Center for Biomedical Communications, LHNCBC</t>
  </si>
  <si>
    <t xml:space="preserve">This research is supported by the HHS Ventures Fund and the Intramural Research Program of NIH, NLM, and Lister Hill National Center for Biomedical Communications</t>
  </si>
  <si>
    <t xml:space="preserve">Murray C.J.L., Murray L.C., Lim S.S., Andrews K.G., Foreman K.J., Haring D., Fullman N., Naghavi M., Lozano R., Lopez A.D., Global malaria mortality between 1980 and 2010: A systematic analysis, The Lancet, 379, 9814, pp. 413-431, (2012); Mali S., Arguin S.P., Arguin P.M., Malaria surveillance-United States 2010, MMWR Surveillance Summary, 61, 2, pp. 413-431, (2012); Tokumasu F., Fairhurst R.M., Ostera G.R., Band 3 modifications in Plasmodium falciparum-infected AA and CC erythrocytes assayed by autocorrelation analysis using quantum dots, Journal of Cell Science, 118, 5, pp. 1091-1098, (2005); Hubel D.H., Wiesel T.N., Receptive fields of single neurones in the cat's striate cortex, The Journal of Physiology., 148, 3, pp. 574-591, (1959); Arel I., Rose D.C., Karnowski T.P., Deep machine learning - A new frontier in artificial intelligence research [research frontier], IEEE Computational Intelligence Magazine, 5, 4, pp. 13-18, (2010); Sio S.W., Sun W., Kumar S., Bin W.Z., Tan S.S., Ong S.H., Kikuchi H., Oshima Y., Tan K.S., MalariaCount: An image analysis-based program for the accurate determination of parasitemia, Journal of Microbiological Methods., 68, 1, pp. 11-18, (2007); Diaz G., Gonzalez F.A., Romero E., A semi-automatic method for quantification and classification of erythrocytes infected with malaria parasites in microscopic images, Journal of Biomedical Informatics., 42, 2, pp. 296-307, (2009); LeCun Y., Bengio Y., Hinton G., Deep learning, Nature., 521, 7553, pp. 436-444, (2015); Waibel A., Hanazawa T., Hinton G.E., Shikano K., Lang K., Phoneme recognition using time-delay neural networks, IEEE Trans. Speech Signal Process, 37, pp. 328-339, (1989); LeCun Y., Bottou L., Bengio Y., Haffner P., Gradient-based learning applied to document recognition, Proceedings of the IEEE., 86, 11, pp. 2278-2324, (1998); Simard P.Y., Steinkraus D., Platt J.C., Best practices for convolutional neural networks applied to visual document analysis, ICDAR, 3, pp. 958-962, (2003); Vaillant R., Monrocq C., LeCun Y., Original approach for the localisation of objects in images, IEEE Proceedings-Vision, Image and Signal Processing, 141, 4, pp. 245-250, (1994); Krizhevsky A., Sutskever I., Hinton G.E., Imagenet classification with deep convolutional neural networks, Advances in Neural Information Processing Systems., pp. 1097-1105, (2012); Zeiler M.D., Fergus R., Visualizing and understanding convolutional networks, European Conference on Computer Vision, pp. 818-833, (2014); Szegedy C., Liu W., Jia Y., Sermanet P., Reed S., Anguelov D., Erhan D., Vanhoucke V., Rabinovich A., Going deeper with convolutions, IEEE Conference on Computer Vision and Pattern Recognition, pp. 1-9, (2015); He K., Zhang X., Ren S., Sun J., Deep Residual Learning for Image Recognition, (2015); Mathworks, Deep Learning, (2016); Jarrett K., Kavukcuoglu K., Ranzato M.A., LeCun Y., What is the best multi-stage architecture for object recognition, International Conference on Computer Vision, IEEE, pp. 2146-2153, (2009); Hyvarinen A., Oja E., Independent component analysis: Algorithms and applications, Neural Networks, 13, 4, pp. 411-430, (2000); Ersoy I., Bunyak F., Higgins J.M., Palaniappan K., Coupled edge profile active contours for red blood cell flow analysis, 9th IEEE International Symposium on Biomedical Imaging (ISBI), pp. 748-751, (2012); Vedaldi A., Lenc K., Gupta A., MatConvNet-Convolutional Neural Networks for MATLAB, (2016); Das D.K., Maiti A.K., Chakraborty C., Automated system for characterization and classification of malaria-infected stages using light microscopic images of thin blood smears, Journal of Microscopy, 257, 3, pp. 5140-5144, (2015); Liang Z., Huang J.X., Zeng X., Zhang G., DL-ADR: A novel deep learning model for classifying genomic variants into adverse drug reactions, BMC Medical Genomics, 9, 2, (2016)</t>
  </si>
  <si>
    <t xml:space="preserve">S. Jaeger; National Library of Medicine, National Institute of Health, Bethesda, 20894, United States; email: stefan.jaeger@nih.gov</t>
  </si>
  <si>
    <t xml:space="preserve">Burrage K.; Zhu Q.; Liu Y.; Tian T.; Wang Y.; Hu X.T.; Jiang Q.; Song J.; Morishita S.; Burrage K.; Wang G.</t>
  </si>
  <si>
    <t xml:space="preserve">Harbin Institute of Technology (HIT); IEEE; IEEE Computer Society; National Science Foundation (NSF)</t>
  </si>
  <si>
    <t xml:space="preserve">2016 IEEE International Conference on Bioinformatics and Biomedicine, BIBM 2016</t>
  </si>
  <si>
    <t xml:space="preserve">15 December 2016 through 18 December 2016</t>
  </si>
  <si>
    <t xml:space="preserve">978-150901610-5</t>
  </si>
  <si>
    <t xml:space="preserve">2-s2.0-85013270066</t>
  </si>
  <si>
    <t xml:space="preserve">Dave I.R.; Upla K.P.</t>
  </si>
  <si>
    <t xml:space="preserve">Dave, Ishan R. (57196371724); Upla, Kishor P. (53985429600)</t>
  </si>
  <si>
    <t xml:space="preserve">57196371724; 53985429600</t>
  </si>
  <si>
    <t xml:space="preserve">Computer aided diagnosis of Malaria disease for thin and thick blood smear microscopic images</t>
  </si>
  <si>
    <t xml:space="preserve">Malaria Is a serious health Issue and causes a million deaths in a year globally. The present gold standard of malaria diagnosis, recommended by world health organization (WHO) is the manual microscopy method of Giemsa-stained blood smears, which is a laborious process requiring expert technicians. This paper presents a robust and fast algorithm that identifies Malaria parasites from both thin and thick blood smears. In the proposed method, first the images are pre-processed in order to remove noise variations occurs due to microscope lenses and different lighting conditions. This step makes the proposed algorithm more robust to those noise conditions. Next to this, image segmentation is performed using histogram based adaptive thresholding followed by mathematical morphological operations. The segmented images are used further to detect infected red blood cell (RBC) by the malaria parasite. The detection of infected RBC is done using unsupervised learning technique, which makes the detection process faster. The proposed algorithm is experimented on the different images and it shows that the proposed algorithm is suitable for computer aided diagnosis (CAD) of Malaria disease. © 2017 IEEE.</t>
  </si>
  <si>
    <t xml:space="preserve">2017 4th International Conference on Signal Processing and Integrated Networks, SPIN 2017</t>
  </si>
  <si>
    <t xml:space="preserve">10.1109/SPIN.2017.8050013</t>
  </si>
  <si>
    <t xml:space="preserve">https://www.scopus.com/inward/record.uri?eid=2-s2.0-85032838116&amp;doi=10.1109%2fSPIN.2017.8050013&amp;partnerID=40&amp;md5=76d6a1f47a50d3bb12903ee9a55a3ccd</t>
  </si>
  <si>
    <t xml:space="preserve">Electronics Engineering Department, Sardar Vallabhbhai National Institute of Technology, Surat, India</t>
  </si>
  <si>
    <t xml:space="preserve">Dave I.R., Electronics Engineering Department, Sardar Vallabhbhai National Institute of Technology, Surat, India; Upla K.P., Electronics Engineering Department, Sardar Vallabhbhai National Institute of Technology, Surat, India</t>
  </si>
  <si>
    <t xml:space="preserve">Blood; Diagnosis; Diseases; Image segmentation; Mathematical morphology; Signal processing; Adaptive thresholding; Computer Aided Diagnosis(CAD); Detection process; Lighting conditions; Malaria diagnosis; Mathematical morphological operation; Microscopic image; World Health Organization; Computer aided diagnosis</t>
  </si>
  <si>
    <t xml:space="preserve">World Malaria Report 2015, (2015); Basic Malaria Microscopy: Tutors Guide, (2010); Tek F.B., Dempster A.G., Kale I., Parasite detection and identification for automated thin blood film malaria diagnosis, Computer Vision and Image Understanding, 114, 1, pp. 21-32, (2010); Mushabe M.C., Dendere R., Douglas T.S., Automated detection of malaria in giemsa-stained thin blood smears, 2013 35th Annual International Conference of the IEEE Engineering in Medicine and Biology Society (EMBC), pp. 3698-3701, (2013); Charpe K.C., Bairagi V., Automated malaria parasite and there stage detection in microscopic blood images, Intelligent Systems and Control (ISCO) 2015 IEEE 9th International Conference on, pp. 1-4, (2015); Frean J.A., Reliable enumeration of malaria parasites in thick blood films using digital image analysis, Malaria Journal, 8, 1, (2009); Elter M., Halmeyer E., Zerfa T., Detection of malaria parasites in thick blood films, 2011 Annual International Conference of the IEEE Engineering in Medicine and Biology Society, pp. 5140-5144, (2011); Arco J., Gorriz J.M., Ramirez J., Alvarez I., Puntonet C.G., Digital image analysis for automatic enumeration of malaria parasites using morphological operations, Expert Systems with Applications, 42, 6, pp. 3041-3047, (2015); Burt P., Adelson E., The laplacian pyramid as a compact image code, IEEE Transactions on Communications, 31, 4, pp. 532-540, (1983); Otsu N., A threshold selection method from gray-level histograms, Automatica, 11, 285-296, pp. 23-27, (1975); Control and surveillance of human african trypanosomiasis, World Health Organization Technical Report Series, 984, (2013); Krause P.J., Telford S.R., Ryan R., Conrad P.A., Wilson M., Thomford J.W., Spielman A., Diagnosis of babesiosis: Evaluation of a serologic test for the detection of babesia microti antibody, Journal of Infectious Diseases, 169, 4, pp. 916-923, (1994)</t>
  </si>
  <si>
    <t xml:space="preserve">4th International Conference on Signal Processing and Integrated Networks, SPIN 2017</t>
  </si>
  <si>
    <t xml:space="preserve">2 February 2017 through 3 February 2017</t>
  </si>
  <si>
    <t xml:space="preserve">978-150902797-2</t>
  </si>
  <si>
    <t xml:space="preserve">Int. Conf. Signal Process. Integr. Networks, SPIN</t>
  </si>
  <si>
    <t xml:space="preserve">2-s2.0-85032838116</t>
  </si>
  <si>
    <t xml:space="preserve">Mehanian C.; Jaiswal M.; Delahunt C.; Thompson C.; Horning M.; Hu L.; McGuire S.; Ostbye T.; Mehanian M.; Wilson B.; Champlin C.; Long E.; Proux S.; Gamboa D.; Chiodini P.; Carter J.; Dhorda M.; Isaboke D.; Ogutu B.; Oyibo W.; Villasis E.; Tun K.M.; Bachman C.; Bell D.</t>
  </si>
  <si>
    <t xml:space="preserve">Mehanian, Courosh (57213410036); Jaiswal, Mayoore (57201855718); Delahunt, Charles (56125306200); Thompson, Clay (56564590400); Horning, Matt (12762147400); Hu, Liming (57202122314); McGuire, Shawn (57162582100); Ostbye, Travis (57201849900); Mehanian, Martha (57215271957); Wilson, Ben (56667865100); Champlin, Cary (57201863801); Long, Earl (57215276083); Proux, Stephane (6507400988); Gamboa, Dionicia (20734091100); Chiodini, Peter (7006861633); Carter, Jane (7403988525); Dhorda, Mehul (56429929800); Isaboke, David (57215284078); Ogutu, Bernhards (6701594307); Oyibo, Wellington (56350018500); Villasis, Elizabeth (55433074900); Tun, Kyaw Myo (56797957700); Bachman, Christine (57201856732); Bell, David (8727316100)</t>
  </si>
  <si>
    <t xml:space="preserve">57213410036; 57201855718; 56125306200; 56564590400; 12762147400; 57202122314; 57162582100; 57201849900; 57215271957; 56667865100; 57201863801; 57215276083; 6507400988; 20734091100; 7006861633; 7403988525; 56429929800; 57215284078; 6701594307; 56350018500; 55433074900; 56797957700; 57201856732; 8727316100</t>
  </si>
  <si>
    <t xml:space="preserve">Computer-Automated Malaria Diagnosis and Quantitation Using Convolutional Neural Networks</t>
  </si>
  <si>
    <t xml:space="preserve">The optical microscope remains a widely-used tool for diagnosis and quantitation of malaria. An automated system that can match the performance of well-trained technicians is motivated by a shortage of trained microscopists. We have developed a computer vision system that leverages deep learning to identify malaria parasites in micrographs of standard, field-prepared thick blood films. The prototype application diagnoses P. falciparum with sufficient accuracy to achieve competency level 1 in the World Health Organization external competency assessment, and quantitates with sufficient accuracy for use in drug resistance studies. A suite of new computer vision techniques-global white balance, adaptive nonlinear grayscale, and a novel augmentation scheme-underpin the system's state-of-the-art performance. We outline a rich, global training set; describe the algorithm in detail; argue for patient-level performance metrics for the evaluation of automated diagnosis methods; and provide results for P. falciparum. © 2017 IEEE.</t>
  </si>
  <si>
    <t xml:space="preserve">Proceedings - 2017 IEEE International Conference on Computer Vision Workshops, ICCVW 2017</t>
  </si>
  <si>
    <t xml:space="preserve">10.1109/ICCVW.2017.22</t>
  </si>
  <si>
    <t xml:space="preserve">https://www.scopus.com/inward/record.uri?eid=2-s2.0-85046248728&amp;doi=10.1109%2fICCVW.2017.22&amp;partnerID=40&amp;md5=6345cab30c6cee6770d917a1b8e455d3</t>
  </si>
  <si>
    <t xml:space="preserve">Global Good Research, United States; University of Washington, United States; Creative Creek Software, United Kingdom; LSHTM, United Kingdom; SMRU, United Kingdom; UPCH, Peru; HTD, United States; Amref, Kenya; WWARN, United States; Kemri, India; University of Lagos, Nigeria; DSMA, United States; Global Good Fund, United States</t>
  </si>
  <si>
    <t xml:space="preserve">Mehanian C., Global Good Research, United States; Jaiswal M., Global Good Research, United States, University of Washington, United States; Delahunt C., Global Good Research, United States, University of Washington, United States; Thompson C., Creative Creek Software, United Kingdom; Horning M., Global Good Research, United States; Hu L., Global Good Research, United States; McGuire S., Global Good Research, United States; Ostbye T., Global Good Research, United States; Mehanian M., Global Good Research, United States; Wilson B., Global Good Research, United States; Champlin C., Global Good Research, United States; Long E., LSHTM, United Kingdom; Proux S., SMRU, United Kingdom; Gamboa D., UPCH, Peru; Chiodini P., HTD, United States; Carter J., Amref, Kenya; Dhorda M., WWARN, United States; Isaboke D., Amref, Kenya; Ogutu B., Kemri, India; Oyibo W., University of Lagos, Nigeria; Villasis E., UPCH, Peru; Tun K.M., DSMA, United States; Bachman C., Global Good Fund, United States; Bell D., Global Good Fund, United States</t>
  </si>
  <si>
    <t xml:space="preserve">Automation; Deep learning; Diseases; Neural networks; Automated diagnosis; Competency assessment; Computer vision system; Computer vision techniques; Convolutional neural network; Performance metrics; State-of-the-art performance; World Health Organization; Computer vision</t>
  </si>
  <si>
    <t xml:space="preserve">World Malaria Report 2016; Basic Malaria Microscopy - Part I: Learner's Guide, (2010); Wongsrichanalai C., Barcus M.J., Muth S., Sutamihardja A., Wernsdorfer W.H., A review of malaria diagnostic tools: Microscopy and rapid diagnostic test (RDT), The American Journal of Tropical Medicine and Hygiene, 77, 6, pp. 119-127, (2007); Albert H., Manabe Y., Lukyamuzi G., Ademun P., Mukkada S., Nyesiga B., Joloba M., Paramasivan C.N., Perkins M.D., Performance of three LED-based fluorescence microscopy systems for detection of tuberculosis in Uganda, PLOS ONE, 5, 12, (2010); Durrheim D.N., Becker P.J., Billinghurst K., Diagnostic disagreement-the lessons learnt from malaria diagnosis in Mpumalanga, South African Medical Journal, 87, (1997); Microscopy for the Detection, Identification and Quantification of Malaria Parasites on Stained Thick and Thin Blood Films in Research Settings, (2015); White N., The parasite clearance curve, Malaria Journal, 10, pp. 1-8, (2011); Methods for Surveillance of Antimalarial Drug Efficacy, (2009); Ashraf S., Kao A., Hugo C., Christophel E.M., Fatunmbi B., Luchavez J., Lilley K., Bell D., Developing standards for malaria microscopy: External competency assessment for malaria microscopists in the Asia-Pacific, Malaria Journal, 11, (2012); LeCun Y., Boser B., Denker J.S., Henderson D., Howard R.E., Hubbard W., Jackel L.D., Backpropagation applied to handwritten zip code recognition, Neural Computation, 4, pp. 541-551, (1989); Krizhevsky Sutskever A., Hinton G.E., ImageNet Classification with Deep Convolutional Neural Networks, Advances in Neural Information Processing Systems, 25, pp. 1097-1105, (2012); Ciresan D.C., Giusti A., Gambardella L.M., Schmidhuber J., Mitosis Detection in Breast Cancer Histology Images with Deep Neural Networks, International Conference on Medical Image Computing and Computer-assisted Intervention, pp. 411-418, (2013); He Zhang K., Ren S., Sun J., Deep Residual Learning for Image Recognition, IEEE Conference on Computer Vision and Pattern Recognition, (2016); Warhurst D.C., Williams J.E., Laboratory diagnosis of malaria, Journal of Clinical Pathology, 49, pp. 533-538, (1996); Quinn J.A., Andama A., Munabi I., Kiwanuka F.N., Automated Blood Smear Analysis for Mobile Malaria Diagnosis, Mobile Point-of-Care Monitors and Diagnostic Device Design, Chapter: Automated Blood Smear Analysis for Mobile Malaria Diagnosis, pp. 115-132, (2014); Rosado L., Correia Da Costa J.M., Elias D., Cardoso J.S., Automated detection of malaria parasites on thick blood smears via mobile devices, Procedia Computer Science, 90, pp. 138-144, (2016); Vink J.P., Laubscher M., Vlutters R., Silamut K., Maude R.J., Hasan M.U., Haan G., An automatic vision-based malaria diagnosis system, Journal of Microscopy, 250, 3, pp. 166-178, (2013); Linder N., Turkki R., Walliander M., Martensson A., Diwan V., Rahtu E., Pietikainen M., Lundin M., Lundin J., A Malaria Diagnostic Tool Based on Computer Vision Screening and Visualization of Plasmodium falciparum Candidate Areas in Digitized Blood Smears, PLoS One, 9, (2014); Diaz G., Gonzalez F.A., Romero E., A semi-automatic method for quantification and classification of erythrocytes infected with malaria parasites in microscopic images, Journal of Biomedical Informatics, 42, pp. 296-307, (2009); Delahunt C.B., Mehanian C., Hu L., McGuire S.K., Champlin C.R., Horning M.P., Wilson B.K., Thompson C.T., Automated Microscopy and Machine Learning for Expert- Level Malaria Field Diagnosis, 2015 IEEE Global Humanitarian Technology Conference (GHTC), pp. 393-399, (2015); Rosado L., Correia Da Costa J.M., Elias D., Cardoso J.S., A review of automatic malaria parasites detection and segmentation in microscopic images, Anti-Infective Agents, 14, 1, pp. 11-22, (2016); Das D.K., Mukherjee R., Chakraborty C., Computational microscopic imaging for malaria parasite detection: A systematic review, Journal of Microscopy, 260, 1, pp. 1-19, (2015); Strugger S., Fluorescence microscope examination of bacteria in soil, Canadian Journal of Research, 26, 2 C, pp. 188-193, (1948); Malaria Microscopy Quality Assurance Manual, (2016); Girshick R.B., Donahue J., Darrell T., Malik J., Rich feature hierarchies for accurate object detection and semantic segmentation, Proceedings of the IEEE Conference on Computer Vision and Pattern Recognition (CVPR), pp. 580-587, (2014); Redmon J., Divvala S., Girshick R., Farhadi A., You only Look Once: Unified Real-Time Object Detection, The IEEE Conference on Computer Vision and Pattern Recognition (CVPR), pp. 779-788, (2016); Felzenszwalb P.F., Girshick R.B., McAllester D., Raman D., Object detection with discriminatively trained part-based models, IEEE Transactions on Pattern Analysis and Machine Intelligence, 32, 9, pp. 1627-1645, (2010); Uijlings J.R.R., Van De Sande K.E.A., Gevers T., Smeulders A.W.M., Selective search for object recognition, International Journal of Computer Vision, 104, 2, pp. 154-171, (2013); Girshick R.B., Fast R-CNN, Proceedings of the IEEE International Conference on Computer Vision (ICCV), pp. 1440-1448, (2015); Ren S., He K., Girshick R.B., Sun J., Faster R-CNN: Towards real-time object detection with region proposal networks, Advances in Neural Information Processing Systems (NIPS), pp. 91-99, (2015); Recommendation ITU-R BT601-7, (2015); Boser B.E., Guyon I.M., Vapnik V., A training algorithm for optimal margin classifiers, Fifth Annual Workshop on Computational Learning Theory, (1992); Ng A.Y., Feature selection, L1 vs. L2 regularization, and rotational invariance, Proc. ICML, (2004); Tibshirani R., Regression Shrinkage and Selection via the lasso, Journal of the Royal Statistical Society, Series B, 58, 1, pp. 267-288, (1996); Rosipal R., Kramer N., Overview and Recent Advances in Partial Least Squares, Subspace, Latent Structure and Feature Selection Techniques, pp. 34-51, (2006); Metz C.E., Evaluation of digital mammography by ROC analysis, Proc. International Workshop on Digital Mammography, pp. 61-68, (1996); Otsu N., A threshold selection method from gray-level histograms, IEEE Transactions on Systems, Man and Cybernetics, 9, 1, pp. 62-66, (1979); Kittler J., Illingworth J., Minimum error thresholding, Pattern Recognition, 19, 1, pp. 41-47, (1986); Brenner J.F., Dew B.S., Horton J.B., King T., Neurath P.W., Selles W.D., An automated microscope for cytologic research: A preliminary evaluation, Journal of Histochemistry and Cytochemistry, 24, 1, pp. 100-111, (1976); Breiman L., Random Forests, Machine Learning, 45, 1, pp. 5-32, (2001); Jia Y., Shelhamer E., Donahue J., Karayev S., Long J., Girshick R., Guadarrama S., Darrell T., Caffe: Convolutional Architecture for Fast Feature Embedding, (2014); Simonyan K., Zisserman A., Very Deep Convolutional Networks for Large-Scale Image Recognition, (2015); Szegedy C., Liu W., Jia Y., Sermanet P., Reed S., Anguelov D., Erhan D., Vanhoucke V., Rabinovich A., IEEE Conference on Computer Vision and Pattern Recognition (CVPR), pp. 1-9, (2015); Deng J., Berg A., Satheesh S., Su H., Khosla A., Fei-Fei L., ImageNet Large Scale Visual Recognition Competition (ILSVRC), (2012); Razavian A.S., Azizpour H., Sullivan J., Carlsson S., CNN Features Off-the-shelf: An Astounding Baseline for Recognition, (2014); Donahue J., Jia Y., Vinyals O., Hoffman J., Zhang N., Tzeng E., Darrell T., DeCAF: A Deep Convolutional Activation Feature for Generic Visual Recognition, (2013); Yosinski J., Clune J., Bengio Y., Lipson H., How transferable are features in deep neural networks?, Advances in Neural Information Processing Systems (NIPS), (2014); Cox D.R., The regression analysis of binary sequences, Journal of the Royal Statistical Society B, 20, pp. 215-242, (1958); Fan R.E., Chang K.W., Hsieh C.J., Wang X.R., Lin C.J., LIBLINEAR: A library for large linear classification, Journal of Machine Learning Research, 9, pp. 1871-1874, (2008)</t>
  </si>
  <si>
    <t xml:space="preserve">16th IEEE International Conference on Computer Vision Workshops, ICCVW 2017</t>
  </si>
  <si>
    <t xml:space="preserve">22 October 2017 through 29 October 2017</t>
  </si>
  <si>
    <t xml:space="preserve">Venice</t>
  </si>
  <si>
    <t xml:space="preserve">978-153861034-3</t>
  </si>
  <si>
    <t xml:space="preserve">Proc. - IEEE Int. Conf. Comput. Vis. Workshops, ICCVW</t>
  </si>
  <si>
    <t xml:space="preserve">2-s2.0-85046248728</t>
  </si>
  <si>
    <t xml:space="preserve">Modu B.; Asyhari A.T.; Peng Y.</t>
  </si>
  <si>
    <t xml:space="preserve">Modu, Babagana (56521520900); Asyhari, A. Taufiq (24330878400); Peng, Yonghong (8349253200)</t>
  </si>
  <si>
    <t xml:space="preserve">56521520900; 24330878400; 8349253200</t>
  </si>
  <si>
    <t xml:space="preserve">Data Analytics of climatic factor influence on the impact of malaria incidence</t>
  </si>
  <si>
    <t xml:space="preserve">Predicting association between the malaria risk and its climatic predictors provides individuals and public health officials with prior knowledge for effective prevention and control measures. This paper presents an integrated analysis of a total of 2,148 confirmed cases of malaria incidence for Aboh Mbaise General Hospital, together with the satellite meteorological data downloaded from National Centre for Environmental Prediction (NCEP). By pre-whitening the climatic data sets and analysing their cross-correlation with the malaria incidence, we find that temperature and precipitation have negligible lagged effects on the malaria occurrence in the study area. A further analysis reveals that relative humidity shows significant association (P-value &lt; 0:05) with the malaria incidence. However, regression model with autoregressive error structure AR(1) is then used to establish the relationship between the malaria incidence and relative humidity time series. The findings look to confirm the significant contribution of relative humidity to the malaria incidence in the study area due to its high humidity characteristics (about 74% average relative humidity) occurring mostly during the wet season. © 2016 IEEE.</t>
  </si>
  <si>
    <t xml:space="preserve">2016 IEEE Symposium Series on Computational Intelligence, SSCI 2016</t>
  </si>
  <si>
    <t xml:space="preserve">10.1109/SSCI.2016.7849891</t>
  </si>
  <si>
    <t xml:space="preserve">https://www.scopus.com/inward/record.uri?eid=2-s2.0-85016034787&amp;doi=10.1109%2fSSCI.2016.7849891&amp;partnerID=40&amp;md5=eca9cc4606ad69ea99422948d759b7da</t>
  </si>
  <si>
    <t xml:space="preserve">School of Electrical Engineering and Computer Science, University of Bradford, United Kingdom; Faculty of Applied Sciences, University of Sunderland, United Kingdom</t>
  </si>
  <si>
    <t xml:space="preserve">Modu B., School of Electrical Engineering and Computer Science, University of Bradford, United Kingdom; Asyhari A.T., School of Electrical Engineering and Computer Science, University of Bradford, United Kingdom; Peng Y., Faculty of Applied Sciences, University of Sunderland, United Kingdom</t>
  </si>
  <si>
    <t xml:space="preserve">Artificial intelligence; Diseases; Health risks; Meteorology; Regression analysis; Risk assessment; Autoregressive errors; Climatic factors; Cross correlations; Environmental prediction; General hospitals; Integrated analysis; Meteorological data; Prevention and controls; Malaria control</t>
  </si>
  <si>
    <t xml:space="preserve">MacLeod D., Morse A., Visualizing the uncertainty in the relationship between seasonal average climate and malaria risk, Scientific Reports, 4, 7264, (2014); Mozambique-national Health Strategy 2011-2015, (2012); Zacarias O.P., Bostrom H., Comparing support vector regression and random forests for predicting malaria incidence in Mozambique, Proc. IEEE Int. Conf. Adv. ICT for Emerg. Regions (ICTer), (2013); Malaria Rapid Diagnostic Test Performance: Results of WHO Product Testing of Malaria RDTs: Round 6( 2014-2015), (2015); Aregawi M., Lynch M., Bekele W., Kebede H., Jima D., Taffese H.S., Yenehun M.A., Lilay A., Williams R., Thomson M., Nafo-Traore F., Admasu K., Gebreyesus T.A., Coosemans M., Time series analysis of trends in malaria cases and deaths at hospitals and the effect of antimalarial interventions, 2001-2011, Ethiopia, PLoS ONE, 9, 11, (2014); Binka F.N., Morris S.S., Ross D.A., Arthur P., Aryeetey M.E., Patterns of malaria morbidity and mortality in children in northern Ghana, Trans. Royal Society Tropical Med. Hygiene, 88, 4, pp. 381-385, (1994); Ghana Records over 11 Million Cases of OPD Malaria in, (2013); Martens P., Kovats R.S., Nijhof S., De Vries P., Livermore M.T.J., Bradley D.J., Cox J., McMichael A.J., Climate change and future populations at risk of malaria, Global Environmental Change, 9, pp. S89-S107, (1999); Lindblade K.A., Walker E.D., Onapa A.W., Katungu J., Wilson M.L., Highland malaria in Uganda: Prospective analysis of an epidemic associated with El Ni~no, Trans. Royal Society Tropical Med. Hygiene, 93, 5, pp. 480-487, (1999); Thomson M.C., Mason S.J., Phindela T., Connor S.J., Use of rainfall and sea surface temperature monitoring for malaria early warning in Botswana, American J. of Tropical Medicine and Hygiene, 73, 1, pp. 214-221, (2005); Wangdi K., Singhasivanon P., Silawan T., Lawpoolsri S., White N.J., Kaewkungwal J., Development of temporal modelling for forecasting and prediction of malaria infections using time-series and ARIMAX analyses: A case study in endemic districts of Bhutan, Malaria J, 9, 251, (2010); Ermert V., Fink A.H., Jones A.E., Morse A.P., Development of a new version of the Liverpool Malaria Model. I. Refining the parameter settings and mathematical formulation of basic processes based on a literature review, Malaria J, 10, 35, (2011); Ermert V., Fink A.H., Jones A.E., Morse A.P., Development of a new version of the Liverpool Malaria Model. II. Calibration and validation for West Africa, Malaria J, 10, 62, (2011); Chukwuocha U.M., Dozie I.N., Malaria transmission and morbidity patterns in holoendemic areas of Imo River Basin of Nigeria, BMC Research Notes, 4, 514, (2011); Kumar V., Mangal A., Panesar S., Yadav G., Talwar R., Raut D., Singh S., Forecasting malaria cases using climatic factors in Delhi, India: A time series analysis, Malaria Research and Treatment, 2014, (2014); Ngarakana-Gwasira E.T., Bhunu C.P., Masocha M., Mashonjowa E., Assessing the role of climate change in malaria transmission in Africa, Malaria Research and Treatment, 2016, (2016); Assele V., Ndoh G.E., Nkoghe D., Fandeu T., No evidence of decline in malaria burden from 2006 to 2013 in a rural Province of Gabon: Implications for public health policy, BMC Public Health, 15, 81, (2015); Gomez-Elipe A., Otero A., Van Herp M., Aguirre-Jaime A., Forecasting malaria incidence based on monthly case reports and environmental factors in Karuzi, Burundi, 1997-2003, Malaria J, 6, 129, (2007); Sriwattanapongse W., Me-Ead S., Khanabsakdi S., Forecasting malaria incidence based on monthly case reports and climatic factors in Ubon Ratchathani province, Thailand, 2000-2009, Sci. J. Ubon Ratchathani University, 2, 1, (2011); Dan Dan E., Jude O., Idochi O., Modelling and forecasting malaria mortality rate using SARIMA models (A case study of Aboh Mbaise general hospital, Imo State Nigeria), Sci. J. Appl. Mathematics and Statistics, 2, 1, pp. 31-41, (2014); Martens W.J.M., Jetten T.H., Rotmans J., Niessen L.W., Climate change and vector-borne diseases: A global modelling perspective, Global Environmental Change, 5, 3, pp. 195-209, (1995); Lindsay S.W., Birley M.H., Climate change and malaria transmission, Ann. Tropical Med. Parasitology, 90, 6, pp. 573-588, (1996); Craig M.H., Snow R.W., Le Sueur D., A climate-based distribution model of malaria transmission in sub-Saharan Africa, Parasitology Today, 15, 3, pp. 105-111, (1999); Historical Analysis of Mbaise, (2016); Nobre A., Schmidt A., Lopes H., Spatio-temporal models for mapping the incidence of malaria in Pará, Environmetrics, 16, 3, pp. 291-304, (2005); Salehi M., Mohammad K., Farahani M.M., Zeraati H., Nourijelyani K., Zayeri F., Spatial modeling of malaria incidence rates in Sistan and Baluchistan province, Islamic Republic of Iran, Saudi Medical J, 29, 12, pp. 1791-1796, (2008); Zhou G., Minakawa N., Githeko A.K., Yan G., Association between climate variability and malaria epidemics in the East African highlands, Proc. Nat. Acad. Sci. USA, 101, 8, pp. 2375-2380, (2004); Ejezie G.C., Ezedinachi E.N., Usanga E.A., Gemade E.I., Ikpatt N.W., Alaribe A.A., Malaria and its treatment in rural villages of Aboh Mbaise, Imo State, Nigeria, Acta Trop, 48, 1, pp. 17-24, (1990); Permanasari A.E., Hidayah I., Bustoni I.A., SARIMA (Seasonal ARIMA) implementation on time series to forecast the number of Malaria incidence, Proc. Int. Conf. Inf. Technol. Elect. Eng. (ICITEE), (2013); Bowerman B.L., O'Connell R.T., Forecasting and Time Series: An Applied Approach, (1993); Cochrane D., Orcutt G.H., Application of least squares regression to relationships containing auto-correlated error terms, J. American Statistical Association, 44, 245, pp. 32-61, (1949); Disease Model Cradle</t>
  </si>
  <si>
    <t xml:space="preserve">IEEE Computational Intelligence Society</t>
  </si>
  <si>
    <t xml:space="preserve">6 December 2016 through 9 December 2016</t>
  </si>
  <si>
    <t xml:space="preserve">978-150904240-1</t>
  </si>
  <si>
    <t xml:space="preserve">IEEE Symp. Ser. Comput. Intell., SSCI</t>
  </si>
  <si>
    <t xml:space="preserve">2-s2.0-85016034787</t>
  </si>
  <si>
    <t xml:space="preserve">Moallem G.; Poostchi M.; Yu H.; Silamut K.; Palaniappan N.; Antani S.; Hossain M.A.; Maude R.J.; Jaeger S.; Thoma G.</t>
  </si>
  <si>
    <t xml:space="preserve">Moallem, Golnaz (57202742593); Poostchi, Mahdieh (26421326000); Yu, Hang (57214397334); Silamut, Kamolrat (57208458283); Palaniappan, Nila (59023926200); Antani, Sameer (6701355570); Hossain, Md Amir (7402472823); Maude, Richard J. (25625222500); Jaeger, Stefan (55516608100); Thoma, George (7005141497)</t>
  </si>
  <si>
    <t xml:space="preserve">57202742593; 26421326000; 57214397334; 57208458283; 59023926200; 6701355570; 7402472823; 25625222500; 55516608100; 7005141497</t>
  </si>
  <si>
    <t xml:space="preserve">Detecting and segmenting white blood cells in microscopy images of thin blood smears</t>
  </si>
  <si>
    <t xml:space="preserve">A malarial infection is diagnosed and monitored by screening microscope images of blood smears for parasite-infected red blood cells. Millions of blood slides are manually screened for parasites every year, which is a tedious and error-prone process, and which largely depends on the expertise of the microscopists. We have developed a software to perform this task on a smartphone, using machine learning and image analysis methods for counting infected red blood cells automatically. The method we implemented first needs to detect and segment red blood cells. However, the presence of white blood cells (WBCs) contaminates the red blood cell detection and segmentation process because WBCs can be miscounted as red blood cells by automatic cell detection methods. As a result, a preprocessing step for WBC elimination is essential. Our paper proposes a novel method for white blood cell segmentation in microscopic images of blood smears. First, a range filtering algorithm is used to specify the location of white blood cells in the image following a Chan- Vese level-set algorithm to estimate the boundaries of each white blood cell present in the image. The proposed segmentation algorithm is systematically tested on a database of more than 1300 thin blood smear images exhibiting approximately 1350 WBCs. We evaluate the performance of the proposed method for the two WBC detection and WBC segmentation steps by comparing the annotations provided by a human expert with the results produced by the proposed algorithm. Our detection technique achieves a 96.37 % overall precision, 98.37 % recall, and 97.36 % Fl-score. The proposed segmentation method grants an overall 82.28 % Jaccard Similarity Index. These results demonstrate that our approach allows us to filter out WBCs, which significantly improves the precision of the cell counts for malaria diagnosis. © 2017 IEEE.</t>
  </si>
  <si>
    <t xml:space="preserve">10.1109/AIPR.2017.8457970</t>
  </si>
  <si>
    <t xml:space="preserve">https://www.scopus.com/inward/record.uri?eid=2-s2.0-85057518759&amp;doi=10.1109%2fAIPR.2017.8457970&amp;partnerID=40&amp;md5=1d938e701bce0475f0ca3047f39d10ba</t>
  </si>
  <si>
    <t xml:space="preserve">Electrical Engineering Department, Texas Tech University, Lubbock, 79409, TX, United States; Lister Hill National Center for Biomedical Communications, U.S. National Library of Medicine, Bethesda, 20894, MD, United States; Mahidol-Oxford Tropical Medicine Research Unit, Bangkok, 10400, Thailand; University of Missouri-Kansas City, Kansas City, 64110, MO, United States; Chittagong Medical College and Hospital, Chittagong, Bangladesh</t>
  </si>
  <si>
    <t xml:space="preserve">Moallem G., Electrical Engineering Department, Texas Tech University, Lubbock, 79409, TX, United States; Poostchi M., Lister Hill National Center for Biomedical Communications, U.S. National Library of Medicine, Bethesda, 20894, MD, United States; Yu H., Lister Hill National Center for Biomedical Communications, U.S. National Library of Medicine, Bethesda, 20894, MD, United States; Silamut K., Mahidol-Oxford Tropical Medicine Research Unit, Bangkok, 10400, Thailand; Palaniappan N., University of Missouri-Kansas City, Kansas City, 64110, MO, United States; Antani S., Lister Hill National Center for Biomedical Communications, U.S. National Library of Medicine, Bethesda, 20894, MD, United States; Hossain M.A., Chittagong Medical College and Hospital, Chittagong, Bangladesh; Maude R.J., Mahidol-Oxford Tropical Medicine Research Unit, Bangkok, 10400, Thailand; Jaeger S., Lister Hill National Center for Biomedical Communications, U.S. National Library of Medicine, Bethesda, 20894, MD, United States; Thoma G., Lister Hill National Center for Biomedical Communications, U.S. National Library of Medicine, Bethesda, 20894, MD, United States</t>
  </si>
  <si>
    <t xml:space="preserve">Blood; Cytology; Image segmentation; Learning systems; Blood smears; Cell detection; Cell segmentation; Error-prone process; Microscope images; Microscopy images; Parasite-; Red blood cell; Smart phones; White blood cells; Cells</t>
  </si>
  <si>
    <t xml:space="preserve">V. ACKNOWLEDGMENT This research is supported by the Intramural Research Program of NIH, NLM, and Lister Hill National Center for Biomedical Communications. Mahidol-Oxford Tropical Medicine Research Unit is funded by the Wellcome Trust of Great Britain.</t>
  </si>
  <si>
    <t xml:space="preserve">Eom S., Kim S., Shin V., Ahn B., Leukocyte segmentation in blood smear images using region-based active contours, Advanced Concepts for Intelligent Vision Systems, pp. 867-876, (2006); Yang L., Meer P., Foran D.J., Unsupervised segmentation based on robust estimation and color active contour models, IEEE Transactions on Information Technology in Biomedicine, 9, 3, pp. 475-486, (2005); Poostchi M., Ersoy I., Bansal A., Palaniappan K., Antani S., Jaeger S., Thoma G., Image Analysis of Blood Slides for Automatic Malaria Diagnosis, (2015); Reta C., Altamirano Robles L., Gonzalez J.A., Diaz R., Guichard J.S., Segmentation of bone marrow cell images for morphological classification of acute leukemia., FLAIRS Conference, pp. 86-91, (2010); Fatichah C., Leonard Tangel M., Rahmat Widyanto M., Dong F., Hirota K., Interest-based ordering for fuzzy morphology on white blood cell image segmentation, Journal of Advanced Computational Intelligence and Intelligent Informatics, 16, 1, pp. 76-86, (2012); Theera-Umpon N., White blood cell segmentation and classification in microscopic bone marrow images, Fuzzy Systems and Knowledge Discovery, pp. 485-485, (2005); Jiang K., Liao Q., Dai S., A novel white blood cell segmentation scheme using scale-space filtering and watershed clustering, International Conference on Machine Learning and Cybernetics, 5, pp. 2820-2825, (2003); Hou X., Zhou M., Sun Z., Li Q., Xue Y., Liu H., Wang Y., A BandMax and spectral angle mapper based alogrithm for white blood cell segmentation, International Conference on Digital Image Processing, (2017); Prinyakupt J., Pluempitiwiriyawej C., Segmentation of white blood cells and comparison of cell morphology by linear and naïve Bayes classifiers, Biomedical Engineering Online, 14, 1, pp. 63-82, (2015); Manik S., Mohan Saini L., Vadera N., Counting and classification of white blood cell using Artificial Neural Network (ANN), International Conference on Power Electronics, Intelligent Control and Energy Systems., pp. 1-5, (2016); Baldo Dorini L., Minetto R., Jeronimo Leite N., Semi-automatic white blood cell segmentation based on multiscale analysis, Journal of Biomedical and Health Informatics, 17, 1, pp. 250-256, (2013); Zhang C., Xiao X., Li X., Chen Y., Zhen W., Chang J., Zheng C., Liu Z., White blood cell segmentation by color-space-based k-means clustering, Journal of Sensors, 14, 9, pp. 16128-16147, (2014); Li Y., Zhu R., Mi L., Cao Y., Yao D., Segmentation of white blood cell from acute lymphoblastic leukemia images using dual-threshold method, Computational and Mathematical Methods in Medicine, 2016, (2016); Chan T.F., Vese T.F., Active contours without edges, Transactions on Image Processing, 10, 2, pp. 266-277, (2001); Liang Z., Powell A., Ersoy I., Poostchi M., Silamut K., Palaniappan K., Guo P., Amir Hossain M., Antani S., James Maude R., Xiangji Huang J., Jaeger S., Thoma G., CNN-based image analysis for malaria diagnosis, International Conference on Bioinformatics and Biomedicine (BIBM)., pp. 493-496, (2016)</t>
  </si>
  <si>
    <t xml:space="preserve">G. Moallem; Electrical Engineering Department, Texas Tech University, Lubbock, 79409, United States; email: golnaz.moallem@ttu.edu</t>
  </si>
  <si>
    <t xml:space="preserve">2017 IEEE Applied Imagery Pattern Recognition Workshop, AIPR 2017</t>
  </si>
  <si>
    <t xml:space="preserve">10 October 2017 through 12 October 2017</t>
  </si>
  <si>
    <t xml:space="preserve">978-153861235-4</t>
  </si>
  <si>
    <t xml:space="preserve">2-s2.0-85057518759</t>
  </si>
  <si>
    <t xml:space="preserve">Bashir A.; Mustafa Z.A.; Abdelhameid I.; Ibrahem R.</t>
  </si>
  <si>
    <t xml:space="preserve">Bashir, Ahmedelmubarak (57193788259); Mustafa, Zeinab A. (24725076400); Abdelhameid, Islah (57193795856); Ibrahem, Rimaz (57193793445)</t>
  </si>
  <si>
    <t xml:space="preserve">57193788259; 24725076400; 57193795856; 57193793445</t>
  </si>
  <si>
    <t xml:space="preserve">Detection of malaria parasites using digital image processing</t>
  </si>
  <si>
    <t xml:space="preserve">Malaria is a very serious infectious disease caused by a peripheral blood parasite of the genus Plasmodium. Conventional microscopy, which is currently 'the gold standard' for malaria diagnosis has occasionally proved inefficient since it is time consuming and results are difficult to reproduce. As it poses a serious global health problem, automation of the evaluation process is of high importance. In this work, an accurate, rapid and affordable model of malaria diagnosis using stained thin blood smear images was developed. The method made use of the intensity features of Plasmodium parasites and erythrocytes. Images of infected and non-infected erythrocytes were acquired, pre-processed, relevant features extracted from them and eventually diagnosis was made based on the features extracted from the images. A set of features based on intensity have been proposed, and the performance of these features on the red blood cell samples from the created database have been evaluated using an artificial neural network (ANN) classifier. The results have shown that these features could be successfully used for malaria detection. © 2017 IEEE.</t>
  </si>
  <si>
    <t xml:space="preserve">Proceedings - 2017 International Conference on Communication, Control, Computing and Electronics Engineering, ICCCCEE 2017</t>
  </si>
  <si>
    <t xml:space="preserve">10.1109/ICCCCEE.2017.7867644</t>
  </si>
  <si>
    <t xml:space="preserve">https://www.scopus.com/inward/record.uri?eid=2-s2.0-85016550508&amp;doi=10.1109%2fICCCCEE.2017.7867644&amp;partnerID=40&amp;md5=de9293b8ac54ea610fc3c7aae4336b16</t>
  </si>
  <si>
    <t xml:space="preserve">Sudan University of Sciences and Technology, College of Engineering, School of Electronics Engineering, Sudan; Sudan University of Sciences and Technology, College of Engineering, Biomedical Engineering Department, Sudan</t>
  </si>
  <si>
    <t xml:space="preserve">Bashir A., Sudan University of Sciences and Technology, College of Engineering, School of Electronics Engineering, Sudan; Mustafa Z.A., Sudan University of Sciences and Technology, College of Engineering, Biomedical Engineering Department, Sudan; Abdelhameid I., Sudan University of Sciences and Technology, College of Engineering, School of Electronics Engineering, Sudan; Ibrahem R., Sudan University of Sciences and Technology, College of Engineering, School of Electronics Engineering, Sudan</t>
  </si>
  <si>
    <t xml:space="preserve">Digital Image Processing; erythrocyte; gray-scale image; Malaria; Parasite</t>
  </si>
  <si>
    <t xml:space="preserve">Blood; Classification (of information); Deep neural networks; Diagnosis; Diseases; Neural networks; erythrocyte; Gray-scale images; Infected erythrocytes; Infectious disease; Intensity features; Malaria; Parasite; Plasmodium parasites; Image processing</t>
  </si>
  <si>
    <t xml:space="preserve">Who Report 2015, (2015); Shet N.R., Sampathila N., An image processing approach for screening of malaria, Canar. Eng. Coll. Mangalore, pp. 395-399, (2015); Ghate D.A., Jadhav P.C., Automatic detection of malaria parasite from blood images, Int. J. Adv. Comput. Technol, 1, 3, pp. 66-71, (2012); Suryawanshi M.S., Dixit P.V.V., Comparative study of malaria parasite detection using euclidean distance classifier, SVM, 2, 11, pp. 2994-2997, (2013); Anand A., Chhaniwal V.K., Patel N.R., Javidi B., Automatic identification of malaria-infected RBC with digital holographic microscopy using correlation algorithms, IEEE Photonics J, 4, 5, pp. 1456-1464, (2012); Springl V., Automatic malaria diagnosis through microscopy imaging, Czech Tech. Univ. Prague Fac. Electr. Engeneering, (2009); CDC-Malaria-About Malaria-Biology-Malaria Parasites, (2012); Bhargava N., Bhargava R., Threshold and binarization for document image analysis using otsu ' s Algorithm, Int. J. Comput. Trends Technol, 17, 5, pp. 272-275, (2014); Abdul-Nasir A.S., Mashor M.Y., Mohamed Z., Colour image segmentation approach for detection of malaria parasites using various colour models and k-means clustering, WSEAS Trans. Biol. Biomed, 10, 1, pp. 41-55, (2013); Khan W., Image segmentation techniques: A survey, J. Image Graph, 2, 1, pp. 6-9, (2013); Verm A., Scholar M.T., Lal C., Kumar S., Image segmentation: Review paper, Int. J. Educ. Sci. Res. Rev, 3, 2, (2016); Rodenacker K., Bengtsson E., A feature set for cytometry on digitized microscopic images, Anal. Cell. Pathol, 25, pp. 1-36, (2003); Doane D.P., Seward L.E., Measuring skewness : A forgotten statistic, J. Stat. Educ, 19, 2, pp. 1-18, (2011); Brys G., Hubert M., Struyf A., Goodness-of-fit tests based on a robust measure of skewness, Comput. Stat, 23, 3, pp. 429-442, (2008)</t>
  </si>
  <si>
    <t xml:space="preserve">Saeed R.A.; Mokhtar R.A.</t>
  </si>
  <si>
    <t xml:space="preserve">2017 International Conference on Communication, Control, Computing and Electronics Engineering, ICCCCEE 2017</t>
  </si>
  <si>
    <t xml:space="preserve">16 January 2017 through 17 January 2017</t>
  </si>
  <si>
    <t xml:space="preserve">Khartoum</t>
  </si>
  <si>
    <t xml:space="preserve">978-150901809-3</t>
  </si>
  <si>
    <t xml:space="preserve">Proc. - Int. Conf. Commun., Control, Comput. Electron. Eng., ICCCCEE</t>
  </si>
  <si>
    <t xml:space="preserve">2-s2.0-85016550508</t>
  </si>
  <si>
    <t xml:space="preserve">Kaur D.; Walia G.K.</t>
  </si>
  <si>
    <t xml:space="preserve">Kaur, Damandeep (57201704114); Walia, Gurjot Kaur (57188846450)</t>
  </si>
  <si>
    <t xml:space="preserve">57201704114; 57188846450</t>
  </si>
  <si>
    <t xml:space="preserve">Edge detection of Malaria parasites using ant colony optimization</t>
  </si>
  <si>
    <t xml:space="preserve">Ant colony optimization (ACO) is algorithm used for optimization motivated by the natural behaviour of species of ants. In this ants retain pheromone for foraging at the ground. ACO has been originated to detect the edges of microscopic images of blood samples which are affected by malaria disease. The edge detection approach of ACO is used to maintain pheromone matrix which determines the information of edges provided at every image pixel position, based on no. of ants movement that are dispatched to be in motion on the image. Thus, changes in the intensity values of images determine the movement of the ants. The results have been taken to study an approach for Ant Colony Edge Detection method. © 2017 IEEE.</t>
  </si>
  <si>
    <t xml:space="preserve">4th IEEE International Conference on Signal Processing, Computing and Control, ISPCC 2017</t>
  </si>
  <si>
    <t xml:space="preserve">10.1109/ISPCC.2017.8269721</t>
  </si>
  <si>
    <t xml:space="preserve">https://www.scopus.com/inward/record.uri?eid=2-s2.0-85045841173&amp;doi=10.1109%2fISPCC.2017.8269721&amp;partnerID=40&amp;md5=a968056f9ca44a32ba4656bd0ea8a412</t>
  </si>
  <si>
    <t xml:space="preserve">GNDEC, Ludhiana, India</t>
  </si>
  <si>
    <t xml:space="preserve">Kaur D., GNDEC, Ludhiana, India; Walia G.K., GNDEC, Ludhiana, India</t>
  </si>
  <si>
    <t xml:space="preserve">ACO; Edge Detection; intensity; Medical Images; Pheromone; pixels</t>
  </si>
  <si>
    <t xml:space="preserve">Artificial intelligence; Diseases; Edge detection; Medical imaging; Pixels; Signal processing; Ant Colony Optimization (ACO); Detection approach; Edge detection methods; intensity; Intensity values; Malaria parasite; Microscopic image; Pheromone; Ant colony optimization</t>
  </si>
  <si>
    <t xml:space="preserve">Arco J.E., Gorriz J.M., Ramirez J., Alvarez I., Puntonet C.G., Digital image analysis for automatic enumeration of malaria parasites using morphological operations, Expertsyst. Appl., 42, pp. 3041-3047, (2014); Rougemont M., Saanen M.V., Sahli R., Hinrikson H.P., Bille J., Detection of four plasmodium species in blood from humans by 18S rRNA gene subunit-based and species-specific real-time PCR assays, J. Clinical Microbiology, 42, pp. 5636-5643, (2004); Snow R.W., Guerra C.A., Noor A.M., Myint H.Y., Hay S.I., The global distribution of clinical episodes of plasmodium falciparum malaria, Letters Nature, 434, pp. 214-217, (2005); Reyburn H., Guidelines for the Treatment of Malaria, pp. 15-115, (2015); Toha S.F., Ngah U.K., Computer aided medical diagnosis for the identification of malaria parasites, Int. Conf. Signal Proces. Commun. Networking ICSCN'07, pp. 521-522, (2007); Diaz G., Gonzalez F.A., Romero E., A semiautomatic method for quantification and classification of erythrocytes infected with malaria parasites in microscopic images, J. Biomedical Informatics, 42, pp. 296-307, (2009); Bacon D.J., Jambou R., Fandeur T., Bras J.L., Wongsrichanalai C., Fukuda M.M., World antimalarial resistance network (WARN) II: In vitro antimalarial drug susceptibility, Malaria J., pp. 1-8, (2007); Mitiku K., Mengistu G., Gelaw B., The reliability of blood film examination for malaria at the peripheral health unit, Trop. Med. Int. Health, 17, pp. 197-204, (2007); Ljungstrom I., Perlmann H., Schichtherle M., Scherf A., Wahlgen M., Methods in Malaria Research, (2004); Payne D., Use and limitations of light microscopy for diagnosing malaria at the primary health care level, Bull World Health Organ, 66, (1988); Alexander N., Schellenberg D., Ngasala B., Petzold M., Drakeley C., Sutherland C., Assessing agreement between malaria slide density readings, Malaria J., 9, pp. 1-12, (2010); Makkapati V.V., Rao R.M., Segmentation of malaria parasites in peripheral blood smears images, Int. Conf. Acoust. Speech Signal Proces., pp. 1361-1364, (2009); Guoa W.Y., Wang X.F., Xia X.Z., Two dimensional Otsu's thresholding segmentation method based on grid box filter, Optik-Int. J. Light Electron Optics, 125, pp. 1234-1240, (2014); Vala H.J., Baxi A., A review on Otsu image segmentation algorithm, Int. J. Advanced Research Comput. Eng. Technology, 2, pp. 387-389, (2013); Yang X., Shen X., Long J., Chen H., An improved median based Otsu image thresholding algorithm, AASRI Conf. Modelling Identification Control, 3, pp. 387-389, (2013); Khatri K.M., Ratnaparkhe V.R., Agrawal S.S., Bhalchandra A.S., Image processing approach for malaria parasite identification, Int. J. Comput. Applicat., pp. 5-7, (2013); Ruberto C.D., Dempster A., Khan S., Jarra B., Analysis of infected blood cell images using morphological operators, Image Vision Computing, 20, pp. 133-146, (2002); Tohal S.F., Ngah U.K., Computer aided medical diagnosis for the identification of malaria parasites, IEEE-ICSCN 2007, pp. 521-522, (2007); Dorigo M., Thomas S., Ant Colony Optimization, (2004); Dorigo M., Maniezzo V., Colorni A., Ant system: Optimization by a colony of cooperating agents, IEEE Trans. System, Man Cybernetics, Part B, 26, pp. 29-41, (1996); Dorigo M., Caro G.D., Stutzel T., Special issues on ant algorithms, Future Generation Computer Systems, 16, (2000); Gonzalea R.C., Woods R.E., Digital Image Processing, (2007)</t>
  </si>
  <si>
    <t xml:space="preserve">Sood M.; Jain S.</t>
  </si>
  <si>
    <t xml:space="preserve">et al.; Gentech; IEEE; IEEE Delhi Section; IEEE JUIT Student Branch; Jaypee University of Information Technology (JUIT)</t>
  </si>
  <si>
    <t xml:space="preserve">21 September 2017 through 23 September 2017</t>
  </si>
  <si>
    <t xml:space="preserve">Solan</t>
  </si>
  <si>
    <t xml:space="preserve">978-150905838-9</t>
  </si>
  <si>
    <t xml:space="preserve">IEEE Int. Conf. Signal Process., Comput. Control, ISPCC</t>
  </si>
  <si>
    <t xml:space="preserve">2-s2.0-85045841173</t>
  </si>
  <si>
    <t xml:space="preserve">Dong Y.; Jiang Z.; Shen H.; David Pan W.; Williams L.A.; Reddy V.V.B.; Benjamin W.H.; Bryan A.W.</t>
  </si>
  <si>
    <t xml:space="preserve">Dong, Yuhang (57189297370); Jiang, Zhuocheng (57194040242); Shen, Hongda (56739641600); David Pan, W. (7402219845); Williams, Lance A. (56270956500); Reddy, Vishnu V. B. (7403320701); Benjamin, William H. (35453738600); Bryan, Allen W. (26427556000)</t>
  </si>
  <si>
    <t xml:space="preserve">57189297370; 57194040242; 56739641600; 7402219845; 56270956500; 7403320701; 35453738600; 26427556000</t>
  </si>
  <si>
    <t xml:space="preserve">Evaluations of deep convolutional neural networks for automatic identification of malaria infected cells</t>
  </si>
  <si>
    <t xml:space="preserve">This paper studied automatic identification of malaria infected cells using deep learning methods. We used whole slide images of thin blood stains to compile an dataset of malaria-infected red blood cells and non-infected cells, as labeled by a group of four pathologists. We evaluated three types of well-known convolutional neural networks, including the LeNet, AlexNet and GoogLeNet. Simulation results showed that all these deep convolution neural networks achieved classification accuracies of over 95%, higher than the accuracy of about 92% attainable by using the support vector machine method. Moreover, the deep learning methods have the advantage of being able to automatically learn the features from the input data, thereby requiring minimal inputs from human experts for automated malaria diagnosis. © 2017 IEEE.</t>
  </si>
  <si>
    <t xml:space="preserve">2017 IEEE EMBS International Conference on Biomedical and Health Informatics, BHI 2017</t>
  </si>
  <si>
    <t xml:space="preserve">10.1109/BHI.2017.7897215</t>
  </si>
  <si>
    <t xml:space="preserve">https://www.scopus.com/inward/record.uri?eid=2-s2.0-85018418812&amp;doi=10.1109%2fBHI.2017.7897215&amp;partnerID=40&amp;md5=2a8496d12b28ffbea9b5582fe31c9261</t>
  </si>
  <si>
    <t xml:space="preserve">Dept. of Electrical and Computer Engineering, University of Alabama in Huntsville, Huntsville, 35899, AL, United States; Dept. of Pathology, University of Alabama at Birmingham, Birmingham, 35233, AL, United States</t>
  </si>
  <si>
    <t xml:space="preserve">Dong Y., Dept. of Electrical and Computer Engineering, University of Alabama in Huntsville, Huntsville, 35899, AL, United States; Jiang Z., Dept. of Electrical and Computer Engineering, University of Alabama in Huntsville, Huntsville, 35899, AL, United States; Shen H., Dept. of Electrical and Computer Engineering, University of Alabama in Huntsville, Huntsville, 35899, AL, United States; David Pan W., Dept. of Electrical and Computer Engineering, University of Alabama in Huntsville, Huntsville, 35899, AL, United States; Williams L.A., Dept. of Pathology, University of Alabama at Birmingham, Birmingham, 35233, AL, United States; Reddy V.V.B., Dept. of Pathology, University of Alabama at Birmingham, Birmingham, 35233, AL, United States; Benjamin W.H., Dept. of Pathology, University of Alabama at Birmingham, Birmingham, 35233, AL, United States; Bryan A.W., Dept. of Pathology, University of Alabama at Birmingham, Birmingham, 35233, AL, United States</t>
  </si>
  <si>
    <t xml:space="preserve">Automation; Blood; Cells; Convolution; Cytology; Deep learning; Diseases; Learning systems; Neural networks; Automatic identification; Classification accuracy; Convolution neural network; Convolutional neural network; Malaria diagnosis; Malaria infected red blood cells; Support vector machine method; Whole slide images; Deep neural networks</t>
  </si>
  <si>
    <t xml:space="preserve">Disease Burden of Malaria; Das D.K., Et al., Machine learning approach for automated screening of malaria parasite using light microscopic images, Journal of Micron, 45, pp. 97-106, (2013); Tek F.B., Dempster A.G., Kale I., Parasite detection and identification for automated thin blood film malaria diagnosis, Journal of Computer Vision and Image Understanding, 114, 1, pp. 21-32, (2010); Ross N.E., Et al., Automated image processing method for the diagnosis and classification of malaria on thin blood smears, Medical and Biological Engineering and Computing, 44, 5, pp. 427-436, (2005); Tek F.B., Computerised Diagnosis of Malaria, (2007); Muralidharan V., Dong Y., Pan W.D., A comparison of feature selection methods for machine learning based automatic malarial cell recognition in wholeslide images, 2016 IEEE-EMBS International Conference on Biomedical and Health Informatics (BHI), pp. 216-219, (2016); Quinn J.A., Nakasi R., Mugagga P.K., Byanyima P., Lubega W., Andama A., Deep Convolutional Neural Networks for Microscopybased Point of Care Diagnostics, (2016); LeCun Y., Bottou L., Bengio Y., Haffner P., Gradient-based learning applied to document recognition, Proceedings of the IEEE, 86, 11, pp. 2278-2324, (1998); LeCun Y., Kavukvuoglu K., Farabet C., Convolutional networks and applications in vision, Proc. International Symposium on Circuits and Systems (ISCAS'10). IEEE, (2010); Krizhevsky A., Sutskever I., Hinton G.E., Imagenet classification with deep convolutional neural networks, Advances in Neural Information Processing Systems, pp. 1097-1105, (2012); Szegedy C., Liu W., Jia Y., Sermanet P., Reed S., Anguelov D., Erhan D., Vanhoucke V., Rabinovich A., Going deeper with convolutions, Proceedings of the IEEE Conference on Computer Vision and Pattern Recognition, pp. 1-9, (2015); Hubel D.H., Wiesel T.N., Receptive fields and functional architecture of monkey striate cortex, The Journal of Physiology, 195, 1, pp. 215-243, (1968); Visualizing the Images and Annotations; Whole Slide Image for Malaria Infected Red Blood Cells; University of Alabama at Birmingham; Duda R.O., Hart P.E., Use of the Hough transformation to detect lines and curves in pictures, Communications of the ACM, 15, 1, pp. 11-15, (1972); Link to the Dataset Used; Plagianakos V.P., Magoulas G.D., Stochastic gradient descent, Advances in Convex Analysis and Global Optimization: Honoring the Memory of C. Caratheodory (1873-1950), 54, (2013); Hu M.-K., Visual pattern recognition by moment invariants, Information Theory, IRE Transactions on, 8, 2, pp. 179-187, (1962); Srivastava N., Hinton G.E., Krizhevsky A., Sutskever I., Salakhutdinov R., Dropout: A simple way to prevent neural networks from overfitting, Journal of Machine Learning Research, 15, 1, pp. 1929-1958, (2014)</t>
  </si>
  <si>
    <t xml:space="preserve">EMB; IEEE; IEEE Communications Society (IEEE ComSoc)</t>
  </si>
  <si>
    <t xml:space="preserve">4th IEEE EMBS International Conference on Biomedical and Health Informatics, BHI 2017</t>
  </si>
  <si>
    <t xml:space="preserve">16 February 2017 through 19 February 2017</t>
  </si>
  <si>
    <t xml:space="preserve">978-150904179-4</t>
  </si>
  <si>
    <t xml:space="preserve">IEEE EMBS Int. Conf. Biomed. Health Inf., BHI</t>
  </si>
  <si>
    <t xml:space="preserve">2-s2.0-85018418812</t>
  </si>
  <si>
    <t xml:space="preserve">Caicedo-Torres W.; Montes-Grajales D.; Miranda-Castro W.; Fennix-Agudelo M.; Agudelo-Herrera N.</t>
  </si>
  <si>
    <t xml:space="preserve">Caicedo-Torres, William (55782426500); Montes-Grajales, Diana (55670024000); Miranda-Castro, Wendy (57193857478); Fennix-Agudelo, Mary (57193855099); Agudelo-Herrera, Nicolas (57195570557)</t>
  </si>
  <si>
    <t xml:space="preserve">55782426500; 55670024000; 57193857478; 57193855099; 57195570557</t>
  </si>
  <si>
    <t xml:space="preserve">Kernel-based machine learning models for the prediction of dengue and chikungunya morbidity in Colombia</t>
  </si>
  <si>
    <t xml:space="preserve">Dengue and Chikungunya fever are two viral diseases of great public health concern in Colombia and other tropical countries as they are both transmitted by Aedes mosquitoes, which are endemic to this area. In recent years, there have been unprecedented outbreaks of these infections. Therefore, the development of computational models to forecast the number of cases based on available epidemiological data would benefit public surveillance health systems to take effective actions regarding the prevention and mitigation of these events. In this work, we present the application of machine learning algorithms to predict the morbidity dynamics of dengue and chikungunya in Colombia using time-series-forecasting methods. Available weekly incidence for dengue (2007–2016) and chikungunya (2014–2016) from the National Health Institute of Colombia was gathered and employed as input to generate and validate the models. Kernel Ridge Regression and Gaussian Processes were used at forecasting the number of cases of both diseases considering horizons of one and four weeks. In order to assess the performance of the algorithms, rolling-origin cross-validation was carried out, and the mean absolute percentage errors (MAPE), mean absolute errors (MAE), R2 and the percentages of explained variance calculated for each model. Kernel Ridge regression with one-step ahead horizon was found to be superior to other models in forecasting both dengue and chikungunya number of cases per week. However, the power of prediction for dengue incidence was higher as there is more epidemiological data available for this disease compared to chikungunya. The results are promising and urge further research and development to achieve a tool which could be used by public health officials to manage more adequately the epidemiological dynamics of these diseases. © Springer International Publishing AG 2017.</t>
  </si>
  <si>
    <t xml:space="preserve">10.1007/978-3-319-66562-7_34</t>
  </si>
  <si>
    <t xml:space="preserve">https://www.scopus.com/inward/record.uri?eid=2-s2.0-85028893106&amp;doi=10.1007%2f978-3-319-66562-7_34&amp;partnerID=40&amp;md5=ed64300e6ef9b86cdd1591835b97554b</t>
  </si>
  <si>
    <t xml:space="preserve">Grupo de Investigación de Tecnologías Aplicadas y Sistemas de Información, School of Engineering, Universidad Tecnológica de Bolívar, Cartagena, 130011, Colombia; Grupo de Investigación en Estudios Químicos y Biológicos, School of Basic Sciences, Universidad Tecnológica de Bolívar, Cartagena, 130011, Colombia; Centro de Ciencias Genómicas, Universidad Nacional Autónoma de México, 565-A, Cuernavaca, Mexico; School of Engineering, Universidad Tecnológica de Bolívar, Cartagena, 130011, Colombia</t>
  </si>
  <si>
    <t xml:space="preserve">Caicedo-Torres W., Grupo de Investigación de Tecnologías Aplicadas y Sistemas de Información, School of Engineering, Universidad Tecnológica de Bolívar, Cartagena, 130011, Colombia; Montes-Grajales D., Grupo de Investigación en Estudios Químicos y Biológicos, School of Basic Sciences, Universidad Tecnológica de Bolívar, Cartagena, 130011, Colombia, Centro de Ciencias Genómicas, Universidad Nacional Autónoma de México, 565-A, Cuernavaca, Mexico; Miranda-Castro W., Grupo de Investigación en Estudios Químicos y Biológicos, School of Basic Sciences, Universidad Tecnológica de Bolívar, Cartagena, 130011, Colombia; Fennix-Agudelo M., Grupo de Investigación en Estudios Químicos y Biológicos, School of Basic Sciences, Universidad Tecnológica de Bolívar, Cartagena, 130011, Colombia; Agudelo-Herrera N., School of Engineering, Universidad Tecnológica de Bolívar, Cartagena, 130011, Colombia</t>
  </si>
  <si>
    <t xml:space="preserve">Chikungunya; Dengue; Forecasting; Gaussian processes; Kernel ridge regression; Machine learning</t>
  </si>
  <si>
    <t xml:space="preserve">Artificial intelligence; Diseases; Forecasting; Gaussian distribution; Gaussian noise (electronic); Health; Learning systems; Public health; Regression analysis; Chikungunya; Dengue; Gaussian Processes; Kernel ridge regressions; Machine learning models; Mean absolute percentage error; Research and development; Time series forecasting; Learning algorithms</t>
  </si>
  <si>
    <t xml:space="preserve">Universidad Tecnológica de Bolívar; Universidad Nacional Autónoma de México, UNAM, (TRFCI-1P2016)</t>
  </si>
  <si>
    <t xml:space="preserve">Acknowledgments. The authors wish to thank the Universidad Tecnológica de Bolívar (Colombia) and Universidad Autónoma de México for their financial support (Grant: TRFCI-1P2016, D. M-G: Programa de Becas Posdoctorales en la UNAM 2016).</t>
  </si>
  <si>
    <t xml:space="preserve">(2017); Althouse B.M., Ng Y.Y., Cummings D.A.T., Prediction of dengue incidence using search query surveillance, Plos Negl. Trop. Dis, 5, 8, pp. 1-7, (2011); Caicedo-Torres W., Payares F., A machine learning model for occupancy rates and demand forecasting in the hospitality industry, IBERAMIA 2016. LNCS, 10022, (2016); Cawley G.C., Talbot N.L.C., Reduced rank kernel ridge regression, Neural Process. Lett, 16, 3, pp. 293-302, (2002); Chu W., Ghahramani Z., Gaussian processes for ordinal regression, J. Mach. Learn. Res, 6, pp. 1019-1041, (2005); Cortes C., Vapnik V., Support-vector networks, Mach. Learn., 20, 3, pp. 273-297, (1995); Cruz J.A., Wishart D.S., Applications of machine learning in cancer prediction and prognosis, Cancer Inform, 2, pp. 59-77, (2006); Eastin M.D., Delmelle E., Casas I., Wexler J., Self C., Intra-and interseasonal autoregressive prediction of dengue outbreaks using local weather and regional climate for a tropical environment in colombia, Am. J. Trop. Med. Hyg., 91, 3, pp. 598-610, (2014); Escobar L.E., Qiao H., Peterson A.T., Forecasting chikungunya spread in the Americas via data-driven empirical approaches, Parasites Vectors, 9, 1, (2016); Flasche S., Jit M., Rodriguez-Barraquer I., Coudeville L., Recker M., Koelle K., Milne G., Hladish T.J., Perkins T.A., Cummings D.A., Et al., The long-term safety, public health impact, and cost-effectiveness of routine vaccination with a recombinant, live-attenuated dengue vaccine (Dengvaxia): A model comparison study, Plos Med, 13, 11, (2016); Gilliland M., Sglavo U., Tashman L., Business Forecasting: Practical Problems and Solutions, (2016); Golding N., Wilson A.L., Moyes C.L., Cano J., Pigott D.M., Velayud-Han R., Brooker S.J., Smith D.L., Hay S.I., Lindsay S.W., Integrating vector control across diseases, BMC Med, 13, 1, (2015); Hesterberg T., Choi N.H., Meier L., Fraley C., Et al., Least angle and 1 penalized regression: A review, Stat. Surv., 2, pp. 61-93, (2008); Hoerl A.E., Kennard R.W., Ridge regression: Biased estimation for nonorthogonal problems, Technometrics, 42, 1, pp. 80-86, (2000); Kucharz E.J., Cebula-Byrska I., Chikungunya fever, Eur. J. Intern. Med., 23, 4, pp. 325-329, (2012); Mair C., Kadoda G., Lefley M., Phalp K., Schofield C., Shep-Perd M., Webster S., An investigation of machine learning based prediction systems, J. Syst. Softw., 53, 1, pp. 23-29, (2000); Pedregosa F., Varoquaux G., Gramfort A., Michel V., Thirion B., Grisel O., Blondel M., Prettenhofer P., Weiss R., Dubourg V., Et al., Scikit-learn: Machine learning in python, J. Mach. Learn. Res, 12, pp. 2825-2830, (2011); Rasmussen C.E., Gaussian Processes in Machine Learning, pp. 63-71, (2004); Rasmussen C.E., Williams C.K., Gaussian Processes for Machine Learning. The MIT Press, Cambridge, 2, 3, (2006); Robert C., Machine learning, a probabilistic perspective, CHANCE, 27, 2, pp. 62-63, (2014); Rodriguez J., Correa C., Predicción temporal de la epidemia de dengue en colombia: Dinámica probabilista de la epidemia, Revista De Salud Pública, 11, 3, pp. 443-453, (2009); Scholkopf B., Smola A.J., Learning with Kernels: Support Vector Machines, Reg-Ularization, Optimization, and Beyond, (2002); Silawan T., Singhasivanon P., Kaewkungwal J., Nimmanitya S., Suwonkerd W., Temporal patterns and forecast of dengue infection in Northeastern Thailand. SE Asian J. Trop. Med, Public Health, 39, 1, (2008); Simmons C.P., Farrar J.J., Van Vinh Chau N., Wills B., Dengue, N. Engl. J. Med., 366, 15, pp. 1423-1432, (2012); Smalley C., Erasmus J.H., Chesson C.B., Beasley D.W., Status of research and development of vaccines for chikungunya, Vaccine, 34, 26, pp. 2976-2981, (2016); Solomon T., Mallewa M., Dengue and other emerging flaviviruses, J. Infect., 42, 2, pp. 104-115, (2001); Sutton R.S., Learning to predict by the methods of temporal differences, Mach. Learn., 3, 1, pp. 9-44, (1988); Vannice K.S., Durbin A., Hombach J., Status of vaccine research and development of vaccines for dengue, Vaccine, 34, 26, pp. 2934-2938, (2016); Walker T., Jeffries C.L., Mansfield K.L., Johnson N., Mosquito cell lines: History, isolation, availability and application to assess the threat of arbovi-ral transmission in the united kingdom, Parasites Vectors, 7, 1, (2014); Williams C.K., Rasmussen C.E., Gaussian processes for regression, Advances in Neural Information Processing Systems, pp. 514-520, (1996); Dengue Guidelines for Diagnosis, Treatment, Prevention and Control: New Edition, (2009); World Health Organization - Dengue and Severe Dengue, (2009); World Health Organization - Chikungunya (, (2017); Yusof Y., Mustaffa Z., Dengue outbreak prediction: A least squares support vector machines approach, Int. J. Comput. Theory Eng., 3, 4, (2011)</t>
  </si>
  <si>
    <t xml:space="preserve">W. Caicedo-Torres; Grupo de Investigación de Tecnologías Aplicadas y Sistemas de Información, School of Engineering, Universidad Tecnológica de Bolívar, Cartagena, 130011, Colombia; email: wcaicedo@unitecnologica.edu.co</t>
  </si>
  <si>
    <t xml:space="preserve">Solano A.; Ordonez H.</t>
  </si>
  <si>
    <t xml:space="preserve">12th Colombian Conference on Computing, CCC 2017</t>
  </si>
  <si>
    <t xml:space="preserve">19 September 2017 through 22 September 2017</t>
  </si>
  <si>
    <t xml:space="preserve">Cali</t>
  </si>
  <si>
    <t xml:space="preserve">978-331966561-0</t>
  </si>
  <si>
    <t xml:space="preserve">2-s2.0-85028893106</t>
  </si>
  <si>
    <t xml:space="preserve">Shen H.; Pan W.D.; Dong Y.; Alim M.</t>
  </si>
  <si>
    <t xml:space="preserve">Shen, Hongda (56739641600); Pan, W. David (55667419900); Dong, Yuhang (57189297370); Alim, Mohammad (59024861200)</t>
  </si>
  <si>
    <t xml:space="preserve">56739641600; 55667419900; 57189297370; 59024861200</t>
  </si>
  <si>
    <t xml:space="preserve">Lossless compression of curated erythrocyte images using deep autoencoders for malaria infection diagnosis</t>
  </si>
  <si>
    <t xml:space="preserve">While autoencoders have been used as an unsupervised machine learning technique for classification and dimensionality reduction of the input data, they are lossy in nature when used alone in data compression. In this work, we proposed an image coding scheme by using stacked autoencoders, where the reconstruction residuals were entropy-coded to achieve lossless compression. As a case study, we compressed labeled red blood cell images from a database curated by pathologists for malaria infection diagnosis. Specifically, we trained two separate stacked autoencoders to automatically learn the discriminative features from input images of infected and non-infected cells. Subsequently, the residuals of these two classes of images were coded by two independent Golomb-Rice encoders. Testing results showed that this deep learning approach provided remarkably higher compression on average than several other lossless coding methods including JPEG-LS, JPEG 2000 lossless mode, and CALIC. © 2016 IEEE.</t>
  </si>
  <si>
    <t xml:space="preserve">2016 Picture Coding Symposium, PCS 2016</t>
  </si>
  <si>
    <t xml:space="preserve">10.1109/PCS.2016.7906393</t>
  </si>
  <si>
    <t xml:space="preserve">https://www.scopus.com/inward/record.uri?eid=2-s2.0-85019413870&amp;doi=10.1109%2fPCS.2016.7906393&amp;partnerID=40&amp;md5=62bbbe9e38759c919cfe02b9f5cf99c1</t>
  </si>
  <si>
    <t xml:space="preserve">Dept. of Electrical and Computer Engineering, University of Alabama in Huntsville, Huntsville, 35899, AL, United States</t>
  </si>
  <si>
    <t xml:space="preserve">Shen H., Dept. of Electrical and Computer Engineering, University of Alabama in Huntsville, Huntsville, 35899, AL, United States; Pan W.D., Dept. of Electrical and Computer Engineering, University of Alabama in Huntsville, Huntsville, 35899, AL, United States; Dong Y., Dept. of Electrical and Computer Engineering, University of Alabama in Huntsville, Huntsville, 35899, AL, United States; Alim M., Dept. of Electrical and Computer Engineering, University of Alabama in Huntsville, Huntsville, 35899, AL, United States</t>
  </si>
  <si>
    <t xml:space="preserve">Blood; Codes (symbols); Diseases; Image coding; Learning systems; Dimensionality reduction; Discriminative features; Image coding scheme; Learning approach; Lossless coding; Lossless compression; Red blood cell; Unsupervised machine learning; Image compression</t>
  </si>
  <si>
    <t xml:space="preserve">Disease Burden of Malaria; Muralidharan V., Dong Y., Pan W.D., A comparison of feature selection methods for machine learning based automatic malarial cell recognition in wholeslide images, 2016 IEEE-EMBS International Conference On Biomedical and Health Informatics (BHI), pp. 216-219, (2016); Kalinski T., Zwonitzer R., Grabellus F., Sheu S.Y., Sel S., Hofmann H., Roessner A., Lossless compression of JPEG2000 whole slide images is not required for diagnostic virtual microscopy, American Journal of Clinical Pathology, 136, 6, pp. 889-895, (2011); Sharma A., Bautista P., Yaqi Y., Balancing image quality and compression factor for special stains whole slide images, Analytical Cellular Pathology, 35, 2, pp. 101-106, (2012); Dong Y., Shen H., Pan W.D., An interactive tool for ROI extraction and compression on whole slide images, 2016 IEEE-EMBS International Conference On Biomedical and Health Informatics (BHI), pp. 224-227, (2016); Weinberger M.J., Seroussi G., Sapiro G., The LOCO-I lossless image compression algorithm: Principles and standardization into JPEGLS, IEEE Trans. Image Process., 9, 8, pp. 1309-1324, (2000); Golomb S., Run-length encodings (corresp.), IEEE Trans. Inf. Theory, 12, 3, pp. 399-401, (1966); Wu X., Memon N., Context-based lossless interband compressionextending CALIC, IEEE Trans. Image Process., 9, 6, pp. 994-1001, (2000); Li X., Orchard O.M.T., Edge-directed prediction for lossless compression of natural images, IEEE Trans. Image Process., 10, 6, pp. 813-817, (2001); Jiang J., Image compression with neural networks - A survey, Signal Processing: Image Communication, 14, pp. 737-760, (1999); Hesabi Z.R., Sardari M., Beirami A., Fekri F., Deriche M., Navarro A., A memory-assisted lossless compression algorithm for medical images, 2014 IEEE Intl. Conf. On Acoust., Speech and Signal Process. (ICASSP), pp. 2030-2034, (2014); LeCun Y., Bengio Y., Hinton G.E., Deep learning, Nature, 521, 5786, pp. 436-444, (2015); Krizhevsky A., Sutskever I., Hinton G.E., ImageNet classification with deep convolutional neural networks, Advances in Neural Information Processing Systems, pp. 1097-1105, (2012); Szegedy C., Liu W., Jia Y., Sermanet P., Reed S., Anguelov D., Erhan D., Vanhoucke V., Rabinovich A., Going deeper with convolutions, Proceedings of the IEEE Conference On Computer Vision and Pattern Recognition, pp. 1-9, (2015); Hinton G.E., Salakhutdinov R.R., Reducing the dimensionality of data with neural networks, Science, 313, 5786, pp. 504-507, (2006); Bengio Y., Lamblin P., Popovici D., Larochelle H., Greedy layerwise training of deep networks, Advances in Neural Information Processing Systems 19 (NIPS'06), pp. 153-160, (2007); Goodfellow I., Bengio Y., Courville A., Deep Learning, (2016); PEIR-VM; JPEG-LS Software, (2016); CALIC Software, (2016); Shen H., Pan W.D., Wang Y., A novel method for lossless compression of arbitrarily shaped regions of interest in hyperspectral imagery, Proc. 2015 IEEE SoutheastCon, (2015); Link to Test Images</t>
  </si>
  <si>
    <t xml:space="preserve">4 December 2016 through 7 December 2016</t>
  </si>
  <si>
    <t xml:space="preserve">Nuremberg</t>
  </si>
  <si>
    <t xml:space="preserve">978-150905966-9</t>
  </si>
  <si>
    <t xml:space="preserve">Pict. Coding Symp., PCS</t>
  </si>
  <si>
    <t xml:space="preserve">2-s2.0-85019413870</t>
  </si>
  <si>
    <t xml:space="preserve">Penas K.E.D.; Rivera P.T.; Naval P.C.</t>
  </si>
  <si>
    <t xml:space="preserve">Penas, Kristofer E. Delas (57201152179); Rivera, Pilarita T. (8888157300); Naval, Prospero C. (15045386000)</t>
  </si>
  <si>
    <t xml:space="preserve">Malaria Parasite Detection and Species Identification on Thin Blood Smears Using a Convolutional Neural Network</t>
  </si>
  <si>
    <t xml:space="preserve">To aid efforts for the total elimination of malaria, effective and fast diagnosis of cases must be done. The gold standard for malaria diagnosis is microscopy. This process becomes problematic when cases are in far-flung rural areas as experts may not be present in these areas to make such diagnosis. Automation of the diagnostic process with the use of an intelligent system that would recognize malaria parasites could solve this problem. This study proposes such an intelligent system, detecting malaria parasites through images of thin blood smears. We used a Convolutional Neural Network in this research where we obtained an accuracy of 92.4% and sensitivity of 95.2% for malaria parasite detection, and an accuracy of 87.9% for identifying the two species Plasmodium falciparum and Plasmodium vivax. © 2017 IEEE.</t>
  </si>
  <si>
    <t xml:space="preserve">Proceedings - 2017 IEEE 2nd International Conference on Connected Health: Applications, Systems and Engineering Technologies, CHASE 2017</t>
  </si>
  <si>
    <t xml:space="preserve">10.1109/CHASE.2017.51</t>
  </si>
  <si>
    <t xml:space="preserve">https://www.scopus.com/inward/record.uri?eid=2-s2.0-85029374922&amp;doi=10.1109%2fCHASE.2017.51&amp;partnerID=40&amp;md5=5f581d0313c89426c3f656b31ccb7f00</t>
  </si>
  <si>
    <t xml:space="preserve">Penas K.E.D., Department of Computer Science, College of Engineering, University of the Philippines, Diliman, Philippines; Rivera P.T., Department of Parasitology, College of Public Health, University of the Philippines, Manila, Philippines; Naval P.C., Department of Computer Science, College of Engineering, University of the Philippines, Diliman, Philippines</t>
  </si>
  <si>
    <t xml:space="preserve">Convolutional Neural Network; Intelligent Systems; Malaria</t>
  </si>
  <si>
    <t xml:space="preserve">Blood; Convolution; Intelligent systems; Neural networks; Convolutional neural network; Diagnostic process; Malaria; Malaria diagnosis; Malaria parasite; Plasmodium falciparum; Plasmodium vivax; Species identification; Diseases</t>
  </si>
  <si>
    <t xml:space="preserve">Malaria Factsheet, (2014); Malaria Control Program, (2014); Ghosh S., Paniker's Textbook of Medical Parasitology, pp. 63-83, (2013); Makkapati V., Rao R., Segmentation of Malaria Parasites in Peripheral Blood Smear Images, pp. 1361-1364, (2009); Anggraini D., Nugroho A.S., Pratama C., Rozi I.E., Pragesjvara V., Gunawan M., Automated status identification of microscopic images obtained from malaria thin blood smears using bayes decision: A study case in plasmodium falciparum, 2011 International Conference on Advanced Computer Science and Information Systems, pp. 347-352, (2011); Das D., Ghosh M., Chakraborty C., Maiti A.K., Pal M., Probabilistic prediction of malaria using morphological and textural information, 2011 International Conference on Image Information Processing, pp. 1-6, (2011); Kareem S., Kale I., Morling R.C.S., Automated malaria parasite detection in thin blood films:-A hybrid illumination and color constancy insensitive, morphological approach, 2012 IEEE Asia Pacific Conference on Circuits and Systems, pp. 240-243, (2012); Barros A.M., Duarte A.A., Netto M.B., Andrade B.B., Artificial Neural Networks and Bayesian Networks as supportting tools for diagnosis of asymptomatic malaria, The 12th IEEE International Conference on E-Health Networking, Applications and Services, pp. 106-111, (2010); Pinkaew A., Limpiti T., Trirat A., Automated classification of malaria parasite species on thick blood film using support vector machine, 2015 8th Biomedical Engineering International Conference (BMEiCON, pp. 1-5, (2015); Karpathy A., CS231n: Convolutional Neural Networks for Visual Recognition, (2016); Szegedy C., Vanhoucke V., Ioffe S., Shlens J., Wojna Z., Rethinking the Inception Architecture for Computer Vision, (2015); Szegedy C., Et al., Going deeper with convolutions, 2015 IEEE Conference on Computer Vision and Pattern Recognition (CVPR, pp. 1-9, (2015)</t>
  </si>
  <si>
    <t xml:space="preserve">2nd IEEE International Conference on Connected Health: Applications, Systems and Engineering Technologies, CHASE 2017</t>
  </si>
  <si>
    <t xml:space="preserve">17 July 2017 through 19 July 2017</t>
  </si>
  <si>
    <t xml:space="preserve">Philadelphia</t>
  </si>
  <si>
    <t xml:space="preserve">978-150904721-5</t>
  </si>
  <si>
    <t xml:space="preserve">Proc. - IEEE Int. Conf. Connect. Health: Appl., Syst. Eng. Technol., CHASE</t>
  </si>
  <si>
    <t xml:space="preserve">2-s2.0-85029374922</t>
  </si>
  <si>
    <t xml:space="preserve">Olugboja A.; Wang Z.</t>
  </si>
  <si>
    <t xml:space="preserve">Olugboja, Adedeji (57192204710); Wang, Zenghui (7410034341)</t>
  </si>
  <si>
    <t xml:space="preserve">57192204710; 7410034341</t>
  </si>
  <si>
    <t xml:space="preserve">Malaria parasite detection using different machine learning classifier</t>
  </si>
  <si>
    <t xml:space="preserve">In the tropical and the subtropical countries, malaria has been a challenge, which really needs a quick and precise diagnosis to put a stop or control the disease. The conventional microscopy method has some shortcomings which includes time consumption and reproducibility. Many of the alternative methods are expensive and it's not readily accessible to the developing countries that need them. In this paper a fast and precise system was developed using stained blood smear images. We employed watershed segmentation technique to acquire plasmodium infected and non-infected erythrocytes and relevant feature was extracted. Six different machine learning techniques for classification are used in the experiments. Fine Gaussian SVM had a True Positive Rate (TPR) of 99.8% in the detection of the plasmodium infected erythrocyte. © 2017 IEEE.</t>
  </si>
  <si>
    <t xml:space="preserve">Proceedings of 2017 International Conference on Machine Learning and Cybernetics, ICMLC 2017</t>
  </si>
  <si>
    <t xml:space="preserve">10.1109/ICMLC.2017.8107772</t>
  </si>
  <si>
    <t xml:space="preserve">https://www.scopus.com/inward/record.uri?eid=2-s2.0-85042513865&amp;doi=10.1109%2fICMLC.2017.8107772&amp;partnerID=40&amp;md5=5df8aa5a9cc5c9e8bf1dff9d8393ac50</t>
  </si>
  <si>
    <t xml:space="preserve">Machine College of Science Engineering and Technology, University of South Africa, Florida, 1710, South Africa</t>
  </si>
  <si>
    <t xml:space="preserve">Olugboja A., Machine College of Science Engineering and Technology, University of South Africa, Florida, 1710, South Africa; Wang Z., Machine College of Science Engineering and Technology, University of South Africa, Florida, 1710, South Africa</t>
  </si>
  <si>
    <t xml:space="preserve">Classification; Erythrocyte; Fine Gaussian SVM; Malaria; Stained blood smear images</t>
  </si>
  <si>
    <t xml:space="preserve">Artificial intelligence; Blood; Classification (of information); Cybernetics; Developing countries; Diagnosis; Disease control; Diseases; Malaria control; Blood smears; Erythrocyte; Gaussians; Infected erythrocytes; Machine learning techniques; Malaria; Subtropical countries; Watershed segmentation technique; Learning systems</t>
  </si>
  <si>
    <t xml:space="preserve">Deepa A.K., Vineeta P.G., Detection of malaria parasite in blood Images, International Journal of Engineering Science and Innovative Technology (IJESIT), 3, 4, (2014); Makler M.T., Palmer C.J., Alger A.L., A review of practical techniques for the diagnosis of malaria, Ann Trop Med Parasitol, 92, 4, pp. 419-433, (1988); Di Ruberto C., Dempster A., Khan S., Jarra B., Analysis of Infected blood cell images using morphological operators, Imag Vis Comput, 20, 2, pp. 133-146, (2002); Bloland P.B., Drug Resistance in Malaria, WHO/CDC/DRS/2001, 4, (2001); Pammenter M.D., Techniques for the diagnosis of malaria, S Afr Med J, 74, 2, pp. 55-57, (1988); Hibbard L.S., Mccasland J.S., Brunstrom J.E., Pearlman A.L., Automated recognition of mapping of immunolabelled neurons in the developing brain, J Microsc, 183, 8, pp. 241-256, (1996); Ross N.E., Pritchard C.J., Rubin D.M., Duse A.G., Automated image processing methods for the diagnosis and classification of malaria on thin blood smears, Medical &amp; Iological Engineering &amp; Computing, 44, pp. 427-436, (2006); Diaz G., Gonzalez F.A., Eduardo R., A semi-automatic method for quantification and classification of erythrocytes infected with malaria parasites in microscopic images, Journal of Biomedical Informatics, 42, pp. 296-307, (2009); Daniel M., Kenneth A.K., Mjomba A.G., Njogu A.M., Lucy G., Detection of Plasmodium parasites from images of thin blood smears, Open Journal of Clinical Diagnostic, 3, pp. 183-194, (2013); Nichlas E., Charles J., David M., Adriano G., Automated image processing method for the diag nosis and classification of malaria on thin blood s mears, International Federation for Medical and B Iological Engineering, 44, pp. 427-436, (2006)</t>
  </si>
  <si>
    <t xml:space="preserve">16th International Conference on Machine Learning and Cybernetics, ICMLC 2017</t>
  </si>
  <si>
    <t xml:space="preserve">9 July 2017 through 12 July 2017</t>
  </si>
  <si>
    <t xml:space="preserve">Ningbo</t>
  </si>
  <si>
    <t xml:space="preserve">978-153860406-9</t>
  </si>
  <si>
    <t xml:space="preserve">Proc. Int. Conf. Mach. Learn. Cybern., ICMLC</t>
  </si>
  <si>
    <t xml:space="preserve">2-s2.0-85042513865</t>
  </si>
  <si>
    <t xml:space="preserve">Radzol A.R.M.; Lee K.Y.; Mansor W.; Wong P.S.; Looi I.</t>
  </si>
  <si>
    <t xml:space="preserve">Radzol, A.R.M. (55232461000); Lee, Khuan Y. (14042088400); Mansor, W. (16175247200); Wong, P.S. (58332589700); Looi, I. (57222642532)</t>
  </si>
  <si>
    <t xml:space="preserve">55232461000; 14042088400; 16175247200; 58332589700; 57222642532</t>
  </si>
  <si>
    <t xml:space="preserve">PCA-MLP SVM distinction of salivary Raman spectra of dengue fever infection</t>
  </si>
  <si>
    <t xml:space="preserve">Dengue fever (DF) is a disease of major concern caused by flavivirus infection. Delayed diagnosis leads to severe stages, which could be deadly. Of recent, non-structural protein (NS1) has been acknowledged as a biomarker, alternative to immunoglobulins for early detection of dengue in blood. Further, non-invasive detection of NS1 in saliva makes the approach more appealing. However, since its concentration in saliva is less than blood, a sensitive and specific technique, Surface Enhanced Raman Spectroscopy (SERS), is employed. Our work here intends to define an optimal PCA-SVM (Principal Component Analysis-Support Vector Machine) with Multilayer Layer Perceptron (MLP) kernel model to distinct between positive and negative NS1 infected samples from salivary SERS spectra, which, to the best of our knowledge, has never been explored. Salivary samples of DF positive and negative subjects were collected, pre-processed and analyzed. PCA and SVM classifier were then used to differentiate the SERS analyzed spectra. Since performance of the model depends on the PCA criterion and MLP parameters, both are examined in tandem. Its performance is also compared to our previous works on simulated NS1 salivary samples. It is found that the best PCA-SVM (MLP) model can be defined by 95 PCs from CPV criterion with P1 and P2 values of 0.01 and -0.2 respectively. A classification performance of [76.88%, 85.92%, 67.83%] is achieved. © 2017 IEEE.</t>
  </si>
  <si>
    <t xml:space="preserve">10.1109/EMBC.2017.8037457</t>
  </si>
  <si>
    <t xml:space="preserve">https://www.scopus.com/inward/record.uri?eid=2-s2.0-85032187261&amp;doi=10.1109%2fEMBC.2017.8037457&amp;partnerID=40&amp;md5=a452bb83075d6a0403e1392de337f2f3</t>
  </si>
  <si>
    <t xml:space="preserve">Dengue; Humans; Neural Networks (Computer); Principal Component Analysis; Spectrum Analysis, Raman; Support Vector Machine; artificial neural network; dengue; human; principal component analysis; Raman spectrometry; support vector machine</t>
  </si>
  <si>
    <t xml:space="preserve">Ministry of Science, Technology and Innovation of Malaysia, (100-RMI/SF 16/6/2, 14/2015); Research Management Institute; Universiti Teknologi MARA, UiTM</t>
  </si>
  <si>
    <t xml:space="preserve">ACKNOWLEDGMENT The author would like to thank the Ministry of Science, Technology and Innovation of Malaysia for providing the research funding 100-RMI/SF 16/6/2 (14/2015); the Research Management Institute and the Faculty of Electrical Engineering, Universiti Teknologi MARA, Malaysia, for the support and assistance given to the authors in carrying out this research; the Infectious Disease Unit of Hospital Pulau Pinang General Hospital, Clinical Research Center of Hospital Seberang Jaya and State Vector Borne Disease Control Unit of Selangor State, Malaysia for permission and advice on collection of patient data.</t>
  </si>
  <si>
    <t xml:space="preserve">Kenyataan Akhbar Ketua Pengarah Kesihatan, (2016); Wong D.T., Salivary diagnostics powered by nanotechnologies, proteomics and genomics, J. Am. Dent. Assoc, 137, 3, pp. 313-321, (2006); Cuzzubbo A.J., Vaughn D.W., Nisalak A., Suntayakorn S., Aaskov J., Devine P.L., Detection of specific antibodies in saliva during dengue infection, J. Clin. Microbiol, 36, 12, pp. 3737-3739, (1998); Balmaseda A., Et al., Diagnosis of dengue virus infection by detection of specific immunoglobulin m (igm) and iga antibodies in serum and saliva, Clin. Vaccine Immunol, 10, 2, pp. 317-322, (2003); Vazquez S., Et al., Kinetics of antibodies in sera, saliva, and urine samples from adult patients with primary or secondary dengue 3 virus infections, Int. J. Infect. Dis, 11, pp. 256-262, (2007); Yap G., Sil B.K., Ng L.-C., Use of saliva for early dengue diagnosis, PLoS Negl. Trop. Dis, 5, 5, (2011); Anders K.L., Et al., An evaluation of dried blood spots and oral swabs as alternative specimens for the diagnosis of dengue and screening for past dengue virus exposure, Am. J. Trop. Med. Hyg, 87, 1, pp. 165-170, (2012); Alcon S., Talarmin A., Debruyne M., Falconar A., Deubel V., Flamand M., Enzyme-linked immunosorbent assay specific to Dengue virus type 1 nonstructural protein NS1 reveals circulation of the antigen in the blood during the acute phase of disease in patients experiencing primary or secondary infections, J. Clin. Microbiol, 40, 2, pp. 376-381, (2002); Libraty D.H., Et al., High circulating levels of the dengue virus nonstructural protein NS1 early in dengue illness correlate with the development of dengue hemorrhagic fever, J. Infect. Dis, 186, 8, pp. 1165-1168, (2002); Machado W.L.S.M.A.A.M., Barberio G.S., Zingra A.C.G., Rios D., Oliveira T.M., Silva S.M.B., Costa S.V., Silva M.S., Honorio H.M., Buzalaf M.A.R., Use of Non-stimulated and Stimulated Saliva for Dengue Diagnosis, (2013); Kneipp K., Et al., Single molecule detection using surfaceenhanced Raman scattering (SERS), Phys. Rev. Lett, 78, 9, pp. 1667-1670, (1997); Nie S., Probing single molecules and single nanoparticles by surface-enhanced raman scattering, Science (80-.), 275, pp. 1102-1106, (1997); Raman C.V., A change of wave-length in light scattering, Nature, 121, 3051, (1928); Driskell J.D., Et al., Rapid microRNA (miRNA) detection and classification via surface-enhanced Raman spectroscopy (SERS), Biosens. Bioelectron, 24, 4, pp. 917-922, (2008); Shanmukh S., Jones L., Driskell J., Zhao Y.P., Dluhy R., Tripp R.A., Rapid and sensitive detection of respiratory virus molecular signatures using a silver nanorod array SERS substrate, Nano Lett, 6, 11, pp. 2630-2636, (2006); Feng S., Et al., Surface-enhanced Raman spectroscopy of saliva proteins for the noninvasive differentiation of benign and malignant breast tumors, Int. J. Nanomedicine, 10, pp. 537-547, (2015); Li Z., Et al., Surface-enhanced Raman spectroscopy for differentiation between benign and malignant thyroid tissues, Laser Phys. Lett, 11, 4, (2014); Li X., Yang T., Lin J., Spectral analysis of human saliva for detection of lung cancer using surface-enhanced Raman spectroscopy, J. Biomed. Opt, 17, 3, (2012); Bispo J.A.M., Vieira Sousa De E.E., Silveira L., Fernandes A.B., Correlating the amount of urea, creatinine, and glucose in urine from patients with diabetes mellitus and hypertension with the risk of developing renal lesions by means of Raman spectroscopy and principal component analysis, J. Biomed. Opt, 18, 8, (2013); Radzol A.R.M., Lee K.Y., Mansor W., Twon Tawi F.M., Signal processing for raman spectra for disease detection, Int. J. Pharm. Pharm. Sci, 8, 6, pp. 4-10, (2016); Li S.X., Et al., Study of support vector machine and serum surface-enhanced Raman spectroscopy for noninvasive esophageal cancer detection, J. Biomed. Opt, 18, 2, (2013); Liu C.H., Et al., Resonance raman and raman spectroscopy for breast cancer detection, Technol. Cancer Res. Treat, 12, 4, pp. 371-382, (2013); Radzol A.R.M., Lee K.Y., Mansor W., Omar I.S., PCA criterion for svm ( mlp) classifier for flavivirus biomarker from salivary SERS spectra at febrile stage, 2015 IET International Conference on Biomedical Image and Signal Processing, pp. 6206-6209, (2016); Abdi H., Williams L.J., Principal component analysis, Cumpotational Stat, 2, pp. 433-470, (2010); Jolliffe I.T., Principal Component Analysis, 30, 3, (2002); Cattell R.B., The scree test for the number of factors, Multivariate Behav. Res, 1, 2, pp. 245-276, (1966); Kaiser H.F., The application of electronic computers to factor analysis, Educ. Psychol. Meas, 20, 1, pp. 141-151, (1960); Cortes C., Vapnik V., Support-vector networks, Mach. Learn, 20, 3, pp. 273-297, (1995); Liou C.Y., Cheng W.C., Implementation of the MLP Kernel, Lect. Notes Comput. Sci. (Including Subser. Lect. Notes Artif. Intell. Lect. Notes Bioinformatics) Vol. 5507 LNCS, pp. 378-385, (2009); Navazesh M., Methods for collecting saliva, Ann. N. Y. Acad. Sci, 694, 1, pp. 72-77, (1993); Radzol A.R.M., Lee K.Y., Mansor W., Saadun N., Baseline correction customized for ns1 salivary raman spectra with piecewise cubic hermite interpolation, ISIEA 2014, IEEE Symposium on Industrial Electronics &amp; Applications, 1, pp. 4-8, (2014)</t>
  </si>
  <si>
    <t xml:space="preserve">39th Annual International Conference of the IEEE Engineering in Medicine and Biology Society, EMBC 2017</t>
  </si>
  <si>
    <t xml:space="preserve">11 July 2017 through 15 July 2017</t>
  </si>
  <si>
    <t xml:space="preserve">978-150902809-2</t>
  </si>
  <si>
    <t xml:space="preserve">2-s2.0-85032187261</t>
  </si>
  <si>
    <t xml:space="preserve">Othman N.H.; Lee K.Y.; Radzol A.R.M.; Mansor W.</t>
  </si>
  <si>
    <t xml:space="preserve">Othman, N.H. (57205876515); Lee, Khuan Y. (14042088400); Radzol, A.R.M. (55232461000); Mansor, W. (16175247200)</t>
  </si>
  <si>
    <t xml:space="preserve">57205876515; 14042088400; 55232461000; 16175247200</t>
  </si>
  <si>
    <t xml:space="preserve">PCA-SCG-ANN for detection of non-structural protein 1 from SERS salivary spectra</t>
  </si>
  <si>
    <t xml:space="preserve">With non-structural protein (NS1) being acknowledged as biomarker for Dengue fever, the need to automate detection of NS1 from salivary surface enhanced Raman spectroscopic (SERS) spectra, with claim of sensitivity up to a single molecule thus become eminent. Choice for Principal Component Analysis (PCA) termination criterion and artificial neural network (ANN) topology critically affect the performance and efficiency of PCA-SCG-ANN classifier. This paper aims to explore the effect of number of hidden node for the ANN topology and PCA termination criterion on the performance of the PCA-SCG-ANN classifier for detection of NS1 from SERS spectra of saliva of subjects. The Eigenvalue-One-Criterion (EOC), Cumulative Percentage Variance (CPV) and Scree criteria, integrated with ANN topology containing hidden nodes from 3 to 100 are investigated. Performance of a total of 42 classifier models are examined and compared in terms of accuracy, precision, sensitivity. From experiments, it is found that EOC criterion paired with ANN topology of 13 hidden node outperforms the other models, with a performance of [Accuracy 91%, Precision 94%, Sensitivity 94%, Specificity 96%]. © Springer International Publishing AG 2017.</t>
  </si>
  <si>
    <t xml:space="preserve">10192 LNAI</t>
  </si>
  <si>
    <t xml:space="preserve">10.1007/978-3-319-54430-4_41</t>
  </si>
  <si>
    <t xml:space="preserve">https://www.scopus.com/inward/record.uri?eid=2-s2.0-85018486323&amp;doi=10.1007%2f978-3-319-54430-4_41&amp;partnerID=40&amp;md5=1f1653f2700c5f35f967037a7ae32188</t>
  </si>
  <si>
    <t xml:space="preserve">Faculty of Electrical Engineering,, Universiti Teknologi MARA, Shah Alam, Selangor, DE, Malaysia; Computational Intelligence Detection RIG, Pharmaceutical and Lifesciences Communities of Research, Universiti Teknologi MARA, Shah Alam, Selangor, DE, Malaysia</t>
  </si>
  <si>
    <t xml:space="preserve">Othman N.H., Faculty of Electrical Engineering,, Universiti Teknologi MARA, Shah Alam, Selangor, DE, Malaysia; Lee K.Y., Faculty of Electrical Engineering,, Universiti Teknologi MARA, Shah Alam, Selangor, DE, Malaysia, Computational Intelligence Detection RIG, Pharmaceutical and Lifesciences Communities of Research, Universiti Teknologi MARA, Shah Alam, Selangor, DE, Malaysia; Radzol A.R.M., Faculty of Electrical Engineering,, Universiti Teknologi MARA, Shah Alam, Selangor, DE, Malaysia, Computational Intelligence Detection RIG, Pharmaceutical and Lifesciences Communities of Research, Universiti Teknologi MARA, Shah Alam, Selangor, DE, Malaysia; Mansor W., Faculty of Electrical Engineering,, Universiti Teknologi MARA, Shah Alam, Selangor, DE, Malaysia, Computational Intelligence Detection RIG, Pharmaceutical and Lifesciences Communities of Research, Universiti Teknologi MARA, Shah Alam, Selangor, DE, Malaysia</t>
  </si>
  <si>
    <t xml:space="preserve">ANN; NS1; PCA; SERS</t>
  </si>
  <si>
    <t xml:space="preserve">Database systems; Eigenvalues and eigenfunctions; Neural networks; Proteins; Raman spectroscopy; Topology; Ann classifiers; Classifier models; Non-structural; SERS; SERS spectrum; Single molecule; Surface enhanced Raman; Termination criteria; Principal component analysis</t>
  </si>
  <si>
    <t xml:space="preserve">National Medical Research Register, (NMRR 12868); Ministerio de Sanidad, Consumo y Bienestar Social, MISAN; Kementerian Sains, Teknologi dan Inovasi, MOSTI, (100-RMI/SF 16/6/2, 14/2015); Universiti Teknologi MARA, UiTM; Ministerio de Ciencia y Tecnología, MICYT; Institute of Research Management and Innovation, Universiti Teknologi MARA, IRMI, UiTM</t>
  </si>
  <si>
    <t xml:space="preserve">The author would like to thank the Ministry of Science and Technology (MOSTI), Malaysia, for providing the research funding 100-RMI/SF 16/6/2 (14/2015); the Research Management Institute, Universiti Teknologi MARA, Malaysia and the Faculty of Electrical Engineering, Universiti Teknologi MARA, Malaysia, for the support and assistance given to the authors in carrying out this research; Ministry of Health, Selangor (JKNS) for their assistance and permission in providing subjects and advice. The experimental procedures involving human subjects described in this paper were approved by the Medical Research &amp; Ethics Committee, National Medical Research Register (NMRR 12868), Malaysia.</t>
  </si>
  <si>
    <t xml:space="preserve">Idrees S., Ashfaq U.A., RNAi: Antiviral therapy against dengue virus, J. Trop. Biomed, 3, pp. 232-236, (2013); Moi M.L., Omatsu T., Tajima S., Lim C.K., Kotaki A., Ikeda M., Harada F., Ito M., Saijo M., Kurane I., Takasaki T., Detection of dengue virus nonstructural protein 1 (NS1) by using ELISA as a useful laboratory diagnostic method for dengue virus infection of international travelers, J. Travel Med, 20, pp. 185-193, (2013); Shrivastava A., Dash P.K., Tripathi N.K., Sahni A.K., Gopalan N., Rao P.V.L., Evaluation of a commercial dengue NS1 enzyme-linked immunosorbent assay for early diagnosis of dengue infection, Indian J. Med. Microbiol, 29, pp. 51-55, (2011); Da Moura A.J.F., De Melo Santos M.A.V., Oliveira C.M.F., Guedes D.R., De Carvalho Leandro D.D., Da Cruz Brito M.L., Rocha H.D.R., Gomez L.F., Ayres C.F.J., Vector competence of the aedes aegypti population from Santiago Island, cape verde, to different serotypes of dengue virus, J. Parasit. Vectors, 8, pp. 1-9, (2015); Chawla P., Yadav A., Chawla V., Clinical implications and treatment of dengue, J. Trop. Med, 7, pp. 169-178, (2014); Lindenbach B.D., Rice C.M., Molecular biology of flavivirus, Adv. Virus Res, 59, pp. 23-61, (2003); Muller D.A., Young P.R., The flavivirus NS1 protein: Molecular and structural biology, immunology, role in pathogenesis and application as a diagnostic biomarker, Antiviral Res, 98, pp. 192-208, (2013); Raman C.V., A change of wave-length in light scattering, Nature, 121, (1928); Huang S., Lin D., Chen G., Xu Y., Li Y., Huang Z., Pan J., Chen R., Zeng H., Surface-enhanced Raman spectroscopy of saliva proteins for the noninvasive differentiation of benign and malignant breast tumors, Int. J. Nanomed, 10, pp. 537-547, (2015); Sigurdur S., Peter A.P., Lars K.H., Jan L., Monika G., Hans C.W., Detection of skin cancer by classification of Raman spectra, IEEE Trans. Biomed. Eng, 51, pp. 1784-1793, (2004); Alderico R.D.P.J., Sokki S., Raman spectral classification of atherosclerosis using neural networks and discriminant analysis, Fourth Leee International Caracas Conference on Devices, Circuits and Systems, pp. 1-6, (2002); Andrew T.H., Manjree G., Xuebin B.Y., Sheila E.F., Jennifer K., Alastair S., Dominic P.M.H., Alec S.H., Raman spectroscopy and advanced mathematical modelling in the discrimination of human thyroid cell lines, J. Head Neck Oncol, 1, pp. 1-6, (2009); Feng S., Chen R., Lin J., Pan J., Wu Y., Li Y., Chen J., Zeng H., Gastric cancer detection based on blood plasma surface-enhanced Raman spectroscopy excited by polarized laser light, J. Biosens. Bioelectron, 26, pp. 3167-3174, (2011); Kleinman S.L., Frontiera R.R., Henry A.I., Dieringer J.A., Van Duyne R.P., Creating, characterizing, and controlling chemistry with SERS hot spots, J. Phys. Chem, 15, pp. 21-36, (2012); Radzol A.R.M., Lee Y.K., Mansor W., Raman molecular fingerprint of non-structural protein 1 in phosphate buffer saline with gold substrate, Proceedings of International Annual Conference on IEEE Engineering Medical Biology Society, pp. 1438-1441, (2013); Twon Tawi F.M., Lee K.Y., Mansor W., Radzol A.R.M., Automatic non-structural protien 1 recognition based on LDA classifier, IEEE International Conference on Control System Computing Engineering, pp. 340-343, (2013); Radzol A.R.M., Lee K.Y., Mansor W., Nonstructural protein 1 characteristic peak from NS1-saliva mixture with surface-enhanced Raman spectroscopy, Proceedings of Annual International Conference on IEEE Engineering Medical Biology Society, pp. 2396-2399, (2013); Joliffer I.T., Principal Component Analysis. Springer Series of Statistic, (2002); Grimbergen M.C.M., Van Swol C.F.P., Van Moorselaar R.J.A., Uff J., Mahadevan-Jansen A., Stone N., Raman spectroscopy of bladder tissue in the presence of 5-aminolevulinic acid, J. Photochem. Photobiol. B, 95, 3, pp. 170-176, (2009); Krishna C.M., Prathima N.B., Malini R., Vadhiraja B.M., Bhatt R.A., Fernandes D.J., Kartha V.B., Raman spectroscopy studies for diagnosis of cancers in human uterine cervix, Vib. Spectrosc, 41, 1, pp. 136-141, (2006); Li X., Guo X., Wang D., Wang Y., Li X., Zhang X., Lin J., Spectral analysis for diagnosis of rectum cancer using fluorescence and Raman spectroscopy of serum, Proceedings :Annual International Conference of the IEEE Engineering in Medicine and Biology Society, 5, pp. 5449-5452, (2005); Abramczyk H., Surmacki J., Brozek-Pluska B., Morawiec Z., Tazbir M., The hallmarks of breast cancer by Raman spectroscopy, J. Mol. Struct, 924-926, pp. 175-182, (2008); Kaiser H.F., The application of electronic computers to factor analysis, Educ. Psychol. Measur, 20, 1, pp. 141-151, (1960); Cattell R.B., The scree test for the number of factors, Multivar. Behav. Res, 1, 2, pp. 245-276, (1966); McCulloch W., Pitts W., A logical calculus of ideas immanent in nervous activity, Bull. Math. Biophys, 5, 4, pp. 115-133, (1943); Werbos P., Beyond Regression: New Tools for Prediction and Analysis in the Behavioral Sciences, (1974); Ceke D., Kunosic S., Kopric M., Lincender L., Using neural network algorithms in prediction of mean glandular dose based on the measurable parameters in mammography, Acta Inform. Medica, 17, pp. 194-197, (2009); Slabbinck B., Baets B., Dawyndt P., De Vos P., Genus-wide bacillus species identification through proper artificial neural network experiments on fatty acid profiles, J. Antonie Van Leeuwenhoek, 94, pp. 187-198, (2008); Akbulut F.P., Akkur E., Akan A., Yarman B.S., A decision support system to determine optimal ventilator settings, J. BMC Med. Inform. Decis. Making, 14, pp. 1-12, (2014); Beale M.H., Hagan M.T., Demuth H.B., (2014); Khare V., Performance comparison of neural network training methods based on wavelet packet transform for classification of five mental tasks, J. Biomed. Sci. Eng, 3, pp. 612-617, (2010); Autio L., Juhola M., Laurikkala J., On the neural network classification of medical data and an endeavour to balance non-uniform data sets with artificial data extension, J. Comput. Biol. Med, 37, pp. 388-397, (2007)</t>
  </si>
  <si>
    <t xml:space="preserve">K.Y. Lee; Faculty of Electrical Engineering,, Universiti Teknologi MARA, Selangor, Shah Alam, Malaysia; email: leeyootkhuan@salam.uitm.edu.my</t>
  </si>
  <si>
    <t xml:space="preserve">Tojo S.; Nguyen L.M.; Nguyen N.T.; Trawinski B.</t>
  </si>
  <si>
    <t xml:space="preserve">et al.; IEEE SMC Technical Committee on Computational Collective Intelligence; Japan Advanced Institute of Science and Technology (Japan); Quang Binh University (Vietnam); Wroclaw University of Science and Technology (Poland); Yeungnam University (South Korea)</t>
  </si>
  <si>
    <t xml:space="preserve">9th Asian Conference on Intelligent Information and Database Systems, ACIIDS 2017</t>
  </si>
  <si>
    <t xml:space="preserve">3 April 2017 through 5 April 2017</t>
  </si>
  <si>
    <t xml:space="preserve">Kanazawa</t>
  </si>
  <si>
    <t xml:space="preserve">978-331954429-8</t>
  </si>
  <si>
    <t xml:space="preserve">2-s2.0-85018486323</t>
  </si>
  <si>
    <t xml:space="preserve">Coulibaly J.T.; Ouattara M.; D’Ambrosio M.V.; Fletcher D.A.; Keiser J.; Utzinger J.; N’Goran E.K.; Andrews J.R.; Bogoch I.I.</t>
  </si>
  <si>
    <t xml:space="preserve">Coulibaly, Jean T. (41260999100); Ouattara, Mamadou (16638901300); D’Ambrosio, Michael V. (57190307078); Fletcher, Daniel A. (7202087947); Keiser, Jennifer (32867784000); Utzinger, Jürg (7003667858); N’Goran, Eliézer K. (7003451565); Andrews, Jason R. (15058787200); Bogoch, Isaac I. (6506268396)</t>
  </si>
  <si>
    <t xml:space="preserve">41260999100; 16638901300; 57190307078; 7202087947; 32867784000; 7003667858; 7003451565; 15058787200; 6506268396</t>
  </si>
  <si>
    <t xml:space="preserve">Accuracy of Mobile Phone and Handheld Light Microscopy for the Diagnosis of Schistosomiasis and Intestinal Protozoa Infections in Côte d’Ivoire</t>
  </si>
  <si>
    <t xml:space="preserve">Background: Handheld light microscopy using compact optics and mobile phones may improve the quality of health care in resource-constrained settings by enabling access to prompt and accurate diagnosis. Methodology: Laboratory technicians were trained to operate two handheld diagnostic devices (Newton Nm1 microscope and a clip-on version of the mobile phone-based CellScope). The accuracy of these devices was compared to conventional light microscopy for the diagnosis of Schistosoma haematobium, S. mansoni, and intestinal protozoa infection in a community-based survey in rural Côte d’Ivoire. One slide of 10 ml filtered urine and a single Kato-Katz thick smear from 226 individuals were subjected to the Newton Nm1 microscope and CellScope for detection of Schistosoma eggs and compared to conventional microscopy. Additionally, 121 sodium acetate-acetic acid-formalin (SAF)-fixed stool samples were examined by the Newton Nm1 microscope and compared to conventional microscopy for the diagnosis of intestinal protozoa. Principal Findings: The prevalence of S. haematobium, S. mansoni, Giardia intestinalis, and Entamoeba histolytica/E. dispar, as determined by conventional microscopy, was 39.8%, 5.3%, 20.7%, and 4.9%, respectively. The Newton Nm1 microscope had diagnostic sensitivities for S. mansoni and S. haematobium infection of 91.7% (95% confidence interval (CI) 59.8–99.6%) and 81.1% (95% CI 71.2–88.3%), respectively, and specificities of 99.5% (95% CI 97.0–100%) and 97.1% (95% CI 92.2–99.1%), respectively. The CellScope demonstrated sensitivities for S. mansoni and S. haematobium of 50.0% (95% CI 25.4–74.6%) and 35.6% (95% CI 25.9–46.4%), respectively, and specificities of 99.5% (95% CI 97.0–100%) and 100% (95% CI 86.7–100%), respectively. For G. intestinalis and E. histolytica/E. dispar, the Newton Nm1 microscope had sensitivity of 84.0% (95% CI 63.1–94.7%) and 83.3% (95% CI 36.5–99.1%), respectively, and 100% specificity. Conclusions/Significance: Handheld diagnostic devices can be employed in community-based surveys in resource-constrained settings after minimal training of laboratory technicians to diagnose intestinal parasites. © 2016 Coulibaly et al.</t>
  </si>
  <si>
    <t xml:space="preserve">e0004768</t>
  </si>
  <si>
    <t xml:space="preserve">10.1371/journal.pntd.0004768</t>
  </si>
  <si>
    <t xml:space="preserve">https://www.scopus.com/inward/record.uri?eid=2-s2.0-84979035646&amp;doi=10.1371%2fjournal.pntd.0004768&amp;partnerID=40&amp;md5=c8672649d830f30b6af8b5281893cc24</t>
  </si>
  <si>
    <t xml:space="preserve">Unité de Formation et de Recherche Biosciences, Université Félix Houphouët-Boigny, Abidjan, Cote d'Ivoire; Centre Suisse de Recherches Scientifiques en Côte d’Ivoire, Abidjan, Cote d'Ivoire; Swiss Tropical and Public Health Institute, Basel, Switzerland; University of Basel, Basel, Switzerland; Department of Bioengineering, University of California–Berkeley, Berkeley, CA, United States; Division of Infectious Diseases and Geographic Medicine, Stanford University School of Medicine, Stanford, CA, United States; Divisions of Internal Medicine and Infectious Diseases, Toronto General Hospital, Toronto, Canada; Department of Medicine, University of Toronto, Toronto, Canada</t>
  </si>
  <si>
    <t xml:space="preserve">Coulibaly J.T., Unité de Formation et de Recherche Biosciences, Université Félix Houphouët-Boigny, Abidjan, Cote d'Ivoire, Centre Suisse de Recherches Scientifiques en Côte d’Ivoire, Abidjan, Cote d'Ivoire, Swiss Tropical and Public Health Institute, Basel, Switzerland, University of Basel, Basel, Switzerland; Ouattara M., Unité de Formation et de Recherche Biosciences, Université Félix Houphouët-Boigny, Abidjan, Cote d'Ivoire, Centre Suisse de Recherches Scientifiques en Côte d’Ivoire, Abidjan, Cote d'Ivoire; D’Ambrosio M.V., Department of Bioengineering, University of California–Berkeley, Berkeley, CA, United States; Fletcher D.A., Department of Bioengineering, University of California–Berkeley, Berkeley, CA, United States; Keiser J., Swiss Tropical and Public Health Institute, Basel, Switzerland, University of Basel, Basel, Switzerland; Utzinger J., Swiss Tropical and Public Health Institute, Basel, Switzerland, University of Basel, Basel, Switzerland; N’Goran E.K., Unité de Formation et de Recherche Biosciences, Université Félix Houphouët-Boigny, Abidjan, Cote d'Ivoire, Centre Suisse de Recherches Scientifiques en Côte d’Ivoire, Abidjan, Cote d'Ivoire; Andrews J.R., Division of Infectious Diseases and Geographic Medicine, Stanford University School of Medicine, Stanford, CA, United States; Bogoch I.I., Divisions of Internal Medicine and Infectious Diseases, Toronto General Hospital, Toronto, Canada, Department of Medicine, University of Toronto, Toronto, Canada</t>
  </si>
  <si>
    <t xml:space="preserve">Animals; Cell Phones; Cote d'Ivoire; Humans; Intestinal Diseases, Parasitic; Microscopy; Protozoan Infections; Schistosoma haematobium; Schistosoma mansoni; Schistosomiasis; Sensitivity and Specificity; Soil; albendazole; praziquantel; soil; adolescent; adult; Article; child; controlled study; cross-sectional study; diagnostic accuracy; diagnostic test accuracy study; feces analysis; helminthiasis; human; intestine infection; major clinical study; microscopy; mobile phone; nonhuman; protozoal infection; Schistosoma haematobium; Schistosoma mansoni; schistosomiasis; sensitivity and specificity; animal; Cote d'Ivoire; devices; Intestinal Diseases, Parasitic; isolation and purification; microscopy; parasitology; procedures; Protozoan Infections; schistosomiasis; soil</t>
  </si>
  <si>
    <t xml:space="preserve">albendazole, 54965-21-8; praziquantel, 55268-74-1; Soil, </t>
  </si>
  <si>
    <t xml:space="preserve">Utzinger J., Becker S.L., Knopp S., Blum J., Neumayr A.L., Keiser J., Et al., Neglected tropical diseases: diagnosis, clinical management, treatment and control, Swiss Med Wkly, 142, (2012); Hotez P.J., Alvarado M., Basanez M.G., Bolliger I., Bourne R., Boussinesq M., Et al., The Global Burden of Disease study 2010: interpretation and implications for the neglected tropical diseases, PLoS Negl Trop Dis, 8, (2014); Petti C.A., Polage C.R., Quinn T.C., Ronald A.R., Sande M.A., Laboratory medicine in Africa: a barrier to effective health care, Clin Infect Dis, 42, pp. 377-382, (2006); Colley D.G., Bustinduy A.L., Secor W.E., King C.H., Human schistosomiasis, Lancet, 383, pp. 2253-2264, (2014); Ross A.G.P., Bartley P.B., Sleigh A.C., Olds G.R., Li Y., Williams G.M., Et al., Schistosomiasis, N Engl J Med, 346, pp. 1212-1220, (2002); Gryseels B., Polman K., Clerinx J., Kestens L., Human schistosomiasis, Lancet, 368, pp. 1106-1118, (2006); Stanley S.L., Amoebiasis, Lancet, 361, pp. 1025-1034, (2003); Escobedo A.A., Cimerman S., Giardiasis: a pharmacotherapy review, Expert Opin Pharmacother, 8, pp. 1885-1902, (2007); Stothard J.R., Kabatereine N.B., Tukahebwa E.M., Kazibwe F., Mathieson W., Webster J.P., Et al., Field evaluation of the Meade Readiview handheld microscope for diagnosis of intestinal schistosomiasis in Ugandan school children, Am J Trop Med Hyg, 73, pp. 949-955, (2005); Bogoch I.I., Andrews J.R., Speich B., Ame S.M., Ali S.M., Stothard J.R., Et al., Quantitative evaluation of a handheld light microscope for field diagnosis of soil-transmitted helminth infection, Am J Trop Med Hyg, 91, pp. 1138-1141, (2014); Stothard J.R., Nabatte B., Sousa-Figueiredo J.C., Kabatereine N.B., Towards malaria microscopy at the point-of-contact: an assessment of the diagnostic performance of the Newton Nm1 microscope in Uganda, Parasitology, 141, pp. 1819-1825, (2014); Bogoch I.I., Andrews J.R., Speich B., Utzinger J., Ame S.M., Ali S.M., Et al., Mobile phone microscopy for the diagnosis of soil-transmitted helminth infections: a proof-of-concept study, Am J Trop Med Hyg, 88, pp. 626-629, (2013); Bogoch I.I., Coulibaly J.T., Andrews J.R., Speich B., Keiser J., Stothard J.R., Et al., Evaluation of portable microscopic devices for the diagnosis of Schistosoma and soil-transmitted helminth infection, Parasitology, 141, pp. 1811-1818, (2014); Ephraim R.K.D., Duah E., Cybulski J.S., Prakash M., D'Ambrosio M.V., Fletcher D.A., Et al., Diagnosis of Schistosoma haematobium infection with a mobile phone-mounted Foldscope and a reversed-lens CellScope in Ghana, Am J Trop Med Hyg, 92, pp. 1253-1256, (2015); Switz N.A., D'Ambrosio M.V., Fletcher D.A., Low-cost mobile phone microscopy with a reversed mobile phone camera lens, PLoS One, 9, (2014); Muller I., Coulibaly J.T., Furst T., Knopp S., Hattendorf J., Krauth S.J., Et al., Effect of schistosomiasis and soil-transmitted helminth infections on physical fitness of school children in Côte d’Ivoire, PLoS Negl Trop Dis, 5, (2011); Weber M.D., Blair D.M., Clark V.V., The pattern of schistosome egg distribution in a micturition flow, Cent Afr J Med, 13, pp. 75-88, (1967); Katz N., Chaves A., Pellegrino J., A simple device for quantitative stool thick-smear technique in schistosomiasis mansoni, Rev Inst Med Trop São Paulo, 14, pp. 397-400, (1972); Utzinger J., Botero-Kleiven S., Castelli F., Chiodini P.L., Edwards H., Kohler N., Et al., Microscopic diagnosis of sodium acetate-acetic acid-formalin-fixed stool samples for helminths and intestinal protozoa: a comparison among European reference laboratories, Clin Microbiol Infect, 16, pp. 267-273, (2010); Martin L.K., Beaver P.C., Evaluation of Kato thick-smear technique for quantitative diagnosis of helminth infections, Am J Trop Med Hyg, 17, pp. 382-391, (1968); Linder E., Grote A., Varjo S., Linder N., Lebbad M., Lundin M., Et al., On-chip imaging of Schistosoma haematobium eggs in urine for diagnosis by computer vision, PLoS Negl Trop Dis, 7, (2013); Hurlimann E., Schur N., Boutsika K., Stensgaard A.-S., Laserna de Himpsl M., Ziegelbauer K., Et al., Toward an open-access global database for mapping, control, and surveillance of neglected tropical diseases, PLoS Negl Trop Dis, 5, (2011); Linder N., Turkki R., Walliander M., Martensson A., Diwan V., Rahtu E., Et al., A malaria diagnostic tool based on computer vision screening and visualization of Plasmodium falciparum candidate areas in digitized blood smears, PLoS One, 9, (2014); Koydemir H.C., Gorocs Z., Tseng D., Cortazar B., Feng S., Chan R.Y.L., Et al., Rapid imaging, detection and quantification of Giardia lamblia cysts using mobile-phone based fluorescent microscopy and machine learning, Lab Chip, 15, pp. 1284-1293, (2015); D'Ambrosio M.V., Bakalar M., Bennuru S., Reber C., Skandarajah A., Nilsson L., Et al., Point-of-care quantification of blood-borne filarial parasites with a mobile phone microscope, Sci Transl Med, 7, (2015); Prevention and control of schistosomiasis and soil-transmitted helminthiasis: report of an expert committee, WHO Tech Rep Ser, 912, pp. 1-57, (2002); Lwambo N.J.S., Bundy D.A.P., Medley G.F.H., A new approach to morbidity risk assessment in hookworm endemic communities, Epidemiol Infect, 108, pp. 469-481, (1992); de Silva N., Guyatt H.L., Bundy D.A.P., Worm burden in intestinal obstruction caused by Ascaris lumbricoides, Trop Med Int Health, 2, pp. 189-190, (1997)</t>
  </si>
  <si>
    <t xml:space="preserve">I.I. Bogoch; Divisions of Internal Medicine and Infectious Diseases, Toronto General Hospital, Toronto, Canada; email: isaac.bogoch@uhn.ca</t>
  </si>
  <si>
    <t xml:space="preserve">2-s2.0-84979035646</t>
  </si>
  <si>
    <t xml:space="preserve">Yasur-Landau D.; Jaffe C.L.; David L.; Baneth G.</t>
  </si>
  <si>
    <t xml:space="preserve">Yasur-Landau, Daniel (55969171500); Jaffe, Charles L. (7101630521); David, Lior (7201388138); Baneth, Gad (7004930993)</t>
  </si>
  <si>
    <t xml:space="preserve">55969171500; 7101630521; 7201388138; 7004930993</t>
  </si>
  <si>
    <t xml:space="preserve">Allopurinol Resistance in Leishmania infantum from Dogs with Disease Relapse</t>
  </si>
  <si>
    <t xml:space="preserve">Background: Visceral leishmaniasis caused by the protozoan Leishmania infantum is a zoonotic, life threatening parasitic disease. Domestic dogs are the main peridomestic reservoir, and allopurinol is the most frequently used drug for the control of infection, alone or in combination with other drugs. Resistance of Leishmania strains from dogs to allopurinol has not been described before in clinical studies. Methodology/Principal Findings: Following our observation of clinical disease relapse in dogs under allopurinol treatment, we tested susceptibility to allopurinol of L. infantum isolated from groups of dogs pre-treatment, treated in remission, and with disease relapse during treatment. Promastigote isolates obtained from four treated relapsed dogs (TR group) showed an average half maximal inhibitory concentration (IC50) of 996 μg/mL. A significantly lower IC50 (P = 0.01) was found for isolates from ten dogs before treatment (NT group, 200 μg/mL), as well as for five isolates obtained from treated dogs in remission (TA group, 268 μg/mL). Axenic amastigotes produced from isolates of the TR group also showed significantly higher (P = 0.002) IC50 compared to the NT group (1678 and 671 μg/mL, respectively). The lower sensitivity of intracellular amastigotes from the TR group relative to those from the NT group (P = 0.002) was confirmed using an infected macrophage model (6.3% and 20% growth inhibition, respectively at 300 μg/mL allopurinol). Conclusions: This is the first study to demonstrate allopurinol resistance in L. infantum and to associate it with disease relapse in the canine host. These findings are of concern as allopurinol is the main drug used for long term control of the disease in dogs, and resistant L. infantum strains may enhance uncontrolled transmission to humans and to other dogs. © 2016 Yasur-Landau et al.</t>
  </si>
  <si>
    <t xml:space="preserve">e0004341</t>
  </si>
  <si>
    <t xml:space="preserve">10.1371/journal.pntd.0004341</t>
  </si>
  <si>
    <t xml:space="preserve">https://www.scopus.com/inward/record.uri?eid=2-s2.0-84957109437&amp;doi=10.1371%2fjournal.pntd.0004341&amp;partnerID=40&amp;md5=a6b693f10fafc640f7c086ae6ebe2f38</t>
  </si>
  <si>
    <t xml:space="preserve">Koret School of Veterinary Medicine, The Hebrew University, Rehovot, Israel; Department of Microbiology and Molecular Genetics, IMRIC, Hadassah Medical School, The Hebrew University, Jerusalem, Israel; Department of Animal Sciences, The Hebrew University, Rehovot, Israel</t>
  </si>
  <si>
    <t xml:space="preserve">Yasur-Landau D., Koret School of Veterinary Medicine, The Hebrew University, Rehovot, Israel; Jaffe C.L., Department of Microbiology and Molecular Genetics, IMRIC, Hadassah Medical School, The Hebrew University, Jerusalem, Israel; David L., Department of Animal Sciences, The Hebrew University, Rehovot, Israel; Baneth G., Koret School of Veterinary Medicine, The Hebrew University, Rehovot, Israel</t>
  </si>
  <si>
    <t xml:space="preserve">Allopurinol; Animals; Antimetabolites; Antiprotozoal Agents; Dog Diseases; Dogs; Drug Resistance; Leishmania infantum; Leishmaniasis, Visceral; albumin; allopurinol; creatinine; allopurinol; antimetabolite; antiprotozoal agent; amastigote; animal cell; Article; blood cell count; controlled study; cytotoxicity; disease carrier; dog; enzyme linked immunosorbent assay; female; growth curve; growth inhibition; IC50; infection control; Leishmania infantum; leishmaniasis; male; molecular diagnosis; nonhuman; optical density; promastigote; real time polymerase chain reaction; recurrence risk; relapse; remission; scoring system; treatment duration; animal; Dog Diseases; drug effects; drug resistance; Leishmaniasis, Visceral; parasitology; veterinary</t>
  </si>
  <si>
    <t xml:space="preserve">allopurinol, 315-30-0; creatinine, 19230-81-0, 60-27-5; Allopurinol, ; Antimetabolites, ; Antiprotozoal Agents, </t>
  </si>
  <si>
    <t xml:space="preserve">Control of the Leishmaniases, Report of a WHO expert committee, World Health Organ Tech Rep Ser, 949, pp. 1-186, (2010); Moreno J., Alvar J., Canine leishmaniasis: epidemiological risk and the experimental model, Trends Parasitol, 18, pp. 399-405, (2002); Sivera F., Andres M., Carmona L., Kydd A.S., Moi J., Seth R., Et al., Multinational evidence-based recommendations for the diagnosis and management of gout: integrating systematic literature review and expert opinion of a broad panel of rheumatologists in the 3e initiative, Ann Rheum Dis, 73, pp. 328-335, (2014); Pfaller M.A., Marr J.J., Antileishmanial effect of allopurinol, Antimicrob Agents Chemother, 5, pp. 469-472, (1974); Baneth G., Shaw S.E., Chemotherapy of canine leishmaniosis, Vet Parasitol, 106, pp. 315-324, (2002); Chawla B., Madhubala R., Drug targets in Leishmania, J Parasit Dis, 34, pp. 1-13, (2010); Balana-Fouce R., Requera R.M., Cubria J.C., Ordonez D., The pharmacology of leishmaniasis, Gen Pharmacol, 30, pp. 435-443, (1998); Solano-Gallego L., Miro G., Koutinas A., Cardoso L., Pennisi M.G., Ferrer L., Et al., The LeishVet Group. LeishVet guidelines for the practical management of canine leishmaniosis, Parasit Vectors, 4, (2011); Manna L., Corso R., Galiero G., Cerrone A., Muzj P., Gravino A.E., Long-term follow-up of dogs with leishmaniosis treated with meglumine antimoniate plus allopurinol versus miltefosine plus allopurinol, Parasit Vectors, 8, (2015); Pasa S., Toz S.O., Voyvoda H., Ozbel Y., Clinical and serological follow-up in dogs with visceral leishmaniosis treated with allopurinol and sodium stibogluconate, Vet Parasitol, 128, pp. 243-249, (2005); Miro G., Galvez R., Fraile C., Descalzo M.A., Molina R., Infectivity to Phlebotomus perniciosus of dogs naturally parasitized with Leishmania infantum after different treatments, Parasit Vectors, 4, (2011); Koutinas A.F., Saridomichelakis M.N., Mylonakis M.E., Leontides L., Polizopoulou Z., Billinis C., Et al., A randomised, blinded, placebo-controlled clinical trial with allopurinol in canine leishmaniosis, Vet Parasitol, 98, pp. 247-261, (2001); Miro G., Cardoso L., Pennisi M.G., Oliva G., Baneth G., Canine leishmaniosis-new concepts and insights on an expanding zoonosis: part two, Trends Parasitol, 24, pp. 371-377, (2008); Ginel P.J., Lucena R., Lopez R., Molleda J.M., Use of allopurinol for maintenance of remission in dogs with leishmaniasis, J Small Anim Practice, 39, pp. 271-274, (1998); Cavaliero T., Arnold P., Mathis A., Glaus T., Hofmann-Lehmann R., Deplazes P., Clinical, serologic, and parasitologic follow-up after long-term allopurinol therapy of dogs naturally infected with Leishmania infantum, J Vet Intern Med, 13, pp. 330-334, (1999); Slappendel R.J., Teske E., The effect of intravenous or subcutaneous administration of meglumine antimonite (Glucantime) in dogs with leishmaniasis–A randomized clinical trial, Vet Q, 19, pp. 10-13, (1997); Manna L., Reale S., Vitale F., Picillo E., Pavone L.M., Gravino A.E., Real-time PCR assay in Leishmania-infected dogs treated with meglumine antimoniate and allopurinol, Vet J, 177, pp. 279-282, (2007); Torres M., Bardagi M., Roura X., Zanna G., Ravera I., Ferrer L., Long term follow-up of dogs diagnosed with leishmaniosis (clinical stage II) and treated with meglumine antimoniate and allopurinol, Vet J, 188, pp. 346-351, (2011); Ubeda J.M., Legare D., Raymond F., Ouameur A.A., Boisvert S., Rigault P., Et al., Modulation of gene expression in drug resistant Leishmania is associated with gene amplification, gene deletion and chromosome aneuploidy, Genome Biol, 9, (2008); do Monte-Neto R.L., Coelho A.C., Raymond F., Legare D., Corbeil J., Melo M.N., Et al., Gene expression profiling and molecular characterization of antimony resistance in Leishmania amazonensis, PLoS Negl Trop Dis, 5, (2011); Ait-Oudhia K., Gazanion E., Vergnes B., Oury B., Sereno D., Leishmania antimony resistance: what we know what we can learn from the field, Parasitol Res, 109, pp. 1225-1232, (2011); Purkait B., Kumar A., Nandi N., Sardar A.H., Das S., Kumar S., Et al., Mechanism of amphotericin B resistance in clinical isolates of Leishmania donovani, Antimicrob. Agents Chemother, 56, pp. 1031-1041, (2012); Coelho A.C., Boisvert S., Mukherjee A., Leprohon P., Corbeil J., Ouellette M. Multiple mutations in heterogeneous miltefosine-resistant Leishmania major population as determined by whole genome sequencing, PLoS Negl Trop Dis, 6, (2012); Cojean S., Houze S., Haouchine D., Huteau F., Lariven S., Hubert V., Et al., Leishmania resistance to miltefosine associated with genetic marker, Emerg Infect Dis, 18, pp. 704-706, (2012); Gramiccia M., Gradoni L., Orsini S., Decreased sensitivity to meglumine antimoniate (Glucantime) of Leishmania infantum isolated from dogs after several courses of drug treatment, Ann Trop Med Parasitol, 86, pp. 613-620, (1992); Carrio J., Portus M., In vitro susceptibility to pentavalent antimony in Leishmania infantum strains is not modified during In vitro or in vivo passages but is modified after host treatment with meglumine antimoniate, BMC Pharmacology, 2, pp. 2-11, (2002); Ait-Oudhia K., Gazanion E., Sereno D., Oury B., Dedet J.P., Pratlong F., Et al., In vitro susceptibility to antimonials and amphotericin B of Leishmania infantum strains isolated from dogs in a region lacking drug selection pressure, Vet Parasitol, 187, pp. 386-393, (2012); Manna L., Vitale F., Reale S., Picillo E., Neglia G., Vescio F., Et al., Study of efficacy of miltefosine and allopurinol in dogs with leishmaniosis, Vet J, 182, pp. 441-445, (2009); Baneth G., Dank G., Keren-Kornblatt E., Sekeles E., Adini I., Eisenberger C.L., Et al., Emergence of visceral leishmaniasis in central Israel, Am J Trop Med Hyg, 59, pp. 722-725, (1998); Nicolas L., Milon G., Prina E. Rapid differentiation of Old World Leishmania species by LightCycler polymerase chain reaction and melting curve analysis, J Microbiol. methods, 51, pp. 295-299, (2002); Schnur L.F., Jacobson R.L., Peters W., Killick-Kendrick R., The Leishmaniases in Biology and Medicine, pp. 499-541, (1987); Shimony O., Jaffe C.L., Rapid fluorescent assay for screening drugs on Leishmania amastigotes, J Microbiol Methods, 75, pp. 196-200, (2008); Sereno D., Lemesre J.L., Axenically cultured amastigote forms as an in vitro model for investigation of antileishmanial agents, Antimicrob Agents Chemother, 41, pp. 972-976, (1997); el Tai N.O., Osman O.F., el Fari M., Presber W., Schonian G., Genetic heterogeneity of ribosomal internal transcribed spacer in clinical samples of Leishmania donovani spotted on filter paper as revealed by single-strand conformation polymorphisms and sequencing, Trans R Soc Trop Med Hyg, 94, pp. 575-579, (2000); Strauss-Ayali D., Baneth G., Jaffe C.L., Splenic immune responses during canine visceral leishmaniasis, Vet Res, 38, pp. 547-564, (2007); Maia C., Nunes M., Marques M., Henriques S., Rolao N., Campino L., In vitro drug susceptibility of Leishmania infantum isolated from humans and dogs, Exp Parasitol, 135, pp. 36-41, (2013); Quinnell R.J., Courtenay O., Transmission, reservoir hosts and control of zoonotic visceral leishmaniasis, Parasitology, 136, pp. 1915-1934, (2009)</t>
  </si>
  <si>
    <t xml:space="preserve">G. Baneth; Koret School of Veterinary Medicine, The Hebrew University, Rehovot, Israel; email: gad.baneth@mail.huji.ac.il</t>
  </si>
  <si>
    <t xml:space="preserve">2-s2.0-84957109437</t>
  </si>
  <si>
    <t xml:space="preserve">Lee K.Y.; Chung N.; Hwang S.</t>
  </si>
  <si>
    <t xml:space="preserve">Lee, Keun Young (56101308100); Chung, Namil (26326131200); Hwang, Suntae (8982660800)</t>
  </si>
  <si>
    <t xml:space="preserve">56101308100; 26326131200; 8982660800</t>
  </si>
  <si>
    <t xml:space="preserve">Application of an artificial neural network (ANN) model for predicting mosquito abundances in urban areas</t>
  </si>
  <si>
    <t xml:space="preserve">The mosquito species is one of most important insect vectors of several diseases, namely, malaria, filariasis, Japanese encephalitis, dengue, and so on. In particular, in recent years, as the number of people who enjoy outdoor activities in urban areas continues to increase, information about mosquito activity is in demand. Furthermore, mosquito activity prediction is crucial for managing the safety and the health of humans. However, the estimation of mosquito abundances frequently involves uncertainty because of high spatial and temporal variations, which hinders the accuracy of general mechanistic models of mosquito abundances. For this reason, it is necessary to develop a simpler and lighter mosquito abundance prediction model. In this study, we tested the efficacy of the artificial neural network (ANN), which is a popular empirical model, for mosquito abundance prediction. For comparison, we also developed a multiple linear regression (MLR) model. Both the ANN and the MLR models were applied to estimate mosquito abundances in 2-year observations in Yeongdeungpo-gu, Seoul, conducted using the Digital Mosquito Monitoring System (DMS). As input variables, we used meteorological data, including temperature, wind speed, humidity, and precipitation. The results showed that performances of the ANN model and the MLR model are almost same in terms of R and root mean square error (RMSE). The ANN model was able to predict the high variability as compared to MLR. A sensitivity analysis of the ANN model showed that the relationships between input variables and mosquito abundances were well explained. In conclusion, ANNs have the potential to predict fluctuations in mosquito numbers (especially the extreme values), and can do so better than traditional statistical techniques. But, much more work needs to be conducted to assess meaningful time delays in environmental variables and mosquito numbers. © 2015 The Authors</t>
  </si>
  <si>
    <t xml:space="preserve">10.1016/j.ecoinf.2015.08.011</t>
  </si>
  <si>
    <t xml:space="preserve">https://www.scopus.com/inward/record.uri?eid=2-s2.0-85002874455&amp;doi=10.1016%2fj.ecoinf.2015.08.011&amp;partnerID=40&amp;md5=bfaeb0d7b679c9b329f847e5d690f3ee</t>
  </si>
  <si>
    <t xml:space="preserve">UBITA (Institute for Ubiquitous Information Technology and Applications), Konkuk University, Seoul, South Korea; Department of Ecological Monitoring and Assessment, National Institute of Ecology, Seochon, 325-813, Choongnam, South Korea; School of Computer Science, Kookmin University 77, Jeongneung-ro, Seongbuk-gu, Seoul, 136-702, South Korea</t>
  </si>
  <si>
    <t xml:space="preserve">Lee K.Y., UBITA (Institute for Ubiquitous Information Technology and Applications), Konkuk University, Seoul, South Korea; Chung N., Department of Ecological Monitoring and Assessment, National Institute of Ecology, Seochon, 325-813, Choongnam, South Korea; Hwang S., School of Computer Science, Kookmin University 77, Jeongneung-ro, Seongbuk-gu, Seoul, 136-702, South Korea</t>
  </si>
  <si>
    <t xml:space="preserve">Artificial neural network (ANN); Empirical prediction model; Mosquito abundances; Multiple regression model (MLR)</t>
  </si>
  <si>
    <t xml:space="preserve">Seoul [South Korea]; South Korea; Hexapoda; Japanese encephalitis virus; abundance; artificial neural network; disease vector; ecological modeling; empirical analysis; mosquito; prediction; public health; regression analysis; sensitivity analysis; spatiotemporal analysis; urban area</t>
  </si>
  <si>
    <t xml:space="preserve">Weather Information Service, (KMIPA-2012-0001)</t>
  </si>
  <si>
    <t xml:space="preserve">The authors would like to thank Prof. Karpjoo Jeong and Prof. Sangmin Yoon for valuable comments. This work was funded by the Weather Information Service Engine Project under Grant KMIPA-2012-0001.</t>
  </si>
  <si>
    <t xml:space="preserve">Ahumada J.A., Lapointe D., Samuel M.D., Modeling the population dynamics of Culex quinquefasciatus (Diptera: Culcidae), along an elevation gradient in Hawaii, J. Med. Entomol., 41, pp. 1157-1170, (2004); Banerjee A.K., Kiran K., Murty U.S.N., Venkateswarlu C., Classification and identification of mosquito species using artificial neural networks, Comput. Biol. Chem., 32, pp. 442-447, (2008); Bayoh M.N., Lindsay S.W., Effect of temperature on the development of the aquatic stages of Anopheles gambiae sensu stricto (Diptera: Culicidae), Bull. Entomol. Res., 93, 5, pp. 375-381, (2003); Bayoh M.N., Lindsay S.W., Temperature-related duration of aquatic stages of the Afrotropical malaria vector mosquito Anopheles gambiae in the laboratory, Med. Vet. Entomol., 18, 2, pp. 174-179, (2004); Bishop C., Neural Networks for Pattern Recognition, (1995); Botkin D.B., Saxe H., Et al., Forecasting the effects of global warming on biodiversity, Bioscience, 57, 3, pp. 227-236, (2007); Brosse S., Lek S., Dauba F., Predicting fish distribution in a mesotrophic lake by hydroacoustic survey and artificial neural networks, Limnol. Oceanogr., 44, pp. 1293-1303, (1999); Chartfield C., The Analysis of Time Series: An Introduction, (2003); Chuang T.W., Lonides E.L., Knepper R.G., Stanuszek W.W., Walker E.D., Wilson M.L., Cross-correlation map analyses show weather variation influences on mosquito abundance patterns in Saginaw County, Michigan, 1989–2005, J. Med. Entomol., 49, pp. 851-858, (2012); Diggle P.J., Time Series: A Biostatistical Introduction, (1990); Dopazo J., Huaichun W., Carazo J.M., A new type of unsupervised growing neural network for biological sequence classification that adopts the topology of a phylogenetic tree, Lect. Notes Comput. Sci., 1240, pp. 932-941, (1997); Duda R., Hart P., Stork D., Pattern Classification, (2001); Focks D.A., Haile D.G., Daniels E., Mount G.A., Dynamic life table model for Aedes-Aegypti (Diptera, Culcidae)—analysis of the literature and model development, J. Med. Entomol., 30, pp. 1003-1017, (1993); Fouque F., Baumgartner J., Simulating development and survival of Aede vexans (Diptera, Culcidae) preimaginal stages under field conditions, J. Med. Entomol., 33, pp. 32-38, (1996); Garson G.D., Interpreting neural network connection weights, Artif. Intell. Expert, 6, pp. 47-51, (1991); Gevrey M., Dimopoulos I., Lek S., Review and comparison of methods to study the contribution of variables in artificial neural network models, Ecol. Model., 160, pp. 249-264, (2003); Hastie T., Tibshirani R., Friedman J., The Elements of Statistical Learning, (2001); Hill D.J., Minsker B.S., Anomaly detection in streaming environmental sensor data: a data-driven modeling approach, Environ. Model Softw., 25, pp. 1014-1022, (2010); Kim M.H., Kim Y.S., Lim J.J., Kim J.T., Sung S.W., Yoo C.K., Data-driven prediction model of indoor air quality in an underground space, Korean J. Chem. Eng., 27, 6, pp. 1675-1680, (2010); Lebl K., Brigger K., Rubel F., Predictiong on Culex pipiens/restuans population dynamics by interval lagged weather data, Parasites &amp; Vectors, 6, (2013); Lek S., Guegan J.F., Artificial neural networks as a tool in ecological modeling, an introduction, Ecol. Model., 120, pp. 65-73, (1999); Lek S., Belaud A., Baran P., Dimopoulos I., Delacoste M., Role of some environmental variables in trout abundance models using neural networks, Aquat. Living Resour., 9, pp. 23-29, (1996); MATLAB and Statistics Toolbox Release, The MathWorks, Inc., (2014); MATLAB and Statistics Toolbox Release, The MathWorks, Inc., (2014); Mohseni O., Stefan H.G., Eaton J.G., Global warming and potential changes in fish habitat in U.S. streams, Clim. Chang., 59, 3, pp. 389-409, (2003); Park Y.S., Cereghino R., Compin A., Lek S., Applications of artificial neural networks for patterning and predicting aquatic insect species richness in running waters, Ecol. Model., 160, pp. 265-280, (2003); Patz J.H., Martens W.J., Focks D.A., Jetten T.H., Dengue fever epidemic potential as projected by general circulation models of global climate change, Environ. Health Perspect., 106, pp. 147-153, (1998); Reiter P., Climate change and mosquito borne disease, Environ. Health Perspect., 109, pp. 141-161, (2001); Revich B., Tokarevich N., Parkinson A.J., Climate change and zoonotic infections in the Russian Arctic, Int. J. Circumpolar Health, 71, pp. 1-8, (2012); Sahoo G.B., Schladow S.G., Reuter J.E., Forecasting stream water temperature using regression analysis, artificial neural network, and chaotic non-linear dynamic models, J. Hydrol., 378, pp. 325-342, (2009); Shaman J., Stieglitz M., Stark C., Blancq S.L., Cane M., Using a dynamic hydrology model to predict mosquito abundances in flood and swamp water, Emerg. Infect. Dis., 8, pp. 6-13, (2002); Shamseldin A.Y., Application of a neural network technique to rainfall-runoff modeling, J. Hydrol., 199, pp. 272-294, (1997); Schlink U., Doring S., Pelikan E., Nunnari G., Cawley G., Junninen H., Greig A., Foxall R., Eben K., Chatterton T., Vondracek J., Richter M., Dostal M., Bertucco L., Kolehmainen M., Doyle M., A rigorous inter-comparison of ground-level ozone predictions, Atmos. Environ., 37, pp. 3237-3253, (2003); Shone S.M., Curriero F.C., Lesser C.R., Glass G.E., Characterizing population dynamics of Aedes sollicitans (Diptera, Culcidae) using meteorological data, J. Med. Entomol., 43, pp. 393-402, (2006); Singh K.P., Basant A., Malik A., Jain G., Artificial neural network modeling of the river water quality-case study, Ecol. model., 220, pp. 888-895, (2009); Song K., Park Y.S., Zheng F., Kang H., The application of artificial neural network (ANN) model to the simulation of denitrification rates in mesocosm-scale wetlands, Ecol. Inform., 16, pp. 10-16, (2013); Wang J., Ogden N.H., Zhu H., The impact of weather conditions on Culex pipiens and Culex restuans (Diptera, Culcidae) abundance: a case study in peel region, J. Med. Entomol., 48, pp. 468-475, (2011); WHO, World Health Report, 1996, (1996); Willmott C.J., Some comments in the evaluation of model performance, Bull. Am. Meteorol. Soc., 63, pp. 1309-1313, (1982); Zuur A.F., Ieno E.N., Smith G.M., Analysing Ecological Data, (2007)</t>
  </si>
  <si>
    <t xml:space="preserve">2-s2.0-85002874455</t>
  </si>
  <si>
    <t xml:space="preserve">Alencar-Filho A.C.; Ferreira J.M.B.B.; Salinas J.L.; Fabbri C.; Monteiro W.M.; Siqueira A.M.; Okoshi K.; Lacerda M.V.G.; Okoshi M.P.</t>
  </si>
  <si>
    <t xml:space="preserve">Alencar-Filho, Aristoteles Comte (14043432300); Ferreira, Joao Marcos Bemfica Barbosa (35092453500); Salinas, Jorge Luis (23475150400); Fabbri, Camila (55847705700); Monteiro, Wuelton Marcelo (12345420700); Siqueira, Andre Machado (22136799100); Okoshi, Katashi (7005891959); Lacerda, Marcus Vinicius Guimaraes (8836255900); Okoshi, Marina Politi (7005562488)</t>
  </si>
  <si>
    <t xml:space="preserve">14043432300; 35092453500; 23475150400; 55847705700; 12345420700; 22136799100; 7005891959; 8836255900; 7005562488</t>
  </si>
  <si>
    <t xml:space="preserve">Cardiovascular changes in patients with non-severe Plasmodium vivax malaria</t>
  </si>
  <si>
    <t xml:space="preserve">Background: Cardiovascular system involvement in patients with Plasmodium vivax malaria has been poorly addressed. The aim of this study was to evaluate cardiac structures and function, and serum markers of cardiovascular injury in patients with the non-severe form of vivax malaria in Manaus, Amazonas State, Brazil. Methods and results: We prospectively evaluated 26 patients with vivax malaria in an outpatient referral hospital and compared results with a control group of 25 gender- and age-matched healthy individuals. Patients underwent clinical evaluation, laboratory tests, and transthoracic echocardiography at first evaluation (day zero, D0) and seven days (D7) after malaria diagnosis. At D0 echocardiography showed higher left ventricular (LV) systolic diameter (28.8 ± 2.82 vs 30.9 ± 4.03 mm; p = 0.037) and LV diastolic volume (82.4 ± 12.3 vs 93.8 ± 25.9 ml; p = 0.05), and lower LV ejection fraction (Teicholz method: 73.2 ± 6.59 vs 68.4 ± 4.87%; p = 0.004) in patients compared to controls. Right ventricle (RV) fractional area change (54.7 ± 5.11 vs 50.5 ± 6.71%; p = 0.014) was lower, and RV myocardial performance index (0.21 ± 0.07 vs 0.33 ± 0.19; p = 0.007), and pulmonary vascular resistance (1.13 ± 0.25 vs 1.32 ± 0.26 Woods unit; p = 0.012) were higher in patients than controls. Patients presented higher serum levels of unconjugated bilirubin (0.24 ± 0.15 vs 1.30 ± 0.89 mg/dL; p &lt; 0.001), soluble vascular cell adhesion molecule-1 (sVCAM-1; 453 ± 143 vs 1983 ± 880 ng/mL; p &lt; 0.001), N-terminal prohormone brain natriuretic peptide (0.59 ± 0.86 vs 1.08 ± 0.81 pg/mL; p = 0.045), and troponin T (861 ± 338 vs 1037 ± 264 pg/mL; p = 0.045), and lower levels of plasma nitrite (13.42 ± 8.15 vs 8.98 ± 3.97 μM; p = 0.016) than controls. Most alterations had reversed by D7. Conclusion: Patients with non-severe Plasmodium vivax malaria present subclinical reversible cardiovascular changes. © 2015.</t>
  </si>
  <si>
    <t xml:space="preserve">IJC Heart and Vasculature</t>
  </si>
  <si>
    <t xml:space="preserve">10.1016/j.ijcha.2016.03.004</t>
  </si>
  <si>
    <t xml:space="preserve">https://www.scopus.com/inward/record.uri?eid=2-s2.0-84960417441&amp;doi=10.1016%2fj.ijcha.2016.03.004&amp;partnerID=40&amp;md5=1caecad13f4eb5dce1e21d60a3e4300b</t>
  </si>
  <si>
    <t xml:space="preserve">Amazonas Federal University, Manaus, Brazil; Amazonas State University (UEA), Manaus, Brazil; Emory University, Atlanta, United States; North University Center, Pharmacy School, Manaus, Brazil; Tropical Disease Center Dr. Heitor Vieira Dourado, Manaus, Brazil; National Institute of Infectology Evandro Chagas, Fundação Oswaldo Cruz, Rio de Janeiro, Brazil; Botucatu Medical School, UNESP, Botucatu, Brazil; Research Center Leonidas and Maria Deane, Fundação Oswaldo Cruz, Manaus, Brazil</t>
  </si>
  <si>
    <t xml:space="preserve">Alencar-Filho A.C., Amazonas Federal University, Manaus, Brazil; Ferreira J.M.B.B., Amazonas State University (UEA), Manaus, Brazil; Salinas J.L., Emory University, Atlanta, United States; Fabbri C., North University Center, Pharmacy School, Manaus, Brazil; Monteiro W.M., Amazonas State University (UEA), Manaus, Brazil, Tropical Disease Center Dr. Heitor Vieira Dourado, Manaus, Brazil; Siqueira A.M., National Institute of Infectology Evandro Chagas, Fundação Oswaldo Cruz, Rio de Janeiro, Brazil; Okoshi K., Botucatu Medical School, UNESP, Botucatu, Brazil; Lacerda M.V.G., Amazonas State University (UEA), Manaus, Brazil, Research Center Leonidas and Maria Deane, Fundação Oswaldo Cruz, Manaus, Brazil; Okoshi M.P., Botucatu Medical School, UNESP, Botucatu, Brazil</t>
  </si>
  <si>
    <t xml:space="preserve">Echocardiogram; Myocardial injury; Prognosis; Pulmonary artery pressure; Right ventricle; Ventricular function</t>
  </si>
  <si>
    <t xml:space="preserve">amino terminal pro brain natriuretic peptide; bilirubin; nitrite; troponin T; vascular cell adhesion molecule 1; adult; Article; blood sampling; cardiovascular function; cardiovascular parameters; case control study; clinical article; controlled study; echocardiography; enzyme linked immunosorbent assay; female; heart left ventricle ejection fraction; human; immunoassay; inferior cava vein; left ventricular diastolic volume; left ventricular systolic diameter; leukocyte count; lung vascular resistance; male; Plasmodium vivax malaria; real time polymerase chain reaction; right ventricle fractional area change; right ventricle myocardial performance index; thrombocyte count; transthoracic echocardiography</t>
  </si>
  <si>
    <t xml:space="preserve">bilirubin, 18422-02-1, 635-65-4; nitrite, 14797-65-0; troponin T, 60304-72-5</t>
  </si>
  <si>
    <t xml:space="preserve">Conselho Nacional de Desenvolvimento Científico e Tecnológico, CNPq, (306845/2012-1, 306857/2012-0, 479085/2013-7)</t>
  </si>
  <si>
    <t xml:space="preserve">Financial support was provided by CNPq ( 306857/2012-0 , 306845/2012-1 , and 479085/2013-7 ).</t>
  </si>
  <si>
    <t xml:space="preserve">World Malaria Report 2014, (2014); Laveran A., Traité des fiévres palustres, (1884); Ehrhardt S., Wichmann D., Hemmer C.J., Burchard G.D., Brattig N.W., Circulating concentrations of cardiac proteins in complicated and uncomplicated Plasmodium falciparum malaria, Tropical Med. Int. Health, 9, pp. 1099-1103, (2004); Janka J.J., Koita O.A., Traore B., Traore J.M., Mzayek F., Sachdev V., Wang X., Sanogo K., Sangare L., Mendelsohn L., Masur H., Kato G.J., Gladwin M.T., Krogstad D.J., Increased pulmonary pressures and myocardial wall stress in children with severe malaria, J. Infect. Dis., 202, pp. 791-800, (2010); Franzen D., Curtius J.M., Heitz W., Hopp H.W., Diehl V., Hilger H.H., Cardiac involvement during and after malaria, Clin. Investig., 70, pp. 670-673, (1992); Wennicke K., Debierre-Grockiego F., Wichmann D., Brattig N.W., Pankuweit S., Maisch B., Schwarz R.T., Ruppert V., Glycosylphosphatidylinositol-induced cardiac myocyte death might contribute to the fatal outcome of Plasmodium falciparum malaria, Apoptosis, 13, pp. 857-866, (2008); Genrich G.L., Guarner J., Paddock C.D., Shieh W.J., Greer P.W., Barnwell J.W., Zaki S.R., Fatal malaria infection in travelers: novel immunohistochemical assays for the detection of Plasmodium falciparum in tissues and implications for pathogenesis, Am.J.Trop. Med. Hyg., 76, pp. 251-259, (2007); Gunther A., Grobusch M.P., Slevogt H., Abel W., Burchard G.D., Myocardial damage in falciparum malaria detectable by cardiac troponin T is rare, Tropical Med. Int. Health, 8, pp. 30-32, (2003); Yeo T.W., Lampah D.A., Tjitra E., Gitawati R., Darcy C.J., Jones C., Kenangalem E., McNeil Y.R., Granger D.L., Lopansri B.K., Weinberg J.B., Price R.N., Duffull S.B., Celermajer D.S., Anstey N.M., Increased asymmetric dimethylarginine in severe falciparum malaria: association with impaired nitric oxide bioavailability and fatal outcome, PLoS Pathog., 6, (2010); Wassmer S.C., Taylor T.E., Rathod P.K., Mishra S.K., Mohanty S., Arevalo-Herrera M., Duraisingh M.T., Smith J.D., Investigating the pathogenesis of severe malaria: a multidisciplinary and cross-geographical approach, Am.J.Trop. Med. Hyg., 93, pp. 42-56, (2015); Barber B.E., William T., Grigg M.J., Parameswaran U., Piera K.A., Price R.N., Yeo T.W., Anstey N.M., Parasite biomass-related inflammation, endothelial activation, microvascular dysfunction and disease severity in vivax malaria, PLoS Pathog., 11, (2015); Mendonca V.R., Souza L.C., Garcia G.C., Magalhaes B.M., Goncalves M.S., Lacerda M.V., Barral-Netto M., Associations between hepcidin and immune response in individuals with hyperbilirubinaemia and severe malaria due to Plasmodium vivax infection, Malar. J., 14, (2015); Siqueira A.M., Lacerda M.V., Magalhaes B.M., Mourao M.P., Melo G.C., Alexandre M.A., Alecrim M.G., Kochar D., Kochar S., Kochar A., Nayak K., del Portillo H., Guinovart C., Alonso P., Bassat Q., Characterization of Plasmodium vivax-associated admissions to reference hospitals in Brazil and India, BMC Med., 13, (2015); Lacerda M.V., Fragoso S.C., Alecrim M.G., Alexandre M.A., Magalhaes B.M., Siqueira A.M., Ferreira L.C., Araujo J.R., Mourao M.P., Ferrer M., Castillo P., Martin-Jaular L., Fernandez-Becerra C., del Portillo H., Ordi J., Alonso P.L., Bassat Q., Postmortem characterization of patients with clinical diagnosis of Plasmodium vivax malaria: to what extent does this parasite kill?, Clin. Infect. Dis., 55, pp. e67-e74, (2012); Kochar D.K., Saxena V., Singh N., Kochar S.K., Kumar S.V., Das A., Plasmodium vivax malaria, Emerg. Infect. Dis., 11, pp. 132-134, (2005); Lanca E.F., Magalhaes B.M., Vitor-Silva S., Siqueira A.M., Benzecry S.G., Alexandre M.A., O'Brien C., Bassat Q., Lacerda M.V., Risk factors and characterization of plasmodium vivax-associated admissions to pediatric intensive care units in the Brazilian Amazon, PLoS ONE, 7, (2012); Lang R.M., Bierig M., Devereux R.B., Flachskampf F.A., Foster E., Pellikka P.A., Picard M.H., Roman M.J., Seward J., Shanewise J.S., Solomon S.D., Spencer K.T., Sutton M.S.J., Stewart W.J., Recommendations for chamber quantification: a report from the American Society of Echocardiography's Guidelines and Standards Committee and the Chamber Quantification Writing Group, developed in conjunction with the European Association of Echocardiography, a branch of the European Society of Cardiology, J. Am. Soc. Echocardiogr., 18, pp. 1440-1463, (2005); Guirado G.N., Damatto R.L., Matsubara B.B., Roscani M.G., Fusco D.R., Cicchetto L.A.F., Seki M.M., Teixeira A.S., Valle A.P., Okoshi K., Okoshi M.P., Combined exercise training in asymptomatic elderly with controlled hypertension: effects on functional capacity and cardiac diastolic function, Med. Sci. Monit., 18, pp. CR461-CR465, (2012); Moro A.S., Okoshi M.P., Padovani C.R., Okoshi K., Doppler echocardiography in athletes from different sports, Med. Sci. Monit., 19, pp. 187-193, (2013); Rodrigues A., Guimaraes-Filho F.V., Braga J.C., Rodrigues C.S., Waib P., Fabron-Junior A., Tan D.M., Franca A.C., Okoshi M.P., Okoshi K., Echocardiography in thalassemic patients on blood transfusions and chelation without heart failure, Arq. Bras. Cardiol., 100, pp. 75-81, (2013); Tei C., Nishimura R.A., Seward J.B., Tajik A.J., Noninvasive doppler-derived myocardial performance index: correlation with simultaneous measurements of cardiac catheterization measurements, J. Am. Soc. Echocardiogr., 10, pp. 169-178, (1997); Rudski L.G., Lai W.W., Afilalo J., Hua L., Handschumacher M.D., Chandrasekaran K., Solomon S.D., Louie E.K., Schiller N.B., Guidelines for the echocardiographic assessment of the right heart in adults: a report from the American Society of Echocardiography endorsed by the European Association of Echocardiography, a registered branch of the European Society of Cardiology, and the Canadian Society of Echocardiography, J. Am. Soc. Echocardiogr., 23, pp. 685-713, (2010); Basic Malaria Microscopy, (2010); Perandin F., Manca N., Calderaro A., Piccolo G., Galati L., Ricci L., Medici M.C., Arcangeletti M.C., Snounou G., Dettori G., Chezzi C., Development of a real-time pcr assay for detection of Plasmodium falciparum, Plasmodium vivax, and Plasmodium ovale for routine clinical diagnosis, J. Clin. Microbiol., 42, pp. 1214-1219, (2004); Lacerda M.V., Mourao M.P., Coelho H.C., Santos J.B., Thrombocytopenia in malaria: who cares?, Mem. Inst. Oswaldo Cruz, 106, pp. 52-63, (2011); Coelho H.C., Lopes S.C., Pimentel J.P., Nogueira P.A., Costa F.T., Siqueira A.M., Melo G.C., Monteiro W.M., Malheiro A., Lacerda M.V., Thrombocytopenia in Plasmodium vivax malaria is related to platelets phagocytosis, PLoS ONE, 8, (2013); Panagopoulou V., Deftereos S., Kossyvakis C., Raisakis K., Giannopoulos G., Bouras G., Pyrgakis V., Cleman M.W., NTproBNP: an important biomarker in cardiac diseases, Curr. Top. Med. Chem., 13, pp. 82-94, (2013); Page A.V., Liles W.C., Biomarkers of endothelial activation/dysfunction in infectious diseases, Virulence, 4, pp. 507-516, (2013); Pongponratn E., Turner G.D., Day N.P., Phu N.H., Simpson J.A., Stepniewska K., Mai N.T., Viriyavejakul P., Looareesuwan S., Hien T.T., Ferguson D.J., White N.J., An ultrastructural study of the brain in fatal Plasmodium falciparum malaria, Am.J.Trop. Med. Hyg., 69, pp. 345-359, (2003); Bassat Q., Alonso P.L., Defying malaria: fathoming severe Plasmodium vivax disease, Nat. Med., 17, pp. 48-49, (2011); Rogerson S.J., Grau G.E., Hunt N.H., The microcirculation in severe malaria, Microcirculation, 11, pp. 559-576, (2004); Kato G.J., Martyr S., Blackwelder W.C., Nichols J.S., Coles W.A., Hunter L.A., Brennan M.L., Hazen S.L., Gladwin M.T., Levels of soluble endothelium-derived adhesion molecules in patients with sickle cell disease are associated with pulmonary hypertension, organ dysfunction, and mortality, Br. J. Haematol., 130, pp. 943-953, (2005); Sobolewski P., Gramaglia I., Frangos J., Intaglietta M., van der Heyde H.C., Nitric oxide bioavailability in malaria, Trends Parasitol., 21, pp. 415-422, (2005); Yeo T.W., Lampah D.A., Tjitra E., Piera K., Gitawati R., Kenangalem E., Price R.N., Anstey N.M., Greater endothelial activation, weibel-palade body release and host inflammatory response to Plasmodium vivax, compared with Plasmodium falciparum: a prospective study in Papua, Indonesia, J. Infect. Dis., 202, pp. 109-112, (2010); Shiva S., Nitrite: a physiological store of nitric oxide and modulator of mitochondrial function, Redox Biol., 1, pp. 40-44, (2013); Anavekar N.S., Gerson D., Skali H., Kwong R.Y., Yucel E.K., Solomon S.D., Two-dimensional assessment of right ventricular function: an echocardiographic-MRI correlative study, Echocardiography, 24, pp. 452-456, (2007); Galie N., Humbert M., Vachiery J.L., Gibbs S., Lang I., Torbicki A., Simonneau G., Peacock A., Vonk Noordegraaf A., Beghetti M., Ghofrani A., Gomez Sanchez M.A., Hansmann G., Klepetko W., Lancellotti P., Matucci M., McDonagh T., Pierard L.A., Trindade P.T., Zompatori M., Hoeper M., 2015 ESC/ERS Guidelines for the Diagnosis and Treatment of Pulmonary Hypertension: The joint task force for the diagnosis and treatment of pulmonary hypertension of the European Society of Cardiology (ESC) and the European Respiratory Society (ERS) endorsed by: Association for European Paediatric and Congenital Cardiology (AEPC), International Society for Heart and Lung Transplantation (ISHLT), Eur. Heart J., 37, pp. 67-119, (2016); Yeo T.W., Lampah D.A., Gitawati R., Tjitra E., Kenangalem E., Piera K., Price R.N., Duffull S.B., Celermajer D.S., Anstey N.M., Angiopoietin-2 is associated with decreased endothelial nitric oxide and poor clinical outcome in severe falciparum malaria, Proc. Natl. Acad. Sci. U. S. A., 105, pp. 17097-17102, (2008); Yeo T.W., Lampah D.A., Kenangalem E., Tjitra E., Weinberg J.B., Granger D.L., Price R.N., Anstey N.M., Decreased endothelial nitric oxide bioavailability, impaired microvascular function, and increased tissue oxygen consumption in children with falciparum malaria, J. Infect. Dis., 210, pp. 1627-1632, (2014)</t>
  </si>
  <si>
    <t xml:space="preserve">A.C. Alencar-Filho; Tropical Disease Center Dr. Heitor Vieira Dourado, Manaus, AM, Av. Pedro Teixeira, n 25. Dom Pedro, 69040-000, Brazil; email: aristoteles.caf@gmail.com</t>
  </si>
  <si>
    <t xml:space="preserve">IJC Heart Vascul.</t>
  </si>
  <si>
    <t xml:space="preserve">2-s2.0-84960417441</t>
  </si>
  <si>
    <t xml:space="preserve">Waseem S.; Kashif-Ur-Rehman; Kumar R.; Mahmood T.</t>
  </si>
  <si>
    <t xml:space="preserve">Waseem, Shahid (58697259900); Kashif-Ur-Rehman (57195962310); Kumar, Ramesh (57129461700); Mahmood, Tariq (57194741731)</t>
  </si>
  <si>
    <t xml:space="preserve">58697259900; 57195962310; 57129461700; 57194741731</t>
  </si>
  <si>
    <t xml:space="preserve">Hemozoin enhances maturation of murine bone marrow derived macrophages and myeloid dendritic cells</t>
  </si>
  <si>
    <t xml:space="preserve">Background: Falciparum malaria is a severe health burden worldwide. Antigen presenting cells are reported to be affected by erythrocytic stage of the parasite. Malarial hemozoin (HZ), a metabolite of malaria parasite, has adjuvant properties and may play a role in the induction of immune response against the parasite. Objective: To determine the immunological impact of hemozoin on the capacity of innate immune cells maturation. Methods: Plasmodium falciparum (F32 strain) was cultured in O+ blood group up to 18% parasitemia. Natural hemozoin was extracted from infected red blood cells. Murine bone marrow derived macrophages and myeloid dendritic cells were stimulated with 4 µg/mL or 40 µg/mL of synthetic hemozoin (β-hematin) or natural hemozoin. We assessed the immunomodulatory role of synthetic or natural hemozoin in vitro by flowcytometric analysis. Results: The maturation markers MHCII, CD80 and CD86 were significantly upregulated (p&lt;0.05) on the surface of murine bone marrow derived macrophages or myeloid dendritic cells. Data confirmed the potential of macrophages or myeloid dendritic cells, through hemozoin activation, to establish an innate immune response against malaria parasites. Conclusion: Both synthetic and natural hemozoin are potent inducers of cellular immunity against malaria infection. However, natural hemozoin is a stronger inducer as compared to synthetic hemozoin. © 2016, Shiraz University of Medical Sciences. All rights reserved.</t>
  </si>
  <si>
    <t xml:space="preserve">Iranian Journal of Immunology</t>
  </si>
  <si>
    <t xml:space="preserve">Shiraz University of Medical Sciences</t>
  </si>
  <si>
    <t xml:space="preserve">https://www.scopus.com/inward/record.uri?eid=2-s2.0-85021851723&amp;partnerID=40&amp;md5=21d639be0bf25bbc6a2b4dab50bab720</t>
  </si>
  <si>
    <t xml:space="preserve">Department of Biochemistry, Quaid-i-Azam University, Islamabad, Pakistan; Department of Immunology, Stockholm University, Stockholm, Sweden; Main Clinical Pathology Laboratories, Mayo Hospital, Lahore, Pakistan; Department of Health System Policy, Health Services Academy, Islamabad, Pakistan; Nano Science and Catalysis Division, National Centre for Physics, Islamabad, Pakistan</t>
  </si>
  <si>
    <t xml:space="preserve">Waseem S., Department of Biochemistry, Quaid-i-Azam University, Islamabad, Pakistan, Department of Immunology, Stockholm University, Stockholm, Sweden; Kashif-Ur-Rehman, Main Clinical Pathology Laboratories, Mayo Hospital, Lahore, Pakistan; Kumar R., Department of Health System Policy, Health Services Academy, Islamabad, Pakistan; Mahmood T., Nano Science and Catalysis Division, National Centre for Physics, Islamabad, Pakistan</t>
  </si>
  <si>
    <t xml:space="preserve">Hemozoin; Macrophage; Malaria; Maturation markers; MDC; Plasmodium falciparum</t>
  </si>
  <si>
    <t xml:space="preserve">Animals; Antigen-Presenting Cells; Biomarkers; Cell Differentiation; Dendritic Cells; Female; Hemeproteins; Immunity, Innate; Immunophenotyping; Macrophages; Malaria, Falciparum; Mice; Myeloid Cells; Parasitemia; Plasmodium falciparum; antimalarial agent; B7 antigen; beta hematin; CD86 antigen; hemozoin; macrophage derived chemokine; major histocompatibility antigen class 2; unclassified drug; biological marker; hemoprotein; hemozoin; animal cell; animal experiment; Article; bone marrow derived macrophage; cell maturation; controlled study; female; flow cytometry; immunomodulation; immunophenotyping; innate immunity; mouse; myeloid dendritic cell; nonhuman; parasitemia; Plasmodium falciparum; protein expression; upregulation; animal; antigen presenting cell; bone marrow cell; cell differentiation; cytology; dendritic cell; immunology; macrophage; malaria falciparum; metabolism; parasitology</t>
  </si>
  <si>
    <t xml:space="preserve">hemozoin, 39404-00-7; Biomarkers, ; Hemeproteins, ; hemozoin, </t>
  </si>
  <si>
    <t xml:space="preserve">Stockholms Universitet, SU</t>
  </si>
  <si>
    <t xml:space="preserve">The authors acknowledge the technical support provided by the staff of animal house facility at Stockholm University, Stockholm, Sweden. The study was financially supported by Stockholm University, Sweden. Authors declare no conflict of interest.</t>
  </si>
  <si>
    <t xml:space="preserve">Mahmood K., Jairamani K.L., Abbasi B., Mahar S., Samo A.H., Talib A., Et al., Falciparum malaria: Various presentations, Pak J Med Sci., 22, (2006); World malaria report 2013, (2014); Simoes M.L., Goncalves L., Silveira H., Hemozoin activates the innate immune system and reduces Plasmodium berghei infection in Anopheles gambiae, Parasites Vectors., 8, pp. 1-14, (2015); Chaperot L., Blum A., Manches O., Lui G., Angel J., Molens J.-P., Et al., Virus or TLR agonists induce TRAIL-mediated cytotoxic activity of plasmacytoid dendritic cells, J Immunol., 176, pp. 248-255, (2006); Pichyangkul S., Yongvanitchit K., Kumarb U., Hemmi H., Akira S., Krieg A.M., Et al., Malaria blood stage parasites activate human plasmacytoid dendritic cells and murine dendritic cells through a Toll-like receptor 9-dependent pathway, J Immunol., 172, pp. 4926-4933, (2004); Wagner H., Hemozoin: Malaria’s “built-in” adjuvant and TLR9 agonist, Cell Host Microbe., 7, pp. 5-6, (2010); Coban C., Yagi M., Ohata K., Igari Y., Tsukui T., Horii T., Et al., The malarial metabolite hemozoin and its potential use as a vaccine adjuvant, Allergol Int., 59, pp. 115-124, (2010); Urban B.C., Roberts D.J., Malaria, monocytes, macrophages and myeloid dendritic cells: Sticking of infected erythrocytes switches off host cells, Curr Opin Immunol., 14, pp. 458-465, (2002); Skorokhod O.A., Alessio M., Mordmuller B., Arese P., Schwarzer E., Hemozoin (malarial pigment) inhibits differentiation and maturation of human monocyte-derived dendritic cells: A peroxisome proliferator-activated receptor-γ-mediated effect, J Immunol., 173, pp. 4066-4074, (2004); Miller C.M., Carney C.K., Schrimpe A.C., Wright D.W., β-Hematin (Hemozoin) mediated decompostion of polyunsaturated fatty acids to 4-hydroxy-2-nonenal, Inorg Chem., 44, pp. 2134-2136, (2005); Coban C., Ishii K.J., Sullivan D.J., Kumar N., Purified malaria pigment (hemozoin) enhances dendritic cell maturation and modulates the isotype of antibodies induced by a DNA vaccine, Infect Immun., 70, pp. 3939-3943, (2002); Perry J.A., Rush A., Wilson R.J., Olver C.S., Avery A.C., Dendritic cells from malaria-infected mice are fully functional APC, J Immunol., 172, pp. 475-482, (2004); Trager W., Jensen J.B., Human malaria parasites in continuous culture, Science., 193, pp. 673-675, (1976); Lambros C., Vanderberg J., Synchronization of Plasmodium falciparum erythrocytic stages in culture, J Parasitol., 65, pp. 418-420, (1979); Wongsrichanalai C., Pornsilapatip J., Namsiripongpun V., Webster H.K., Luccini A., Pansamdang P., Et al., Acridine orange fluorescent microscopy and the detection of malaria in populations with low-density parasitemia, Am J Trop Med Hyg., 44, pp. 17-20, (1991); Arama C., Waseem S., Fernandez C., Assefaw-Redda Y., You L., Rodriguez A., Et al., A recombinant Bacille Calmette-Guérin construct expressing the Plasmodium falciparum circumsporozoite protein enhances dendritic cell activation and primes for circumsporozoite-specific memory cells in BALB/c mice, Vaccine., 30, pp. 5578-5584, (2012); Racoosin E., Swanson J., Macrophage colony-stimulating factor (rM-CSF) stimulates pinocytosis in bone marrow-derived macrophages, J Exp Med., 170, pp. 1635-1648, (1989); Novelli E.M., Hittner J.B., Davenport G.C., Ouma C., Were T., Obaro S., Et al., Clinical predictors of severe malarial anaemia in a holoendemic Plasmodium falciparum transmission area, Br J Haematol., 149, pp. 711-721, (2010); Hadley T.J., Klotz F.W., Pasvol G., Haynes J.D., McGinniss M.H., Okubo Y., Et al., Falciparum malaria parasites invade erythrocytes that lack glycophorin A and B (MkMk). Strain differences indicate receptor heterogeneity and two pathways for invasion, J Clin Invest., 80, (1987); Langhorne J., Ndungu F.M., Sponaas A.-M., Marsh K., Immunity to malaria: More questions than answers, Nat immunol., 9, pp. 725-732, (2008)</t>
  </si>
  <si>
    <t xml:space="preserve">S. Waseem; Department of Biochemistry, Quaid-i-Azam University, Islamabad, Pakistan; email: swaseem92@yahoo.com</t>
  </si>
  <si>
    <t xml:space="preserve">Iran. J. Immunol.</t>
  </si>
  <si>
    <t xml:space="preserve">2-s2.0-85021851723</t>
  </si>
  <si>
    <t xml:space="preserve">Sinkala E.; Kapulu M.C.; Besa E.; Zyambo K.; Chisoso N.J.; Foster G.R.; Kelly P.</t>
  </si>
  <si>
    <t xml:space="preserve">Sinkala, Edford (26538102800); Kapulu, Melissa C. (42961564900); Besa, Ellen (56375247300); Zyambo, Kanekwa (56717697000); Chisoso, Ng’andu J. (56717610500); Foster, Graham R. (7403211206); Kelly, Paul (7403399928)</t>
  </si>
  <si>
    <t xml:space="preserve">26538102800; 42961564900; 56375247300; 56717697000; 56717610500; 7403211206; 7403399928</t>
  </si>
  <si>
    <t xml:space="preserve">Hepatosplenic schistosomiasis is characterised by high blood markers of translocation, inflammation and fibrosis</t>
  </si>
  <si>
    <t xml:space="preserve">Background &amp; Aims: Cirrhosis is the main cause of portal hypertension worldwide but schistosomiasis dominates in much of the tropics. The seroprevalence of Schistosoma mansoni is up to 77% in endemic parts of Zambia. Morbidity is attributed to portal hypertension causing variceal bleeding which can be fatal. Bacterial translocation is associated with portal hypertension in cirrhosis but this is almost unexplored in hepatosplenic schistosomiasis. Liver biopsy is usually used to assess fibrosis although it is invasive and prone to sampling error. We aimed to investigate translocation, fibrosis and inflammatory makers in a case-control study of schistosomiasis at the University Teaching Hospital, Lusaka, Zambia. Methods: Patients had oesophageal varices, but were negative for human immunodeficiency virus, hepatitis B and C viruses. Plasma lipopolysaccharide binding protein was used as a marker of translocation while hyaluronan and laminin measured liver fibrosis. Inflammatory markers were measured in blood. Controls were patients with non-specific abdominal pain who had normal endoscopy. Results: Median (interquartile range) lipopolysaccharide binding protein was elevated in patients [44.3 ng/ml (35.7, 57.1)] compared to controls [30.7 ng/ml (30.4, 35.5), P &lt; 0.0001]. Hyaluronan was higher in patients [111.6 ng/ml (39.1, 240.3)] compared to controls [21.0 ng/ml (12.4, 37.6), P &lt; 0.0001] and so was laminin [2.2 lg/ml (1.0, 3.7)] compared to controls [0.9 lg/ml (0.7, 1.2), P = 0.0015]. Inflammatory markers, except C-reactive protein, were elevated in patients. Conclusions: These data suggest that the bacterial translocation contributes to systemic inflammation in hepatosplenic schistosomiasis. Elevated fibrotic markers suggest they may be useful in diagnosing and monitoring periportal fibrosis. © 2015 John Wiley &amp; Sons A/S. Published by John Wiley &amp; Sons Ltd.</t>
  </si>
  <si>
    <t xml:space="preserve">Liver International</t>
  </si>
  <si>
    <t xml:space="preserve">10.1111/liv.12891</t>
  </si>
  <si>
    <t xml:space="preserve">https://www.scopus.com/inward/record.uri?eid=2-s2.0-84936857326&amp;doi=10.1111%2fliv.12891&amp;partnerID=40&amp;md5=c93bbe3f58eb198ebc16443d94b6e31a</t>
  </si>
  <si>
    <t xml:space="preserve">Department of Internal Medicine, University Teaching Hospital, Lusaka, Zambia; Tropical Gastroenterology &amp; Nutrition Group, Department of Medicine, University of Zambia, Lusaka, Zambia; Biological Sciences Department, School of Natural Sciences, University of Zambia, Lusaka, Zambia; Paediatric Centre of Excellence Laboratory, University Teaching Hospital, Lusaka, Zambia; Blizard Institute, Barts &amp; The London School of Medicine, Queen Mary University of London, London, United Kingdom</t>
  </si>
  <si>
    <t xml:space="preserve">Sinkala E., Department of Internal Medicine, University Teaching Hospital, Lusaka, Zambia, Tropical Gastroenterology &amp; Nutrition Group, Department of Medicine, University of Zambia, Lusaka, Zambia; Kapulu M.C., Tropical Gastroenterology &amp; Nutrition Group, Department of Medicine, University of Zambia, Lusaka, Zambia, Biological Sciences Department, School of Natural Sciences, University of Zambia, Lusaka, Zambia; Besa E., Tropical Gastroenterology &amp; Nutrition Group, Department of Medicine, University of Zambia, Lusaka, Zambia; Zyambo K., Tropical Gastroenterology &amp; Nutrition Group, Department of Medicine, University of Zambia, Lusaka, Zambia; Chisoso N.J., Paediatric Centre of Excellence Laboratory, University Teaching Hospital, Lusaka, Zambia; Foster G.R., Blizard Institute, Barts &amp; The London School of Medicine, Queen Mary University of London, London, United Kingdom; Kelly P., Department of Internal Medicine, University Teaching Hospital, Lusaka, Zambia, Tropical Gastroenterology &amp; Nutrition Group, Department of Medicine, University of Zambia, Lusaka, Zambia, Blizard Institute, Barts &amp; The London School of Medicine, Queen Mary University of London, London, United Kingdom</t>
  </si>
  <si>
    <t xml:space="preserve">Bacterial translocation; Fibrosis; Inflammation; Schistosomiasis</t>
  </si>
  <si>
    <t xml:space="preserve">Acute-Phase Proteins; Adult; Biomarkers; Carrier Proteins; Case-Control Studies; Female; Humans; Hyaluronic Acid; Hypertension, Portal; Inflammation; Laminin; Liver Cirrhosis; Male; Membrane Glycoproteins; Middle Aged; Schistosomiasis mansoni; Statistics as Topic; Zambia; alanine aminotransferase; albumin; aspartate aminotransferase; C reactive protein; CD14 antigen; CD163 antigen; hemoglobin; hyaluronic acid; interleukin 1beta; interleukin 6; laminin; lipopolysaccharide binding protein; soluble CD14; soluble CD163; tumor necrosis factor receptor 1; unclassified drug; acute phase protein; biological marker; carrier protein; hyaluronic acid; laminin; lipopolysaccharide-binding protein; membrane protein; adult; agricultural worker; alcohol consumption; Article; ascariasis; bacterial translocation; case control study; clinical feature; disease marker; drawing; egg; Enterobius vermicularis; enzyme linked immunosorbent assay; esophagus varices; female; fishing; hepatic portal vein; hookworm; human; inflammation; leukocyte count; liver fibrosis; major clinical study; male; pancytopenia; physical examination; platelet count; portal hypertension; Schistosoma; schistosomiasis; spleen size; splenomegaly; stomach disease; stomach varices; swimming; teaching hospital; tertiary care center; Zambia; blood; complication; Hypertension, Portal; inflammation; liver cirrhosis; middle aged; pathology; pathophysiology; schistosomiasis mansoni; statistics</t>
  </si>
  <si>
    <t xml:space="preserve">alanine aminotransferase, 9000-86-6, 9014-30-6; aspartate aminotransferase, 9000-97-9; C reactive protein, 9007-41-4; hemoglobin, 9008-02-0; hyaluronic acid, 31799-91-4, 9004-61-9, 9067-32-7; laminin, 2408-79-9; lipopolysaccharide binding protein, 203946-66-1; carrier protein, 80700-39-6; Acute-Phase Proteins, ; Biomarkers, ; Carrier Proteins, ; Hyaluronic Acid, ; Laminin, ; lipopolysaccharide-binding protein, ; Membrane Glycoproteins, </t>
  </si>
  <si>
    <t xml:space="preserve">Wellcome Trust, WT, (WT087537MA); Medical Research Council, MRC, (MR/K007394/1)</t>
  </si>
  <si>
    <t xml:space="preserve">Financial support: This study was supported by the Southern Africa Consortium for Research Excellence, Wellcome Trust (WT087537MA).</t>
  </si>
  <si>
    <t xml:space="preserve">Pyrrho S., Ramos J.A., Neto R.M., Lenzi H.L., Takiya C.M., Dexamethasone, a drug for attenuation of Schistosoma mansoni infection morbidity, Antimicrob Agents Chemother, 46, pp. 3490-3498, (2002); Chipeta J., Mwansa J., Kachimba J.S., Schistosomiasis disease burden in Zambian children: Time for affirmative action is now, Med J Zambia, 36, pp. 1-5, (2009); Mutengo M.M., Mwansa J., Mduluza T., Sianongo S., Chipeta J., High Schistosoma mansoni disease burden in a rural district of western Zambia, Am J Trop Med Hyg, 91, pp. 965-972, (2014); Kibiki G.S., Drenth J., Nagengast J.M.F., Hepatosplenic schistosomiasis: A review, East Afr Med J, 81, pp. 480-485, (2004); Martins R.D., Szejnfeld J., Lima F.G., Ferrari A.P., Endoscopic,ultrasonographic, and US-doppler parameters as indicators of variceal bleeding in patients with schistosomiasis, Dig Dis Sci, 45, pp. 1013-1018, (2000); Ross A.G., Bartley P.P., Sleigh A.C., Et al., Schistosomiasis. N Engl J Med, 346, pp. 1212-1220, (2002); Bellot P., Garcia-Pagan J.C., Frances R., Et al., Bacterial DNA translocation is associated with systemic circulatory abnormalities and intrahepatic endothelial dysfunction in patients with cirrhosis, Hepatology, 52, pp. 2044-2052, (2010); Vlachogiannakos J., Saveriadis A., Viazis I., Theodoropoulos K.F., Manolakopoulos SÀ. Intestinal decontamination improves liver haemodynamics in patients with alcoholrelated decompensated cirrhosis, Aliment Pharmacol Ther, 29, pp. 992-999, (2009); Ferraz A., Campos J.M., Junior J., De Albuquerque A.C., Ferraz E.M., Gut bacterial translocation and postoperative infections: A prospective study in schistosomotic patients, Surg Infect (Larchmt), 6, pp. 197-201, (2005); Ahmed L., Salama H., Ahmed R., Et al., Evaluation of fibrosis sero-markers versus liver biopsy in Egyptian patients with hepatitis C and/or NASH and/or schistosomiasis, Parasitol United J, 2, pp. 67-76, (2009); Marinho C.C., Bretas T., Voieta I., Et al., Serum hyaluronan and collagen IV as non-invasive markers of liver fibrosis in patients from an endemic area for schistosomiasis mansoni:A field-based study in Brazil, Mem Inst Oswaldo Cruz, 105, pp. 471-478, (2010); Morais C.N., Carvalho Bde M., Melo W.G., Et al., Correlation of biological serum markers with the degree of hepatic fibrosis and necroinflammatory activity in hepatitis C and schistosomiasis patients, Mem Inst Oswaldo Cruz, 105, pp. 460-466, (2010); Elgonimy A.M., Farouk S.M., Rahaman E.A., The pathogenesis of cytokines in preportal fibrosis of human infected with schistosomiasis and viral hepatitis, Egypt J Hosp Med, 20, pp. 16-28, (2005); Chavez-Tapia N.C., Barrientos-Gutierrez T., Tellez-Avila F., Et al., Meta-analysis: Antibiotic prophylaxis for cirrhotic patients with upper gastrointestinal bleeding: An updated Cochrane review, Aliment Pharmacol Ther, 34, pp. 509-518, (2011); Desai A.P., Reau N., Reddy K.G., Et al., Persistent spontaneous bacterial peritonitis: A common complication in patients with spontaneous bacterial peritonitis and a high score in the model for end-stage liver disease, Therap Adv Gastroenterol, 5, pp. 275-283, (2012); Garcia-Tsao G., Lim J.K., Lim J., Management and treatment of patients with cirrhosis and portal hypertension: Recommendations from the Department of Veterans Affairs Hepatitis C Resource Center Program and the National Hepatitis C Program, Am J Gastroenterol, 104, pp. 1802-1829, (2009); Takeshita S., Nakatani K., Tsujimoto H., Et al., Increased levels of circulating soluble CD14 in Kawasaki disease, Clin Exp Immunol, 119, pp. 376-381, (2000); Holland-Fischer P., Gronbaek H., Sandahl T.D., Et al., Kupffer cells are activated in cirrhotic portal hypertension and not normalised by TIPS, Hepatology, 60, pp. 1389-1393, (2011); Andrade Z.A., Schistosomal hepatopathy, Mem Inst Oswaldo Cruz, 99, pp. 51-57, (2004); Wyszomirska R.M., Nishimura N.F., Almeida J.R., Yamanaka A., Soares E.C., High serum laminin and type IV collagen levels in schistosomiasis mansoni, Arq Gastroenterol, 42, pp. 221-225, (2005); Tarrats N., Moles A., Morales A., Et al., Critical role of tumor necrosis factor receptor 1, but not 2, in hepatic stellate cell proliferation, extracellular matrix remodeling, and liver fibrogenesis, Hepatology, 54, pp. 319-327, (2011); Strauss E., Hepatosplenic schistosomiasis: A model for the study of portal hypertension, Ann Hepatol, 1, pp. 6-11, (2002); Ibrahim S.Z., Arbab B.M., Suleiman S.H., Abdelwahab O., Hassan M.A., The natural history of bleeding oesophageal varices in patients with schistosomal portal hypertension, Khartoum Med J, 3, pp. 385-392, (2010); Carruthers H., Bilharzial portal fibrosis: Portal hypertension, Ann R Coll Surg Engl, 60, pp. 49-52, (1978)</t>
  </si>
  <si>
    <t xml:space="preserve">E. Sinkala; Tropical Gastroenterology &amp; Nutrition Group, Department of Medicine, University of Zambia, Lusaka, Box 50110, United Kingdom; email: sinkalaeddie@yahoo.com</t>
  </si>
  <si>
    <t xml:space="preserve">LIINC</t>
  </si>
  <si>
    <t xml:space="preserve">Liver Int.</t>
  </si>
  <si>
    <t xml:space="preserve">2-s2.0-84936857326</t>
  </si>
  <si>
    <t xml:space="preserve">Muhammad A.; Ibrahim M.A.; Erukainure O.L.; Habila N.; Idowu A.A.; Ndidi U.S.; Malami I.; Zailani H.; Kudan Z.B.; Muhammad B.A.</t>
  </si>
  <si>
    <t xml:space="preserve">Muhammad, Aliyu (34971586200); Ibrahim, Mohammed Auwal (27170663100); Erukainure, Ochuko Lucky (35770541000); Habila, Nathan (35757544900); Idowu, Aimola Asegame (57156144500); Ndidi, Uche Samuel (55316970700); Malami, Ibrahim (56027041800); Zailani, Halliru (57156437500); Kudan, Zeenat Bello (57156498900); Muhammad, Bilal Abdullahi (57212973164)</t>
  </si>
  <si>
    <t xml:space="preserve">34971586200; 27170663100; 35770541000; 35757544900; 57156144500; 55316970700; 56027041800; 57156437500; 57156498900; 57212973164</t>
  </si>
  <si>
    <t xml:space="preserve">Induction of haemolysis and DNA fragmentation in a normal and malarial-infected blood by commonly - used antimalarial drugs in the north-western region of Nigeria</t>
  </si>
  <si>
    <t xml:space="preserve">Background: Antimalarial drugs are medicines that are used to prevent or treat malaria effectively at different stages in the life cycle of the malarial parasites. In spite of this, a good number of these drugs have the potential to cause harm when they are misused or abused. Objective: This study was undertaken to evaluate the effects of commonly-used antimalarial drugs in the North Western region of Nigeria on haemolysis and DNA fragmentation in the blood of normal and malarial infected humans ex vivo. Method: The drugs used were artemisinine, artesunate, chloroquine, coartem and quinine (0.5-8.0 mg/ml). Haemolysis, haemoglobin status and DNA fragmentations were assayed for using standard procedures. Results: It was observed that all the drugs induced a remarkable dose-dependent haemolysis with more pronounced effects on apparently healthy humans. There was a significant (P &lt; 0.05) decrease in the level of haemoglobin in normal blood samples when compared with control samples. Contrariwise, in the malaria-infected blood, the haemoglobin level significantly (P &lt; 0.05) increased as compared with control. The drugs caused an exceptional significant (P &lt; 0.05) induction of DNA fragmentation when compared with control. Conclusion: Commonly-used antimalarial drugs induced haemolysis and altered haemoglobin status which may spontaneously increases the cellular iron levels; a substrate for Fenton and Haber Weiss reactions, and eventually induces DNA fragmentation. Hence, adequate care should be taken during prescription with total avoidance for self medications and/or drugs abuse as a result of their adverse effects within the red blood cells and its immediate microenvironment. © 2016 Bentham Science Publishers.</t>
  </si>
  <si>
    <t xml:space="preserve">Drug Metabolism Letters</t>
  </si>
  <si>
    <t xml:space="preserve">Bentham Science Publishers B.V.</t>
  </si>
  <si>
    <t xml:space="preserve">10.2174/187231281001160212150630</t>
  </si>
  <si>
    <t xml:space="preserve">https://www.scopus.com/inward/record.uri?eid=2-s2.0-84959870506&amp;doi=10.2174%2f187231281001160212150630&amp;partnerID=40&amp;md5=face156dc882e2d84468c12bcbefcf8c</t>
  </si>
  <si>
    <t xml:space="preserve">Department of Biochemistry, Ahmadu Bello University Zaria, Nigeria; Department of Food Technology, Federal Institute of Industrial Research, Oshodi, Nigeria; Department of Pharmacognosy and Ethnopharmacy, Usmanu Danfodiyo University, Sokoto, Nigeria</t>
  </si>
  <si>
    <t xml:space="preserve">Muhammad A., Department of Biochemistry, Ahmadu Bello University Zaria, Nigeria; Ibrahim M.A., Department of Biochemistry, Ahmadu Bello University Zaria, Nigeria; Erukainure O.L., Department of Food Technology, Federal Institute of Industrial Research, Oshodi, Nigeria; Habila N., Department of Biochemistry, Ahmadu Bello University Zaria, Nigeria; Idowu A.A., Department of Biochemistry, Ahmadu Bello University Zaria, Nigeria; Ndidi U.S., Department of Biochemistry, Ahmadu Bello University Zaria, Nigeria; Malami I., Department of Pharmacognosy and Ethnopharmacy, Usmanu Danfodiyo University, Sokoto, Nigeria; Zailani H., Department of Biochemistry, Ahmadu Bello University Zaria, Nigeria; Kudan Z.B., Department of Biochemistry, Ahmadu Bello University Zaria, Nigeria; Muhammad B.A., Department of Biochemistry, Ahmadu Bello University Zaria, Nigeria</t>
  </si>
  <si>
    <t xml:space="preserve">Antimalarial drugs; DNA damage; Haemoglobin; Haemolysis; Nigeria</t>
  </si>
  <si>
    <t xml:space="preserve">Adult; Antimalarials; Biomarkers; Case-Control Studies; DNA Fragmentation; Dose-Response Relationship, Drug; Erythrocytes; Hemoglobins; Hemolysis; Humans; Nigeria; Osmotic Fragility; Risk Assessment; Young Adult; artemether plus benflumetol; artemisinin; artesunate; chloroquine; hemoglobin; quinine; antimalarial agent; biological marker; hemoglobin; Article; concentration response; controlled study; DNA damage; DNA fragmentation; drug effect; ex vivo study; hemoglobin determination; hemolysis; human; human cell; malaria; Nigeria; priority journal; adult; case control study; dose response; drug effects; erythrocyte; hemolysis; metabolism; osmotic fragility; pathology; risk assessment; young adult</t>
  </si>
  <si>
    <t xml:space="preserve">artemether plus benflumetol, 141204-94-6; artemisinin, 63968-64-9; artesunate, 82864-68-4, 88495-63-0; chloroquine, 132-73-0, 3545-67-3, 50-63-5, 54-05-7; hemoglobin, 9008-02-0; quinine, 130-89-2, 130-95-0, 14358-44-2, 549-48-4, 549-49-5, 60-93-5, 7549-43-1; Antimalarials, ; Biomarkers, ; Hemoglobins, </t>
  </si>
  <si>
    <t xml:space="preserve">Worek F., Mast U., Kiderlen D., Diepold C., Eyer P., Improved determination of acetylcholinesterase activity in human whole blood, Clin. Chim. Acta, 288, 1-2, pp. 73-90, (1999); Sachs J., Malaney P., The economic and social burden of malaria, Nature, 415, pp. 680-685, (2002); Hay S.I., Okiro E.A., Gething P.W., Patil A.P., Tatem A.J., Guerra C.A., Snow R.W., Estimating the global clinical burden of plasmodium falciparum malaria in 2007, PLoS Med, (2010); Kantele A., Jokiranta S., Plasmodium knowlesi-the fifth species causing human malaria, Duodecim, 126, pp. 427-434, (2010); Bodi J.M., Nsibu C.N., Longenge R.L., Aloni M.N., Akilimali P.Z., Tshibassu P.M., Kayembe P.K., Omar A.H., Hirayama K., Verhaegen J., Blackwater fever in Congolese children: A report of clinical, laboratory features and risk factors, Malar. J, 12, (2013); Odunola O.A., Muhammad A., Farooq A.D., Dalvandi K., Rasheed H., Choudhary M.I., Erukainure L., Comparative assessment of redox-sensitive biomarkers due to acacia honey and sodium arsenite administration In vivo. Med, J. Nutrition Metab, 6, 2, pp. 119-126, (2013); Isah M.B., Ibrahim M.A., The role of antioxidants treatment on the pathogenesis of malarial infections: A review, Parasitol. Res, 113, 3, pp. 801-809, (2014); Lew V.L., Macdonald L., Ginsburg H., Krugliak M., Tiffert T., Excess haemoglobin digestion by malaria parasites: A strategy to prevent premature host cell lysis, Blood Cells Mol. Dis, 32, pp. 353-359, (2004); Guerra R., Shaw C., Christian B., Fox G., Stevens M., Garg N., Gustin M., Oxidative stress genes in Plasmodium falciparum as indicated by temporal gene expression, DNA Seq, pp. 1-5, (2004); Vander Jagt D.L., Hunsaker L.A., Campos N.M., Scaletti J.V., Localization and characterization of hemoglobin-degrading aspartic proteinases from the malarial parasite Plasmodium falciparum, Biochim. Biophys. Acta-Protein Struct. Mol. Enzymol, 1122, pp. 256-264, (1992); Kharazmi A., Jepsen S., Andersen B.J., Generation of reactive oxygen radicals by human phagocytic cells activated by Plasmodium falciparum, Scand. J. Immunol, 25, pp. 335-341, (1987); Khalid M., Alam R., Khan S., Prakash V., Oxidative Stress Marker And Antioxidant Status In Falciparum Malaria In Relation To The Intensity Of Parasitaemia, Int. J. Biol. Med. Res, 3, 1, pp. 3469-3471, (2013); Simoni-Wastila L., Ritter G., Strickler G., Gender and other factors associated with the nonmedical use of abusable prescription drugs, Subst. Use Misuse, 39, pp. 1-23, (2004); Sturm A., Amino R., van de Sand C., Regen T., Retzlaff S., Rennenberg A., Krueger A., Pollok J.-M., Menard R., Heussler V.T., Manipulation of host hepatocytes by the malaria parasite for delivery into liver sinusoids, Science, 313, pp. 1287-1290, (2006); Meremikwu M., Okomo U., Nwachukwu C., Oyo-Ita A., Eke-Njoku J., Okebe J., Oyo-Ita E., Garner P., Antimalarial drug prescribing practice in private and public health facilities in Southeast Nigeria: A descriptive study, Malar J, 6, (2007); Alkadi H.O., Antimalarial drug toxicity: A review, Chemotherapy, pp. 385-391, (2007); Adjene J.O., Caxton-Martins A.E., Some histological effects of chronic administration of chloroquine on the medial geniculate body of adult wistar rat, Afr. J. Med. Med. Sci, 35, pp. 131-135, (2006); Xiong Z., Sun G., Zhu C., Cheng B., Zhang C., Ma Y., Dong Y., Artemisinin, an anti-malarial agent, inhibits rat cardiac hypertrophy via inhibition of NF-κB signaling, Eur. J. Pharmacol, 649, pp. 277-284, (2010); Meshnick S.R., Artemisinin: Mechanisms of action, resistance and toxicity, Int. J. Parasitol, 32, pp. 1655-1660, (2002); Michaelides M., Stover N.B., Francis P.J., Weleber R.G., Retinal toxicity associated with hydroxychloroquine and chloroquine: Risk factors, screening, and progression despite cessation of therapy, Arch. Ophthalmol, 129, pp. 30-39, (2011); Efferth T., Kaina B., Toxicity of the antimalarial artemisinin and its dervatives, Crit. Rev. Toxicol, 40, pp. 405-421, (2010); Clark R.L., Embryotoxicity of the artemisinin antimalarials and potential consequences for use in women in the first trimester, Reprod. Toxicol, pp. 285-296, (2009); Abdulla S., Sagara I., Borrmann S., D'Alessandro U., Gonzalez R., Hamel M., Ogutu B., Martensson A., Lyimo J., Maiga H., Et al., Efficacy and safety of artemether-lumefantrine dispersible tablets compared with crushed commercial tablets in African infants and children with uncomplicated malaria: A randomised, single-blind, multicentre trial, Lancet, 372, pp. 1819-1827, (2008); Alanazi F.K., Harisa G.E.I., Maqboul A., Abdel-hamid M., Neau S.H., Biochemically Altered Human Erythrocytes as a Carrier for Targeted Delivery of Primaquine: An In Vitro Study, Arch. Pharm. Res, 34, 4, pp. 563-571, (2011); Kraus A., Roth H.P., Kirchgessner M., Influence of vitamin C, vitamin E and beta-carotene on the osmotic fragility and the primary antioxidant system of erythrocytes in zinc-deficient rats, Arch. Tierernahr, 50, pp. 257-269, (1997); National Committee for Clinical Laboratory Standards. Procedures for the handling and processing of blood specimens; approved guideline, NCCLS, (1990); Sellins K.S., Cohen J.J., Gene induction by gamma-irradiation leads to DNA fragmentation in lymphocytes, J. Immunol, 139, pp. 3199-3206, (1987); Iyawe H.O.T., Onigbinde A.O., The role of ascorbic acid in the treatment of Plasmodium Berghei infected mice, Afr. J. Biochem. Res, 3, 11, pp. 375-378, (2009); Hollinger R.C., Dabney D.A., Social Factors Associated with Pharmacists' Unauthorized Use of Mind-Altering Prescription Medications, J. Drug Issues, 32, 1, pp. 231-264, (2002); Berdelle N., Nikolova T., Quiros S., Efferth T., Kaina B., Artesunate induces oxidative DNA damage, sustained DNA doublestrand breaks, and the ATM/ATR damage response in cancer cells, Mol. Cancer Ther, 10, 12, pp. 2224-2233, (2011); Wetsteyn J.C., De Vries P.J., Oosterhuis B., Van Boxtel C.J., The pharmacokinetics of three multiple dose regimens of chloroquine: Implications for malaria chemoprophylaxis, Br. J. Clin. Pharmacol, 39, 6, pp. 696-699, (1995); O'Neill P.M., Barton V.E., Ward S.A., The molecular mechanism of action of artemisinin-The debate continues, Molecules, 15, pp. 1705-1721, (2010); Schaer C.A., Laczko E., Schoedon G., Schaer D.J., Vallelian F., Chloroquine interference with hemoglobin endocytic trafficking suppresses adaptive heme and iron homeostasis in macrophages: The paradox of an antimalarial agent, Oxid. Med. Cell. Longev, 2013, (2013); Percario S., Moreira D.R., Gomes B.A.Q., Ferreira M.E.S., Oxidative stress in malaria, Int. J. Mol. Sci, 13, pp. 16346-16372, (2012); Lon C., Spring M., Sok S., Chann S., Bun R., Buathong N., Thay K., Kong N., You Y., Kuntawunginn W., Lanteri C.A., Saunders D.L., Blackwater fever in an uncomplicated Plasmodium falciparum patient treated with dihydroartemisinin-piperaquine, Malar. J, 13, 1, pp. 1-4, (2014); Okada S., Iron-induced tissue damage and cancer: The role of reactive oxygen species-free radicals, Pathol. Int, 46, pp. 311-332, (1996); Meyer H.S., Color Textbook of Histology, JAMA, (2001); Crelin E.S., Human Histology, Yale J. Biol. Med, 31, pp. 174-175, (1958); Olinski R., Siomek A., Rozalski R., Gackowski D., Foksinski M., Guz J., Dziaman T., Szpila A., Tudek B., Oxidative damage to DNA and antioxidant status in aging and age-related diseases, Acta Biochimica Polonica, pp. 11-26, (2007); Duprez L., Wirawan E., Berghe T., Vanden; Vandenabeele, P. Major cell death pathways at a glance, Microbes Infect, 11, pp. 1050-1062, (2009); Gao W., Kang J., Liao Y., Li M., Yin X., Essentials of Apoptosis, A Guide for Basic and Clinical Research, pp. 671-688, (2009)</t>
  </si>
  <si>
    <t xml:space="preserve">A. Muhammad; The Department of Biochemistry, Ahmadu Bello University Zaria, Nigeria; email: amachida31@gmail.com</t>
  </si>
  <si>
    <t xml:space="preserve">Drug Metab. Lett.</t>
  </si>
  <si>
    <t xml:space="preserve">2-s2.0-84959870506</t>
  </si>
  <si>
    <t xml:space="preserve">Chu H.-J.; Lin B.-C.; Yu M.-R.; Chan T.-C.</t>
  </si>
  <si>
    <t xml:space="preserve">Chu, Hone-Jay (35095032000); Lin, Bo-Cheng (57096177400); Yu, Ming-Run (57192646676); Chan, Ta-Chien (15828770700)</t>
  </si>
  <si>
    <t xml:space="preserve">35095032000; 57096177400; 57192646676; 15828770700</t>
  </si>
  <si>
    <t xml:space="preserve">Minimizing spatial variability of healthcare spatial accessibility—the case of a dengue fever outbreak</t>
  </si>
  <si>
    <t xml:space="preserve">Outbreaks of infectious diseases or multi-casualty incidents have the potential to generate a large number of patients. It is a challenge for the healthcare system when demand for care suddenly surges. Traditionally, valuation of heath care spatial accessibility was based on static supply and demand information. In this study, we proposed an optimal model with the three-step floating catchment area (3SFCA) to account for the supply to minimize variability in spatial accessibility. We used empirical dengue fever outbreak data in Tainan City, Taiwan in 2015 to demonstrate the dynamic change in spatial accessibility based on the epidemic trend. The x and y coordinates of dengue-infected patients with precision loss were provided publicly by the Tainan City government, and were used as our model’s demand. The spatial accessibility of heath care during the dengue outbreak from August to October 2015 was analyzed spatially and temporally by producing accessibility maps, and conducting capacity change analysis. This study also utilized the particle swarm optimization (PSO) model to decrease the spatial variation in accessibility and shortage areas of healthcare resources as the epidemic went on. The proposed method in this study can help decision makers reallocate healthcare resources spatially when the ratios of demand and supply surge too quickly and form clusters in some locations. © 2016 by the authors; licensee MDPI, Basel, Switzerland.</t>
  </si>
  <si>
    <t xml:space="preserve">10.3390/ijerph13121235</t>
  </si>
  <si>
    <t xml:space="preserve">https://www.scopus.com/inward/record.uri?eid=2-s2.0-85006990941&amp;doi=10.3390%2fijerph13121235&amp;partnerID=40&amp;md5=d9d414f9627bfca2e3e9c5535d52fb49</t>
  </si>
  <si>
    <t xml:space="preserve">Department of Geomatics, National Cheng Kung University, Tainan City, 700, Taiwan; Research Center for Humanities and Social Sciences, Academia Sinica, Taipei City, 115, Taiwan</t>
  </si>
  <si>
    <t xml:space="preserve">Chu H.-J., Department of Geomatics, National Cheng Kung University, Tainan City, 700, Taiwan; Lin B.-C., Research Center for Humanities and Social Sciences, Academia Sinica, Taipei City, 115, Taiwan; Yu M.-R., Department of Geomatics, National Cheng Kung University, Tainan City, 700, Taiwan; Chan T.-C., Research Center for Humanities and Social Sciences, Academia Sinica, Taipei City, 115, Taiwan</t>
  </si>
  <si>
    <t xml:space="preserve">Floating catchment area; Particle swarm optimization</t>
  </si>
  <si>
    <t xml:space="preserve">Artificial Intelligence; Catchment Area (Health); Computer Simulation; Decision Making; Dengue; Disease Outbreaks; Health Care Rationing; Health Services Accessibility; Humans; Local Government; Models, Theoretical; Spatial Analysis; Taiwan; Tainan; Taiwan; dengue fever; epidemic; health care; optimization; spatial variation; Article; dengue; epidemic; government; health care access; health care planning; health care utilization; human; statistical model; suburban area; Taiwan; urban area; artificial intelligence; computer simulation; decision making; dengue; epidemic; government; health care delivery; health care organization; organization and management; residential care; spatial analysis; statistics and numerical data; theoretical model</t>
  </si>
  <si>
    <t xml:space="preserve">Gubler D.J., Epidemic dengue/dengue hemorrhagic fever as a public health, social and economic problem in the 21st century, Trends Microbiol, 10, pp. 100-103, (2002); Bhatt S., Gething P.W., Brady O.J., Messina J.P., Farlow A.W., Moyes C.L., Drake J.M., Brownstein J.S., Hoen A.G., Sankoh O., The global distribution and burden of dengue, Nature, 496, pp. 504-507, (2013); Harper P.R., A Framework for Operational Modelling of Hospital Resources, Health Care Manag. Sci, 5, pp. 165-173, (2002); Gossart D., Meskens N., Guinet A., Strategic and Tactical Hospital Bed Management in Belgium and in France, Proceedings of the Working Conference on Virtual Enterprises, pp. 243-250; Dengue: Guidelines for Diagnosis, Treatment, Prevention and Control; WHO: Geneva, (2009); Khan A.A., An integrated approach to measuring potential spatial access to health care services, Socio-Econ. Plan. Sci, 26, pp. 275-287, (1992); Harper R.P., Shahani K.A., Modelling for the planning and management of bed capacities in hospitals, J. Oper. Res. Soc., 53, pp. 11-18, (2002); Luo W., Wang F., Measures of spatial accessibility to health care in a GIS environment: Synthesis and a case study in the Chicago region, Environ. Plan. B Plan. Des, 30, pp. 865-884, (2003); Langford M., Higgs G., Measuring Potential Access to Primary Healthcare Services: The Influence of Alternative Spatial Representations of Population, Prof. Geogr., 58, pp. 294-306, (2006); Polo G., Acosta C.M., Ferreira F., Dias R.A., Location-Allocation and Accessibility Models for Improving the Spatial Planning of Public Health Services, Plos ONE, 10, (2015); Wang F., McLafferty S., Escamilla V., Luo L., Late-Stage Breast Cancer Diagnosis and Health Care Access in Illinois, Prof. Geogr. J. Assoc. Am. Geogr, 60, pp. 54-69, (2008); Luo W., Qi Y., An enhanced two-step floating catchment area (E2SFCA) method for measuring spatial accessibility to primary care physicians, Health Place, 15, pp. 1100-1107, (2009); Guagliardo M., Spatial accessibility of primary care: Concepts, methods and challenges, Int. J. Health Geogr, 3, (2004); Dai D., Black residential segregation, disparities in spatial access to health care facilities, and late-stage breast cancer diagnosis in metropolitan Detroit, Health Place, 16, pp. 1038-1052, (2010); Wan N., Zou B., Sternberg T.A., Three-step floating catchment area method for analyzing spatial access to health services, Int. J. Geogr. Inf. Sci, 26, pp. 1073-1089, (2012); Luo J., Integrating the Huff Model and Floating Catchment Area Methods to Analyze Spatial Access to Healthcare Services, Trans. GIS, 18, pp. 436-448, (2014); Cheng G., Zeng X., Duan L., Lu X., Sun H., Jiang T., Li Y., Spatial difference analysis for accessibility to high level hospitals based on travel time in Shenzhen, China, Habitat Int, 53, pp. 485-494, (2016); Wang F., Tang Q., Planning toward equal accessibility to services: A quadratic programming approach. Environ, Plan. B: Plan. Des., 40, pp. 195-212, (2013); Kennedy J., Eberhart R., Particle swarm optimization, Proceedings of the 1995 IEEE International Conference on Neural Networks, 4, pp. 1942-1948, (1995); Joseph A.E., Phillips D.R., Accessibility and Utilization: Geographical Perspectives on Health Care Delivery, (1984); Handbook for Clinical Management of Dengue; WHO, (2012); Chen C.M., Chan K.S., Yu W.L., Cheng K.C., Chao H.C., Yeh C.Y., Lai C.C., The outcomes of patients with severe dengue admitted to intensive care units, Medicine (Baltimore), 95, (2016); Casas I., Delmelle E., Delmelle E.C., Potential versus revealed access to care during a dengue fever outbreak, J. Transp. Health, (2016); Wu T.Y., Majeed A., Kuo K.N., An overview of the healthcare system in Taiwan. Lond, J. Prim. Care (Abingdon), 3, pp. 115-119, (2010); Bagust A., Place M., Posnett J.W., Dynamics of Bed Use in Accommodating Emergency Admissions, Stochastic Simulation Model. BMJ, 319, pp. 155-158, (1999); Gunal M.M., Pidd M., Discrete event simulation for performance modelling in health care: A review of the literature, J. Simul, 4, pp. 42-51, (2010); Hick J.L., Hanfling D., Burstein J.L., Deatley C., Barbisch D., Bogdan G.M., Cantrill S., Health care facility and community strategies for patient care surge capacity, Ann. Emerg. Med, 44, pp. 253-261, (2004); Davis D.P., Poste J.C., Hicks T., Polk D., Rymer T.E., Jacoby I., Hospital bed surge capacity in the event of a mass-casualty incident. Prehosp, Disaster Med, 20, pp. 169-176, (2005); Yi P., George S.K., Paul J.A., Lin L., Hospital capacity planning for disaster emergency management, Socio-Econ. Plan. Sci, 44, pp. 151-160, (2010); Rebmann T., Carrico R., English J.F., Hospital infectious disease emergency preparedness: A survey of infection control professionals, Am. J. Infect. Control, 35, pp. 25-32, (2007); Miro O., Antonio M., Jimenez S., De Dios A., Sanchez M., Borras A., Milla J., Decreased health care quality associated with emergency department overcrowding, Eur. J. Emerg. Med, 6, pp. 105-107, (1999)</t>
  </si>
  <si>
    <t xml:space="preserve">T.-C. Chan; Research Center for Humanities and Social Sciences, Academia Sinica, Taipei City, 115, Taiwan; email: tachien@gate.sinica.edu.tw</t>
  </si>
  <si>
    <t xml:space="preserve">2-s2.0-85006990941</t>
  </si>
  <si>
    <t xml:space="preserve">Moorthy N.S.H.N.; Sousa S.F.; Ramos M.J.; Fernandes P.A.</t>
  </si>
  <si>
    <t xml:space="preserve">Moorthy, N. S. Hari Narayana (10139283500); Sousa, Sergio F. (35300847400); Ramos, Maria J. (7203081768); Fernandes, Pedro A. (50062380800)</t>
  </si>
  <si>
    <t xml:space="preserve">10139283500; 35300847400; 7203081768; 50062380800</t>
  </si>
  <si>
    <t xml:space="preserve">Molecular dynamic simulations and structure-based pharmacophore development for farnesyltransferase inhibitors discovery</t>
  </si>
  <si>
    <t xml:space="preserve">Farnesyltransferase is one of the enzyme targets for the development of drugs for diseases, including cancer, malaria, progeria, etc. In the present study, the structure-based pharmacophore models have been developed from five complex structures (1LD7, 1NI1, 2IEJ, 2ZIR and 2ZIS) obtained from the protein data bank. Initially, molecular dynamic (MD) simulations were performed for the complexes for 10 ns using AMBER 12 software. The conformers of the complexes (75) generated from the equilibrated protein were undergone protein–ligand interaction fingerprint (PLIF) analysis. The results showed that some important residues, such as LeuB96, TrpB102, TrpB106, ArgB202, TyrB300, AspB359 and TyrB361, are predominantly present in most of the complexes for interactions. These residues form side chain acceptor and surface (hydrophobic or π–π) kind of interactions with the ligands present in the complexes. The structure-based pharmacophore models were generated from the fingerprint bits obtained from PLIF analysis. The pharmacophore models have 3–4 pharmacophore contours consist of acceptor and metal ligation (Acc &amp; ML), hydrophobic (HydA) and extended acceptor (Acc2) features with the radius ranging between 1–3 Å for Acc &amp; ML and 1–2 Å for HydA. The excluded volumes of the pharmacophore contours radius are between 1–2 Å. Further, the distance between the interacting groups, root mean square deviation (RMSD), root mean square fluctuation (RMSF) and radial distribution function (RDF) analysis were performed for the MD-simulated proteins using PTRAJ module. The generated pharmacophore models were used to screen a set of natural compounds and database compounds to select significant HITs. We conclude that the developed pharmacophore model can be a significant model for the identification of HITs as FTase inhibitors. © 2016 Informa UK Limited, trading as Taylor &amp; Francis Group.</t>
  </si>
  <si>
    <t xml:space="preserve">Journal of Enzyme Inhibition and Medicinal Chemistry</t>
  </si>
  <si>
    <t xml:space="preserve">10.3109/14756366.2016.1144593</t>
  </si>
  <si>
    <t xml:space="preserve">https://www.scopus.com/inward/record.uri?eid=2-s2.0-84958778405&amp;doi=10.3109%2f14756366.2016.1144593&amp;partnerID=40&amp;md5=11f3a7bc41a92aa674caf92ebb8cc6d6</t>
  </si>
  <si>
    <t xml:space="preserve">UCIBIO, REQUIMTE, Departamento de Química e Bioquímica, Universidade do Porto, 687, Rua do Campo Alegre, Porto, Portugal</t>
  </si>
  <si>
    <t xml:space="preserve">Moorthy N.S.H.N., UCIBIO, REQUIMTE, Departamento de Química e Bioquímica, Universidade do Porto, 687, Rua do Campo Alegre, Porto, Portugal; Sousa S.F., UCIBIO, REQUIMTE, Departamento de Química e Bioquímica, Universidade do Porto, 687, Rua do Campo Alegre, Porto, Portugal; Ramos M.J., UCIBIO, REQUIMTE, Departamento de Química e Bioquímica, Universidade do Porto, 687, Rua do Campo Alegre, Porto, Portugal; Fernandes P.A., UCIBIO, REQUIMTE, Departamento de Química e Bioquímica, Universidade do Porto, 687, Rua do Campo Alegre, Porto, Portugal</t>
  </si>
  <si>
    <t xml:space="preserve">Binding free energy; cancer; farnesyltransferase; molecular dynamic simulations; PLIF; structure-based pharmacophore</t>
  </si>
  <si>
    <t xml:space="preserve">Crystallography, X-Ray; Drug Discovery; Enzyme Inhibitors; Farnesyltranstransferase; Molecular Dynamics Simulation; Molecular Structure; 2 desacetyl 8 epixanthumanol 4 o beta dgalactopyranoside; actinoplanic acid a; actinoplanic acid b; amber; bdbm 50128063; bdbm 50226160; citreohybridone a; l 778123; lonafarnib; pentapeptide; phomoidride A; protein farnesyltransferase inhibitor; tipifarnib; unclassified drug; zaragonic acid; enzyme inhibitor; farnesyl trans transferase; animal experiment; Article; controlled study; drug screening; human; hydrogen bond; IC50; molecular dynamics; nonhuman; pharmacophore; priority journal; protein structure; rat; structure activity relation; surface property; X ray crystallography; antagonists and inhibitors; chemical structure; chemistry; drug development</t>
  </si>
  <si>
    <t xml:space="preserve">amber, 9000-02-6; lonafarnib, 193275-84-2; phomoidride A, 166527-60-2; tipifarnib, 192185-72-1, 192185-68-5; farnesyl trans transferase, 9032-58-0; Enzyme Inhibitors, ; Farnesyltranstransferase, </t>
  </si>
  <si>
    <t xml:space="preserve">bdbm 50128063; bdbm 50226160; cp 225917; l 778123</t>
  </si>
  <si>
    <t xml:space="preserve">Moorthy N.S.H.N., Sousa S.F., Ramos M.J., Fernandes P.A., Structural feature study of benzofuran derivatives as farnesyltransferase inhibitors, J Enzyme Inhib Med Chem, 26, pp. 777-791, (2011); Witzig T.E., Tang H., Micallef I.N.M., Et al., Multi-institutional phase 2 study of the farnesyltransferase inhibitor tipifarnib (R115777) in patients with relapsed and refractory lymphomas, Blood, 118, pp. 4882-4889, (2011); Zhang F.L., Casey P.J., Protein prenylation: molecular mechanisms and functional consequences, Annu Rev Biochem, 65, pp. 241-269, (1996); Moorthy N.S.H.N., Sousa S.F., Ramos M.J., Fernandes P.A., Farnesyltransferase inhibitors: a comprehensive review based on quantitative structural analysis, Curr Med Chem, 20, pp. 4888-4923, (2013); Yokoyama K., Trobridge P., Buckner F.S., Et al., Protein farnesyltransferase from Trypanosoma brucei. A heterodimer of 61- and 65-kda subunits as a new target for antiparasite therapeutics, J Biol Chem, 273, pp. 26497-26505, (1998); Capell B.C., Erdos M.R., Madigan J.P., Et al., Inhibiting farnesylation of progerin prevents the characteristic nuclear blebbing of Hutchinson–Gilford progeria syndrome, Proc Natl Aacd Sci USA, 102, pp. 12879-12884, (2005); Ohkanda J., Buckner F.S., Lockman J.W., Et al., Design and synthesis of peptidomimetic protein farnesyltransferase inhibitors as anti-Trypanosoma brucei agents, J Med Chem, 47, pp. 432-445, (2004); Buckner F.S., Eastman R.T., Nepomuceno-Silva J.L., Et al., Cloning, heterologous expression, and substrate specificities of protein farnesyltransferases from Trypanosoma cruzi and Leishmania major, Mol Biochem Parasitol, 122, pp. 181-188, (2002); Esteva M.I., Kettler K., Maidana C., Et al., Benzophenone-based farnesyltransferase inhibitors with high activity against Trypanosoma cruzi, J Med Chem, 48, pp. 7186-7191, (2005); Troutman J.M., Subramanian T., Andres D.A., Spielmann H.P., Selective modification of CaaX peptides with ortho-substituted anilinogeranyl lipids by protein farnesyltransferase: competitive substrates and potent inhibitors from a library of farnesyl diphosphate analogues, Biochemistry, 46, pp. 11310-11321, (2007); Eastman R.T., White J., Hucke O., Et al., Resistance to a protein farnesyltransferase inhibitor in Plasmodium falciparum, J Biol Chem, 280, pp. 13554-13559, (2005); Buckner F.S., Eastman R.T., Yokoyama K., Et al., Protein farnesyl transferase inhibitors for the treatment of malaria and African trypanosomiasis, Curr Opin Investig Drugs, 6, pp. 791-797, (2005); Straniero V., Pallavicini M., Chiodini G., Et al., Farnesyltransferase inhibitors: CAAX mimetics based on different biaryl scaffolds, Bioorg Med Chem Lett, 24, pp. 2924-2927, (2014); Reid T.S., Long S.B., Beese L.S., Crystallographic analysis reveals that anticancer clinical candidate L-778,123 inhibits protein farnesyltransferase and geranylgeranyltransferase-I by different binding modes, Biochemistry, 43, pp. 9000-9008, (2004); Shen M., Pan P., Li Y., Et al., Farnesyltransferase and geranylgeranyltransferase I: structures, mechanism, inhibitors and molecular modeling, Drug Discov Today, 20, pp. 267-276, (2015); Moorthy N.S.H.N., Sousa S.F., Ramos M.J., Fernandes P.A., In silico based structural analysis of arylthiophene derivatives for FTase inhibitory activity, hERG and other toxic effects, J Biomol Screen, 16, pp. 1037-1046, (2011); Loving K., Salam N.K., Sherman W., Energetic analysis of fragment docking and application to structure-based pharmacophore hypothesis generation, J Comput Aided Mol Des, 23, pp. 541-554, (2009); Sanders M.P.A., Verhoeven S., de Graaf C., Et al., Snooker: a structure-based pharmacophore generation tool applied to class A GPCRs, J Chem Inf Model, 51, pp. 2277-2292, (2011); Meslamani J., Li J., Sutter J., Et al., Protein − ligand-based pharmacophores: generation and utility assessment in computational ligand profiling, J Chem Inf Model, 52, pp. 943-955, (2012); Rella M., Rushworth C.A., Guy J.L., Et al., Structure-based pharmacophore design and virtual screening for novel angiotensin converting enzyme 2 inhibitors, J Chem Inf Model, 46, pp. 708-716, (2006); Chen J., Lai L., Pocket v.2: further developments on receptor-based pharmacophore modeling, J Chem Inf Model, 46, pp. 2684-2691, (2006); Kurczab R., Bojarski A.J., New strategy for receptor-based pharmacophore query construction: a case study for 5-HT&lt;sub&gt;7&lt;/sub&gt; receptor ligands receptor, J Chem Inf Model, 53, pp. 3233-3243, (2013); Arooj M., Sakkiah S., Kim S., Et al., A combination of receptor-based pharmacophore modeling &amp; QM techniques for identification of human chymase inhibitors, PLoS One, 8, (2013); Guner O.F., History and evolution of the pharmacophore concept in computer-aided drug design, Curr Top Med Chem, 2, pp. 1321-1332, (2002); Dixon S.L., Smondyrev A.M., Knoll E.H., Et al., PHASE: a new engine for pharmacophore perception, 3D QSAR model development, and 3D database screening: 1. Methodology and preliminary results, J Comput Aided Mol Des, 20, pp. 647-671, (2006); Guner O., Clement O., Kurogi Y., Pharmacophore modeling and three dimensional database searching for drug design using catalyst: recent advances, Curr Med Chem, 11, pp. 2991-3005, (2004); Case D.A., Darden T.A., Cheatham I.I.I.T.E., Et al., AMBER 12, (2012); Sousa S.F., Fernandes P.A., Ramos M.J., Farnesyltransferase-new insights into the zinc-coordination sphere paradigm: evidence for a carboxylate-shift mechanism, Biophys J, 88, pp. 483-494, (2005); Long S.B., Casey P.J., Beese L.S., Reaction path of protein farnesyltransferase at atomic resolution, Nature, 419, pp. 645-650, (2002); Long S.B., Hancock P.J., Kral A.M., Et al., The crystal structure of human protein farnesyltransferase reveals the basis for inhibition by CaaX tetrapeptides and their mimetics, Proc Natl Acad Sci USA, 98, pp. 12948-12953, (2001); Park H.W., Boduluri S.R., Moomaw J.F., Et al., Crystal structure of protein farnesyltransferase at 2.25 angstrom resolution, Science, 275, pp. 1800-1804, (1997); Tobin D.A., Pickett J.S., Hartman H.L., Et al., Structural characterization of the zinc site in protein farnesyltransferase, J Am Chem Soc, 125, pp. 9962-9969, (2003); Pickett J.S., Bowers K.E., Fierke C.A., Mutagenesis studies of protein farnesyltransferase implicate aspartate beta 352 as a magnesium ligand, J Biol Chem, 278, pp. 51243-51250, (2003); Pickett J.S., Bowers K.E., Hartman H.L., Et al., Kinetic studies of protein farnesyltransferase mutants establish active substrate conformation, Biochemistry, 42, pp. 9741-9748, (2003); Sousa S.F., Fernandes P.A., Ramos M.J., Effective tailor-made force field parameterization of the several Zn coordination environments in the puzzling FTase enzyme: opening the door to the full understanding of its elusive catalytic mechanism, Theor Chem Acc, 117, pp. 171-181, (2007); Sousa S.F., Fernandes P.A., Ramos M.J., Theoretical studies on farnesyltransferase: the distances paradox explained, Proteins, 66, pp. 205-218, (2007); Sousa S.F., Fernandes P.A., Ramos M.J., Molecular dynamics simulations on the critical states of the farnesyltransferase enzyme, Bioorg Med Chem, 17, pp. 3369-3378, (2009); Duan Y., Wu C., Chowdhury S., Et al., A point-charge force field for molecular mechanics simulations of proteins based on condensed-phase quantum mechanical calculations, J Comput Chem, 24, pp. 1999-2012, (2003); Humphrey W., Dalke A., Schulten K., VMD: visual molecular dynamics – molecular, J Mol Graph, 14, pp. 33-38, (1996); Molecular operating environment (MOE), (2013); Vasanthanathan P., Moorthy N.S.H.N., Kongsted J., Dual mechanism of HIV-1 integrase and RNase H inhibition by diketo derivatives: a computational study, RSC Adv, 4, pp. 38672-38681, (2014); Moorthy N.S.H.N., Cerquira N.M.F.S., Ramos M.J., Fernandes P.A., Ligand based analysis on HMG-CoA reductase inhibitors, Chemom Intell Lab Sys, 140, pp. 102-116, (2015); Sousa S.F., Fernandes P.A., Ramos M.J., Enzyme flexibility and the catalytic mechanism of farnesyltransferase: targeting the relation, J Phys Chem B, 112, pp. 8681-8691, (2008); Sousa S.F., Fernandes P.A., Ramos M.J., Theoretical studies on farnesyl transferase: evidence for thioether product coordination to the active-site zinc sphere, J Comput Chem, 28, pp. 1160-1168, (2007); Sousa S.F., Coimbra J.T.S., Paramos D., Et al., Molecular dynamics analysis of a series of 22 potential farnesyltransferase substrates containing a CaaX-motif, J Mol Model, 19, pp. 673-688, (2013)</t>
  </si>
  <si>
    <t xml:space="preserve">N.S.H.N. Moorthy; Department of Chemistry and Biochemistry, University of Porto, Porto, 687, Rua de Campo Alegre, Porto, 4169-007, Portugal; email: hari.moorthy@fc.up.pt</t>
  </si>
  <si>
    <t xml:space="preserve">JEIMA</t>
  </si>
  <si>
    <t xml:space="preserve">J. Enzyme Inhib. Med. Chem.</t>
  </si>
  <si>
    <t xml:space="preserve">2-s2.0-84958778405</t>
  </si>
  <si>
    <t xml:space="preserve">Zhang X.; Yuan Z.; Ji J.; Li H.; Xue F.</t>
  </si>
  <si>
    <t xml:space="preserve">Zhang, Xiaoshuai (55376640400); Yuan, Zhongshang (22636598200); Ji, Jiadong (55860167700); Li, Hongkai (56160279400); Xue, Fuzhong (8925496400)</t>
  </si>
  <si>
    <t xml:space="preserve">55376640400; 22636598200; 55860167700; 56160279400; 8925496400</t>
  </si>
  <si>
    <t xml:space="preserve">Network or regression-based methods for disease discrimination: A comparison study</t>
  </si>
  <si>
    <t xml:space="preserve">Background: In stark contrast to network-centric view for complex disease, regression-based methods are preferred in disease prediction, especially for epidemiologists and clinical professionals. It remains a controversy whether the network-based methods have advantageous performance than regression-based methods, and to what extent do they outperform. Methods: Simulations under different scenarios (the input variables are independent or in network relationship) as well as an application were conducted to assess the prediction performance of four typical methods including Bayesian network, neural network, logistic regression and regression splines. Results: The simulation results reveal that Bayesian network showed a better performance when the variables were in a network relationship or in a chain structure. For the special wheel network structure, logistic regression had a considerable performance compared to others. Further application on GWAS of leprosy show Bayesian network still outperforms other methods. Conclusion: Although regression-based methods are still popular and widely used, network-based approaches should be paid more attention, since they capture the complex relationship between variables. © 2016 The Author(s).</t>
  </si>
  <si>
    <t xml:space="preserve">BMC Medical Research Methodology</t>
  </si>
  <si>
    <t xml:space="preserve">10.1186/s12874-016-0207-2</t>
  </si>
  <si>
    <t xml:space="preserve">https://www.scopus.com/inward/record.uri?eid=2-s2.0-84982306919&amp;doi=10.1186%2fs12874-016-0207-2&amp;partnerID=40&amp;md5=7eefd46fd1e27310905924acda0f54b9</t>
  </si>
  <si>
    <t xml:space="preserve">Department of Epidemiology and Biostatistics, School of Public Health, Shandong University, PO Box 100, Jinan, 250012, China</t>
  </si>
  <si>
    <t xml:space="preserve">Zhang X., Department of Epidemiology and Biostatistics, School of Public Health, Shandong University, PO Box 100, Jinan, 250012, China; Yuan Z., Department of Epidemiology and Biostatistics, School of Public Health, Shandong University, PO Box 100, Jinan, 250012, China; Ji J., Department of Epidemiology and Biostatistics, School of Public Health, Shandong University, PO Box 100, Jinan, 250012, China; Li H., Department of Epidemiology and Biostatistics, School of Public Health, Shandong University, PO Box 100, Jinan, 250012, China; Xue F., Department of Epidemiology and Biostatistics, School of Public Health, Shandong University, PO Box 100, Jinan, 250012, China</t>
  </si>
  <si>
    <t xml:space="preserve">AUC; Disease discrimination; Network-based; Regression-based</t>
  </si>
  <si>
    <t xml:space="preserve">Bayes Theorem; Computer Simulation; Diagnosis, Differential; Humans; Logistic Models; Neural Networks (Computer); Outcome Assessment (Health Care); Regression Analysis; Reproducibility of Results; Sensitivity and Specificity; artificial neural network; Bayes theorem; comparative study; computer simulation; differential diagnosis; human; outcome assessment; procedures; regression analysis; reproducibility; sensitivity and specificity; statistical model; statistics and numerical data</t>
  </si>
  <si>
    <t xml:space="preserve">National Natural Science Foundation of China, NNSFC, (31200994, 81273177, 81573259)</t>
  </si>
  <si>
    <t xml:space="preserve">This work was jointly supported by grants from National Natural Science Foundation of China [grant numbers 81573259, 81273177, 31200994]. The funding bodies were not involved in the analysis and interpretation of data, or the writing of the manuscript.</t>
  </si>
  <si>
    <t xml:space="preserve">Albert R., Network inference, analysis, and modeling in systems biology, Plant Cell, 19, 11, pp. 3327-3338, (2007); Nguyen-Nielsen M., Svensson E., Vogel I., Ehrenstein V., Sunde L., Existing data sources for clinical epidemiology: Danish registries for studies of medical genetic diseases, Clin Epidemiol, 5, (2013); St Sauver J.L., Grossardt B.R., Yawn B.P., Melton L.J., Pankratz J.J., Brue S.M., Et al., Data resource profile: The Rochester Epidemiology Project (REP) medical records-linkage system, Int J Epidemiol, 41, 6, pp. 1614-1624, (2012); Mayr M., From data gathering to systems medicine, Cardiovasc Res, 97, 4, pp. 599-600, (2013); Tu J.V., Advantages and disadvantages of using artificial neural networks versus logistic regression for predicting medical outcomes, J Clin Epidemiol, 49, 11, pp. 1225-1231, (1996); Yonemori K., Tateishi U., Uno H., Yonemori Y., Tsuta K., Takeuchi M., Et al., Development and validation of diagnostic prediction model for solitary pulmonary nodules, Respirology, 12, 6, pp. 856-862, (2007); Hendriksen J., Geersing G.J., Moons K., Groot J., Diagnostic and prognostic prediction models, J Thromb Haemost, 11, S1, pp. 129-141, (2013); Polit D.F., Beck C.T., Nursing Research: Principles and Methods, (2004); Bedogni G., Clinical Prediction Models - A Practical Approach to Development, Validation and Updating, J R Stat Soc A Stat Soc, 172, 4, (2009); Kitano H., Systems biology: A brief overview, Science, 295, 5560, pp. 1662-1664, (2002); Beltrao P., Cagney G., Krogan N.J., Quantitative genetic interactions reveal biological modularity, Cell, 141, 5, pp. 739-745, (2010); Aloy P., Russell R.B., Structural systems biology: Modelling protein interactions, Nat Rev Mol Cell Bio, 7, 3, pp. 188-197, (2006); Visser H., Le Cessie S., Vos K., Breedveld F.C., Hazes J.M., How to diagnose rheumatoid arthritis early: A prediction model for persistent (erosive) arthritis, Arthritis Rheum, 46, 2, pp. 357-365, (2002); Steyerberg E.W., Vickers A.J., Cook N.R., Gerds T., Gonen M., Obuchowski N., Et al., Assessing the performance of prediction models: A framework for some traditional and novel measures, Epidemiology, 21, 1, (2010); Guthrie W., Swineford L.B., Nottke C., Wetherby A.M., Early diagnosis of autism spectrum disorder: Stability and change in clinical diagnosis and symptom presentation, J Child Psychol Psychiatry, 54, 5, pp. 582-590, (2013); Lee S., Abbott P., Johantgen M., Logistic regression and Bayesian networks to study outcomes using large data sets, Nurs Res, 54, 2, pp. 133-138, (2005); Hosmer D.W., Lemeshow S., Applied Logistic Regression, (2004); Harrell F.E., Lee K.L., Matchar D.B., Reichert T.A., Regression models for prognostic prediction: Advantages, problems, and suggested solutions, Cancer Treat Rep, 69, 10, pp. 1071-1077, (1985); Khan J., Wei J.S., Ringner M., Saal L.H., Ladanyi M., Westermann F., Et al., Classification and diagnostic prediction of cancers using gene expression profiling and artificial neural networks, Nat Med, 7, 6, pp. 673-679, (2001); Briggs F., Ramsay P.P., Madden E., Norris J.M., Holers V.M., Mikuls T.R., Et al., Supervised machine learning and logistic regression identifies novel epistatic risk factors with PTPN22 for rheumatoid arthritis, Genes Immun, 11, 3, pp. 199-208, (2010); Dybowski R., Gant V., Weller P., Chang R., Prediction of outcome in critically ill patients using artificial neural network synthesised by genetic algorithm, Lancet, 347, 9009, pp. 1146-1150, (1996); Dreiseitl S., Ohno-Machado L., Logistic regression and artificial neural network classification models: A methodology review, J Biomed Inform, 35, 5, pp. 352-359, (2002); Hastie T., Tibshirani R., Friedman J., Franklin J., The elements of statistical learning: Data mining, inference and prediction, Math Intell, 27, 2, pp. 83-85, (2005); Nielsen T.D., Jensen F.V., Bayesian Networks and Decision Graphs, (2009); Heckerman D., Bayesian networks for data mining, Data Min Knowl Disc, 1, 1, pp. 79-119, (1997); Uusitalo L., Advantages and challenges of Bayesian networks in environmental modelling, Ecol Model, 203, 3, pp. 312-318, (2007); Bradley A.P., The use of the area under the ROC curve in the evaluation of machine learning algorithms, Pattern Recogn, 30, 7, pp. 1145-1159, (1997); Faber N.M., Rajko R., How to avoid over-fitting in multivariate calibration - The conventional validation approach and an alternative, Anal Chim Acta, 595, 1, pp. 98-106, (2007); Scheines R., Spirtes P., Glymour C., Meek C., Richardson T., The TETRAD project: Constraint based AIDS to causal model specification, Multivar Behav Res, 33, 1, pp. 65-117, (1998); Zhang F., Huang W., Chen S., Sun L., Liu H., Li Y., Et al., Genomewide association study of leprosy, New Engl J Med, 361, 27, pp. 2609-2618, (2009); Jensen F., HUGIN - The Tool for Bayesian Networks and Influence Diagrams, European Workshop on Probabilistic Graphical MODELS, (2002); Roos T., Wettig H., Grunwald P., Myllymaki P., Tirri H., On discriminative Bayesian network classifiers and logistic regression, Mach Learn, 59, 3, pp. 267-296, (2005)</t>
  </si>
  <si>
    <t xml:space="preserve">F. Xue; Department of Epidemiology and Biostatistics, School of Public Health, Shandong University, Jinan, PO Box 100, 250012, China; email: xuefzh@sdu.edu.cn</t>
  </si>
  <si>
    <t xml:space="preserve">BMC Med. Res. Methodol.</t>
  </si>
  <si>
    <t xml:space="preserve">2-s2.0-84982306919</t>
  </si>
  <si>
    <t xml:space="preserve">Barber B.E.; William T.; Grigg M.J.; Piera K.A.; Chen Y.; Wang H.; Weinberg J.B.; Yeo T.W.; Anstey N.M.</t>
  </si>
  <si>
    <t xml:space="preserve">Barber, Bridget E. (36561132900); William, Timothy (39162219900); Grigg, Matthew J. (55507854900); Piera, Kim A. (24077062800); Chen, Youwei (9276218600); Wang, Hao (56052611600); Weinberg, J. Brice (57225461610); Yeo, Tsin W. (14047528200); Anstey, Nicholas M. (57194126992)</t>
  </si>
  <si>
    <t xml:space="preserve">36561132900; 39162219900; 55507854900; 24077062800; 9276218600; 56052611600; 57225461610; 14047528200; 57194126992</t>
  </si>
  <si>
    <t xml:space="preserve">Nitric oxide-dependent endothelial dysfunction and reduced arginine bioavailability in plasmodium vivax malaria but no greater increase in intravascular hemolysis in severe disease</t>
  </si>
  <si>
    <t xml:space="preserve">Background. Pathogenesis of severe Plasmodium vivax malaria is poorly understood. Endothelial dysfunction and reduced nitric oxide (NO) bioavailability characterize severe falciparum malaria, but have not been assessed in severe vivax malaria. Methods. In patients with severe vivax malaria (n = 9), patients with nonsevere vivax malaria (n = 58), and healthy controls (n = 79), we measured NO-dependent endothelial function by using reactive hyperemia-peripheral arterial tonometry (RH-PAT) and assessed associations with arginine, asymmetric dimethylarginine (ADMA), and hemolysis. Results. The L-arginine level and the L-arginine to ADMA ratio (a measure of L-arginine bioavailability) were reduced in patients with severe vivax malaria and those with nonsevere vivax malaria, compared with healthy controls (median L-arginine level, 65, 66, and 98 μmol/mL, respectively [P =. 0001]; median L-arginine to ADMA ratio, 115, 125, and 187, respectively [P =. 0001]). Endothelial function was impaired in proportion to disease severity (median RH-PAT index, 1.49, 1.73, and 1.97 in patients with severe vivax malaria, those with nonsevere vivax malaria, and healthy controls, respectively; P =. 018) and was associated with the L-arginine to ADMA ratio. While the posttreatment fall in hemoglobin level was greater in severe vivax malaria as compared to nonsevere vivax malaria (2.5 vs 1 g/dL; P =. 0001), markers of intravascular hemolysis were not higher in severe disease. Conclusions. Endothelial function is impaired in nonsevere and severe vivax malaria, is associated with reduced L-arginine bioavailability, and may contribute to microvascular pathogenesis. Severe disease appears to be more associated with extravascular hemolysis than with intravascular hemolysis. © 2016 The Author 2016. Published by Oxford University Press for the Infectious Diseases Society of America.</t>
  </si>
  <si>
    <t xml:space="preserve">10.1093/infdis/jiw427</t>
  </si>
  <si>
    <t xml:space="preserve">https://www.scopus.com/inward/record.uri?eid=2-s2.0-85006511787&amp;doi=10.1093%2finfdis%2fjiw427&amp;partnerID=40&amp;md5=65e8579a551fbb8637289e3d505cfdc7</t>
  </si>
  <si>
    <t xml:space="preserve">Global and Tropical Health Division, Menzies School of Health Research, Charles Darwin University, Darwin, Australia; Department of Infectious Diseases, Royal Darwin Hospital, Darwin, Australia; Infectious Diseases Society, Sabah-Menzies School of Health Research Clinical Research Unit, Kota Kinabalu, Malaysia; Jesselton Medical Center, Kota Kinabalu, Malaysia; Duke University Medical Center, Durham, NC, United States; VA Medical Center, Durham, NC, United States; Lee Kong Chian School of Medicine, Nanyang Technological University, Singapore, Singapore; Institute of Infectious Disease and Epidemiology, Tan Tock Seng Hospital, Singapore, Singapore</t>
  </si>
  <si>
    <t xml:space="preserve">Barber B.E., Global and Tropical Health Division, Menzies School of Health Research, Charles Darwin University, Darwin, Australia, Infectious Diseases Society, Sabah-Menzies School of Health Research Clinical Research Unit, Kota Kinabalu, Malaysia; William T., Infectious Diseases Society, Sabah-Menzies School of Health Research Clinical Research Unit, Kota Kinabalu, Malaysia, Jesselton Medical Center, Kota Kinabalu, Malaysia; Grigg M.J., Global and Tropical Health Division, Menzies School of Health Research, Charles Darwin University, Darwin, Australia, Infectious Diseases Society, Sabah-Menzies School of Health Research Clinical Research Unit, Kota Kinabalu, Malaysia; Piera K.A., Global and Tropical Health Division, Menzies School of Health Research, Charles Darwin University, Darwin, Australia; Chen Y., Duke University Medical Center, Durham, NC, United States, VA Medical Center, Durham, NC, United States; Wang H., Global and Tropical Health Division, Menzies School of Health Research, Charles Darwin University, Darwin, Australia; Weinberg J.B., Duke University Medical Center, Durham, NC, United States, VA Medical Center, Durham, NC, United States; Yeo T.W., Global and Tropical Health Division, Menzies School of Health Research, Charles Darwin University, Darwin, Australia, Infectious Diseases Society, Sabah-Menzies School of Health Research Clinical Research Unit, Kota Kinabalu, Malaysia, Lee Kong Chian School of Medicine, Nanyang Technological University, Singapore, Singapore, Institute of Infectious Disease and Epidemiology, Tan Tock Seng Hospital, Singapore, Singapore; Anstey N.M., Global and Tropical Health Division, Menzies School of Health Research, Charles Darwin University, Darwin, Australia, Department of Infectious Diseases, Royal Darwin Hospital, Darwin, Australia, Infectious Diseases Society, Sabah-Menzies School of Health Research Clinical Research Unit, Kota Kinabalu, Malaysia</t>
  </si>
  <si>
    <t xml:space="preserve">arginine; asymmetric dimethylarginine; endothelial function; hemolysis; malaria; nitric oxide; Plasmodium vivax</t>
  </si>
  <si>
    <t xml:space="preserve">Adolescent; Adult; Aged; Arginine; Biological Availability; Endothelial Cells; Epidemiologic Studies; Female; Hemolysis; Humans; Malaria, Vivax; Male; Middle Aged; Nitric Oxide; Prospective Studies; Young Adult; arginine; biological marker; cell free hemoglobin; haptoglobin; hemoglobin; intercellular adhesion molecule 1; interleukin 10; interleukin 6; lactate dehydrogenase; n(g),n(g) dimethylarginine; nitric oxide; unclassified drug; arginine; nitric oxide; adult; amino acid blood level; antiprotozoal therapy; Article; bioavailability; controlled study; disease association; disease severity; disease severity assessment; endothelial dysfunction; female; hemoglobin blood level; human; human cell; intravascular hemolysis; laboratory test; lactate dehydrogenase blood level; major clinical study; male; parasite examination; pathogenesis; peripheral arterial tonometry; Plasmodium vivax malaria; priority journal; protein blood level; reactive hyperemia peripheral arterial tonometry; adolescent; aged; bioavailability; blood; endothelium cell; epidemiology; hemolysis; metabolism; middle aged; pathology; physiology; Plasmodium vivax malaria; prospective study; young adult</t>
  </si>
  <si>
    <t xml:space="preserve">arginine, 1119-34-2, 15595-35-4, 7004-12-8, 74-79-3; haptoglobin, 9087-69-8; hemoglobin, 9008-02-0; intercellular adhesion molecule 1, 126547-89-5; lactate dehydrogenase, 9001-60-9; n(g),n(g) dimethylarginine, 30315-93-6; nitric oxide, 10102-43-9; Arginine, ; Nitric Oxide, </t>
  </si>
  <si>
    <t xml:space="preserve">National Institute of Allergy and Infectious Diseases, NIAID, (R01AI041764)</t>
  </si>
  <si>
    <t xml:space="preserve">Price R.N., Douglas N.M., Anstey N.M., New developments in Plasmodium vivax malaria: Severe disease and the rise of chloroquine resistance, Curr Opin Infect Dis, 22, pp. 430-435, (2009); World Malaria Report 2015, (2015); Anstey N.M., Douglas N.M., Poespoprodjo J.R., Price R., Plasmodium vivax: Clinical spectrum, risk factors and pathogenesis, Adv Parasitol, 80, pp. 151-201, (2012); Baird J.K., Evidence and implications of mortality associated with acute Plasmodium vivax malaria, Clin Microbiol Rev, 26, pp. 36-57, (2013); Lacerda M.V.G., Fragoso S.C.P., Alecrim M.G.C., Et al., Postmortem characterization of patients with clinical diagnosis of Plasmodium vivax malaria: To what extent does this parasite kill?, Clin Infect Dis, 55, pp. e67-74, (2012); Tjitra E., Anstey N.M., Sugiarto P., Et al., Multidrug-resistant Plasmodium vivax associated with severe and fatal malaria: A prospective study in Papua, Indonesia, PLoS Med, 5, (2008); Kochar D.K., Das A., Kochar S.K., Et al., Severe Plasmodium vivax malaria: A report on serial cases from Bikaner in northwestern India, Am J Trop Med Hyg, 80, pp. 194-198, (2009); Lanca E.F.C., Magalhaes B.M.L., Vitor-Silva S., Et al., Risk factors and characterization of Plasmodium vivax-Associated admissions to pediatric intensive care units in the Brazilian Amazon, PLoS One, 7, (2012); Turner G.D.H., Morrison H., Jones M., Et al., An immunohistochemical study of the pathology of fatal malaria: Evidence for widespread endothelial activation and a potential role for intercellular adhesion molecule-1 in cerebral sequestration, Am J Pathol, 145, (1994); Miller L.H., Ackerman H.C., Su X.-Z., Wellems T.E., Malaria biology and disease pathogenesis: Insights for new treatments, Nat Med, 19, pp. 156-167, (2013); Yeo T.W., Lampah D.A., Kenangalem E., Tjitra E., Price R.N., Anstey N.M., Impaired skeletal muscle microvascular function and increased skeletal muscle oxygen consumption in severe falciparum malaria, J Infect Dis, 207, pp. 528-536, (2013); Yeo T.W., Lampah D.A., Kenangalem E., Et al., Decreased endothelial nitric oxide bioavailability, impaired microvascular function, and increased tissue oxygen consumption in children with falciparum malaria, J Infect Dis, 210, pp. 1627-1632, (2014); Hanson J., Lee S.J., Hossain M.A., Et al., Microvascular obstruction and endothelial activation are independently associated with the clinical manifestations of severe falciparum malaria in adults: An observational study, BMC Med, 13, (2015); Serirom S., Raharjo W.H., Chotivanich K., Loareesuwan S., Kubes P., Ho M., Anti-Adhesive effect of nitric oxide on Plasmodium falciparum cytoadherence under flow, Am J Pathol, 162, pp. 1651-1660, (2003); Yeo T.W., Lampah D.A., Gitawati R., Et al., Impaired nitric oxide bioavailability and L-Arginine-reversible endothelial dysfunction in adults with falciparum malaria, J Exp Med, 204, pp. 2693-2704, (2007); Yeo T.W., Lampah D.A., Gitawati R., Et al., Angiopoietin-2 is associated with decreased endothelial nitric oxide and poor clinical outcome in severe falciparum malaria, Proc Natl Acad Sci U S A, 105, pp. 17097-17102, (2008); Anstey N., Weinberg J., Hassanali M., Et al., Nitric oxide in Tanzanian children with malaria: Inverse relationship between malaria severity and nitric oxide production/nitric oxide synthase type 2 expression, J Exp Med, 184, pp. 557-567, (1996); Lopansri B.K., Anstey N.M., Weinberg J.B., Et al., Low plasma arginine concentrations in children with cerebral malaria and decreased nitric oxide production, Lancet, 361, pp. 676-678, (2003); Yeo T., Lampah D., Tjitra E., Et al., Increased asymmetric dimethylarginine in severe falciparum malaria: Association with impaired nitric oxide bioavailability and fatal outcome, PLoS Pathog, 6, pp. 214-217, (2010); Weinberg J.B., Yeo T.W., Mukemba J.P., Et al., Dimethylarginines: Endogenous inhibitors of nitric oxide synthesis in children with falciparum malaria, J Infect Dis, 210, pp. 913-922, (2014); Barber B.E., William T., Grigg M.J., Et al., Asymmetric Dimethylarginine (ADMA) in adult falciparum malaria: Relationships with disease severity, antimalarial treatment, haemolysis and inflammation, Open Forum Infect Dis, 3, (2016); Chertow J.H., Alkaitis M.S., Nardone G., Et al., Plasmodium infection is associated with impaired hepatic dimethylarginine dimethylaminohydrolase activity and disruption of nitric oxide synthase inhibitor/substrate homeostasis, PLoS Pathog, 11, (2015); Yeo T.W., Lampah D.A., Kenangalem E., Et al., Impaired systemic tetrahydrobiopterin bioavailability and increased dihydrobiopterin in adult falciparum malaria: Association with disease severity, impaired microvascular function and increased endothelial activation, PLoS Pathog, 11, pp. e1004667-e, (2015); Rubach M.P., Mukemba J., Florence S., Et al., Impaired systemic tetrahydrobiopterin bioavailability and increased oxidized biopterins in pediatric falciparum malaria: Association with disease severity, PLoS Pathog, 11, (2015); Yeo T.W., Lampah D.A., Tjitra E., Et al., Relationship of cell-free haemoglobin to impaired nitric oxide bioavailability and perfusion in severe falciparum malaria, J Infect Dis, 200, pp. 1522-1529, (2009); Lampah D., Yeo T.W., Hardianto S.O., Et al., Coma associated with microscopy-diagnosed Plasmodium vivax: A prospective study in Papua, Indonesia, PLoS Negl Trop Dis, 5, (2011); Barber B.E., William T., Grigg M.J., Et al., Parasite biomass-related inflammation, endothelial activation, microvascular dysfunction and disease severity in vivax malaria, PLoS Pathog, 11, (2015); Andrade B.B., Reis-Filho A., Souza-Neto S.M., Et al., Severe Plasmodium vivax malaria exhibits marked inflammatory imbalance, Malar J, 9, (2010); Barber B.E., William T., Grigg M.J., Et al., A prospective comparative study of knowlesi, falciparum and vivax malaria in Sabah, Malaysia: High proportion with severe disease from Plasmodium knowlesi and P vivax but no mortality with early referral and artesunate therapy, Clin Infect Dis, 56, pp. 383-397, (2013); Padley D., Moody A., Chiodini P., Saldanha J., Use of a rapid, single-round, multiplex PCR to detect malarial parasites and identify the species present, Ann Trop Med Parasitol, 97, pp. 131-137, (2003); Imwong M., Tanomsing N., Pukrittayakamee S., Day N.P.J., White N.J., Snounou G., Spurious amplification of a Plasmodium vivax small-subunit RNA gene by use of primers currently used to detect P, Knowlesi. J Clin Microbiol, 47, (2009); Jones C.E., Darcy C.J., Woodberry T., Anstey N.M., McNeil Y.R., HPLC analysis of asymmetric dimethylarginine, symmetric dimethylarginine, homoarginine and arginine in small plasma volumes using a Gemini-NX column at high pH, J Chromatogr B Analyt Technol Biomed Life Sci, 878, pp. 8-12, (2010); Morris C.R., Kato G.J., Poljakovic M., Et al., Dysregulated arginine metabolism, hemolysis-Associated pulmonary hypertension, and mortality in sickle cell disease, JAMA, 294, pp. 81-90, (2005); Nijveldt R., Teerlink T., Van Der Hoven B., Et al., Asymmetrical dimethylarginine (ADMA) in critically ill patients: High plasma ADMA concentration is an independent risk factor of ICU mortality, Clin Nutr, 22, pp. 23-30, (2003); Nohria A., Gerhard-Herman M., Creager M., Hurley S., Mitra D., Ganz P., Role of nitric oxide in the regulation of digital pulse volume amplitude in humans, J Appl Physiol, 101, (2006); Weinberg J.B., Volkheimer A.D., Rubach M.P., Et al., Monocyte polarization in children with falciparum malaria: Relationship to nitric oxide insufficiency and disease severity, Sci Rep, 6, (2016); Iapichino G., Umbrello M., Albicini M., Et al., Time course of endogenous nitric oxide inhibitors in severe sepsis in humans, Minerva Anestesiol, 76, pp. 325-333, (2010); Wang J., Sim A., Wang X., Wilcken D., L-Arginine regulates asymmetric dimethylarginine metabolism by inhibiting dimethylarginine dimethylaminohydrolase activity in hepatic (HepG2) cells, Cell Mol Life Sci, 63, pp. 2838-2846, (2006); Teerlink T., Luo Z., Palm F., Wilcox C.S., Cellular ADMA: Regulation and action, Pharmacol Res, 60, pp. 448-460, (2009); Douglas N., Anstey N., Buffet P., Et al., The anaemia of Plasmodium vivax malaria, Malar J, 11, (2012); Malleret B., Li A., Zhang R., Et al., Plasmodium vivax: Restricted tropism and rapid remodeling of CD71-positive reticulocytes, Blood, 125, pp. 1314-1324, (2015)</t>
  </si>
  <si>
    <t xml:space="preserve">B.E. Barber; Global Health Division, Menzies School of Health Research, Casuarina, PO Box 41096, 0811, Australia; email: bridget.barber@menzies.edu.au</t>
  </si>
  <si>
    <t xml:space="preserve">2-s2.0-85006511787</t>
  </si>
  <si>
    <t xml:space="preserve">Husin N.A.; Mustapha N.; Sulaiman M.N.; Yaacob R.; Hamdan H.; Hussin M.</t>
  </si>
  <si>
    <t xml:space="preserve">Husin, Nor Azura (25825147600); Mustapha, Norwati (24802568600); Sulaiman, Md. Nasir (22434244300); Yaacob, Razali (35114052600); Hamdan, Hazlina (36632085100); Hussin, Masnida (36988062600)</t>
  </si>
  <si>
    <t xml:space="preserve">25825147600; 24802568600; 22434244300; 35114052600; 36632085100; 36988062600</t>
  </si>
  <si>
    <t xml:space="preserve">Performance of hybrid GANN in comparison with other standalone models on dengue outbreak prediction</t>
  </si>
  <si>
    <t xml:space="preserve">Early prediction of diseases especially dengue fever in the case of Malaysia, is very crucial to enable health authorities to develop response strategies and context preventive intervention programs such as awareness campaigns for the high risk population before an outbreak occurs. Some of the deficiencies in dengue epidemiology are insufficient awareness on the parameter as well as the combination among them. Most of the studies on dengue prediction use standalone models which face problem of finding the appropriate parameter since they need to apply try and error approach. The aim of this paper is to conduct experiments for determining the best network structure that has effective variable and fitting parameters in predicting the spread of the dengue outbreak. Four model structures were designed in order to attain optimum prediction performance. The best model structure was selected as predicting model to solve the time series prediction of dengue. The result showed that neighboring location of dengue cases was very effective in predicting the dengue outbreak and it is proven that the hybrid Genetic Algorithm and Neural Network (GANN) model significantly outperforms standalone models namely regression and Neural Network (NN). © 2016 Nor Azura Husin, Norwati Mustapha, Md. Nasir Sulaiman, Razali Yaacob, Hazlina Hamdan and Masnida Hussin.</t>
  </si>
  <si>
    <t xml:space="preserve">Journal of Computer Science</t>
  </si>
  <si>
    <t xml:space="preserve">Science Publications</t>
  </si>
  <si>
    <t xml:space="preserve">10.3844/jcssp.2016.300.306</t>
  </si>
  <si>
    <t xml:space="preserve">https://www.scopus.com/inward/record.uri?eid=2-s2.0-84984861320&amp;doi=10.3844%2fjcssp.2016.300.306&amp;partnerID=40&amp;md5=7ff3f75a6a87bd1c072e851db59329db</t>
  </si>
  <si>
    <t xml:space="preserve">Department of Computer Science, Faculty of Computer Science and Information Technology, University Putra Malaysia, Selangor, Malaysia</t>
  </si>
  <si>
    <t xml:space="preserve">Husin N.A., Department of Computer Science, Faculty of Computer Science and Information Technology, University Putra Malaysia, Selangor, Malaysia; Mustapha N., Department of Computer Science, Faculty of Computer Science and Information Technology, University Putra Malaysia, Selangor, Malaysia; Sulaiman M.N., Department of Computer Science, Faculty of Computer Science and Information Technology, University Putra Malaysia, Selangor, Malaysia; Yaacob R., Department of Computer Science, Faculty of Computer Science and Information Technology, University Putra Malaysia, Selangor, Malaysia; Hamdan H., Department of Computer Science, Faculty of Computer Science and Information Technology, University Putra Malaysia, Selangor, Malaysia; Hussin M., Department of Computer Science, Faculty of Computer Science and Information Technology, University Putra Malaysia, Selangor, Malaysia</t>
  </si>
  <si>
    <t xml:space="preserve">Genetic; Hybrid GANN; Neural Network; Predicting</t>
  </si>
  <si>
    <t xml:space="preserve">Aburas H.M., Cetiner B.G., Sari M., Dengue confirmed-cases prediction: A neural network model, J. Expert Syst. Applic, 37, pp. 4256-4260, (2010); Cen L., Wang M., Application of hybrid genetic algorithm-BP neural networks to diagnosis of lung cancer, Proceedings of the International Conference on Computer Science and Software Engineering, pp. 36-39, (2008); Gray A., Kilgour R., Hybrid system FAQ, (1997); Harrison R.F., Kennedy R.L., Artificial neural network models for prediction of acute coronary syndromes using clinical data from the time of presentation, Ann. Emergency Med, 46, pp. 143-439, (2005); Mahiran M., Ho B.K., Clinical practice guideline on management of dengue infection in adult, J. Malaysian Family Phys, (2011); Malaysia calls for more concerted global R&amp;D effort against dengue at 66th WHO Assembly, Switzerland, (2013); Health fact 2012, Health of Informatics Centre Planning and Development Division MOH/S/RAN/31.12(TR), (2012); Muhuiddin H., Jamie T., Variables that may affect the transmission of dengue-a case study for health management in Asia, (2015); Rachata N., Charoenkwan P., Yooyativong T., Chamnongthai K., Lursinsap C., Et al., Automatic prediction system of dengue haemorrhagic-fever outbreak risk by using entropy and artificial neural network, Proceedings of the International Symposium on Communications and Information Technologies, pp. 210-214, (2008); Rajasekaran S., Vijayalakshmi Pai G.A., Neural networks, fuzzy logic and genetic algorithms: Synthesis and applications, (2008); Shanti D., Sahoo G., Saravanan N., Evolving connection weights of artificial neural networks using genetic algorithm with application to the prediction of stroke disease, Int. J. Soft Comput, 4, pp. 95-102, (2009); Yusof H., Dengue outbreak prediction: A least squares support vector machines approach, Int. J. Comput. Theory Eng, 3, pp. 489-493, (2011)</t>
  </si>
  <si>
    <t xml:space="preserve">N.A. Husin; Department of Computer Science, Faculty of Computer Science and Information Technology, University Putra Malaysia, Selangor, Malaysia; email: support@thescipub.com</t>
  </si>
  <si>
    <t xml:space="preserve">J. Comput. Sci.</t>
  </si>
  <si>
    <t xml:space="preserve">2-s2.0-84984861320</t>
  </si>
  <si>
    <t xml:space="preserve">Otieno L.; Oneko M.; Otieno W.; Abuodha J.; Owino E.; Odero C.; Mendoza Y.G.; Andagalu B.; Awino N.; Ivinson K.; Heerwegh D.; Otsyula N.; Oziemkowska M.; Usuf E.A.; Otieno A.; Otieno K.; Leboulleux D.; Leach A.; Oyieko J.; Slutsker L.; Lievens M.; Cowden J.; Lapierre D.; Kariuki S.; Ogutu B.; Vekemans J.; Hamel M.J.</t>
  </si>
  <si>
    <t xml:space="preserve">Otieno, Lucas (57204759774); Oneko, Martina (7801551421); Otieno, Walter (9840738700); Abuodha, Joseph (57191431510); Owino, Emmanuel (57191431621); Odero, Chris (26029494200); Mendoza, Yolanda Guerra (56803645700); Andagalu, Ben (55560463100); Awino, Norbert (54396771500); Ivinson, Karen (56527095400); Heerwegh, Dirk (57191864409); Otsyula, Nekoye (55522429000); Oziemkowska, Maria (6602235393); Usuf, Effua Abigail (54941217800); Otieno, Allan (54585830800); Otieno, Kephas (24829500500); Leboulleux, Didier (6603432510); Leach, Amanda (57221755197); Oyieko, Janet (55193515800); Slutsker, Laurence (7005560336); Lievens, Marc (6603879458); Cowden, Jessica (55814438100); Lapierre, Didier (57191328128); Kariuki, Simon (57218105792); Ogutu, Bernhards (6701594307); Vekemans, Johan (7003555847); Hamel, Mary J (7006562065)</t>
  </si>
  <si>
    <t xml:space="preserve">57204759774; 7801551421; 9840738700; 57191431510; 57191431621; 26029494200; 56803645700; 55560463100; 54396771500; 56527095400; 57191864409; 55522429000; 6602235393; 54941217800; 54585830800; 24829500500; 6603432510; 57221755197; 55193515800; 7005560336; 6603879458; 55814438100; 57191328128; 57218105792; 6701594307; 7003555847; 7006562065</t>
  </si>
  <si>
    <t xml:space="preserve">Safety and immunogenicity of RTS,S/AS01 malaria vaccine in infants and children with WHO stage 1 or 2 HIV disease: a randomised, double-blind, controlled trial</t>
  </si>
  <si>
    <t xml:space="preserve">Background Malaria remains a major global public health concern, especially in sub-Saharan Africa. The RTS,S/AS01 malaria candidate vaccine was reviewed by the European Medicines Agency and received a positive scientific opinion; WHO subsequently recommended pilot implementation in sub-Saharan African countries. Because malaria and HIV overlap geographically, HIV-infected children should be considered for RTS,S/AS01 vaccination. We therefore aimed to assess the safety of RTS,S/AS01 in HIV-infected children at two sites in western Kenya. Methods We did a randomised, double-blind, controlled trial at the clinical trial sites of the Kenya Medical Research Institute (KEMRI)–Walter Reed Army Institute of research in Kisumu and the KEMRI/US Centers for Disease Control and Prevention in Siaya. Eligible participants were infants and children aged from 6 weeks to 17 months with WHO stage 1 or 2 HIV disease (documented positive by DNA PCR), whether or not they were receiving antiretroviral therapy (ART). We randomly assigned participants (1:1) to receive three doses of either RTS,S/AS01 or rabies vaccine (both 0·5 mL per dose by intramuscular injection), given once per month at 0, 1, and 2 months. We did the treatment allocation using a web-based central randomisation system stratified by age (6 weeks–4 months, 5–17 months), and by baseline CD4% (&lt;10, 10–14, 15–19, and ≥20). Data were obtained in an observer-blind manner, and the vaccine recipient, their parent or carer, the funder, and investigators responsible for the assessment of endpoints were all masked to treatment allocation (only staff responsible for the preparation and administration of the vaccines were aware of the assignment and these individuals played no other role in the study). We provided ART, even if the participants were not receiving ART before the study, and daily co-trimoxazole for prevention of opportunistic infections. The primary outcome was the occurrence of serious adverse events until 14 months after dose 1 of the vaccine, assessed in the intention-to-treat population. This trial was registered at ClinicalTrials.gov, number NCT01148459. Findings Between July 30, 2010, and May 24, 2013, we enrolled 200 children to our study and randomly assigned 99 to receive RTS,S/AS01 and 101 to receive rabies vaccine. 177 (89%) of the 200 children enrolled completed 14 months of follow-up. Serious adverse events were noted in 41 (41·4%, 95% CI 31·6–51·8) of 99 RTS,S/AS01 recipients and 37 (36·6%, 27·3–46·8) of 101 rabies-vaccine recipients (relative risk 1·1, 95% CI 0·8–1·6). 20 (20·2%, 95% CI 12·8–29·5) of 99 RTS,S/AS01 recipients and 12 (11·9%, 6·3–19·8) of 101 rabies-vaccine recipients had at least one serious adverse event within 30 days after vaccination, mainly pneumonia, febrile convulsions, and salmonella sepsis. Five (5·1%, 95% CI 1·7–11·4) of 99 RTS,S/AS01 recipients and four (4·0%, 1·1–9·8) of 101 rabies-vaccine recipients died, but no deaths were deemed related to vaccination. Mortality was associated with five cases of pneumonia (1% RTS,S/AS01 recipients vs 3% rabies-vaccine recipients), five cases of gastroenteritis (3% RTS,S/AS01 recipients vs 2% rabies-vaccine recipients), five cases of malnutrition (2% RTS,S/AS01 recipients vs 3% rabies-vaccine recipients), one case of sepsis (1% rabies-vaccine recipients), one case of Haemophilus influenza meningitis (1% rabies-vaccine recipients), and one case of tuberculosis (1% RTS,S/AS01 recipients). Interpretation RTS, S/AS01 was well tolerated when given to children with WHO clinical stage 1 or 2 HIV disease along with high antiretroviral and co-trimoxazole use. Children with HIV disease could be included in future RTS,S/AS01 vaccination programmes. Funding GlaxoSmithKline Biologicals SA and PATH Malaria Vaccine Initiative. © 2016 Elsevier Ltd</t>
  </si>
  <si>
    <t xml:space="preserve">The Lancet Infectious Diseases</t>
  </si>
  <si>
    <t xml:space="preserve">Lancet Publishing Group</t>
  </si>
  <si>
    <t xml:space="preserve">10.1016/S1473-3099(16)30161-X</t>
  </si>
  <si>
    <t xml:space="preserve">https://www.scopus.com/inward/record.uri?eid=2-s2.0-84990032623&amp;doi=10.1016%2fS1473-3099%2816%2930161-X&amp;partnerID=40&amp;md5=b9dfeda9d1d4e288dcb4523ca632b982</t>
  </si>
  <si>
    <t xml:space="preserve">Kenya Medical Research Institute (KEMRI)–Walter Reed Project, Kombewa, Kenya; KEMRI/Centers for Disease Control and Prevention Research and Public Health Collaboration, Kisumu, Kenya; Division of Parasitic Diseases and Malaria, Centers for Global Health, Centers for Disease Control and Prevention, Atlanta, GA, United States; GlaxoSmithKline Vaccines, Wavre, Belgium; PATH Malaria Vaccine Initiative, Washington, DC, United States</t>
  </si>
  <si>
    <t xml:space="preserve">Otieno L., Kenya Medical Research Institute (KEMRI)–Walter Reed Project, Kombewa, Kenya; Oneko M., KEMRI/Centers for Disease Control and Prevention Research and Public Health Collaboration, Kisumu, Kenya; Otieno W., Kenya Medical Research Institute (KEMRI)–Walter Reed Project, Kombewa, Kenya; Abuodha J., KEMRI/Centers for Disease Control and Prevention Research and Public Health Collaboration, Kisumu, Kenya; Owino E., Kenya Medical Research Institute (KEMRI)–Walter Reed Project, Kombewa, Kenya; Odero C., KEMRI/Centers for Disease Control and Prevention Research and Public Health Collaboration, Kisumu, Kenya; Mendoza Y.G., GlaxoSmithKline Vaccines, Wavre, Belgium; Andagalu B., Kenya Medical Research Institute (KEMRI)–Walter Reed Project, Kombewa, Kenya; Awino N., KEMRI/Centers for Disease Control and Prevention Research and Public Health Collaboration, Kisumu, Kenya; Ivinson K., PATH Malaria Vaccine Initiative, Washington, DC, United States; Heerwegh D., GlaxoSmithKline Vaccines, Wavre, Belgium; Otsyula N., Kenya Medical Research Institute (KEMRI)–Walter Reed Project, Kombewa, Kenya; Oziemkowska M., KEMRI/Centers for Disease Control and Prevention Research and Public Health Collaboration, Kisumu, Kenya; Usuf E.A., GlaxoSmithKline Vaccines, Wavre, Belgium; Otieno A., Kenya Medical Research Institute (KEMRI)–Walter Reed Project, Kombewa, Kenya; Otieno K., KEMRI/Centers for Disease Control and Prevention Research and Public Health Collaboration, Kisumu, Kenya; Leboulleux D., PATH Malaria Vaccine Initiative, Washington, DC, United States; Leach A., GlaxoSmithKline Vaccines, Wavre, Belgium; Oyieko J., Kenya Medical Research Institute (KEMRI)–Walter Reed Project, Kombewa, Kenya; Slutsker L., Division of Parasitic Diseases and Malaria, Centers for Global Health, Centers for Disease Control and Prevention, Atlanta, GA, United States; Lievens M., GlaxoSmithKline Vaccines, Wavre, Belgium; Cowden J., Kenya Medical Research Institute (KEMRI)–Walter Reed Project, Kombewa, Kenya; Lapierre D., GlaxoSmithKline Vaccines, Wavre, Belgium; Kariuki S., KEMRI/Centers for Disease Control and Prevention Research and Public Health Collaboration, Kisumu, Kenya; Ogutu B., Kenya Medical Research Institute (KEMRI)–Walter Reed Project, Kombewa, Kenya; Vekemans J., GlaxoSmithKline Vaccines, Wavre, Belgium; Hamel M.J., Division of Parasitic Diseases and Malaria, Centers for Global Health, Centers for Disease Control and Prevention, Atlanta, GA, United States</t>
  </si>
  <si>
    <t xml:space="preserve">Double-Blind Method; HIV; HIV Infections; Humans; Infant; Kenya; Malaria Vaccines; Malaria, Falciparum; Rabies Vaccines; abacavir; cotrimoxazole; lamivudine; lopinavir; malaria vaccine; nevirapine; rabies vaccine; ritonavir; virus DNA; zidovudine; malaria vaccine; rabies vaccine; abscess; amebiasis; anemia; Article; aspiration pneumonia; atypical mycobacteriosis; bronchiolitis; CD4+ T lymphocyte; cellulitis; chickenpox; child; clinical assessment; confidence interval; controlled study; convulsion; dehydration; disease course; double blind procedure; drug efficacy; drug safety; drug tolerability; enteritis; febrile convulsion; female; fever; follow up; gastroenteritis; Haemophilus meningitis; helminthiasis; hepatitis; human; Human immunodeficiency virus infected patient; Human immunodeficiency virus infection; hypokalemia; immunogenicity; infant; intention to treat analysis; Kenya; kwashiorkor; lung tuberculosis; major clinical study; malaria; male; malnutrition; measles; mortality; multicenter study; opportunistic infection; oropharynx candidiasis; otitis media; outcome assessment; pneumococcal infection; pneumococcal sepsis; Pneumocystis pneumonia; pneumonia; polymerase chain reaction; priority journal; randomized controlled trial; risk factor; salmonella sepsis; sepsis; statistical analysis; thrush; tuberculosis; upper respiratory tract infection; urinary tract infection; virus infection; world health organization; complication; Human immunodeficiency virus; Human immunodeficiency virus infection; immunology; Malaria, Falciparum</t>
  </si>
  <si>
    <t xml:space="preserve">abacavir, 136470-78-5, 188062-50-2; cotrimoxazole, 8064-90-2; lamivudine, 134678-17-4, 134680-32-3; lopinavir, 192725-17-0; nevirapine, 129618-40-2; ritonavir, 155213-67-5; zidovudine, 30516-87-1; Malaria Vaccines, ; Rabies Vaccines, </t>
  </si>
  <si>
    <t xml:space="preserve">rts s as 01, Glaxo SmithKline, Belgium</t>
  </si>
  <si>
    <t xml:space="preserve">Glaxo SmithKline, Belgium</t>
  </si>
  <si>
    <t xml:space="preserve">GSK Biologicals SA; MVI; PATH Malaria Vaccine Initiative; Bill and Melinda Gates Foundation, BMGF; GlaxoSmithKline, GSK</t>
  </si>
  <si>
    <t xml:space="preserve">The trial was sponsored by GlaxoSmithKline (GSK) Biologicals SA, the vaccine developer and manufacturer, and funded by GSK Biologicals SA and the PATH Malaria Vaccine Initiative (MVI). All centres received a grant from MVI for running the trial. Author travel and accommodation related to this trial were financed by both GSK and MVI. GSK Biologicals SA received a grant from MVI to run the trial. MVI received a grant from the Bill &amp; Melinda Gates Foundation to run this trial and to compensate MVI authors for trial-related travel. YGM, DLa, AL, ML, and JV are employees, and DH a former consultant, of the GSK group of companies. EAU is a former WHO TDR fellow at GSK. YGM, DLa, AL, ML, and JV have shares or stock options in the GSK group of companies. KI and CO are employees, and DLe a former employee, of the PATH MVI. LO's institution received a grant from GSK and MVI to do other malaria studies. LO received support from GSK to attend scientific conferences and funding from GSK for his grant from Trust in Science Africa. NO received support from GSK to attend scientific conferences. All other authors declare no competing interests. </t>
  </si>
  <si>
    <t xml:space="preserve">World Malaria Report 2015; Greenwood B.M., Fidock D.A., Kyle D.E., Et al., Malaria: progress, perils and prospects for eradication, J Clin Invest, 118, pp. 1266-1276, (2008); Global Report on AIDS, (2013); Cohen J., Nussenzweig V., Nussenzweig R., Vekemans J., Leach A., From the circumsporozoite protein to the RTS,S/AS candidate vaccine, Hum Vaccin, 6, pp. 90-96, (2010); Casaresa S., Brumeanub T.D., Richie T.L., The RTS, S malaria vaccine, Vaccine, 28, pp. 4880-4894, (2010); Efficacy and safety of RTS,S/AS01 malaria vaccine with or without a booster dose in infants and children in Africa: final results of a phase 3, individually randomised, controlled trial, Lancet, 386, pp. 31-45, (2015); A phase 3 trial of RTS,S/AS01 malaria vaccine in African infants, N Engl J Med, 367, pp. 2284-2295, (2012); First results of phase 3 trial of RTS, S/AS01 malaria vaccine in African children, N Engl J Med, 365, pp. 1863-1875, (2011); First malaria vaccine receives positive scientific opinion from EMA; Malaria vaccine: WHO position paper-January 2016, Wkly Epidemiol Rec, 91, pp. 33-52, (2016); Malaria and HIV interactions and their implications for public health policy. Report of a Technical Consultation, (2004); Cuadros D.F., Branscum A.J., Crowley P.H., HIV–malaria co-infection: effects of malaria on the prevalence of HIV in east sub-Saharan Africa, Int J Epidemiol, 40, pp. 931-939, (2011); Moss W.J., Clements C.J., Halsey N.A., Immunization of children at risk of infection with human immunodeficiency virus, Bull World Health Organ, 81, pp. 61-70, (2003); Annual Malaria Report July, 2012, to June, 2013; Kohler P.K., Okanda J., Kinuthia J., Et al., Community-based evaluation of PMTCT uptake in Nyanza Province, Kenya, PLoS One, 9, (2014); Thomas T.K., Masaba R., Borkowf C.B., Et al., Triple-antiretroviral prophylaxis to prevent mother-to-child HIV transmission through breastfeeding—the Kisumu breastfeeding study, Kenya: a clinical trial, PLoS Med, 8, (2011); Bonhoeffer J., Menkes J., Gold M.S., Et al., Generalized convulsive seizure as an adverse event following immunization: case definition and guidelines for data collection, analysis, and presentation, Vaccine, 22, pp. 557-562, (2004); Verbal autopsy standards: ascertaining and attributing cause of death, (2007); Clement F., Dewar V., Van Braeckel E., Et al., Validation of an enzyme-linked immunosorbent assay for the quantification of human IgG directed against the repeat region of the circumsporozoite protein of the parasite Plasmodium falciparum, Malar J, 11, (2012); Vickers A.J., The use of percentage change from baseline as an outcome in a controlled trial is statistically inefficient: a simulation study, BMC Med Res Methodol, 1, (2001); Vekemans J., Guerra Y., Lievens M., Et al., Pooled analysis of safety data from pediatric phase II RTS,S/AS malaria candidate vaccine trials, Hum Vaccin, 7, pp. 1309-1316, (2011); Brichacek B., Swindells S., Janoff E.N., Pirruccello S., Stevenson M., Increased plasma human immunodeficiency virus type 1 burden following antigenic challenge with pneumococcal vaccine, J Infect Dis, 174, pp. 1191-1199, (1996); Gunthard H.F., Wong J.K., Spina C.A., Et al., Effect of influenza vaccination on viral replication and immune response in persons infected with human immunodeficiency virus receiving potent antiretroviral therapy, J Infect Dis, 181, pp. 522-531, (2000); Cheeseman S.H., Davaro R.E., Ellison R.T., Hepatitis B vaccination and plasma HIV-1 RNA, N Engl J Med, 334, (1996); Geretti A.M., Brooks G., Cameron C., Et al., British HIV Association guidelines on the use of vaccines in HIV-positive adults, (2015); Kim H.N., Harrington R.D., Crane H.M., Dhanireddy S., Dellit T.H., Spach D.H., Hepatitis B vaccination in HIV-infected adults: current evidence, recommendations and practical considerations, Int J STD AIDS, 20, pp. 595-600, (2009); Kroon F.P., van Dissel J.T., de Jong J.C., Zwinderman K., van Furth R., Antibody response after influenza vaccination in HIV-infected individuals: a consecutive 3-year study, Vaccine, 18, pp. 3040-3049, (2000); Efficacy and safety of the RTS,S/AS01 malaria vaccine during 18 months after vaccination: a phase 3 randomized, controlled trial in children and young infants at 11 African sites, PLoS Med, 11, (2014); Manyando C., Njunju E.M., D'Alessandro U., Van Geertruyden J.P., Safety and efficacy of co-trimoxazole for treatment and prevention of Plasmodium falciparum malaria: a systematic review, PLoS One, 8, (2013); Ockenhouse C.F., Regules J., Tosh D., Et al., Ad35.CS.01-RTS,S/AS01 heterologous prime boost vaccine efficacy against sporozoite challenge in healthy malaria-naive adults, PLoS One, 10, (2015)</t>
  </si>
  <si>
    <t xml:space="preserve">L. Otieno; KEMRI–Walter Reed Project, Kisumu, 40100, Kenya; email: Lucas.Tina@usamru-k.org</t>
  </si>
  <si>
    <t xml:space="preserve">LIDAB</t>
  </si>
  <si>
    <t xml:space="preserve">Lancet Infect. Dis.</t>
  </si>
  <si>
    <t xml:space="preserve">2-s2.0-84990032623</t>
  </si>
  <si>
    <t xml:space="preserve">Ouedraogo H.; Drabo F.; Zongo D.; Bagayan M.; Bamba I.; Pima T.; Yago-Wienne F.; Toubali E.; Zhang Y.</t>
  </si>
  <si>
    <t xml:space="preserve">Ouedraogo, Hamado (15064702300); Drabo, François (54882264600); Zongo, Dramane (24922269200); Bagayan, Mohamed (57039124500); Bamba, Issouf (36986704300); Pima, Tiba (57039179700); Yago-Wienne, Fanny (57039120200); Toubali, Emily (55159703900); Zhang, Yaobi (14625801100)</t>
  </si>
  <si>
    <t xml:space="preserve">15064702300; 54882264600; 24922269200; 57039124500; 36986704300; 57039179700; 57039120200; 55159703900; 14625801100</t>
  </si>
  <si>
    <t xml:space="preserve">Schistosomiasis in school-age children in Burkina Faso after a decade of preventive chemotherapy; [La schistosomiase chez les enfants d’âge scolaire au Burkina Faso après une décennie de chimiothérapie préventive]; [La esquistosomiasis en los niños en edad escolar de Burkina Faso tras una década de quimioterapia preventiva]</t>
  </si>
  <si>
    <t xml:space="preserve">Objective To assess the impact of a decade of biennial mass administration of praziquantel on schistosomiasis in school-age children in Burkina Faso. Methods In 2013, in a national assessment based on 22 sentinel sites, 3514 school children aged 7–11 years were checked for Schistosoma haematobium and Schistosoma mansoni infection by the examination of urine and stool samples, respectively. We analysed the observed prevalence and intensity of infections and compared these with the relevant results of earlier surveys in Burkina Faso. Findings S. haematobium was detected in 287/3514 school children (adjusted prevalence: 8.76%, range across sentinel sites: 0.0–56.3%; median: 2.5%). The prevalence of S. haematobium infection was higher in the children from the Centre-Est, Est and Sahel regions than in those from Burkina Faso’s other eight regions with sentinel sites (P &lt; 0.001). The adjusted arithmetic mean intensity of S. haematobium infection, among all children, was 6.0 eggs per 10 ml urine. Less than 1% of the children in six regions had heavy S. haematobium infections – i.e. at least 50 eggs per 10 ml urine – but such infections were detected in 8.75% (28/320) and 11.56% (37/320) of the children from the Centre-Est and Sahel regions, respectively. Schistosoma mansoni was only detected in two regions and 43 children – i.e. 1 (0.31%) of the 320 from Centre-Sud and 42 (8.75%) of the 480 from Hauts Bassins. Conclusion By mass use of preventive chemotherapy, Burkina Faso may have eliminated schistosomiasis as a public health problem in eight regions and controlled schistosome-related morbidity in another three regions. © 2015, World Health Organization. All rights reserved.</t>
  </si>
  <si>
    <t xml:space="preserve">Bulletin of the World Health Organization</t>
  </si>
  <si>
    <t xml:space="preserve">World Health Organization</t>
  </si>
  <si>
    <t xml:space="preserve">10.2471/BLT.15.161885</t>
  </si>
  <si>
    <t xml:space="preserve">https://www.scopus.com/inward/record.uri?eid=2-s2.0-84953314375&amp;doi=10.2471%2fBLT.15.161885&amp;partnerID=40&amp;md5=a25bfa246225b9eae2534eb7ec3474d3</t>
  </si>
  <si>
    <t xml:space="preserve">Ministère de la Sante, Ouagadougou, Burkina Faso; Institut de Recherche en Sciences de la Santé, Ouagadougou, Burkina Faso; Helen Keller International, Ouagadougou, Burkina Faso; Helen Keller International, New York, United States; Helen Keller International, Regional Office for Africa, BP 29.898, Dakar-Yoff, Senegal</t>
  </si>
  <si>
    <t xml:space="preserve">Ouedraogo H., Ministère de la Sante, Ouagadougou, Burkina Faso; Drabo F., Ministère de la Sante, Ouagadougou, Burkina Faso; Zongo D., Institut de Recherche en Sciences de la Santé, Ouagadougou, Burkina Faso; Bagayan M., Institut de Recherche en Sciences de la Santé, Ouagadougou, Burkina Faso; Bamba I., Helen Keller International, Ouagadougou, Burkina Faso; Pima T., Helen Keller International, Ouagadougou, Burkina Faso; Yago-Wienne F., Helen Keller International, Ouagadougou, Burkina Faso; Toubali E., Helen Keller International, New York, United States; Zhang Y., Helen Keller International, Regional Office for Africa, BP 29.898, Dakar-Yoff, Senegal</t>
  </si>
  <si>
    <t xml:space="preserve">Animals; Anthelmintics; Burkina Faso; Chemoprevention; Child; Cost-Benefit Analysis; Endemic Diseases; Feces; Female; Humans; Male; National Health Programs; Praziquantel; Prevalence; Program Evaluation; Schistosoma haematobium; Schistosomiasis haematobia; School Health Services; Urine; Burkina Faso; Cameroon; Sahel [Sub-Saharan Africa]; South Region; Gempylidae; Schistosoma; Schistosoma haematobium; Schistosoma mansoni; praziquantel; anthelmintic agent; praziquantel; chemotherapy; child health; disease prevalence; infectious disease; morbidity; public health; schistosomiasis; urine; Article; Burkina Faso; child; female; gender; health care cost; health program; human; major clinical study; male; Schistosoma haematobium; Schistosoma mansoni; schistosomiasis; school child; animal; chemoprophylaxis; cost benefit analysis; drug effects; economics; Endemic Diseases; evaluation study; feces; isolation and purification; organization and management; parasitology; prevalence; procedures; program evaluation; public health; schistosomiasis haematobia; school health service; statistics and numerical data; urine</t>
  </si>
  <si>
    <t xml:space="preserve">praziquantel, 55268-74-1; Anthelmintics, ; Praziquantel, </t>
  </si>
  <si>
    <t xml:space="preserve">Schistosomiasis: Number of people treated worldwide in 2013, Wkly Epidemiol Rec, 90, 5, pp. 25-32, (2015); Colley D.G., Bustinduy A.L., Secor W.E., King C.H., Human schistosomiasis, Lancet, 383, 9936, pp. 2253-2264, (2014); Resolution WHA54.19 Schistosomiasis and soil-transmitted helminth infections, (2001); Savioli L., Gabrielli A.F., Montresor A., Chitsulo L., Engels D., Schistosomiasis control in Africa: 8 years after World Health Assembly Resolution 54.19, Parasitology, 136, 13, pp. 1677-1681, (2009); Fenwick A., Webster J.P., Bosque-Oliva E., Blair L., Fleming F.M., Zhang Y., Et al., The Schistosomiasis Control Initiative (SCI): Rationale, development and implementation from 2002-2008, Parasitology, 136, 13, pp. 1719-1730, (2009); Preventive chemotherapy in human helminthiasis: Coordinated use of anthelminthic drugs in control interventions, (2006); Resolution WHA65.21 Elimination of schistosomiasis, (2012); Rapport des travaux de la reunion des experts sur la revue des strategies de lutte contre les schistosomiases et les geo helminthiases au Burkina Faso, (2013); Doumenge J.P., Burkina Faso, Atlas of global distribution of schistosomiasis, pp. 69-72, (1987); Chitsulo L., Engels D., Montresor A., Savioli L., The global status of schistosomiasis and its control, Acta Trop, 77, 1, pp. 41-51, (2000); Poda J.N., Traore A., Sondo B.K., [Schistosomiasis endemic in Burkina Faso], Bull Soc Pathol Exot, 97, 1, pp. 47-52, (2004); Garba A., Toure S., Dembele R., Boisier P., Tohon Z., Bosque-Oliva E., Et al., Present and future schistosomiasis control activities with support from the Schistosomiasis Control Initiative in West Africa, Parasitology, 136, 13, pp. 1731-1737, (2009); Gabrielli A.F., Toure S., Sellin B., Sellin E., Ky C., Ouedraogo H., Et al., A combined school-and community-based campaign targeting all school-age children of Burkina Faso against schistosomiasis and soil-transmitted helminthiasis: Performance, financial costs and implications for sustainability, Acta Trop, 99, 2-3, pp. 234-242, (2006); Clements A.C., Garba A., Sacko M., Toure S., Dembele R., Landoure A., Et al., Mapping the probability of schistosomiasis and associated uncertainty, West Africa, Emerg Infect Dis, 14, 10, pp. 1629-1632, (2008); Toure S., Zhang Y., Bosque-Oliva E., Ky C., Ouedraogo A., Koukounari A., Et al., Two-year impact of single praziquantel treatment on infection in the national control programme on schistosomiasis in Burkina Faso, Bull World Health Organ, 86, 10, pp. 780-787, (2008); Linehan M., Hanson C., Weaver A., Baker M., Kabore A., Zoerhoff K.L., Et al., Integrated implementation of programs targeting neglected tropical diseases through preventive chemotherapy: Proving the feasibility at national scale, Am J Trop Med Hyg, 84, 1, pp. 5-14, (2011); Koukounari A., Gabrielli A.F., Toure S., Bosque-Oliva E., Zhang Y., Sellin B., Et al., Schistosoma haematobium infection and morbidity before and after large-scale administration of praziquantel in Burkina Faso, J Infect Dis, 196, 5, pp. 659-669, (2007); Prevention and control of schistosomiasis and soil-transmitted helminthiasis, World Health Organ Tech Rep Ser, 912, (2002); Contrôle des schistosomiases et géo helminthiases au Burkina Faso: Cas des régions du Centre et du Plateau Central [rapport technique d'exécution], (2013); Schistosomiasis: Progress report 2001-2011 and strategic plan 2012-2020, (2012); Helminth control in school-age children: A guide for managers of control programmes, (2012); Savioli L., Hatz C., Dixon H., Kisumku U.M., Mott K.E., Control of morbidity due to Schistosoma haematobium on Pemba Island: Egg excretion and hematuria as indicators of infection, Am J Trop Med Hyg, 43, 3, pp. 289-295, (1990); Richter J., The impact of chemotherapy on morbidity due to schistosomiasis, Acta Trop, 86, 2-3, pp. 161-183, (2003); Ibrahim B., Polcher J., Karambiri H., Rockel R., Characterization of the rainy season in Burkina Faso and it's representation by regional climate models, Clim Dyn, 39, 6, pp. 1287-1302, (2012); Water supply and sanitation in Burkina Faso [Internet], (2010); Garba A., Campagne G., Tassie J.M., Barkire A., Vera C., Sellin B., Et al., [Long-term impact of a mass treatment by praziquantel on morbidity due to Schistosoma haematobium in two hyperendemic villages of Niger], Bull Soc Pathol Exot, 97, 1, pp. 7-11, (2004); Sellin B., Simonkovich E., Sellin E., Rey J.L., Mouchet F., [Course of urinary schistosomiasis over 3 consecutive years after treatment with metrifonate in a dry savanna village in Upper Volta], Med Trop (Mars), 44, 4, pp. 357-359, (1984); Accelerating work to overcome the global impact of neglected tropical diseases-a roadmap for implementation, (2012); Rollinson D., Knopp S., Levitz S., Stothard J.R., Tchuem Tchuente L.A., Garba A., Et al., Time to set the agenda for schistosomiasis elimination, Acta Trop, 128, 2, pp. 423-440, (2013); Price A., Verma A., Welfare W., Are health education interventions effective for the control and prevention of urogenital schistosomiasis in sub-Saharan Africa? A systematic review, Trans R Soc Trop Med Hyg, 109, 4, pp. 239-244, (2015); Grimes J.E., Croll D., Harrison W.E., Utzinger J., Freeman M.C., Templeton M.R., The relationship between water, sanitation and schistosomiasis: A systematic review and meta-analysis, PLoS Negl Trop Dis, 8, 12, (2014); Knopp S., Mohammed K.A., Ali S.M., Khamis I.S., Ame S.M., Albonico M., Et al., Study and implementation of urogenital schistosomiasis elimination in Zanzibar (Unguja and Pemba islands) using an integrated multidisciplinary approach, BMC Public Health, 12, 1, (2012)</t>
  </si>
  <si>
    <t xml:space="preserve">Y. Zhang; Helen Keller International, Regional Office for Africa, Dakar-Yoff, BP 29.898, Senegal; email: yzhang@hki.org</t>
  </si>
  <si>
    <t xml:space="preserve">BWHOA</t>
  </si>
  <si>
    <t xml:space="preserve">Bull. WHO</t>
  </si>
  <si>
    <t xml:space="preserve">2-s2.0-84953314375</t>
  </si>
  <si>
    <t xml:space="preserve">Etewa S.E.; Abd Allah S.H.; Badawey M.S.R.; Shalaby S.M.; El-Shal A.S.; El Shafey M.A.; Bareedy M.H.; Sarhan M.H.</t>
  </si>
  <si>
    <t xml:space="preserve">Etewa, Samia E. (6602580860); Abd Allah, Somia H. (52263269800); Badawey, Maha S R (57201359093); Shalaby, Sally M. (35086848200); El-Shal, Amal S. (37072105800); El Shafey, Mahmoud A. (56338813400); Bareedy, Mohamed H. (6508011314); Sarhan, Mohamed H. (57199499978)</t>
  </si>
  <si>
    <t xml:space="preserve">6602580860; 52263269800; 57201359093; 35086848200; 37072105800; 56338813400; 6508011314; 57199499978</t>
  </si>
  <si>
    <t xml:space="preserve">THE EFFECT OF STEM CELLS AS AN ADJUVANT ON THE IMMUNOGENICITY OF A POTENTIAL ANTI-SCHISTOSOMAL VACCINE IN MICE</t>
  </si>
  <si>
    <t xml:space="preserve">Vaccination against schistosomes can be targeted towards the prevention of infection and/or to the reduction of parasite fecundity and pathology. However, as eggs are responsible mainly for schistosomiasis pathology, so crude soluble egg antigen (SEA) seems suitable to be used as a potential vaccine. Many studies have provided new insights establishing a role for mesenchymal stem cells (MSCs) in liver regeneration and improvement of schistosomiasis hepatic fibrosis, in addition to the need for standardized and effective adjuvant-vaccine formulations. So, the aim of this work is to evaluate the effect of stem cells when used as an adjuvant of a potential anti-schistosomal vaccine (crude SEA) in murine models. The current work was carried out on 100 mice (30 males for harvesting MSCs + 70 females for seven study groups, each of 10). A schedule of vaccination and challenge infection was followed so, GI (control healthy), G2 (control infected only) infected subcutaneously with S. mansoni cercaria (80-90 Schistosoma mansoni cercariae suspended in 0.2 ml distilled Water), G 3 (FCA then infected) received Freund's complete adjuvant (FCA) then infected, G4 (MSCs then infected) received MSCs then infected, G5 (SEA then infected) received SEA vaccine then infected, G6 (SEA+FCA then infected) received SEA vaccine and FCA then infected, G7 (SEA+MSCs then infected) received SEA vaccine and MSCs then infected. The current work was assessed by histopathological study and morphometric analysis (using H&amp;E and Masson's Trichrome stains) to highlight number, size and type of liver granulomas and percentage of liver fibrosis, immunological and molecular studies (RNA extraction, Re- verse Transcriptase and PCR technique) for detection of interleukin-10 mRNA gene expression in liver tissue by reverse transcriptase &amp; polymerase chain reaction (RT &amp; PCR). The results showed that a- SEA alone as a potential anti-schistosomal vaccine was more or less moderately protective, b- MSCs alone before the infection had mild prophylactic effects, c- MSCs as an adjuvant of the crude SEA increased its capabilities with highly significant results regarding the decrease in granuloma number, size, percentage and density of hepatic fi- brosis, and d-There was significant increase in IL-10 mRNA gene expression on using (SEA+MSCs) (G7) if compared to other tested groups.</t>
  </si>
  <si>
    <t xml:space="preserve">Journal of the Egyptian Society of Parasitology</t>
  </si>
  <si>
    <t xml:space="preserve">10.12816/0033990</t>
  </si>
  <si>
    <t xml:space="preserve">https://www.scopus.com/inward/record.uri?eid=2-s2.0-85055078912&amp;doi=10.12816%2f0033990&amp;partnerID=40&amp;md5=d7df04b96588a779684cc7abb8c5a625</t>
  </si>
  <si>
    <t xml:space="preserve">Animals; Biomarkers; Bone Marrow Cells; Female; Gene Expression Regulation; Interleukin-10; Male; Membrane Proteins; Mesenchymal Stromal Cells; Mice; Protozoan Vaccines; RNA, Messenger; Schistosomiasis mansoni; biological marker; interleukin 10; membrane protein; messenger RNA; protozoal vaccine; animal; blood; bone marrow cell; drug effect; female; gene expression regulation; genetics; immunology; male; mesenchymal stroma cell; metabolism; mouse; schistosomiasis mansoni</t>
  </si>
  <si>
    <t xml:space="preserve">Biomarkers, ; Interleukin-10, ; Membrane Proteins, ; Protozoan Vaccines, ; RNA, Messenger, </t>
  </si>
  <si>
    <t xml:space="preserve">J Egypt Soc Parasitol</t>
  </si>
  <si>
    <t xml:space="preserve">2-s2.0-85055078912</t>
  </si>
  <si>
    <t xml:space="preserve">Nagagi Y.P.; Silayo R.S.; Kweka E.J.</t>
  </si>
  <si>
    <t xml:space="preserve">Nagagi, Yakob P. (57190401911); Silayo, Richard S. (6603650919); Kweka, Eliningaya J. (22980582800)</t>
  </si>
  <si>
    <t xml:space="preserve">57190401911; 6603650919; 22980582800</t>
  </si>
  <si>
    <t xml:space="preserve">Trypanocidal activity of ethanolic extracts of Commiphora swynnertonii Burtt on Trypanosoma congolense</t>
  </si>
  <si>
    <t xml:space="preserve">Background: African trypanosomosis is the disease caused by extracellular protozoan parasites of the genus Trypanosoma transmitted by tsetse flies. The current study has evaluated the trypanocidal activity of Commiphora swynnertonii extracts on Trypanosoma congolense. Methods: The effect of ethanolic stem bark and resinous extracts on motility of T. congolense was evaluated by in vitro study at concentrations of 2 mg/ml and 4 mg/ml. Then, trypanocidal activity was evaluated by drug incubation infectivity test using mice at concentrations of 0.4 mg/ml and 2 mg/ml. In both studies negative (without drug) and positive (diminazene diaceturate) controls were used. Results: The in vitro study showed that, ethanolic stem bark extract of C. swynnertonii at concentration of 4 mg/ml caused complete cessation of motility for T. congolense in 30 min. However, resinous ethanolic extract had delayed effect on cessation of motility of T. congolense observed at 90 and 100 min post-incubation at concentrations of 4 mg/ml and 2 mg/ml respectively. The drug incubation infectivity test study depicted that ethanolic stem bark extract at concentration of 2 mg/ml significantly (p = 0.000) reduced the infectivity of T. congolense in mice. However, it did not vary significantly (P =0.897) with group treated with diminazene diaceturate incubated mixture. Conclusion: The current study has provided evidence that, ethanolic stem bark extract of C. swynnertonii possess trypanocidal activity against T. congolense. Based on these findings, further studies are recommended to determine its potential as a lead to trypanocidal drug discovery. © 2016 The Author(s).</t>
  </si>
  <si>
    <t xml:space="preserve">BMC Complementary and Alternative Medicine</t>
  </si>
  <si>
    <t xml:space="preserve">10.1186/s12906-016-1191-0</t>
  </si>
  <si>
    <t xml:space="preserve">https://www.scopus.com/inward/record.uri?eid=2-s2.0-84979729478&amp;doi=10.1186%2fs12906-016-1191-0&amp;partnerID=40&amp;md5=9d9770ea7c3e03089576d2ff22596cf0</t>
  </si>
  <si>
    <t xml:space="preserve">Sokoine University of Agriculture, Department of Veterinary Microbiology and Parasitology, Faculty of Veterinary Medicine, CHUO KIKUU, P. O. Box 3019, Morogoro, Tanzania; Tropical Pesticides Research Institute, Division of Livestock and Human Diseases Vector Control, P.O. Box 3024, Arusha, Tanzania; Catholic University of Health and Allied Sciences, Department of Medical Parasitology and Entomology, P.O. Box 1464, Mwanza, Tanzania</t>
  </si>
  <si>
    <t xml:space="preserve">Nagagi Y.P., Sokoine University of Agriculture, Department of Veterinary Microbiology and Parasitology, Faculty of Veterinary Medicine, CHUO KIKUU, P. O. Box 3019, Morogoro, Tanzania, Tropical Pesticides Research Institute, Division of Livestock and Human Diseases Vector Control, P.O. Box 3024, Arusha, Tanzania; Silayo R.S., Sokoine University of Agriculture, Department of Veterinary Microbiology and Parasitology, Faculty of Veterinary Medicine, CHUO KIKUU, P. O. Box 3019, Morogoro, Tanzania; Kweka E.J., Tropical Pesticides Research Institute, Division of Livestock and Human Diseases Vector Control, P.O. Box 3024, Arusha, Tanzania, Catholic University of Health and Allied Sciences, Department of Medical Parasitology and Entomology, P.O. Box 1464, Mwanza, Tanzania</t>
  </si>
  <si>
    <t xml:space="preserve">Commiphora swynnertonii; Trypanocidal activity; Trypanosoma congolense</t>
  </si>
  <si>
    <t xml:space="preserve">Animals; Commiphora; Ethanol; Female; Male; Mice; Plant Extracts; Trypanocidal Agents; Trypanosoma congolense; Trypanosomiasis, African; Commiphora swynnertonii extract; diminazene aceturate; plant extract; unclassified drug; alcohol; antitrypanosomal agent; plant extract; Article; bark; Commiphora swynnertonii; controlled study; drug activity; in vitro study; incubation time; medicinal plant; nonhuman; parasite load; plant stem; trypanocidal activity; Trypanosoma; Trypanosoma congolense; trypanosomiasis; African trypanosomiasis; animal; chemistry; Commiphora; drug effects; female; male; mouse; parasitology</t>
  </si>
  <si>
    <t xml:space="preserve">diminazene aceturate, 908-54-3; alcohol, 64-17-5; Ethanol, ; Plant Extracts, ; Trypanocidal Agents, </t>
  </si>
  <si>
    <t xml:space="preserve">Steverding D., The history of African trypanosomiasis, Parasit Vectors, 1, (2008); Swallow B., Impacts of Trypanosomiasis on African Agriculture, (2000); Balasegaram M., Balasegaram S., Malvy D., Millet P., Neglected diseases in the news: a content analysis of recent international media coverage focusing on leishmaniasis and trypanosomiasis, PLoS Negl Trop Dis, 2, (2008); Fevre E., Wissmann B., Welburn S., Lutumba P., The Burden of Human African Trypanosomiasis, PLoS Negl Trop Dis, 2, (2008); Malvy D., Chappuis F., Sleeping sickness, Clin Microbiol Infect, 17, pp. 986-995, (2011); Simarro P., Cecchi G., Franco J., Paone M., Diarra A., Ruiz-Postigo J., Et al., Estimating and Mapping the Population at Risk of Sleeping Sickness, PLoS Negl Trop Dis, 6, (2012); Shaw A., Economics of African Trypanosomiasis, Trypanos, pp. 369-402, (2004); Daffa J., Tsetse and Trypanosomosis control activities in Tanzania, 2007-2009, Proc. 30th Bienn. Conf. Int. Sci. Counc. Trypanos. Res. Control., (2011); Silayo R., Silayo F., Efficacy of repeat and combination treatment with Diminazene aceturate and/or Isometamidium chloride against drug resistant Trypanosoma congolense., Tanzania Vet Bull, 10, pp. 26-35, (1990); Ellis G., West G., Progress in Medicinal Chemistry, (1963); Kalala W., Magadula J., Mdegela R., Ethnobotanical use of Commiphora swynnertonii Burtt. amongs Dorobo people in Tanzania, J Med Plant Res, 8, pp. 820-828, (2014); Bakari G., Max R., Mdegela R., Phiri E., Mtambo M., Antibacterial and antifungal activity of Commiphora swynnertonii (Burtt) against selected pathogens of public health importance, Res J Biol Sci, 6, pp. 175-179, (2011); Mkangara M., Chacha M., Kazyoba P., Antimicrobial and Cytotoxicity Efficacy of Commiphora swynnertonii (Burtt) Extracts, Int. J. Sci. Res., 3, pp. 1611-1615, (2014); Bakari G., Max R., Mdegela R., Phiri E., Mtambo M., Antiviral activity of crude extracts from Commiphora swynnertonii against Newcastle disease virus in ovo, Trop Anim Health Prod, 44, pp. 1389-1393, (2012); Bakari G., Max R., Mdegela R., Phiri E., Mtambo M., Efficacy of resinous extract from Commiphora swynnertonii (Burtt) against Newcastle infection in chicken, Int J Med Plants Res, 2, pp. 156-161, (2013); Bakari G., Max R., Mdegela R., Phiri E., Mtambo M., Effect of resinous extract from Commiphora swynnertonii (Burtt) on experimental coccidial infection in chickens, Trop Anim Health Prod, 45, pp. 455-459, (2012); Kaoneka B., Mollel M., Acaricidal activities of extracts of Commiphora swynertonii Burtt (Burseraceae), Melia volkensii Gürke, Turraea abyssinica Hotchst, Turraea floribunda Hochst and Turraea cornucopia Styles &amp; F. White (Meliaceae) against the brown ear tick Rhipicephalus appendiculatus Neumann, J Open Univ Tanzania, 10, pp. 25-34, (2012); Kaoneka B., Mollel M., Lyatuu F., Leaf essential oil composition and tick repellency activity of Commiphora swynnertonii Burtt, J Biol Res, 8, pp. 213-216, (2007); Kalala W., Magadula J., Mdegela H., Evaluating Acaricidal activity of Commiphora swynnertonii (Burtt.) bark exudates against common ticks in Tanzania, Int J Herb Med, 2, pp. 19-25, (2014); Ibrahim M., Mohammed A., Isah M., Aliyu A., Anti-trypanosomal activity of African medicinal plants: A review update, J Ethnopharmacol, 154, pp. 26-54, (2014); Mikail H., In vitro trypanocidal effect of methanolic extract of Sclerocarya birrea, Commiphora kerstingii and Khaya senegalensis, African J Biotechnol, 8, pp. 2047-2049, (2009); Aliyu R., Gatsing D., Umar H., Antimicrobial activity and phytochemical screening of the leaves of Commiphora Africana, West African J Biol Sci, 13, pp. 75-80, (2002); Saeidnia S., Gohari A., Haddadi A., Biogenic trypanocidal sesquiterpenes: lead compounds to design future trypanocidal drugs - a mini review, DARU J. Pharm. Sci., 21, (2013); Herbert W., Lumsden W., Trypanosoma brucei: A Rapid Matching Method for Estimating Host Parasitemia, Exp Parasitol, 40, pp. 427-431, (1976); Atawodi S., Bulus T., Ibrahim S., Ameh D., Nok A., Mamman M., Et al., In vitro Trypanocidal Effect of Methanolic Extract of Some Nigerian Savanna Plants, African J Biotechnol, 2, pp. 317-321, (2003); Ene A., Edeh N., Bonny-okoli C., Ojiako O., Ujowundu C., Igwe C., In vitro and in vivo Antitrypanosomal Effect of Methanol and Aqueous Extract of Picralima nitida, Br J Pharm Res, 4, pp. 644-653, (2014); Obaineh O., Shadrach A., Phytochemical constituents and medicinal properties of different extracts of Anacardium occidentale and Psidium guajava, Asian J Biomed Pharm Sci, 3, (2013); Chaves P., Santana C., Veras G., Brandao D., Felismino D., Medeiros A., Et al., Seasonal variation in the production of secondary metabolites and antimicrobial activity of two plants species used in Brazilian traditional medicine, African J Biotechnol, 12, pp. 847-853, (2013); Bakari G., Biological Activity of Extracts from Commiphora swynnertonii against Microbes of Veterinary Importance in Chickens, (2013); Freiburghaus F., Jonker S., Nkunya M., Mwasumbi L., Brun R., In vitro trypanocidal activity of some rare Tanzanian medicinal plants, Acta Trop, 66, pp. 79-83, (1997)</t>
  </si>
  <si>
    <t xml:space="preserve">Y.P. Nagagi; Sokoine University of Agriculture, Department of Veterinary Microbiology and Parasitology, Faculty of Veterinary Medicine, Morogoro, CHUO KIKUU, P. O. Box 3019, Tanzania; email: petnagagi@yahoo.com</t>
  </si>
  <si>
    <t xml:space="preserve">BCAMC</t>
  </si>
  <si>
    <t xml:space="preserve">BMC Complement. Altern. Med.</t>
  </si>
  <si>
    <t xml:space="preserve">2-s2.0-84979729478</t>
  </si>
  <si>
    <t xml:space="preserve">Castro-Sesquen Y.E.; Gilman R.H.; Mejia C.; Clark D.E.; Choi J.; Reimer-McAtee M.J.; Castro R.; Valencia-Ayala E.; Flores J.; Bowman N.; Castillo-Neyra R.; Torrico F.; Liotta L.; Bern C.; Luchini A.</t>
  </si>
  <si>
    <t xml:space="preserve">Castro-Sesquen, Yagahira E. (49862698700); Gilman, Robert H. (57202677769); Mejia, Carolina (57055338900); Clark, Daniel E. (57143307300); Choi, Jeong (56469954600); Reimer-McAtee, Melissa J. (56685637500); Castro, Rosario (56684179600); Valencia-Ayala, Edward (56577697900); Flores, Jorge (57143627700); Bowman, Natalie (57196511939); Castillo-Neyra, Ricardo (38761061900); Torrico, Faustino (6602160843); Liotta, Lance (35394613100); Bern, Caryn (7005785891); Luchini, Alessandra (36086501700)</t>
  </si>
  <si>
    <t xml:space="preserve">49862698700; 57202677769; 57055338900; 57143307300; 56469954600; 56685637500; 56684179600; 56577697900; 57143627700; 57196511939; 38761061900; 6602160843; 35394613100; 7005785891; 36086501700</t>
  </si>
  <si>
    <t xml:space="preserve">Use of a Chagas Urine Nanoparticle Test (Chunap) to Correlate with Parasitemia Levels in T. cruzi/HIV Co-infected Patients</t>
  </si>
  <si>
    <t xml:space="preserve">Background: Early diagnosis of reactivated Chagas disease in HIV patients could be lifesaving. In Latin America, the diagnosis is made by microscopical detection of the T. cruzi parasite in the blood; a diagnostic test that lacks sensitivity. This study evaluates if levels of T. cruzi antigens in urine, determined by Chunap (Chagas urine nanoparticle test), are correlated with parasitemia levels in T. cruzi/HIV co-infected patients. Methodology/Principal Findings: T. cruzi antigens in urine of HIV patients (N = 55: 31 T. cruzi infected and 24 T. cruzi serology negative) were concentrated using hydrogel particles and quantified by Western Blot and a calibration curve. Reactivation of Chagas disease was defined by the observation of parasites in blood by microscopy. Parasitemia levels in patients with serology positive for Chagas disease were classified as follows: High parasitemia or reactivation of Chagas disease (detectable parasitemia by microscopy), moderate parasitemia (undetectable by microscopy but detectable by qPCR), and negative parasitemia (undetectable by microscopy and qPCR). The percentage of positive results detected by Chunap was: 100% (7/7) in cases of reactivation, 91.7% (11/12) in cases of moderate parasitemia, and 41.7% (5/12) in cases of negative parasitemia. Chunap specificity was found to be 91.7%. Linear regression analysis demonstrated a direct relationship between parasitemia levels and urine T. cruzi antigen concentrations (p&lt;0.001). A cut-off of &gt; 105 pg was chosen to determine patients with reactivation of Chagas disease (7/7). Antigenuria levels were 36.08 times (95% CI: 7.28 to 64.88) higher in patients with CD4+ lymphocyte counts below 200/mL (p = 0.016). No significant differences were found in HIV loads and CD8+ lymphocyte counts. Conclusion: Chunap shows potential for early detection of Chagas reactivation. With appropriate adaptation, this diagnostic test can be used to monitor Chagas disease status in T. cruzi/HIV co-infected patients. © 2016 Castro-Sesquen et al.</t>
  </si>
  <si>
    <t xml:space="preserve">e0004407</t>
  </si>
  <si>
    <t xml:space="preserve">10.1371/journal.pntd.0004407</t>
  </si>
  <si>
    <t xml:space="preserve">https://www.scopus.com/inward/record.uri?eid=2-s2.0-84959303844&amp;doi=10.1371%2fjournal.pntd.0004407&amp;partnerID=40&amp;md5=d63b553a2ce5cd0ce0da6193de441309</t>
  </si>
  <si>
    <t xml:space="preserve">Laboratorio de Investigación en Enfermedades Infecciosas, Universidad Peruana Cayetano Heredia, Lima, Peru; Center for Applied Proteomics and Molecular Medicine, George Mason University, Manassas, VA, United States; Department of International Health, Bloomberg School of Hygiene and Public Health, Johns Hopkins University, Baltimore, MD, United States; Colectivo de Estudios Aplicados, Desarrollo Social, Salud y Medio Ambiente, Cochabamba, Bolivia; Department of Internal Medicine and Pediatrics, Vanderbilt University, Nashville, TN, United States; Division of Cardiovascular Medicine, University of California Davis, Davis, CA, United States; Tulane University Medical Center, New Orleans, LA, United States; Servicio de Infectología, Hospital Clínico Viedma, Cochabamba, Bolivia; Hospital San Juan De Dios, Santa Cruz de la Sierra, Bolivia; School of Medicine, Department of Medicine, University of North Carolina, Chapel Hill, Chapel Hill, NC, United States; Perelman School of Medicine, University of Pennsylvania, Philadelphia, PA, United States; Universidad Mayor de San Simón, Cochabamba, Bolivia; Global Health Sciences, Department of Epidemiology and Biostatistics, School of Medicine, University of California, San Francisco, San Francisco, CA, United States; Department of International Health, Bloomberg School of Hygiene and Public Health, Johns Hopkins University, Baltimore, MD, United States</t>
  </si>
  <si>
    <t xml:space="preserve">Castro-Sesquen Y.E., Laboratorio de Investigación en Enfermedades Infecciosas, Universidad Peruana Cayetano Heredia, Lima, Peru, Center for Applied Proteomics and Molecular Medicine, George Mason University, Manassas, VA, United States, Department of International Health, Bloomberg School of Hygiene and Public Health, Johns Hopkins University, Baltimore, MD, United States; Gilman R.H., Department of International Health, Bloomberg School of Hygiene and Public Health, Johns Hopkins University, Baltimore, MD, United States; Mejia C., Colectivo de Estudios Aplicados, Desarrollo Social, Salud y Medio Ambiente, Cochabamba, Bolivia; Clark D.E., Department of Internal Medicine and Pediatrics, Vanderbilt University, Nashville, TN, United States; Choi J., Division of Cardiovascular Medicine, University of California Davis, Davis, CA, United States; Reimer-McAtee M.J., Tulane University Medical Center, New Orleans, LA, United States; Castro R., Servicio de Infectología, Hospital Clínico Viedma, Cochabamba, Bolivia; Valencia-Ayala E., Laboratorio de Investigación en Enfermedades Infecciosas, Universidad Peruana Cayetano Heredia, Lima, Peru; Flores J., Hospital San Juan De Dios, Santa Cruz de la Sierra, Bolivia; Bowman N., School of Medicine, Department of Medicine, University of North Carolina, Chapel Hill, Chapel Hill, NC, United States; Castillo-Neyra R., Perelman School of Medicine, University of Pennsylvania, Philadelphia, PA, United States; Torrico F., Universidad Mayor de San Simón, Cochabamba, Bolivia; Liotta L., Center for Applied Proteomics and Molecular Medicine, George Mason University, Manassas, VA, United States; Bern C., Global Health Sciences, Department of Epidemiology and Biostatistics, School of Medicine, University of California, San Francisco, San Francisco, CA, United States; Luchini A., Center for Applied Proteomics and Molecular Medicine, George Mason University, Manassas, VA, United States</t>
  </si>
  <si>
    <t xml:space="preserve">Adult; Antigens, Protozoan; Case-Control Studies; CD8-Positive T-Lymphocytes; Chagas Disease; Coinfection; Diagnostic Tests, Routine; Early Diagnosis; Female; HIV Infections; Humans; Male; Middle Aged; Nanoparticles; Parasitemia; Trypanosoma cruzi; Young Adult; nanoparticle; parasite antigen; adult; Article; Chagas disease; Chagas urine nanoparticle test; diagnostic test; enzyme linked immunosorbent assay; female; human; Human immunodeficiency virus infected patient; major clinical study; male; mixed infection; parasitemia; polymerase chain reaction; sensitivity and specificity; urinalysis; Western blotting; case control study; CD8+ T lymphocyte; Chagas disease; chemistry; Coinfection; complication; devices; diagnostic test; early diagnosis; evaluation study; genetics; Human immunodeficiency virus infection; immunology; isolation and purification; middle aged; parasitemia; parasitology; procedures; Trypanosoma cruzi; urine; young adult</t>
  </si>
  <si>
    <t xml:space="preserve">Antigens, Protozoan, </t>
  </si>
  <si>
    <t xml:space="preserve">National Institute of Arthritis and Musculoskeletal and Skin Diseases, NIAMS, (R21AR061075); National Institute of Arthritis and Musculoskeletal and Skin Diseases, NIAMS</t>
  </si>
  <si>
    <t xml:space="preserve">Chagas disease: control and elimination. In: Sixty-third World Health Assembly Resolutions, Geneva, 17–21 May 2010, Resolutions and decisions, annexes (WHA63/2010/REC/1), resolution WHA 63. 2010, 20, pp. 39-42; Global report-UNAIDS report on the global AIDS epidemic 2013, (2013); Azogue E., Women and congenital Chagas' disease in Santa Cruz, Bolivia: epidemiological and sociocultural aspects, Soc Sci Med, 37, pp. 503-511, (1993); Chippaux J.P., Postigo J.R., Santalla J.A., Schneider D., Brutus L., Epidemiological evaluation of Chagas disease in a rural area of southern Bolivia, Trans R Soc Trop Med Hyg, 102, pp. 578-584, (2008); Prata A., Clinical and epidemiological aspects of Chagas disease, Lancet Infect Dis, 1, pp. 92-100, (2001); Rassi A., Rassi A., Little W.C., Chagas' heart disease, Clin Cardiol, 23, pp. 883-889, (2000); Diazgranados C.A., Saavedra-Trujillo C.H., Mantilla M., Valderrama S.L., Alquichire C., Franco-Paredes C., Chagasic encephalitis in HIV patients: common presentation of an evolving epidemiological and clinical association, Lancet Infect Dis, 9, pp. 324-330, (2009); de Oliveira Santos E., dos Reis Canela J., Gomes Moncao H.C., Guedes Roque M.J., Reactivation of Chagas' disease leading to the diagnosis of acquired immunodeficiency syndrome, Braz J Infect Dis, 6, pp. 317-321, (2002); Sartori A.M., Neto J.E., Nunes E.V., Braz L.M., Caiaffa-Filho H.H., Oliveira Oda C., Et al., Trypanosoma cruzi parasitemia in chronic Chagas disease: comparison between human immunodeficiency virus (HIV)-positive and HIV-negative patients, J Infect Dis, 186, pp. 872-875, (2002); Sartori A.M., Ibrahim K.Y., Nunes Westphalen E.V., Braz L.M., cOliveira O.C., Gakiya E., Et al., Manifestations of Chagas disease (American trypanosomiasis) in patients with HIV/AIDS, Ann Trop Med Parasitol, 101, pp. 31-50, (2007); Lazo J., Meneses A.C., Rocha A., Ferreira M.S., Marquez J.O., Chapadeiro E., Et al., Chagasic meningoencephalitis in the immunodeficient, Arq Neuropsiquiatr, 56, pp. 93-97, (1998); Madalosso G., Pellini A.C., Vasconcelos M.J., Ribeiro A.F., Weissmann L., Oliveira Filho G.S., Et al., Chagasic meningoencephalitis: case report of a recently included AIDS-defining illness in Brazil, Rev Inst Med Trop Sao Paulo, 46, pp. 199-202, (2004); Bisio M., Altcheh J., Lattner J., Moscatelli G., Fink V., Burgos J.M., Et al., Benznidazole treatment of chagasic encephalitis in pregnant woman with AIDS, Emerg Infect Dis, 19, pp. 1490-1492, (2013); Corti M., Yampolsky C., Prolonged survival and immune reconstitution after chagasic meningoencephalitis in a patient with acquired immunodeficiency syndrome, Rev Soc Bras Med Trop, 39, pp. 85-88, (2006); de Freitas V.L., da Silva S.C., Sartori A.M., Bezerra R.C., Westphalen E.V., Molina T.D., Et al., Real-time PCR in HIV/Trypanosoma cruzi coinfection with and without Chagas disease reactivation: association with HIV viral load and CD4 level, PLoS Negl Trop Dis, 5, (2011); Cordova E., Boschi A., Ambrosioni J., Cudos C., Corti M., Reactivation of Chagas disease with central nervous system involvement in HIV-infected patients in Argentina, 1992–2007, Int J Infect Dis, 12, 6, pp. 587-592, (2008); Bern C., Chagas disease in the immunosuppressed host, Curr Opin Infect Dis, 25, pp. 450-457, (2012); Chin-Hong P.V., Schwartz B.S., Bern C., Montgomery S.P., Kontak S., Kubak B., Et al., Screening and treatment of Chagas disease in organ transplant recipients in the United States: recommendations from the chagas in transplant working group, Am J Transplant, 11, pp. 672-680, (2011); Castro-Sesquen Y.E., Gilman R.H., Yauri V., Cok J., Angulo N., Escalante H., Et al., Detection of soluble antigen and DNA of Trypanosoma cruzi in urine is independent of renal injury in the guinea pig model, PLoS One, 8, (2013); Luchini A., Longo C., Espina V., Petricoin E.F., Liotta L.A., Nanoparticle technology: addressing the fundamental roadblocks to protein biomarker discovery, Curr Mol Med, 10, pp. 133-141, (2010); Luchini A., Geho D.H., Bishop B., Tran D., Xia C., Dufour R.L., Et al., Smart hydrogel particles: biomarker harvesting: one-step affinity purification, size exclusion, and protection against degradation, Nano letters, 8, pp. 350-361, (2008); Douglas T.A., Tamburro D., Fredolini C., Espina B.H., Lepene B.S., Ilag L., Et al., The use of hydrogel microparticles to sequester and concentrate bacterial antigens in a urine test for Lyme disease, Biomaterials, 32, pp. 1157-1166, (2010); Fredolini C., Meani F., Reeder K.A., Rucker S., Patanarut A., Botterell P.J., Et al., Concentration and Preservation of Very Low Abundance Biomarkers in Urine, such as Human Growth Hormone (hGH), by Cibacron Blue F3G-A Loaded Hydrogel Particles, Nano Res, 1, pp. 502-518, (2008); Longo C., Patanarut A., George T., Bishop B., Zhou W., Fredolini C., Et al., Core-shell hydrogel particles harvest, concentrate and preserve labile low abundance biomarkers, PLoS One, 4, (2009); Tamburro D., Fredolini C., Espina V., Douglas T.A., Ranganathan A., Ilag L., Et al., Multifunctional core-shell nanoparticles: discovery of previously invisible biomarkers, J Am Chem Soc, 133, pp. 19178-19188, (2011); Castro-Sesquen Y.E., Gilman R.H., Galdos-Cardenas G., Ferrufino L., Sanchez G., Valencia Ayala E., Et al., Use of a novel chagas urine nanoparticle test (Chunap) for diagnosis of congenital chagas disease, PLoS Negl Trop Dis, 8, 10, (2014); Ondoa P., Shamu T., Bronze M., Wellington M., Boender T.S., Manting C., Et al., Performance and logistical challenges of alternative HIV-1 virological monitoring options in a clinical setting of Harare, Zimbabwe, Biomed Res Int, 2014, (2014); Bravo I.M., Correnti M., Escalona L., Perrone M., Brito A., Tovar V., Et al., Prevalence of oral lesions in HIV patients related to CD4 cell count and viral load in a Venezuelan population, Med Oral Patol Oral Cir Bucal, 11, 1, (2006); Vajpayee M., Kaushik S., Sreenivas V., Wig N., Seth P., CDC staging based on absolute CD4 count and CD4 percentage in an HIV-1-infected Indian population: treatment implications, Clin Exp Immuno, 141, pp. 485-490, (2005); Freilij H., Muller L., Gonzalez Cappa S.M., Direct micromethod for diagnosis of acute and congenital Chagas' disease, J Clin Micro, 18, pp. 327-330, (1983); Umezawa E.S., Nascimento M.S., Kesper N., Coura J.R., Borges-Pereira J., Et al., Immunoblot assay using excreted-secreted antigens of Trypanosoma cruzi in serodiagnosis of congenital, acute, and chronic Chagas' disease, J Clin Microbiol, 34, 9, pp. 2143-2147, (1996); Fitzwater S., Calderon M., Lafuente C., Galdos-Cardenas G., Ferrufino L., Verastegui M., Et al., Polymerase chain reaction for chronic Trypanosoma cruzi infection yields higher sensitivity in blood clot than buffy coat or whole blood specimens, Am J Trop Med Hyg, 79, pp. 768-770, (2008); Castro-Sesquen Y.E., Gilman R.H., Yauri V., Angulo N., Verastegui M., Velasquez D.E., Et al., Cavia porcellus as a model for experimental infection by Trypanosoma cruzi, Am J Pathol, 179, pp. 281-288, (2011); Piron M., Fisa R., Casamitjana N., Lopez-Chejade P., Puig L., Verges M., Et al., Development of a real-time PCR assay for Trypanosoma cruzi detection in blood samples, Acta Trop, 103, pp. 195-200, (2007); Bern C., Verastegui M., Gilman R.H., Lafuente C., Galdos-Cardenas G., Calderon M., Et al., Congenital Trypanosoma cruzi transmission in Santa Cruz, Bolivia, Clin Infect Dis, 49, pp. 1667-1674, (2009); Matsuda N.M., Miller S.M., Barbosa EvoraI P.R., The Chronic Gastrointestinal Manifestations of Chagas Disease, Clinics (Sao Paulo), 64, 12, pp. 1219-1224, (2009); Sartori A.M., Caiaffa-Filho H.H., Bezerra R.C., do S Guilherme C., Lopes M.H., Shikanai-Yasuda M.A., Exacerbation of HIV viral load simultaneous with asymptomatic reactivation of chronic Chagas' disease, Am J Trop Med Hyg, 67, 5, pp. 521-523, (2002); Singh B.N., Lucas J.J., Beach D.H., Costello C.E., Expression of a novel cell surface lipophosphoglycan-like glycoconjugate in Trypanosoma cruzi epimastigotes, J Biol Chem, 269, pp. 21972-21982, (1994); Katzin A., Alves M.J., Abuin G., Colli W., Antigenuria in chronic chagasic patients detected by a monoclonal antibody raised against Trypanosoma cruzi, Trans R Soc Trop Med Hyg, 83, 3, pp. 341-343, (1989); Umezawa E.S., Shikanai-Yasuda M.A., da Silveira J.F., Cotrim P.C., Paranhos G., Katzin A.M., Trypanosoma cruzi: detection of a circulating antigen in urine of chagasic patients sharing common epitopes with an immunodominant repetitive antigen, Exp Parasitol, 76, 4, pp. 352-357, (1993); Bjerrum S., Kenu E., Lartey M., Newman M.J., Addo K.K., Andersen A.B., Et al., Diagnostic accuracy of the rapid urine lipoarabinomannan test for pulmonary tuberculosis among HIV-infected adults in Ghana-findings from the DETECT HIV-TB study, BMC Infect Dis, 15, 1, (2015)</t>
  </si>
  <si>
    <t xml:space="preserve">R.H. Gilman; Department of International Health, Bloomberg School of Hygiene and Public Health, Johns Hopkins University, Baltimore, United States; email: rgilman@jhsph.edu</t>
  </si>
  <si>
    <t xml:space="preserve">2-s2.0-84959303844</t>
  </si>
  <si>
    <t xml:space="preserve">Othman N.H.; Lee K.Y.; Radzol A.R.M.; Mansor W.; Rashid U.R.M.</t>
  </si>
  <si>
    <t xml:space="preserve">Othman, N.H. (57205876515); Lee, Khuan Y. (14042088400); Radzol, A.R.M. (55232461000); Mansor, W. (16175247200); Rashid, U.R.M. (57193644891)</t>
  </si>
  <si>
    <t xml:space="preserve">57205876515; 14042088400; 55232461000; 16175247200; 57193644891</t>
  </si>
  <si>
    <t xml:space="preserve">Detection of NS1 from SERS spectra using K-NN integrated with PCA</t>
  </si>
  <si>
    <t xml:space="preserve">NS1 is said to be responsible for the reproduction of RNA virus of the flaviviridae family, which is the cause of variants of Encephalitis, Yellow Fever and Dengue Fever. As an antigen, it can be detected in the blood of an infected person, from or before the onset of the symptoms. This makes it a biomarker for early detection of these diseases recently. The K-NN is a non-parametric method that shows strong capability in pattern recognition, classification and machine learning. Here, the K-NN classifier is used to distinguish SERS spectra of the salivary adulterated NS1 samples from the controlled samples. Since the features of SERS spectra is of high dimension, the K-NN classifier is preceded by the PCA to remove the redundant features and noise with Scree Test criterion. The performance of the PCA K-NN classifier is then investigated, using K-values between 1 and 19. The best performance, i.e. accuracy, precision, sensitivity and specificity of 100%, is found with K-value of one to three. © 2016 IEEE.</t>
  </si>
  <si>
    <t xml:space="preserve">IECBES 2016 - IEEE-EMBS Conference on Biomedical Engineering and Sciences</t>
  </si>
  <si>
    <t xml:space="preserve">10.1109/IECBES.2016.7843421</t>
  </si>
  <si>
    <t xml:space="preserve">https://www.scopus.com/inward/record.uri?eid=2-s2.0-85015640781&amp;doi=10.1109%2fIECBES.2016.7843421&amp;partnerID=40&amp;md5=89c089c97b58bf2cdac4e6607a018ed7</t>
  </si>
  <si>
    <t xml:space="preserve">Faculty of Electrical Engineering, Universiti Teknologi, MARA, Shah Alam, Selangor DE, Malaysia; Computational Intelligence Detection RIG, Pharmaceutical and Lifesciences Communities of Research, Universiti Teknologi MARA, Shah Alam, Selangor DE, Malaysia</t>
  </si>
  <si>
    <t xml:space="preserve">Othman N.H., Faculty of Electrical Engineering, Universiti Teknologi, MARA, Shah Alam, Selangor DE, Malaysia; Lee K.Y., Faculty of Electrical Engineering, Universiti Teknologi, MARA, Shah Alam, Selangor DE, Malaysia, Computational Intelligence Detection RIG, Pharmaceutical and Lifesciences Communities of Research, Universiti Teknologi MARA, Shah Alam, Selangor DE, Malaysia; Radzol A.R.M., Faculty of Electrical Engineering, Universiti Teknologi, MARA, Shah Alam, Selangor DE, Malaysia, Computational Intelligence Detection RIG, Pharmaceutical and Lifesciences Communities of Research, Universiti Teknologi MARA, Shah Alam, Selangor DE, Malaysia; Mansor W., Faculty of Electrical Engineering, Universiti Teknologi, MARA, Shah Alam, Selangor DE, Malaysia, Computational Intelligence Detection RIG, Pharmaceutical and Lifesciences Communities of Research, Universiti Teknologi MARA, Shah Alam, Selangor DE, Malaysia; Rashid U.R.M., Faculty of Electrical Engineering, Universiti Teknologi, MARA, Shah Alam, Selangor DE, Malaysia</t>
  </si>
  <si>
    <t xml:space="preserve">Non-Structural Protein1 (NS1); Scree Test PCA stopping criteria and K-Nearest Neighbor(K-NN); SERS</t>
  </si>
  <si>
    <t xml:space="preserve">Biomedical engineering; Learning systems; Nearest neighbor search; Raman spectroscopy; Text processing; Viruses; High dimensions; k-NN classifier; Non-structural; Nonparametric methods; Redundant features; Sensitivity and specificity; SERS; Stopping criteria; Pattern recognition</t>
  </si>
  <si>
    <t xml:space="preserve">Alcon S., Talarmin A., Debruyne M., Falconar A., Deubel V., Flamand M., Enzyme-linked immunosorbent assay specific to dengue virus type 1 nonstructural protein NS1 reveals circulation of the antigen in the blood during the acute phase of disease in patients experiencing primary or secondary infections, Journal of Clinical Microbiology, 40, pp. 376-381, (2002); Muller D.A., Young P.R., Antivira l research the flavivirus ns1 protein : Molecular and structural biology , immunology , role in pathogenesis and application as a diagnostic biomarker, Journal of Antiviral Research, 98, pp. 192-208, (2013); Henrique J., Rubens A., Dos Santos P., Silvia A., Boscardin B., De Souza Ferreira L.C., The dengue virus non-structural 1 protein: Risks and benefits, Virus Reseach, 181, pp. 53-60, (2014); Radzol A.R.M., Lee K.Y., Mansor W., Model Selection for PCA-Linear SVM for Automated Detection of NS1 Molecule from Raman Spectra of Salivary Mixture, pp. 2824-2827, (2015); Radzol A.R.M., Lee K.Y., Mansor W., Raman molecular fingerprint of non-structural protein 1 in phosphate buffer saline with gold substrate, 35th Annual International Conference of the IEEE EMBS, pp. 1438-1441, (2013); Twon Tawi F.M., Lee K.Y., Mansor W., Radzol A.R.M., Automatic Non-Structural Protien 1 Recognition based on LDA Classifier, IEEE International Conference on Control System, Computing and Engineering, pp. 340-343, (2013); De Luca A.C., Manago S., Mariggio S., Corda D., Reader-Harris P., Mazilu A., Di Falco M., SERS sensing of cancer biomarkers, Fotonica AEIT Ital. Conf. Photonics Technol. Fotonica AEIT, pp. 1-4, (2014); Radzol A.R.M., Lee K.Y., Abdul Wahab N.E., Low concentration melamine detection with surface enhanced raman spectroscopy, IEEE Region 10 Symposium, pp. 555-559, (2014); Huang T., Li K., Guo G., Yu Y., Manifold Learning and Application on Classification of Leukemia Cells Based on Raman Spectroscopy, pp. 978-982, (2009); Sharma B., Frontiera R.R., Henry A.-I., Ringe E., Van Duyne R.P., SERS: Materials, applications, and the future, Mater. Today, 15, 1-2, pp. 16-25, (2012); Tripp R.A., Dluhy R.A., Zhao Y., Novel nanostructures for SERS biosensing, Nano Today, 3, 3-4, pp. 31-37, (2008); Radzol A.R.M., Lee K.Y., Mansor W., Crystalization structure of whole saliva of drop coating deposition raman for surface enhanced raman spectroscopy analysis, IEEE EMBS International Conference on Biomedical Engineering and Sciences, pp. 438-442, (2012); Principal Component Analysis, (2002); Harris A.T., Garg M., Yang X.B., Fisher S.E., Kirkham J., Alastair Smith D., Martin-Hirsch D.P., High A.S., Raman spectroscopy and advanced mathematical modelling in the discrimination of human thyroid cell lines, Head and Neck Oncology, 1, pp. 1-6, (2009); Gonzalez-Solis J.L., Martinez-Espinosa J.C., Torres-Gonzalez L.A., Aguilar-Lemarroy A., Jave-Suarez L.F., Palomares-Anda P., Cervical cancer detection based on serum sample Raman spectroscopy, Lasers Med. Sci, 29, 3, pp. 979-985, (2014); Saini I., Singh D., Khosla A., QRS detection using K-Nearest Neighbor algorithm (KNN) and evaluation on standard ECG databases, J. Adv. Res, 4, 4, pp. 331-344, (2013); Dudani S.A., The distance-weighted k-nearest-neighbor rule, IEEE Transactions on Systems, Man and Cybernetics, pp. 325-327, (1976); Tan S., An effective refinement strategy for KNN text classifier, Expert Syst. with Appl, 30, pp. 290-298, (2006); Nirmaladevi M., An amalgam knn to predict diabetes mellitus, IEEE International Conference on Emerging Trends in Computing, Communication and Nanotechnology (ICECCN), 2013, pp. 691-695, (2013); Shirvan R., Tahami E., Voice analysis for detecting Parkinsons disease using genetic algorithm and KNN classification method, Iranian Conf. on Biomed. Eng. (ICBME), pp. 278-283, (2011); Anchalia P.P., Roy K., The k-nearest neighbor algorithm using mapreduce paradigm, 5th Int. Conf. Intell. Syst. Model. Simulation, pp. 513-518, (2014); Sharma L.N., Danadapat S., Mahanta A., Multiscale PCA based quality controlled denoising of multichannel ECG signals, International Journal of Information and Electronics Engineering, 2, 2, pp. 107-111, (2012); Cangelosi R., Goriely A., Component retention in principal component analysis with application to cDNA microarray data, Biol. Direct, 2, 2, pp. 1-21, (2007); Sato-Berru R.Y., Mejia-Uriarte E.V., Frausto-Reyes C., Villagran-Muniz M., Murrieta S.H., Saniger J.M., Application of principal component analysis and Raman spectroscopy in the analysis of polycrystalline BaTiO3 at high pressure, Spectrochim. Acta-Part A Mol. Biomol. Spectrosc, 66, 3, pp. 557-560, (2007); Murphy K.P., Machine Learning, pp. 1-24, (2012); Kramer O., Dimensionality Reduction with Unsupervised Nearest Neighbors, 51, pp. 13-22, (2013); Radzol A.R.M., Lee K.Y., Mansor W., Nonstructural protein 1 characteristic peak from ns1-saliva mixture with surface-enhanced raman spectroscopy, 35th Annual International Conference of the IEEE EMBS, pp. 2396-2399, (2013); Radzol A.R.M., Lee K.Y., Mansor W., Saadun N., Baseline correction customized for ns1 salivary raman spectra with piecewise cubic hermite interpolation, IEEE Symposium on Industrial Electronics &amp; Applications, pp. 1-5, (2014); Radzol A.R.M., Lee K.Y., Mansor W., Azman A., Optimization of Savitzky-Golay Smoothing Filter for Salivary Surface Enhanced Raman Spectra of Non Structural Protein 1, pp. 9-14, (2014); Othman N.H., Lee K.Y., Radzol A.R.M., Mansor W., Rashid U.R.M., K-Nearest Neigbour: Detection of NS1 from SERS Spectra of Adulterated Saliva, pp. 1-6</t>
  </si>
  <si>
    <t xml:space="preserve">EMB; Humanitarian Activities Committee; IEEE Standards Association; Malaysia Convention and Exhibition Bureau</t>
  </si>
  <si>
    <t xml:space="preserve">2016 IEEE-EMBS Conference on Biomedical Engineering and Sciences, IECBES 2016</t>
  </si>
  <si>
    <t xml:space="preserve">4 December 2016 through 8 December 2016</t>
  </si>
  <si>
    <t xml:space="preserve">978-146737791-1</t>
  </si>
  <si>
    <t xml:space="preserve">IECBES - IEEE-EMBS Conf. Biomed. Eng. Sci.</t>
  </si>
  <si>
    <t xml:space="preserve">2-s2.0-85015640781</t>
  </si>
  <si>
    <t xml:space="preserve">Early diagnosis of dengue disease using fuzzy inference system</t>
  </si>
  <si>
    <t xml:space="preserve">Fuzzy expert system is a knowledge-based system, which is considered as one of the most common form of artificial intelligence in medicine(AIM) system with medical knowledge of a particularly defined task, and able to reach a proper conclusion by using the specific data from individual patient. In fuzzy inference system, a set of rules are used for representing the knowledge or data of a particular problem. Dengue fever, caused by the dengue virus, a mosquito-borne human viral pathogen is an infectious tropical disease. In a small proportion of cases Dengue disease is considered as one of the life threatening disease and delay of the diagnosis may lead to increase the risk level of the disease. Therefore, it is very important to detect the dengue disease at early stage. Thus this work was aimed to design an expert system for the early diagnosis of dengue disease using Fuzzy Inference System (FIS), a powerful tool for dealing with imprecision and uncertainty. The designed FIS can be used for early diagnosis of dengue disease of a patient by using his/her physical symptoms and medical test reports as input variables and converting these input variables into fuzzy membership functions. © 2016 IEEE.</t>
  </si>
  <si>
    <t xml:space="preserve">International Conference on Microelectronics, Computing and Communication, MicroCom 2016</t>
  </si>
  <si>
    <t xml:space="preserve">10.1109/MicroCom.2016.7522513</t>
  </si>
  <si>
    <t xml:space="preserve">https://www.scopus.com/inward/record.uri?eid=2-s2.0-84983471886&amp;doi=10.1109%2fMicroCom.2016.7522513&amp;partnerID=40&amp;md5=65a4a8bc168462838ba4b6a32f126662</t>
  </si>
  <si>
    <t xml:space="preserve">Dengue fever; Fuzzy Inference System; Fuzzy logic; Membership Function</t>
  </si>
  <si>
    <t xml:space="preserve">Artificial intelligence; Computation theory; Diagnosis; Expert systems; Fuzzy logic; Fuzzy systems; Knowledge based systems; Membership functions; Microelectronics; Viruses; Artificial intelligence in medicine; Dengue fevers; Fuzzy expert systems; Fuzzy inference systems; Fuzzy membership function; Medical knowledge; Physical symptoms; Tropical disease; Fuzzy inference</t>
  </si>
  <si>
    <t xml:space="preserve">Dengue: Guidelines for Diagnosis, Treatment, Prevention, &amp; Control, (2009); Pabbi V., Fuzzy Expert System for medical diagnosis, Internatinal Journal of Scientific and Research Publications, 5, 1, pp. 1-3, (2015); Mamdani E.H., Assilian S., AN experiment in linguistic synthesis with a fuzzy logic controller, International Journal of Man-Machine Studies, pp. 1-13, (1975); Zadeh L.A., Fuzzy sets, Information And. Control, pp. 338-353, (1965); Pratihar D.K., Deb K., Ghosh A., A genetic Fuzzy Approach for mobile robot navigation among moving obstacles, Internet. J. Approx. Reason, pp. 145-172, (1999); Ho T.S., Wang S.M., Lin Y.S., Liu C.C., Clinically and Laboratory predictive markers for acuate dengue infection, Journal of Biomedical Science, 20, (2013); Lo C.H., Ben R.J., Chen C.D., Hsueh C.W., Feng N.H., Clinically Experience of Dengue Fever in A Regional Teaching Hospital in Southern Taiwan, pp. 248-254, (2009); Bystrov D., Westin J., Practice. Neuro-fuzzy Logic Systems, pp. 8-39; Yen J., Langari R., Fuzzy Logic:Intelligence, Control, and Information; Adeli A., Neshat M., A fuzzy inference system for heart disease diagnosis, IMECS 2010, pp. 17-19, (2010); Naaz S., Alam A., Biswas R., Effect of different defuzzification methods in a fuzzy based load balancing application, IJCSI International Journal of Computer Science Issues, 8, 1-5, (2011); Sharma P., Singh D.B.V., Bandil M., Mishra N., Decision support system for malaria and dengue disease diagnosis, ISSN International Journal of Information and Computer Technology, 3, 7, pp. 633-640, (2013)</t>
  </si>
  <si>
    <t xml:space="preserve">2016 International Conference on Microelectronics, Computing and Communication, MicroCom 2016</t>
  </si>
  <si>
    <t xml:space="preserve">23 January 2016 through 25 January 2016</t>
  </si>
  <si>
    <t xml:space="preserve">Durgapur</t>
  </si>
  <si>
    <t xml:space="preserve">978-146736621-2</t>
  </si>
  <si>
    <t xml:space="preserve">Int. Conf. Microelectron., Comput. Commun., MicroCom</t>
  </si>
  <si>
    <t xml:space="preserve">2-s2.0-84983471886</t>
  </si>
  <si>
    <t xml:space="preserve">Devi S.S.; Roy A.; Sharma M.; Laskar R.H.</t>
  </si>
  <si>
    <t xml:space="preserve">Devi, Salam Shuleenda (58489473500); Roy, Amarjit (57014006000); Sharma, Manish (59438181800); Laskar, R.H. (23397200000)</t>
  </si>
  <si>
    <t xml:space="preserve">58489473500; 57014006000; 59438181800; 23397200000</t>
  </si>
  <si>
    <t xml:space="preserve">kNN Classification Based Erythrocyte Separation in Microscopic Images of Thin Blood Smear</t>
  </si>
  <si>
    <t xml:space="preserve">In this proposed work, k-nearest neighbors (kNN) classifier comprising of three features i.e. area, compactness ratio, aspect ratio is used to separate the isolated and compound erythrocytes present in microscopic images of thin blood smear. In the microscopic image of thin blood smear, blood components such as erythrocytes, platelets etc are available which is used for diagnostic approach to blood disorder. In the microscopic image, both the isolated and compound erythrocytes are also present. Compound erythrocyte is formed due to overlapping of two or more erythrocytes. In malaria diagnosis, parasitaemia estimation is done which define the ratio of infected erythrocytes related to total number of erythrocytes in microscopic image. For proper quantification of erythrocyte, erythrocytes need to be separated as isolated cell and compound cell. As isolated cells directly count in the counting system and compound cells are further analysed to determine number of erythrocytes. The proposed method to separate the isolated and compound cell provides an average accuracy of ~0.942. It is observed that the proposed method can effectively separate the cells in comparison to some of the existing methods. © 2016 IEEE.</t>
  </si>
  <si>
    <t xml:space="preserve">Proceedings - International Conference on Computational Intelligence and Networks</t>
  </si>
  <si>
    <t xml:space="preserve">10.1109/CINE.2016.19</t>
  </si>
  <si>
    <t xml:space="preserve">https://www.scopus.com/inward/record.uri?eid=2-s2.0-85042720027&amp;doi=10.1109%2fCINE.2016.19&amp;partnerID=40&amp;md5=47b8fb71035f137de2615ae4c2c06066</t>
  </si>
  <si>
    <t xml:space="preserve">Electronics and Communication Engineering, National Institute of Technology, Silchar, Assam, 788010, India</t>
  </si>
  <si>
    <t xml:space="preserve">Devi S.S., Electronics and Communication Engineering, National Institute of Technology, Silchar, Assam, 788010, India; Roy A., Electronics and Communication Engineering, National Institute of Technology, Silchar, Assam, 788010, India; Sharma M., Electronics and Communication Engineering, National Institute of Technology, Silchar, Assam, 788010, India; Laskar R.H., Electronics and Communication Engineering, National Institute of Technology, Silchar, Assam, 788010, India</t>
  </si>
  <si>
    <t xml:space="preserve">Cell Separation; Erythrocyte; k-nearest neighbors (kNN); Microscopic Image</t>
  </si>
  <si>
    <t xml:space="preserve">Artificial intelligence; Aspect ratio; Cells; Cytology; Image classification; Motion compensation; Nearest neighbor search; Separation; Cell separation; Diagnostic approach; Erythrocyte; Infected erythrocytes; K nearest neighbor (KNN); K-NN classifications; Malaria diagnosis; Microscopic image; Blood</t>
  </si>
  <si>
    <t xml:space="preserve">Wu Q., Microscopic Image Processing, (2008); Blood Cell Morphology; Devi S.S., Kumar R., Laskar R.H., Recent advances on erythrocyte image segmentation for biomedical applications, Proceedings of Fourth International Conference on Soft Computing for Problem Solving, (2015); Di Ruberto C., Dempster A., Khan S., Jarra B., Analysis of infected blood cell images using morphological operators, Image and Vision Computing, 20, pp. 133-146, (2002); Ross N.E., Pritchard C.J., Rubin D.M., Automated image processing method for the diagnosis and classification of malaria on thin blood smears, Medical &amp; Biological Engineering &amp; Computing, 44, pp. 427-436, (2006); Sio S.W.S., Sun W., Kumar S., Malariacount: An image analysis-based program for the accurate determination of parasitemia, Journal of Microbiological Methods, 68, pp. 11-18, (2007); Springl V., Automatic Malaria Diagnosis through Microscopic Imaging, (2009); Tek F.B., Dempster A.G., Kale I., Parasite detection and identification for automated thin blood film malaria diagnosis, Computer Vision and Image Understanding, 114, pp. 21-32, (2010); Chen H.-M., Automatic image segmentation and classification based on direction texton technique for hemolytic anemia in thin blood smears, Machine Vision and Applications, 25, pp. 501-510, (2013); Ge J., Zheng G., Chen J., Liu J., Nguyen J., Yang Z., Wang C., A system for counting fetal and maternal red blood cells, IEEE Transactions On Biomedical Engineering, 61, pp. 2823-2829, (2014); Das D.K., Et al., Machine learning approach for automated screening of malaria parasite using light microscopic images, Micron, 45, pp. 97-106, (2013); Somasekar J., Eswara Reddy B., Segmentation of erythrocytes infected with malaria parasites for the diagnosis using microscopy imaging, Computers &amp; Electrical Engineering, 45, pp. 336-351, (2015); Razzak M.I., Alhaqbani B., Automatic detection of malarial parasite using microscopic blood images, Journal of Medical Imaging and Health Informatics, 5, 2015, pp. 591-598; Central for Diseases Control and Prevention: Public Health Image Library[online]; Otsu N., A threshold selection method from gray-level histograms, IEEE Transactions on Systrems, Man, and Cybernetics, 9, pp. 62-66, (1979); Gonzalez R.C., Digital Image Processing Using Matlab, (2010); Soille P., Morphological Image Analysis: Principles and Applications, (1999); Fitzgibbon A., Pilu M., Fisher R.B., Direct least square fitting of ellipses, IEEE Transaction on Pattern Analysis and Machine Intelligence, 21, pp. 476-480, (1999); Dasarathy B.V., Nearest Neighbor (NN) Norms: NN Pattern Classification Techniques, (1990); Duda R.O., Hart P.E., Stork D.G., Pattern Classification, (2001)</t>
  </si>
  <si>
    <t xml:space="preserve">Ghosh K.</t>
  </si>
  <si>
    <t xml:space="preserve">2nd International Conference on Computational Intelligence and Networks, CINE 2016</t>
  </si>
  <si>
    <t xml:space="preserve">Bhubaneswar, Odisha</t>
  </si>
  <si>
    <t xml:space="preserve">Proc. Int. Conf. Comput. Intell. Netw. CINE</t>
  </si>
  <si>
    <t xml:space="preserve">2-s2.0-85042720027</t>
  </si>
  <si>
    <t xml:space="preserve">Baweja H.S.; Parhar T.</t>
  </si>
  <si>
    <t xml:space="preserve">Baweja, Harjatin Singh (57194589739); Parhar, Tanvir (57194589030)</t>
  </si>
  <si>
    <t xml:space="preserve">57194589739; 57194589030</t>
  </si>
  <si>
    <t xml:space="preserve">Leprosy lesion recognition using convolutional neural networks</t>
  </si>
  <si>
    <t xml:space="preserve">Leprosy, also known as Hansen's disease, is a debilitating and chronic bacterial infection. As per World Health Organization's report, there were 189,000 chronic cases of Leprosy in 2012 with 230,000 new diagnoses. Although curable at later stages, an early diagnosis prevents nerve involvement and the disabilities it incurs. The authors henceforth propose a Convolutional Neural Network based architecture for Leprosy lesion recognition. To train the network, authors use DermnetNz datasets along with web scraped images to achieve a best accuracy of 91.6% on a dataset split into 60% of training images, 20% of images are used for cross validation and 20% for testing. © 2016 IEEE.</t>
  </si>
  <si>
    <t xml:space="preserve">Proceedings - International Conference on Machine Learning and Cybernetics</t>
  </si>
  <si>
    <t xml:space="preserve">10.1109/ICMLC.2016.7860891</t>
  </si>
  <si>
    <t xml:space="preserve">https://www.scopus.com/inward/record.uri?eid=2-s2.0-85021149384&amp;doi=10.1109%2fICMLC.2016.7860891&amp;partnerID=40&amp;md5=ddf6b3a2121c544c4a21c725fe2dad94</t>
  </si>
  <si>
    <t xml:space="preserve">School of Computer Science, Vellore Institute of Technology, Vellore, 632014, India; School of Electrical Engineering, Vellore Institute of Technology, Vellore, 632014, India</t>
  </si>
  <si>
    <t xml:space="preserve">Baweja H.S., School of Computer Science, Vellore Institute of Technology, Vellore, 632014, India; Parhar T., School of Electrical Engineering, Vellore Institute of Technology, Vellore, 632014, India</t>
  </si>
  <si>
    <t xml:space="preserve">Artificial neural networks; Computer vision; Convolutional neural networks; Hansen's disease; Leprosy; Tensor flow</t>
  </si>
  <si>
    <t xml:space="preserve">Computer vision; Convolution; Diagnosis; Machine learning; Neural networks; Statistical tests; Bacterial infections; Convolutional neural network; Cross validation; Early diagnosis; Leprosy; Training image; World Health Organization; Diseases</t>
  </si>
  <si>
    <t xml:space="preserve">Deps P.D., Et al., Delay in the diagnosis of leprosy in the metropolitan region of vitoria, Brazil, Leprosy Review, 77, 1, pp. 41-47, (2006); Muller P., Et al., Lèpre en Guadeloupe: Maladie en déclin, délaidiagnostique en hausse, Annales de Dermatologieet de Vénéréologie, 130, 6-7, (2003); Kumar A., Har A.G., Girdhar B.K., Nerve thickening in leprosy patients and risk of paralytic deformities: A® eld based study in Agra, India, LeprRev, 75, pp. 135-142, (2004); Krizhevsky A., Sutskever I., Hinton G.E., Imagenet classification with deep convolutional neural networks, Advances in Neural Information Processing Systems, (2012); Szegedy C., Et al., Going deeper with convolutions, Proceedings of the IEEE Conference on Computer Vision and Pattern Recognition, (2015); LeCun Y., Et al., Gradient-based learning applied to document recognition, Proceedings of the IEEE, 86, 11, pp. 2278-2324, (1998); He K., Et al., Deep Residual Learning for Image Recognition, (2015); Simonyan K., Zisserman A., Very Deep Convolutional Networks for Large-scale Image Recognition, (2014); Szegedy C., Et al., Rethinking the Inception Architecture for Computer Vision, (2015); Russakovsky O., Deng J., Su H., Krause J., Satheesh S., Ma S., Huang Z., Karpathy A., Khosla A., Bernstein M., Berg A.C., Fei-Fei L., ImageNet large scale visual recognition challenge, IJCV, (2015); Vivekanandan S., Emmanuel D.S., Kumari R., Propagation of action potential for hansen's disease affected nerve model uisng fitzhugh nagumo like excitation, Journal of Theoretical and Applied Information Technology, 49, 2, (2013); Vivekanandan S., Et al., Classification of Myoelectric Signals to Diagnose Hansen's Disease; Maglogiannis I., Doukas C.N., Overview of advanced computer vision systems for skin lesions characterization, Information Technology in Biomedicine, IEEE Transactions on, 13, 5, pp. 721-733, (2009); LeCun Y.A., Et al., Efficient backprop, Neural Networks: Tricks of the Trade, pp. 9-48, (2012); Qian N., On the momentum term in gradient descent learning algorithms, Neural Networks, 12, 1, pp. 145-151, (1999); Kingma D., Ba J., Adam: A Method for Stochastic Optimization, (2014); Nasr G.E., Badr E.A., Joun C., Cross entropy error function in neural networks: Forecasting gasoline demand, FLAIRS Conference, (2002)</t>
  </si>
  <si>
    <t xml:space="preserve">et al.; Korea University; Shanghai Jiao Tong University; The University Adelaide; Ulster University; University of Alberta</t>
  </si>
  <si>
    <t xml:space="preserve">2016 International Conference on Machine Learning and Cybernetics, ICMLC 2016</t>
  </si>
  <si>
    <t xml:space="preserve">10 July 2016 through 13 July 2016</t>
  </si>
  <si>
    <t xml:space="preserve">2160133X</t>
  </si>
  <si>
    <t xml:space="preserve">978-150900389-1</t>
  </si>
  <si>
    <t xml:space="preserve">Proc. Int. Conf. Mach. Learn. Cybern.</t>
  </si>
  <si>
    <t xml:space="preserve">2-s2.0-85021149384</t>
  </si>
  <si>
    <t xml:space="preserve">Alim A.; Bilal N.E.; Abass A.-E.; Elhassan E.M.; Mohmmed A.A.; Adam I.</t>
  </si>
  <si>
    <t xml:space="preserve">Alim, Ammar (56611658000); Bilal, Naser E. (6604057167); Abass, Awad-Elkareem (56611627900); Elhassan, Elhassan M. (6602638801); Mohmmed, Ahmed A. (21934768900); Adam, Ishag (7006543992)</t>
  </si>
  <si>
    <t xml:space="preserve">56611658000; 6604057167; 56611627900; 6602638801; 21934768900; 7006543992</t>
  </si>
  <si>
    <t xml:space="preserve">Complement activation, placental malaria infection, and birth weight in areas characterized by unstable malaria transmission in central Sudan</t>
  </si>
  <si>
    <t xml:space="preserve">Background: The pathogenesis of malaria during pregnancy is not completely understood. There are few published data on complement activation and malaria during pregnancy. This study aimed to investigate complement activation and malaria during pregnancy, and their association with hemoglobin and birth weight. Methods: A cross-sectional study was conducted at Medani, Sudan. Soluble terminal complement complex (TCC) levels were measured using ELISA in maternal and cord blood samples from 126 parturient women. Results: There were no Plasmodium falciparum-positive blood films from maternal peripheral blood, the placenta, or cord blood samples. Three (2.4%) and 22 (17.5%) of the placentas showed chronic and previous infection with histopathological examination, respectively, while 101 (80.2%) of them had no malaria infection. The mean [SD] of the maternal (22.4 [6.1] vs. 26.5 [3.5] ng/ml, P&lt;0.001) and cord blood (24.5 [4.5] vs. 26.8 [4.4] ng/ml, P=0.024) TCC levels were significantly lower in cases of placental malaria infection (n=25) than in those without placental malaria infection (n=101). Linear regression showed that placental malaria infection was significantly associated with birth weight (-0.353g, P=0.013), but there were no associations between maternal and cord TCC levels and maternal hemoglobin, or between TCC levels and birth weight. Conclusion: Maternal and cord blood TCC levels are lower in women with placental malaria infection than in those without placental malaria infection. © 2015 Alim et al.</t>
  </si>
  <si>
    <t xml:space="preserve">Diagnostic Pathology</t>
  </si>
  <si>
    <t xml:space="preserve">10.1186/s13000-015-0275-3</t>
  </si>
  <si>
    <t xml:space="preserve">https://www.scopus.com/inward/record.uri?eid=2-s2.0-84928713457&amp;doi=10.1186%2fs13000-015-0275-3&amp;partnerID=40&amp;md5=79e5ffe0322f969d7fd162e8353bd533</t>
  </si>
  <si>
    <t xml:space="preserve">University of Khartoum, Faculty of Medical laboratory Sciences, Khartoum, Sudan; University of Geziera, Faculty of Medicine, Medani, Sudan; Ribat University, Faculty of Medicine, Khartoum, Sudan; University of Khartoum, Faculty of Medicine, Khartoum, Sudan</t>
  </si>
  <si>
    <t xml:space="preserve">Alim A., University of Khartoum, Faculty of Medical laboratory Sciences, Khartoum, Sudan; Bilal N.E., University of Khartoum, Faculty of Medical laboratory Sciences, Khartoum, Sudan; Abass A.-E., University of Khartoum, Faculty of Medical laboratory Sciences, Khartoum, Sudan; Elhassan E.M., University of Geziera, Faculty of Medicine, Medani, Sudan; Mohmmed A.A., Ribat University, Faculty of Medicine, Khartoum, Sudan; Adam I., University of Khartoum, Faculty of Medicine, Khartoum, Sudan</t>
  </si>
  <si>
    <t xml:space="preserve">Birth weight; Complement; Hemoglobin; Malaria; Pregnancy; Sudan</t>
  </si>
  <si>
    <t xml:space="preserve">Biomarkers; Birth Weight; Complement Activation; Cross-Sectional Studies; Enzyme-Linked Immunosorbent Assay; Female; Fetal Blood; Hemoglobins; Humans; Infant, Low Birth Weight; Infant, Newborn; Infectious Disease Transmission, Vertical; Linear Models; Malaria, Falciparum; Multivariate Analysis; Odds Ratio; Placenta; Plasmodium falciparum; Pregnancy; Pregnancy Complications, Infectious; Risk Factors; Sudan; biological marker; hemoglobin; birth weight; blood; complement activation; cross-sectional study; enzyme linked immunosorbent assay; female; fetus blood; human; immunology; isolation and purification; low birth weight; Malaria, Falciparum; multivariate analysis; newborn; odds ratio; parasitology; placenta; Plasmodium falciparum; pregnancy; Pregnancy Complications, Infectious; risk factor; statistical model; Sudan; transmission; vertical transmission</t>
  </si>
  <si>
    <t xml:space="preserve">hemoglobin, 9008-02-0; Biomarkers, ; Hemoglobins, </t>
  </si>
  <si>
    <t xml:space="preserve">Dellicour S., Tatem A.J., Guerra C.A., Snow R.W., Kuile F.O., Quantifying the number of pregnancies at risk of malaria in 2007: a demographic study, PLoS Med, 7, (2010); Desai M., Kuile F.O., Nosten F., McGready R., Asamoa K., Brabin B., Et al., Epidemiology and burden of malaria in pregnancy, Lancet Infect Dis, 7, pp. 93-104, (2007); Menendez C., Ordi J., Ismail M.R., Ventura P.J., Aponte J.J., Kahigwa E., Et al., The impact of placental malaria on gestational age and birth weight, J Infect Dis, 181, pp. 1740-1745, (2000); Rogerson S.J., Pollina E., Getachew A., Tadesse E., Lema V.M., Molyneux M.E., Placental monocyte infiltrates in response to Plasmodium falciparum malaria infection and their association with adverse pregnancy outcomes, Am J Trop Med Hyg, 68, pp. 115-119, (2003); Ahmed R., Singh N., Kuile F.O., Bharti P.K., Singh P.P., Desai M., Et al., Placental infections with histologically confirmed Plasmodium falciparum are associated with adverse birth outcomes in India: a cross-sectional study, Malar J, 13, (2014); Ali A.A., Elhassan E.M., Magzoub M.M., Elbashir M.I., Adam I., Hypoglycaemia and severe Plasmodium falciparum malaria among pregnant Sudanese women in an area characterized by unstable malaria transmission, Parasit Vectors, 4, (2011); Adam I., Khamis A.H., Elbashir M.I., Prevalence and risk factors for anaemia in pregnant women of eastern Sudan, Trans R Soc Trop Med Hyg, 99, pp. 739-743, (2005); Mohammed A.H., Salih M.M., Elhassan E.M., Mohmmed A.A., Elzaki S.E., El-Sayed B.B., Et al., Submicroscopic Plasmodium falciparum malaria and low birth weight in an area of unstable malaria transmission in Central Sudan, Malar J, 12, (2013); Umbers A.J., Aitken E.H., Rogerson S.J., Malaria in pregnancy: small babies, big problem, Trends Parasitol, 27, pp. 168-175, (2011); Guo R.F., Ward P.A., Role of C5a in inflammatory responses, Annu Rev Immunol, 23, pp. 821-852, (2005); Silver K.L., Higgins S.J., McDonald C.R., Kain K.C., Complement driven innate immune response to malaria: fuelling severe malarial diseases, Cell Microbiol, 12, pp. 1036-1045, (2010); Langer H.F., Chung K.J., Orlova V.V., Choi E.Y., Kaul S., Kruhlak M.J., Et al., Complement-mediated inhibition of neovascularization reveals a point of convergence between innate immunity and angiogenesis, Blood, 116, pp. 4395-4403, (2010); Conroy A., Serghides L., Finney C., Owino S.O., Kumar S., Gowda D.C., Et al., C5a enhances dysregulated inflammatory and angiogenic responses to malaria in vitro: potential implications for placental malaria, PLoS One, 4, (2009); Muehlenbachs A., Fried M., Lachowitzer J., Mutabingwa T.K., Duffy P.E., Genome-wide expression analysis of placental malaria reveals features of lymphoid neogenesis during chronic infection, J Immunol, 179, pp. 557-565, (2007); Walport M.J., Complement. First of two parts, N Engl J Med, 344, pp. 1058-1066, (2001); Khattab A., Kremsner P.G., Meri S., Complement activation in primiparous women from a malaria endemic area is associated with reduced birth weight, Placenta, 34, pp. 162-167, (2013); Malik E.M., Atta H.Y., Weis M., Lang A., Puta C., Lettenmaier C., Sudan Roll Back Malaria Consultative Mission: Essential Actions to Support the Attainment of the Abuja Targets, (2004); Salih M.M., Mohammed A.H., Mohmmed A.A., Adam G.K., Elbashir M.I., Adam I., Monocytes and macrophages and placental malaria infections in an area of unstable malaria transmission in eastern Sudan, Diagn Pathol, 6, (2011); Adam I., Babiker S., Mohmmed A.A., Salih M.M., Prins M.H., Zaki Z.M., ABO blood group system and placental malaria in an area of unstable malaria transmission in eastern Sudan, Malar J, 6, (2007); Bulmer J.N., Rasheed F.N., Francis N., Morrison L., Greenwood B.M., Placental malaria I. Pathological classification, Histopathology, 22, pp. 211-218, (1993); Bulmer J.N., Rasheed F.N., Morrison L., Francis N., Greenwood B.M., Placental malaria II. A semi-quantitative investigation of the pathological features, Histopathology, 22, pp. 219-225, (1993); Batran S.E., Salih M.M., Elhassan E.M., Mohmmed A.A., Adam I., CD20, CD3, placental malaria infections and low birth weight in an area of unstable malaria transmission in Central Sudan, Diagn Pathol, 8, (2013); Bayoumi N.K., Bakhet K.H., Mohmmed A.A., Eltom A.M., Elbashir M.I., Mavoungou E., Et al., Cytokine profiles in peripheral, placental and cord blood in an area of unstable malaria transmission in eastern Sudan, J Trop Pediatr, 55, pp. 233-237, (2009); Bedu-Addo G., Gai P.P., Meese S., Eggelte T.A., Thangaraj K., Mockenhaupt F.P., Reduced prevalence of placental malaria in primiparae with blood group O, Malar J, 13, (2014); Rowe J.A., Handel I.G., Thera M.A., Deans A.M., Lyke K.E., Kone A., Et al., Blood group O protects against severe Plasmodium falciparum malaria through the mechanism of reduced rosetting, Proc Natl Acad Sci U S A, 104, pp. 17471-17476, (2007)</t>
  </si>
  <si>
    <t xml:space="preserve">I. Adam; University of Khartoum, Faculty of Medicine, Khartoum, Sudan; email: ishagadam@hotmail.com</t>
  </si>
  <si>
    <t xml:space="preserve">Diagn. Pathol.</t>
  </si>
  <si>
    <t xml:space="preserve">2-s2.0-84928713457</t>
  </si>
  <si>
    <t xml:space="preserve">Ito M.M.; Catanhêde L.M.; Katsuragawa T.H.; da Silva Junior C.F.; Camargo L.M.A.; Mattos R.D.G.; Vilallobos-Salcedo J.M.</t>
  </si>
  <si>
    <t xml:space="preserve">Ito, Marcos Massayuki (56797137400); Catanhêde, Lilian Motta (56798643600); Katsuragawa, Tony Hiroshi (16425744800); da Silva Junior, Cipriano Ferreira (56798185400); Camargo, Luis Marcelo Aranha (6506517726); Mattos, Ricardo de Godoi (56797919300); Vilallobos-Salcedo, Juan Miguel (56798393200)</t>
  </si>
  <si>
    <t xml:space="preserve">56797137400; 56798643600; 16425744800; 56798185400; 6506517726; 56797919300; 56798393200</t>
  </si>
  <si>
    <t xml:space="preserve">Correlation between presence of Leishmania RNA virus 1 and clinical characteristics of nasal mucosal leishmaniosis</t>
  </si>
  <si>
    <t xml:space="preserve">Introduction: Mucosal leishmaniosis (ML) is a severe clinical form of leishmaniosis. Complex factors related to the parasite and the host are attributed to the development of mucosal lesions. Leishmania RNA virus 1 (LRV1) can disrupt immune response, and may be the main determinant of severity of the disease; it should be investigated. Objective: To study the existence of clinical differences between patients with ML with endosymbiosis by LRV1 and. those without it. Methods: A cross-sectional cohort study with clinical evaluation, polymerase chain reaction (PCR) detection of Leishmania, species classification, and search of LRV1 was performed. Only patients with confirmed diagnosis of ML by positive PCR and with nasal mucosa injuries were included in this analysis. Results: Out of 37 patients, 30 (81.1%) were diagnosed with Leishmania braziliensis, five (13.5%) with Leishmania guyanensis, and two (5.4%) with mixed infection of L. braziliensis and L. guyanensis. LVR1 virus was present in 26 (70.3%) of the cases. Conclusion: Correlation between clinical phenotype and presence of LRV1 was not observed, although the frequency of the virus is two-fold higher in mucosal lesions than that found in the literature on skin lesions in the same geographical area. © 2015 Associação Brasileira de Otorrinolaringologia e Cirurgia Cérvico-Facial.</t>
  </si>
  <si>
    <t xml:space="preserve">Brazilian Journal of Otorhinolaryngology</t>
  </si>
  <si>
    <t xml:space="preserve">Elsevier Editora Ltda</t>
  </si>
  <si>
    <t xml:space="preserve">10.1016/j.bjorl.2015.07.014</t>
  </si>
  <si>
    <t xml:space="preserve">https://www.scopus.com/inward/record.uri?eid=2-s2.0-84942190751&amp;doi=10.1016%2fj.bjorl.2015.07.014&amp;partnerID=40&amp;md5=e86ed08b4844cc408cd8cd5e073e4476</t>
  </si>
  <si>
    <t xml:space="preserve">Health Science, Universidade Federal de Rondônia (UNIR), Porto Velho, RO, Brazil; Fundação Osvaldo Cruz (FIOCRUZ), Porto Velho, RO, Brazil; Universidade Federal de Rondônia (UNIR), Porto Velho, RO, Brazil; Universidade de São Paulo (USP), São Paulo, SP, Brazil</t>
  </si>
  <si>
    <t xml:space="preserve">Ito M.M., Health Science, Universidade Federal de Rondônia (UNIR), Porto Velho, RO, Brazil; Catanhêde L.M., Fundação Osvaldo Cruz (FIOCRUZ), Porto Velho, RO, Brazil; Katsuragawa T.H., Universidade Federal de Rondônia (UNIR), Porto Velho, RO, Brazil; da Silva Junior C.F., Health Science, Universidade Federal de Rondônia (UNIR), Porto Velho, RO, Brazil; Camargo L.M.A., Universidade de São Paulo (USP), São Paulo, SP, Brazil; Mattos R.D.G., Fundação Osvaldo Cruz (FIOCRUZ), Porto Velho, RO, Brazil; Vilallobos-Salcedo J.M., Fundação Osvaldo Cruz (FIOCRUZ), Porto Velho, RO, Brazil, Universidade Federal de Rondônia (UNIR), Porto Velho, RO, Brazil, Universidade de São Paulo (USP), São Paulo, SP, Brazil</t>
  </si>
  <si>
    <t xml:space="preserve">Leishmania braziliensis; Leishmania guyanensis; Leishmaniavirus; Leishmaniosis; Leishmaniosis mucocutaneous</t>
  </si>
  <si>
    <t xml:space="preserve">Adolescent; Adult; Aged; Child; Child, Preschool; Cohort Studies; Cross-Sectional Studies; Female; Humans; Infant; Infant, Newborn; Leishmania; Leishmaniasis, Mucocutaneous; Leishmaniavirus; Male; Middle Aged; Nasal Mucosa; Phenotype; Polymerase Chain Reaction; RNA Viruses; Severity of Illness Index; Young Adult; formaldehyde; lidocaine; toll like receptor 3; adult; Article; clinical article; clinical evaluation; clinical observation; cohort analysis; cross-sectional study; diagnostic accuracy; endosymbiosis; female; histopathology; human; immune response; Leishmania; Leishmania guyanensis; leishmaniasis; male; microscopy; mixed infection; nasal mucosal leishmaniosis; nose obstruction; otorhinolaryngology; outpatient department; Papanicolaou test; phenotype; polymerase chain reaction; RNA extraction; RNA virus; ulcer; adolescent; aged; child; classification; genetics; infant; Leishmaniavirus; middle aged; newborn; nose mucosa; parasitology; preschool child; RNA virus; severity of illness index; skin leishmaniasis; virology; young adult</t>
  </si>
  <si>
    <t xml:space="preserve">formaldehyde, 50-00-0; lidocaine, 137-58-6, 24847-67-4, 56934-02-2, 73-78-9</t>
  </si>
  <si>
    <t xml:space="preserve">Alvar J., Velez I.D., Bern C., Herrero M., Desjeux F., Cano J., Et al., The WHO Leishmaniasis Control Team Leishmaniasis Worldwide and global estimates of its incidence, PLoS ONE, 7, (2012); Vega J.C., Sanchez B.F., Montero L.M., Montana R., Mahecha M.P., Duenes B., Et al., The cost-effectiveness of cutaneous leishmaniasis patient management during an epidemic in Chaparral, Colombia in 2004, Trop Med Int Health, 12, pp. 1540-1544, (2007); Manual de Vigilância da Leishmaniose Tegumentar Americana. Segunda Edição Atualizada, pp. 17-31, (2010); Vale E., Furtado T., Leishmaniose tegumentar no Brasil: revisão histórica da origem, expansão e etiologia, An Bras Dermatol, 80, pp. 421-428, (2005); Altamirano-Enciso A.J., Marzochi M.C.A., Moreira J.S., Schubach A.O., Marzochi K.B.F., On the origin and spread of cutaneous and mucosal leishmaniasis, based on pre- and post-Colombian historical sources, Hist Cienc Saúde-Manguinhos, 10, pp. 853-882, (2003); Lainson R., The Neotropical Leishmania species: a brief historical review of their discovery, ecology and taxonomy, Rev Pan-Amaz Saúde, 1, pp. 13-32, (2010); Cupolillo E., Grimaldi G., Momen H., A general classification of New World Leishmania using numerical zymotaxonomy, Am J Trop Med Hyg, 50, pp. 296-311, (1994); Lessa M.M., Lessa H.A., Castro T.W.N., Oliveira A., Scheifer A., Machado P., Et al., Mucosal leishmaniasis: epidemiological and clinical aspects, Braz J Otorhinolaryngol, 73, pp. 843-847, (2007); Guerra J.A.O., Prestes S.R., Silveira H., Coelho L.I.A.R.C., Gama P., Moura A., Et al., Mucosal Leishmaniasis caused by Leishmania (Viannia) braziliensis and Leishmania (Viannia) guyanensis in the Brazilian Amazon, PLoS Negl Trop Dis, 8, (2011); Lessa H.A., Lessa M.M., Guimaraes L.H., Lima C.M., Arruda S., Machado P.R., Et al., A proposed new clinical staging system for patients with mucosal leishmaniasis, Trans R Soc Trop Med Hyg, 106, pp. 376-381, (2012); Diniz J.L.C., Costa M.O.R., Goncalves D.U., Mucocutaneous Leishmaniasis: clinical markers in presumptive diagnosis, Braz J Otorhinolaryngol, 77, pp. 380-384, (2011); Figueroa R., Lozano L.E., Romero I.C., Cardona M.T., Prager M., Pacheco R., Et al., Detection of Leishmania in unaffected mucosal tissues of patients with cutaneous Leishmaniasis caused by Leishmania (Viannia) Species, J Infect Dis, 200, pp. 638-646, (2009); Ives A., Ronet C., Prevel F., Ruzzante G., Fuertes-Marraco S., Schutz F., Et al., Leishmania RNA virus controls the severity of mucocutaneous, Science, 331, pp. 775-778, (2011); Reis L.C., Brito M.E.F., Souza M.A., Pereira M.R.A., Mecanismos imunológicos na resposta celular e humoral na leishmaniose tegumentar americana, RPT, 35, pp. 103-115, (2006); Ronet C., Beverley S.M., Fasell F.N., Muco-cutaneous leishmaniasis in the New World: the ultimate subversion, Virulence, 2, pp. 547-552, (2011); Manual de Vigilância da Leishmaniose Tegumentar Americana. Segunda Edição Atualizada, pp. 33-41, (2010); Carvalho L.P., Passos S., Bacellar O., Lessa M., Almeida R.P., Magalhaes A., Et al., Differential Immune regulation of activated T cells between cutaneous and mucosal leishmaniasis as a model for pathogenesis, Parasite Immunol, 29, pp. 251-258, (2007); Bacellar O., Lessa H., Schriefer A., Machado P., Jesus A.R., Dutra W.O., Et al., Up-regulation of Th1-type responses in mucosal leishmaniasis patients, Infect Immun, 70, pp. 6734-6740, (2002); Hartley M.A., Ronet C., Zangger H., Beverley S.M., Fasel N., Leishmania RNA virus: when the host pays the toll, Front Cell Infect Microbiol Microbiol, 2, pp. 1-15, (2012); Widmer G., Dooley S., Phylogenetic analysis of Leishmania RNA virus and Leishmania suggests ancient virus-p3arasite association, Nucleic Acids Res, 23, pp. 2300-2304, (1995); Zangger H., Ronet C., Desponds C., Kuhlmann F.M., Robinson J., Hartley M.A., Et al., Detection of Leishmania RNA virus in Leishmania, Parasites PLoS Negl Trop Dis, 7, pp. e-2006, (2013); Pereira L.O.R., Maretti-Mira A.C., Rodrigues K.M., Lima R.B., Oliveira-Neto M.P., Cupolillo E., Et al., Severity of tegumentary leishmaniasis is not exclusively associated with Leishmania RNA virus 1 infection in Brazil, Mem Inst Oswaldo Cruz, 108, pp. 665-667, (2013); Medeiros A.C.R., Rodrigues S.S., Roselino A.M.F., Comparação entre a especificidade do PCR e detecção histopatológico de leishmania para o diagnóstico da leishmaniose cutânea americana, Braz J Med Biol Res, 35, pp. 421-424, (2002); Weirather J.L., Jeronimo S.M.B., Gautam S., Sundar S., Kang M., Kurtz M.A., Et al., Serial quantitative PCR assay for detection, species discrimination and quantification of Leishmania spp. in Human Samples, J Clin Microbiol, 49, pp. 3892-3904, (2011); Ogg M.M., Carrion R., Botelho J.R.A.C.C., Mayrink W., Correa-Oliveira R., Patterson J.L., Short report: quantification of leishmaniavirus RNA in clinical Samples and its possible role in pathogenesis, Am J Trop Med Hyg, 69, pp. 309-313, (2003); Silva N., Muniz V., Epidemiologia da leishmaniose tegumentar americana no Estado do Acre, Amazônia brasileira, Cad Saude Publica, 25, pp. 1325-1336, (2009); Basano S.A., Camargo L.M.A., Leishmaniose tegumentar americana: histórico, epidemiologia e perspectivas de controle, Rev Bras Epidemiol, 7, pp. 328-337, (2004); Sistema de Informação de Agravos de Notificação (SINAN); Cupolillo E., Brahim L.R., Toaldo C.B., Oliveira-Neto M.P., Brito M.E., Falqueto A., Genetic polymorphism and molecular epidemiology of Leishmania (Viannia) braziliensis from different hosts and geographic areas in Brazil, J Clin Microbiol, 41, pp. 3126-3132, (2003); Cantanhede L.M., Detecção de leishmaniavírus em amostras de pacientes com leishmaniose tegumentar americana atendidos no centro de medicina tropical de Rondônia. CEMETRON, (2013)</t>
  </si>
  <si>
    <t xml:space="preserve">M.M. Ito; Health Science, Universidade Federal de Rondônia (UNIR), Porto Velho, RO, Brazil; email: marcosmassayuki@uol.com.br</t>
  </si>
  <si>
    <t xml:space="preserve">Brazilian J. Otorhinolaryngol.</t>
  </si>
  <si>
    <t xml:space="preserve">2-s2.0-84942190751</t>
  </si>
  <si>
    <t xml:space="preserve">Mulu A.; Anagaw B.; Gelaw A.; Ota F.; Kassu A.; Yifru S.</t>
  </si>
  <si>
    <t xml:space="preserve">Mulu, Andargachew (11540843300); Anagaw, Belay (35738529300); Gelaw, Aschalew (25936192800); Ota, Fuso (24540938800); Kassu, Afework (6602721337); Yifru, Sisay (23007308600)</t>
  </si>
  <si>
    <t xml:space="preserve">11540843300; 35738529300; 25936192800; 24540938800; 6602721337; 23007308600</t>
  </si>
  <si>
    <t xml:space="preserve">Effect of deworming on Th2 immune response during HIV-helminths co-infection</t>
  </si>
  <si>
    <t xml:space="preserve">Background: Helminths infections have been suggested to worsen the outcome of HIV infection by polarizing the immune response towards Th2. The purpose of this study is to determine the activity of Th2 immune response by measuring total serum IgE level during symptomatic and asymptomatic HIV infection with and without helminths co-infection and to define the role of deworming and/or ART on kinetics of serum IgE. Methods: This prospective comparative study was conducted among symptomatic HIV-1 infected adults, treatment naïve asymptomatic HIV positive individuals and HIV negative apparently healthy controls with and without helminths co-infection. Detection and quantification of helminths and determination of serum IgE level, CD4+, and CD8+ T cell count were done at baseline and 12 weeks after ART and/or deworming. Results: HIV patients co-infected with helminths showed a high level of serum IgE compared to HIV patients without helminths co-infection (1,688 [IQR 721-2,473] versus 1,221 [IQR 618-2,289] IU/ml; P = 0.022). This difference was also markedly observed between symptomatic HIV infected patients after with and without helminths infection (1,690 [IQR 1,116-2,491] versus 1,252 [703-2,251] IU/ml; P = 0.047). A significant decline in serum IgE level was observed 12 weeks after deworming and ART of symptomatic HIV infected patients with (1,487 versus 992, P = 0.002) and without (1,233 versus 976 IU/ml, P = 0.093) helminths co-infection. However, there was no significant decrease in serum IgE level among asymptomatic HIV infected individuals (1,183 versus 1,097 IU/ml, P = 0.13) and apparently health controls (666 IU/ml versus 571, P = 0.09) without helminths co-infection 12 weeks after deworming. Conclusions: The significant decline of serum IgE level 12 weeks after deworming of both symptomatic and asymptomatic patients indicate a tendency to down-regulate the Th2 immune response and is additional supportive evidence that deworming positively impacts HIV/AIDS diseases progression. Thus, deworming should be integrated with ART program in helminths endemic areas of tropical countries. © 2015 Mulu et al.</t>
  </si>
  <si>
    <t xml:space="preserve">Journal of Translational Medicine</t>
  </si>
  <si>
    <t xml:space="preserve">10.1186/s12967-015-0600-3</t>
  </si>
  <si>
    <t xml:space="preserve">https://www.scopus.com/inward/record.uri?eid=2-s2.0-84937197583&amp;doi=10.1186%2fs12967-015-0600-3&amp;partnerID=40&amp;md5=06839883ba29587be55dacbb3feb01da</t>
  </si>
  <si>
    <t xml:space="preserve">University of Gondar, Department of Microbiology, College of Medicine and Health Sciences, Gondar, Ethiopia; Leipzig University, Institute of Virology, Johannisallee 30, Leipzig, 04103, Germany; The University of Tokushima, Department of Preventive Environment and Nutrition, Graduate School of Nutrition and Bioscience, Institute of Health Biosciences, Tokushima, 770-8503, Japan; University of Gondar, Department of Pediatrics and Child Health, College of Medicine and Health Sciences, Gondar, Ethiopia</t>
  </si>
  <si>
    <t xml:space="preserve">Mulu A., University of Gondar, Department of Microbiology, College of Medicine and Health Sciences, Gondar, Ethiopia, Leipzig University, Institute of Virology, Johannisallee 30, Leipzig, 04103, Germany; Anagaw B., University of Gondar, Department of Microbiology, College of Medicine and Health Sciences, Gondar, Ethiopia; Gelaw A., University of Gondar, Department of Microbiology, College of Medicine and Health Sciences, Gondar, Ethiopia; Ota F., The University of Tokushima, Department of Preventive Environment and Nutrition, Graduate School of Nutrition and Bioscience, Institute of Health Biosciences, Tokushima, 770-8503, Japan; Kassu A., University of Gondar, Department of Microbiology, College of Medicine and Health Sciences, Gondar, Ethiopia; Yifru S., University of Gondar, Department of Pediatrics and Child Health, College of Medicine and Health Sciences, Gondar, Ethiopia</t>
  </si>
  <si>
    <t xml:space="preserve">ART; Deworming; Ethiopia; Helminths; IgE; Th2</t>
  </si>
  <si>
    <t xml:space="preserve">Adult; Albendazole; Animals; Anthelmintics; Case-Control Studies; CD4-Positive T-Lymphocytes; CD8-Positive T-Lymphocytes; Coinfection; Disease Progression; Ethiopia; Female; Helminthiasis; Helminths; HIV Infections; Humans; Immunoglobulin E; Lymphocyte Count; Male; Prognosis; Prospective Studies; Th2 Cells; Treatment Outcome; Young Adult; albendazole; immunoglobulin E; praziquantel; anthelmintic agent; immunoglobulin E; adult; antiviral therapy; Article; Ascaris lumbricoides; CD4+ T lymphocyte; CD8+ T lymphocyte; controlled clinical trial; controlled study; disease course; down regulation; Entamoeba histolytica; Ethiopia; female; Giardia intestinalis; helminthiasis; hookworm; human; Human immunodeficiency virus 1; Human immunodeficiency virus infection; Hymenolepis nana; immune response; major clinical study; male; mixed infection; nematode; prospective study; protein blood level; Schistosoma mansoni; schistosomiasis mansoni; single drug dose; Strongyloide stercoralis; Taenia saginata; Th2 cell; treatment response; Trichuris trichiura; university hospital; worm expulsion; animal; blood; case control study; comparative study; cytology; helminth; helminthiasis; Human immunodeficiency virus infection; immunology; lymphocyte count; mixed infection; parasitology; prognosis; Th2 cell; treatment outcome; virology; young adult</t>
  </si>
  <si>
    <t xml:space="preserve">albendazole, 54965-21-8; immunoglobulin E, 37341-29-0; praziquantel, 55268-74-1; Albendazole, ; Anthelmintics, ; Immunoglobulin E, </t>
  </si>
  <si>
    <t xml:space="preserve">University of Thokushuma Japan; University of Gondar, UoG</t>
  </si>
  <si>
    <t xml:space="preserve">The authors would like to thank all study participants. We are great full for the technical assistance of Mrs Martha Alemayehu, Mrs Atede Atnafu and Mr Terefe Teshome. This work was supported partly by Gondar University Research and Community Service, Amhara Regional HIV/AIDS Control and Prevention Office and the University of Thokushuma Japan.</t>
  </si>
  <si>
    <t xml:space="preserve">MacDonald A.S., Araujo M.I., Pearce E.J., Immunology of parasitic helminth infections, Infect Immun, 70, pp. 427-433, (2002); Secord E.A., Kleiner G.I., Auci D.L., Smith-Norowitz T., Chice S., Finkielstein A., Et al., IgE against HIV proteins in clinically healthy children with HIV disease, J Allergy Clin Immunol, 98, pp. 980-984, (1998); Park J.H., Shin B.C., Do B.H., Oh J.T., Lee J.M., Kim S.W., Et al., Serum IgE levels in Korean patients with human immunodeficiency virus infection, Korean J Intern Med, 17, pp. 88-93, (2002); Bentwich Z., Kalinkovich A., Weisman Z., Immune activation is a dominant factor in the pathogenesis of African AIDS, Immunol Today, 16, pp. 187-191, (1995); Kalinkovich A., Weisman Z., Bentwich Z., Role of TH1 and TH2 in the pathogenesis of AIDS and various other diseases, Harefuah, 128, pp. 228-233, (1995); Bentwich Z., Weisman Z., Moroz C., Bar-Yehuda S., Kalinkovich A., Immune dysregulation in Ethiopian immigrants in Israel: relevance to helminth infections?, Clin Exp Immunol, 103, pp. 239-243, (1996); Kalinkovich A., Weisman Z., Bentwich Z., Chemokines and chemokine receptors: role in HIV infection, Immunol Lett, 68, pp. 281-287, (1999); Bentwich Z., Maartens G., Torten D., Lal A.A., Lal R.B., Concurrent infections and HIV pathogenesis, AIDS, 14, pp. 2071-2081, (2000); Kassu A., Tsegaye A., Wolday D., Petros B., Aklilu M., Sanders E.J., Et al., Role of incidental and/or cured intestinal parasitic infections on profile of CD4&lt;sup&gt;+&lt;/sup&gt; and CD8&lt;sup&gt;+&lt;/sup&gt; T cell subsets and activation status in HIV-1 infected and uninfected adult Ethiopians, Clin Exp Immunol, 132, pp. 113-119, (2003); Borkow G., Bentwich Z., Symptomatic immune activation associated with symptomatic helminthic and human immunodeficiency virus infections: role of hyporesponsiveness and anergy, Clin Microbiol Rev, 17, pp. 1012-1030, (2004); Bentwich Z., Kalinkovich A., Weisman Z., Borkow G., Beyers N., Beyers A.D., Et al., Can eradication of helminthic infections change the face of AIDS and tuberculosis?, Immunol Today, 20, pp. 485-487, (1999); Brazille P., Dereuddre-Bosquet N., Leport C., Clayette P., Boyer O., Vilde J.L., Et al., Decreases in plasma TNF-alpha level and IFN-gamma mRNA level in peripheral blood mononuclear cells (PBMC) and an increase in IL-2 mRNA level in PBMC are associated with effective highly active antiretroviral therapy in HIV-infected patients, Clin Exp Immunol, 131, pp. 304-311, (2003); Tilling R., Kinloch S., Goh L.E., Cooper D., Perrin L., Lampe F., Et al., Parallel decline of CD8&lt;sup&gt;+&lt;/sup&gt;/CD38&lt;sup&gt;++&lt;/sup&gt; T cells and viraemia in response to quadruple highly active antiretroviral therapy in primary HIV infection, AIDS, 16, pp. 589-596, (2002); Kassu A., Mohammad A., Fujimaki Y., Moges F., Elias D., Mekonnen F., Et al., Serum IgE levels of tuberculosis patients in a tropical setup with high prevalence of HIV and intestinal parasitoses, Clin Exp Immunol, 138, pp. 122-127, (2004); Gelaw A., Abate E., Idh J., Mulu A., Anagaw B., Belyhun Y., Et al., Plasma IgE level and eosinophil count in smear positive tuberculosis patients with and without helminthic infections at Gondar University Hospital, Northwest Ethiopia, Eur J Exp Biol, 2, 6, pp. 2010-2014, (2012); Amare B., Belyhun Y., Moges B., Mulu A., Ota F., Tafess K., Et al., Serum IgE Levels of diarrheic patients in Northwest Ethiopia with high prevalence of HIV and intestinal parasitoses, J AIDS Clin Res, 3, (2012); Kassu A., Fujino M., Nishizawa M., Mulu A., Trineh M., Abate E., Et al., Levels of serum HIV-1 RNA viral load in tuberculosis patients with or without intestinal parasites during treatment of tuberculosis in Gondar, Ethiopia, Ethiop J Heal Biomed Sci, 1, 1, pp. 5-13, (2007); Mulu A., Maier M., Liebert U.G., Deworming of intestinal helminths reduces HIV-1 subtype C viremia in symptomatic co-infected individuals, Int J Infect Dis, (2013); Wolday D., Mayaan S., Mariam Z.G., Berhe N., Seboxa T., Britton S., Et al., Treatment of intestinal worms is associated with decreased HIV plasma viral load, J Acquir Immune Defic Syndr, 31, pp. 56-62, (2002); Lawn S.D., Karanja D.M., Mwinzia P., Andove J., Colley D.G., Folks T.M., Et al., The effect of treatment of schistosomiasis on blood plasma HIV-1 RNA concentration in coinfected individuals, AIDS, 14, pp. 2437-2443, (2000); Walson J.L., Herrin B.R., John-Stewart G., Deworming helminth co-infected individuals for delaying HIV disease progression, Cochrane Database Syst Rev, 3, (2009); Alexander P.E., De P., HIV-1 and intestinal helminth review update: Updating a Cochrane Review and building the case for treatment and has the time come to test and treat?, Parasite Immunology, 31, pp. 283-286, (2009); Interim WHO clinical staging of HIV/AIDS and HIV/AIDS case definitions for surveillance African region, (2005); Cheesbrough M., District laboratory practice in Tropical countries, Tropical health technology, pp. 192-198, (1998); Mkhize-Kwitshana Z., Taylor M., Jooste P., Mabaso M., Walzl G., The influence of different helminth infection phenotypes on immune responses against HIV in coinfected adults in South Africa, BMC Infect Dis, 11, (2011); McSorley H.J., Hewitson P.J., Maizels M.R., Immunomodulation by helminth parasites: defining mechanisms and mediators, Int J Parasitol, (2013); Sonaimuthu B., Baghyanathan V., Study on the functional role of immunoglobulin E as surrogate marker for HIV/AIDS infection, Retrovirology, 9, SUPPL 2, (2012); Dugas N., Dereuddre-Bosquet N., Goujard C., Dormont D., Tardieu M., Delfraissy J.F., Role of nitric oxide in the promoting effect of HIV type 1 infection and of gp 120 envelop glycoprotein on interleukin 4-induced IgE production by normal human mononuclear cells, AIDS Res Hum Retroviruses, 16, pp. 251-258, (2000); Haus M., Heese H., De V., Weinberg E.G., Potter P.C., Hall M.J., Et al., The influence of ethnicity, an atopic family history and maternal ascariasis on cord blood serum IgE concentrations, J Allergy Clin Immunol, 82, pp. 179-189, (1988); Abate E., Belayneh M., Gelaw A., Idh J., Getachew A., Alemu S., Et al., The impact of asymptomatic helminth co-infection in patients with newly diagnosed tuberculosis in north-west Ethiopia, PLoS One, 7, 8, (2012); Fehintola F.A., Ademowo O.G., Efficacy of cotrimoxazole-chloroquine in the treatment of Schistosoma mansoni, Trans R Soc Trop Med Hyg, 77, pp. 363-371, (2009); Messele T., Abdulkadir M., Fontanet A.L., Petros B., Hamann D., Koot M., Et al., Reduced naive and increased activated CD4 and CD8 cells in healthy adult Ethiopians compared with their Dutch counterparts, Clin Exp Immunol, 115, pp. 443-450, (1999); Mulu A., Liebert U.G., Maier M., Virological efficacy and immunological recovery among Ethiopian HIV-1 infected adults and children, BMC Infect Dis, 14, 1, (2014); Bundy D.A.P., Walson J.L., Watkins K.L., Worms, wisdom, and wealth: why deworming can make economic sense, Trends Parasitol, 29, 3, pp. 142-148, (2013)</t>
  </si>
  <si>
    <t xml:space="preserve">A. Mulu; University of Gondar, Department of Microbiology, College of Medicine and Health Sciences, Gondar, Ethiopia; email: andargachewmulu@yahoo.com</t>
  </si>
  <si>
    <t xml:space="preserve">J. Transl. Med.</t>
  </si>
  <si>
    <t xml:space="preserve">2-s2.0-84937197583</t>
  </si>
  <si>
    <t xml:space="preserve">Dhabangi A.; Ainomugisha B.; Cserti-Gazdewich C.; Ddungu H.; Kyeyune D.; Musisi E.; Opoka R.; Stowell C.P.; Dzik W.H.</t>
  </si>
  <si>
    <t xml:space="preserve">Dhabangi, Aggrey (36138681500); Ainomugisha, Brenda (56507298000); Cserti-Gazdewich, Christine (25031080300); Ddungu, Henry (13607010900); Kyeyune, Dorothy (6507768270); Musisi, Ezra (56428031900); Opoka, Robert (16040229000); Stowell, Christopher P. (7003675933); Dzik, Walter H. (55664679100)</t>
  </si>
  <si>
    <t xml:space="preserve">36138681500; 56507298000; 25031080300; 13607010900; 6507768270; 56428031900; 16040229000; 7003675933; 55664679100</t>
  </si>
  <si>
    <t xml:space="preserve">Effect of transfusion of red blood cells with longer vs shorter storage duration on elevated blood lactate levels in children with severe anemia the total randomized clinical trial</t>
  </si>
  <si>
    <t xml:space="preserve">IMPORTANCE Although millions of transfusions are given annually worldwide, the effect of red blood cell (RBC) unit storage duration on oxygen delivery is uncertain. OBJECTIVE To determine if longer-storage RBC units are not inferior to shorter-storage RBC units for tissue oxygenation as measured by reduction in blood lactate levels and improvement in cerebral tissue oxygen saturation among children with severe anemia. DESIGN, SETTING, AND PARTICIPANTS Randomized noninferiority trial of 290 children (aged 6-60 months), most with malaria or sickle cell disease, presenting February 2013 through May 2015 to a university-Affiliated national referral hospital in Kampala, Uganda, with a hemoglobin level of 5 g/dL or lower and a lactate level of 5 mmol/L or higher. INTERVENTIONS Patients were randomly assigned to receive RBC units stored 25 to 35 days (longer-storage group; n = 145) vs 1 to 10 days (shorter-storage group; n = 145). All units were leukoreduced prior to storage. All patients received 10 mL/kg of RBCs during hours 0 through 2 and, if indicated per protocol, an additional 10 mL/kg during hours 4 through 6. MAIN OUTCOMES AND MEASURES The primary outcomewas the proportion of patients with a lactate level of 3 mmol/L or lower at 8 hours using a margin of noninferiority equal to an absolute difference of 25%. Secondary measures included noninvasive cerebral tissue oxygen saturation during the first transfusion, clinical and laboratory changes up to 24 hours, and survival and health at 30 days after transfusion. Adverse eventswere monitored up to 24 hours. RESULTS In the total population of 290 children, the mean (SD) presenting hemoglobin level was 3.7 g/dL (1.3) and mean lactate level was 9.3 mmol/L (3.4). Median (interquartile range) RBC unit storage was 8 days (7-9) for shorter storage vs 32 days (30-34) for longer storage without overlap. The proportion achieving the primary end point was 0.61 (95%CI, 0.52 to 0.69) in the longer-storage group vs 0.58 (95%CI, 0.49 to 0.66) in the shorter-storage group (between-group difference, 0.03 [95%CI, ?0.07 to ∞], P &lt; .001), meeting the prespecified margin of noninferiority. Mean lactate levels were not statistically different between the 2 groups at 0, 2, 4, 6, 8, or 24 hours. Kaplan-Meier analysis and global nonlinear regression revealed no statistical difference in lactate reduction between the 2 groups. Clinical assessment, cerebral oxygen saturation, electrolyte abnormalities, adverse events, survival, and 30-day recovery were also not significantly different between the groups. CONCLUSIONS AND RELEVANCE Among children with lactic acidosis due to severe anemia, transfusion of longer-storage compared with shorter-storage RBC units did not result in inferior reduction of elevated blood lactate levels. These findings have relevance regarding the efficacy of stored RBC transfusion for patients with critical tissue hypoxia and lactic acidosis due to anemia. Copyright 2015 American Medical Association. All rights reserved.</t>
  </si>
  <si>
    <t xml:space="preserve">JAMA - Journal of the American Medical Association</t>
  </si>
  <si>
    <t xml:space="preserve">American Medical Association</t>
  </si>
  <si>
    <t xml:space="preserve">10.1001/jama.2015.13977</t>
  </si>
  <si>
    <t xml:space="preserve">https://www.scopus.com/inward/record.uri?eid=2-s2.0-84950140271&amp;doi=10.1001%2fjama.2015.13977&amp;partnerID=40&amp;md5=69b89efbcb208100652b701c097bd8d4</t>
  </si>
  <si>
    <t xml:space="preserve">Child Health and Development Centre, Makerere University, Kampala, Uganda; Mulago Hospital, Kampala, Uganda; University Health Network Laboratory Medicine Program, University of Toronto, Toronto, Canada; Uganda Cancer Institute, Makerere University, Kampala, Uganda; Uganda National Blood Transfusion Service, Kampala, Uganda; Mulago Hospital Department of Paediatrics, Makerere University, Kampala, Uganda; Blood Transfusion Service, Harvard Medical School, Massachusetts General Hospital, 55 Fruit St, Boston, 02114, MA, United States</t>
  </si>
  <si>
    <t xml:space="preserve">Dhabangi A., Child Health and Development Centre, Makerere University, Kampala, Uganda; Ainomugisha B., Mulago Hospital, Kampala, Uganda; Cserti-Gazdewich C., University Health Network Laboratory Medicine Program, University of Toronto, Toronto, Canada; Ddungu H., Uganda Cancer Institute, Makerere University, Kampala, Uganda; Kyeyune D., Uganda Cancer Institute, Makerere University, Kampala, Uganda; Musisi E., Uganda National Blood Transfusion Service, Kampala, Uganda; Opoka R., Uganda National Blood Transfusion Service, Kampala, Uganda; Stowell C.P., Mulago Hospital Department of Paediatrics, Makerere University, Kampala, Uganda; Dzik W.H., Blood Transfusion Service, Harvard Medical School, Massachusetts General Hospital, 55 Fruit St, Boston, 02114, MA, United States</t>
  </si>
  <si>
    <t xml:space="preserve">Acidosis, Lactic; Anemia; Brain; Child, Preschool; Erythrocyte Transfusion; Erythrocytes; Female; Hemoglobin A; Humans; Infant; Lactates; Male; Oxygen Consumption; Patient Outcome Assessment; Regression Analysis; Specimen Handling; Time Factors; Treatment Outcome; Uganda; bicarbonate; carbon dioxide; creatinine; hemoglobin; lactic acid; potassium; hemoglobin A; lactic acid derivative; anemia; anion gap; Article; blood storage; cause of death; child; coma; controlled study; erythrocyte transfusion; face disorder; female; human; infant; lactate blood level; lactic acidosis; length of stay; major clinical study; malaria; male; oxygen saturation; parallel design; priority journal; randomized controlled trial; respiratory distress; sickle cell anemia; stupor; survival; treatment outcome; urea nitrogen blood level; urticaria; vomiting; Acidosis, Lactic; anemia; blood; brain; complication; erythrocyte; laboratory diagnosis; metabolism; mortality; outcome assessment; oxygen consumption; physiology; preschool child; procedures; regression analysis; time; Uganda</t>
  </si>
  <si>
    <t xml:space="preserve">bicarbonate, 144-55-8, 71-52-3; carbon dioxide, 124-38-9, 58561-67-4; creatinine, 19230-81-0, 60-27-5; hemoglobin, 9008-02-0; lactic acid, 113-21-3, 50-21-5; potassium, 7440-09-7; hemoglobin A, 9034-51-9; Hemoglobin A, ; Lactates, </t>
  </si>
  <si>
    <t xml:space="preserve">National Heart, Lung, and Blood Institute, NHLBI, (R21HL109518)</t>
  </si>
  <si>
    <t xml:space="preserve">Blood Safety and Availability; Zimring J.C., Established and theoretical factors to consider in assessing the red cell storage lesion, Blood, 125, 14, pp. 2185-2190, (2015); Bennett-Guerrero E., Veldman T.H., Doctor A., Et al., Evolution of adverse changes in stored red blood cells, ProcNatl Acad Sci U S A, 104, 43, pp. 17063-17068, (2007); Triulzi D.J., Yazer M.H., Clinical studies of the effect of blood storage on patient outcomes, Transfus Apher Sci, 43, 1, pp. 95-106, (2011); Brunskill S.J., Wilkinson K.L., Doree C., Trivella M., Stanworth S., Transfusion of fresher vs older red blood cells for all conditions, Cochrane Database Syst Rev, 5, (2015); Wang D., Sun J., Solomon S.B., Klein H.G., Natanson C., Transfusion of older stored blood and risk of death: Ameta-Analysis, Transfusion, 52, 6, pp. 1184-1195, (2012); Vamvakas E.C., Meta-Analysis of clinical studies of the purported deleterious effects of old" (vs "fresh") red blood cells: Are we at equipoise?, Transfusion, 50, 3, pp. 600-610, (2011); Fergusson D.A., Hert P., Hogan D.L., Et al., Effect of fresh red blood cell transfusions on clinical outcomes in premature, very low-birth-weight infants: The ARIPI randomized trial, JAMA, 308, 14, pp. 1443-1451, (2012); Lacroix J., Hert P.C., Fergusson D.A., Et al., Age of transfused blood in critically ill adults, N Engl J Med, 372, 15, pp. 1410-1418, (2015); Steiner M.E., Ness P.M., Assmann S.F., Et al., Effects of red-cell storage duration on patients undergoing cardiac surgery, N Engl JMed, 372, 15, pp. 1419-1429, (2015); Radwanski K., Garraud O., Cognasse F., Hamzeh-Cognasse H., Payrat J.-M., Min K., The effects of red blood cell preparationmethod on in vitro markers of red blood cell aging and inflammatory response, Transfusion, 53, 12, pp. 3128-3138, (2013); Eckstein M., Zimmermann R., Roth T., Hauck-Dlimi B., Strasser E.F., Xiang W., The effects of an overnight holding of whole blood at room temperature on haemoglobin modification and in vitro markers of red blood cell aging, Vox Sang, 108, 4, pp. 359-367, (2015); Heaton A., Keegan T., Holme S., In vivo regeneration of red cell 2,3-diphosphoglycerate following transfusion of DPG-depleted AS-1, AS-3 and CPDA-1 red cells, Br J Haematol, 71, 1, pp. 131-136, (1989); Dhabangi A., Mworozi E., Lubega I.R., Cserti-Gazdewich C.M., Maganda A., Dzik W.H., The effect of blood storage age on treatment of lactic acidosis by transfusion in children with severe malarial anaemia: A pilot, randomized, controlled trial, Malar J, 12, (2013); Dzik W.H., Beckman N., Murphy M.F., Et al., Factors affecting red blood cell storage age at the time of transfusion, Transfusion, 53, 12, pp. 3110-3119, (2013); Kiguli S., Maitland K., George E.C., Et al., Anaemia and blood transfusion in African children presenting to hospital with severe febrile illness, BMC Med, 13, (2015); Dhabangi A., Ainomugisha B., Cserti-Gazdewich C., Stowell C., Dzik W.S., Transfusion medicine illustrated: Cerebral oxygenation during transfusion for profound anemia, Transfusion, 54, 11, (2014); Kraut J.A., Madias N.E., Lactic acidosis, N Engl J Med, 371, 24, pp. 2309-2319, (2014); Maitland K., Kiguli S., Opoka R.O., Et al., Mortality after fluid bolus in African children with severe infection, N Engl J Med, 364, 26, pp. 2483-2495, (2011); Nguyen H.B., Rivers E.P., Knoblich B.P., Et al., Early lactate clearance is associated with improved outcome in severe sepsis and septic shock, Crit Care Med, 32, 8, pp. 1637-1642, (2004); Jansen T.C., Van Bommel J., Schoonderbeek F.J., Et al., Early lactate-guided therapy in intensive care unit patients: A multicenter open-label randomized controlled trial, Am J Respir Crit Care Med, 182, 6, pp. 752-761, (2011); Jones A.E., Shapiro N.I., Trzeciak S., Arnold R.C., Claremont H.A., Kline J.A., Lactate clearance vs central venous oxygen saturation as goals of early sepsis therapy: A randomized clinical trial, JAMA, 303, 8, pp. 739-746, (2011); Cserti-Gazdewich C.M., Dhabangi A., Musoke C., Et al., Cytoadherence in paediatric malaria: ABO blood group, CD36, and ICAM1 expression and severe Plasmodium falciparum infection, Br J Haematol, 159, 2, pp. 223-236, (2012); Alapan Y., Little J.A., Gurkan U.A., Heterogeneous red blood cell adhesion and deformability in sickle cell disease, Sci Rep, 4, (2014); Frank S.M., Abazyan B., Ono M., Et al., Decreased erythrocyte deformability after transfusion and the effects of erythrocyte storage duration, Anesth Analg, 116, 5, pp. 975-981, (2013); Hert P.C., McDonald B.J., Tinmouth A., Clinical consequences of anemia and red cell transfusion in the critically ill, Crit Care Clin, 20, 2, pp. 225-235, (2004); Hert P.C., Van Der Linden P., Biro G., Hu L.Q., Physiologic aspects of anemia, Crit Care Clin, 20, 2, pp. 187-212, (2004); Walsh T.S., McArdle F., McLellan S.A., Et al., Does the storage time of transfused red blood cells influence regional or global indexes of tissue oxygenation in anemic critically ill patients?, Crit Care Med, 32, 2, pp. 364-371, (2004); Leal-Noval S.R., Muz-Gez M., Arellano-Orden V., Et al., Impact of age of transfused blood on cerebral oxygenation in male patients with severe traumatic brain injury, Crit Care Med, 36, 4, pp. 1290-1296, (2008); Sadaka F., Aggu-Sher R., Krause K., OBrien J., Armbrecht E.S., Taylor R.W., The effect of red blood cell transfusion on tissue oxygenation and microcirculation in severe septic patients, Ann Intensive Care, 1, 1, (2011); Roberson R.S., Bennett-Guerrero E., Impact of red blood cell transfusion on global and regional measures of oxygenation, Mt Sinai J Med, 79, 1, pp. 66-74, (2012)</t>
  </si>
  <si>
    <t xml:space="preserve">W.H. Dzik; Blood Transfusion Service, Harvard Medical School, Massachusetts General Hospital, Boston, 55 Fruit St, 02114, United States; email: sdzik@mgh.harvard.edu</t>
  </si>
  <si>
    <t xml:space="preserve">JAMAA</t>
  </si>
  <si>
    <t xml:space="preserve">JAMA</t>
  </si>
  <si>
    <t xml:space="preserve">2-s2.0-84950140271</t>
  </si>
  <si>
    <t xml:space="preserve">Bianchi F.; Cucunubá Z.; Guhl F.; González N.L.; Freilij H.; Nicholls R.S.; Ramírez J.D.; Montilla M.; Flórez A.C.; Rosas F.; Saavedra V.; Silva N.</t>
  </si>
  <si>
    <t xml:space="preserve">Bianchi, Fiorella (56535950900); Cucunubá, Zulma (23090507600); Guhl, Felipe (55581213200); González, Nadia Lorena (56536029300); Freilij, Hector (6602129848); Nicholls, Rubén Santiago (24379962900); Ramírez, Juan David (35741723300); Montilla, Marleny (6603951388); Flórez, Astrid Carolina (36518369300); Rosas, Fernando (57212549230); Saavedra, Victor (57210630539); Silva, Nubia (57209183643)</t>
  </si>
  <si>
    <t xml:space="preserve">56535950900; 23090507600; 55581213200; 56536029300; 6602129848; 24379962900; 35741723300; 6603951388; 36518369300; 57212549230; 57210630539; 57209183643</t>
  </si>
  <si>
    <t xml:space="preserve">Follow-up of an Asymptomatic Chagas Disease Population of Children after Treatment with Nifurtimox (Lampit) in a Sylvatic Endemic Transmission Area of Colombia</t>
  </si>
  <si>
    <t xml:space="preserve">Background Chagas disease is an anthropozoonosis caused by Trypanosoma cruzi. Two drugs are currently used for the etiological treatment of the disease: Nifurtimox (Lampit) and Benznidazole. This study presents a quasi-experimental trial (non-control group) of sixty-two patients who were treated for Chagas disease with Nifurtimox (Lampit), and were then followed for 30 months post-treatment. The safety of Nifurtimox (Lampit) for Chagas disease in this group of children primarily between 4 and 19 years old was also evaluated. Materials and methods The 62 patients included in the study were selected when resulted seropositive for two out of three fundamentally different serological tests. All children were treated during two months according to protocols established by WHO. Monitoring was performed every twenty days to evaluate treatment safety. In 43 patients, two different serological tests: ELISA and IFAT; and two parasitological tests: blood culture, and real time PCR, (qPCR) were performed to assess therapeutic response, defined as post-treatment serological negativization. Principal findings All patients completed the treatment successfully, and six patients abandoned the post-treatment follow-up. Adverse effects occurred in 74% of patients, but only 4.8% of cases required temporary suspension to achieve 100% adherence to the 60-day treatment, and all symptoms reverted after treatment completion. Both parasite load (measured through qPCR) and antibodies (ELISA absorbance) evidenced a significant median reduction 6 months after treatment from 6.2 to 0.2 parasite equivalents/mL, and from 0.6 to 0.2 absorbance units respectively (p&lt;0.001). Serological negativization by ELISA was evident since 6 months post-treatment, whereas by IFAT only after 18 months. Serological negativization by the two tests (ELISA and IFAT) was 41.9% (95%CI: 26.5–57.3) after 30 months post-treatment. qPCR was positive in 88.3% of patients pre-treatment and only in 12.1% of patients after 30 months. Survival analysis indicated that only 26.3% (95%CI: 15.5–44.8) persisted with negative qPCR during the whole follow-up period. Conclusions Nifurtimox was very well tolerated and successfully reduced parasite load and antibody titers. Re-infection, lysed parasites or a lack of anti-parasitic activity could explain these persistently positive qPCR cases. © 2015 Bianchi et al.</t>
  </si>
  <si>
    <t xml:space="preserve">e0003465</t>
  </si>
  <si>
    <t xml:space="preserve">10.1371/journal.pntd.0003465</t>
  </si>
  <si>
    <t xml:space="preserve">https://www.scopus.com/inward/record.uri?eid=2-s2.0-84924031840&amp;doi=10.1371%2fjournal.pntd.0003465&amp;partnerID=40&amp;md5=afb3d34a67e52b3f21f519d96edbd7b1</t>
  </si>
  <si>
    <t xml:space="preserve">Centro de Investigaciones en Microbiología y Parasitología Tropical, Universidad de los Andes, Bogotá D.C., Colombia; Grupo de Parasitología, Instituto Nacional de Salud, Bogotá D.C., Colombia; Programa Nacional de Control de Chagas, Buenos Aires, Argentina; Clínica Abott Shaio, Bogotá D.C., Colombia; Centro de Salud, Nunchía, Casanare, Colombia; Servinsalud Ltda., El Yopal, Casanare, Colombia</t>
  </si>
  <si>
    <t xml:space="preserve">Bianchi F., Centro de Investigaciones en Microbiología y Parasitología Tropical, Universidad de los Andes, Bogotá D.C., Colombia; Cucunubá Z., Grupo de Parasitología, Instituto Nacional de Salud, Bogotá D.C., Colombia; Guhl F., Centro de Investigaciones en Microbiología y Parasitología Tropical, Universidad de los Andes, Bogotá D.C., Colombia; González N.L., Centro de Investigaciones en Microbiología y Parasitología Tropical, Universidad de los Andes, Bogotá D.C., Colombia; Freilij H., Programa Nacional de Control de Chagas, Buenos Aires, Argentina; Nicholls R.S., Grupo de Parasitología, Instituto Nacional de Salud, Bogotá D.C., Colombia; Ramírez J.D., Centro de Investigaciones en Microbiología y Parasitología Tropical, Universidad de los Andes, Bogotá D.C., Colombia; Montilla M., Grupo de Parasitología, Instituto Nacional de Salud, Bogotá D.C., Colombia; Flórez A.C., Grupo de Parasitología, Instituto Nacional de Salud, Bogotá D.C., Colombia; Rosas F., Clínica Abott Shaio, Bogotá D.C., Colombia; Saavedra V., Centro de Salud, Nunchía, Casanare, Colombia; Silva N., Servinsalud Ltda., El Yopal, Casanare, Colombia</t>
  </si>
  <si>
    <t xml:space="preserve">Adolescent; Adult; Asymptomatic Diseases; Chagas Disease; Child; Child, Preschool; Colombia; DNA, Protozoan; Female; Follow-Up Studies; Humans; Male; Nifurtimox; Real-Time Polymerase Chain Reaction; Trypanocidal Agents; Trypanosoma cruzi; nifurtimox; antitrypanosomal agent; nifurtimox; protozoal DNA; abdominal pain; adolescent; adult; Article; aspartate aminotransferase blood level; asthenia; Chagas disease; child; Colombia; diarrhea; disease transmission; electrocardiography; enzyme linked immunosorbent assay; female; fever; fluorescent antibody technique; follow up; headache; heart muscle necrosis; hemagglutination; human; insomnia; loss of appetite; major clinical study; male; myalgia; nausea; petechia; preschool child; pruritus; rash; real time polymerase chain reaction; school child; screening test; sore throat; Trypanosoma cruzi; vomiting; asymptomatic disease; blood; Chagas disease; epidemiology; genetics; isolation and purification; parasitology</t>
  </si>
  <si>
    <t xml:space="preserve">nifurtimox, 23256-30-6; DNA, Protozoan, ; Nifurtimox, ; Trypanocidal Agents, </t>
  </si>
  <si>
    <t xml:space="preserve">lampit</t>
  </si>
  <si>
    <t xml:space="preserve">Control of Chagas disease, World Health Organ Tech Rep Ser, 905, (2002); Rassi A., Rassi A., Marcondes de Rezende J., American trypanosomiasis (Chagas disease), Infect Dis Clin North Am, 26, pp. 275-291, (2012); Moncayo A., Silveira A.C., Current epidemiological trends for Chagas disease in Latin America and future challenges in epidemiology, surveillance and health policy, Mem Inst Oswaldo Cruz, 104, pp. 17-30, (2009); Zingales B., Miles M.A., Campbell D.A., Tibayrenc M., Macedo A.M., Et al., The revised Trypanosoma cruzi subspecific nomenclature: rationale, epidemiological relevance and research applications, Infect Genet Evol J Mol Epidemiol Evol Genet Infect Dis, 12, pp. 240-253, (2012); Rassi A., Rassi A., Marin-Neto J.A., Chagas disease, Lancet, 375, pp. 1388-1402, (2010); Guhl F., Nicholls R., Montoya R., Rosas F., Velasco V.M., Et al., Medimond International Proceedings, Vol. 1, pp. 107-114, (2004); Sosa Estani S., Segura E.L., Ruiz A.M., Velazquez E., Porcel B.M., Et al., Efficacy of chemotherapy with benznidazole in children in the indeterminate phase of Chagas’ disease, Am J Trop Med Hyg, 59, pp. 526-529, (1998); Andrade A.L.S.S., Martelli C.M.T., Oliveira R.M., Silva S.A., Aires A.I.S., Et al., Short report: benznidazole efficacy among Trypanosoma cruzi-infected adolescents after a six-year follow-up, Am J Trop Med Hyg, 71, pp. 594-597, (2004); Rodriques Coura J., de Castro S.L., A critical review on Chagas disease chemotherapy, Mem Inst Oswaldo Cruz, 97, pp. 3-24, (2002); Jannin J., Villa L., An overview of Chagas disease treatment, Mem Inst Oswaldo Cruz, 102, pp. 95-97, (2007); Fabbro D.L., Streiger M.L., Arias E.D., Bizai M.L., del Barco M., Et al., Trypanocide treatment among adults with chronic Chagas disease living in Santa Fe city (Argentina), over a mean follow-up of 21 years: parasitological, serological and clinical evolution, Rev Soc Bras Med Trop, 40, pp. 1-10, (2007); Rassi A., Luquetti A.O., Rassi A., Rassi G.G., Rassi S.G., Et al., Specific treatment for Trypanosoma cruzi: lack of efficacy of allopurinol in the human chronic phase of Chagas disease, Am J Trop Med Hyg, 76, pp. 58-61, (2007); Villar J.C., Perez J.E., Cortes O.L., Riarte A., Pepper M.L., Et al., Trypanocidal agents for chronic asymptomatic T. cruzi infections, An Updated systematic review and meta-analysis, (2012); Villar J.C., Martinez L., Herrera V., Cardenas M., Ferreira S., Et al., Effects of a combined treatment with Itraconazole/Pravastatin and Allendronate for asymptomatic T. cruzi-infected individuals: A randomized controlled trial in the CHICAMOCHA Study, (2012); Molina I., Gomez i Prat J., Salvador F., Trevino B., Sulleiro E., Et al., Randomized trial of posaconazole and benznidazole for chronic Chagas’ disease, N Engl J Med, 370, pp. 1899-1908, (2014); Ribeiro I., Sevcsik A.-M., Alves F., Diap G., Don R., Et al., New, improved treatments for Chagas disease: from the R&amp;D pipeline to the patients, PLoS Negl Trop Dis, 3, (2009); Urbina J.A., Docampo R., Specific chemotherapy of Chagas disease: controversies and advances, TRENDS in Parasitology, Vol.19, No.11, (2003); Conclusiones de una consulta técnica, (1998); Ferreira A.W., Belem Z.R., Lemos E.A., Reed S.G., Campos-Neto A., Enzyme-linked immunosorbent assay for serological diagnosis of Chagas’ disease employing a Trypanosoma cruzi recombinant antigen that consists of four different peptides, J Clin Microbiol, 39, pp. 4390-4395, (2001); Lopez C., Duque S., Orozco L.C., Camargo D., Gualdron L., Et al., Inmunodiagnóstico de la infección chagásica por ELISA, Bioméd Rev Inst Nac Salud, 19, pp. 159-163, (1999); Camargo M.E., Fluorescent antibody test for the serodiagnosis of American trypanosomiasis. Technical modification employing preserved culture forms of Trypanosoma cruzi in a slide test, Rev Inst Med Trop São Paulo, 8, pp. 227-235, (1966); Duque S., Pelaez D., Corredor A., Manual de Procedimientos, pp. 41-43, (1993); Duffy T., Bisio M., Altcheh J., Burgos J.M., Diez M., Et al., Accurate real-time PCR strategy for monitoring bloodstream parasitic loads in chagas disease patients, PLoS Negl Trop Dis, 3, (2009); Ramirez J.D., Montilla M., Cucunuba Z.M., Florez A.C., Zambrano P., Et al., Molecular epidemiology of human oral Chagas disease outbreaks in Colombia, PLoS Negl Trop Dis, 7, (2013); Burgos J.M., Diez M., Vigliano C., Bisio M., Risso M., Et al., Molecular identification of Trypanosoma cruzi discrete typing units in end-stage chronic Chagas heart disease and reactivation after heart transplantation, Clin Infect Dis Off Publ Infect Dis Soc Am, 51, pp. 485-495, (2010); De Andrade A.L., Zicker F., Rassi A., Rassi A.G., Oliveira R.M., Et al., Early electrocardiographic abnormalities in Trypanosoma cruzi-seropositive children, Am J Trop Med Hyg, 59, pp. 530-534, (1998); Ribeiro A.L., Sabino E.C., Marcolino M.S., Salemi V.M.C., Ianni B.M., Et al., Electrocardiographic abnormalities in Trypanosoma cruzi seropositive and seronegative former blood donors, PLoS Negl Trop Dis, 7, (2013); Salazar-Schettino P.M., Perera R., Ruiz-Hernandez A.L., Bucio Torres M.I., Zamora-Gonzalez C., Et al., Chagas disease as a cause of symptomatic chronic myocardopathy in Mexican children, Pediatr Infect Dis J, 28, pp. 1011-1013, (2009); Britto C.C., Usefulness of PCR-based assays to assess drug efficacy in Chagas disease chemotherapy: value and limitations, Mem Inst Oswaldo Cruz, 104, pp. 122-135, (2009); Bertocchi G.L., Vigliano C.A., Lococo B.G., Petti M.A., Viotti R.J., Clinical characteristics and outcome of 107 adult patients with chronic Chagas disease and parasitological cure criteria, Trans R Soc Trop Med Hyg, 107, pp. 372-376, (2013); Viotti R., Vigliano C., Alvarez M.G., Lococo B., Petti M., Et al., Impact of aetiological treatment on conventional and multiplex serology in chronic Chagas disease, PLoS Negl Trop Dis, 5, (2011); Pinto AY das N., Valente V da C., Coura J.R., Valente SA da S., Junqueira A.C.V., Et al., Clinical follow-up of responses to treatment with benznidazol in Amazon: a cohort study of acute Chagas disease, PloS One, 8, (2013); Solari A., Ortiz S., Soto A., Arancibia C., Campillay R., Et al., Treatment of Trypanosoma cruzi-infected children with nifurtimox: a 3 year follow-up by PCR, J Antimicrob Chemother, 48, pp. 515-519, (2001); Schijman A.G., Altcheh J., Burgos J.M., Biancardi M., Bisio M., Et al., Aetiological treatment of congenital Chagas’ disease diagnosed and monitored by the polymerase chain reaction, J Antimicrob Chemother, 52, pp. 441-449, (2003); Sanchez G., Coronado X., Zulantay I., Apt W., Gajardo M., Et al., Monitoring the efficacy of specific treatment in chronic Chagas disease by polymerase chain reaction and flow cytometry analysis, Parasite Paris Fr, 12, pp. 353-357, (2005); Piron M., Fisa R., Casamitjana N., Lopez-Chejade P., Puig L., Et al., Development of a real-time PCR assay for Trypanosoma cruzi detection in blood samples, Acta Trop, 103, pp. 195-200, (2007); Duffy T., Cura C.I., Ramirez J.C., Abate T., Cayo N.M., Et al., Analytical performance of a multiplex Real-Time PCR assay using TaqMan probes for quantification of Trypanosoma cruzi satellite DNA in blood samples, PLoS Negl Trop Dis, 7, (2013); Vallejo G.A., Guhl F., Schaub G.A., Triatominae-Trypanosoma cruzi/T. rangeli: Vector-parasite interactions, Acta Trop, 110, pp. 137-147, (2009); Angulo V.M., Esteban L., Luna K.P., [Attalea butyracea palms adjacent to housing as a source of infestation by Rhodnius prolixus (Hemiptera: Reduviidae)], Bioméd Rev Inst Nac Salud, 32, pp. 277-285, (2012); Guhl F., Pinto N., Aguilera G., Sylvatic triatominae: a new challenge in vector control transmission, Mem Inst Oswaldo Cruz, 104, pp. 71-75, (2009); Yun O., Lima M.A., Ellman T., Chambi W., Castillo S., Et al., Feasibility, drug safety, and effectiveness of etiological treatment programs for Chagas disease in Honduras, Guatemala, and Bolivia: 10-year experience of Médecins Sans Frontières, PLoS Negl Trop Dis, 3, (2009); Tsokana C.N., Athanasiou L.V., Valiakos G., Spyrou V., Manolakou K., Billinis C., Claborn D., Leishmaniasis—Trends in Epidemiology, Diagnosis and Treatment, (2014); Mejia-Jaramillo A.M., Fernandez G.J., Montilla M., Nicholls R.S., Triana-Chavez O., [Trypanosoma cruzi strains resistant to benznidazole occurring in Colombia], Bioméd Rev Inst Nac Salud, 32, pp. 196-205, (2012); Murta S.M., Romanha A.J., In vivo selection of a population of Trypanosoma cruzi and clones resistant to benznidazole, Parasitology, 116, pp. 165-171, (1998); Wilkinson S.R., Taylor M.C., Horn D., Kelly J.M., Cheeseman I., A mechanism for cross-resistance to nifurtimox and benznidazole in trypanosomes, Proc Natl Acad Sci U S A, 105, pp. 5022-5027, (2008); Guhl F., Ramirez J.D., Trypanosoma cruzi I diversity: towards the need of genetic subdivision?, Acta Trop, 119, pp. 1-4, (2011)</t>
  </si>
  <si>
    <t xml:space="preserve">F. Guhl; Centro de Investigaciones en Microbiología y Parasitología Tropical, Universidad de los Andes, Bogotá D.C., Colombia; email: fguhl@uniandes.edu.co</t>
  </si>
  <si>
    <t xml:space="preserve">2-s2.0-84924031840</t>
  </si>
  <si>
    <t xml:space="preserve">de Lucca R.M.R.; Batista Júnior J.; Fontes C.J.F.; Bahia M.O.; Bassi-Branco C.L.</t>
  </si>
  <si>
    <t xml:space="preserve">de Lucca, Renato M.R. (56720307900); Batista Júnior, João (6508356690); Fontes, Cor J. Fernandes (7005517474); Bahia, Marcelo de Oliveira (8601682200); Bassi-Branco, Carmen L. (55887252900)</t>
  </si>
  <si>
    <t xml:space="preserve">56720307900; 6508356690; 7005517474; 8601682200; 55887252900</t>
  </si>
  <si>
    <t xml:space="preserve">Genotoxic effects of the antimalarial drug lumefantrine in human lymphocytes in vitro and computational prediction of the mechanism associated with its interaction with DNA</t>
  </si>
  <si>
    <t xml:space="preserve">Lumefantrine (LF) is an aryl-amino alcohol antimalarial drug used in artemisinin-based combination therapies against malaria worldwide. In this study, we investigated the genotoxic effects of LF in human lymphocytes in vitro, and the potential noncovalent interaction of LF with DNA using a 3D DNA-docking model. The number of DNA breaks and the frequency of nuclear buds (NBUDS) was significantly increased (P&lt;0.01 and P &lt;0. 05, respectively) at LF concentrations of 60, 80, and 100 μg/mL (LF60, LF80, and LF100, respectively). Frequency (‰) of micronuclei (MN) formation also increased after LF treatments. However, this was only significant for LF100 (P = 0.01) and LF80 (P = 0.001). LF did not affect the frequency of nucleoplasmic bridges (NPBs) (P = 0.12) or the nuclear division index (NDI) (P = 0.32). Computational analysis suggests that LF may interact noncovalently with DNA via the DNA minor groove surface with a predicted binding affinity energy of -7.2 kcal/mol and showing a favorable shape complementary to this groove. Our results suggest that LF has clastogenic effects in human lymphocytes in vitro due to noncovalent interaction with the minor groove of DNA. Environ. Mol. Mutagen. 56:556-562, 2015. © 2015 Wiley Periodicals, Inc.</t>
  </si>
  <si>
    <t xml:space="preserve">Environmental and Molecular Mutagenesis</t>
  </si>
  <si>
    <t xml:space="preserve">10.1002/em.21942</t>
  </si>
  <si>
    <t xml:space="preserve">https://www.scopus.com/inward/record.uri?eid=2-s2.0-84936997090&amp;doi=10.1002%2fem.21942&amp;partnerID=40&amp;md5=f3ce15b2e71779e839f2197fa32077c0</t>
  </si>
  <si>
    <t xml:space="preserve">Pós-Graduação em Ciências da Saúde, Faculdade de Medicina, Universidade Federal de Mato Grosso, Cuiabá, Brazil; Faculdade de Farmácia, Centro Universitário do Distrito Federal, Brasília, Brazil; Laboratório de Malária, Hospital Universitário Júlio Müller, Cuiabá, Brazil; Pós-graduação em Neurociências e Biologia Celular, Instituto de Ciências Biológicas, Universidade Federal do Pará, Belém, Brazil</t>
  </si>
  <si>
    <t xml:space="preserve">de Lucca R.M.R., Pós-Graduação em Ciências da Saúde, Faculdade de Medicina, Universidade Federal de Mato Grosso, Cuiabá, Brazil; Batista Júnior J., Faculdade de Farmácia, Centro Universitário do Distrito Federal, Brasília, Brazil; Fontes C.J.F., Pós-Graduação em Ciências da Saúde, Faculdade de Medicina, Universidade Federal de Mato Grosso, Cuiabá, Brazil, Laboratório de Malária, Hospital Universitário Júlio Müller, Cuiabá, Brazil; Bahia M.O., Pós-graduação em Neurociências e Biologia Celular, Instituto de Ciências Biológicas, Universidade Federal do Pará, Belém, Brazil; Bassi-Branco C.L., Pós-Graduação em Ciências da Saúde, Faculdade de Medicina, Universidade Federal de Mato Grosso, Cuiabá, Brazil</t>
  </si>
  <si>
    <t xml:space="preserve">Comet assay; Computational analysis; DNA minor groove agent; Malaria; Micronucleus</t>
  </si>
  <si>
    <t xml:space="preserve">Adult; Antimalarials; Cells, Cultured; Comet Assay; DNA; Ethanolamines; Female; Fluorenes; Humans; Lymphocytes; Male; Micronucleus Tests; Molecular Docking Simulation; benflumetol; antimalarial agent; benflumetol; DNA; ethanolamine derivative; fluorene derivative; adult; apoptosis; Article; binding affinity; chemical structure; comet assay; comparative study; cytokinesis; DNA binding; DNA damage; DNA strand breakage; drug DNA interaction; drug effect; drug mechanism; female; Fourier transformation; genotoxicity; human; human cell; in vitro study; lymphocyte; malaria; male; molecular docking; mutagenic activity; normal human; nuclear division; prognosis; structure activity relation; X ray crystallography; cell culture; chemistry; drug effects; lymphocyte; metabolism; micronucleus test</t>
  </si>
  <si>
    <t xml:space="preserve">benflumetol, 82186-77-4; DNA, 9007-49-2; Antimalarials, ; DNA, ; Ethanolamines, ; Fluorenes, ; lumefantrine, </t>
  </si>
  <si>
    <t xml:space="preserve">lumefantrine</t>
  </si>
  <si>
    <t xml:space="preserve">Aloisi G.G., Amelia M., Barbafina A., Latterini L., Elisei F., dall'Acqua F., Vedaldi D., Faccio A., Viola G., DNA cleavage induced by photoexcited antimalarial drugs: A photophysical and photobiological study, Photochem Photobiol, 83, pp. 664-674, (2007); Ayres M., Ayres M.J.R., Ayres D.L., Dos Santos A.S., (2007); Baudot A., de la Torre V., Valencia A., Mutated genes, pathways and processes in tumours, EMBO Rep, 11, pp. 805-810, (2010); Chen A.Y., Yu C., Gatto B., Liu L.F., DNA minor groove-binding ligands: A different class of mammalian DNA topoisomerase I inhibitors, Proc Natl Acad Sci USA, 90, pp. 8131-8135, (1993); Combrinck J.M., Mabotha T.E., Ncokazi K.K., Ambele M.A., Taylor D., Smith P.J., Hoppe H.C., Egan T.J., Insights into the role of heme in the mechanism of action of antimalarials, ACS Chem Biol, 8, pp. 133-137, (2013); Dutra A., Pak E., Wincovitch S., John K., Poirier M.C., Olivero O.A., Nuclear bud formation: A novel manifestation of Zidovudine genotoxicity, Cytogenet Genome Res, 128, 1-3, pp. 105-110, (2010); Ezzet F., van Vugt M., Nosten F., Looareesuwan S., White N.J., Pharmacokinetics and pharmacodynamics of lumefantrine (benflumetol) in acute falciparum malaria, Antimicrob Agents Chemother, 44, pp. 697-704, (2000); Fenech M., Kirsch-Volders M., Natarajan A.T., Surralles J., Crott J.W., Parry J., Norppa H., Eastmond D.A., Tucker J.D., Thomas P., Molecular mechanisms of micronucleus, nucleoplasmic bridge and nuclear bud formation in mammalian and human cells, Mutagenesis, 26, pp. 125-132, (2011); Fenech M., Morley A.A., Measurement of micronuclei in lymphocytes, Mutat Res, 147, 1-2, pp. 29-36, (1985); Halgren T.A., Merck molecular force field. I. Basis, form, scope, parameterization, and performance of MMFF94, J Comput Chem, 17, pp. 490-519, (1996); Hasinoff B.B., Wu X., Nitiss J.L., Kanagasabai R., Yalowich J.C., The anticancer multi-kinase inhibitor dovitinib also targets topoisomerase I and topoisomerase II, Biochem Pharmacol, 84, pp. 1617-1626, (2012); Lindbergh H.K., Wang X., Jarventaus H., Falck G.C., Norppa H., Fenech M., Origin of nuclear buds and micronuclei in normal and folate-deprived human lymphocytes, Mutat Res, 617, 1-2, pp. 33-45, (2007); McKeever C., Kaiser M., Rozas I., Aminoalkyl derivatives of guanidine diaromatic minor groove binders with antiprotozoal activity, J Med Chem, 56, pp. 700-711, (2013); Mota T.C., Cardoso P.C., Gomes L.M., Vieira P.C., Correa R.M., Santana P.D., Miranda M.S., Burbano R.M., Bahia M.O., In vitro evaluation of the genotoxic and cytotoxic effects of artesunate, an antimalarial drug, in human lymphocytes, Environ Mol Mutagen, 52, pp. 590-594, (2011); Nunn C.M., Jenkins T.C., Neidle S., Crystal structure of γ-oxapentamidine complexed with d(CGCGAATTCGCG)2. The effects of drug structural change on DNA minor-groove recognition, Eur J Biochem, 226, pp. 953-961, (1994); OECD Guideline for the Testing Chemicals, (2009); Owumi S.E., Gbadegesin M.A., Odunola O.A., Adegoke A.M., Uwaifo A.O., Toxicity associated with repeated administration of artemether-lumefantrine in rats, Environ Toxicol, (2013); Rao X., Zhang Y., Yi Q., Hou H., Xu B., Chu L., Huang Y., Zhang W., Fenech M., Shi Q., Multiple origins of spontaneously arising micronuclei in HeLa cells: direct evidence from long-term live cell imaging, Mutat Res, 646, 1-2, pp. 41-49, (2008); Serrano-Garcia L., Montero-Montoya R., Micronuclei and chromatid buds are the result of related genotoxic events, Environ Mol Mutagen, 38, pp. 38-45, (2001); Ritchie D.W., Kemp G.J.L., Protein docking using spherical polar Fourier correlations, Proteins, 39, pp. 178-194, (2000); Ritchie D.W., Kozakov D., Vajda S., Accelerating and focusing protein-protein docking correlations using multi-dimensional rotational FFT generating functions, Bioinformatics, 24, pp. 1865-1873, (2008); Shimizu N., Itoh N., Utiyama H., Wahl G.M., Selective entrapment of extrachromosomally amplified DNA by nuclear budding and micronucleation during S phase, J Cell Biol, 140, pp. 1307-1320, (1998); Singh N.P., Mccoy M.T., Tice R.R., Schneider E.L., A simple technique for quantitation of low-levels of DNA damage in individual cells, Exp Cell Res, 175, pp. 184-191, (1988); Snyder R.D., Ewing D.E., Hendry L.B., Evaluation of DNA intercalation potential of pharmaceuticals and other chemicals by cell-based and three-dimensional computational approaches, Environ Mol Mutagen, 44, pp. 163-173a, (2004); Snyder R.D., Pearl G.S., Mandakas G., Choy W.N., Goodsaid F., Rosenblum I.Y., Assessment of the sensitivity of the computational programs DEREK, TOPKAT, and MCASE in the prediction of the genotoxicity of pharmaceutical molecules, Environ Mol Mutagen, 43, pp. 143-158b, (2004); Thomas P., Umegaki K., Fenech M., Nucleoplasmic bridges are a sensitive measure of chromosome rearrangement in the cytokinesis-block micronucleus assay, Mutagenesis, 18, pp. 187-194, (2003); Thomsen R., Christensen M.H., MolDock: A new technique for high-accuracy molecular docking, J Med Chem, 49, pp. 3315-3321, (2006); Trott O., Olson A.J., AutoDock Vina: Improving the speed and accuracy of docking with a new scoring function, efficient optimization and multithreading, J Comput Chem, 31, pp. 455-461, (2010); Turner P.R., Denny W.A., The mutagenic properties of DNA minor-groove binding ligands, Mutat Res, 355, 1-2, pp. 141-169, (1996); Valecha N., Srivastava P., Mohanty S.S., Mittra P., Sharma S.K., Tyagi P.K., Pradhan K., Dev V., Singh R., Dash A.P., Sharma Y.D., Therapeutic efficacy of artemether-lumefantrine in uncomplicated falciparum malaria in India, Malar J, 8, pp. 107-114, (2009); Verbeken M., Suleman S., Baert B., Vangheluwe E., Van Dorpe S., Burvenich C., Duchateau L., Jansen F.H., De Spiegeleer B., Stability-indicating HPLC-DAD/UV-ESI/MS impurity profiling of the anti-malarial drug lumefantrine, Malar J, 28, pp. 10-51, (2011); Guidelines for the treatment of malaria, (2006); Technical report 805: Practical chemotherapy of malaria, (1990); Wogan G.N., Hecht S.S., Felton J.S., Conney A.H., Loeb L.A., Environmental and chemical carcinogenesis, Semin Cancer Biol, 14, pp. 473-486, (2004); Woynarowski J.M., McHugh M., Sigmund R.D., Beerman T.A., Modulation of topoisomerase II catalytic activity by DNA minor groove binding agents distamycin, Hoechst 33258, and 4',6-diamidine-2-phenylindole, Mol Pharmacol, 35, pp. 177-182, (1989); Yadav N., Dwivedi A., Mujtaba S.F., Kushwaha H.N., Singh S.K., Ray R.S., Ambient UVA-induced expression of p53 and apoptosis in human skin melanoma A375 cell line by quinine, Photochem Photobiol, 89, pp. 655-664, (2013)</t>
  </si>
  <si>
    <t xml:space="preserve">C.L. Bassi-Branco; Secretaria da Faculdade de Medicina, Bairro Coxipó, Bloco CCBS 3, 1. Andar, Av. Fernando Correa da Costa, 2367, 78060-900, Brazil; email: cbassi@ufmt.br</t>
  </si>
  <si>
    <t xml:space="preserve">EMMUE</t>
  </si>
  <si>
    <t xml:space="preserve">Environ. Mol. Mutagen.</t>
  </si>
  <si>
    <t xml:space="preserve">2-s2.0-84936997090</t>
  </si>
  <si>
    <t xml:space="preserve">Ayeh-Kumi P.F.; Obeng-Nkrumah N.; Baidoo D.; Teye J.; Asmah R.H.</t>
  </si>
  <si>
    <t xml:space="preserve">Ayeh-Kumi, P.F. (6505819486); Obeng-Nkrumah, N. (55942706000); Baidoo, D. (56986557900); Teye, J. (8273144200); Asmah, R.H. (6506281569)</t>
  </si>
  <si>
    <t xml:space="preserve">6505819486; 55942706000; 56986557900; 8273144200; 6506281569</t>
  </si>
  <si>
    <t xml:space="preserve">High levels of urinary schistosomiasis among children in Bunuso, a rural community in Ghana: an urgent call for increased surveillance and control programs</t>
  </si>
  <si>
    <t xml:space="preserve">We investigated the occurrence of urinary schistosomiasis and estimated predictors for risk of infection among children in the Bunuso community of Ashanti Region of Ghana, West Africa. The cross-sectional survey was conducted between June and December 2009. Information was obtained on socio-demographic characteristics, schistosomiasis symptoms and other risk factors through interviews and questionnaires. Urine samples were analysed for Schistosoma haematobium ova using centrifugation and sedimentation, filtration and microscopy. Bivariate estimations and multiple logistic regression modelling with odds ratios (OR) were used to assess risk factors for S. haematobium infections. Inspections at River Nanakwaw revealed snail vectors, Bulinus truncatus. Overall, 95 out of 100 (95 % confidence interval [CI] 88.8–97.6) children tested positive for S. haematobium infection. The mean ova density (eggs/10 ml of urine) of infections was 58.12 (95 % CI 31.3–71.6) and varied significantly between age-group distributions (P value = 0.001; Post Hoc, P &gt; 0.05 for ≤8 vs 15–17 years, and 9–11 vs 12–14 years), sources of house-hold water (P value = 0.019; Post Hoc, P &lt; 0.05 for Borehole vs River Nanakwaw), children activities in River Nanakwaw (P value = 0.001), and haematuria (P value = 0.007). Independent variables significantly associated with S. haematobium infections were the use of River Nanakwaw as source of household water (OR 12.54; 95 % CI 3.932–42.12, P value = 0.003), engaging activities in River Nanakwaw (OR 8.76; 95 % CI 1.759–31.871; P value = 0.008) and haematuria (OR 36.71; 95 % CI 10.18–48.47; P value = 0.001). The passage of blood urine was prognostic of urinary schistosomiasis with a positive predictive value of 97.5 %. Our results demonstrate the endemicity of urinary schistosomiasis in Bunuso. Schistosomiasis remains a disease of great public health importance in Ghana, and there is the urgent need to intensify surveillance and control programs in remote riparian communities. © 2013, Indian Society for Parasitology.</t>
  </si>
  <si>
    <t xml:space="preserve">Springer India</t>
  </si>
  <si>
    <t xml:space="preserve">10.1007/s12639-013-0411-5</t>
  </si>
  <si>
    <t xml:space="preserve">https://www.scopus.com/inward/record.uri?eid=2-s2.0-84948768377&amp;doi=10.1007%2fs12639-013-0411-5&amp;partnerID=40&amp;md5=02d44babf73c5fcd5c7a2cc78e46fe49</t>
  </si>
  <si>
    <t xml:space="preserve">Department of Microbiology, University of Ghana Medical School, P.O. Box 4236, Accra, Ghana; Department of Microbiology and Infection Control, Statens Serum Institut, Copenhagen S, Denmark; University of Ghana School of Allied Health Sciences, Korle-Bu, P.O. Box KB 143, Accra, Ghana</t>
  </si>
  <si>
    <t xml:space="preserve">Ayeh-Kumi P.F., Department of Microbiology, University of Ghana Medical School, P.O. Box 4236, Accra, Ghana; Obeng-Nkrumah N., Department of Microbiology and Infection Control, Statens Serum Institut, Copenhagen S, Denmark; Baidoo D., University of Ghana School of Allied Health Sciences, Korle-Bu, P.O. Box KB 143, Accra, Ghana; Teye J., University of Ghana School of Allied Health Sciences, Korle-Bu, P.O. Box KB 143, Accra, Ghana; Asmah R.H., University of Ghana School of Allied Health Sciences, Korle-Bu, P.O. Box KB 143, Accra, Ghana</t>
  </si>
  <si>
    <t xml:space="preserve">Bunuso; Children; Ghana; Microscopy; Risk; Schistosomiasis</t>
  </si>
  <si>
    <t xml:space="preserve">adolescent; Article; Bulinus; centrifugation; child; clinical feature; cross-sectional study; education; egg; female; Ghana; health survey; hematuria; household; human; interview; major clinical study; male; microscopy; prevalence; priority journal; questionnaire; risk factor; rural area; Schistosoma hematobium; schistosomiasis haematobia; school child; sedimentation; urinalysis; water supply</t>
  </si>
  <si>
    <t xml:space="preserve">Aboagye I.F., Edoh D., Investigation of the risk of infection of urinary schistosomiasis at Mahem and Galilea communities in the Greater Accra Region of Ghana, West Afr J Appl Ecol, 15, pp. 1-6, (2009); Anosike J.C., Nwoke B.E.B., Njoku A.J., The validity of haematuria in the community diagnosis of urinary schistosomiasis infections, J Helminthol, 75, pp. 223-225, (2001); Aryeetey M.E., Wagatsuma Y., Yeboah G., Asante M., Mensah G., Nkrumah F.K., Kojima S., Urinary schistosomiasis in southern Ghana: prevalence and morbidity assessment in three (defined) rural areas drained by the Densu River, Parasit Int, 49, 2, pp. 155-163, (2000); Chitsulo L., Engels D., Montresor A., Savioli L., The global status of schistosomiasis and its control, Acta Trop, 77, pp. 41-51, (2000); Chu K.Y., Vanderburg J.A., Techniques for estimating densities of Bulinus truncatus rohlfsi and its horizontal distribution in Volta Lake, Ghana Bull World Health Organ, 54, pp. 411-416, (1976); Clements A.C., Garba A., Sacko M., Toure S., Dembele R., Mapping the probability of schistosomiasis and associated uncertainty, West Afr Emerg Infect Dis, 14, pp. 1629-1632, (2008); Davis A., Schistosomiasis, Manson’s tropical diseases, pp. 1413-1456, (1996); Engels D., Chitsulo L., Montresor A., Savioli L., The global epidemiological situation of schistosomiasis and new approaches to control and research, Acta Trop, 82, pp. 139-146, (2002); Erlanger T.E., Keiser J., Castro M.C., Effect of water resource development and management on lymphatic filariasis, and estimates of population at risk, Am J Trop Med Hyg, 73, pp. 523-533, (2005); Gordon C., Amatekpor J.K., The sustainable integrated development of the Volta Basin in Ghana. Volta Basin Research Project, Accra, Ghana, Gold Time Press, pp. 159-191, (1999); King C.H., Dickman K., Tisch D.J., Reassessment of the cost of chronic helminth infection: a meta-analysis of disability-related outcomes in endemic schistosomiasis, Lancet, 365, pp. 1561-1569, (2005); Klump R.K., A study of the transmition of S. haematobium in Volta Lake Ghana. PhD thesis, University of London, Faculty of Medicine, London School Hygiene and Tropical Medicine, pp. 111-280, (1982); Lengeler C., Utzinger J., Tanner M., Questionnaires for rapid screening of schistosomiasis in sub-Saharan Africa, Bull World Health Organ, 80, pp. 235-242, (2002); Mafe M.A., von Stamm T., Utzinger J., N'Goran E.K., Control of urinary schistosomiasis: an investigation into the effective use of questionnaires to identify high-risk communities and individuals in Niger state, Nigeria, Trop Med Int Health, 5, 1, pp. 53-63, (2000); Magalhaes R.J., Biritwum N.K., Gyapong J.O., Brooker S., Zhang Y., Mapping helminth co-infection and co-intensity: geostatistical predictionin Ghana, PLoS Negl Trop Dis, 5, (2011); Montresor A., Crompton D.W.T., Hall A., Bundy D.A.P., Savioli L., Guidelines for the evaluation of soil-transmitted helminthiasis and schistosomiasis at community level, (1998); Mott K.E., Balters R., Bambagha J., Baidassini B., Field studies of a reusable polyamide filter for detection of Schistosoma haematobium eggs by urine filtration, Tropenmed Parasitol, 33, pp. 227-228, (1982); Nash T.E., Cheever A.W., Ottesen E.A., Cook J.A., Schistosome infections in humans: perspectives and recent findings, Ann Int Med, 97, pp. 740-754, (1982); Nkegbe E., Prevalence of Schistosomiasis among school children in the lower River Volta Basin in Ghana, Gomal J Med Sci, 8, 1, pp. 54-56, (2010); Nsowah-Nuamah N.N., Mensah G., Aryeetey M.E., Wagatsuma Y., Bentil G., Urinary schistosomiasis in southern Ghana: a logistic regression approach to data from a community-based integrated control program, Am J Trop Med Hyg, 65, 5, pp. 484-490, (2001); Paperna I., Study of an outbreak of Schistosomiasis in the newly formed Volta Lake in Ghana, J Trop Med Parasitol, 21, pp. 411-424, (1969); Tay S.C.K., Amankwa R., Yao-Gbedema S., Prevalence of Schistosoma Haematobium infection in Ghana: a retrospective case study in Kumasi, Int J Parasitol Res, 3, 2, pp. 48-52, (2011); Tetteh I.K., Frempong E., Awuah E., An analysis of the environmental health impact of the Barekese dam in Kumasi, Ghana, J Environ Manage, 72, pp. 189-194, (2004); Wagatsuma Y., Aryeetey M.E., Nkrumah F.K., Sack D.A., Kojima S., Highly symptom-aware children were heavily infected with urinary schistosomiasis in southern Ghana, Cen Afr J Med, 49, 1-2, pp. 16-19, (2003); Woolhouse M.E.J., Patterns in parasite epidemiology: the peak shift, Parasitol Today, 14, pp. 428-434, (1998); World Health Organisation (WHO), Prevention and control of schistosomiasis and soil-transmitted helminthiasis: report of a WHO expert committee, WHO Tech Rep Ser, 912, pp. 1-57, (2002); Division of Control of Tropical Disease: Schistosomiasis, WHO Update October, (2004); Zhakari K., Factors affecting the prevalence of Schistosomiasis in Volta Region of Ghana, MJM, 3, 2, pp. 93-101, (1997)</t>
  </si>
  <si>
    <t xml:space="preserve">P.F. Ayeh-Kumi; Department of Microbiology, University of Ghana Medical School, Accra, P.O. Box 4236, Ghana; email: payehkumi@yahoo.com</t>
  </si>
  <si>
    <t xml:space="preserve">2-s2.0-84948768377</t>
  </si>
  <si>
    <t xml:space="preserve">Tafatatha T.; Taegtmeyer M.; Ngwira B.; Phiri A.; Kondowe M.; Piston W.; Molesworth A.; Kayuni N.; Koole O.; Crampin A.; Horton J.; French N.</t>
  </si>
  <si>
    <t xml:space="preserve">Tafatatha, Terence (56707393700); Taegtmeyer, Miriam (9637332900); Ngwira, Bagrey (6602904261); Phiri, Amos (6602685650); Kondowe, Mariot (56707444000); Piston, Wilson (56707433700); Molesworth, Anna (6602558455); Kayuni, Ndoliwe (36675199600); Koole, Olivier (25225484500); Crampin, Amelia (6701313886); Horton, John (34770565600); French, Neil (34975060700)</t>
  </si>
  <si>
    <t xml:space="preserve">56707393700; 9637332900; 6602904261; 6602685650; 56707444000; 56707433700; 6602558455; 36675199600; 25225484500; 6701313886; 34770565600; 34975060700</t>
  </si>
  <si>
    <t xml:space="preserve">Human immunodeficiency virus, antiretroviral therapy and markers of lymphatic filariasis infection: A crosssectional study in Rural Northern Malawi</t>
  </si>
  <si>
    <t xml:space="preserve">Background Lymphatic filariasis (LF) and human immunodeficiency virus (HIV) are major public health problems. Individuals may be co-infected, raising the possibility of important interactions between these two pathogens with consequences for LF elimination through annual mass drug administration (MDA). Methodology and Principal Findings We analysed circulating filarial antigenaemia (CFA) by HIV infection status among adults in two sites in northern Malawi, a region endemic for both LF and HIV. Stored blood samples and data from two geographically separate studies were used: one a recruitment phase of a clinical trial of anti-filarial agent dosing regimens, and the other a whole population annual HIV sero-survey. In study one, 1,851 consecutive adult volunteers were screened for HIV and LF infection. CFA prevalence was 25.4% (43/169) in HIV-positive and 23.6% (351/ 1487) in HIV-negative participants (p=0.57). Geometric mean CFA concentrations were 859 and 1660 antigen units per ml of blood (Ag/ml) respectively, geometric mean ratio (GMR) 0.85, 95%CI 0.49-1.50. In 7,863 adults in study two, CFA prevalence was 20.9% (86/411) in HIV-positive and 24.0% (1789/7452) in HIV–negative participants (p=0.15). Geometric mean CFA concentrations were 630 and 839 Ag/ml respectively (GMR 0.75, 95%CI 0.60-0.94). In the HIV-positive group, antiretroviral therapy (ART) use was associated with a lower CFA prevalence, 12.7%(18/142) vs. 25.3%(67/265), (OR 0.43, 95%CI 0.24-0.76). Prevalence of CFA decreased with duration of ART use, 15.2% 0-1 year (n=59), 13.6% &gt;1-2 years (n=44), 10.0% &gt;2-3 years (n=30) and 0% &gt;3-4 years treatment (n=9), p&lt;0.01 χ2 for linear trend. Conclusions/Significance In this large cross-sectional study of two distinct LF-exposed populations, there is no evidence that HIV infection has an impact on LF epidemiology that will interfere with LF control measures. A significant association of ART use with lower CFA prevalence merits further investigation to understand this apparent beneficial impact of ART. © 2015 Tafatatha et al.</t>
  </si>
  <si>
    <t xml:space="preserve">e0003825</t>
  </si>
  <si>
    <t xml:space="preserve">10.1371/journal.pntd.0003825</t>
  </si>
  <si>
    <t xml:space="preserve">https://www.scopus.com/inward/record.uri?eid=2-s2.0-84934783353&amp;doi=10.1371%2fjournal.pntd.0003825&amp;partnerID=40&amp;md5=eac5a3bd46780d17ecf8fcf6afa54ca3</t>
  </si>
  <si>
    <t xml:space="preserve">Karonga Prevention Study, Karonga District, Malawi; Centre for Neglected Tropical Diseases, Liverpool School of Tropical Medicine, Liverpool, United Kingdom; Department of International Public Health, Liverpool School of Tropical Medicine, Liverpool, United Kingdom; London School of Hygiene and Tropical Medicine, London, United Kingdom; Hitchin, United Kingdom; Institute of Infection and Global Health, University of Liverpool, Liverpool, United Kingdom</t>
  </si>
  <si>
    <t xml:space="preserve">Tafatatha T., Karonga Prevention Study, Karonga District, Malawi, Centre for Neglected Tropical Diseases, Liverpool School of Tropical Medicine, Liverpool, United Kingdom; Taegtmeyer M., Department of International Public Health, Liverpool School of Tropical Medicine, Liverpool, United Kingdom; Ngwira B., Karonga Prevention Study, Karonga District, Malawi, London School of Hygiene and Tropical Medicine, London, United Kingdom; Phiri A., Karonga Prevention Study, Karonga District, Malawi; Kondowe M., Karonga Prevention Study, Karonga District, Malawi; Piston W., Karonga Prevention Study, Karonga District, Malawi; Molesworth A., Karonga Prevention Study, Karonga District, Malawi, London School of Hygiene and Tropical Medicine, London, United Kingdom; Kayuni N., Karonga Prevention Study, Karonga District, Malawi; Koole O., Karonga Prevention Study, Karonga District, Malawi, London School of Hygiene and Tropical Medicine, London, United Kingdom; Crampin A., Karonga Prevention Study, Karonga District, Malawi, London School of Hygiene and Tropical Medicine, London, United Kingdom; Horton J., Hitchin, United Kingdom; French N., Karonga Prevention Study, Karonga District, Malawi, Institute of Infection and Global Health, University of Liverpool, Liverpool, United Kingdom</t>
  </si>
  <si>
    <t xml:space="preserve">Adult; Anti-Retroviral Agents; Antigens, Helminth; Coinfection; Cross-Sectional Studies; Elephantiasis, Filarial; HIV Infections; Humans; Malawi; Prevalence; Rural Population; Time Factors; albendazole; antigen; antiretrovirus agent; circulating filarial antigen; cotrimoxazole; efavirenz; ivermectin; lamivudine plus nevirapine plus stavudine; unclassified drug; zidovudine; antiretrovirus agent; parasite antigen; adult; aged; Article; circulating filarial antigenemia; clinical trial (topic); cross-sectional study; enzyme linked immunosorbent assay; female; human; Human immunodeficiency virus infection; lymphatic filariasis; male; Microfilaria; microscopy; mixed infection; point of care testing; prevalence; risk factor; blood; Coinfection; Elephantiasis, Filarial; HIV Infections; Malawi; rural population; statistics and numerical data; time factor</t>
  </si>
  <si>
    <t xml:space="preserve">albendazole, 54965-21-8; cotrimoxazole, 8064-90-2; efavirenz, 154598-52-4; ivermectin, 70288-86-7; zidovudine, 30516-87-1; Anti-Retroviral Agents, ; Antigens, Helminth, </t>
  </si>
  <si>
    <t xml:space="preserve">triomune 30</t>
  </si>
  <si>
    <t xml:space="preserve">UNAIDS Gap Report 2014.; Harms G., Felmeier H., HIV infection and tropical parasitic diseases- deleterious interactions in both directions?, Tropical Medicine and International Health., 7, pp. 479-488, (2001); Gopinath R., Ostrowski M., Justement S.J., Fauci A.S., Nutman T.B., Filarial infections increase susceptibility to human immunodeficiency virus infection in peripheral blood mononuclear cells in vitro, Journal of Infectious Diseases., 182, pp. 1804-1808, (2000); Walson J.L., Herrin B.R., John-Stewart G., Deworming helminth co-infected individuals for delaying HIV disease progression, Cochrane Database of Systematic Reviews., 3, (2009); Feitosa J.L., Bandeira A.C., Sampaio D.P., Badaro R., Brites C., High prevalence of giardiasis and strongyloidiasis among HIV- infected patients in Bahia, Brazil, Brazilian Journal of infectious Diseases., 5, pp. 339-344, (2001); Nielsen N.O., Simonsen P.E., Magnussen P., Magesa S., Friis H., Cross-sectional relationship between HIV, lymphatic filariasis and other parasitic infections in adults in coastal northeastern Tanzania, Trans R Soc Trop Med Hyg., 100, pp. 543-550, (2006); Nielsen N.O., Friis H., Magnussen P., Krarup H., Magesa S., Simonsen P.E., Co-infection with subclinical HIV and Wuchereria bancrofti, and the role of malaria and hookworms, in adult Tanzanians: Infection intensities, CD4/CD8 counts and cytokine responses, Trans R Soc Trop Med Hyg., 101, 6, pp. 602-612, (2007); Talaat K., Kumarasamy N., Swaminathan S., Gopinath R., Nutman T., Filarial/human immunodeficiency virus coinfection in urban southern India, American Journal of Tropical Medicine and Hygiene., 79, pp. 558-560, (2008); Stanton M.C., Mkwanda S., Mzilahowa T., Bockarie M.J., Kelly-Hope L.A., Quantifying filariasis and malaria control activities in relation to lymphatic filariasis elimination: A multiple intervention score map (MISM) for Malawi, Trop Med Int Health., 19, 2, pp. 224-235, (2014); Ngwira B.M., Jabu C.H., Kanyongoloka H., Mponda M., Crampin A.C., Branson K., Et al., Lymphatic filariasis in the Karonga district of northern Malawi: A prevalence survey, Ann Trop Med Parasitol., 96, 2, pp. 137-144, (2002); Tafatatha T.T., Ngwira B.M., Taegtmeyer M., Phiri A.J., Wilson T.P., Banda L.G., Et al., Randomised controlled clinical trial of increased dose and frequency of albendazole and ivermectin on Wuchereria bancrofti microfilarial clearance in northern Malawi, Trans R Soc Trop Med Hyg., (2015); 2008 Population and Housing Census-Preliminary Report., (2008); Crampin A., Dube A., Mboma S., Price A., Chihana M., Jahn A., Et al., Profile: The Karonga health and demographic surveillance system, International Journal of Epidemiology., 41, 3, pp. 676-685, (2012); Molesworth A., Ndhlovu R., Banda E., Saul J., Ngwira B., Glynn J.R., Et al., High accuracy of home-based community rapid HIV testing in rural Malawi, Journal of Acquired Immune Deficiency Syndrome., 55, 5, pp. 625-630, (2010); Guidelines for HIV Testing and Counselling (HTC)., (2009); Weil G., Lammie P., Weiss N., The ICT Filariasis Test: A rapid format antigen test for diagnosis of bancroftian filariasis, Parasitology Today., 13, 10, pp. 401-404, (1997); Cheesbrough M., District Laboratory Practice in Tropical Countries: Part1., pp. 280-291, (2005); More S.J., Copeman D.B., A highly specific and sensitive monoclonal antibody-based ELISA for the detection of circulating antigen in Bancroftian filariasis, Trop Med Parasitol., 41, 4, pp. 403-406, (1990); Ngwira B.M., Tambala P., Perez A.M., Bowie C., Molyneux D.H., The geographical distribution of lymphatic filariasis infection in Malawi, Filaria J., 6, (2007); Floyd S., Molesworth A., Dube A., Crampin A., Houben R., Chihana M., Et al., Underestimation of HIV prevalence in surveys when some people already know their status, and ways to reduce the bias, AIDS., 27, 2, pp. 233-242, (2013); Nielsen N.O., Simonsen P.E., Dalgaard P., Krarup H., Magnussen P., Magesa S., Et al., Effect of diethylcarbamazine on HIV load, CD4%, and CD4/CD8 ratio in HIV-infected adult Tanzanians with or without lymphatic filariasis: Randomized double-blind and placebo-controlled cross-over trial, Am J Trop Med Hyg., 77, 3, pp. 507-513, (2007); Brown M., Kizza M., Watera C., Quigley M.A., Rowland S., Hughes P., Et al., Helminth infection is not associated with faster progression of HIV disease in coinfected adults in Uganda, J Infect Dis., 190, 10, pp. 1869-1879, (2004); Talaat K.R., Babu S., Menon P., Kumarasamy N., Sharma J., Arumugam J., Et al., Treatment of W. bancrofti (Wb) in HIV/Wb Coinfections in South India, PLoS Negl Trop Dis., 9, 3, (2015); Pani S.P., Hoti S.L., Vanamail P., Das L.K., Comparison of an immunochromatographic card test with night blood smear examination for detection of Wuchereria bancrofti microfilaria carriers, National Medical Journal of India., 17, 6, pp. 304-306, (2004); Nuchprayoon S., Porksakorn C., Junpee A., Sanprasert V., Poovorawan Y., Comparative assessment of an Og4C3 ELISA and an ICT filariasis test: A study of Myanmar migrants in Thailand, Asian Pacific Journal of Allergy and Immunology., 21, 4, pp. 253-257, (2003); Hoti S.L., Elango A., Radjame K., Yuvaraj J., Pani S.P., Detection of day blood filarial antigens by Og4C3 ELISA test using filter paper samples, Natl Med J India., 15, 5, pp. 263-266, (2002); Rocha A., Addiss D., Ribeiro M., Noroes J., Baliza M., Medeiros Z., Et al., Evaluation of the Og4C3 ELISA in Wuchereria bancrofti infection: Infected persons with undetectable or ultra-low microfilarial densities, Tropical Medicine and International Health., 1, 6, pp. 859-864, (1996)</t>
  </si>
  <si>
    <t xml:space="preserve">2-s2.0-84934783353</t>
  </si>
  <si>
    <t xml:space="preserve">Kumari M.; Chandra S.</t>
  </si>
  <si>
    <t xml:space="preserve">Kumari, Madhulata (56597592700); Chandra, Subhash (59378555100)</t>
  </si>
  <si>
    <t xml:space="preserve">56597592700; 59378555100</t>
  </si>
  <si>
    <t xml:space="preserve">In silico prediction of anti-malarial hit molecules based on machine learning methods</t>
  </si>
  <si>
    <t xml:space="preserve">Machine learning techniques have been widely used in drug discovery and development in the areas of cheminformatics. Aspartyl aminopeptidase (M18AAP) of Plasmodium falciparum is crucial for survival of malaria parasite. We have created predictive models using weka and evaluated their performance based on various statistical parameters. Random Forest based model was found to be the most specificity (97.94%), with best accuracy (97.3%), MCC (0.306) as well as ROC (86.1%). The accuracy and MCC of these models indicated that they could be used to classify huge dataset of unknown compounds to predict their antimalarial compounds to develop effective drugs. Further, we deployed best predictive model on NCI diversity set IV. As result we found 59 bioactive anti-malarial molecules inhibiting M18AAP. Further, we obtained 18 non-toxic hit molecules out of 59 bioactive compounds. We suggest that such machine learning approaches could be applied to reduce the cost and length of time of drug discovery. Copyright © 2015 Inderscience Enterprises Ltd.</t>
  </si>
  <si>
    <t xml:space="preserve">International Journal of Computational Biology and Drug Design</t>
  </si>
  <si>
    <t xml:space="preserve">10.1504/IJCBDD.2015.068783</t>
  </si>
  <si>
    <t xml:space="preserve">https://www.scopus.com/inward/record.uri?eid=2-s2.0-84928012342&amp;doi=10.1504%2fIJCBDD.2015.068783&amp;partnerID=40&amp;md5=0861f6766ae66282e76b6de6fd42d6bd</t>
  </si>
  <si>
    <t xml:space="preserve">Department of Information Technology, Kumaun University, SSJ Campus, Almora, Uttarakhand, 263601, India; Department of Botany, Kumaun University, SSJ Campus, Almora, Uttarakhand, 263601, India</t>
  </si>
  <si>
    <t xml:space="preserve">Kumari M., Department of Information Technology, Kumaun University, SSJ Campus, Almora, Uttarakhand, 263601, India; Chandra S., Department of Botany, Kumaun University, SSJ Campus, Almora, Uttarakhand, 263601, India</t>
  </si>
  <si>
    <t xml:space="preserve">Data mining; Drug discovery; J48; Machine learning; Malaria; Naïve Bayes; Random Forest; Toxicity prediction; Weka</t>
  </si>
  <si>
    <t xml:space="preserve">Antimalarials; Artificial Intelligence; Computer Simulation; Drug Discovery; Models, Molecular; Models, Statistical; aminopeptidase inhibitor; antimalarial agent; aspartyl aminopeptidase; antimalarial agent; accuracy; antimalarial activity; Article; computer model; enzyme inhibition; malaria; nonhuman; Plasmodium falciparum; prediction; random forest; artificial intelligence; chemical structure; chemistry; computer simulation; drug development; procedures; statistical model</t>
  </si>
  <si>
    <t xml:space="preserve">aspartyl aminopeptidase, 212557-83-0; Antimalarials, </t>
  </si>
  <si>
    <t xml:space="preserve">Council of Scientific and Industrial Research, (HCP001)</t>
  </si>
  <si>
    <t xml:space="preserve">Bouckaert R.R., Frank E., Hall M.A., Holmes G., Pfahringer B., Reutemann P., Witten I.H., WEKA - Experiences with a java open-source project, J. Mach. Learn. Res., 11, pp. 2533-2541, (2010); Breiman L., Random forests, Mach. Learn., 45, pp. 5-32, (2001); Chen X., Chong C.R., Shi L., Yoshimoto T., Sullivan D.J., Liu J.O., Inhibitors of plasmodium falciparum methionine aminopeptidase 1b possess antimalarial activity, Proc. Natl. Acad. Sci. U. S. A., 103, pp. 14548-14553, (2006); Demsar J., Statistical comparisons of classifiers over multiple data sets, J. Mach. Learn. Res., 7, pp. 1-30, (2006); Domingos P., MetaCost: A general method for making classifiers cost sensitive, The First Annual International Conference on Knowledge Discovery in Data, pp. 155-164, (1999); Elkan C., The foundations of cost-sensitive learning, Proceedings of the Seventeenth International Joint Conference on Artificial Intelligence, 2, pp. 973-978, (2001); Fawcett T., An introduction to ROC analysis, Pattern Recognition Letters, 27, pp. 861-874, (2006); Friedman N., Geiger D., Goldszmidt M., Bayesian network classifiers, Mach. Learn., 29, pp. 131-163, (1997); Ivanciuc O., Weka machine learning for predicting the phospholipidosis inducing potential, Curr. Top. Med. Chem., 8, pp. 1691-1709, (2008); Jamal S., OSDD consortium, Scaria V. Cheminformatic models based on machine learning for pyruvate kinase inhibitors of Leishmania Mexicana, BMC Bioinformatics, 14, (2013); Jamal S., Periwal V., OSDD Consortium, Scaria V. Predictive cheminformatics analysis of anti-malarial molecules inhibiting apicoplast formation, BMC Bioinformatics, 14, (2013); Liu K., Feng J., Young S.S., Power M.V., A software environment for molecular viewing, descriptor generation, data analysis and hit evaluation, J. Chem. Inf. Model, 45, pp. 515-522, (2005); Nankya-Kitaka M.F., Curley G.P., Gavigan C.S., Bell A., Dalton J.P., Plasmodium chabaudi chabaudi and P. Falciparum: Inhibition of aminopeptidase and parasite growth by bestatin and nitrobestatin, Parasitol. Res., 84, pp. 552-558, (1998); Newton C.R., Taylor T.E., Whitten R.O., Pathophysiology of fatal falciparummalaria in African children, Am. J. Trop. Med. Hyg., 58, pp. 673-683, (1998); Periwal V., Kishtapuram S., Scaria V., Computational models for in-vitro antitubercular activity of molecules based on high-throughput chemical biology screening datasets, BMC Pharmacol., 12, (2012); Periwal V., Rajappan J.K., Jaleel A.U., Scaria V., Predictive models for antitubercular molecules using machine learning on high-throughput biological screening datasets, BMC Res. Notes, 4, (2011); Quinlan J.R., C4.5. PROGRAMS for Machine Learning, (1993); Sokolova M., Lapalme G., A systematic analysis of performance measures for classification tasks, Inf. Process. Manage., 45, pp. 427-437, (2009); Stack C.M., Lowther J., Cunningham E., Donnelly S., Gardiner K.R., Trenholme D.L., Skinner-Adams T.S., Teuscher F., Grembecka J., Mucha A., Kafarski P., Lua L., Bell A., Dalton J.P., Characterization of the Plasmodium falciparum M17 leucyl aminopeptidase. A protease involved in amino acid regulation with potential for antimalarial drug development, J. Biol. Chem., 282, pp. 2069-2080, (2007); Stehman S.V., Selecting and interpreting measures of thematic classification accuracy, Remote Sens. Environ., 62, pp. 77-89, (1997); Sud M., MayaChemTools: An open source package for computational discovery, COMP poster #306, 243rd ACS National Meeting &amp; Exposition, pp. 25-29, (2012); Teuscher F., Lowther J., Skinner-Adams T.S., Spielmann T., Dixon M.W., Stack C.M., Donnelly S., Mucha A., Kafarski P., Vassiliou S., Gardiner D.L., Dalton J.P., Trenholme K.R., The M18 aspartyl aminopeptidase of the human malaria parasite Plasmodium falciparum, J. Biol.Chem., 282, pp. 30817-30826, (2007); Wang Y., Xiao J., Suzek T.O., Zhang J., Wang J., Bryant S.H., PubChem. A public information system for analyzing bioactivities of small molecules, Nucleic Acids Res., 37, pp. 623-633, (2009); Wilk S., Wilk E., Magnusson R.P., Purification, characterization, and cloning of a cytosolic aspartyl aminopeptidase, J. Biol. Chem., 273, pp. 15961-21570, (1998); World Health Organization, (2013); World Health Organization, (2013)</t>
  </si>
  <si>
    <t xml:space="preserve">M. Kumari; Department of Information Technology, Kumaun University, SSJ Campus, Almora, Uttarakhand, 263601, India; email: mchandra724@gmail.com</t>
  </si>
  <si>
    <t xml:space="preserve">Int. J. Comp. Biol. Drug Des.</t>
  </si>
  <si>
    <t xml:space="preserve">2-s2.0-84928012342</t>
  </si>
  <si>
    <t xml:space="preserve">Kato C.D.; Alibu V.P.; Nanteza A.; Mugasa C.M.; Matovu E.</t>
  </si>
  <si>
    <t xml:space="preserve">Kato, Charles D. (56531475200); Alibu, Vincent P. (6507708865); Nanteza, Ann (6506578942); Mugasa, Claire M. (24468386500); Matovu, Enock (6602999201)</t>
  </si>
  <si>
    <t xml:space="preserve">56531475200; 6507708865; 6506578942; 24468386500; 6602999201</t>
  </si>
  <si>
    <t xml:space="preserve">Interleukin (IL)-6 and IL-10 are up regulated in late stage Trypanosoma brucei rhodesiense sleeping sickness</t>
  </si>
  <si>
    <t xml:space="preserve">Background Sleeping sickness due to Trypanosoma brucei rhodesiense has a wide spectrum of clinical presentations coupled with differences in disease progression and severity across East and Southern Africa. The disease progresses from an early (hemo-lymphatic) stage to the late (meningoencephalitic) stage characterized by presence of parasites in the central nervous system. We hypothesized that disease progression and severity of the neurological response is modulated by cytokines. Methods A total of 55 sleeping sickness cases and 41 healthy controls were recruited passively at Lwala hospital, in Northern Uganda. A panel of six cytokines (IFN-γ, IL1-β, TNF-α, IL-6, TGF-β and IL-10) were assayed from paired plasma and cerebrospinal fluid (CSF) samples. Cytokine concentrations were analyzed in relation to disease progression, clinical presentation and severity of neurological responses. Results Median plasma levels (pg/ml) of IFN-γ (46.3), IL-6 (61.7), TGF-β (8755) and IL-10 (256.6) were significantly higher in cases compared to controls (p&lt; 0.0001). When early stage and late stage CSF cytokines were compared, IL-10 and IL-6 were up regulated in late stage patients and were associated with a reduction in tremors and cranioneuropathy. IL-10 had a higher staging accuracy with a sensitivity of 85.7%(95% CI, 63.7%-97%) and a specificity of 100% (95% CI, 39.8%-100%) while for IL-6, a specificity of 100% (95% CI, 47.8%-100%) gave a sensitivity of 83.3% (95% CI, 62.2%-95.3%). Conclusion Our study demonstrates the role of host inflammatory cytokines in modulating the progression and severity of neurological responses in sleeping sickness. We demonstrate here an up-regulation of IL-6 and IL-10 during the late stage with a potential as adjunct stage biomarkers. Given that both cytokines could potentially be elevated by other CNS infections, our findings should be further validated in a large cohort of patients including those with other inflammatory diseases such as cerebral malaria. © 2015 Kato et al.</t>
  </si>
  <si>
    <t xml:space="preserve">e0003835</t>
  </si>
  <si>
    <t xml:space="preserve">10.1371/journal.pntd.0003835</t>
  </si>
  <si>
    <t xml:space="preserve">https://www.scopus.com/inward/record.uri?eid=2-s2.0-84934779976&amp;doi=10.1371%2fjournal.pntd.0003835&amp;partnerID=40&amp;md5=2dd5743a326c872cd0d415186b80db56</t>
  </si>
  <si>
    <t xml:space="preserve">School of Bio-security, Biotechnical &amp; Laboratory Sciences, College of Veterinary Medicine, Animal Resources &amp; Bio-security, Makerere University, Kampala, Uganda; College of Natural Sciences, Makerere University, Kampala, Uganda</t>
  </si>
  <si>
    <t xml:space="preserve">Kato C.D., School of Bio-security, Biotechnical &amp; Laboratory Sciences, College of Veterinary Medicine, Animal Resources &amp; Bio-security, Makerere University, Kampala, Uganda; Alibu V.P., College of Natural Sciences, Makerere University, Kampala, Uganda; Nanteza A., School of Bio-security, Biotechnical &amp; Laboratory Sciences, College of Veterinary Medicine, Animal Resources &amp; Bio-security, Makerere University, Kampala, Uganda; Mugasa C.M., School of Bio-security, Biotechnical &amp; Laboratory Sciences, College of Veterinary Medicine, Animal Resources &amp; Bio-security, Makerere University, Kampala, Uganda; Matovu E., School of Bio-security, Biotechnical &amp; Laboratory Sciences, College of Veterinary Medicine, Animal Resources &amp; Bio-security, Makerere University, Kampala, Uganda</t>
  </si>
  <si>
    <t xml:space="preserve">Adolescent; Biomarkers; Female; Humans; Interleukin-10; Interleukin-6; Male; Trypanosoma brucei rhodesiense; Trypanosomiasis, African; Up-Regulation; Young Adult; biological marker; gamma interferon; interleukin 10; interleukin 1beta; interleukin 6; transforming growth factor beta; tumor necrosis factor alpha; biological marker; interleukin 10; interleukin 6; adult; African trypanosomiasis; Article; cerebrospinal fluid analysis; controlled study; convulsion; disease course; disease severity; female; Glasgow coma scale; human; major clinical study; male; neuropathology; nonhuman; parasitemia; psychosis; sensitivity and specificity; sleep disorder; tremor; Trypanosoma brucei rhodesiense; upregulation; urine incontinence; adolescent; African trypanosomiasis; genetics; metabolism; pathology; Trypanosoma brucei rhodesiense; upregulation; young adult</t>
  </si>
  <si>
    <t xml:space="preserve">gamma interferon, 82115-62-6; Biomarkers, ; Interleukin-10, ; Interleukin-6, </t>
  </si>
  <si>
    <t xml:space="preserve">Simarro P.P., Cecchi G., Franco J.R., Paone M., Diarra A., Ruiz-Postigo J.A., Et al., Estimating and mapping the population at risk of sleeping sickness, PLoS Negl Trop Dis., 6, (2012); Welburn S.C., Fevre E.M., Coleman P.G., Odiit M., Maudlin I., Sleeping sickness: A tale of two diseases, Trends Parasitol., 17, pp. 19-24, (2001); McLean L., Chisi J.E., Odiit M., Gibson W.C., Ferris V., Picozzi K., Et al., Severity of human African trypanosomiasis in East Africa is associated with geographic location, parasite genotype, and host inflammatory cytokine response profile, Infect Immun., 72, pp. 7040-7044, (2004); McLean L.M., Odiit M., Chisi J.E., Kennedy P.G., Sternberg J.M., Focus-Specific Clinical Profiles in Human African Trypanosomiasis Caused by Trypanosoma brucei rhodesiense, PLoS Negl Trop Dis., 4, (2010); McLean, Odiit M., McLeod A., Morrison L., Sweeney L., Cooper A., Et al., Spatially and genetically distinct African Trypanosome virulence variants defined by host interferon-γ response, J Infect Dis., 196, pp. 1620-1628, (2007); Sternberg J.M., McLean L., A spectrum of disease in human African trypanosomiasis: The host and parasite genetics of virulence, Parasitology., 137, pp. 2007-2015, (2010); Kennedy P.G., Cytokines in central nervous system trypanosomiasis: Cause, effect or both?, Trans R Soc Trop Med Hyg., 103, pp. 213-214, (2009); Hertz C.J., Filutowicz H., Mansfield J.M., Resistance to the African trypanosomes is IFN-γ dependent, J Immunol., 161, pp. 6775-6783, (1998); Russell K.L., Ming J.E., Patel K., Jukofsky L., Magnusson M., Krantz I.D., Human and rodent interferon-as a growth factor for trypanosoma brucei, Eur J Immunol., (2005); Sternberg J.M., Rodgers J., Bradley B., McLean L., Murray M., Kennedy P.G., Meningoencephalitic African trypanosomiasis: Brain IL-10 and IL-6 are associated with protection from neuro-inflammatory pathology, J Neuroimmunol., 167, pp. 81-89, (2005); Namangala B., Noel W., De Baetselier P., Brys L., Beschin A., Relative contribution of interferon-γ and interleukin-10 to resistance to murine African trypanosomosis, J Infect Dis., 183, pp. 1794-1800, (2001); Yamey G., Research Ethics and Reporting Standards at PLoS Neglected Tropical Diseases, PLoS Negl Trop Dis., 1, (2007); McLean L., Odiit M., Sternberg J.M., Intrathecal cytokine responses in Trypanosoma brucei rhodesiense sleeping sickness patients, Trans R Soc Trop Med Hyg, 100, pp. 270-275, (2006); McLean L., Reiber H., Kennedy P.G., Sternberg J.M., Stage progression and neurological symptoms in Trypanosoma brucei rhodesiense sleeping sickness: Role of the CNS inflammatory response, PLoS Negl Trop Dis., 6, (2012); Chappuis F., Loutan L., Simarro P., Lejon V., Buscher P., Options for field diagnosis of human African trypanosomiasis, Clin Microbiol Rev., 18, pp. 133-146, (2005); Kennedy P.G., Diagnostic and neuropathogenesis issues in human African trypanosomiasis, Int J Parasitol., 36, pp. 505-512, (2006); Control and surveillance of African trypanosomiasis: Report of a WHO expert committee, WHO Tech Rep Ser., 984, pp. 1-250, (2013); Balasegaram M., Harris S., Checchi F., Hamel C., Karunakara U., Treatment outcomes and risk factors for relapse in patients with early-stage human African trypanosomiasis (HAT) in the Republic of the Congo, Bull World Health Organ., 84, pp. 777-782, (2006); Doua F., Miezan T., Sanon S.J., Boa Y.F., Baltz T., The efficacy of pentamidine in the treatment of early-late stage Trypanosoma brucei gambiense trypanosomiasis, Am J Trop Med Hyg., 55, pp. 586-588, (1996); Ruiz J.A., Simarro P.P., Josenando T., Control of human African trypanosomiasis in the Quicama focus, Angola, Bull World Health Organ., 80, pp. 738-745, (2002); Hainard A., Tiberti N., Robin X., Lejon V., Ngoyi D.M., Matovu E., Et al., A combined CXCL10, CXCL8 and H-FABP panel for the staging of human African trypanosomiasis patients, PLoS Negl Trop Dis., 3, (2009); Ngotho M., Kagira J., Jensen H., Karanja S., Farah I., Hau J., Immunospecific immunoglobulins and IL-10 as markers for Trypanosoma brucei rhodesiense late stage disease in experimentally infected vervet monkeys, Trop Med Int Health., 14, pp. 736-747, (2009); Tiberti N., Matovu E., Hainard A., Enyaru J.C., Lejon V., Robin X., Et al., New biomarkers for stage determination in Trypanosoma brucei rhodesiense sleeping sickness patients, Clin Transl Med., 2, (2013); Lejon V., Roger I., Ngoyi D.M., Menten J., Robays J., N'Siesi F.X., Et al., Novel markers for treatment outcome in late-stage Trypanosoma brucei gambiense trypanosomiasis, Clin Infect Dis., 47, pp. 15-22, (2008); Rodgers J., Trypanosomiasis and the brain, Parasitology., 137, pp. 1995-2006, (2010); Woo P., The haematocrit centrifuge technique for the diagnosis of African trypanosomiasis, Acta tropica., 27, pp. 384-386, (1970); Mumba Ngoyi D., Menten J., Pyana P.P., Buscher P., Lejon V., Stage determination in sleeping sickness: Comparison of two cell counting and two parasite detection techniques, Trop Med Int Health., 18, pp. 778-782, (2013); Teasdale G., Jennett B., Assessment of coma and impaired consciousness: A practical scale, The Lancet., 304, pp. 81-84, (1974); McLean L., Odiit M., Sternberg J.M., Nitric oxide and cytokine synthesis in human African trypanosomiasis, J Infect Dis., 184, pp. 1086-1090, (2001); Hajian-Tilaki K., Receiver operating characteristic (ROC) curve analysis for medical diagnostic test evaluation, Caspian journal of internal medicine., 4, (2013); Buyst H., The epidemiology of sleeping sickness in the historical Luangwa valley, Ann Soc Belg Med Trop., 57, pp. 349-359, (1977); Courtin D., Jamonneau V., Mathieu J.F., Koffi M., Milet J., Yeminanga C.S., Et al., Comparison of cytokine plasma levels in human African trypanosomiasis, Trop Med Int Health., 11, pp. 647-653, (2006); Nyawira Maranga D., Kagira J.M., Kinyanjui C.K., Muturi Karanja S., Wangari Maina N., Ngotho M., IL-6 is Upregulated in Late-Stage Disease in Monkeys Experimentally Infected with Trypanosoma brucei rhodesiense, Clin Dev Immunol., (2013); Lejon V., Lardon J., Kenis G., Pinoges L., Legros D., Bisser S., Et al., Interleukin (IL)-6, IL-8 and IL-10 in serum and CSF of Trypanosoma brucei gambiense sleeping sickness patients before and after treatment, Trans R Soc Trop Med Hyg., 96, pp. 329-333, (2002); Rhind S.G., Sabiston B.H., Shek P.N., Buguet A., Muanga G., Stanghellini A., Et al., Effect of melarsoprol treatment on circulating IL-10 and TNF-α levels in human African trypanosomiasis, Clin Immunol., 83, pp. 185-189, (1997); Kennedy P.G., The continuing problem of human African trypanosomiasis (sleeping sickness), Ann Neurol., 64, pp. 116-126, (2008); Enanga B., Burchmore R., Stewart M., Barrett M., Sleeping sickness and the brain, Cell Mol Life Sci., 59, pp. 845-858, (2002); Hunter C., Jennings F., Kennedy P., Murray M., Astrocyte activation correlates with cytokine production in central nervous system of Trypanosoma brucei brucei-infected mice, Lab Inves., 67, pp. 635-642, (1992); Okomo-Assoumou M.C., Daulouede S., Lemesre J.-L., N'Zila-Mouanda A., Vincendeau P., Correlation of high serum levels of tumor necrosis factor-alpha with disease severity in human African trypanosomiasis, Am J Trop Med Hyg., 53, pp. 539-543, (1995); Ngotho M., Maina N., Kagira J., Royo F., Farah I.O., Hau J., IL-10 is up regulated in early and transitional stages in vervet monkeys experimentally infected with Trypanosoma brucei rhodesiense, Parasitol Int., 55, pp. 243-248, (2006); Penkowa M., Giralt M., Lago N., Camats J., Carrasco J., Hernandez J., Et al., Astrocyte-targeted expression of IL-6 protects the CNSagainst a focal brain injury, Exp Neuro., 181, pp. 130-148, (2003); Courtin D., Milet J., Jamonneau V., Yeminanga C.S., Kumeso V.K.B., Bilengue C.M.M., Et al., Association between human African trypanosomiasis and the IL6gene in a Congolese population, Infect Genet Evol., 7, pp. 60-68, (2007); Van Wagoner N.J., Oh J.-W., Repovic P., Benveniste E.N., Interleukin-6 (IL-6) production by astrocytes: Autocrine regulation by IL-6 and the soluble IL-6 receptor, J Neurosci., 19, pp. 5236-5244, (1999); Oh J.-W., Van Wagoner N.J., Rose-John S., Benveniste E.N., Role of IL-6 and the soluble IL-6 receptor in inhibition of VCAM-1 gene expression, J Immunol., 161, pp. 4992-4999, (1998); Wahl S.M., McCartney-Francis N., Mergenhagen S.E., Inflammatory and immunomodulatory roles of TGF- β, Immunol Today., 10, pp. 258-261, (1989); Kennedy P., Difficulties in diagnostic staging of human African trypanosomiasis, J Neuroparasitol., 2, pp. 1-3, (2011); Kato C.D., Nanteza A., Mugasa C., Edyelu A., Matovu E., Alibu V.P., Clinical Profiles, Disease Outcome and Co-Morbidities among T. b. rhodesiense Sleeping Sickness Patients in Uganda, PloS one., 10, (2015); da Guimaraes Costa A., do Valle Antonelli L.R., Augusto Carvalho Costa P., Paulo Diniz Pimentel J., Garcia N.P., Monteiro Tarrago A., Et al., The Robust and Modulated Biomarker Network Elicited by the Plasmodium vivax Infection Is Mainly Mediated by the IL-6/IL-10 Axis and Is Associated with the Parasite Load, J Immunol Res., (2014)</t>
  </si>
  <si>
    <t xml:space="preserve">E. Matovu; School of Bio-security, Biotechnical &amp; Laboratory Sciences, College of Veterinary Medicine, Animal Resources &amp; Bio-security, Makerere University, Kampala, Uganda; email: matovue@covab.mak.ac.ug</t>
  </si>
  <si>
    <t xml:space="preserve">2-s2.0-84934779976</t>
  </si>
  <si>
    <t xml:space="preserve">Moxon C.A.; Chisala N.V.; Mzikamanda R.; Maccormick I.; Harding S.; Downey C.; Molyneux M.; Seydel K.B.; Taylor T.E.; Heyderman R.S.; Toh C.-H.</t>
  </si>
  <si>
    <t xml:space="preserve">Moxon, C.A. (55309248000); Chisala, N.V. (55901795700); Mzikamanda, R. (56815046500); Maccormick, I. (16175629900); Harding, S. (7202447700); Downey, C. (7006420400); Molyneux, M. (7004794512); Seydel, K.B. (36800850500); Taylor, T.E. (35413137400); Heyderman, R.S. (7005251165); Toh, C.-H. (7102084448)</t>
  </si>
  <si>
    <t xml:space="preserve">55309248000; 55901795700; 56815046500; 16175629900; 7202447700; 7006420400; 7004794512; 36800850500; 35413137400; 7005251165; 7102084448</t>
  </si>
  <si>
    <t xml:space="preserve">Laboratory evidence of disseminated intravascular coagulation is associated with a fatal outcome in children with cerebral malaria despite an absence of clinically evident thrombosis or bleeding</t>
  </si>
  <si>
    <t xml:space="preserve">Background: A procoagulant state is implicated in cerebral malaria (CM) pathogenesis, but whether disseminated intravascular coagulation (DIC) is present or associated with a fatal outcome is unclear. Objectives: To determine the frequency of overt DIC, according to ISTH criteria, in children with fatal and non-fatal CM. Methods/patients: Malawian children were recruited into a prospective cohort study in the following diagnostic groups: retinopathy-positive CM (n = 140), retinopathy-negative CM (n = 36), non-malarial coma (n = 14), uncomplicated malaria (UM), (n = 91), mild non-malarial febrile illness (n = 85), and healthy controls (n = 36). Assays in the ISTH DIC criteria were performed, and three fibrin-related markers, i.e. protein C, antithrombin, and soluble thrombomodulin, were measured. Results and conclusions: Data enabling assignment of the presence or absence of 'overt DIC' were available for 98 of 140 children with retinopathy-positive CM. Overt DIC was present in 19 (19%), and was associated with a fatal outcome (odds ratio [OR] 3.068; 95% confidence interval [CI] 1.085-8.609; P = 0.035]. The levels of the three fibrin-related markers and soluble thrombomodulin were higher in CM patients than in UM patients (all P &lt; 0.001). The mean fibrin degradation product level was higher in fatal CM patients (71.3 μg mL-1 [95% CI 49.0-93.6]) than in non-fatal CM patients (48.0 μg mL-1 [95% CI 37.7-58.2]; P = 0.032), but, in multivariate logistic regression, thrombomodulin was the only coagulation-related marker that was independently associated with a fatal outcome (OR 1.084 for each ng mL-1 increase [95% CI 1.017-1.156]; P = 0.014). Despite these laboratory derangements, no child in the study had clinically evident bleeding or thrombosis. An overt DIC score and high thrombomodulin levels are associated with a fatal outcome in CM, but infrequently indicate a consumptive coagulopathy. © 2015 International Society on Thrombosis and Haemostasis.</t>
  </si>
  <si>
    <t xml:space="preserve">Journal of Thrombosis and Haemostasis</t>
  </si>
  <si>
    <t xml:space="preserve">10.1111/jth.13060</t>
  </si>
  <si>
    <t xml:space="preserve">https://www.scopus.com/inward/record.uri?eid=2-s2.0-84940900089&amp;doi=10.1111%2fjth.13060&amp;partnerID=40&amp;md5=14ab211ef9566dbb2e5ed4fb35481f45</t>
  </si>
  <si>
    <t xml:space="preserve">Institute of Infection and Global Health, University of Liverpool, Liverpool, United Kingdom; University of Malawi College of Medicine, Blantyre, Malawi; University of Malawi College of Medicine, Blantyre, Malawi; Institute of Aging and Chronic Disease, University of Liverpool, Liverpool, United Kingdom; Roald Dahl Haemostasis and Thrombosis Centre, Royal Liverpool University Hospital, Liverpool, United Kingdom; Liverpool School of Tropical Medicine, Liverpool, United Kingdom; College of Osteopathic Medicine, Michigan State University, East Lansing, MI, United States; Blantyre Malaria Project, University of Malawi College of Medicine, Blantyre, Malawi</t>
  </si>
  <si>
    <t xml:space="preserve">Moxon C.A., Institute of Infection and Global Health, University of Liverpool, Liverpool, United Kingdom, University of Malawi College of Medicine, Blantyre, Malawi; Chisala N.V., University of Malawi College of Medicine, Blantyre, Malawi; Mzikamanda R., University of Malawi College of Medicine, Blantyre, Malawi; Maccormick I., University of Malawi College of Medicine, Blantyre, Malawi, University of Malawi College of Medicine, Blantyre, Malawi; Harding S., Institute of Aging and Chronic Disease, University of Liverpool, Liverpool, United Kingdom; Downey C., Roald Dahl Haemostasis and Thrombosis Centre, Royal Liverpool University Hospital, Liverpool, United Kingdom; Molyneux M., University of Malawi College of Medicine, Blantyre, Malawi, Liverpool School of Tropical Medicine, Liverpool, United Kingdom; Seydel K.B., College of Osteopathic Medicine, Michigan State University, East Lansing, MI, United States, Blantyre Malaria Project, University of Malawi College of Medicine, Blantyre, Malawi; Taylor T.E., College of Osteopathic Medicine, Michigan State University, East Lansing, MI, United States, Blantyre Malaria Project, University of Malawi College of Medicine, Blantyre, Malawi; Heyderman R.S., Institute of Infection and Global Health, University of Liverpool, Liverpool, United Kingdom, University of Malawi College of Medicine, Blantyre, Malawi; Toh C.-H., Institute of Infection and Global Health, University of Liverpool, Liverpool, United Kingdom, Roald Dahl Haemostasis and Thrombosis Centre, Royal Liverpool University Hospital, Liverpool, United Kingdom</t>
  </si>
  <si>
    <t xml:space="preserve">Blood coagulation; Disseminated intravascular coagulation; Endothelial cell protein C receptor; Fibrin; Malaria, cerebral</t>
  </si>
  <si>
    <t xml:space="preserve">Biomarkers; Blood Glucose; Child; Child, Preschool; Coma; Disseminated Intravascular Coagulation; Female; Fever; Fibrin; Hematologic Tests; Humans; Infant; Lactates; Malaria, Cerebral; Malaria, Falciparum; Malawi; Male; Parasitemia; Prospective Studies; Retinal Hemorrhage; Risk Factors; Thrombomodulin; antithrombin; fibrinogen; protein C; thrombomodulin; biological marker; fibrin; glucose blood level; lactic acid derivative; THBD protein, human; thrombomodulin; Article; bleeding; brain malaria; child; childhood mortality; cohort analysis; controlled study; DIC score; disease association; disseminated intravascular clotting; fatality; female; fetus outcome; fibrinolysis; human; major clinical study; Malawian; male; outcome assessment; predictive value; priority journal; prospective study; retina hemorrhage; retinopathy; risk assessment; risk factor; scoring system; thrombocyte count; thrombosis; analysis; biosynthesis; blood; blood examination; cerebral malaria; coma; Disseminated Intravascular Coagulation; fever; glucose blood level; infant; malaria falciparum; Malawi; mortality; parasitemia; parasitology; preschool child</t>
  </si>
  <si>
    <t xml:space="preserve">antithrombin, 9000-94-6; fibrinogen, 9001-32-5; protein C, 60202-16-6; thrombomodulin, 112049-68-0; fibrin, 9001-31-4; Biomarkers, ; Blood Glucose, ; Fibrin, ; Lactates, ; THBD protein, human, ; Thrombomodulin, </t>
  </si>
  <si>
    <t xml:space="preserve">National Institute of Allergy and Infectious Diseases, NIAID, (R01AI034969); Wellcome Trust, WT, (092668, 084679)</t>
  </si>
  <si>
    <t xml:space="preserve">Taylor T.E., Fu W.J., Carr R.A., Whitten R.O., Mueller J.S., Fosiko N.G., Lewallen S., Liomba N.G., Molyneux M.E., Differentiating the pathologies of cerebral malaria by postmortem parasite counts, Nat Med, 10, pp. 143-145, (2004); Murphy S.C., Breman J.G., Gaps in the childhood malaria burden in Africa: cerebral malaria, neurological sequelae, anemia, respiratory distress, hypoglycemia, and complications of pregnancy, Am J Trop Med Hyg, 64, pp. 57-67, (2001); John C.C., Kutamba E., Mugarura K., Opoka R.O., Adjunctive therapy for cerebral malaria and other severe forms of Plasmodium falciparum malaria, Expert Rev Anti Infect Ther, 8, pp. 997-1008, (2010); Turner L., Lavstsen T., Berger S.S., Wang C.W., Petersen J.E., Avril M., Brazier A.J., Freeth J., Jespersen J.S., Nielsen M.A., Magistrado P., Lusingu J., Smith J.D., Higgins M.K., Theander T.G., Severe malaria is associated with parasite binding to endothelial protein C receptor, Nature, 498, pp. 502-505, (2013); Francischetti I.M., Seydel K.B., Monteiro R.Q., Whitten R.O., Erexson C.R., Noronha A.L., Ostera G.R., Kamiza S.B., Molyneux M.E., Ward J.M., Taylor T.E., Plasmodium falciparum-infected erythrocytes induce tissue factor expression in endothelial cells and support the assembly of multimolecular coagulation complexes, J Thromb Haemost, 5, pp. 155-165, (2007); Larkin D., de Laat B., Jenkins P.V., Bunn J., Craig A.G., Terraube V., Preston R.J., Donkor C., Grau G.E., van Mourik J.A., O'Donnell J.S., Severe Plasmodium falciparum malaria is associated with circulating ultra-large von Willebrand multimers and ADAMTS13 inhibition, PLoS Pathog, 5, (2009); Ndonwi M., Burlingame O.O., Miller A.S., Tollefsen D.M., Broze G.J., Goldberg D.E., Inhibition of antithrombin by Plasmodium falciparum histidine-rich protein II, Blood, 117, pp. 6347-6354, (2011); Ghosh K., Shetty S., Blood coagulation in falciparum malaria - a review, Parasitol Res, 102, pp. 571-576, (2008); Schwameis M., Schorgenhofer C., Assinger A., Steiner M., Jilma B., VWF excess and ADAMTS13 deficiency: a unifying pathomechanism linking inflammation to thrombosis in DIC, malaria, and TTP, Thromb Haemost, 113, pp. 708-718, (2014); Connolly S.J., Ezekowitz M.D., Yusuf S., Eikelboom J., Oldgren J., Parekh A., Pogue J., Reilly P.A., Themeles E., Varrone J., Wang S., Alings M., Xavier D., Zhu J., Diaz R., Lewis B.S., Darius H., Diener H.C., Joyner C.D., Wallentin L., Dabigatran versus warfarin in patients with atrial fibrillation, N Engl J Med, 361, pp. 1139-1151, (2009); Lassen M.R., Ageno W., Borris L.C., Lieberman J.R., Rosencher N., Bandel T.J., Misselwitz F., Turpie A.G., Rivaroxaban versus enoxaparin for thromboprophylaxis after total knee arthroplasty, N Engl J Med, 358, pp. 2776-2786, (2008); Vincent J.L., Ramesh M.K., Ernest D., LaRosa S.P., Pachl J., Aikawa N., Hoste E., Levy H., Hirman J., Levi M., Daga M., Kutsogiannis D.J., Crowther M., Bernard G.R., Devriendt J., Puigserver J.V., Blanzaco D.U., Esmon C.T., Parrillo J.E., Guzzi L., Et al., A randomized, double-blind, placebo-controlled, Phase 2b study to evaluate the safety and efficacy of recombinant human soluble thrombomodulin, ART-123, in patients with sepsis and suspected disseminated intravascular coagulation, Crit Care Med, 41, pp. 2069-2079, (2013); Lyden P., Levy H., Weymer S., Pryor K., Kramer W., Griffin J.H., Davis T.P., Zlokovic B., Phase 1 safety, tolerability and pharmacokinetics of 3K3A-APC in healthy adult volunteers, Curr Pharm Des, 19, pp. 7479-7485, (2013); van der Poll T., The endothelial protein C receptor and malaria, Blood, 122, pp. 624-625, (2013); Aird W.C., Mosnier L.O., Fairhurst R.M., Plasmodium falciparum picks (on) EPCR, Blood, 123, pp. 163-167, (2014); Moxon C.A., Wassmer S.C., Milner D.A., Chisala N.V., Taylor T.E., Seydel K.B., Molyneux M.E., Faragher B., Esmon C.T., Downey C., Toh C.H., Craig A.G., Heyderman R.S., Loss of endothelial protein C receptors links coagulation and inflammation to parasite sequestration in cerebral malaria in African children, Blood, 122, pp. 842-851, (2013); Miller L.H., Ackerman H.C., Su X.Z., Wellems T.E., Malaria biology and disease pathogenesis: insights for new treatments, Nat Med, 19, pp. 156-167, (2013); Sundaram J., Keshava S., Gopalakrishnan R., Esmon C.T., Pendurthi U.R., Rao L.V., Factor VIIa binding to endothelial cell protein C receptor protects vascular barrier integrity in vivo, J Thromb Haemost, 12, pp. 690-700, (2014); Clemens R., Pramoolsinsap C., Lorenz R., Pukrittayakamee S., Bock H.L., White N.J., Activation of the coagulation cascade in severe falciparum malaria through the intrinsic pathway, Br J Haematol, 87, pp. 100-105, (1994); Marsh K., Forster D., Waruiru C., Mwangi I., Winstanley M., Marsh V., Newton C., Winstanley P., Warn P., Peshu N., Indicators of life-threatening malaria in African children, N Engl J Med, 332, pp. 1399-1404, (1995); Moxon C.A., Heyderman R.S., Wassmer S.C., Dysregulation of coagulation in cerebral malaria, Mol Biochem Parasitol, 166, pp. 99-108, (2009); Moxon C.A., Chisala N.V., Wassmer S.C., Taylor T.E., Seydel K.B., Molyneux M.E., Faragher B., Kennedy N., Toh C.H., Craig A.G., Heyderman R.S., Persistent endothelial activation and inflammation after Plasmodium falciparum infection in Malawian children, J Infect Dis, 209, pp. 610-615, (2014); WHO Expert Committee on Malaria, World Health Organ Tech Rep Ser, 892, pp. 1-74, (2000); Harding S.P., Lewallen S., Beare N.A., Smith A., Taylor T.E., Molyneux M.E., Classifying and grading retinal signs in severe malaria, Trop Doct, 36, pp. 1-13, (2006); White V.A., Lewallen S., Beare N.A., Molyneux M.E., Taylor T.E., Retinal pathology of pediatric cerebral malaria in Malawi, PLoS One, 4, (2009); Postels D.G., Birbeck G.L., Children with retinopathy-negative cerebral malaria: a pathophysiological puzzle, Pediatr Infect Dis J, 30, pp. 953-956, (2011); Liaw P.C., Esmon C.T., Kahnamoui K., Schmidt S., Kahnamoui S., Ferrell G., Beaudin S., Julian J.A., Weitz J.I., Crowther M., Loeb M., Cook D., Patients with severe sepsis vary markedly in their ability to generate activated protein C, Blood, 104, pp. 3958-3964, (2004); Toh C.H., Hoots W.K., The scoring system of the Scientific and Standardisation Committee on Disseminated Intravascular Coagulation of the International Society on Thrombosis and Haemostasis: a 5-year overview, J Thromb Haemost, 5, pp. 604-606, (2007); Taylor F.B., Toh C.H., Hoots W.K., Wada H., Levi M., Towards definition, clinical and laboratory criteria, and a scoring system for disseminated intravascular coagulation, Thromb Haemost, 86, pp. 1327-1330, (2001); Chimalizeni Y., Kawaza K., Taylor T., Molyneux M., The platelet count in cerebral malaria, is it useful to the clinician?, Am J Trop Med Hyg, 83, pp. 48-50, (2010); Toh J.M., Ken-Dror G., Downey C., Abrams S.T., The clinical utility of fibrin-related biomarkers in sepsis, Blood Coagul Fibrinolysis, 24, pp. 839-843, (2013); Dempfle C.E., Wurst M., Smolinski M., Lorenz S., Osika A., Olenik D., Fiedler F., Borggrefe M., Use of soluble fibrin antigen instead of D-dimer as fibrin-related marker may enhance the prognostic power of the ISTH overt DIC score, Thromb Haemost, 91, pp. 812-818, (2004); Knower M.T., Bowton D.L., Owen J., Dunagan D.P., Quinine-induced disseminated intravascular coagulation: case report and review of the literature, Intensive Care Med, 29, pp. 1007-1011, (2003); Reinhart K., Bayer O., Brunkhorst F., Meisner M., Markers of endothelial damage in organ dysfunction and sepsis, Crit Care Med, 30, pp. S302-S312, (2002); WHO Case Definitions of HIV for Surveillance and Revised Clinical Staging and Immunological Classification of HIV-Related Disease in Adults and Children, (2006); White V.A., Lewallen S., Beare N., Kayira K., Carr R.A., Taylor T.E., Correlation of retinal haemorrhages with brain haemorrhages in children dying of cerebral malaria in Malawi, Trans R Soc Trop Med Hyg, 95, pp. 618-621, (2001); Grau G.E., Mackenzie C.D., Carr R.A., Redard M., Pizzolato G., Allasia C., Cataldo C., Taylor T.E., Molyneux M.E., Platelet accumulation in brain microvessels in fatal pediatric cerebral malaria, J Infect Dis, 187, pp. 461-466, (2003); Liechti M.E., Zumsteg V., Hatz C.F., Herren T., Plasmodium falciparum cerebral malaria complicated by disseminated intravascular coagulation and symmetrical peripheral gangrene: case report and review, Eur J Clin Microbiol Infect Dis, 22, pp. 551-554, (2003); Nadel S., Goldstein B., Williams M.D., Dalton H., Peters M., Macias W.L., Abd-Allah S.A., Levy H., Angle R., Wang D., Sundin D.P., Giroir B., Drotrecogin alfa (activated) in children with severe sepsis: a multicentre phase III randomised controlled trial, Lancet, 369, pp. 836-843, (2007); Moussiliou A., Alao M.J., Denoeud-Ndam L., Tahar R., Ezimegnon S., Sagbo G., Amoussou A., Luty A.J., Deloron P., Tuikue Ndam N., High plasma levels of soluble endothelial protein C receptor are associated with increased mortality among children with cerebral malaria in Benin, J Infect Dis, 211, pp. 1484-1488, (2015); Dorovini-Zis K., Schmidt K., Huynh H., Fu W., Whitten R.O., Milner D., Kamiza S., Molyneux M., Taylor T.E., The neuropathology of fatal cerebral malaria in Malawian children, Am J Pathol, 178, pp. 2146-2158, (2011)</t>
  </si>
  <si>
    <t xml:space="preserve">C.A. Moxon; Institute of Infection and Global Health, University of Liverpool, Liverpool, 8 West Derby Street, L69 7BE, United Kingdom; email: cmoxon@liverpool.ac.uk</t>
  </si>
  <si>
    <t xml:space="preserve">JTHOA</t>
  </si>
  <si>
    <t xml:space="preserve">J. Thromb. Haemost.</t>
  </si>
  <si>
    <t xml:space="preserve">2-s2.0-84940900089</t>
  </si>
  <si>
    <t xml:space="preserve">Mancuso F.J.N.; Moisés V.A.; Almeida D.R.; Poyares D.; Storti L.J.; Oliveira W.A.; Brito F.S.; De Paola A.A.V.; Carvalho A.C.C.; Campos O.</t>
  </si>
  <si>
    <t xml:space="preserve">Mancuso, Frederico José Neves (22035414800); Moisés, Valdir Ambrósio (7003721389); Almeida, Dirceu Rodrigues (7006196146); Poyares, Dalva (6602674930); Storti, Luciana Julio (56403122500); Oliveira, Wércules Antonio (25643328300); Brito, Flavio Souza (35785676500); De Paola, Angelo Amato Vincenzo (7007043484); Carvalho, Antonio Carlos Camargo (57202358891); Campos, Orlando (57202333174)</t>
  </si>
  <si>
    <t xml:space="preserve">22035414800; 7003721389; 7006196146; 6602674930; 56403122500; 25643328300; 35785676500; 7007043484; 57202358891; 57202333174</t>
  </si>
  <si>
    <t xml:space="preserve">Left atrial volume determinants in patients with non-ischemic dilated cardiomyopathy</t>
  </si>
  <si>
    <t xml:space="preserve">Background: Left atrial volume (LAV) is a predictor of prognosis in patients with heart failure. Objective: We aimed to evaluate the determinants of LAV in patients with dilated cardiomyopathy (DCM). Methods: Ninety patients with DCM and left ventricular (LV) ejection fraction ≤ 0.50 were included. LAV was measured with real-time three-dimensional echocardiography (eco3D). The variables evaluated were heart rate, systolic blood pressure, LV end-diastolic volume and end-systolic volume and ejection fraction (eco3D), mitral inflow E wave, tissue Doppler e´ wave, E/e´ ratio, intraventricular dyssynchrony, 3D dyssynchrony index and mitral regurgitation vena contracta. Pearson´s coefficient was used to identify the correlation of the LAV with the assessed variables. A multiple linear regression model was developed that included LAV as the dependent variable and the variables correlated with it as the predictive variables. Results: Mean age was 52 ± 11 years-old, LV ejection fraction: 31.5 ± 8.0% (16-50%) and LAV: 39.2±15.7 ml/m². The variables that correlated with the LAV were LV end-diastolic volume (r = 0.38; p &lt; 0.01), LV end-systolic volume (r = 0.43; p &lt; 0.001), LV ejection fraction (r = -0.36; p &lt; 0.01), E wave (r = 0.50; p &lt; 0.01), E/e´ ratio (r = 0.51; p &lt; 0.01) and mitral regurgitation (r = 0.53; p &lt; 0.01). A multivariate analysis identified the E/e´ ratio (p = 0.02) and mitral regurgitation (p = 0.02) as the only independent variables associated with LAV increase. Conclusion: The LAV is independently determined by LV filling pressures (E/e´ ratio) and mitral regurgitation in DCM. © 2015, Arquivos Brasileiros de Cardiologia. All rights reserved.</t>
  </si>
  <si>
    <t xml:space="preserve">Sociedade Brasileira de Cardiologia</t>
  </si>
  <si>
    <t xml:space="preserve">10.5935/abc.20150042</t>
  </si>
  <si>
    <t xml:space="preserve">https://www.scopus.com/inward/record.uri?eid=2-s2.0-84939213336&amp;doi=10.5935%2fabc.20150042&amp;partnerID=40&amp;md5=e39f0bd78c5a2890f0eb2cbd16aaf97f</t>
  </si>
  <si>
    <t xml:space="preserve">Disciplina de Cardiologia – EPM/UNIFESP, Escola Paulista de Medicina, Universidade Federal de São Paulo, São Paulo, SP, Brazil; Instituto do Sono – EPM/UNIFESP, Escola Paulista de Medicina, Universidade Federal de São Paulo, São Paulo, SP, Brazil</t>
  </si>
  <si>
    <t xml:space="preserve">Mancuso F.J.N., Disciplina de Cardiologia – EPM/UNIFESP, Escola Paulista de Medicina, Universidade Federal de São Paulo, São Paulo, SP, Brazil; Moisés V.A., Disciplina de Cardiologia – EPM/UNIFESP, Escola Paulista de Medicina, Universidade Federal de São Paulo, São Paulo, SP, Brazil; Almeida D.R., Disciplina de Cardiologia – EPM/UNIFESP, Escola Paulista de Medicina, Universidade Federal de São Paulo, São Paulo, SP, Brazil; Poyares D., Instituto do Sono – EPM/UNIFESP, Escola Paulista de Medicina, Universidade Federal de São Paulo, São Paulo, SP, Brazil; Storti L.J., Disciplina de Cardiologia – EPM/UNIFESP, Escola Paulista de Medicina, Universidade Federal de São Paulo, São Paulo, SP, Brazil; Oliveira W.A., Instituto do Sono – EPM/UNIFESP, Escola Paulista de Medicina, Universidade Federal de São Paulo, São Paulo, SP, Brazil; Brito F.S., Disciplina de Cardiologia – EPM/UNIFESP, Escola Paulista de Medicina, Universidade Federal de São Paulo, São Paulo, SP, Brazil; De Paola A.A.V., Disciplina de Cardiologia – EPM/UNIFESP, Escola Paulista de Medicina, Universidade Federal de São Paulo, São Paulo, SP, Brazil; Carvalho A.C.C., Disciplina de Cardiologia – EPM/UNIFESP, Escola Paulista de Medicina, Universidade Federal de São Paulo, São Paulo, SP, Brazil; Campos O., Disciplina de Cardiologia – EPM/UNIFESP, Escola Paulista de Medicina, Universidade Federal de São Paulo, São Paulo, SP, Brazil</t>
  </si>
  <si>
    <t xml:space="preserve">Cardiomyopathy, dilated; Chagas cardiomyopathy; Echocardiography, three-dimensional; Heart atria; Organ size</t>
  </si>
  <si>
    <t xml:space="preserve">Adult; Atrial Function, Left; Blood Pressure; Cardiac Volume; Cardiomyopathy, Dilated; Echocardiography, Doppler; Echocardiography, Three-Dimensional; Female; Heart Atria; Humans; Male; Middle Aged; Predictive Value of Tests; Prognosis; Statistics, Nonparametric; Stroke Volume; Ventricular Dysfunction, Left; captopril; carvedilol; digoxin; enalapril; furosemide; metoprolol; spironolactone; 3D dyssynchrony index; adult; Article; cardiovascular parameters; Chagas disease; congestive cardiomyopathy; female; heart left ventricle ejection fraction; heart left ventricle enddiastolic volume; heart left ventricle endsystolic volume; heart rate; heart volume; human; intraventricular dyssynchrony; left atrial volume; major clinical study; male; middle aged; mitral inflow E wave; mitral valve regurgitation; systolic blood pressure; three dimensional echocardiography; tissue Doppler e wave; tissue Doppler imaging; blood pressure; congestive cardiomyopathy; diagnostic imaging; Doppler echocardiography; heart atrium; heart atrium function; heart left ventricle function; heart stroke volume; heart volume; nonparametric test; pathophysiology; physiology; predictive value; prognosis</t>
  </si>
  <si>
    <t xml:space="preserve">captopril, 62571-86-2; carvedilol, 72956-09-3; digoxin, 20830-75-5, 57285-89-9; enalapril, 75847-73-3; furosemide, 54-31-9; metoprolol, 37350-58-6; spironolactone, 52-01-7</t>
  </si>
  <si>
    <t xml:space="preserve">Tsang T.S., Barnes M.E., Gersh B.J., Takemoto Y., Rosales A.G., Bailey K.R., Et al., Prediction of risk for first age-related cardiovascular events in an elderly population: The incremental value of echocardiography, J am Coll Cardiol, 42, 7, pp. 1199-1205, (2003); Tsang T.S., Abhayaratna W.P., Barnes M.E., Miyasaka Y., Gersh B.J., Bailey K.R., Et al., Prediction of cardiovascular outcomes with left atrial size: Is volume superior to area or diameter?, J am Coll Cardiol, 47, 5, pp. 1018-1023, (2006); Acartuk E., Koc M., Bozkurt A., Unal I., Left atrial size may predict exercise capacity and cardiovascular events in patients with heart failure, Tex Heart Inst, 35, 2, pp. 136-143, (2008); Nunes M., Barbosa M.M., Ribeiro A.L., Colosimo E.A., Rocha M.O., Left atrial volume provides independent prognostic value in patients with Chagas cardiomyopathy, J am Soc Echocardiogr, 22, 1, pp. 82-88, (2009); Rossi A., Cicoira M., Zanolla L., Sandrini R., Golia G., Zardini P., Et al., Determinants and prognostic value of left atrial volume in patients with dilated cardiomyopathy, J am Coll Cardiol, 40, 8, pp. 1425-1430, (2002); Suh I.W., Song J.M., Lee E.Y., Kang S.H., Kim M.J., Kim J.J., Et al., Left atrial volume measured by real-time 3-dimensional echocardiography predicts clinical outcomes in patients with severe left ventricular dysfunction and in sinus rhythm, J am Soc Echocardiogr, 21, 5, pp. 439-445, (2008); Tsang T.S., Barnes M.E., Gersh B.J., Bailey K.R., Seward J.B., Left atrial volume as a morphophysiologic expression of left ventricular diastolic dysfunction and relation to cardiovascular risk burden, Am J Cardiol, 90, 12, pp. 1284-1289, (2002); Nagueh S.F., Middleton K.J., Kopelen H.A., Zoghbi W.A., Quinones M.A., Doppler tissue imaging: A noninvasive technique for evaluation of left ventricular relaxation and estimation of filling pressures, J am Coll Cardiol, 30, 6, pp. 1527-1533, (1997); Nagueh S.F., Appleton C.P., Gillebert T.C., Marino P.N., Oh J.K., Smiseth O.A., Et al., Recommendations for the evaluation of left ventricular diastolic function by echocardiography, Eur J Echocardiogr, 10, 2, pp. 165-193, (2009); Bax J.J., Bleeker G.B., Marwick T.H., Molhoek S.G., Boersma E., Steendijk P., Et al., Left ventricular dyssynchrony predicts response and prognosis after cardiac resynchronization therapy, J am Coll Cardiol, 44, 9, pp. 1834-1840, (2004); Gorcsan I., Abraham T., Agler D.A., Bax J.J., Derumeaux G., Grimm R.A., Et al., American Society of Echocardiography. Echocardiography for Cardiac Resynchronization Therapy: Recommendations for Performance and Reporting–A Report from the American Society of Echocardiography Dyssynchrony Writing Group Endorsed by the Heart Rhythm Society, J am Soc Echocardiogr, 21, 3, pp. 191-212, (2008); Penicka M., Bartunek J., De Bruyne B., Vanderheyden M., Goethals M., De Zutter M., Et al., Improvement of left ventricular function after cardiac resynchronization therapy is predicted by tissue Doppler imaging echocardiography, Circulation, 109, 8, pp. 978-983, (2004); Anwar A.M., Soliman O.I., Geleijnse M.L., Nemes A., Vletter W.B., Tencate F.J., Assessment of left atrial volume and function by real-time three-dimensional echocardiography, Int J Cardiol, 123, 1, pp. 155-161, (2008); Gerard O., Billon A.C., Rouet J.M., Jacob M., Fradkin M., Allouche C., Efficient model-based quantification of left ventricular function in 3D echocardiography, IEEE Trans Med Imaging, 21, 9, pp. 1059-1068, (2002); Kapetanakis S., Siva A., Gall N., Cooklin M., Monaghan M.J., Real-time threedimensional echocardiography: A novel technique to quantify global left ventricular mechanical dyssynchrony, Circulation, 112, 7, pp. 992-1000, (2005); Keller A.M., Gopal A.S., King D.L., Left and right atrial volume by freehand threedimensional echocardiography: In vivo validation using magnetic resonance imaging, Eur J Echocardiogr, 1, 1, pp. 55-65, (2000); Packer M., Abnormalities of diastolic function as a potential cause of exercise intolerance in chronic heart failure, Circulation, 81, pp. III78-III86, (1990); Pinamonti B., Di Lenarda A., Sinagra G., Camerini F., Restrictive ventricular filling pattern in dilated cardiomyopathy assessed by Doppler echocardiography: Clinical, echocardiographic and hemodynamic correlation and prognostic implication. Heart Muscle Disease Study Group, J am Coll Cardiol, 22, 3, pp. 808-815, (1993); Xie G.Y., Berk M.R., Smith M., Gurley J.C., Demaria A., Prognostic value of Doppler transmitral flow patterns in patients with congestive heart failure, J am Coll Cardiol, 24, 1, pp. 132-139, (1994); Appleton C.P., Jensen J.L., Hatle L.K., Oh J.K., Doppler evaluation of left and right ventricular diastolic function: A technical guide for obtaining optimal flow velocity recordings, J am Soc Echocardiogr, 10, 3, pp. 271-292, (1997); Zoghbi W.A., Enriquez-Sarano M., Foster E., Grayburn P.A., Kraft C.D., Levine R.A., Et al., American Society of Echocardiography. Recommendations for evaluation of the severity of native valvular regurgitation with two-dimensional and Doppler echocardiography, J am Soc Echocardiogr, 16, 7, pp. 777-802, (2003); Mancuso F., Almeida D.R., Moises V.A., Oliveira W.A., Mello E.S., Poyares D., Et al., Left atrial dysfunction in Chagas cardiomyopathy is more severe than in idiopathic dilated cardiomyopathy: A study with real-time three-dimensional echocardiography, J am Soc Echocardiogr, 24, 5, pp. 526-532, (2011); Ohtani K., Yutani C., Nagata S., Koretsune Y., Hori M., Kamada T., High prevalence of atrial fibrosis in patients with dilated cardiomyopathy, J am Coll Cardiol, 25, 5, pp. 1162-1169, (1995); Rao A.K., Djamali A., Korcarz C.E., Aeschlimann S.E., Wolff M.R., Stein J.H., Left atrial volume is associated with inflammation and atherosclerosis in patients with kidney disease, Echocardiography, 25, 3, pp. 264-269, (2008); Barberato S.H., Bucharles S., Souza A.M., Constantini C.O., Constantini C., Pecoitz-Filho R., Associação entre marcadores de inflamação e aumento do átrio esquerdo em pacientes de hemodiálise, Arq Bras Cardiol, 100, 2, pp. 141-146, (2013); Sara L., Szarf G., Tachibana A., Shiozaki A.A., Villa A.V., Oliveira A.C., Et al., Sociedade Brasileira de Cardiologia. II Diretriz de Ressonância Magnética e Tomografia Computadorizada Cardiovascular da Sociedade Brasileira de Cardiologia e do Colégio Brasileiro de Radiologia, Arq Bras Cardiol, 103, 6, pp. 1-86, (2014)</t>
  </si>
  <si>
    <t xml:space="preserve">F.J.N. Mancuso; Escola Paulista de Medicina – EPM/UNIFESP, São Paulo, R. Domiciano Leite Ribeiro, 51 ap. 13 – bloco 2, Vila Guarani, 04317-000, Brazil; email: fredmancuso@uol.com.br</t>
  </si>
  <si>
    <t xml:space="preserve">2-s2.0-84939213336</t>
  </si>
  <si>
    <t xml:space="preserve">Aziz I.A.; Yacoub M.; Rashid L.; Solieman A.</t>
  </si>
  <si>
    <t xml:space="preserve">Aziz, Inas Abdel (58379096000); Yacoub, Mariam (58252965900); Rashid, Laila (55801841100); Solieman, Ahmad (56512080900)</t>
  </si>
  <si>
    <t xml:space="preserve">58379096000; 58252965900; 55801841100; 56512080900</t>
  </si>
  <si>
    <t xml:space="preserve">Malondialdehyde; Lipid peroxidation plasma biomarker correlated with hepatic fibrosis in human Schistosoma mansoni infection</t>
  </si>
  <si>
    <t xml:space="preserve">Schistosomiasis is a debilitating parasitic disease, affects large number of host species. Currently affects 250-300 million people in tropic areas. Schistosoma pathogenic impact is hepatic periportal fibrosis; the parasite-induced inflammatory cellular activation promotes oxidative stress, resulting in lipid peroxidation (LPO), with subsequent increase in inflammatory mediators as malondialdehyde (MDA). This study was set up to reveal possible contribution of lipid peroxidation byproducts MDA in hepatic pathophysiology. Results displayed that MDA don't tend to change in relation with either age, nor hepatic transaminases AST &amp; ALT, while exhibited a significant increase in MDA levels in human schistosomiasis versus control group P&lt;0.0001 (Mn. ± St.dev. 7.77 ± 3.59, 1.21 ± 0.28 nmol/ml) respectively. Moreover; MDA plasma levels in Schistosoma infected group correlated significantly with two hepatic fibrosis parameters; (a) ultrasonography graded periportal fibrosis P&lt; 0.0001. Levels of MDA in hepatic fibrosis grades 0, I, II, III in Schistosoma infected group were (Mn. ± St.dev. 2.8 ± 0.64, 4.3 ± 1.2, 9.3 ± 1.6 and 10.8 ± 1.3 nmol/ml) respectively, (b) serum Hyaluronic acid (HA) P&lt;0.0001 (spearman r = 0.77) as a reliable hepatic fibrosis marker. This implies a considerable role of LPO byproducts in schistosomiasis pathogenicity, and proposing malondialdehyde as a biomarker for schistosomiasis morbidity. © 2015 W. Stefański Institute of Parasitology, PAS.</t>
  </si>
  <si>
    <t xml:space="preserve">Acta Parasitologica</t>
  </si>
  <si>
    <t xml:space="preserve">De Gruyter Open Ltd</t>
  </si>
  <si>
    <t xml:space="preserve">10.1515/ap-2015-0105</t>
  </si>
  <si>
    <t xml:space="preserve">https://www.scopus.com/inward/record.uri?eid=2-s2.0-84942746292&amp;doi=10.1515%2fap-2015-0105&amp;partnerID=40&amp;md5=6aac00c366d7e292978435ec08d498cb</t>
  </si>
  <si>
    <t xml:space="preserve">Department Medical Parasitology, Faculty of Medicine, Cairo University, Kasr AlAiny School of Medicine, Cairo University Hospitals, Kasr AlAiny street, Cairo, 11562, Egypt; Department Clinical and Chemical Pathology, Faculty of Medicine, Cairo University, Kasr AlAiny School of Medicine, Cairo University Hospitals, Kasr AlAiny street, Cairo, 11562, Egypt; Department Tropical Medicine, Faculty of Medicine, Cairo University, Kasr AlAiny School of Medicine, Cairo University Hospitals, Kasr AlAiny street, Cairo, 11562, Egypt; Department Medical Biochemistry, Faculty of Medicine, Cairo University, Kasr AlAiny School of Medicine, Cairo University Hospitals, Kasr AlAiny street, Cairo, 11562, Egypt</t>
  </si>
  <si>
    <t xml:space="preserve">Aziz I.A., Department Medical Parasitology, Faculty of Medicine, Cairo University, Kasr AlAiny School of Medicine, Cairo University Hospitals, Kasr AlAiny street, Cairo, 11562, Egypt; Yacoub M., Department Clinical and Chemical Pathology, Faculty of Medicine, Cairo University, Kasr AlAiny School of Medicine, Cairo University Hospitals, Kasr AlAiny street, Cairo, 11562, Egypt; Rashid L., Department Medical Biochemistry, Faculty of Medicine, Cairo University, Kasr AlAiny School of Medicine, Cairo University Hospitals, Kasr AlAiny street, Cairo, 11562, Egypt; Solieman A., Department Tropical Medicine, Faculty of Medicine, Cairo University, Kasr AlAiny School of Medicine, Cairo University Hospitals, Kasr AlAiny street, Cairo, 11562, Egypt</t>
  </si>
  <si>
    <t xml:space="preserve">Hyaluronic acid; Lipid peroxidation; Malondialdehyd; Schistosoma mansoni</t>
  </si>
  <si>
    <t xml:space="preserve">Biomarkers; Diagnostic Tests, Routine; Humans; Hyaluronic Acid; Lipid Peroxidation; Liver; Liver Cirrhosis; Malondialdehyde; Plasma; Schistosomiasis mansoni; Statistics as Topic; biological marker; hyaluronic acid; malonaldehyde; blood; chemistry; complication; diagnostic test; echography; evaluation study; human; lipid peroxidation; liver; liver cirrhosis; pathology; plasma; procedures; schistosomiasis mansoni; statistics</t>
  </si>
  <si>
    <t xml:space="preserve">hyaluronic acid, 31799-91-4, 9004-61-9, 9067-32-7; malonaldehyde, 542-78-9; Biomarkers, ; Hyaluronic Acid, ; Malondialdehyde, </t>
  </si>
  <si>
    <t xml:space="preserve">Abdallahi O.M., Hanna S., De Reggi M., Gharib B., Visualization of oxygen radical production in mouse liver in response to infection with Schistosoma mansoni, Liver, 19, pp. 495-500, (1999); Abou-El-Naga I.F., Biomphalaria alexandrina in Egypt: Past, present and future, Journal of Biosciences, 38, pp. 665-672, (2013); Barros A.F., Oliveira S.A., Carvalho C.L., Silva F.L., De Souza V.A., Da Silva A.L., De Araujo R.E., Souza B.S., Soares M.B.P., Costa V.M., Coutinho E.D., Low transformation growth factor-β1 production and collagen synthesis correlate with the lack of hepatic periportal fibrosis development in undernourished mice infected with Schistosoma mansoni, Memórias Do Instituto Oswaldo Cruz, 109, pp. 210-219, (2014); Coutinho E.M., Silva F.L., Barros A.F., Araujo R.E., Oliveira S.A.L., Carlos F.B., Aryon A.A., Zilton A., Repeated infections with Schistosoma mansoni and liver fibrosis in undernourished mice, Acta Tropica, 101, pp. 15-24, (2007); Coutinho H.M., McGarvey S.T., Acosta L.P., Manalo D.L., Langdon G.C., Leenstra T., Kanzaria H.K., Solomon J., Wu H., Olveda R., Kurtis J.D., Friedman J.F., Nutritional status and serum cytokine profiles in children, adolescents, and young adults with Schistosoma japonicum-associated hepatic fibrosis, in Leyte, Philippines, The Journal of Infectious Diseases, 192, pp. 528-536, (2005); Cunha G.M., Silva V.M.A., Bessa K.D.G., Bitencourt M.A.O., MacEdo U.B.O., Freire-Neto F.P., Martins R.R., Assis C.F., Lemos T.M.A.M., Almeida M.G., Freire A.C.G., Levels of oxidative stress markers: Correlation with hepatic function and worm burden patients with schistosomiasis, Acta Parasitologica, 57, pp. 160-166, (2012); Dessein A.J., Marquet S., Henri S.E.L., Wali N.E., Hillaire D., Rodrigues V., Prata A., Ali Q.M., Gharib B., De Reggi M., Magzoub M.M., Saeed O.K., Abdelhameed A.A., Abel L., Infection and disease in human schistosomiasis mansoni are under distinct major gene control, Microbes and Infection, 1, pp. 561-567, (1999); Domingues A.L.C., Medeiros T.B., Lopes-De E.P.A., Ultrasound versus biological markers in the evaluation of periportal fibrosis in human Schistosoma mansoni, Memórias Do Instituto Oswaldo Cruz, 106, pp. 802-807, (2011); Eboumbou C., Steghens J.P., Abdallahi O.M.S., Mirghani A., Gallian P., Van Kappel A., Qurashi A., Gharib B., De Reggi M., Circulating markers of oxidative stress and liver fibrosis in Sudanese subjects at risk of schistosomiasis and hepatitis, Acta Tropica, 94, pp. 99-106, (2005); Elsammak M.Y., Al-Sharkaweey R.M., Ragab M.S., Amin G.A., Kandil M.H., IL-4 and reactive oxygen species are elevated in Egyptian patients affected with schistosomal liver disease, Parasite Immunology, 30, pp. 603-609, (2008); Esterbauer H., Schaur R.J., Zollner H., Chemistry and biochemistry of 4-hydroxynonenal, malonaldehyde and related aldehydes, Free Radical Biology and Medicine, 11, pp. 81-128, (1991); Esterbauer H., Cytotoxicity and genotoxicity of lipid-oxidation products, The American Journal of Clinical Nutrition, 57, pp. 779S-785S, (1993); Facundo H.T.F., Brandt C.T., Owen J.S., Lima V.L.M., Elevated levels of erythrocyte-conjugated dienes indicate increased lipid peroxidation in schistosomiasis mansoni patients, Brazilian Journal of Medical and Biological Research, 37, pp. 957-962, (2004); Gil L., Siems W., Mazurek B., Gross J., Schroeder P., Voss P., Grune T., Age-associated analysis of oxidative stress parameters in human plasma and erythrocytes, Free Radic Res, 40, pp. 495-505, (2006); Gordon C.C., Alimuddin I.Z., Manson's Tropical Diseases, (2003); Grigorescu M., Noninvasive biochemical markers of liver fibrosis, Journal of Gastrointestinal and Liver Diseases, 15, pp. 149-159, (2006); Gutteridge J.M., Halliwell B., The measurement and mechanism of lipid peroxidation in biological systems, Trends in Biochemical Sciences, 15, pp. 129-135, (1990); Halfon P., Bourliere M., Penaranda G., Deydier R., Renou C., Botta-Fridlund D., Tran A., Portal I., Allemand I., Rosenthal-Allieri A., Ouzan D., Accuracy of hyaluronic acid level for predicting liver fibrosis stages in patients with hepatitis C virus, Comparative Hepatology, 4, (2005); Hotez P.J., Molyneux D.H., Fenwick A., Ottesen E., Ehrlich Sachs S., Sachs J.D., Incorporating a rapid-impact package for neglected tropical diseases with programs for HIV/AIDS, tuberculosis, and malaria, PLoS Med, 3, (2006); King C.H., Dickman K., Tisch D.J., Reassessment of the cost of chronic helmintic infection: A meta-analysis of disabilityrelated outcomes in endemic schistosomiasis, Lancet, 365, pp. 1561-1569, (2005); Kopke-Aguiar L., Martins J.R., Passerotti C., Toledo C.F., Nader H.B., Borges D.R., Serum hyaluronic acid as a comprehensive marker to assess severity of liver disease in schistosomiasis, Acta Tropica, 84, pp. 117-126, (2002); Lefevre G., Beljean-Leymarie M., Beyerle F., Bonnefont-Rousselot D., Cristol J.P., Therond P., Torreilles J., Evaluation of lipid peroxidation by measuring thiobarbituric acid reactive substances, Annales de Biologie Clinique (Paris), 56, pp. 305-319, (1998); Maia M.D., Lopes E.P.A., Ferraz A.A.B., Barros, Fabio M.R., Domingues A.L.C., Ferraz E.M., Evaluation of splenomegaly in the hepatosplenic form of mansonic schistosomiasis, Acta Tropica, 101, pp. 183-186, (2007); Marnett L.J., Oxyradicals and DNA damage, Carcinogenesis, 21, pp. 361-370, (2000); Mendoza-Nunez V.M., Ruiz-Ramos M., Sanchez-Rodriguez M., Retana-Ugalde R., Munoz-Sanchez J.L., Aging-related oxidative stress in healthy humans, Tohoku Journal of Experimental Medicine, 213, pp. 261-268, (2007); Nielsen F., Mikkelsen B.B., Nielsen J.B., Andersen H.R., Plasma malondialdehyde as biomarker for oxidative stress: Reference interval and effects of life-style factors, Clinical Chemistry, 1214, pp. 1209-1214, (1997); Pearce E.J., MacDonald A.S., The immunobiology of schistosomiasis, Nature Reviews Immunology, 2, pp. 499-511, (2002); Pontinha N., Pessegueiro H., Barros H., Serum hyaluronan as a marker of liver fibrosis in asymptomatic chronic viral hepatitis B, Scandinavian Journal of Clinical and Laboratory Investigation, 59, pp. 343-347, (1999); Richter J., Lucia A., Domingues C., Barata C.H., Prata A.R., Lambertucci J.R., Report of the second satellite symposium on ultrasound in schistosomiasis, Memórias Do Instituto Oswaldo Cruz, 96, pp. 151-156, (2001); Richter J., Evolution of schistosomiasis-induced pathology after therapy and interruption of exposure to schistosomes: A review of ultrasonographic studies, Acta Tropica, 77, pp. 111-131, (2000); Santos Dos V.N., Leite-Mor M.M.B., Kondo M., Martins J.R., Nader H., Lanzoni V.P., Parise E.R., Serum laminin, type IV collagen and hyaluronan as fibrosis markers in non-alcoholic fatty liver disease, Brazilian Journal of Medical and Biological Research, 38, pp. 747-753, (2005); Sies H., Cadenas E., Symons M.C.R., Scott G., Oxidative stress: Damage to intact cells and organs [and Discussion], Philosophical Transactions of the Royal Society B: Biological Sciences, 311, pp. 617-631, (1985); Taccone-Gallucci M., Lubrano R., Meloni C., Morosetti M., Adolfo C.M.C.C., Malonyldialdehyde content of cell membranes is the most important marker of oxidative stress in haemodialysis patients, Nephrology Dialysis Transplantation, 13, pp. 2711-2712, (1998); Vanheule E., Geerts A.M., Van Huysse J., Schelfhout D., Praet M., Van Vlierberghe H., De Vos M., Colle I., An intravital microscopic study of the hepatic microcirculation in cirrhotic mice models: Relationship between fibrosis and angiogenesis, International Journal of Experimental Pathology, 89, pp. 419-432, (2008); Zhou X.N., Wang L.Y., Chen M.G., Wu X.H., Jiang Q.W., Chen X.Y., Zheng Utzinger J.J., The public health significance and control of schistosomiasis in China-then and now, Acta Tropica, 96, pp. 97-105, (2005)</t>
  </si>
  <si>
    <t xml:space="preserve">ACTPE</t>
  </si>
  <si>
    <t xml:space="preserve">Acta Parasitol.</t>
  </si>
  <si>
    <t xml:space="preserve">2-s2.0-84942746292</t>
  </si>
  <si>
    <t xml:space="preserve">Chen Y.; Xu R.</t>
  </si>
  <si>
    <t xml:space="preserve">Chen, Yang (55278365800); Xu, Rong (55055568300)</t>
  </si>
  <si>
    <t xml:space="preserve">55278365800; 55055568300</t>
  </si>
  <si>
    <t xml:space="preserve">Network-based gene prediction for Plasmodium falciparum malaria towards genetics-based drug discovery</t>
  </si>
  <si>
    <t xml:space="preserve">Background: Malaria is the most deadly parasitic infectious disease. Existing drug treatments have limited efficacy in malaria elimination, and the complex pathogenesis of the disease is not fully understood. Detecting novel malaria-associated genes not only contributes in revealing the disease pathogenesis, but also facilitates discovering new targets for anti-malaria drugs. Methods: In this study, we developed a network-based approach to predict malaria-associated genes. We constructed a cross-species network to integrate human-human, parasite-parasite and human-parasite protein interactions. Then we extended the random walk algorithm on this network, and used known malaria genes as the seeds to find novel candidate genes for malaria. Results: We validated our algorithms using 77 known malaria genes: 14 human genes and 63 parasite genes were ranked averagely within top 2% and top 4%, respectively among human and parasite genomes. We also evaluated our method for predicting novel malaria genes using a set of 27 genes with literature supporting evidence. Our approach ranked 12 genes within top 1% and 24 genes within top 5%. In addition, we demonstrated that top-ranked candied genes were enriched for drug targets, and identified commonalities underlying top-ranked malaria genes through pathway analysis. In summary, the candidate malaria-associated genes predicted by our data-driven approach have the potential to guide genetics-based anti-malaria drug discovery. © 2015 Chen and Xu; licensee BioMed Central Ltd.</t>
  </si>
  <si>
    <t xml:space="preserve">BMC Genomics</t>
  </si>
  <si>
    <t xml:space="preserve">S9</t>
  </si>
  <si>
    <t xml:space="preserve">10.1186/1471-2164-16-S7-S9</t>
  </si>
  <si>
    <t xml:space="preserve">https://www.scopus.com/inward/record.uri?eid=2-s2.0-84969141960&amp;doi=10.1186%2f1471-2164-16-S7-S9&amp;partnerID=40&amp;md5=f671fdec5e7897c212d486c86e61cbf9</t>
  </si>
  <si>
    <t xml:space="preserve">Case Western Reserve University, Department of Epidemiology and Biostatistics, Cleveland, OH, United States; Case Western Reserve University, Department of Electrical Engineering and Computer Science, Cleveland, OH, United States</t>
  </si>
  <si>
    <t xml:space="preserve">Chen Y., Case Western Reserve University, Department of Electrical Engineering and Computer Science, Cleveland, OH, United States; Xu R., Case Western Reserve University, Department of Epidemiology and Biostatistics, Cleveland, OH, United States</t>
  </si>
  <si>
    <t xml:space="preserve">Disease gene prediction; Drug discovery; Malaria; Network analysis</t>
  </si>
  <si>
    <t xml:space="preserve">Algorithms; Antimalarials; Computational Biology; Gene Regulatory Networks; Genetic Predisposition to Disease; Host-Parasite Interactions; Humans; Malaria, Falciparum; Plasmodium falciparum; Protozoan Proteins; CD147 antigen; CD40 ligand; CXCL1 chemokine; endothelial protein C receptor; gamma interferon; gamma interferon receptor 1; hemoglobin A2; HLA B antigen; HLA DQB1 antigen; HLA DRB1 antigen; immunoglobulin enhancer binding protein; interleukin 10; interleukin 12p40; interleukin 1alpha; interleukin 1beta; interleukin 22; interleukin 4; interleukin 6; interleukin 8; kidney injury molecule 1; macrophage inflammatory protein 3alpha; mannose binding lectin 2; antimalarial agent; protozoal protein; algorithm; Article; artificial neural network; BSG gene; CCL20 gene; CD40LG gene; controlled study; CXCL1 gene; FUT9 gene; gene; gene construct; gene function; gene targeting; genetic association; genetic identification; genome; GNAS gene; HAVCR1 gene; HAVCR2 gene; HBA1 gene; HBA2 gene; HLA B gene; HLA DQB1 gene; HLA DRB1 gene; host pathogen interaction; human; human genome; IFNAR1 gene; IFNG gene; IFNGR1 gene; IL10 gene; IL12B gene; IL1A gene; IL1B gene; IL22 gene; IL4 gene; IL6 gene; IL8 gene; MBL2 gene; network based gene prediction; NFKB1 gene; nonhuman; parasite genome; Plasmodium falciparum; prediction; PROCR gene; protein interaction; validation study; biology; drug effects; gene regulatory network; genetic predisposition; genetics; host parasite interaction; Malaria, Falciparum; parasitology; physiology; Plasmodium falciparum; procedures</t>
  </si>
  <si>
    <t xml:space="preserve">CD40 ligand, 226713-27-5; gamma interferon, 82115-62-6; hemoglobin A2, 37203-64-8, 37203-65-9, 53262-80-9, 9034-53-1, 99493-07-9; interleukin 22, 457106-70-6, 478219-35-1, 554460-75-2; interleukin 8, 114308-91-7; macrophage inflammatory protein 3alpha, 177404-38-5; Antimalarials, ; Protozoan Proteins, </t>
  </si>
  <si>
    <t xml:space="preserve">CoGE, (R25 CA094186-06); National Cancer Institute, NCI, (R25CA094186); National Cancer Institute, NCI</t>
  </si>
  <si>
    <t xml:space="preserve">Publication charges for this article have been funded by the Training grant in Computational Genomic Epidemiology of Cancer (CoGE) (R25 CA094186-06). This article has been published as part of BMC Genomics Volume 16 Supplement 7, 2015: Selected articles from The International Conference on Intelligent Biology and Medicine (ICIBM) 2014: Genomics. The full contents of the supplement are available online at http://www.biomedcentral.com/ bmcgenomics/supplements/16/S7.</t>
  </si>
  <si>
    <t xml:space="preserve">World Malaria Report, (2013); Kar S., Kar S., Control of malaria, Nature Reviews Drug Discovery, 16, 7, pp. 511-512, (2010); Biamonte M.A., Wanner J., Le Roch K.G., Recent advances in malaria drug discovery, Bioorg Med Chem Lett, 23, 10, pp. 2829-2843, (2013); Murray C.J., Rosenfeld L.C., Lim S.S., Andrews K.G., Foreman K.J., Haring D., Et al., Global malaria mortality between 1980 and 2010: a systematic analysis, The Lancet, 379, 9814, pp. 413-431, (2012); Kim Y., Schneider K., Evolution of drug resistance in malaria parasite populations, Nature Education Knowledge, 4, 8, (2013); Dondorp A.M., Nosten F., Yi P., Das D., Phyo A.P., Tarning J., Lwin K.M., Ariey F., Hanpithakpong W., Lee S.J., Et al., Artemisinin resistance in Plasmodium falciparum malaria, New England Journal of Medicine, 361, 5, pp. 455-467, (2009); Miller L.H., Ackerman H.C., Su X., Wellems T.E., Malaria biology and disease pathogenesis: insights for new treatments, Nature Med, 19, 2, pp. 156-167, (2013); Horn D., Duraisingh M.T., Antiparasitic chemotherapy: From genomes to mechanisms, Pharmacology and Toxicology, 54, 1, pp. 71-94, (2014); Flannery E.L., Chatterjee A.K., Winzeler E.A., Antimalarial drug discovery [MDASH] approaches and progress towards new medicines, Nature Reviews Microbiology, 11, 12, pp. 849-862, (2013); Hanson K.K., Ressurreicao A.S., Buchholz K., Prudencio M., Herman-Ornelas J.D., Rebelo M., Et al., Torins are potent antimalarials that block replenishment of Plasmodium liver stage parasitophorous vacuole membrane proteins, Proceedings of the National Academy of Sciences, 110, 30, pp. 2838-2847, (2013); Ariey F., Witkowski B., Amaratunga C., Beghain J., Langlois A.C., Khim N., Et al., A molecular marker of artemisinin-resistant Plasmodium falciparum malaria, Nature, 505, 7481, pp. 50-55, (2014); Kwiatkowski D.P., How malaria has affected the human genome and what human genetics can teach us about malaria, The American Journal of Human Genetics, 77, 2, pp. 171-192, (2015); Menard R., Tavares J., Cockburn I., Markus M., Zavala F., Amino R., Looking under the skin: the first steps in malarial infection and immunity, Nature Reviews Microbiology, 11, 10, pp. 701-712, (2013); Crompton P.D., Moebius J., Portugal S., Waisberg M., Hart G., Garver L.S., Et al., Malaria immunity in man and mosquito: Insights into unsolved mysteries of a deadly infectious disease*, Annu Rev Immunol, 32, pp. 157-187, (2014); Zheng H., Tan Z., Xu W: Immune evasion strategies of pre-erythrocytic malaria parasites, Mediators of Inflammation, (2014); Engwerda C.R., Kumar R., Mast cells fuel the fire of malaria immunopathology, Nature Med, 19, 6, pp. 672-674, (2013); Kaushansky A., Metzger P., Douglass A., Mikolajczak S., Lakshmanan V., Kain H., Kappe S.H., Malaria parasite liver stages render host hepatocytes susceptible to mitochondria-initiated apoptosis, Cell Death Dis, 4, 8, (2013); Sicard A., Semblat J.P., Doerig C., Hamelin R., Moniatte M., Dorin-Semblat D., Et al., Activation of a PAK-MEK signalling pathway in malaria parasite-infected erythrocytes, Cell Microbiol, 13, 6, pp. 836-845, (2011); Austin L.S., Kaushansky A., Kappe S.H., Susceptibility to Plasmodium liver stage infection is altered by hepatocyte polyploidy, Cellular Microbiol, 16, 5, pp. 784-795, (2014); Khor C.C., Hibberd M.L., Revealing the molecular signatures of host-pathogen interactions, Genome Biol, 12, 10, (2011); Gardner M.J., Hall N., Fung E., White O., Berriman M., Hyman R.W., Et al., Genome sequence of the human malaria parasite Plasmodium falciparum, Nature, 419, 6906, pp. 498-511, (2002); Elsworth B., Matthews K., Nie C.Q., Kalanon M., Charnaud S.C., Sanders P.R., Et al., PTEX is an essential nexus for protein export in malaria parasites, Nature, 511, 7511, pp. 587-591, (2014); Beck J.R., Muralidharan V., Oksman A., Goldberg D.E., PTEX component HSP101 mediates export of diverse malaria effectors into host erythrocytes, Nature, 511, 7511, pp. 592-595, (2014); Bongfen S.E., Laroque A., Berghout J., Gros P., Genetic and genomic analyses of host-pathogen interactions in malaria, Trends Parasitol, 25, 9, pp. 417-422, (2009); Hedrick P.W., Population genetics of malaria resistance in humans, Heredity, 107, 4, pp. 283-304, (2011); Driss A., Hibbert J.M., Wilson N.O., Iqbal S.A., Adamkiewicz T.V., Stiles J.K., Genetic polymorphisms linked to susceptibility to malaria, Malar J, 10, (2011); Venkatesh S., Workman J.L., Wahlgren M., Bejarano M.T., Malaria: Molecular secrets of a parasite, Nature, 499, 7457, pp. 156-157, (2013); Wu J., Tian L., Yu X., Pattaradilokrat S., Li J., Wang M., Et al., Strain-specific innate immune signaling pathways determine malaria parasitemia dynamics and host mortality, Proceedings of the National Academy of Sciences, 111, 4, pp. E511-E520, (2014); Janes J.H., Wang C.P., Levin-Edens E., Vigan-Womas I., Guillotte M., Melcher M., Et al., Investigating the host binding signature on the plasmodium falciparum PfEMP1 protein family, PLoS Pathog, 7, 5, (2011); Robinson B.A., Welch T.L., Smith J.D., Widespread functional specialization of Plasmodium falciparum erythrocyte membrane protein 1 family members to bind CD36 analysed across a parasite genome, Molecular Microbiol, 47, 5, pp. 1265-1278, (2003); Baruch D.I., Ma X.C., Pasloske B., Howard R.J., Miller L.H., CD36 peptides that block cytoadherence define the CD36 binding region for Plasmodium falciparum-infected erythrocytes, Blood, 94, 6, pp. 2121-2127, (1999); Baruch D.I., Gormely J.A., Ma C., Howard R.J., Pasloske B.L., Plasmodium falciparum erythrocyte membrane protein 1 is a parasitized erythrocyte receptor for adherence to CD36, thrombospondin, and intercellular adhesion molecule 1, Proceedings of the National Academy of Sciences, 93, 8, pp. 3497-3502, (1996); Bengtsson A., Joergensen L., Rask T.S., Olsen R.W., Andersen M.A., Turner L., Et al., A novel domain cassette identifies plasmodium falciparum PFEMP1 proteins binding ICAM-1 and is a target of cross-reactive, adhesion-inhibitory antibodies, The Journal of Immunology, 190, 1, pp. 240-249, (2013); Smith J.D., Craig A.G., Kriek N., Hudson-Taylor D., Kyes S., Fagen T., Et al., Identification of a Plasmodium falciparum intercellular adhesion molecule-1 binding domain: a parasite adhesion trait implicated in cerebral malaria, Proceedings of the National Academy of Sciences, 97, 4, pp. 1766-1771, (2000); Brown A., Turner L., Christoffersen S., Andrews K.A., Szestak T., Zhao Y., Et al., Molecular architecture of a complex between an adhesion protein from the malaria parasite and intracellular adhesion molecule 1, Journal of Biological Chemistry, 288, 8, pp. 5992-6003, (2013); Chakravorty S., Hughes K., Craig A., Host response to cytoadherence in Plasmodium falciparum, Biochemical Society Transactions, 36, pp. 221-228, (2008); Medana I.M., Turner G.D., Human cerebral malaria and the blood-brain barrier, Int J Parasitol, 36, 5, pp. 555-568, (2006); Tham W.H., Wilson D.W., Lopaticki S., Schmidt C.Q., Tetteh-Quarcoo P.B., Barlow P.N., Et al., Complement receptor 1 is the host erythrocyte receptor for Plasmodium falciparum PfRh4 invasion ligand, Proceedings of the National Academy of Sciences, 107, 40, pp. 17327-17332, (2010); Spadafora C., Awandare G.A., Kopydlowski K.M., Czege J., Moch J.K., Finberg R.W., Et al., Complement receptor 1 is a sialic acid-independent erythrocyte receptor of Plasmodium falciparum, PLoS Pathogens, 6, 6, (2010); Barabasi A.L., Gulbahce N., Loscalzo J., Network medicine: a network-based approach to human disease, Nature Reviews Genetics, 12, 1, pp. 56-68, (2011); Kohler S., Bauer S., Horn D., Robinson P.N., Walking the interactome for prioritization of candidate disease genes, The American Journal of Human Genetics, 82, 4, pp. 949-958, (2008); Wang X., Gulbahce N., Yu H., Network-based methods for human disease gene prediction, Brief Funct Genomics, 10, 5, pp. 280-293, (2011); Aerts S., Lambrechts D., Maity S., Van Loo P., Coessens B., De Smet F., Et al., Gene prioritization through genomic data fusion, Nature Biotechnol, 24, 5, pp. 537-544, (2006); Lage K., Karlberg E.O., Storling Z.M., Olason P.I., Pedersen A.G., Rigina O., Et al., A human phenome-interactome network of protein complexes implicated in genetic disorders, Nature Biotechnol, 25, 3, pp. 309-316, (2007); Wu X., Jiang R., Zhang M.Q., Li S., Network-based global inference of human disease genes, Mol Syst Biol, 4, 1, (2008); Li Y., Patra J.C., Genome-wide inferring gene-phenotype relationship by walking on the heterogeneous network, Bioinformatics, 26, 9, pp. 1219-1224, (2010); Wu X., Liu Q., Jiang R., Align human interactome with phenome to identify causative genes and networks underlying disease families, Bioinformatics, 25, 1, pp. 98-104, (2009); Vanunu O., Magger O., Ruppin E., Shlomi T., Sharan R., Associating genes and protein complexes with disease via network propagation, PLoS Comput Biol, 6, 1, (2010); Gandhi T., Zhong J., Mathivanan S., Karthick L., Chandrika K., Mohan S.S., Et al., Analysis of the human protein interactome and comparison with yeast, worm and fly interaction datasets, Nature Genetics, 38, 3, pp. 285-293, (2006); Franceschini A., Szklarczyk D., Frankild S., Kuhn M., Simonovic M., Roth A., Et al., String v9. 1: protein-protein interaction networks, with increased coverage and integration, Nucleic Acids Res, 41, D1, pp. 808-815, (2013); Snel B., Lehmann G., Bork P., Huynen M.A., String: a web-server to retrieve and display the repeatedly occurring neighbourhood of a gene, Nucleic Acids Res, 28, 18, pp. 3442-3444, (2000); Aurrecoechea C., Brestelli J., Brunk B.P., Fischer S., Gajria B., Gao X., Et al., EuPathDB: a portal to eukaryotic pathogen databases, Nucleic Acids Res, 38, DATABASE ISSUE, pp. D415-D419, (2010); Gray K.A., Daugherty L.C., Gordon S.M., Seal R.L., Wright M.W., Bruford EA: Genenames. org: the hgnc resources in 2013, Nucleic Acids Res., DATABASE ISSUE, pp. D545-D552, (2012); Aurrecoechea C., Brestelli J., Brunk B.P., Dommer J., Fischer S., Gajria B., Et al., PlasmoDB: a functional genomic database for malaria parasites, Nucleic Acids Res, 37, DATABASE ISSUE, pp. D539-D543, (2009); Pasternak N.D., Dzikowski R., PfEMP1: An antigen that plays a key role in the pathogenicity and immune evasion of the malaria parasite Plasmodium falciparum, Int J Biochem Cell Biol, 41, 7, pp. 1463-1466, (2009); Flick K., Chen Q., var genes, PfEMP1 and the human host, Mol Biochem Parasitol, 134, 1, pp. 3-9, (2004); Turner L., Lavstsen T., Berger S.S., Wang C.W., Petersen J.E., Avril M., Et al., Severe malaria is associated with parasite binding to endothelial protein C receptor, Nature, 498, 7455, pp. 502-505, (2013); Park H.J., Guariento M., Maciejewski M., Hauhart R., Tham W.H., Cowman A.F., Et al., Using mutagenesis and structural biology to map the binding site for the Plasmodium falciparum merozoite protein PfRh4 on the human immune adherence receptor, Journal of Biological Chemistry, 289, 1, pp. 450-463, (2014); Tham W.H., Wilson D.W., Reiling L., Chen L., Beeson J.G., Cowman A.F., Antibodies to reticulocyte binding protein-like homologue 4 inhibit invasion of Plasmodium falciparum into human erythrocytes, Infect Immun, 77, 6, pp. 2427-2435, (2009); Williams A.R., Douglas A.D., Miura K., Illingworth J.J., Choudhary P., Murungi L.M., Et al., Enhancing blockade of Plasmodium falciparum erythrocyte invasion: assessing combinations of antibodies against PfRH5 and other merozoite antigens, PLoS Pathogens, 8, 11, (2012); Douglas A.D., Williams A.R., Illingworth J.J., Kamuyu G., Biswas S., Goodman A.L., Et al., The blood-stage malaria antigen PfRH5 is susceptible to vaccine-inducible cross-strain neutralizing antibody, Nature Commun, 2, (2011); Douglas A.D., Baldeviano G.C., Miura K., Wright G.J., Draper S.J., PfRH5 vaccine efficacy against heterologous strain blood-stage Plasmodium falciparum, The Lancet, 383, (2014); Hopkins A.L., Groom C.R., The druggable genome, Nat Rev Drug Discov, 1, 9, pp. 727-730, (2002); Law V., Knox C., Djoumbou Y., Jewison T., Guo A.C., Liu Y., Et al., DrugBank 4.0: shedding new light on drug metabolism, Nucleic Acids Res, 42, D1, pp. 1091-1097, (2014); Subramanian A., Tamayo P., Mootha V.K., Mukherjee S., Ebert B.L., Gillette M.A., Et al., Gene set enrichment analysis: a knowledge-based approach for interpreting genome-wide expression profiles, Proc Natl Acad Sci U S A, 102, 43, pp. 15545-15550, (2005); Tripathi A.K., Sha W., Shulaev V., Stins M.F., Sullivan D.J., Plasmodium falciparum-infected erythrocytes induce NF-kappaB regulated inflammatory pathways in human cerebral endothelium, Blood, 114, 19, pp. 4243-4252, (2009); Crosnier C., Bustamante L.Y., Bartholdson S.J., Bei A.K., Theron M., Uchikawa M., Et al., Basigin is a receptor essential for erythrocyte invasion by Plasmodium falciparum, Nature, 480, 7378, pp. 534-537, (2011); Hill A.V., Allsopp C.E., Kwiatkowski D., Anstey N.M., Twumasi P., Rowe P.A., Et al., Common west African HLA antigens are associated with protection from severe malaria, Nature, 352, 6336, pp. 595-600, (1991); Nuchnoi P., Ohashi J., Kimura R., Hananantachai H., Naka I., Krudsood S., Et al., Significant association between TIM1 promoter polymorphisms and protection against cerebral malaria in Thailand, Ann Hum Genet, 72, 3, pp. 327-336, (2008); Ferwerda B., McCall M.B., Alonso S., Giamarellos-Bourboulis E.J., Mouktaroudi M., Izagirre N., Et al., TLR4 polymorphisms, infectious diseases, and evolutionary pressure during migration of modern humans, Proceedings of the National Academy of Sciences, 104, 42, pp. 16645-16650, (2007); Sawian C.E., Lourembam S.D., Banerjee A., Baruah S., Polymorphisms and expression of TLR4 and 9 in malaria in two ethnic groups of Assam, northeast India, Innate Immunity, 19, 2, pp. 174-183, (2013); Kaushansky A., Ye A.S., Austin L.S., Mikolajczak S.A., Vaughan A.M., Camargo N., Et al., Suppression of host p53 is critical for Plasmodium liver-stage infection, Cell Reports, 3, 3, pp. 630-637, (2013); Scholzen A., Sauerwein R.W., How malaria modulates memory: activation and dysregulation of B cells in Plasmodium infection, Trends Parasitol, 29, 5, pp. 252-262, (2013); Vestweber D., Blanks J.E., Mechanisms that regulate the function of the selectins and their ligands, Physiological Reviews, 79, 1, pp. 181-213, (1999); Abdalla S., Hematopoiesis in human malaria, Blood Cells, 16, 2-3, pp. 401-416, (1989); Visser B.J., Wieten R.W., Nagel I.M., Grobusch M.P., Serum lipids and lipoproteins in malaria-a systematic review and meta-analysis, Malaria Journal, 12, 1, (2013); Ayi K., Min-Oo G., Serghides L., Crockett M., Kirby-Allen M., Quirt I., Et al., Pyruvate kinase deficiency and malaria, New England Journal of Medicine, 358, 17, pp. 1805-1810, (2008); Beiting D.P., Park P.W., Appleton J.A., Synthesis of syndecan-1 by skeletal muscle cells is an early response to infection with Trichinella spiralis but is not essential for nurse cell development, Infection and Immunity, 74, 3, pp. 1941-1943, (2006); Howells R., Maxwell L., Citric acid cycle activity and chloroquine resistance in rodent malaria parasites: the role of the reticulocyte, Ann Trop Med Parasitol, 67, 3, pp. 285-300, (1973); Campos F.M., Santos M.L., Kano F.S., Fontes C.J., Lacerda M.V., Brito C.F., Carvalho L.H., Genetic variability in platelet integrin α2β1 density: Possible contributor to Plasmodium vivax-induced severe thrombocytopenia, Am J Trop Med Hyg, 88, 2, pp. 325-328, (2013); Mota M.M., Jarra W., Hirst E., Patnaik P.K., Holder A.A., Plasmodium chabaudi-infected erythrocytes adhere to CD36 and bind to microvascular endothelial cells in an organ-specific way, Infection and Immunity, 68, 7, pp. 4135-4144, (2000); Nacer A., Movila A., Baer K., Mikolajczak S.A., Kappe S.H., Frevert U., Neuroimmunological blood brain barrier opening in experimental cerebral malaria, PLoS Pathogens, 8, 10, (2012); Zeba A.N., Sorgho H., Rouamba N., Zongo I., Rouamba J., Guiguemd'e R.T., Et al., Major reduction of malaria morbidity with combined vitamin a and zinc supplementation in young children in burkina faso: a randomized double blind trial, Nutr J, 7, 7, (2008); Chua C.L.L., Brown G., Hamilton J.A., Rogerson S., Boeuf P., Monocytes and macrophages in malaria: protection or pathology?, Trends in Parasitology, 29, 1, pp. 26-34, (2013); Grau G.E., Mackenzie C.D., Carr R.A., Redard M., Pizzolato G., Allasia C., Et al., Platelet accumulation in brain microvessels in fatal pediatric cerebral malaria, Journal of Infectious Diseases, 187, 3, pp. 461-466, (2003); Pain A., Ferguson D.J., Kai O., Urban B.C., Lowe B., Marsh K., Roberts D.J., Platelet-mediated clumping of Plasmodium falciparum-infected erythrocytes is a common adhesive phenotype and is associated with severe malaria, Proceedings of the National Academy of Sciences, 98, 4, pp. 1805-1810, (2001); Wassmer S.C., Lepolard C., Traore B., Pouvelle B., Gysin J., Grau G.E., Platelets reorient Plasmodium falciparum-infected erythrocyte cytoadhesion to activated endothelial cells, Journal of Infectious Diseases, 189, 2, pp. 180-189, (2004)</t>
  </si>
  <si>
    <t xml:space="preserve">R. Xu; Case Western Reserve University, Department of Epidemiology and Biostatistics, Cleveland, United States; email: rxx@case.edu</t>
  </si>
  <si>
    <t xml:space="preserve">BGMEE</t>
  </si>
  <si>
    <t xml:space="preserve">2-s2.0-84969141960</t>
  </si>
  <si>
    <t xml:space="preserve">Tay S.C.K.; Badu K.; Mensah A.A.; Gbedema S.Y.</t>
  </si>
  <si>
    <t xml:space="preserve">Tay, Sammy (36946365300); Badu, Kingsley (35328934200); Mensah, Anthony A. (15030399800); Gbedema, Stephen Y. (36113280900)</t>
  </si>
  <si>
    <t xml:space="preserve">36946365300; 35328934200; 15030399800; 36113280900</t>
  </si>
  <si>
    <t xml:space="preserve">The prevalence of malaria among HIV seropositive individuals and the impact of the co- infection on their hemoglobin levels</t>
  </si>
  <si>
    <t xml:space="preserve">Background: Malaria and HIV/AIDS are the two most common infections in sub-Sahara Africa. There are hypotheses and study reports on the possible association between these two infections, hence the prevalence and outcome of their co-infection in an endemic population will be important in defining healthcare strategies. A cross sectional study was carried out at the Holy Family Hospital in Techiman, Ghana, between November 2011 and January 2012, to determine the prevalence of malaria among HIV sero-positive patients and its impact on hemoglobin levels. Method: A total of 400 HIV sero-positive participants (292 females and 108 males) aged between 1 and 73 years were randomly sampled for the study. A questionnaire was administered and 2 ml of venous blood samples were drawn for malaria parasites detection, CD4 count and haemoglobin level estimations. Results: Malaria parasites were detected in 47 (11.75%) of the participants. There was no statistically significant difference between the malaria prevalence rate of females (12.1%) and males (10.2%) P = 0.6047. An overall anaemia prevalence of 67% was observed. Among participants with malaria the anaemia prevalence was 93.6%. The CD4 cell count of all the participants ranged between 3 and 1604 cells/μl with a mean of 386.2 (±274.3) cells/μl. Participants with malaria had CD4 cell count ranged 3 and 512 Cells/μl with the mean being 186.33 (±133.49) Cells/μl. Out of 377 participants (all above 15 years) interviewed on knowledge of malaria transmission and prevention, 87.0% had knowledge on transmission but only 8.5% use in bed nets. Conclusion: It was revealed that almost all the patients with malaria infection were anemic. © Tay et al.</t>
  </si>
  <si>
    <t xml:space="preserve">Annals of Clinical Microbiology and Antimicrobials</t>
  </si>
  <si>
    <t xml:space="preserve">10.1186/s12941-015-0064-6</t>
  </si>
  <si>
    <t xml:space="preserve">https://www.scopus.com/inward/record.uri?eid=2-s2.0-84924860610&amp;doi=10.1186%2fs12941-015-0064-6&amp;partnerID=40&amp;md5=aea62d3f7947c492156cb32d86631e9f</t>
  </si>
  <si>
    <t xml:space="preserve">School of Medical Sciences, Kwame Nkrumah University of Science and Technology, Department of Clinical Microbiology, Kumasi, Ghana; Noguchi Memorial Institute for Medical Research, College of Health Science, University of Ghana, Department of Immunology, Accra, Ghana; Holy Family Hospital Techiman, Department of Microbiology, Techiman, Ghana; Faculty of Pharmacy and Pharmaceutical Sciences, College of Health Sciences, Kwame Nkrumah University of Science and Technology, Department of Pharmaceutics, Kumasi, Ghana</t>
  </si>
  <si>
    <t xml:space="preserve">Tay S.C.K., School of Medical Sciences, Kwame Nkrumah University of Science and Technology, Department of Clinical Microbiology, Kumasi, Ghana; Badu K., Noguchi Memorial Institute for Medical Research, College of Health Science, University of Ghana, Department of Immunology, Accra, Ghana; Mensah A.A., Holy Family Hospital Techiman, Department of Microbiology, Techiman, Ghana; Gbedema S.Y., Faculty of Pharmacy and Pharmaceutical Sciences, College of Health Sciences, Kwame Nkrumah University of Science and Technology, Department of Pharmaceutics, Kumasi, Ghana</t>
  </si>
  <si>
    <t xml:space="preserve">Anaemia; Anti-retroviral; CD&lt;sub&gt;4&lt;/sub&gt; cells; HIV/AIDS; Malaria co-infection</t>
  </si>
  <si>
    <t xml:space="preserve">Adolescent; Adult; Aged; CD4 Lymphocyte Count; Child; Child, Preschool; Coinfection; Cross-Sectional Studies; Female; Ghana; Hemoglobins; HIV Antibodies; HIV Seropositivity; Humans; Infant; Malaria; Male; Middle Aged; Prevalence; Young Adult; CD4 antigen; hemoglobin; hemoglobin; Human immunodeficiency virus antibody; adolescent; adult; aged; anemia; Article; blood sampling; CD4 lymphocyte count; child; female; hemoglobin blood level; human; Human immunodeficiency virus infection; major clinical study; malaria; male; mixed infection; Plasmodium; random sample; seroprevalence; venous blood; blood; Coinfection; cross-sectional study; Ghana; HIV Seropositivity; infant; malaria; middle aged; pathophysiology; preschool child; prevalence; young adult</t>
  </si>
  <si>
    <t xml:space="preserve">hemoglobin, 9008-02-0; Hemoglobins, ; HIV Antibodies, </t>
  </si>
  <si>
    <t xml:space="preserve">Asante P.K., Zandoh C., Dery D.B., Brown C., Adjei G., Antwi-Dadzie Y., Et al., Malaria epidemiology in the Ahafo area of Ghana, Malar J, 10, (2011); Palella F.J., Delaney K.M., Moorman A.C., Loveless M.O., Fuhrer J., Satten G.A., Et al., Declining morbidity and mortality among patients with advanced human immunodeficiency virus infection, N Engl J Med, 338, 13, pp. 853-860, (1998); Frontiera M., Myers A.M., Peripheral blood and bone marrow abnormalities in the acquired immunodeficiency syndrome, West J Med, 147, (1987); Huff B., HIV and malaria: Two intertwining epidemics, Am Found Aids Res, 6, pp. 1-5, (2000); World Malaria Report, (2012); Badu K., Brenya R.C., Timmann C., Garms R., Kruppa T.F., Malaria transmission intensity and dynamics of clinical malaria incidence in a mountainous forest region of Ghana, MWJ, 4, (2013); Murphy S.C., Breman J.G., Gaps in the childhood malaria burden in Africa: cerebral malaria, neurological sequelae, anemia, respiratory distress, hypoglycemia, and complications of pregnancy, Am J Trop Med Hyg, 64, pp. 57-67, (2001); Annual Report of the Ghana National Malaria Control Programme, (2006); UNAIDS World AIDS Day report 2012, Regional fact sheets 2012; Sentinel Survey Report H.I.V., Republic of Ghana and Ghana Health Service, (2009); Abu-Raddad L.J., Patnaik P., Kublin J.G., Dual infection with HIV and malaria fuels the spread of both diseases in sub-Saharan Africa, Science, 314, 5805, pp. 1603-1606, (2006); Grimwade K., French N., Mbatha D.D., Zunga D.D., Dedicoat M., Gilks C.F., HIV-infection as a co-factor for severe falciparum malaria in adults living in a region of unstable malaria transmission in South Africa, AIDS, 18, pp. 547-554, (2004); Bretlinger P.E., Behren C.B., Micek M.A., Challenges in the concurrent management of malarial and HIV in pregnancy in sub-Saharan Africa, Lancet Infect Dis, 6, 2, pp. 100-111, (2006); Guyatt H.L., Snow R.W., Malaria in pregnancy as an indirect cause of infant mortality in sub-Saharan Africa, Trans R Soc Trop Med Hyg, 95, 6, pp. 569-576, (2001); Owusu-Agyei S., Poku Asante K., Adjuik M., Adjei G., Awini E., Adams M., Et al., Epidemiology of malaria in the forest-savanna transitional zone of Ghana, Malar J, 8, (2009); Browne E.N.L., Frimpong E., Sievertsen J., Hagen J., Hamelmann C., Dietz K., Et al., Malariometric update for the rainforest and savannah of Ashanti region, Ghana, Ann Trp Med Parasitol, 94, 1, pp. 15-22, (2000); Guyatt H.L., Snow R.W., The epidemiology and burden of Plasmodium falciparum-related anemia among pregnant women in sub-Saharan Africa, Am J Trop Med Hyg, 64, pp. 36-44, (2001); Mocroft A., Kirk O., Barton S.E., Dietrich M., Proenca R., Colebunders R., Et al., Anaemia is an independent predictive marker for clinical prognosis in HIV-infected patients from across Europe. EuroSIDA study group, AIDS, 13, pp. 943-950, (1999); Fo T., Parise M.E., Verhoeff F.H., Udhayakumar V., Newman R.D., Ma V., Et al., The Burden of Co-infection with human immunodeficiency virus type 1 and malaria in pregnant women in Sub-Saharan Africa, Am J Trop Med Hyg, 71, pp. 41-54, (2004); Cohen C., Karstaedt A., Frean J., Thomas J., Govender N., Prentice E., Et al., Increased prevalence of severe malaria in HIV-infected adults in South Africa, Clin Infect Dis, 41, pp. 1631-1637, (2005); Meidani M., Rezaei F., Maracy M.R., Avijgan M., Tayeri K., Prevalence, severity, and related factors of anemia in HIV/AIDS patients, J Res Med Sci, 17, 2, pp. 138-142, (2012); Aase B., Sam P., Nina L., Bjorn B., Falciparum malaria and HIV-1 in hospitalized adults in Maputo, Mozambique: does HIV-infection obscure the malaria diagnosis?, Malar J, 7, (2008); Onyenekwea C.C., Ukibea N., Meludub S.C., Ilikac A., Abohb N., Ofiaelid N., Et al., Prevalence of malaria as co-infection in HIV-infected individuals in a malaria endemic area of southeastern Nigeria, J Vector Borne Dis, 44, pp. 250-254, (2007); Hambleton J., Hematologic complications of HIV infection, Oncology, 10, pp. 671-680, (1996); Blake M., Sherer R., Management of the Adverse Effects of Antiretroviral Therapy and Medication Adherence, Clin Infect Dis, 30, pp. S96-S116, (2000); Lamikanra A.A., Brown D., Potocnik A., Casals-Pascual C., Langhorne J., Roberts D.J., Malarial anaemia: of mice and men, Blood, 110, pp. 18-28, (2007)</t>
  </si>
  <si>
    <t xml:space="preserve">ACMAC</t>
  </si>
  <si>
    <t xml:space="preserve">Ann. Clin. Microbiol. Antimicrob.</t>
  </si>
  <si>
    <t xml:space="preserve">2-s2.0-84924860610</t>
  </si>
  <si>
    <t xml:space="preserve">Scotti M.T.; Speck-Planche A.; Tavares J.F.; Da Silva M.S.; Cordeiro M.N.D.S.; Scotti L.</t>
  </si>
  <si>
    <t xml:space="preserve">Scotti, Marcus T. (14825626700); Speck-Planche, Alejandro (36554954100); Tavares, Josean Fechine (14052955400); Da Silva, Marcelo Sobral (7402847636); Cordeiro, M. Natália D. S. (56375687800); Scotti, Luciana (16744761800)</t>
  </si>
  <si>
    <t xml:space="preserve">14825626700; 36554954100; 14052955400; 7402847636; 56375687800; 16744761800</t>
  </si>
  <si>
    <t xml:space="preserve">Virtual screening of alkaloids from apocynaceae with potential antitrypanosomal activity</t>
  </si>
  <si>
    <t xml:space="preserve">Chagas' disease, which occurs particularly in South America is a human tropical parasitic disease, caused by Trypanosoma cruzi. A virtual screening in an in-house databank (SISTEMATX), of 469 Apocynaceae indole alkaloids, using models developed with fragment descriptors using Support Vector Machines (SVM) and Decision Trees (DT) were performed. A dataset 545 agrochemicals selected from ChEMBL database was used to generate both models and the prediction performance was tested using a small set of 44 alkaloids with the antitrypanosomal activity. From 469 Apocynaceae alkaloids, the SVM model selected, as actives, 5 similar alkaloids, from 2 species of the Aspidosperma genus (excelsum, marcgravianum), and the DT model selected 3 alkaloids from 3 species (gilbertii, nigracans, and subincanum) of the same genera from the SISTEMATX database. The values of Moriguchi octanol-water partition coefficient for these structures are between 2.3 to 5.3, and 5 alkaloids, passed the Lipinski alert index filter and Drug Like Score consensus (&gt; 0.7), which indicate that these compounds are good candidates to become a drug. These structures might be an interesting starting point for antitrypanosomal studies. The methodology, applying fragment descriptors and machine learning, was rapid and can be applied for virtual screening for bigger databases. © 2015 Bentham Science Publishers.</t>
  </si>
  <si>
    <t xml:space="preserve">Current Bioinformatics</t>
  </si>
  <si>
    <t xml:space="preserve">Bentham Science Publishers</t>
  </si>
  <si>
    <t xml:space="preserve">10.2174/1574893610666151008011042</t>
  </si>
  <si>
    <t xml:space="preserve">https://www.scopus.com/inward/record.uri?eid=2-s2.0-84959548860&amp;doi=10.2174%2f1574893610666151008011042&amp;partnerID=40&amp;md5=466a8428c9c8979eb64490732ab51963</t>
  </si>
  <si>
    <t xml:space="preserve">Departamento de Engenharia e Meio Ambiente, Universidade Federal da Paraíba, Campus IV, Rio Tinto, 58297-000, PB, Brazil; Laboratório de Tecnologia Farmacêutica, Universidade Federal da Paraíba, Campus I, João Pessoa, 50740-540, PB, Brazil; REQUIMTE/Department of Chemistry and Biochemistry, University of Porto, Porto, 4169-007, Portugal</t>
  </si>
  <si>
    <t xml:space="preserve">Scotti M.T., Departamento de Engenharia e Meio Ambiente, Universidade Federal da Paraíba, Campus IV, Rio Tinto, 58297-000, PB, Brazil; Speck-Planche A., Departamento de Engenharia e Meio Ambiente, Universidade Federal da Paraíba, Campus IV, Rio Tinto, 58297-000, PB, Brazil, Laboratório de Tecnologia Farmacêutica, Universidade Federal da Paraíba, Campus I, João Pessoa, 50740-540, PB, Brazil, REQUIMTE/Department of Chemistry and Biochemistry, University of Porto, Porto, 4169-007, Portugal; Tavares J.F., Laboratório de Tecnologia Farmacêutica, Universidade Federal da Paraíba, Campus I, João Pessoa, 50740-540, PB, Brazil; Da Silva M.S., Laboratório de Tecnologia Farmacêutica, Universidade Federal da Paraíba, Campus I, João Pessoa, 50740-540, PB, Brazil; Cordeiro M.N.D.S., REQUIMTE/Department of Chemistry and Biochemistry, University of Porto, Porto, 4169-007, Portugal; Scotti L., Laboratório de Tecnologia Farmacêutica, Universidade Federal da Paraíba, Campus I, João Pessoa, 50740-540, PB, Brazil</t>
  </si>
  <si>
    <t xml:space="preserve">Alkaloids; Apocynaceae; Decision tree; Fragment descriptors; Support vector machine; Virtual screening</t>
  </si>
  <si>
    <t xml:space="preserve">Agricultural chemicals; Alkaloids; Database systems; Decision trees; Diagnosis; Metabolites; 15,22 o diacetyl 19 oxodihydroatisine; 5 epi 4' o demethylancistrobertsonine C; 5 epi 6 o methylancistrobertsonine A; 5' o demethyl hamatinine; 5' o demethylhamatine; 6 o demethylancistroealaine; 6,4' o didemethylancistrocladinium A; 6,5' o,o didemethylancistroealaine A; alkaloid; alpha spirosolane derivative; antitrypanosomal agent; atisinium chloride; azitine; benznidazole; cinchonidine; cinchonine; dicentrinone; duguetine; ellipticine; emetine; isoazitine; isoborreverine; methyl group; quinidine; quinine; solanidane derivative; strictosamide; unclassified drug; voacamine; Anti-trypanosomal activities; Apocynaceae; Chagas disease; Descriptors; Fragment descriptor; Parasitics; South America; Support vectors machine; Trypanosoma cruzi; Virtual Screening; antiprotozoal activity; antitrypanosomal activity; Apocynaceae; area under the curve; Article; Aspidosperma; decision tree; drug screening; drug structure; epimastigote; family; IC50; in vitro study; LC50; nonhuman; oxidation; priority journal; receiver operating characteristic; support vector machine; Trypanosoma cruzi; Support vector machines</t>
  </si>
  <si>
    <t xml:space="preserve">benznidazole, 22994-85-0; cinchonidine, 485-71-2; cinchonine, 118-10-5; ellipticine, 519-23-3; emetine, 316-42-7, 483-18-1; quinidine, 56-54-2; quinine, 130-89-2, 130-95-0, 14358-44-2, 549-48-4, 549-49-5, 60-93-5, 7549-43-1</t>
  </si>
  <si>
    <t xml:space="preserve">Nazar N., Goyder D.J., Clarkson J.J., Mahmood T., Chase M.W., The taxonomy and systematics of Apocynaceae: Where we stand in 2012, Bot J Linn Soc, 171, pp. 482-490, (2013); Endress M.E., Liede-Schumann S., Meve U., Advances In Apocynaceae:The Enlightenment, An Introduction, Ann Missouri Bot Gard, 94, pp. 259-267, (2007); Wong S.K., Lim Y.Y., Abdullah N.R., Nordin F.J., Assessment of antiproliferative and antiplasmodial activities of five selected Apocynaceae species, BMC Complem Altern M, 11, pp. 1-8, (2011); Vital P.G., Rivera W.L., Antimicrobial activity, cytotoxicity, and phytochemical screening of Voacanga globosa (Blanco) Merr. Leaf extract (Apocynaceae), Asian Pac J Trop M, 4, pp. 824-828, (2011); Wang W., Cheng M.H., Wang X.H., Monoterpenoid Indole Alkaloids from Alstonia rupestris with Cytotoxic, Anti-Inflammatory and Antifungal Activities, Molecules, 18, pp. 7309-7322, (2013); Maione F., Cicala C., Musciacco G., Et al., Phenols, Alkaloids and Terpenes from Medicinal Plants with Antihypertensive and Vasorelaxant Activities, A Review of Natural Products as Leads to Potential Therapeutic Agents, Nat Prod Comm, 8, pp. 539-544, (2013); Coppola M., Mondola R., Potential action of betel alkaloids on positive and negative symptoms of schizophrenia: A review, Nord J Psychiat, 66, pp. 73-78, (2012); Falcao H.S., Leite J.A., Barbosa-Filho J.M., Et al., Gastric and Duodenal Antiulcer Activity of Alkaloids: A Review, Molecules, 13, pp. 3198-3223, (2008); Kruczynski A., Hill B.T., Vinflunine, the latest Vinca alkaloid in clinical development - A review of its preclinical anticancer properties, Crit Rev Oncol Hem, 40, pp. 159-173, (2001); Torres Z., Silveira E.R., Rocha E Silva L.F., Lima E.S., Vasconcellos M.C., Uchoa D., Filho R.B., Pohlit A.M., Chemical Composition of Aspidosperma ulei Markgr. And Antiplasmodial Activity of Selected Indole Alkaloids, Molecules, 18, pp. 6281-6297, (2013); Mbenkui F., Grace M., Lategan C., Smith P., Raskin I., Lila M.A., In vitro antiplasmodial activity of indole alkaloids from the stem bark of Geissospermum vellosii, J Ethnopharmacol, 139, pp. 471-477, (2012); Marie-Magdeleine C., Mahieu M., D'Alexis S., Philibert L., Archimede H., In vitro effects of Tabernaemontana citrifolia extracts on Haemonchus contortus, Res Vet Sci, 89, pp. 88-92, (2010); Schmidt J., Khalid A.S., Romanha A.J., Et al., The Potential of Secondary Metabolites from Plants as Drugs or Leads Against Protozoan Neglected Diseases - Part I, Curr Med Chem, 19, pp. 2128-2175, (2012); Schmidt J., Khalid A.S., Romanha A.J., Et al., The Potential of Secondary Metabolites from Plants as Drugs or Leads Against Protozoan Neglected Diseases - Part II, Curr Med Chem, 19, pp. 2176-2228, (2012); Sepulvelda-Boza S., Cassels B.K., Plant Metabolites Active against Trypanosoma cruzi, Planta Med, 62, pp. 98-105, (1996); Fournet A., Ferreira M.E., De Arias A.R., Guy I., Guinaudeau H., Heinzen H., Phytochemical and antiprotozoal activity of Ocotea lancifolia, Fitoterapia, 78, pp. 382-384, (2007); Akinboye E.S., Bakare O., Biological Activities of Emetin, The Open Natural Products Journal, 4, pp. 8-15, (2011); Silva D.B., Tulli E., Militao G., Et al., The antitumoral, trypanocidal and antileishmanial activities of extract and alkaloids isolated from Duguetia furfuracea, Phytomedicine, 16, pp. 1059-1063, (2009); Bringmann G., Kajahn I., Reichert M., Et al., Ancistrocladinium A and B, the first N,C-coupled naphthyldihydroisoquinoline alkaloids from a Congolese Ancistrocladus species, J Org Chem, 71, pp. 9348-9356, (2006); Chataing B., Concepcion J.L., Lobaton R., Usubillaga A., Inhibition of Trypanosoma cruzi growth in vitro by Solanum alkaloids: A comparison with ketoconazole, Planta Med, 64, pp. 31-36, (1998); Gonzalez P., Marin C., Rodriguez-Gonzalez I., Et al., Diterpenoid alkaloid derivatives as potential chemotherapeutic agents in American trypanosomiasis, Pharmacology, 76, pp. 123-228, (2006); Fernandez L.S., Sykes M.L., Rews K.T., Avery V.M., Antiparasitic activity of alkaloids from plant species of Papua New Guinea and Australia, Int J Antimicrob Agents, 36, pp. 275-279, (2010); Bringmann G., Spuziak J., Faber J.H., Et al., Six naphthylisoquinoline alkaloids and a related benzopyranone from a Congolese Ancistrocladus species related to Ancistrocladus congolensis, Phytochemistry, 69, pp. 1065-1075, (2008); Scotti M.T., Emerenciano V.P., Ferreira M., Et al., Self-Organizing Maps of Molecular Descriptors for Sesquiterpene Lactones and Their Application to the Chemotaxonomy of the Asteraceae Family, Molecules, 17, pp. 4684-4702, (2012); Morello A., Lipchenca I., Cassels B.K., Speisky H., Aldunate J., Repetto Y., Trypanocidal effect of boldine and related alkaloids upon several strains of Trypanosoma cruzi, Comp Biochem Phys C, 107, pp. 367-371, (1994); Rivas P., Cassels B.K., Morello A., Repetto Y., Effects of some betacarboline alkaloids on intact Trypanosoma cruzi epimastigotes, Comp Biochem Phys C, 122, pp. 27-31, (1999); Bonazzi S., Barbaras D., Patiny L., Et al., Antimalarial and antitubercular nostocarboline and eudistomin derivatives: Synthesis, in vitro and in vivo biological evaluation, Bioorgan Med Chem, 18, pp. 1464-1476, (2010); Todeschini R., Consonni V., Molecular Descriptors for Chemoinformatics, (2009); Speck-Planche A., Kleandrova V.V., Scotti M.T., Cordeiro M.N.D.S., Curr Bioinform, 8, pp. 452-464, (2013); Speck-Planche A., Scotti M.T., Garcia Lopez A., Emerenciano V., Molina Perez E., Uriarte E., Design of novel antituberculosis compounds using graph-theoretical and substructural approaches, Mol Divers, 13, pp. 445-458, (2009); Berthold M.R., Cebron N., Dill F., Et al., In: KNIME: The Konstanz Information Miner. Data Analysis, Machine Learning and Applications, pp. 319-326, (2007); Quinlan J.R., C4.5: Programs for Machine Learning, (1993); Keerthi S.S., Shevade S.K., Bhattacharyya C., Murthy K.R.K., Improvements to Platt's SMO Algorithm for SVM Classifier Design, Neural Comput, 13, pp. 637-649, (2001); Hanley J.A., McNeil B.J., The meaning and use of the area under a receiver operating characteristic (ROC) curve, Radiology, 143, pp. 29-36, (1982); Art J., Vapnik V., The Nature of Statistical Learning Theory, (1995); Ivanciuc O., Applications of Support Vector Machines in Chemistry, pp. 291-400, (2007); Scholkopf B., SVMs - a Practical Consequence of Learning Theory, IEEE Intell Syst, 13, pp. 18-21, (1998); Rarey M., Lemmen C., Matter H., Algorithmic Engines in Virtual Screening, Chemoinformatics in Drug Discovery, pp. 59-115, (2005); Chen X., Rusinko A., Tropsha A., Young S.S., Automated pharmacophore identification for large chemical data sets, J Chem Inf Comput Sci, 39, pp. 887-896, (1999); Quinlan J.R., Improved use of continuous attributes in C4.5, J Artif Intell Res, 4, pp. 77-90, (1996); Leach A.R., Gillet V.J., An Introduction to Chemoinformatics, (2007); Romero Duran F.J., Alonso N., Caamano O., Et al., Prediction of Multi-Target Networks of Neuroprotective Compounds with Entropy Indices and Synthesis, Assay, and Theoretical Study of New Asymmetric 1,2-Rasagiline Carbamates, Int J Mol Sci, 15, pp. 17035-17064, (2014); Shannon C.E., A mathematical theory of communication, Bell Syst Techn J, 27, pp. 379-423, (1948); Mekenyan O., Bonchev D., Trinajstic N., Chemical graph theory modeling the thermodynamic properties of molecules, Intern J Quantum Chem Symp, 18, pp. 369-380, (1980); Bonchev D., Trinajstic N., Information theory, distance matrix, and molecular branching, J Chem Phys, 67, pp. 4517-4533, (1977); Bonchev D., Kamenski D., Kamenska V., Symmetry and information content of chemical structures, Bull Math Biol, 38, pp. 119-133, (1976); Kier L.B., Use of molecular negentropy to encode structure governing biological activity, J Pharm Sci, 69, pp. 807-810, (1980); Stahura F.L., Godden J.W., Bajorath J., Differential Shannon entropy analysis identifies molecular property descriptors that predict aqueous solubility of synthetic compounds with high accuracy in binary QSAR calculations, J Chem Inf Comput Sci, 42, pp. 550-558, (2002); Graham D.J., Schacht D., Base information content in organic molecular formulae, J Chem Inf Comput Sci, 40, (2000); Graham D.J., Information content in organic molecules: Structure considerations based on integer statistics, J Chem Inf Comput Sci, 42, (2002); Graham D.J., Malarkey C., Schulmerich M.V., Information content in organic molecules: Quantification and statistical structure via brownian processing, J Chem Inf Comput Sci, 44, pp. 1601-1611, (2004); Graham D.J., Schulmerich MV. Information content in organic molecules: Reaction pathway analysis via brownian processing, J Chem Inf Comput Sci, 44, pp. 1612-1622, (2004); Graham D.J., Information content and organic molecules: Aggregation states andsolvent effects, J Chem Inf Model, 45, pp. 1223-1236, (2005); Graham D.J., Information content in organic molecules: Brownian processing at low levels, J Chem Inf Model, 47, pp. 376-389, (2007); Strait B.J., Dewey T.G., The Shannon information entropy of protein sequences, Biophys. J, 71, pp. 148-155, (1996); Dima R.I., Thirumalai D., Proteins associated with diseases show enhanced sequence correlation between charged residues, Bioinformatics, 20, pp. 2345-2354, (2004); Loewenstern D., Yianilos P.N., Significantly lower entropy estimates for natural dna sequences, J Comput Biol, 6, pp. 125-142, (1999); Manke T., Demetrius L., Vingron M., Lethality and entropy of protein interaction networks, Genome Inform Ser, 16, pp. 159-163, (2005); Mikolas P., Vyhnanek J., Skoch A., Horacek J., Analysis of FMRI time-series by entropy measures, Neuro Endocrinol Lett, 33, pp. 471-476, (2012); Gonzalez-Diaz H., Duardo-Sanchez A., Ubeira F.M., Et al., Review of march-inside &amp; complex networks prediction of drugs: ADMET, anti-parasite activity, metabolizing enzymes and cardiotoxicity proteome biomarkers, Curr Drug Metab, 11, pp. 379-406, (2010); Gonzalez-Diaz H., Molina R., Uriarte E., Markov entropy backbone electrostatic descriptors for predicting proteins biological activity, Bioorg Med Chem Lett, 14, pp. 4691-4695, (2004); Gonzalez-Diaz H., De Armas R.R., Molina R., Markovian negentropies in bioinformatics. 1. A picture of footprints after the interaction of the HIV-1 psi-RNA packaging region with drugs, Bioinformatics, 19, pp. 2079-2087, (2003); Stahura F.L., Godden J.W., Bajorath J., Differential Shannon entropy analysis identifies molecular property descriptors that predict aqueous solubility of synthetic compounds with high accuracy in binary QSAR calculations, J Chem Inf Comput Sci, 42, pp. 550-558, (2002); Stahura F.L., Godden J.W., Xue L., Bajorath J., Distinguishing between natural products and synthetic molecules by descriptor Shannon entropy analysis and binary QSAR calculations, J Chem Inf Comput Sci, 40, pp. 1245-1252, (2000); Pereira M.D., Jacome R., Alcantara A., Alves R.B., Raslan D.S., Indole alkaloids from species of the Aspidosperma (Apocynaceae) genus, Quim Nova, 30, pp. 970-983, (2007); Oprea T.I., Property distribution of drug-related chemical databases, J Comput Aid Mol Des, 14, pp. 251-264, (2000); Walters W.P., Murcko M.A., Prediction of 'drug-likeness, Adv Drug Deliv Rev, 54, pp. 255-271, (2002); Chen G., Zheng S.X., Luo X.M., Et al., Focused combinatorial library design based on structural diversity, druglikeness and binding affinity score, J Comb Chem, 7, pp. 398-406, (2005); Zheng S.X., Luo X.M., Chen G., Et al., A new rapid and effective chemistry space filter in recognizing a druglike database, J Chem Inf Model, 45, pp. 856-862, (2005); Rishton G.M., Nonleadlikeness and leadlikeness in biochemical screening, Drug Discov Today, 8, pp. 86-96, (2003); Veber D.F., Johnson S.R., Cheng H.Y., Smith B.R., Ward K.W., Kopple K.D., Molecular properties that influence the oral bioavailability of drug candidates, J Med Chem, 45, pp. 2615-2623, (2002)</t>
  </si>
  <si>
    <t xml:space="preserve">M.T. Scotti; Departamento de Engenharia e Meio Ambiente, Universidade Federal da Paraíba, Rio Tinto, Campus IV, 58297-000, Brazil; email: mtscotti@gmail.com</t>
  </si>
  <si>
    <t xml:space="preserve">Curr. Bioinform.</t>
  </si>
  <si>
    <t xml:space="preserve">2-s2.0-84959548860</t>
  </si>
  <si>
    <t xml:space="preserve">Sudfeld C.R.; Duggan C.; Aboud S.; Kupka R.; Manji K.P.; Kisenge R.; Fawzi W.W.</t>
  </si>
  <si>
    <t xml:space="preserve">Sudfeld, Christopher R. (57203334042); Duggan, Christopher (7101812155); Aboud, Said (6603530279); Kupka, Roland (7004026369); Manji, Karim P. (7004197999); Kisenge, Rodrick (6506776096); Fawzi, Wafaie W. (7005578487)</t>
  </si>
  <si>
    <t xml:space="preserve">57203334042; 7101812155; 6603530279; 7004026369; 7004197999; 6506776096; 7005578487</t>
  </si>
  <si>
    <t xml:space="preserve">Vitamin D status is associated with mortality, morbidity, and growth failure among a prospective cohort of HIV-infected and HIV-exposed tanzanian infants</t>
  </si>
  <si>
    <t xml:space="preserve">Background: Vitamin D is a potent immunomodulator, but its impact onmorbidity andmortality among infants remains unclear. Objective: The objective of the study was to prospectively assess the association of vitamin D status with mortality, morbidity, and growth during the first 2 y of life. Methods: A prospective cohort of 253 HIV-infected and 948 HIV-exposed Tanzanian infants enrolled in a randomized trial of multivitamins (not including vitamin D) was studied. Serum 25-hydroxyvitamin D [25(OH)D] concentrations were measured at 5-7 wk of age and infants were followed at monthly clinic visits until 24 mo. Physicians performed a clinical exam every 3 mo or when an illness was noted. Results: Serum 25(OH)D concentrations were (means ± SDs) 18.6 ± 10.3 ng/mL and 18.1 ± 9.2 ng/mL for HIV-infected and HIV-exposed infants, respectively. Unexpectedly, serum 25(OH)D concentrations ≥30 ng/mL were significantly associated with highermortality as compared to the 20-29.9 ng/mL reference for HIV-infected (HR: 2.47; 95% CI: 1.13, 5.44; P=0.02) and HIV-exposed (HR: 4.00; 95%CI: 1.67, 9.58; P &lt; 0.01) infants aftermultivariate adjustment.We found no statistically significant association between 25(OH)D concentrations &lt;10 ng/mL and mortality for HIV-infected (HR: 1.43; 95% CI: 0.74, 2.78; P = 0.29) and HIV-exposed (HR: 1.56; 95% CI: 0.60, 4.03; P = 0.36) infants. Among HIV-exposed infants, 25(OH)D concentrations $30 ng/mL were significantly associated with clinical [incidence ratio rate (IRR): 1.34; 95%CI: 1.06,1.70; P = 0.02] and confirmed (IRR: 1.71; 95% CI: 1.71; 1.15, 2.54; P &lt; 0.01) malaria diagnoses,whereas concentrations of &lt;10 ng/mL were associated with oral candidiasis (IRR: 1.47; 95% CI: 1.00-2.15; P = 0.046) and wasting (HR: 1.71; 95% CI: 1.20, 2.43; P &lt; 0.01). Conclusion: The observational design of this study does not allow for causal interpretation; however, the results indicate a strong need for additional studies of vitamin D among HIV-infected and -exposed children, particularly in malaria-endemic settings. The parent trial was registered at clinicaltrials.gov as NCT00197730. © 2015 American Society for Nutrition.</t>
  </si>
  <si>
    <t xml:space="preserve">American Society for Nutrition</t>
  </si>
  <si>
    <t xml:space="preserve">10.3945/jn.114.201566</t>
  </si>
  <si>
    <t xml:space="preserve">https://www.scopus.com/inward/record.uri?eid=2-s2.0-84919742349&amp;doi=10.3945%2fjn.114.201566&amp;partnerID=40&amp;md5=671ed41d7b3794acd8daf1a9ffdf5ead</t>
  </si>
  <si>
    <t xml:space="preserve">Department of Global Health and Population, Harvard School of Public Health, Boston, MA, United States; Department of Nutrition, Harvard School of Public Health, Boston, MA, United States; Department of Epidemiology, Harvard School of Public Health, Boston, MA, United States; Division of Gastroenterology and Nutrition, Boston Children's Hospital and Harvard Medical School, Boston, MA, United States; Department of Microbiology and Immunology, Muhimbili University of Health and Allied Sciences, Dar es Salaam, Tanzania; Department of Paediatrics and Child Health, Muhimbili University of Health and Allied Sciences, Dar es Salaam, Tanzania; UNICEF Headquarters, New York, NY, United States</t>
  </si>
  <si>
    <t xml:space="preserve">Sudfeld C.R., Department of Global Health and Population, Harvard School of Public Health, Boston, MA, United States; Duggan C., Department of Nutrition, Harvard School of Public Health, Boston, MA, United States, Division of Gastroenterology and Nutrition, Boston Children's Hospital and Harvard Medical School, Boston, MA, United States; Aboud S., Department of Microbiology and Immunology, Muhimbili University of Health and Allied Sciences, Dar es Salaam, Tanzania; Kupka R., Department of Nutrition, Harvard School of Public Health, Boston, MA, United States, UNICEF Headquarters, New York, NY, United States; Manji K.P., Department of Paediatrics and Child Health, Muhimbili University of Health and Allied Sciences, Dar es Salaam, Tanzania; Kisenge R., Department of Paediatrics and Child Health, Muhimbili University of Health and Allied Sciences, Dar es Salaam, Tanzania; Fawzi W.W., Department of Global Health and Population, Harvard School of Public Health, Boston, MA, United States, Department of Nutrition, Harvard School of Public Health, Boston, MA, United States, Department of Epidemiology, Harvard School of Public Health, Boston, MA, United States</t>
  </si>
  <si>
    <t xml:space="preserve">Child nutrition sciences; Cohort studies; HIV; Infant; Malaria; Micronutrients; Vitamin D</t>
  </si>
  <si>
    <t xml:space="preserve">Adult; Body Height; Body Weight; Cohort Studies; Dietary Supplements; Endemic Diseases; Female; Growth Disorders; HIV Infections; Humans; Infant; Infant, Newborn; Malaria; Male; Morbidity; Nutritional Status; Pregnancy; Pregnancy Complications, Infectious; Prospective Studies; Tanzania; Vitamin D; Vitamins; 25 hydroxyvitamin D; multivitamin; vitamin D; 25-hydroxyvitamin D; vitamin; vitamin D; adult; anemia; Article; child; child death; controlled study; female; follow up; growth disorder; human; Human immunodeficiency virus infection; infant; major clinical study; malaria; male; morbidity; mortality; preschool child; Tanzanian; thrush; wasting syndrome; analogs and derivatives; blood; body height; body weight; cohort analysis; complication; dietary supplement; endemic disease; growth disorder; Human immunodeficiency virus infection; malaria; morbidity; mortality; newborn; nutritional status; pregnancy; pregnancy complication; prospective study; randomized controlled trial; Tanzania; virology</t>
  </si>
  <si>
    <t xml:space="preserve">25 hydroxyvitamin D, 64719-49-9; 25-hydroxyvitamin D, ; Vitamin D, ; Vitamins, </t>
  </si>
  <si>
    <t xml:space="preserve">National Institutes of Health, NIH, (P30DK040561); National Institutes of Health, NIH; National Institute of Allergy and Infectious Diseases, NIAID, (T32AI007358); National Institute of Allergy and Infectious Diseases, NIAID</t>
  </si>
  <si>
    <t xml:space="preserve">Filteau S., The HIV-exposed, uninfected African child, Trop Med Int Health, 14, pp. 276-287, (2009); Villamor E., A potential role for vitamin D on HIV infection?, Nutr Rev, 64, pp. 226-233, (2006); Kamen D.L., Tangpricha V., Vitamin D and molecular actions on the immune system: modulation of innate and autoimmunity, J Mol Med, 88, pp. 441-450, (2010); Walker V.P., Modlin R.L., The vitamin D connection to pediatric infections and immune function, Pediatr Res, 65, pp. 106R-113R, (2009); Muhe L., Lulseged S., Mason K.E., Simoes E.A., Case-control study of the role of nutritional rickets in the risk of developing pneumonia in Ethiopian children, Lancet, 349, pp. 1801-1804, (1997); Science M., Maguire J.L., Russell M.L., Smieja M., Walter S.D., Loeb M., Low serum 25-hydroxyvitamin D level and risk of upper respiratory tract infection in children and adolescents, Clin Infect Dis, 57, pp. 392-397, (2013); Manaseki-Holland S., Maroof Z., Bruce J., Mughal M.Z., Masher M.I., Bhutta Z.A., Walraven G., Chandramohan D., Effect on the incidence of pneumonia of vitamin D supplementation by quarterly bolus dose to infants in Kabul: a randomised controlled superiority trial, Lancet, 379, pp. 1419-1427, (2012); Kumar G.T., Sachdev H.S., Chellani H., Rehman A.M., Singh V., Arora H., Filteau S., Effect of weekly vitamin D supplements on mortality, morbidity, and growth of low birthweight term infants in India up to age 6 months: randomised controlled trial, BMJ, 342, (2011); Roth D.E., Perumal N., Al Mahmud A., Baqui A.H., Maternal vitamin D3 supplementation during the third trimester of pregnancy: effects on infant growth in a longitudinal follow-up study in Bangladesh, J Pediatr, 163, pp. 1605-1611, (2013); Sudfeld C.R., Wang M., Aboud S., Giovannucci E.L., Mugusi F.M., Fawzi W.W., Vitamin D and HIV progression among Tanzanian adults initiating antiretroviral therapy, PLoS ONE, 7, (2012); Viard J.P., Souberbielle J.C., Kirk O., Reekie J., Knysz B., Losso M., Gatell J., Pedersen C., Bogner J.R., Lundgren J.D., Et al., Vitamin D and clinical disease progression in HIV infection: results from the EuroSIDA study, AIDS, 25, pp. 1305-1315, (2011); Mehta S., Hunter D.J., Mugusi F.M., Spiegelman D., Manji K.P., Giovannucci E.L., Hertzmark E., Msamanga G.I., Fawzi W.W., Perinatal outcomes, including mother-to-child transmission of HIV, and child mortality and their association with maternal vitamin D status in Tanzania, J Infect Dis, 200, pp. 1022-1030, (2009); Finkelstein J.L., Mehta S., Duggan C., Manji K.P., Mugusi F.M., Aboud S., Spiegelman D., Msamanga G.I., Fawzi W.W., Maternal vitamin D status and child morbidity, anemia, and growth in human immunodeficiency virus-exposed children in Tanzania, Pediatr Infect Dis J, 31, pp. 171-175, (2012); Moodley A., Qin M., Singh K.K., Spector S.A., Vitamin D-related host genetic variants alter HIV disease progression in children, Pediatr Infect Dis J, 32, pp. 1230-1236, (2013); Duggan C., Manji K.P., Kupka R., Bosch R.J., Aboud S., Kisenge R., Okuma J., Fawzi W.W., Multiple micronutrient supplementation in Tanzanian infants born to HIV-infected mothers: a randomized, double-blind, placebo-controlled clinical trial, Am J Clin Nutr, 96, pp. 1437-1446, (2012); Fawzi W.W., Msamanga G.I., Spiegelman D., Urassa E.J., McGrath N., Mwakagile D., Antelman G., Mbise R., Herrera G., Kapiga S., Et al., Randomised trial of effects of vitamin supplements on pregnancy outcomes and T cell counts in HIV-1-infected women in Tanzania, Lancet, 351, pp. 1477-1482, (1998); Lensmeyer G.L., Wiebe D.A., Binkley N., Drezner M.K., HPLC method for 25-hydroxyvitamin D measurement: comparison with contemporary assays, Clin Chem, 52, pp. 1120-1126, (2006); Nathan D.G., Orkin S.H., Nathan and Oski's hematology of infancy and childhood, (2009); Erdman L.K., Kain K.C., Molecular diagnostic and surveillance tools for global malaria control, Travel Med Infect Dis, 6, pp. 82-99, (2008); Multicentre Growth Reference Study Group W.H.O., WHO child growth standards: length/height-for-age, weight-for-age, weight-for-length, weightfor-height and body mass index-for-age: methods and development, (2006); Heaney R.P., Functional indices of vitamin D status and ramifications of vitamin D deficiency, Am J Clin Nutr, 80, 6, pp. 1706S-1709S, (2004); Dietary reference intakes for calcium and vitamin D, (2011); Durrleman S., Simon R., Flexible regression models with cubic splines, Stat Med, 8, pp. 551-561, (1989); Govindarajulu U.S., Spiegelman D., Thurston S.W., Ganguli B., Eisen E., Comparing smoothing techniques in Cox models for exposure-response relationships, Stat Med, 26, pp. 3735-3752, (2007); Diggle P.J., Heagerty P., Liang K.Y., Zeger S.L., Analysis of longitudinal data, (2002); Miettinen O., Theoretical Epidemiology, (1985); Liu P.T., Stenger S., Li H., Wenzel L., Tan B.H., Krutzik S.R., Ochoa M.T., Schauber J., Wu K., Meinken C., Et al., Toll-like receptor triggering of a vitamin D-mediated human antimicrobial response, Science, 311, pp. 1770-1773, (2006); Yuk J.M., Shin D.M., Lee H.M., Yang C.S., Jin H.S., Kim K.K., Lee Z.W., Lee S.H., Kim J.M., Jo E.K., Vitamin D3 induces autophagy in human monocytes/macrophages via cathelicidin, Cell Host Microbe, 6, pp. 231-243, (2009); Fabri M., Stenger S., Shin D.M., Yuk J.M., Liu P.T., Realegeno S., Lee H.M., Krutzik S.R., Schenk M., Sieling P.A., Et al., Vitamin D is required for IFN-{gamma}-mediated antimicrobial activity of human macrophages, Sci Transl Med, 3, (2011); Campbell G.R., Spector S.A., Hormonally active vitamin D3 (1alpha, 25-dihydroxycholecalciferol) triggers autophagy in human macrophages that inhibits HIV-1 infection, J Biol Chem, 286, pp. 18890-18902, (2011); Dror Y., Giveon S.M., Hoshen M., Feldhamer I., Balicer R.D., Feldman B.S., Vitamin D levels for preventing acute coronary syndrome and mortality: evidence of a nonlinear association, J Clin Endocrinol Metab, 98, pp. 2160-2167, (2013); Michaelsson K., Baron J.A., Snellman G., Gedeborg R., Byberg L., Sundstrom J., Berglund L., Arnlov J., Hellman P., Blomhoff R., Et al., Plasma vitamin D and mortality in older men: a community-based prospective cohort study, Am J Clin Nutr, 92, pp. 841-848, (2010); Sudfeld C.R., Giovannucci E.L., Isanaka S., Aboud S., Mugusi F.M., Wang M., Chalamilla G., Fawzi W.W., Vitamin D status and incidence of pulmonary tuberculosis, opportunistic infections, and wasting among HIV-infected Tanzanian adults initiating antiretroviral therapy, J Infect Dis, 207, pp. 378-385, (2013); Langhorne J., Ndungu F.M., Sponaas A.M., Marsh K., Immunity to malaria: more questions than answers, Nat Immunol, 9, pp. 725-732, (2008); Niikura M., Inoue S., Kobayashi F., Role of interleukin-10 in malaria: focusing on coinfection with lethal and nonlethal murine malaria parasites, J Biomed Biotechnol, 2011, (2011); Walther M., Tongren J.E., Andrews L., Korbel D., King E., Fletcher H., Andersen R.F., Bejon P., Thompson F., Dunachie S.J., Et al., Upregulation of TGF-beta, FOXP3, and CD4+CD25+ regulatory T cells correlates with more rapid parasite growth in human malaria infection, Immunity, 23, pp. 287-296, (2005); Hansen D.S., Schofield L., Natural regulatory T cells in malaria: host or parasite allies?, PLoS Pathog, 6, (2010)</t>
  </si>
  <si>
    <t xml:space="preserve">2-s2.0-84919742349</t>
  </si>
  <si>
    <t xml:space="preserve">Delahunt C.B.; Mehanian C.; Hu L.; McGuire S.K.; Champlin C.R.; Horning M.P.; Wilson B.K.; Thompon C.M.</t>
  </si>
  <si>
    <t xml:space="preserve">Delahunt, Charles B. (56125306200); Mehanian, Courosh (57213410036); Hu, Liming (57202122314); McGuire, Shawn K. (57162582100); Champlin, Cary R. (57201863801); Horning, Matthew P. (12762147400); Wilson, Benjamin K. (56667865100); Thompon, Clay M. (57163682100)</t>
  </si>
  <si>
    <t xml:space="preserve">56125306200; 57213410036; 57202122314; 57162582100; 57201863801; 12762147400; 56667865100; 57163682100</t>
  </si>
  <si>
    <t xml:space="preserve">Automated microscopy and machine learning for expert-level malaria field diagnosis</t>
  </si>
  <si>
    <t xml:space="preserve">The optical microscope is one of the most widely used tools for diagnosing infectious diseases in the developing world. Due to its reliance on trained microscopists, field microscopy often suffers from poor sensitivity, specificity, and reproducibility. The goal of this work, called the Autoscope, is a low-cost automated digital microscope coupled with a set of computer vision and classification algorithms, which can accurately diagnose of a variety of infectious diseases, targeting use-cases in the developing world. Our initial target is malaria, because of the high difficulty of the task and because manual microscopy is currently a central but highly imperfect tool for malaria work in the field. In addition to diagnosis, the algorithm performs species identification and quantitation of parasite load, parameters which are critical in many field applications but which are not effectively determined by rapid diagnostic tests (RDTs). We have built a hardware prototype which can scan approximately 0.1 μL of blood volume in a standard Giemsa-stained thick smear blood slide in approximately 20 minutes. We have also developed a comprehensive machine learning framework, leveraging computer vision and machine learning techniques including support vector machines (SVMs) and convolutional neural networks (CNNs). The Autoscope has undergone successful initial field testing for malaria diagnosis in Thailand. © 2015 IEEE.</t>
  </si>
  <si>
    <t xml:space="preserve">Proceedings of the 5th IEEE Global Humanitarian Technology Conference, GHTC 2015</t>
  </si>
  <si>
    <t xml:space="preserve">10.1109/GHTC.2015.7344002</t>
  </si>
  <si>
    <t xml:space="preserve">https://www.scopus.com/inward/record.uri?eid=2-s2.0-84960408606&amp;doi=10.1109%2fGHTC.2015.7344002&amp;partnerID=40&amp;md5=9a3d0c3493a50d77a0153ad80d3cb730</t>
  </si>
  <si>
    <t xml:space="preserve">Global Good/Intellectual Ventures Laboratory, Bellevue, WA, United States; University of Washington, Seattle, WA, United States; Creative Creek Software, Camano Island, WA, United States</t>
  </si>
  <si>
    <t xml:space="preserve">Delahunt C.B., Global Good/Intellectual Ventures Laboratory, Bellevue, WA, United States, University of Washington, Seattle, WA, United States; Mehanian C., Global Good/Intellectual Ventures Laboratory, Bellevue, WA, United States; Hu L., Global Good/Intellectual Ventures Laboratory, Bellevue, WA, United States; McGuire S.K., Global Good/Intellectual Ventures Laboratory, Bellevue, WA, United States; Champlin C.R., Global Good/Intellectual Ventures Laboratory, Bellevue, WA, United States; Horning M.P., Global Good/Intellectual Ventures Laboratory, Bellevue, WA, United States; Wilson B.K., Global Good/Intellectual Ventures Laboratory, Bellevue, WA, United States; Thompon C.M., Creative Creek Software, Camano Island, WA, United States</t>
  </si>
  <si>
    <t xml:space="preserve">computer vision; computer-aided diagnosis; machine learning; malaria; microscopy</t>
  </si>
  <si>
    <t xml:space="preserve">Artificial intelligence; Blood; Computer aided diagnosis; Computer aided instruction; Developing countries; Diagnosis; Digital devices; Diseases; Learning systems; Microscopes; Microscopic examination; Neural networks; Support vector machines; Automated microscopy; Classification algorithm; Convolutional neural network; Digital microscopes; Machine learning techniques; malaria; Species identification; Support vector machine (SVMs); Computer vision</t>
  </si>
  <si>
    <t xml:space="preserve">Microscopy for the Detection, Identification and Quantification of Malaria Parasites on Stained Thick and Thin Blood Films in Research Settings, (2015); Albert H., Manabe Y., Lukyamuzi G., Ademun P., Mukkada S., Nyesiga B., Joloba M., Paramasivan C.N., Perkins M.D., Performance of three LED-based fluorescence microscopy systems for detection of tuberculosis in Uganda, PLoS ONE, (2010); Ashraf S., Kao A., Hugo C., Christophel E.M., Fatunmbi B., Luchavez J., Lilley K., Bell D., Developing standards for malaria microscopy: External competency assessment for malaria microscopists in the Asia-Pacific, Malaria Journal, 11, (2012); Kiggundu M., Nsobya S.L., Kamya M.R., Filler S., Nasr S., Dorsey G., Yeka A., Evaluation of a comprehensive refresher training program in malaria microscopy covering four districts of Uganda, Am. J. Trop. Med. Hyg., 84, 5, pp. 820-824, (2011); World Malaria Report, (2014); Durrheim D.N., Becker P.J., Billinghurst K., Diagnostic disagreement - The lessons learnt from malaria diagnosis in Mpumalanga, S. Afr. Med. J., 87, (1997); Kachur S.P., Nicolas E., Jean-Francois V., Benitez A., Bloland P.B., Saint Jean Y., Mount D.L., Ruebush I.I.T.K., Nguyen-Dinh P., Prevalence of malaria parasitemia and accuracy of microscopic diagnosis in Haiti October 1995, Rev Panam Salud Publica, 3, pp. 35-39, (1998); Kain K.C., Harrington M.A., Tennyson S., Keystone J.S., Imported malaria: Prospective analysis of problems in diagnosis and management, Clin Infect Dis, 27, pp. 142-149, (1998); Kilian A.H., Metzger W.G., Mutschelknauss E.J., Kabagambe G., Langi P., Korte R., Von Sonnenburg F., Reliability of malaria microscopy in epidemiological studies: Results of quality control, Trop Med Int Health, 5, pp. 3-8, (2000); Coleman R.E., Maneechai N., Rachaphaew N., Kumpitak C., Miller R.S., Soyseng V., Thimasarn K., Sattabongkot J., Comparison of field and expert laboratory microscopy for active surveillance for asymptomatic Plasmodium falciparum and Plasmodium vivax in western Thailand, Am J Trop Med Hyg, 67, pp. 141-144, (2002); O'Meara W.P., McKenzie F.E., Magill A.J., Forney J.R., Permpanich B., Lucas C., Gasser R.A., Wongsrichanalai C., Sources of variability in determining malaria parasite density by microscopy, Am J Trop Med Hyg, 73, pp. 593-598, (2005); Kahama-Maro J., D'Acremont V., Mtasiwa D., Genton B., Lengeler C., Low quality of routine microscopy for malaria at different levels of the health system in Dar es Salaam, Malaria Journal, 10, (2011); Nankabirwa J., Zurovac D., Njogu J.N., Rwakimari J.B., Counihan H., Snow R.W., Tibenderana J.K., Malaria misdiagnosis in Uganda-implications for policy change, Malaria Journal, 8, (2009); Zurovac D., Midia B., Ochola S.A., English M., Snow R.W., Microscopy and outpatient malaria case management among older children and adults in Kenya, Trop Med Int Health, 11, pp. 432-440, (2006); Basic Malaria Microscopy - Part I: Learner's Guide, (2010); Chang C., Lin C., LIBSVM: A library for support vector machines, ACM Transactions on Intelligent Systems and Technology, 2, pp. 271-2727, (2011); Delahunt C., Horning M.P., Wilson B.K., Proctor J.L., Hegg M.C., Limitations of haemozoin-based diagnosis of Plasmodium falciparum using dark-field microscopy, Malaria Journal, 13, (2014)</t>
  </si>
  <si>
    <t xml:space="preserve">IEEE Region 6; IEEE Seattle Section</t>
  </si>
  <si>
    <t xml:space="preserve">5th IEEE Global Humanitarian Technology Conference, GHTC 2015</t>
  </si>
  <si>
    <t xml:space="preserve">8 October 2015 through 11 October 2015</t>
  </si>
  <si>
    <t xml:space="preserve">Seattle</t>
  </si>
  <si>
    <t xml:space="preserve">978-146736561-1</t>
  </si>
  <si>
    <t xml:space="preserve">Proc. IEEE Glob. Humanit. Technol. Conf., GHTC</t>
  </si>
  <si>
    <t xml:space="preserve">2-s2.0-84960408606</t>
  </si>
  <si>
    <t xml:space="preserve">Naydenova E.; Tsanas A.; Casals-Pascual C.; De Vos M.; Howie S.</t>
  </si>
  <si>
    <t xml:space="preserve">Naydenova, Elina (56593311900); Tsanas, Althanasios (25930622500); Casals-Pascual, Climent (6506153671); De Vos, Maarten (15834083300); Howie, Stephen (15759761900)</t>
  </si>
  <si>
    <t xml:space="preserve">56593311900; 25930622500; 6506153671; 15834083300; 15759761900</t>
  </si>
  <si>
    <t xml:space="preserve">Smart diagnostic algorithms for automated detection of childhood pneumonia in resource-constrained settings</t>
  </si>
  <si>
    <t xml:space="preserve">Pneumonia is the leading cause of death in children under five, with 1.1 million deaths annually more than the combined burden of HIV/AIDS, malaria, and tuberculosis for this age group; the majority of these deaths occur in resource-constrained settings. Accurate diagnosis of pneumonia relies on expensive human expertise and requires the evaluation of multiple clinical characteristics, measured using advanced diagnostic tools. The shortage of clinical experts and appropriate diagnostic tools in many low and middle income countries impedes timely and accurate diagnosis. We demonstrate that the diagnostic process can be automated using machine learning techniques, processing several clinical measurements that could be obtained with affordable and easy-to-operate point-of-care tools. We evaluated our findings on a dataset of 1093 children, comprising 777 diagnosed with pneumonia and 316 healthy controls, on the basis of 47 clinical characteristics. Seven feature selection techniques were used to identify robust, parsimonious subsets of clinical characteristics, which could be measured reliably and affordably. Standard machine learning techniques, such as support vector machines and random forests, were used to develop a predictive algorithm based on the four jointly most predictive characteristics (temperature, respiratory rate, heart rate and oxygen saturation); this approach led to 96.6% sensitivity, 96.4% specificity, and an Area Under the Curve (AUC) of 97.8%. The proposed approach can be easily embedded in a mobile phone application, allowing for point-of-care assessment and identification of children in need of clinical attention by basically trained healthcare workers in resource-constrained settings. © 2015 IEEE.</t>
  </si>
  <si>
    <t xml:space="preserve">10.1109/GHTC.2015.7344000</t>
  </si>
  <si>
    <t xml:space="preserve">https://www.scopus.com/inward/record.uri?eid=2-s2.0-84960453636&amp;doi=10.1109%2fGHTC.2015.7344000&amp;partnerID=40&amp;md5=d2d0711f5f890a1ce97e478240ca5ee4</t>
  </si>
  <si>
    <t xml:space="preserve">University of Oxford, United Kingdom; Child Survival Theme, Medical Research Control Unit, United Kingdom</t>
  </si>
  <si>
    <t xml:space="preserve">Naydenova E., University of Oxford, United Kingdom; Tsanas A., University of Oxford, United Kingdom; Casals-Pascual C., University of Oxford, United Kingdom; De Vos M., University of Oxford, United Kingdom; Howie S., Child Survival Theme, Medical Research Control Unit, United Kingdom</t>
  </si>
  <si>
    <t xml:space="preserve">Childhood pneumonia; diagnostics; machine learning; Random forests</t>
  </si>
  <si>
    <t xml:space="preserve">Algorithms; Artificial intelligence; Decision trees; Diagnostic products; Diseases; E-learning; Learning algorithms; Plasma diagnostics; Area under the curves; Childhood pneumonias; Clinical characteristics; Low and middle income countries; Machine learning techniques; Mobile phone applications; Predictive algorithms; Random forests; Learning systems</t>
  </si>
  <si>
    <t xml:space="preserve">Ending preventable child deaths from pneumonia and diarrhoea by 2025, The Integrated Global Action Plan for Pneumonia Diarrhoea (GAPPD), (2013); Rudan I., Boschi-Pinto C., Campbell H., Epidemiology and etiology of childhood pneumonia, Bulletin of the World Health Organization, 86, 5, pp. 408-416, (2008); Pneumonia: The Forgotten Killer of Children, (2006); Community case management of pneumonia: At a tipping point?, Bulletin of the World Health Organization, (2008); Challenges to improving case management of childhood pneumonia at health facilities in resource-limited settings, Bulletin of the World Health Organization, (2008); Integrated Management of Childhood Illness (Imci) Handbook, (2005); Cardoso M.R., Nascimento-Carvalho C.M., Ferrero F., Alves F.M., Cousens S.N., Adding fever to who criteria for diagnosing pneumonia enhances the ability to identify pneumonia cases among wheezing children, Archives of Disease in Childhood, 96, 1, pp. 58-61, (2011); Harari M., Spooner V., Meisner S., Carney M., Shann F., De Campo J., Clinical signs of pneumonia in children, The Lancet, 338, 8772, pp. 928-930, (1991); Palafox M., Guiscafr H., Reyes H., Munoz O., Martinez H., Diagnostic value of tachypnoea in pneumonia defined radiologically, Archives of Disease in Childhood, 82, 1, pp. 41-45, (2000); Agarwal S., Pandey G.N., Human computer interface design for neonatal intensive care with data mining, 4th International Conference on Intelligent Human Computer Interaction: Advancing Technology for Humanity, IHCI 2012, (2012); Hum R.S., Cato K., Sheehan B., Patel S., Duchon J., DeLaMora P., Ferng Y.H., Graham P., Vawdrey D.K., Perlman J., Larson E., Saiman L., Developing clinical decision support within a commercial electronic health record system to improve antimicrobial prescribing in the neonatal icu, Applied Clinical Informatics, 5, 2, pp. 368-387, (2014); Celi L.A., Mark R.G., Stone D.J., Montgomery R.A., Big data" in the intensive care unit: Closing the data loop, American Journal of Respiratory and Critical Care Medicine, 187, 11, pp. 1157-1160, (2013); Lee J., Scott D.J., Villarroel M., Clifford G.D., Saeed M., Mark R.G., Open-access mimic-II database for intensive care research, Proceedings of the Annual International Conference of the IEEE Engineering in Medicine and Biology Society, EMBS, pp. 8315-8318, (2011); Cooper G.F., Aliferis C.F., Ambrosino R., Aronis J., Buchanan B.G., Caruana R., Fine M.J., Glymour C., Gordon G., Hanusa B.H., Janosky J.E., Meek C., Mitchell T., Richardson T., Spirtes P., An evaluation of machine-learning methods for predicting pneumonia mortality, Artificial Intelligence in Medicine, 9, 2, pp. 107-138, (1997); Cooper G.F., Abraham V., Aliferis C.F., Aronis J.M., Buchanan B.G., Caruana R., Fine M.J., Janosky J.E., Livingston G., Mitchell T., Monti S., Spirtes P., Predicting dire outcomes of patients with community acquired pneumonia, Journal of Biomedical Informatics, 38, 5, pp. 347-366, (2005); Visweswaran S., Cooper G.F., Patient-specific models for predicting the outcomes of patients with community acquired pneumonia, AMIA. Annual Symposium Proceedings /AMIA Symposium.AMIA Symposium, pp. 759-763, (2005); Crain E., Bulas D., Bijur P., Goldman H., Is a chest radiograph necessary in the evaluation of every febrile infant less than 8 weeks of age?, Pediatrics, 88, 4, pp. 821-824, (1991); Ebell M., Clinical diagnosis of pneumonia in children, Point-of-Care Guides, 82, (2010); Lynch T., Platt R., Gouin S., Larson C., Patenaude Y., Can we predict which children with clinically suspected pneumonia will have the presence of focal infiltrates on chest radiographs?, Pediatrics, 113, 3, pp. e186-e189, (2004); Young J., Modat M., Cardoso M.J., Ashburner J., Ourselin S., Classification of Alzheimer's disease patients and controls with Gaussian processes, Proceedings - International Symposium on Biomedical Imaging, 2012, pp. 1523-1526; Ye Q.H., Qin L.X., Forgues M., He P., Kim J.W., Peng A.C., Simon R., Li Y., Robles A.I., Chen Y., Ma Z.C., Wu Z.Q., Ye S.L., Liu Y.K., Tang Z.Y., Wang X.W., Predicting hepatitis b viruspositive metastatic hepatocellular carcinomas using gene expression profiling and supervised machine learning, Nature Medicine, 9, 4, pp. 416-423, (2003); Kononenko I., Machine learning for medical diagnosis: History, state of the art and perspective, Artificial Intelligence in Medicine, 23, 1, pp. 89-109, (2001); Agranoff D., Fernandez-Reyes D., Papadopoulos M.C., Rojas S.A., Herbster M., Loosemore A., Tarelli E., Sheldon J., Schwenk A., Pollok R., Rayner C.F., Krishna S., Identification of diagnostic markers for tuberculosis by proteomic fingerprinting of serum, Lancet, 368, 9540, pp. 1012-1021, (2006); Huang H., Ideh R.C., Gitau E., Thezenas M.L., Jallow M., Ebruke B., Chimah O., Oluwalana C., Karanja H., Mackenzie G., Adegbola R.A., Kwiatkowski D., Kessler B.M., Berkley J.A., Howie S.R., Casals-Pascual C., Discovery and validation of biomarkers to guide clinical management of pneumonia in African children, Clinical Infectious Diseases: An Official Publication of the Infectious Diseases Society of America, 58, 12, pp. 1707-1715, (2014); Pocket Book of Hospital Care for Children; Donders A.R.T., Der Van Heijden G.M.G.J., Stijnen T., Moons K.G.M., Review: A gentle introduction to imputation of missing values, Journal of Clinical Epidemiology, 59, 10, pp. 1087-1091, (2006); Der Maaten L.V., Visualizing data using t-sne, Journal of Machine Learning Research, (2008); Hotelling H., Analysis of a complex of statistical variables into principal components, Journal of Educational Psychology, 24, pp. 417-441, (1933); Torgerson W., Multidimensional scaling i: Theory and method, Psychometrika, 17, pp. 401-419, (1952); Vapnik V.N., An overview of statistical learning theory, IEEE Transactions on Neural Networks, 10, 5, pp. 988-999, (1999); Burges C.J.C., A tutorial on support vector machines for pattern recognition, Data Mining and Knowledge Discovery, 2, 2, pp. 121-167, (1998); Chang C., Lin C.-J., Libsvm: A library for support vector machines, ACM Transactions on Intelligent Systems and Technology, 2, pp. 1-27, (2011); Abeyratne U.R., Swarnkar V., Triasih R., Setyati A., Cough sound analysis - A new tool for diagnosing pneumonia, Proceedings of the Annual International Conference of the IEEE Engineering in Medicine and Biology Society, EMBS, pp. 5216-5219, (2013)</t>
  </si>
  <si>
    <t xml:space="preserve">2-s2.0-84960453636</t>
  </si>
  <si>
    <t xml:space="preserve">Publication Type</t>
  </si>
  <si>
    <t xml:space="preserve">Author Full Names</t>
  </si>
  <si>
    <t xml:space="preserve">Authors Region</t>
  </si>
  <si>
    <t xml:space="preserve">Region where data is collected (land)</t>
  </si>
  <si>
    <t xml:space="preserve">Type of data (public health records, genomic data, imaging datasets)</t>
  </si>
  <si>
    <t xml:space="preserve">Times Cited, WoS Core</t>
  </si>
  <si>
    <t xml:space="preserve">Times Cited, All Databases</t>
  </si>
  <si>
    <t xml:space="preserve">Language</t>
  </si>
  <si>
    <t xml:space="preserve">Source Title</t>
  </si>
  <si>
    <t xml:space="preserve">Author Keywords</t>
  </si>
  <si>
    <t xml:space="preserve">Addresses</t>
  </si>
  <si>
    <t xml:space="preserve">Reprint Addresses</t>
  </si>
  <si>
    <t xml:space="preserve">Email Addresses</t>
  </si>
  <si>
    <t xml:space="preserve">Researcher Ids</t>
  </si>
  <si>
    <t xml:space="preserve">ORCIDs</t>
  </si>
  <si>
    <t xml:space="preserve">Funding Details</t>
  </si>
  <si>
    <t xml:space="preserve">Cited Reference Count</t>
  </si>
  <si>
    <t xml:space="preserve">180 Day Usage Count</t>
  </si>
  <si>
    <t xml:space="preserve">Since 2013 Usage Count</t>
  </si>
  <si>
    <t xml:space="preserve">Publisher City</t>
  </si>
  <si>
    <t xml:space="preserve">Publisher Address</t>
  </si>
  <si>
    <t xml:space="preserve">eISSN</t>
  </si>
  <si>
    <t xml:space="preserve">Journal Abbreviation</t>
  </si>
  <si>
    <t xml:space="preserve">Journal ISO Abbreviation</t>
  </si>
  <si>
    <t xml:space="preserve">Publication Date</t>
  </si>
  <si>
    <t xml:space="preserve">Start Page</t>
  </si>
  <si>
    <t xml:space="preserve">End Page</t>
  </si>
  <si>
    <t xml:space="preserve">Article Number</t>
  </si>
  <si>
    <t xml:space="preserve">DOI Link</t>
  </si>
  <si>
    <t xml:space="preserve">Early Access Date</t>
  </si>
  <si>
    <t xml:space="preserve">Number of Pages</t>
  </si>
  <si>
    <t xml:space="preserve">WoS Categories</t>
  </si>
  <si>
    <t xml:space="preserve">Web of Science Index</t>
  </si>
  <si>
    <t xml:space="preserve">Research Areas</t>
  </si>
  <si>
    <t xml:space="preserve">IDS Number</t>
  </si>
  <si>
    <t xml:space="preserve">Pubmed Id</t>
  </si>
  <si>
    <t xml:space="preserve">Open Access Designations</t>
  </si>
  <si>
    <t xml:space="preserve">Date of Export</t>
  </si>
  <si>
    <t xml:space="preserve">UT (Unique WOS ID)</t>
  </si>
  <si>
    <t xml:space="preserve">Web of Science Record</t>
  </si>
  <si>
    <t xml:space="preserve">Cited References</t>
  </si>
  <si>
    <t xml:space="preserve">Highly Cited Status</t>
  </si>
  <si>
    <t xml:space="preserve">Hot Paper Status</t>
  </si>
  <si>
    <t xml:space="preserve">Book DOI</t>
  </si>
  <si>
    <t xml:space="preserve">Part Number</t>
  </si>
  <si>
    <t xml:space="preserve">Supplement</t>
  </si>
  <si>
    <t xml:space="preserve">Special Issue</t>
  </si>
  <si>
    <t xml:space="preserve">Meeting Abstract</t>
  </si>
  <si>
    <t xml:space="preserve">Book Authors</t>
  </si>
  <si>
    <t xml:space="preserve">Book Editors</t>
  </si>
  <si>
    <t xml:space="preserve">Book Group Authors</t>
  </si>
  <si>
    <t xml:space="preserve">Book Author Full Names</t>
  </si>
  <si>
    <t xml:space="preserve">Group Authors</t>
  </si>
  <si>
    <t xml:space="preserve">Book Series Title</t>
  </si>
  <si>
    <t xml:space="preserve">Book Series Subtitle</t>
  </si>
  <si>
    <t xml:space="preserve">Conference Title</t>
  </si>
  <si>
    <t xml:space="preserve">Conference Date</t>
  </si>
  <si>
    <t xml:space="preserve">Conference Location</t>
  </si>
  <si>
    <t xml:space="preserve">Conference Sponsor</t>
  </si>
  <si>
    <t xml:space="preserve">Conference Host</t>
  </si>
  <si>
    <t xml:space="preserve">J</t>
  </si>
  <si>
    <t xml:space="preserve">Sadaf, T; Qamar, U; Khan, SA; Almutairi, S</t>
  </si>
  <si>
    <t xml:space="preserve">Sadaf, Tahira; Qamar, Usman; Khan, Shoab Ahmed; Almutairi, Saad</t>
  </si>
  <si>
    <t xml:space="preserve">A novel smart street intervention mechanism using clustering-based path optimization for street networks</t>
  </si>
  <si>
    <t xml:space="preserve">It is quite challenging to discover the imminent infection producing areas to determine the spreading pattern of the epidemic and adopt a counter strategy to combat the outbreak in a timely manner. Therefore, this paper explores the executive perspective to examine the infrastructure systems, such as street networks, to support the continuity of administrative operations essential to controlling the spread of an epidemic. We achieve this by application of optimization-oriented and unsupervised machine learning methods that assemble analysis and decision-making practices into a data-driven model. First, the proposed model analyzes the infection triggering areas at the street-segment level to implement the smart lockdown (street intervention mechanism). The model then suggests to deliberately closing the streets in such a way that only a minimal number of additional streets should be selected to ensure the safety margins against the epidemic. We achieve this by identifying the critical pathways between the affected streets through shortest path analysis. This enables an instinctive assessment of the path of movement between the immediate vicinity of the affected streets. The proposed model thus increases the ability of the managing authorities to implement the resilience plans in a shorter time, so that the unplanned infrastructure can withstand the catastrophic event that it could suffer. We use the efficiency measure to substantiate the proposed model. The evaluations show that the suggestions produced by the proposed model are far more robust and efficient.</t>
  </si>
  <si>
    <t xml:space="preserve">Pakistan, Saudi Arabia</t>
  </si>
  <si>
    <t xml:space="preserve">Pakistan</t>
  </si>
  <si>
    <t xml:space="preserve">public health records</t>
  </si>
  <si>
    <t xml:space="preserve">Covid-19</t>
  </si>
  <si>
    <t xml:space="preserve">Unsupervised</t>
  </si>
  <si>
    <t xml:space="preserve">DBSCAN (Density-Based Spatial Clustering of Applications with Noise)</t>
  </si>
  <si>
    <t xml:space="preserve">Efficiency Measure (EM): 0.71</t>
  </si>
  <si>
    <t xml:space="preserve">Limited generalizability due to urban area focus</t>
  </si>
  <si>
    <t xml:space="preserve">KNOWLEDGE-BASED SYSTEMS</t>
  </si>
  <si>
    <t xml:space="preserve">ELSEVIER</t>
  </si>
  <si>
    <t xml:space="preserve">Spatial networks; Public health; Communicable diseases</t>
  </si>
  <si>
    <t xml:space="preserve">DENGUE-FEVER TRANSMISSION; SPREAD; DISEASE</t>
  </si>
  <si>
    <t xml:space="preserve">[Sadaf, Tahira; Qamar, Usman; Khan, Shoab Ahmed] Natl Univ Sci &amp; Technol NUST, Coll Elect &amp; Mech Engn, Comp &amp; Software Engn Dept, Islamabad, Pakistan; [Almutairi, Saad] Univ Tabuk, Fac Comp &amp; Informat Technol, Tabuk, Saudi Arabia</t>
  </si>
  <si>
    <t xml:space="preserve">National University of Sciences &amp; Technology - Pakistan; University of Tabuk</t>
  </si>
  <si>
    <t xml:space="preserve">Qamar, U (corresponding author), Natl Univ Sci &amp; Technol NUST, Coll Elect &amp; Mech Engn, Comp &amp; Software Engn Dept, Islamabad, Pakistan.</t>
  </si>
  <si>
    <t xml:space="preserve">usmanq@ceme.nust.edu.pk</t>
  </si>
  <si>
    <t xml:space="preserve">AMSTERDAM</t>
  </si>
  <si>
    <t xml:space="preserve">RADARWEG 29, 1043 NX AMSTERDAM, NETHERLANDS</t>
  </si>
  <si>
    <t xml:space="preserve">0950-7051</t>
  </si>
  <si>
    <t xml:space="preserve">1872-7409</t>
  </si>
  <si>
    <t xml:space="preserve">KNOWL-BASED SYST</t>
  </si>
  <si>
    <t xml:space="preserve">Knowledge-Based Syst.</t>
  </si>
  <si>
    <t xml:space="preserve">FEB 28</t>
  </si>
  <si>
    <t xml:space="preserve">10.1016/j.knosys.2025.113065</t>
  </si>
  <si>
    <t xml:space="preserve">JAN 2025</t>
  </si>
  <si>
    <t xml:space="preserve">Computer Science, Artificial Intelligence</t>
  </si>
  <si>
    <t xml:space="preserve">Science Citation Index Expanded (SCI-EXPANDED)</t>
  </si>
  <si>
    <t xml:space="preserve">Computer Science</t>
  </si>
  <si>
    <t xml:space="preserve">U9M4A</t>
  </si>
  <si>
    <t xml:space="preserve">2025-02-18</t>
  </si>
  <si>
    <t xml:space="preserve">WOS:001414942700001</t>
  </si>
  <si>
    <t xml:space="preserve">Dauda, KA; Aga, ONL; Johnston, IG</t>
  </si>
  <si>
    <t xml:space="preserve">Dauda, Kazeem A.; Aga, Olav N. L.; Johnston, Iain G.</t>
  </si>
  <si>
    <t xml:space="preserve">Clustering Large-Scale Biomedical Data to Model Dynamic Accumulation Processes in Disease Progression and Anti-Microbial Resistance Evolution</t>
  </si>
  <si>
    <t xml:space="preserve">Accumulation modelling uses machine learning to discover the dynamics by which systems acquire discrete features over time. Many systems of biomedical interest show such dynamics: from bacteria acquiring resistances to sets of drugs, to patients acquiring symptoms during the course of progressive disease. Existing approaches for accumulation modelling are typically limited either in the number of features they consider or their ability to characterise interactions between these features - a limitation for the large-scale genetic and/or phenotypic datasets often found in modern biomedical applications. Here, we demonstrate how clustering can make such large-scale datasets tractable for powerful accumulation modelling approaches. Clustering resolves issues of sparsity and high dimensionality in datasets, but complicates the intepretation of the inferred dynamics, especially if observations are not independent. Focussing on hypercubic hidden Markov models (HyperHMM), we introduce several approaches for interpreting, estimating, and bounding the results of the dynamics in these cases and discuss how biomedical insight could be gained from such analyses. We demonstrate this 'Cluster-based HyperHMM' (CHyperHMM) pipeline for synthetic data, clinical data on disease progression in severe malaria, and genomic data for anti-microbial resistance evolution in Klebsiella pneumoniae, reflecting two global health threats.</t>
  </si>
  <si>
    <t xml:space="preserve">Norway</t>
  </si>
  <si>
    <t xml:space="preserve">- Severe Malaria data: The Gambia (Royal Victoria Teaching Hospital, Banjul)
- AMR Klebsiella: Global, with isolates from Africa, Americas, Asia, Europe, Oceania</t>
  </si>
  <si>
    <t xml:space="preserve">- Clinical symptom data (Severe Malaria)
- Genomic data (Antibiotic resistance genes in Klebsiella pneumoniae)</t>
  </si>
  <si>
    <t xml:space="preserve">- Severe Malaria (symptom progression in children)
- Anti-Microbial Resistance (AMR) in Klebsiella pneumoniae</t>
  </si>
  <si>
    <t xml:space="preserve">Unsupervised (via clustering for dimensionality reduction) and Stochastic modeling for learning accumulation pathways</t>
  </si>
  <si>
    <t xml:space="preserve">Hypercubic Hidden Markov Model (HyperHMM): A stochastic model for feature accumulation dynamics.
k-means clustering: Used for dimensionality reduction of large-scale biomedical data.</t>
  </si>
  <si>
    <t xml:space="preserve">Pairwise ordering probabilities</t>
  </si>
  <si>
    <t xml:space="preserve">- Interpretability issues due to clustering abstraction
- Protocol sensitivity (occupancy rule, phylogeny assumptions)
- No standard performance metric
- Loss of fine-grained detail from original features during clustering
- Computational cost if using non-clustered data for large feature sets</t>
  </si>
  <si>
    <t xml:space="preserve">IEEE ACCESS</t>
  </si>
  <si>
    <t xml:space="preserve">IEEE-INST ELECTRICAL ELECTRONICS ENGINEERS INC</t>
  </si>
  <si>
    <t xml:space="preserve">Hidden Markov models; Diseases; Protocols; Phylogeny; Biological system modeling; Bioinformatics; Immune system; Genomics; Malaria; Synthetic data; Accumulation modeling; anti-microbial resistance; big data; clustering; genomic data; Markov model; parameter inference</t>
  </si>
  <si>
    <t xml:space="preserve">INFERENCE; NUMBER</t>
  </si>
  <si>
    <t xml:space="preserve">[Dauda, Kazeem A.] Univ Bergen, Dept Math, N-5007 Bergen, Norway; [Aga, Olav N. L.] Univ Bergen, Dept Clin Sci, N-5007 Bergen, Norway; [Aga, Olav N. L.; Johnston, Iain G.] Univ Bergen, Computat Biol Unit, N-5007 Bergen, Norway; [Johnston, Iain G.] Univ Bergen, Dept Math, N-5007 Bergen, Norway</t>
  </si>
  <si>
    <t xml:space="preserve">University of Bergen; University of Bergen; University of Bergen; University of Bergen</t>
  </si>
  <si>
    <t xml:space="preserve">Johnston, IG (corresponding author), Univ Bergen, Computat Biol Unit, N-5007 Bergen, Norway.;Johnston, IG (corresponding author), Univ Bergen, Dept Math, N-5007 Bergen, Norway.</t>
  </si>
  <si>
    <t xml:space="preserve">iain.johnston@uib.no</t>
  </si>
  <si>
    <t xml:space="preserve">Dauda, Kazeem Adesina/0000-0002-4392-8592</t>
  </si>
  <si>
    <t xml:space="preserve">Trond Mohn Foundation Project HyperEvol through the Centre for Antimicrobial Resistance in Western Norway (CAMRIA) [TMS2021TMT09, TMS2020TMT11]; European Research Council (ERC) under European Union [805046]</t>
  </si>
  <si>
    <t xml:space="preserve">Trond Mohn Foundation Project HyperEvol through the Centre for Antimicrobial Resistance in Western Norway (CAMRIA); European Research Council (ERC) under European Union(European Research Council (ERC))</t>
  </si>
  <si>
    <t xml:space="preserve">This work was supported in part by the Trond Mohn Foundation Project HyperEvol through the Centre for Antimicrobial Resistance in Western Norway (CAMRIA) under Grant TMS2021TMT09 and Grant TMS2020TMT11, and in part by European Research Council (ERC) under European Union's Horizon 2020 Research and Innovation Programme [Evolution and Control of Bioenergetic Organelles (EvoConBiO)] under Grant 805046.</t>
  </si>
  <si>
    <t xml:space="preserve">PISCATAWAY</t>
  </si>
  <si>
    <t xml:space="preserve">445 HOES LANE, PISCATAWAY, NJ 08855-4141 USA</t>
  </si>
  <si>
    <t xml:space="preserve">2169-3536</t>
  </si>
  <si>
    <t xml:space="preserve">10.1109/ACCESS.2025.3527715</t>
  </si>
  <si>
    <t xml:space="preserve">Computer Science, Information Systems; Engineering, Electrical &amp; Electronic; Telecommunications</t>
  </si>
  <si>
    <t xml:space="preserve">Computer Science; Engineering; Telecommunications</t>
  </si>
  <si>
    <t xml:space="preserve">T6E4V</t>
  </si>
  <si>
    <t xml:space="preserve">WOS:001405911400005</t>
  </si>
  <si>
    <t xml:space="preserve">Ramos-Briceño, DA; Flammia-D'Aleo, A; Fernández-López, G; Carrión-Nessi, FS; Forero-Peña, DA</t>
  </si>
  <si>
    <t xml:space="preserve">Ramos-Briceno, Diego A.; Flammia-D'Aleo, Alessandro; Fernandez-Lopez, Gerardo; Carrion-Nessi, Fhabian S.; Forero-Pena, David A.</t>
  </si>
  <si>
    <t xml:space="preserve">Deep learning-based malaria parasite detection: convolutional neural networks model for accurate species identification of Plasmodium falciparum and Plasmodium vivax</t>
  </si>
  <si>
    <t xml:space="preserve">Accurate malaria diagnosis with precise identification of Plasmodium species is crucial for an effective treatment. While microscopy is still the gold standard in malaria diagnosis, it relies heavily on trained personnel. Artificial intelligence (AI) advances, particularly convolutional neural networks (CNNs), have significantly improved diagnostic capabilities and accuracy by enabling the automated analysis of medical images. Previous models efficiently detected malaria parasites in red blood cells but had difficulty differentiating between species. We propose a CNN-based model for classifying cells infected by P. falciparum, P. vivax, and uninfected white blood cells from thick blood smears. Our best-performing model utilizes a seven-channel input and correctly predicted 12,876 out of 12,954 cases. We also generated a cross-validation confusion matrix that showed the results of five iterations, achieving 63,654 out of 64,126 true predictions. The model's accuracy reached 99.51%, a precision of 99.26%, a recall of 99.26%, a specificity of 99.63%, an F1 score of 99.26%, and a loss of 2.3%. We are now developing a system based on real-world quality images to create a comprehensive detection tool for remote regions where trained microscopists are unavailable.</t>
  </si>
  <si>
    <t xml:space="preserve">Venezuela</t>
  </si>
  <si>
    <t xml:space="preserve">Imaging datasets </t>
  </si>
  <si>
    <t xml:space="preserve">Malaria</t>
  </si>
  <si>
    <t xml:space="preserve">CNN</t>
  </si>
  <si>
    <t xml:space="preserve">- Accuracy: 99.51%
- Precision: 99.26%
- Recall: 99.26%
- Specificity: 99.63%
- F1 Score: 99.26%
- Loss: 2.3%</t>
  </si>
  <si>
    <t xml:space="preserve">- Geographic bias. 
- Lack of validation in real-world clinical settings. 
- Requires advanced computational resources for training.</t>
  </si>
  <si>
    <t xml:space="preserve">SCIENTIFIC REPORTS</t>
  </si>
  <si>
    <t xml:space="preserve">NATURE PORTFOLIO</t>
  </si>
  <si>
    <t xml:space="preserve">Malaria; Plasmodium infection; Artificial intelligence; Deep learning; Neural network model; Medical image processing</t>
  </si>
  <si>
    <t xml:space="preserve">[Ramos-Briceno, Diego A.; Flammia-D'Aleo, Alessandro] Univ Metropolitana Caracas, Fac Engn, Sch Syst Engn, Caracas, Venezuela; [Ramos-Briceno, Diego A.; Flammia-D'Aleo, Alessandro; Carrion-Nessi, Fhabian S.; Forero-Pena, David A.] Biomed Res &amp; Therapeut Vaccines Inst, Ciudad Bolivar, Venezuela; [Ramos-Briceno, Diego A.; Carrion-Nessi, Fhabian S.; Forero-Pena, David A.] Univ Cent Venezuela, Luis Razetti Sch Med, Caracas, Venezuela; [Fernandez-Lopez, Gerardo] Univ Simon Bolivar, Fac Engn, Dept Elect &amp; Circuits, Caracas, Venezuela; [Carrion-Nessi, Fhabian S.] Inst Venezolano Invest Cient, Lab Pathophysiol, Ctr Med Expt Miguel Layrisse, Immunogenet Sect, Altos De Pipe, Venezuela; [Forero-Pena, David A.] Hosp Univ Caracas, Dept Infect Dis, Caracas, Venezuela</t>
  </si>
  <si>
    <t xml:space="preserve">University of Central Venezuela; Simon Bolivar University; Venezuelan Institute Science Research</t>
  </si>
  <si>
    <t xml:space="preserve">Carrión-Nessi, FS; Forero-Peña, DA (corresponding author), Biomed Res &amp; Therapeut Vaccines Inst, Ciudad Bolivar, Venezuela.;Carrión-Nessi, FS; Forero-Peña, DA (corresponding author), Univ Cent Venezuela, Luis Razetti Sch Med, Caracas, Venezuela.;Carrión-Nessi, FS (corresponding author), Inst Venezolano Invest Cient, Lab Pathophysiol, Ctr Med Expt Miguel Layrisse, Immunogenet Sect, Altos De Pipe, Venezuela.;Forero-Peña, DA (corresponding author), Hosp Univ Caracas, Dept Infect Dis, Caracas, Venezuela.</t>
  </si>
  <si>
    <t xml:space="preserve">fhabiancarrion@gmail.com; vacter.cv@gmail.com</t>
  </si>
  <si>
    <t xml:space="preserve">Ramos-Briceno, Diego A/0009-0003-5407-1058</t>
  </si>
  <si>
    <t xml:space="preserve">BERLIN</t>
  </si>
  <si>
    <t xml:space="preserve">HEIDELBERGER PLATZ 3, BERLIN, 14197, GERMANY</t>
  </si>
  <si>
    <t xml:space="preserve">2045-2322</t>
  </si>
  <si>
    <t xml:space="preserve">SCI REP-UK</t>
  </si>
  <si>
    <t xml:space="preserve">Sci Rep</t>
  </si>
  <si>
    <t xml:space="preserve">JAN 30</t>
  </si>
  <si>
    <t xml:space="preserve">10.1038/s41598-025-87979-5</t>
  </si>
  <si>
    <t xml:space="preserve">Multidisciplinary Sciences</t>
  </si>
  <si>
    <t xml:space="preserve">Science &amp; Technology - Other Topics</t>
  </si>
  <si>
    <t xml:space="preserve">U4Q6B</t>
  </si>
  <si>
    <t xml:space="preserve">gold</t>
  </si>
  <si>
    <t xml:space="preserve">WOS:001411661900013</t>
  </si>
  <si>
    <t xml:space="preserve">Shah, JM; Khan, H; Ismail, EAA; Awaad, FA; Kumar, A</t>
  </si>
  <si>
    <t xml:space="preserve">Shah, Jamal; Khan, Hameed; Ismail, Emad A. A.; Awaad, Fuad A.; Kumar, Abhinav</t>
  </si>
  <si>
    <t xml:space="preserve">Modeling scabies transmission dynamics: a stochastic approach with spectral collocation and neural network insights</t>
  </si>
  <si>
    <t xml:space="preserve">This research conducts a computational analysis of a stochastic scabies model using the Legendre spectral collocation technique (LSCM). By including stochasticity into the model via the suggested stochastic differential equations, we are confiscating the random fluctuations required for disease growth and spread. The stability, convergence, and accurate characteristics of the LSCM are meticulously examined, showcasing its efficacy in addressing complicated epidemiological problems. Furthermore, this mathematical model is used to explain the transmission dynamics of scabies infection in the population with standard incident rate. The dynamics of scabies are illustrated schematically, and then an ordinary differential equation (ODE) is derived using the law of mass action. Positiveness, boundedness, and equilibrium points have been analyzed. Next-generation techniques are used to determine the reproduction number. Sensitivity analysis is also accomplished to investigate the impact of various parameters of reproduction number. Disease-free equilibrium exists asymptotically in local whenever R-0&lt;1. The accuracy and effectiveness of the constructed stochastic computing using neural networks are shown by a comparison of the results derived from the dataset utilizing the spectral collocation approach. Our research demonstrates that mitigating the severe impacts of scabies requires prompt detection and timely intervention. Additionally, our mathematical model serves as a valuable tool for refining disease management strategies. This study enhances our understanding of scabies dynamics, offering actionable insights into public health planning and epidemic control.</t>
  </si>
  <si>
    <t xml:space="preserve">China, Pakistan, Saudi Arabia, Russia, India, Azerbaijan
</t>
  </si>
  <si>
    <t xml:space="preserve">Simulated epidemiological data from mathematical modeling of scabie</t>
  </si>
  <si>
    <t xml:space="preserve">Scabies</t>
  </si>
  <si>
    <t xml:space="preserve">Feedforward Neural Network (FFNN)</t>
  </si>
  <si>
    <t xml:space="preserve">- No real-world data validation
- Synthetic simulations only
- Computational cost due to spectral methods and FFNN
- Lack of interpretability for FFNN predictions</t>
  </si>
  <si>
    <t xml:space="preserve">EUROPEAN PHYSICAL JOURNAL PLUS</t>
  </si>
  <si>
    <t xml:space="preserve">SPRINGER HEIDELBERG</t>
  </si>
  <si>
    <t xml:space="preserve">MALARIA</t>
  </si>
  <si>
    <t xml:space="preserve">[Shah, Jamal] Cent South Univ, Sch Math &amp; Stat, Changsha 410083, Hunan, Peoples R China; [Khan, Hameed] City Univ Sci &amp; Informat Technol, Dept Math, Peshawar, Pakistan; [Ismail, Emad A. A.; Awaad, Fuad A.] King Saud Univ, Coll Business Adm, Dept Quantitat Anal, POB 71115, Riyadh 11587, Saudi Arabia; [Kumar, Abhinav] Ural Fed Univ, Dept Nucl &amp; Renewable Energy, Ekaterinburg 620002, Russia; [Kumar, Abhinav] Karpagam Acad Higher Educ, Dept Mech Engn, Coimbatore 641021, India; [Kumar, Abhinav] Western Caspian Univ, Dept Tech Sci, Baku, Azerbaijan</t>
  </si>
  <si>
    <t xml:space="preserve">Central South University; King Saud University; Ural Federal University; Karpagam Academy of Higher Education (KAHE); Ministry of Education of Azerbaijan Republic; Western Caspian University</t>
  </si>
  <si>
    <t xml:space="preserve">Shah, JM (corresponding author), Cent South Univ, Sch Math &amp; Stat, Changsha 410083, Hunan, Peoples R China.</t>
  </si>
  <si>
    <t xml:space="preserve">jamalshah@csu.edu.cn</t>
  </si>
  <si>
    <t xml:space="preserve">Ismail, Emad/IAR-0649-2023</t>
  </si>
  <si>
    <t xml:space="preserve">King Saud University [RSPD2025R576]; King Saud University, Riyadh, Saudi Arabia</t>
  </si>
  <si>
    <t xml:space="preserve">King Saud University(King Saud University); King Saud University, Riyadh, Saudi Arabia(King Saud University)</t>
  </si>
  <si>
    <t xml:space="preserve">Researchers Supporting Project number (RSPD2025R576), King Saud University, Riyadh, Saudi Arabia.</t>
  </si>
  <si>
    <t xml:space="preserve">HEIDELBERG</t>
  </si>
  <si>
    <t xml:space="preserve">TIERGARTENSTRASSE 17, D-69121 HEIDELBERG, GERMANY</t>
  </si>
  <si>
    <t xml:space="preserve">2190-5444</t>
  </si>
  <si>
    <t xml:space="preserve">EUR PHYS J PLUS</t>
  </si>
  <si>
    <t xml:space="preserve">Eur. Phys. J. Plus</t>
  </si>
  <si>
    <t xml:space="preserve">JAN 24</t>
  </si>
  <si>
    <t xml:space="preserve">10.1140/epjp/s13360-025-06025-5</t>
  </si>
  <si>
    <t xml:space="preserve">Physics, Multidisciplinary</t>
  </si>
  <si>
    <t xml:space="preserve">Physics</t>
  </si>
  <si>
    <t xml:space="preserve">T6W0A</t>
  </si>
  <si>
    <t xml:space="preserve">WOS:001406369500003</t>
  </si>
  <si>
    <t xml:space="preserve">Chang, T; Choi, S; Jun, H; Chai, JY; Song, SH; Kim, S; Yeom, JS; Cho, SI; Min, KD</t>
  </si>
  <si>
    <t xml:space="preserve">Chang, Taehee; Choi, Saebom; Jun, Hojong; Chai, Jong-Yil; Song, Sang Hoon; Kim, Sehyeon; Yeom, Joon-Sup; Cho, Sung-il; Min, Kyung-Duk</t>
  </si>
  <si>
    <t xml:space="preserve">Nowcasting Vector Mosquito Abundance and Determining Its Association With Malaria Epidemics in South Korea</t>
  </si>
  <si>
    <t xml:space="preserve">Since a resurgence occurred in 1993, malaria has remained an endemic disease in the Republic of Korea (ROK). A major challenge is the inaccessibility of current vector mosquito abundance data due to a 2-week reporting delay, which limits timely implementation of control measures. We aimed to nowcast mosquito abundance and assess its utility by evaluating the predictive value of mosquito abundance for malaria epidemic peaks. We used machine learning models to nowcast mosquito abundance, employing gradient boosting models (GBMs), extreme gradient boosting (XGB), and an ensemble model combining both. Various meteorological factors served as predictors. The models were trained with data from mosquito collection sites between 2009 and 2021 and tested with data from 2022. To evaluate the utility of nowcasting, we calculated the effective reproduction number (Rt), which can indicate malaria epidemic peaks. Generalized linear models (GLMs) were then used to assess the impact of vector mosquito abundance on Rt. The ensemble models demonstrated the best performance in nowcasting mosquito abundance, with a root mean square error (RMSE) of 0.90 and R-squared value (R-2) value of 0.85. The GBM model showed an RMSE of 0.91 and R-2 of 0.84, while the XGB model had an RMSE of 0.92 and R-2 of 0.85. Additionally, the R-2 of the GLMs predicting Rt using mosquito abundance 2 weeks in advance was &gt;0.72 for all provinces. The mosquito abundance coefficients were also significant. We constructed reliable models to nowcast mosquito abundance. These outcomes could potentially be incorporated into a malaria early warning system. Our study provides evidence to support the development of malaria management strategies in regions where malaria remains a public health challenge.</t>
  </si>
  <si>
    <t xml:space="preserve">Republic of Korea, Peru
</t>
  </si>
  <si>
    <t xml:space="preserve">Republic of Korea (South Korea)</t>
  </si>
  <si>
    <t xml:space="preserve">- Mosquito surveillance data (vector abundance)
- Meteorological data (temperature, humidity, precipitation, etc.)
- Malaria case data</t>
  </si>
  <si>
    <t xml:space="preserve">- Gradient Boosting Machine (GBM)
- Extreme Gradient Boosting (XGB)
- Ensemble model combining GBM and XGB
- Generalized Linear Models (GLM) for predicting malaria Rt</t>
  </si>
  <si>
    <t xml:space="preserve">RMSE: 0.9</t>
  </si>
  <si>
    <t xml:space="preserve">- Use of moving average on mosquito data may inflate performance
- Did not account for mosquito control measures
- Zero-inflated data issues
- Bias due to differing trap efficiency (LED vs black-light traps)</t>
  </si>
  <si>
    <t xml:space="preserve">TRANSBOUNDARY AND EMERGING DISEASES</t>
  </si>
  <si>
    <t xml:space="preserve">WILEY</t>
  </si>
  <si>
    <t xml:space="preserve">early warning system; machine learning model; mosquito abundance; nowcasting; Plasmodium vivax malaria</t>
  </si>
  <si>
    <t xml:space="preserve">DYNAMICS</t>
  </si>
  <si>
    <t xml:space="preserve">[Chang, Taehee; Choi, Saebom; Cho, Sung-il] Seoul Natl Univ, Grad Sch Publ Hlth, Dept Publ Hlth Sci, Seoul, South Korea; [Jun, Hojong] Kangwon Natl Univ, Sch Med, Dept Med Environm Biol &amp; Trop Med, Chunchon, South Korea; [Chai, Jong-Yil] Seoul Natl Univ, Dept Trop Med &amp; Parasitol, Coll Med, Seoul, South Korea; [Song, Sang Hoon] Seoul Natl Univ, Coll Med &amp; Hosp, Dept Lab Med, Seoul, South Korea; [Kim, Sehyeon] Medipeace Peru Off, Lima, Peru; [Yeom, Joon-Sup] Yonsei Univ, Dept Internal Med, Coll Med, Seoul, South Korea; [Cho, Sung-il] Seoul Natl Univ, Inst Hlth &amp; Environm, Seoul, South Korea; [Min, Kyung-Duk] Chungbuk Natl Univ, Coll Vet Med, Cheongju, South Korea</t>
  </si>
  <si>
    <t xml:space="preserve">Seoul National University (SNU); Kangwon National University; Seoul National University (SNU); Seoul National University (SNU); Yonsei University; Yonsei University Health System; Seoul National University (SNU); Chungbuk National University</t>
  </si>
  <si>
    <t xml:space="preserve">Min, KD (corresponding author), Chungbuk Natl Univ, Coll Vet Med, Cheongju, South Korea.</t>
  </si>
  <si>
    <t xml:space="preserve">kdmin@chungbuk.ac.kr</t>
  </si>
  <si>
    <t xml:space="preserve">Yeom, Joon/Q-5559-2019</t>
  </si>
  <si>
    <t xml:space="preserve">Korea Disease Control and Prevention Agency</t>
  </si>
  <si>
    <t xml:space="preserve">This research was supported by a National Research Foundation of Korea (NRF) grant funded by the Korea government (MSIT) (Grant NRF-2021R1C1C2012611). This study was also supported by the Korea Disease Control and Prevention Agency (Grant 6300-6331-311).</t>
  </si>
  <si>
    <t xml:space="preserve">HOBOKEN</t>
  </si>
  <si>
    <t xml:space="preserve">111 RIVER ST, HOBOKEN 07030-5774, NJ USA</t>
  </si>
  <si>
    <t xml:space="preserve">1865-1674</t>
  </si>
  <si>
    <t xml:space="preserve">1865-1682</t>
  </si>
  <si>
    <t xml:space="preserve">TRANSBOUND EMERG DIS</t>
  </si>
  <si>
    <t xml:space="preserve">Transbound. Emerg. Dis.</t>
  </si>
  <si>
    <t xml:space="preserve">10.1155/tbed/9959287</t>
  </si>
  <si>
    <t xml:space="preserve">Infectious Diseases; Veterinary Sciences</t>
  </si>
  <si>
    <t xml:space="preserve">S5A7U</t>
  </si>
  <si>
    <t xml:space="preserve">hybrid</t>
  </si>
  <si>
    <t xml:space="preserve">WOS:001398354600001</t>
  </si>
  <si>
    <t xml:space="preserve">Bamorovat, M; Sharifi, I; Tahmouresi, A; Afshari, SAK; Rashedi, E</t>
  </si>
  <si>
    <t xml:space="preserve">Bamorovat, Mehdi; Sharifi, Iraj; Tahmouresi, Amirhossein; Afshari, Setareh Agha Kuchak; Rashedi, Esmat</t>
  </si>
  <si>
    <t xml:space="preserve">Unlocking Responsive and Unresponsive Signatures: A Transfer Learning Approach for Automated Classification in Cutaneous Leishmaniasis Lesions</t>
  </si>
  <si>
    <t xml:space="preserve">Cutaneous leishmaniasis (CL) remains a significant global public health disease, with the critical distinction and exact detection between responsive and unresponsive cases dictating treatment strategies and patient outcomes. However, image-based methods for differentiating these groups are unexplored. This study addresses this gap by developing a deep learning (DL) model utilizing transfer learning to automatically identify responses in CL lesions. A dataset of 102 lesion images (51 per class; equally distributed across train, test, and validation sets) is employed. The DenseNet161, VGG16, and ResNet18 networks, pretrained on a massive image dataset, are fine-tuned for our specific task. The models achieved an accuracy of 76.47%, 73.53%, and 55.88% on the test data, respectively, with a sensitivity of 80%, 75%, and 100% and specificity of 73.68%, 72.22%, and 53.12%, individually. Transfer learning successfully addressed the limited sample size challenge, demonstrating the models' potential for real-world application. This work underscores the significance of automated response detection in CL, paving the way for treatment and improved patient outcomes. While acknowledging limitations like the sample size, the need for collaborative efforts is emphasized to expand datasets and further refine the model. This approach stands as a beacon of hope in the contest against CL, illuminating the path toward a future where data-driven diagnostics guide effective treatment and alleviate the suffering of countless patients. Moreover, the study could be a turning point in eliminating this important global public health and widespread disease.</t>
  </si>
  <si>
    <t xml:space="preserve">image of cutaneous lesions</t>
  </si>
  <si>
    <t xml:space="preserve">Cutaneous Leishmaniasis</t>
  </si>
  <si>
    <t xml:space="preserve">CNN(DenseNet161, VGG16, ResNet18)</t>
  </si>
  <si>
    <t xml:space="preserve">- DenseNet161: Accuracy = 76.47%, Sensitivity = 80%, Specificity = 73.68%, F1 Score = 0.75
- VGG16: Accuracy = 73.53%
- ResNet18: Accuracy = 55.88%</t>
  </si>
  <si>
    <t xml:space="preserve">- Small sample size (only 102 images total)
-  Limited generalizability due to regional data
- Only image-based features used; no integration with clinical metadata</t>
  </si>
  <si>
    <t xml:space="preserve">IRAN</t>
  </si>
  <si>
    <t xml:space="preserve">[Bamorovat, Mehdi; Sharifi, Iraj] Kerman Univ Med Sci, Leishmaniasis Res Ctr, Kerman, Iran; [Tahmouresi, Amirhossein] Kerman Univ Med Sci, Machine Learning &amp; Modelling Expert, Kerman, Iran; [Afshari, Setareh Agha Kuchak] Kerman Univ Med Sci, Med Mycol &amp; Bacteriol Res Ctr, Kerman, Iran; [Rashedi, Esmat] Grad Univ Adv Technol, Fac Elect &amp; Comp Engn, Kerman, Iran</t>
  </si>
  <si>
    <t xml:space="preserve">Kerman University of Medical Sciences; Kerman University of Medical Sciences; Kerman University of Medical Sciences; Graduate University of Advanced Technology</t>
  </si>
  <si>
    <t xml:space="preserve">Sharifi, I (corresponding author), Kerman Univ Med Sci, Leishmaniasis Res Ctr, Kerman, Iran.;Tahmouresi, A (corresponding author), Kerman Univ Med Sci, Machine Learning &amp; Modelling Expert, Kerman, Iran.</t>
  </si>
  <si>
    <t xml:space="preserve">iraj.sharifi@yahoo.com; ce.tahmoursi@gmail.com</t>
  </si>
  <si>
    <t xml:space="preserve">Bamorovat, Mehdi/AAD-3051-2021; Sharifi, Iraj/AAY-8267-2020; afshari, setareh/AAE-1123-2019; Rashedi, Esmat/AAZ-7069-2020</t>
  </si>
  <si>
    <t xml:space="preserve">Rashedi, Esmat/0000-0002-2539-5817; Sharifi, Iraj/0000-0002-6894-6834</t>
  </si>
  <si>
    <t xml:space="preserve">Kerman University of Medical Sciences</t>
  </si>
  <si>
    <t xml:space="preserve">Kerman University of Medical Sciences(Kerman University of Medical Sciences)</t>
  </si>
  <si>
    <t xml:space="preserve">We would like to thank the patients for their cooperation and the health personnel at Dadbin Health Clinic for their help in conducting this study.</t>
  </si>
  <si>
    <t xml:space="preserve">10.1155/tbed/5018632</t>
  </si>
  <si>
    <t xml:space="preserve">S8B8J</t>
  </si>
  <si>
    <t xml:space="preserve">WOS:001400418900001</t>
  </si>
  <si>
    <t xml:space="preserve">Yelin, D; Shirin, N; Harris, I; Peretz, Y; Yahav, D; Schwartz, E; Leshem, E; Margalit, I</t>
  </si>
  <si>
    <t xml:space="preserve">Yelin, Dana; Shirin, Neta; Harris, Itai; Peretz, Yovel; Yahav, Dafna; Schwartz, Eli; Leshem, Eyal; Margalit, Ili</t>
  </si>
  <si>
    <t xml:space="preserve">Performance of ChatGPT-4o in the diagnostic workup of fever among returning travellers requiring hospitalization: a validation study</t>
  </si>
  <si>
    <t xml:space="preserve">Background Febrile illness in returned travellers presents a diagnostic challenge in non-endemic settings. Chat generative pretrained transformer (ChatGPT) has the potential to assist in medical tasks, yet its diagnostic performance in clinical settings has rarely been evaluated. We conducted a validation assessment of ChatGPT-4o's performance in the workup of fever in returning travellers.Methods We retrieved the medical records of returning travellers hospitalized with fever during 2009-2024. Their clinical scenarios at time of presentation to the emergency department were prompted to ChatGPT-4o, using a detailed uniform format. The model was further prompted with four consistent questions concerning the differential diagnosis and recommended workup. To avoid training, we kept the model blinded to the final diagnosis. Our primary outcome was ChatGPT-4o's success rates in predicting the final diagnosis when requested to specify the top three differential diagnoses. Secondary outcomes were success rates when prompted to specify the single most likely diagnosis, and all necessary diagnostics. We also assessed ChatGPT-4o as a predicting tool for malaria and qualitatively evaluated its failures.Results ChatGPT-4o predicted the final diagnosis in 68% [95% confidence interval (CI) 59-77%], 78% (95% CI 69-85%) and 83% (95% CI 74-89%) of the 114 cases, when prompted to specify the most likely diagnosis, top three diagnoses and all possible diagnoses, respectively. ChatGPT-4o showed a sensitivity of 100% (95% CI 93-100%) and a specificity of 94% (95% CI 85-98%) for predicting malaria. The model failed to provide the final diagnosis in 18% (20/114) of cases, primarily by failing to predict globally endemic infections (16/21, 76%).Conclusions ChatGPT-4o demonstrated high diagnostic accuracy when prompted with real-life scenarios of febrile returning travellers presenting to the emergency department, especially for malaria. Model training is expected to yield an improved performance and facilitate diagnostic decision-making in the field.</t>
  </si>
  <si>
    <t xml:space="preserve">Israel</t>
  </si>
  <si>
    <t xml:space="preserve">Electronic medical records</t>
  </si>
  <si>
    <t xml:space="preserve">– Malaria (P. falciparum, P. vivax, etc.)
– Dengue, Typhoid fever, Influenza, Leptospirosis, etc.</t>
  </si>
  <si>
    <t xml:space="preserve">Supervised learning via prompting of ChatGPT-4o</t>
  </si>
  <si>
    <t xml:space="preserve">ChatGPT-4o</t>
  </si>
  <si>
    <t xml:space="preserve">- Accuracy (Top-3 diagnosis): 78%
- Accuracy (Top-1 diagnosis): 68%
- For Malaria: Sensitivity = 100%, Specificity = 94%, AUROC = 97%, Kappa = 0.93</t>
  </si>
  <si>
    <t xml:space="preserve">- No model fine-tuning was done (zero-shot testing)
- Underpowered study: only 114 participants vs. 133 needed
- Limited generalizability: only Israeli residents included
- Model struggled with cosmopolitan infections (e.g., influenza, CMV, EBV)
- Prompt uniformity not representative of real-world interactions</t>
  </si>
  <si>
    <t xml:space="preserve">Article; Early Access</t>
  </si>
  <si>
    <t xml:space="preserve">JOURNAL OF TRAVEL MEDICINE</t>
  </si>
  <si>
    <t xml:space="preserve">OXFORD UNIV PRESS INC</t>
  </si>
  <si>
    <t xml:space="preserve">Tropical infections; malaria; artificial intelligence; generative AI; diagnostics; travel medicine</t>
  </si>
  <si>
    <t xml:space="preserve">EPIDEMIOLOGY</t>
  </si>
  <si>
    <t xml:space="preserve">[Yelin, Dana; Shirin, Neta; Yahav, Dafna; Leshem, Eyal; Margalit, Ili] Sheba Med Ctr, Infect Dis Unit, Ramat Gan, Israel; [Yelin, Dana; Yahav, Dafna; Schwartz, Eli; Leshem, Eyal; Margalit, Ili] Tel Aviv Univ, Fac Med &amp; Hlth Sci, Sch Med, POB 39040, IL-69978 Tel Aviv, Israel; [Harris, Itai] Sheba Med Ctr, Internal Med C, Ramat Gan, Israel; [Peretz, Yovel; Margalit, Ili] Sheba Med Ctr, Infect Control &amp; Prevent Unit, Ramat Gan, Israel; [Schwartz, Eli; Leshem, Eyal] Sheba Med Ctr, Ctr Geog Med, Ramat Gan, Israel</t>
  </si>
  <si>
    <t xml:space="preserve">Chaim Sheba Medical Center; Tel Aviv University; Chaim Sheba Medical Center; Chaim Sheba Medical Center; Chaim Sheba Medical Center</t>
  </si>
  <si>
    <t xml:space="preserve">Margalit, I (corresponding author), Sheba Med Ctr, Infect Dis Unit, Ramat Gan, Israel.;Margalit, I (corresponding author), Tel Aviv Univ, Fac Med &amp; Hlth Sci, Sch Med, POB 39040, IL-69978 Tel Aviv, Israel.;Margalit, I (corresponding author), Sheba Med Ctr, Infect Control &amp; Prevent Unit, Ramat Gan, Israel.</t>
  </si>
  <si>
    <t xml:space="preserve">dana.yelin@gmail.com; netashirin@yahoo.com; Itai.harris@sheba.health.gov.il; yovel.peretz@sheba.health.gov.il; dafna.yahav@gmail.com; elischwa@tauex.tau.ac.il; leshem@gmail.com; ilimargalit@gmail.com</t>
  </si>
  <si>
    <t xml:space="preserve">Yelin, Dana/0000-0002-0811-5756; Leshem, Eyal/0000-0003-1267-6131</t>
  </si>
  <si>
    <t xml:space="preserve">CARY</t>
  </si>
  <si>
    <t xml:space="preserve">JOURNALS DEPT, 2001 EVANS RD, CARY, NC 27513 USA</t>
  </si>
  <si>
    <t xml:space="preserve">1195-1982</t>
  </si>
  <si>
    <t xml:space="preserve">1708-8305</t>
  </si>
  <si>
    <t xml:space="preserve">J TRAVEL MED</t>
  </si>
  <si>
    <t xml:space="preserve">J. Travel Med.</t>
  </si>
  <si>
    <t xml:space="preserve">2025 FEB 7</t>
  </si>
  <si>
    <t xml:space="preserve">10.1093/jtm/taaf005</t>
  </si>
  <si>
    <t xml:space="preserve">FEB 2025</t>
  </si>
  <si>
    <t xml:space="preserve">Public, Environmental &amp; Occupational Health; Infectious Diseases; Medicine, General &amp; Internal</t>
  </si>
  <si>
    <t xml:space="preserve">Public, Environmental &amp; Occupational Health; Infectious Diseases; General &amp; Internal Medicine</t>
  </si>
  <si>
    <t xml:space="preserve">U9Z9Q</t>
  </si>
  <si>
    <t xml:space="preserve">WOS:001415296000001</t>
  </si>
  <si>
    <t xml:space="preserve">Chua, RSCS; Henderson, KA; de Guzman, LMC; Foss, V; Schub, N; Bell, C; Medina, JRC; Siao, TG; Mistica, MS; Belleza, MLB; Modequillo, MCR; Torres, NJC; Belizario , VY Jr</t>
  </si>
  <si>
    <t xml:space="preserve">Chua, Rupert Stephen Charles S.; Henderson, Kiersten A.; de Guzman, Lorenzo Maria C.; Foss, Vicki; Schub, Nathaniel; Bell, Cameron; Medina, John Robert C.; Siao, Taggart G.; Mistica, Myra S.; Belleza, Maria Luz B.; Modequillo, Marie Cris R.; Torres, Nadine Joyce C.; Belizario Jr, Vicente Y.</t>
  </si>
  <si>
    <t xml:space="preserve">Variability of interobserver interpretation of selected helminth ova in the development of a training image set</t>
  </si>
  <si>
    <t xml:space="preserve">Background: Diagnosis of soil-transmitted helminthiasis and schistosomiasis for surveillance relies on microscopic detection of ova in Kato-Katz (KK) prepared slides. Artificial intelligence (AI)-based platforms for parasitic eggs may be developed using a robust image set with defined labels by reference microscopists. This study aimed to determine interobserver variability among reference microscopists in identifying parasite ova. Methods: Images of parasite ova taken from KK prepared slides were labelled according to species by two reference microscopists (M1 and M2). A third reference microscopist (M3) labelled images when the first two did not agree. Frequency, percent agreement, kappa statistics and variability score (VS) were generated for analysis. Results: M1 and M2 agreed on 89.24% of the labelled images (kappa=0.86, p&lt;0.001). M3 had agreement with M1 and M2 (kappa=0.30, p&lt;0.001 and kappa=0.28, p&lt;0.001), resolving 89.29% of disagreement between them. The labelling of Schistosoma japonicum had the highest VS (kappa=0.487, p=0.101) among the targeted ova. Reference microscopists were able to reliably reach consensus in 99.0% of the dataset. Conclusions: Training AI using this image set may provide more objective and reliable readings compared with that of reference microscopists.</t>
  </si>
  <si>
    <t xml:space="preserve">Philippines, USA</t>
  </si>
  <si>
    <t xml:space="preserve">Microscopy image data </t>
  </si>
  <si>
    <t xml:space="preserve">Helminth infections</t>
  </si>
  <si>
    <t xml:space="preserve">-</t>
  </si>
  <si>
    <t xml:space="preserve">- Cohen’s Kappa: M1 vs M2 = 0.86 (very good agreement); M1 vs M3 = 0.30, M2 vs M3 = 0.28
- Overall agreement: 89.24% between M1 and M2</t>
  </si>
  <si>
    <t xml:space="preserve">- No intra-observer reliability tested
- No ML model evaluated yet
- Disagreements on rare ova types (e.g., S. japonicum)
- Possible labeling fatigue or misclicks during annotation</t>
  </si>
  <si>
    <t xml:space="preserve">INTERNATIONAL HEALTH</t>
  </si>
  <si>
    <t xml:space="preserve">OXFORD UNIV PRESS</t>
  </si>
  <si>
    <t xml:space="preserve">artificial intelligence; interobserver variability; schistosomiasis; soil-transmitted helminths</t>
  </si>
  <si>
    <t xml:space="preserve">SOIL-TRANSMITTED HELMINTH; INFECTIONS; DIAGNOSIS</t>
  </si>
  <si>
    <t xml:space="preserve">[Chua, Rupert Stephen Charles S.; de Guzman, Lorenzo Maria C.; Siao, Taggart G.; Belizario Jr, Vicente Y.] Univ Philippines Manila, NIH, Neglected Trop Dis Study Grp, Manila, Philippines; [Henderson, Kiersten A.; Foss, Vicki; Schub, Nathaniel; Bell, Cameron] Parasite ID Corp, Seattle, WA 98104 USA; [Medina, John Robert C.] Univ Philippines, NIH, Inst Clin Epidemiol, Manila, Philippines; [Mistica, Myra S.; Belleza, Maria Luz B.; Belizario Jr, Vicente Y.] Univ Philippines Manila, Coll Publ Hlth, Dept Parasitol, Manila, Philippines; [Modequillo, Marie Cris R.] Davao Ctr Hlth Dev, Dept Hlth, Davao, Philippines; [Torres, Nadine Joyce C.] Caraga Ctr Hlth Dev, Dept Hlth, Butuan City, Philippines</t>
  </si>
  <si>
    <t xml:space="preserve">University of the Philippines System; University of the Philippines Manila; University of the Philippines System; University of the Philippines Manila; University of the Philippines System; University of the Philippines Manila; Philippine Department Health</t>
  </si>
  <si>
    <t xml:space="preserve">Belizario , VY Jr (corresponding author), Univ Philippines Manila, NIH, Neglected Trop Dis Study Grp, Manila, Philippines.;Henderson, KA (corresponding author), Parasite ID Corp, Seattle, WA 98104 USA.;Belizario , VY Jr (corresponding author), Univ Philippines Manila, Coll Publ Hlth, Dept Parasitol, Manila, Philippines.</t>
  </si>
  <si>
    <t xml:space="preserve">kiersten.henderson@gmail.com; vybelizario@up.edu.ph</t>
  </si>
  <si>
    <t xml:space="preserve">Medina, John Robert/AGL-6564-2022</t>
  </si>
  <si>
    <t xml:space="preserve">Chua, Rupert Stephen Charles/0009-0009-9009-8817</t>
  </si>
  <si>
    <t xml:space="preserve">National Institutes of Health; Agusan del Sur Provincial Health Office; Agusan del Sur</t>
  </si>
  <si>
    <t xml:space="preserve">National Institutes of Health(United States Department of Health &amp; Human ServicesNational Institutes of Health (NIH) - USA); Agusan del Sur Provincial Health Office; Agusan del Sur</t>
  </si>
  <si>
    <t xml:space="preserve">The research team would like to acknowledge the Department of Health-Davao Center for Health Development, Department of Health-Center for Health Development Caraga, Davao Del Norte Provincial Health Office, Agusan del Sur Provincial Health Office, the LGUs of Kapalong, Davao del Norte, Bunawan and Trento, Agusan del Sur and Floridablanca, Pampanga and their rural health units, and the residents of the communities for their support and cooperation, without which the project could not have been completed.</t>
  </si>
  <si>
    <t xml:space="preserve">OXFORD</t>
  </si>
  <si>
    <t xml:space="preserve">GREAT CLARENDON ST, OXFORD OX2 6DP, ENGLAND</t>
  </si>
  <si>
    <t xml:space="preserve">1876-3413</t>
  </si>
  <si>
    <t xml:space="preserve">1876-3405</t>
  </si>
  <si>
    <t xml:space="preserve">INT HEALTH</t>
  </si>
  <si>
    <t xml:space="preserve">Int. Health</t>
  </si>
  <si>
    <t xml:space="preserve">2025 JAN 9</t>
  </si>
  <si>
    <t xml:space="preserve">10.1093/inthealth/ihae085</t>
  </si>
  <si>
    <t xml:space="preserve">Public, Environmental &amp; Occupational Health</t>
  </si>
  <si>
    <t xml:space="preserve">Science Citation Index Expanded (SCI-EXPANDED); Social Science Citation Index (SSCI)</t>
  </si>
  <si>
    <t xml:space="preserve">R8Z9C</t>
  </si>
  <si>
    <t xml:space="preserve">WOS:001394269200001</t>
  </si>
  <si>
    <t xml:space="preserve">Topuz, K; Davazdahemami, B; Delen, D</t>
  </si>
  <si>
    <t xml:space="preserve">Topuz, Kazim; Davazdahemami, Behrooz; Delen, Dursun</t>
  </si>
  <si>
    <t xml:space="preserve">A Bayesian belief network-based analytics methodology for early-stage risk detection of novel diseases</t>
  </si>
  <si>
    <t xml:space="preserve">During a pandemic, medical specialists have substantial challenges in discovering and validating new disease risk factors and designing effective treatment strategies. Traditionally, this approach entails several clinical studies and trials that might last several years, during which strict preventive measures are enforced to manage the outbreak and limit the death toll. Advanced data analytics technologies, on the other hand, could be utilized to monitor and expedite the procedure. This research integrates evolutionary search algorithms, Bayesian belief networks, and innovative interpretation techniques to provide a comprehensive exploratory-descriptive-explanatory machine learning methodology to assist clinical decision-makers in responding promptly to pandemic scenarios. The proposed approach is illustrated through a case study in which the survival of COVID-19 patients is determined using inpatient and emergency department (ED) encounters from a real-world electronic health record database. Following an exploratory phase in which genetic algorithms are used to identify a set of the most critical chronic risk factors and their validation using descriptive tools based on the concept of Bayesian Belief Nets, the framework develops and trains a probabilistic graphical model to explain and predict patient survival (with an AUC of 0.92). Finally, a publicly available online, probabilistic decision support inference simulator was constructed to facilitate what-if analysis and aid general users and healthcare professionals in interpreting model findings. The results widely corroborate intensive and expensive clinical trial research assessments.</t>
  </si>
  <si>
    <t xml:space="preserve">USA, Turkey</t>
  </si>
  <si>
    <t xml:space="preserve">United States </t>
  </si>
  <si>
    <t xml:space="preserve">Electronic health records (EHR)</t>
  </si>
  <si>
    <t xml:space="preserve">COVID-19</t>
  </si>
  <si>
    <t xml:space="preserve">Supervised learning
- Evolutionary search (Genetic Algorithm)
-  Bayesian network modeling</t>
  </si>
  <si>
    <t xml:space="preserve">- Genetic Algorithm  for feature selection
- Bayesian Belief Network – specifically a Tree-Augmented Naïve Bayes (TAN) structure</t>
  </si>
  <si>
    <t xml:space="preserve">- Mean ROC AUC:
• K-Fold CV: 85.85%
• Bootstrap: 90.78%
- Precision: up to 91.34%
- Reliability: up to 90.38%</t>
  </si>
  <si>
    <t xml:space="preserve">- Single-source dataset (Cerner HealthFacts), limiting generalizability
- No external validation
- High-dimensionality and complexity of EHR data</t>
  </si>
  <si>
    <t xml:space="preserve">ANNALS OF OPERATIONS RESEARCH</t>
  </si>
  <si>
    <t xml:space="preserve">SPRINGER</t>
  </si>
  <si>
    <t xml:space="preserve">Pandemic; Risk assessment; Bayesian network; Explainable machine learning; Comorbidity</t>
  </si>
  <si>
    <t xml:space="preserve">FEATURE-SELECTION; ZIKA VIRUS; COVID-19; METAANALYSIS; PERFORMANCE; VALIDATION; MORTALITY; INFLUENZA; OUTCOMES; DEATH</t>
  </si>
  <si>
    <t xml:space="preserve">[Topuz, Kazim] Univ Tulsa, Collins Coll Business, Sch Finance &amp; Operat Management, Tulsa, OK USA; [Davazdahemami, Behrooz] Univ Wisconsin, Dept IT &amp; Supply Chain Management, 809 W Starin Rd,Hyland Hall 1222, Whitewater, WI 53190 USA; [Delen, Dursun] Oklahoma State Univ, Ctr Hlth Syst Innovat, Spears Sch Business, Stillwater, OK USA; [Delen, Dursun] Istinye Univ, Fac Engn &amp; Nat Sci, Istanbul, Turkiye</t>
  </si>
  <si>
    <t xml:space="preserve">University of Tulsa; University of Wisconsin System; Oklahoma State University System; Oklahoma State University - Stillwater; Istinye University</t>
  </si>
  <si>
    <t xml:space="preserve">Davazdahemami, B (corresponding author), Univ Wisconsin, Dept IT &amp; Supply Chain Management, 809 W Starin Rd,Hyland Hall 1222, Whitewater, WI 53190 USA.</t>
  </si>
  <si>
    <t xml:space="preserve">kat0141@utulsa.edu; davazdab@uww.edu; dursun.delen@okstate.edu</t>
  </si>
  <si>
    <t xml:space="preserve">Davazdahemami, Behrooz/AAS-7496-2020; Delen, Dursun/AGA-9892-2022; Delen, Dursun/O-6938-2015; Topuz, Kazim/K-8287-2014</t>
  </si>
  <si>
    <t xml:space="preserve">Delen, Dursun/0000-0001-8857-5148; Davazdahemami, Behrooz/0000-0003-2885-6014; Topuz, Kazim/0000-0001-7990-5475</t>
  </si>
  <si>
    <t xml:space="preserve">DORDRECHT</t>
  </si>
  <si>
    <t xml:space="preserve">VAN GODEWIJCKSTRAAT 30, 3311 GZ DORDRECHT, NETHERLANDS</t>
  </si>
  <si>
    <t xml:space="preserve">0254-5330</t>
  </si>
  <si>
    <t xml:space="preserve">1572-9338</t>
  </si>
  <si>
    <t xml:space="preserve">ANN OPER RES</t>
  </si>
  <si>
    <t xml:space="preserve">Ann. Oper. Res.</t>
  </si>
  <si>
    <t xml:space="preserve">OCT</t>
  </si>
  <si>
    <t xml:space="preserve">10.1007/s10479-023-05377-4</t>
  </si>
  <si>
    <t xml:space="preserve">MAY 2023</t>
  </si>
  <si>
    <t xml:space="preserve">Operations Research &amp; Management Science</t>
  </si>
  <si>
    <t xml:space="preserve">K4H4R</t>
  </si>
  <si>
    <t xml:space="preserve">Green Published, Bronze</t>
  </si>
  <si>
    <t xml:space="preserve">WOS:000989804500001</t>
  </si>
  <si>
    <t xml:space="preserve">SI</t>
  </si>
  <si>
    <t xml:space="preserve">Behnam, MAM; Klein, CD</t>
  </si>
  <si>
    <t xml:space="preserve">Behnam, Mira A. M.; Klein, Christian D.</t>
  </si>
  <si>
    <t xml:space="preserve">Alternate recognition by dengue protease: Proteolytic and binding assays provide functional evidence beyond an induced-fit</t>
  </si>
  <si>
    <t xml:space="preserve">Proteases are key enzymes in viral replication, and interfering with these targets is the basis for therapeutic interventions. We previously introduced a hypothesis about conformational selection in the protease of dengue virus and related flaviviruses, based on conformational plasticity noted in X-ray structures. The present work presents the first functional evidence for alternate recognition by the dengue protease, in a mechanism based primarily on conformational selection rather than induced-fit. Recognition of distinct substrates and inhibitors in proteolytic and binding assays varies to a different extent, depending on factors reported to influence the protease structure. The pH, salinity, buffer type, and temperature cause a change in binding, proteolysis, or inhibition behavior. Using representative inhibitors with distinct structural scaffolds, we identify two contrasting binding profiles to dengue protease. Noticeable effects are observed in the binding assay upon inclusion of a non-ionic detergent in comparison to the proteolytic assay. The findings highlight the impact of the selection of testing conditions on the observed ligand affinity or inhibitory potency. From a broader scope, the dengue protease presents an example, where the induced-fit paradigm appears insufficient to explain binding events with the biological target. Furthermore, this protein reveals the complexity of comparing or combining biochemical assay data obtained under different conditions. This can be particularly critical for artificial intelligence (AI) approaches in drug discovery that rely on large datasets of compounds activity, compiled from different sources using non-identical testing procedures. In such cases, mismatched results will compromise the model quality and its predictive power. (c) 2024 The Authors. Published by Elsevier B.V. This is an open access article under the CC BY-NC-ND license (http://creativecommons.org/licenses/by-nc-nd/4.0/).</t>
  </si>
  <si>
    <t xml:space="preserve">Germany</t>
  </si>
  <si>
    <t xml:space="preserve">Biochemical assay data</t>
  </si>
  <si>
    <t xml:space="preserve">Dengue virus infection</t>
  </si>
  <si>
    <t xml:space="preserve">- High sensitivity to assay conditions (pH, temperature, buffer, detergent)
- No clinical data used
- Findings challenge consistency in public datasets, posing problems for AI model training.</t>
  </si>
  <si>
    <t xml:space="preserve">BIOCHIMIE</t>
  </si>
  <si>
    <t xml:space="preserve">ELSEVIER FRANCE-EDITIONS SCIENTIFIQUES MEDICALES ELSEVIER</t>
  </si>
  <si>
    <t xml:space="preserve">Dengue; Flavivirus; Recognition; Protease; Conformational selection; Induced-fit</t>
  </si>
  <si>
    <t xml:space="preserve">VIRUS NS2B-NS3 PROTEASE; ZIKA VIRUS; CONFORMATIONAL SELECTION; CRYSTAL-STRUCTURE; INHIBITORS; FLUORESCENCE; ACTIVATION; MECHANISMS; DISCOVERY; MODE</t>
  </si>
  <si>
    <t xml:space="preserve">[Behnam, Mira A. M.; Klein, Christian D.] Heidelberg Univ, Inst Pharm &amp; Mol Biotechnol, Med Chem, Neuenheimer Feld 364, D-69120 Heidelberg, Germany</t>
  </si>
  <si>
    <t xml:space="preserve">Ruprecht Karls University Heidelberg</t>
  </si>
  <si>
    <t xml:space="preserve">Klein, CD (corresponding author), Heidelberg Univ, Inst Pharm &amp; Mol Biotechnol, Med Chem, Neuenheimer Feld 364, D-69120 Heidelberg, Germany.</t>
  </si>
  <si>
    <t xml:space="preserve">c.klein@uni-heidelberg.de</t>
  </si>
  <si>
    <t xml:space="preserve">Behnam, Mira/AAM-1993-2021</t>
  </si>
  <si>
    <t xml:space="preserve">Behnam, Mira/0000-0002-5839-7675</t>
  </si>
  <si>
    <t xml:space="preserve">Volkswagen-Stiftung [9A836]; Deutsche Forschungsgemeinschaft [KL 1356/3]; German Center for Infection Research (DZIF) [TTU 01.911]</t>
  </si>
  <si>
    <t xml:space="preserve">Volkswagen-Stiftung(Volkswagen); Deutsche Forschungsgemeinschaft(German Research Foundation (DFG)); German Center for Infection Research (DZIF)</t>
  </si>
  <si>
    <t xml:space="preserve">We appreciate the synthesis of inhibitor 1 by Dr. Mascha Dieckmann at the Chemical Biology Core Facility, EMBL, Heidelberg. We thank Dr. Stefan Hinkes for synthetic optimization of the AMC substrate, Dr. Nikos Kuehl, Dr. Christian Gege and Yuxing Deng for provided inhibitors, and Katharina Eckstein for assistance in protein expression. We acknowledge valuable comments on the manuscript from Dr. Nikos Kuhl, Dr. Cheng Zhang, Johannes Lang and Leah Glanzmann. Furthermore, we thank Heiko Rudy for ESI-MS and LC/MS measurements, Tobias Timmermann for NMR measurements, and Natascha Stefan for technical assistance. C.K. acknowledges generous financial support from the Volkswagen-Stiftung for the project Preclinical development of antiviral protease inhibitors targeting flavi- and coronaviruses (9A836) . Multiple inhibitors reported in this work were obtained within a project supported by the Deutsche Forschungsgemeinschaft under grant No. KL 1356/3. The synthesis of inhibitor 1 was originally carried out in a project which received financial support by the German Center for Infection Research (DZIF, TTU 01.911) .</t>
  </si>
  <si>
    <t xml:space="preserve">ISSY-LES-MOULINEAUX</t>
  </si>
  <si>
    <t xml:space="preserve">65 RUE CAMILLE DESMOULINS, CS50083, 92442 ISSY-LES-MOULINEAUX, FRANCE</t>
  </si>
  <si>
    <t xml:space="preserve">0300-9084</t>
  </si>
  <si>
    <t xml:space="preserve">1638-6183</t>
  </si>
  <si>
    <t xml:space="preserve">Biochimie</t>
  </si>
  <si>
    <t xml:space="preserve">DEC</t>
  </si>
  <si>
    <t xml:space="preserve">10.1016/j.biochi.2024.06.002</t>
  </si>
  <si>
    <t xml:space="preserve">DEC 2024</t>
  </si>
  <si>
    <t xml:space="preserve">Biochemistry &amp; Molecular Biology</t>
  </si>
  <si>
    <t xml:space="preserve">O7T7C</t>
  </si>
  <si>
    <t xml:space="preserve">hybrid, Green Submitted</t>
  </si>
  <si>
    <t xml:space="preserve">WOS:001373110900001</t>
  </si>
  <si>
    <t xml:space="preserve">A</t>
  </si>
  <si>
    <t xml:space="preserve">Tuta-Quintero, E; Botero-Rosas, D; Bastidas-Goyes, A; Leon-Ariza, J; Guerrero, A; Agudelo, M; Valenzuela, N</t>
  </si>
  <si>
    <t xml:space="preserve">Tuta-Quintero, Eduardo; Botero-Rosas, Daniel; Bastidas-Goyes, Alirio; Leon-Ariza, Juan; Guerrero, Angela; Agudelo, Mauricio; Valenzuela, Natalia</t>
  </si>
  <si>
    <t xml:space="preserve">Application of artificial intelligence in the Prediction of Complications in patients with Malaria</t>
  </si>
  <si>
    <t xml:space="preserve">Introduction: This study aims to develop a neural network (NN) that can serve as a useful tool for early diagnosis of complicated malaria. Materials and methods: In this study, a feedforward NN was developed, incorporating 10 clinical variables in the input nodes, hidden layer, and output node. The data were included in the input layer. Various validation techniques such as V-cross, Random V-cross, Modified Holdout, and Proportional Percentage Sample were applied to train and validate the network using data from 412 patients. Results: The variables included in the analysis were mean arterial pressure, hemoglobin, leukocyte count, platelet count, total bilirubin, presence of dyspnea, vomiting, previous history of malaria, prior use of malaria medication, and persistent fever. The V-cross technique, Random V-cross Validation, Modified Holdout Validation, and Proportional Percentage Sample Validation were utilized to evaluate the performance of a NN in diagnosing malaria. Sensitivity values varied from 13% to 47%, with positive predictive value values ranging from 37% to 88%. Specificity remained consistently high, ranging from 79% to 90%. Discussion: Sensitivity, specificity, and positive predictive values varied across techniques: V-cross and random V-cross validation showed narrower sensitivity ranges with strong specificities, while modified holdout validation exhibited wider sensitivity variability.</t>
  </si>
  <si>
    <t xml:space="preserve">Colombia</t>
  </si>
  <si>
    <t xml:space="preserve">Clinical and paraclinical data</t>
  </si>
  <si>
    <t xml:space="preserve">Feedforward Neural Network (FFNN) </t>
  </si>
  <si>
    <t xml:space="preserve">- Sensitivity: 13–72%
- Specificity: 79–90%
- PPV: 37–88%
- NPV: 21–97%
- Accuracy: 79–90%</t>
  </si>
  <si>
    <t xml:space="preserve">- Imbalanced dataset (only 68 of 412 patients had complications)
- Possible bias from using training data during internal validation
- No external validation or real-time clinical testing</t>
  </si>
  <si>
    <t xml:space="preserve">INFECTIO</t>
  </si>
  <si>
    <t xml:space="preserve">Colombian Assoc Infectology</t>
  </si>
  <si>
    <t xml:space="preserve">Artificial intelligence; Malaria; Diagnosis</t>
  </si>
  <si>
    <t xml:space="preserve">RAPID DIAGNOSTIC-TEST</t>
  </si>
  <si>
    <t xml:space="preserve">[Tuta-Quintero, Eduardo; Botero-Rosas, Daniel; Bastidas-Goyes, Alirio; Leon-Ariza, Juan; Valenzuela, Natalia] Univ Sabana, Sch Med, Chia, Colombia; [Guerrero, Angela; Agudelo, Mauricio] Univ Sabana, Sch Engn, Cundinamarca, Colombia</t>
  </si>
  <si>
    <t xml:space="preserve">Universidad de La Sabana; Universidad de La Sabana</t>
  </si>
  <si>
    <t xml:space="preserve">Botero-Rosas, D (corresponding author), Univ Sabana, Sch Med, Chia, Colombia.</t>
  </si>
  <si>
    <t xml:space="preserve">daniel.botero@unisabana.edu.co</t>
  </si>
  <si>
    <t xml:space="preserve">Goyes, Alirio/AAB-6378-2019</t>
  </si>
  <si>
    <t xml:space="preserve">Universidad de La Sabana [MED-237-2018]</t>
  </si>
  <si>
    <t xml:space="preserve">Universidad de La Sabana</t>
  </si>
  <si>
    <t xml:space="preserve">Universidad de La Sabana (Grant: MED-237-2018).</t>
  </si>
  <si>
    <t xml:space="preserve">Bogota</t>
  </si>
  <si>
    <t xml:space="preserve">Cra 15 N 118-03 office 503, Bogota, COLOMBIA</t>
  </si>
  <si>
    <t xml:space="preserve">0123-9392</t>
  </si>
  <si>
    <t xml:space="preserve">2422-3794</t>
  </si>
  <si>
    <t xml:space="preserve">INFECTIO-COLOMBIA</t>
  </si>
  <si>
    <t xml:space="preserve">JUN</t>
  </si>
  <si>
    <t xml:space="preserve">Emerging Sources Citation Index (ESCI)</t>
  </si>
  <si>
    <t xml:space="preserve">P5N2D</t>
  </si>
  <si>
    <t xml:space="preserve">WOS:001378367500006</t>
  </si>
  <si>
    <t xml:space="preserve">Shafqat, R; Alsaadi, A</t>
  </si>
  <si>
    <t xml:space="preserve">Shafqat, Ramsha; Alsaadi, Ateq</t>
  </si>
  <si>
    <t xml:space="preserve">Artificial neural networks for stability analysis and simulation of delayed rabies spread models</t>
  </si>
  <si>
    <t xml:space="preserve">Rabies remains a significant public health challenge, particularly in areas with substantial dog populations, necessitating a deeper understanding of its transmission dynamics for effective control strategies. This study addressed the complexity of rabies spread by integrating two critical delay effects-vaccination efficacy and incubation duration-into a delay differential equations model, capturing more realistic infection patterns between dogs and humans. To explore the multifaceted drivers of transmission, we applied a novel framework using piecewise derivatives that incorporated singular and non-singular kernels, allowing for nuanced insights into crossover dynamics. The existence and uniqueness of solutions was demonstrated using fixed-point theory within the context of piecewise derivatives and integrals. We employed a piecewise numerical scheme grounded in Newton interpolation polynomials to approximate solutions tailored to handle singular and nonsingular kernels. Additionally, we leveraged artificial neural networks to split the dataset into training, testing, and validation sets, conducting an in-depth analysis across these subsets. This approach aimed to expand our understanding of rabies transmission, illustrating the potential of advanced mathematical tools and machine learning in epidemiological modeling.</t>
  </si>
  <si>
    <t xml:space="preserve">Pakistan and Saudi Arabia</t>
  </si>
  <si>
    <t xml:space="preserve">Simulated epidemiological data</t>
  </si>
  <si>
    <t xml:space="preserve">Rabies</t>
  </si>
  <si>
    <t xml:space="preserve">Artificial Neural Network (ANN)</t>
  </si>
  <si>
    <t xml:space="preserve">MSE: 5.2036e−13</t>
  </si>
  <si>
    <t xml:space="preserve">- No real-world rabies data used – only simulated data
- Computational complexity due to integration of fractional calculus and neural networks
- Interpretability of ANN not addressed</t>
  </si>
  <si>
    <t xml:space="preserve">AIMS MATHEMATICS</t>
  </si>
  <si>
    <t xml:space="preserve">AMER INST MATHEMATICAL SCIENCES-AIMS</t>
  </si>
  <si>
    <t xml:space="preserve">rabies spread model; piecewise derivative; Caputo derivative; Atangana-Baleanu-Caputo derivative; newton polynomials numerical method; artificial neural network</t>
  </si>
  <si>
    <t xml:space="preserve">TRANSMISSION</t>
  </si>
  <si>
    <t xml:space="preserve">[Shafqat, Ramsha] Univ Lahore, Dept Math &amp; Stat, Sargodha 40100, Pakistan; [Alsaadi, Ateq] Taif Univ, Coll Sci, Dept Math &amp; Stat, POB 11099, Taif 21944, Saudi Arabia</t>
  </si>
  <si>
    <t xml:space="preserve">Taif University</t>
  </si>
  <si>
    <t xml:space="preserve">Shafqat, R (corresponding author), Univ Lahore, Dept Math &amp; Stat, Sargodha 40100, Pakistan.</t>
  </si>
  <si>
    <t xml:space="preserve">ramshawarriach@gmail.com</t>
  </si>
  <si>
    <t xml:space="preserve">Alsaadi, Ateq/ABB-6173-2022; Shafqat, Ramsha/GVT-4625-2022</t>
  </si>
  <si>
    <t xml:space="preserve">Taif University, Saudi Arabia [TU-DSPP-2024-259]</t>
  </si>
  <si>
    <t xml:space="preserve">Taif University, Saudi Arabia(Taif University)</t>
  </si>
  <si>
    <t xml:space="preserve">The authors extend their appreciation to Taif University, Saudi Arabia, for supporting this work through project number (TU-DSPP-2024-259) .</t>
  </si>
  <si>
    <t xml:space="preserve">SPRINGFIELD</t>
  </si>
  <si>
    <t xml:space="preserve">PO BOX 2604, SPRINGFIELD, MO 65801-2604, UNITED STATES</t>
  </si>
  <si>
    <t xml:space="preserve">2473-6988</t>
  </si>
  <si>
    <t xml:space="preserve">AIMS MATH</t>
  </si>
  <si>
    <t xml:space="preserve">Mathematics, Applied; Mathematics</t>
  </si>
  <si>
    <t xml:space="preserve">Mathematics</t>
  </si>
  <si>
    <t xml:space="preserve">N5T2E</t>
  </si>
  <si>
    <t xml:space="preserve">WOS:001364953500005</t>
  </si>
  <si>
    <t xml:space="preserve">Vanderboom, PM; Misra, A; Rodino, KG; Eberly, AR; Greenwood, JD; Morris, HE; Norrie, FC; Fernholz, EC; Pritt, BS; Norgan, AP</t>
  </si>
  <si>
    <t xml:space="preserve">Vanderboom, Patrick M.; Misra, Anisha; Rodino, Kyle G.; Eberly, Allison R.; Greenwood, Jason D.; Morris, Heather E.; Norrie, Felicity C.; Fernholz, Emily C.; Pritt, Bobbi S.; Norgan, Andrew P.</t>
  </si>
  <si>
    <t xml:space="preserve">Detection and quantification of Babesia species intraerythrocytic parasites by flow cytometry</t>
  </si>
  <si>
    <t xml:space="preserve">Objectives Recent work has demonstrated that automated fluorescence flow cytometry (FLC) is a potential alternative for the detection and quantification of Plasmodium parasites. The objective of this study was to apply this novel FLC method to detect and quantify Babesia parasites in venous blood and compare results to light microscopy and polymerase chain reaction methods.Methods An automated hematology/malaria analyzer (XN-31; Sysmex) was used to detect and quantify B microti-infected red blood cells from residual venous blood samples (n = 250: Babesia positive, n = 170; Babesia negative, n = 80). As no instrument software currently exists for Babesia, qualitative and quantitative machine learning (ML) algorithms were developed to facilitate analysis.Results Performance of the ML models was verified against the XN-31 software using P falciparum-infected samples. When applied to Babesia-infected samples, the qualitative ML model demonstrated an area under the curve (AUC) of 0.956 (sensitivity, 95.9%; specificity, 83.3%) relative to polymerase chain reaction. For valid scattergrams, the qualitive model achieved an AUC of 1.0 (sensitivity and specificity, 100%), while the quantitative model demonstrated an AUC of 0.986 (sensitivity, 94.4%; specificity, 100%).Conclusions This investigation demonstrates that Babesia parasites can be detected and quantified directly from venous blood using FLC. Although promising, opportunities remain to improve the general applicability of the method.</t>
  </si>
  <si>
    <t xml:space="preserve">USA</t>
  </si>
  <si>
    <t xml:space="preserve">Laboratory blood data and flow cytometry imaging data</t>
  </si>
  <si>
    <t xml:space="preserve">Babesiosis</t>
  </si>
  <si>
    <t xml:space="preserve">- Quantitative model: trained with XGBoost on cell classification (infected RBCs, WBCs, debris)
- Qualitative model: ensemble ML model (Random Forest + XGBoost via SuperLearner)</t>
  </si>
  <si>
    <t xml:space="preserve">- Quantitative Babesia model (vs. PCR): AUC = 0.986, Sensitivity = 94.4%, Specificity = 100%
- Qualitative model: AUC = 0.956, Sensitivity = 95.9%, Specificity = 83.3%
- R² correlation with LM: 0.906 (quantitative parasitemia prediction)</t>
  </si>
  <si>
    <t xml:space="preserve">- High rate (∼49%) of indeterminate samples flagged by the XN-31 instrument
- Lower correlation with LM at low parasitemia
- No prospective clinical validation
- Variability due to sample storage and pre-analytical factors (delayed transport, dilution)</t>
  </si>
  <si>
    <t xml:space="preserve">AMERICAN JOURNAL OF CLINICAL PATHOLOGY</t>
  </si>
  <si>
    <t xml:space="preserve">Babesia; malaria; flow cytometry; FLC; machine learning; ML</t>
  </si>
  <si>
    <t xml:space="preserve">PLASMODIUM-FALCIPARUM GROWTH; CLINICAL-PRACTICE; THERAPEUTIC APHERESIS; WRITING COMMITTEE; AMERICAN SOCIETY; MALARIA; DIAGNOSIS; GUIDELINES; ERYTHROCYTES; ORANGE</t>
  </si>
  <si>
    <t xml:space="preserve">[Vanderboom, Patrick M.; Misra, Anisha; Rodino, Kyle G.; Eberly, Allison R.; Greenwood, Jason D.; Morris, Heather E.; Norrie, Felicity C.; Fernholz, Emily C.; Pritt, Bobbi S.; Norgan, Andrew P.] Mayo Clin, Dept Lab Med &amp; Pathol, Rochester, MN 55905 USA</t>
  </si>
  <si>
    <t xml:space="preserve">Mayo Clinic</t>
  </si>
  <si>
    <t xml:space="preserve">Norgan, AP (corresponding author), Mayo Clin, Dept Lab Med &amp; Pathol, Rochester, MN 55905 USA.</t>
  </si>
  <si>
    <t xml:space="preserve">norgan.andrew@mayo.edu</t>
  </si>
  <si>
    <t xml:space="preserve">Vanderboom, Patrick/0000-0003-1341-1733</t>
  </si>
  <si>
    <t xml:space="preserve">Sysmex</t>
  </si>
  <si>
    <t xml:space="preserve">Sysmex provided the instrument and instrument reagents used in this work.</t>
  </si>
  <si>
    <t xml:space="preserve">0002-9173</t>
  </si>
  <si>
    <t xml:space="preserve">1943-7722</t>
  </si>
  <si>
    <t xml:space="preserve">AM J CLIN PATHOL</t>
  </si>
  <si>
    <t xml:space="preserve">Am. J. Clin. Pathol.</t>
  </si>
  <si>
    <t xml:space="preserve">MAY 2</t>
  </si>
  <si>
    <t xml:space="preserve">10.1093/ajcp/aqad168</t>
  </si>
  <si>
    <t xml:space="preserve">DEC 2023</t>
  </si>
  <si>
    <t xml:space="preserve">Pathology</t>
  </si>
  <si>
    <t xml:space="preserve">PA6X1</t>
  </si>
  <si>
    <t xml:space="preserve">WOS:001126952000001</t>
  </si>
  <si>
    <t xml:space="preserve">Villamizar-Monsalve, MA; Sánchez-Montejo, J; López-Abán, J; Vicente, B; Marín, M; Fernández-Ceballos, N; Peláez, R; Muro, A</t>
  </si>
  <si>
    <t xml:space="preserve">Villamizar-Monsalve, Maria Alejandra; Sanchez-Montejo, Javier; Lopez-Aban, Julio; Vicente, Belen; Marin, Miguel; Fernandez-Ceballos, Noelia; Pelaez, Rafael; Muro, Antonio</t>
  </si>
  <si>
    <t xml:space="preserve">Development and Application of an In Vitro Drug Screening Assay for Schistosoma mansoni Schistosomula Using YOLOv5</t>
  </si>
  <si>
    <t xml:space="preserve">Background: Schistosomiasis impacts over 230 million people globally, with 251.4 million needing treatment. The disease causes intestinal and urinary symptoms, such as hepatic fibrosis, hepatomegaly, splenomegaly, and bladder calcifications. While praziquantel (PZQ) is the primary treatment, its effectiveness against juvenile stages (schistosomula) is limited, highlighting the need for new therapeutic agents, repurposed drugs, or reformulated compounds. Existing microscopy methods for assessing schistosomula viability are labor-intensive, subjective, and time-consuming. Methods: An artificial intelligence (AI)-assisted culture system using YOLOv5 was developed to evaluate compounds against Schistosoma mansoni schistosomula. The AI model, based on object detection, was trained on 4390 images distinguishing between healthy and damaged schistosomula. The system was externally validated against human counters, and a small-scale assay was performed to demonstrate its potential for larger-scale assays in the future. Results: The AI model exhibited high accuracy, achieving a mean average precision (mAP) of 0.966 (96.6%) and effectively differentiating between healthy and damaged schistosomula. External validation demonstrated significantly improved accuracy and counting time compared to human counters. A small-scale assay was conducted to validate the system, identifying 28 potential compounds with schistosomicidal activity against schistosomula in vitro and providing their preliminary LC50 values. Conclusions: This AI-powered method significantly improves accuracy and time efficiency compared to traditional microscopy. It enables the evaluation of compounds for potential schistosomiasis drugs without the need for dyes or specialized equipment, facilitating more efficient drug assessment.</t>
  </si>
  <si>
    <t xml:space="preserve">Spain</t>
  </si>
  <si>
    <t xml:space="preserve">Microscopy image data</t>
  </si>
  <si>
    <t xml:space="preserve">Schistosomiasis</t>
  </si>
  <si>
    <t xml:space="preserve"> YOLOv5</t>
  </si>
  <si>
    <t xml:space="preserve">- Mean Average Precision (mAP@0.5): 0.966 (96.6%)
- Precision: 94.6%
- Recall: 91.7%
- LC₅₀ estimation error margin compared to humans: ≤ ±0.1 µM</t>
  </si>
  <si>
    <t xml:space="preserve">- Motility not evaluated (only morphology)
- Analysis works on static images only
- No in vivo validation yet</t>
  </si>
  <si>
    <t xml:space="preserve">BIOMEDICINES</t>
  </si>
  <si>
    <t xml:space="preserve">schistosomiasis; Schistosoma mansoni; schistosomula; drug screening; artificial intelligence</t>
  </si>
  <si>
    <t xml:space="preserve">DISCOVERY; DIAGNOSIS</t>
  </si>
  <si>
    <t xml:space="preserve">[Villamizar-Monsalve, Maria Alejandra; Sanchez-Montejo, Javier; Lopez-Aban, Julio; Vicente, Belen; Muro, Antonio] Univ Salamanca, Biomed Res Inst Salamanca, Fac Pharm, Infect &amp; Trop Dis Res Grp E INTRO,Res Ctr Trop Dis, Salamanca 37007, Spain; [Marin, Miguel; Fernandez-Ceballos, Noelia; Pelaez, Rafael] Univ Salamanca, Biomed Res Inst Salamanca Res IBSAL, Fac Pharm, Organ &amp; Pharmaceut Chem Dept, Salamanca 37007, Spain</t>
  </si>
  <si>
    <t xml:space="preserve">University of Salamanca; University of Salamanca</t>
  </si>
  <si>
    <t xml:space="preserve">López-Abán, J (corresponding author), Univ Salamanca, Biomed Res Inst Salamanca, Fac Pharm, Infect &amp; Trop Dis Res Grp E INTRO,Res Ctr Trop Dis, Salamanca 37007, Spain.</t>
  </si>
  <si>
    <t xml:space="preserve">mavillamizar@usal.es; s.montejo@usal.es; jlaban@usal.es; belvi25@usal.es; mmarin@usal.es; nferceb@usal.es; pelaez@usal.es; ama@usal.es</t>
  </si>
  <si>
    <t xml:space="preserve">Lopez-Aban, Julio/B-3557-2015</t>
  </si>
  <si>
    <t xml:space="preserve">Lopez-Aban, Julio/0000-0001-8509-0727; Villamizar Monsalve, Maria Alejandra/0000-0001-8428-321X; Sanchez-Montejo, Javier/0000-0002-4227-9834; Muro, Antonio/0000-0003-0244-4740; MARIN FOLGADO, MIGUEL/0000-0001-8768-2507</t>
  </si>
  <si>
    <t xml:space="preserve">Doctoral Fellowship Program of Junta de Castilla y Leon; Fondo Social Europeo [ORDEN EDU/1868/2022, ORDEN EDU/875/2021, ORDEN EDU/601/2020]; Ministerio de Ciencia, Innovacion y Universidades (MCIN) funds [FPU22/04097]; Instituto de Salud Carlos III [PI22/01721]; MCIN/AEI; European Union [PID2022-136462NB-I00, PID2021-127471OB-I00]</t>
  </si>
  <si>
    <t xml:space="preserve">Doctoral Fellowship Program of Junta de Castilla y Leon; Fondo Social Europeo(European Social Fund (ESF)); Ministerio de Ciencia, Innovacion y Universidades (MCIN) funds; Instituto de Salud Carlos III(Instituto de Salud Carlos IIISpanish Government); MCIN/AEI; European Union(European Union (EU))</t>
  </si>
  <si>
    <t xml:space="preserve">This paper was funded by the Doctoral Fellowship Program of Junta de Castilla y Leon co-funded by Fondo Social Europeo (M.A.V.-M.: Resolucion ORDEN EDU/1868/2022, J.S.-M.: Resolucion ORDEN EDU/875/2021, M.M.: Resolucion ORDEN EDU/601/2020). Ministerio de Ciencia, Innovacion y Universidades (MCIN) funds N.F.-C.: FPU22/04097. Instituto de Salud Carlos III grant PI22/01721 (A.M., J.L.-A.), MCIN/AEI/doi 10.13039/501100011033 co-founded by the European Union, grant PID2022-136462NB-I00 (A.M., B.V.) and MCIN/AEI/doi 10.13039/501100011033 co-founded by European Union grant PID2021-127471OB-I00 (J.L.-A., R.P.) Rafael Pelaez (R.P.) is the Principal Researcher of the project PID2021-127471OB-I00. All authors have read and agreed to the published version of the manuscript.</t>
  </si>
  <si>
    <t xml:space="preserve">BASEL</t>
  </si>
  <si>
    <t xml:space="preserve">ST ALBAN-ANLAGE 66, CH-4052 BASEL, SWITZERLAND</t>
  </si>
  <si>
    <t xml:space="preserve">2227-9059</t>
  </si>
  <si>
    <t xml:space="preserve">Biomedicines</t>
  </si>
  <si>
    <t xml:space="preserve">10.3390/biomedicines12122894</t>
  </si>
  <si>
    <t xml:space="preserve">Biochemistry &amp; Molecular Biology; Medicine, Research &amp; Experimental; Pharmacology &amp; Pharmacy</t>
  </si>
  <si>
    <t xml:space="preserve">Biochemistry &amp; Molecular Biology; Research &amp; Experimental Medicine; Pharmacology &amp; Pharmacy</t>
  </si>
  <si>
    <t xml:space="preserve">Q9G5B</t>
  </si>
  <si>
    <t xml:space="preserve">WOS:001387670900001</t>
  </si>
  <si>
    <t xml:space="preserve">Arrubla-Hoyos, W; Gómez, JG; De-La-Hoz-Franco, E</t>
  </si>
  <si>
    <t xml:space="preserve">Arrubla-Hoyos, Wilson; Gomez, Jorge Gomez; De-La-Hoz-Franco, Emiro</t>
  </si>
  <si>
    <t xml:space="preserve">Differential Classification of Dengue, Zika, and Chikungunya Using Machine Learning-Random Forest and Decision Tree Techniques</t>
  </si>
  <si>
    <t xml:space="preserve">Dengue, Zika, and chikungunya viruses pose a serious threat globally and circulate widely in America. These diseases share similar symptoms in their early stages, which can make early diagnosis difficult. In this study, two predictive models based on Decision Trees and Random Forests were developed to classify dengue, Zika, and chikungunya, with the aim of being supportive and easily interpretable for the medical community. To achieve this, a dataset was collected from a clinic in Sincelejo, Colombia, including the signs, symptoms, and laboratory results of these diseases. The Pan American Health Organization (PAHO) Diagnostic Guide 2022 methodology for the differential classification of dengue and chikungunya was applied by assigning evaluative weights to symptoms in the dataset. In addition, a bootstrapping resampling technique based on the central limit theorem was used to balance the target variable, and cross-validation was used to train the models. The main results were obtained with the Random Forest technique, achieving an accuracy of 99.7% for classifying chikungunya, 99.1% for dengue, and 98.8% for Zika. This study represents a significant advance in the differential prediction of these diseases through the use of automatic learning techniques and the integration of clinical and laboratory information.</t>
  </si>
  <si>
    <t xml:space="preserve">Clinical and laboratory data</t>
  </si>
  <si>
    <t xml:space="preserve">Dengue, Zika, and Chikungunya </t>
  </si>
  <si>
    <t xml:space="preserve">- Random Forest (RF)
- Decision Tree (DT)</t>
  </si>
  <si>
    <t xml:space="preserve">- RF: Accuracy = 99.3%, Precision = 99.8%, Recall = 99.9%, F1 = 99.9%
- DT: Accuracy = 96%, F1 = 96%</t>
  </si>
  <si>
    <t xml:space="preserve">- Small sample size (150 records initially, only 9 for chikungunya)
- Class imbalance (mitigated via bootstrapping)
- No external validation</t>
  </si>
  <si>
    <t xml:space="preserve">INFORMATICS-BASEL</t>
  </si>
  <si>
    <t xml:space="preserve">PAHO; dengue; Zika; chikungunya; machine learning; medical evidence synthesis</t>
  </si>
  <si>
    <t xml:space="preserve">BOOTSTRAP; SMOTE</t>
  </si>
  <si>
    <t xml:space="preserve">[Arrubla-Hoyos, Wilson] Univ Nacl Abierta &amp; Distancia, Fac Engn, Sincelejo 700002, Colombia; [Gomez, Jorge Gomez] Univ Cordoba, Fac Engn, Dept Syst Engn &amp; Telecommun, SOCRATES Grp, Monteria 230001, Colombia; [De-La-Hoz-Franco, Emiro] Univ Costa, Fac Engn, Dept Comp Sci &amp; Elect, Barranquilla 080002, Colombia</t>
  </si>
  <si>
    <t xml:space="preserve">Universidad de la Costa</t>
  </si>
  <si>
    <t xml:space="preserve">Arrubla-Hoyos, W (corresponding author), Univ Nacl Abierta &amp; Distancia, Fac Engn, Sincelejo 700002, Colombia.;Gómez, JG (corresponding author), Univ Cordoba, Fac Engn, Dept Syst Engn &amp; Telecommun, SOCRATES Grp, Monteria 230001, Colombia.</t>
  </si>
  <si>
    <t xml:space="preserve">wilson.arrubla@unad.edu.co; jeliecergomez@correo.unicordoba.edu.co; edelahoz@cuc.edu.co</t>
  </si>
  <si>
    <t xml:space="preserve">Gomez, Jorge/AAA-1578-2019; De-La-Hoz-Franco, Emiro/V-3001-2019</t>
  </si>
  <si>
    <t xml:space="preserve">Gomez, Jorge/0000-0001-8746-9386; ARRUBLA HOYOS, WILSON DE JESUS/0000-0001-7119-7603; De-La-Hoz-Franco, Emiro/0000-0002-4926-7414</t>
  </si>
  <si>
    <t xml:space="preserve">University of Cordoba [FI-05-19]</t>
  </si>
  <si>
    <t xml:space="preserve">University of Cordoba</t>
  </si>
  <si>
    <t xml:space="preserve">We thank the University of Cordoba for financing this research project according to the internal call with project code FI-05-19.</t>
  </si>
  <si>
    <t xml:space="preserve">2227-9709</t>
  </si>
  <si>
    <t xml:space="preserve">Informatics-Basel</t>
  </si>
  <si>
    <t xml:space="preserve">SEP</t>
  </si>
  <si>
    <t xml:space="preserve">Computer Science, Interdisciplinary Applications</t>
  </si>
  <si>
    <t xml:space="preserve">H4D7C</t>
  </si>
  <si>
    <t xml:space="preserve">WOS:001322969700001</t>
  </si>
  <si>
    <t xml:space="preserve">Muralidhar, R; Demory, ML; Kesselman, MM</t>
  </si>
  <si>
    <t xml:space="preserve">Muralidhar, Rohit; Demory, Michelle L.; Kesselman, Marc M.</t>
  </si>
  <si>
    <t xml:space="preserve">Exploring the Impact of Batch Size on Deep Learning Artificial Intelligence Models for Malaria Detection</t>
  </si>
  <si>
    <t xml:space="preserve">Introduction Malaria is a major public health concern, especially in developing countries. Malaria often presents with recurrent fever, malaise, and other nonspecific symptoms mistaken for influenza. Light microscopy of peripheral blood smears is considered the gold standard diagnostic test for malaria. Delays in malaria diagnosis can increase morbidity and mortality. Microscopy can be time-consuming and limited by skilled labor, infrastructure, and interobserver variability. Artificial intelligence (AI) -based tools for diagnostic screening can automate blood smear analysis without relying on a trained technician. Convolutional neural networks (CNN), deep learning neural networks that can identify visual patterns, are being explored for use in abnormality detection in medical images. A parameter that can be optimized in CNN models is the batch size or the number of images used during model training at once in one forward and backward pass. The choice of batch size in developing CNN -based malaria screening tools can affect model accuracy, training speed, and, ultimately, clinical usability. This study explores the impact of batch size on CNN model accuracy for malaria detection from thin blood smear images. Methods We used the publicly available NIH-NLM-ThinBloodSmearsPf dataset from the United States National Library of Medicine, consisting of blood smear images for Plasmodium falciparum. The collection consists of 13,779 parasitized and 13,779 uninfected single -cell images. We created four datasets containing all images, each with unique randomized subsets of images for model testing. Using Python, four identical 10layer CNN models were developed and trained with varying batch sizes for 10 epochs against all datasets, resulting in 16 sets of outputs. Model prediction accuracy, training time, and F1 -score, an accuracy metric used to quantify model performance, were collected. Results All models produced F1 -scores of 94%-96%, with 10 of 16 instances producing F1 -scores of 95%. After averaging all four dataset outputs by batch size, we observed that, as batch size increased from 16 to 128, the average combined false positives plus false negatives increased by 15.4% (130-150), and the average model F1 -score accuracy decreased by 1% (95.3%-94.3%). The average training time also decreased by 28.11% (1,556-1,119 seconds). Conclusion In each dataset, we observe an approximately 1% decrease in F1 -score as the batch size was increased. Clinically, a 1% deviation at the population level can create a relatively significant impact on outcomes. Results from this study suggest that smaller batch sizes could improve accuracy in models with similar layer complexity and datasets, potentially resulting in better clinical outcomes. Reduced memory requirement for training also means that model training can be achieved with more economical hardware. Our findings suggest that smaller batch sizes could be evaluated for improvements in accuracy to help develop an AI model that could screen thin blood smears for malaria.</t>
  </si>
  <si>
    <t xml:space="preserve">	Bangladesh</t>
  </si>
  <si>
    <t xml:space="preserve">CNN (custom 10-layer)</t>
  </si>
  <si>
    <t xml:space="preserve">F1-score 95.3%</t>
  </si>
  <si>
    <t xml:space="preserve">- Single-center dataset from one country
- Single-cell images only, not reflective of typical clinical smears with multiple cells
- Limited hardware resources (used Google Colab)</t>
  </si>
  <si>
    <t xml:space="preserve">CUREUS JOURNAL OF MEDICAL SCIENCE</t>
  </si>
  <si>
    <t xml:space="preserve">SPRINGERNATURE</t>
  </si>
  <si>
    <t xml:space="preserve">medical innovation; public health; malaria screening; healthcare technology; artificial intelligence (ai)</t>
  </si>
  <si>
    <t xml:space="preserve">DIAGNOSIS</t>
  </si>
  <si>
    <t xml:space="preserve">[Muralidhar, Rohit] Nova Southeastern Univ, Dr Kiran C Patel Coll Osteopath Med, Med, Ft Lauderdale, FL 33328 USA; [Demory, Michelle L.] Nova Southeastern Univ, Dr Kiran C Patel Coll Allopath Med, Orthoped Surg, Ft Lauderdale, FL USA; [Kesselman, Marc M.] Nova Southeastern Univ, Dr Kiran C Patel Coll Osteopath Med, Rheumatol, Ft Lauderdale, FL 33328 USA</t>
  </si>
  <si>
    <t xml:space="preserve">Nova Southeastern University; Nova Southeastern University; Nova Southeastern University</t>
  </si>
  <si>
    <t xml:space="preserve">Kesselman, MM (corresponding author), Nova Southeastern Univ, Dr Kiran C Patel Coll Osteopath Med, Rheumatol, Ft Lauderdale, FL 33328 USA.</t>
  </si>
  <si>
    <t xml:space="preserve">mkesselman@nova.edu</t>
  </si>
  <si>
    <t xml:space="preserve">LONDON</t>
  </si>
  <si>
    <t xml:space="preserve">CAMPUS, 4 CRINAN ST, LONDON, N1 9XW, ENGLAND</t>
  </si>
  <si>
    <t xml:space="preserve">2168-8184</t>
  </si>
  <si>
    <t xml:space="preserve">CUREUS J MED SCIENCE</t>
  </si>
  <si>
    <t xml:space="preserve">Cureus J Med Sci</t>
  </si>
  <si>
    <t xml:space="preserve">MAY 13</t>
  </si>
  <si>
    <t xml:space="preserve">e60224</t>
  </si>
  <si>
    <t xml:space="preserve">10.7759/cureus.60224</t>
  </si>
  <si>
    <t xml:space="preserve">Medicine, General &amp; Internal</t>
  </si>
  <si>
    <t xml:space="preserve">General &amp; Internal Medicine</t>
  </si>
  <si>
    <t xml:space="preserve">TW1E7</t>
  </si>
  <si>
    <t xml:space="preserve">gold, Green Published</t>
  </si>
  <si>
    <t xml:space="preserve">WOS:001244197200010</t>
  </si>
  <si>
    <t xml:space="preserve">Francisco, ME; Carvajal, TM; Watanabe, K</t>
  </si>
  <si>
    <t xml:space="preserve">Francisco, Micanaldo Ernesto; Carvajal, Thaddeus M.; Watanabe, Kozo</t>
  </si>
  <si>
    <t xml:space="preserve">Hybrid Machine Learning Approach to Zero-Inflated Data Improves Accuracy of Dengue Prediction</t>
  </si>
  <si>
    <t xml:space="preserve">Background Spatiotemporal dengue forecasting using machine learning (ML) can contribute to the development of prevention and control strategies for impending dengue outbreaks. However, training data for dengue incidence may be inflated with frequent zero values because of the rarity of cases, which lowers the prediction accuracy. This study aimed to understand the influence of spatiotemporal resolutions of data on the accuracy of dengue incidence prediction using ML models, to understand how the influence of spatiotemporal resolution differs between quantitative and qualitative predictions of dengue incidence, and to improve the accuracy of dengue incidence prediction with zero-inflated data.Methodology We predicted dengue incidence at six spatiotemporal resolutions and compared their prediction accuracy. Six ML algorithms were compared: generalized additive models, random forests, conditional inference forest, artificial neural networks, support vector machines and regression, and extreme gradient boosting. Data from 2009 to 2012 were used for training, and data from 2013 were used for model validation with quantitative and qualitative dengue variables. To address the inaccuracy in the quantitative prediction of dengue incidence due to zero-inflated data at fine spatiotemporal scales, we developed a hybrid approach in which the second-stage quantitative prediction is performed only when/where the first-stage qualitative model predicts the occurrence of dengue cases.Principal findings At higher resolutions, the dengue incidence data were zero-inflated, which was insufficient for quantitative pattern extraction of relationships between dengue incidence and environmental variables by ML. Qualitative models, used as binary variables, eased the effect of data distribution. Our novel hybrid approach of combining qualitative and quantitative predictions demonstrated high potential for predicting zero-inflated or rare phenomena, such as dengue.Significance Our research contributes valuable insights to the field of spatiotemporal dengue prediction and provides an alternative solution to enhance prediction accuracy in zero-inflated data where hurdle or zero-inflated models cannot be applied. In our study, we tackled the complex challenge of predicting dengue fever outbreaks, a crucial task in the field of epidemiology. Dengue prediction is complicated because it relies on the quality of data, which may be affected by the temporal and spatial resolution. We explored different machine learning algorithms across various spatial (village, city and region) and temporal resolutions (weekly and monthly). A key hurdle we encountered was the high frequency of zero values in reported dengue cases, a common issue known as zero-inflated data. This phenomenon makes accurate predictions difficult, especially at finer resolutions. To overcome this obstacle, we first made qualitative predictions about the presence or absence of dengue cases. Then, in scenarios indicating disease presence, we estimated the magnitude of cases quantitatively. This innovative method we designated as hybrid approach and significantly enhanced prediction accuracy in zero-inflated data. This approach can be applied to continuous data where zero-inflated or hurdle models cannot be applied. Our findings have broader implications beyond dengue prediction, shedding light on the challenges of dealing with zero-inflated data in various real-world situations. By improving our understanding of these complexities, our research contributes valuable insights that not only benefit scientists working in epidemiology but also have practical applications in public health strategies ensuring more effective and targeted interventions.</t>
  </si>
  <si>
    <t xml:space="preserve">Japan, Mozambique, Philippines</t>
  </si>
  <si>
    <t xml:space="preserve">- Dengue incidence reports from health surveillance systems
- Environmental and satellite data (precipitation, temperature, NDVI, RH, etc.)
- Land use and flood risk data</t>
  </si>
  <si>
    <t xml:space="preserve">Dengue</t>
  </si>
  <si>
    <t xml:space="preserve">- Random Forest (RF)
- Conditional Inference Forest (CIF)
- Artificial Neural Network (ANN)
- Support Vector Machines/Regression (SVM/SVR)
- Extreme Gradient Boosting (XGB)
- Generalized Additive Models (GAM)</t>
  </si>
  <si>
    <t xml:space="preserve">- Hybrid Accuracy Index (HAI) combining AUC and S-Ra²
- Best model (CIF): HAI = 0.771, AUC = 0.794, S-Ra² = 0.716
- Other models: RF (HAI = 0.599), XGB (HAI = 0.591)</t>
  </si>
  <si>
    <t xml:space="preserve">- Zero-inflated data with over 70% of records containing no dengue cases
- Low spatial variance in predictors due to resolution of RS data
- Limited generalizability outside of Metro Manila</t>
  </si>
  <si>
    <t xml:space="preserve">PLOS NEGLECTED TROPICAL DISEASES</t>
  </si>
  <si>
    <t xml:space="preserve">PUBLIC LIBRARY SCIENCE</t>
  </si>
  <si>
    <t xml:space="preserve">SPATIAL-RESOLUTION; REGRESSION</t>
  </si>
  <si>
    <t xml:space="preserve">[Francisco, Micanaldo Ernesto; Carvajal, Thaddeus M.; Watanabe, Kozo] Ehime Univ, Ctr Marine Environm Studies CMES, Matsuyama, Japan; [Francisco, Micanaldo Ernesto] Ehime Univ, Grad Sch Sci &amp; Engn, Matsuyama, Ehime, Japan; [Francisco, Micanaldo Ernesto] Lurio Univ, Fac Architecture &amp; Phys Planning FAPF, Nampula, Mozambique; [Carvajal, Thaddeus M.] De La Salle Univ, Dept Biol, Taft Ave Manila, Manila, Philippines</t>
  </si>
  <si>
    <t xml:space="preserve">Ehime University; Ehime University; De La Salle University</t>
  </si>
  <si>
    <t xml:space="preserve">Watanabe, K (corresponding author), Ehime Univ, Ctr Marine Environm Studies CMES, Matsuyama, Japan.</t>
  </si>
  <si>
    <t xml:space="preserve">watanabe.kozo.mj@ehime-u.ac.jp</t>
  </si>
  <si>
    <t xml:space="preserve">Francisco, Micanaldo Ernesto/0000-0002-3337-7432</t>
  </si>
  <si>
    <t xml:space="preserve">Japan Society for the Promotion of Science (JSPS) [19KK0107]; JSPS [19H01144]; Endowed Chair Program of the Sumitomo Electric Industries Group Corporate Social Responsibility Foundation</t>
  </si>
  <si>
    <t xml:space="preserve">Japan Society for the Promotion of Science (JSPS)(Ministry of Education, Culture, Sports, Science and Technology, Japan (MEXT)Japan Society for the Promotion of Science); JSPS(Ministry of Education, Culture, Sports, Science and Technology, Japan (MEXT)Japan Society for the Promotion of Science); Endowed Chair Program of the Sumitomo Electric Industries Group Corporate Social Responsibility Foundation</t>
  </si>
  <si>
    <t xml:space="preserve">This study was financially supported by the Japan Society for the Promotion of Science (JSPS) Grant-in-Aid Fund for the Promotion of Joint International Research (Fostering Joint International Research (B)) under grant number 19KK0107, JSPS Grant-in-Aid for Scientific Research (A) under grant number 19H01144, the JSPS Core-to-Core Program B. Asia-Africa Science Platforms, and the Endowed Chair Program of the Sumitomo Electric Industries Group Corporate Social Responsibility Foundation to KW. The funders had no role in study design, data collection and analysis, decision to publish, or preparation of the manuscript.</t>
  </si>
  <si>
    <t xml:space="preserve">SAN FRANCISCO</t>
  </si>
  <si>
    <t xml:space="preserve">1160 BATTERY STREET, STE 100, SAN FRANCISCO, CA 94111 USA</t>
  </si>
  <si>
    <t xml:space="preserve">1935-2735</t>
  </si>
  <si>
    <t xml:space="preserve">PLOS NEGLECT TROP D</t>
  </si>
  <si>
    <t xml:space="preserve">Plos Neglect. Trop. Dis.</t>
  </si>
  <si>
    <t xml:space="preserve">e0012599</t>
  </si>
  <si>
    <t xml:space="preserve">10.1371/journal.pntd.0012599</t>
  </si>
  <si>
    <t xml:space="preserve">Infectious Diseases; Parasitology; Tropical Medicine</t>
  </si>
  <si>
    <t xml:space="preserve">M4G2Z</t>
  </si>
  <si>
    <t xml:space="preserve">WOS:001357137900005</t>
  </si>
  <si>
    <t xml:space="preserve">Rajak, P; Ganguly, A; Adhikary, S; Bhattacharya, S</t>
  </si>
  <si>
    <t xml:space="preserve">Rajak, Prem; Ganguly, Abhratanu; Adhikary, Satadal; Bhattacharya, Suchandra</t>
  </si>
  <si>
    <t xml:space="preserve">Smart technology for mosquito control: Recent developments, challenges, and future prospects</t>
  </si>
  <si>
    <t xml:space="preserve">Smart technology coupled with digital sensors and deep learning networks have emerging scopes in various fields, including surveillance of mosquitoes. Several studies have been conducted to examine the efficacy of such technologies in the differential identification of mosquitoes with high accuracy. Some smart trap uses computer vision technology and deep learning networks to identify live Aedes aegypti and Culex quinquefasciatus in real time. Implementing such tools integrated with a reliable capture mechanism can be beneficial in identifying live mosquitoes without destroying their morphological features. Such smart traps can correctly differentiates between Cx. quinquefasciatus and Ae. aegypti mosquitoes, and may also help control mosquito-borne diseases and predict their possible outbreak. Smart devices embedded with YOLO V4 Deep Neural Network algorithm has been designed with a differential drive mechanism and a mosquito trapping module to attract mosquitoes in the environment. The use of acoustic and optical sensors in combination with machine learning techniques have escalated the automatic classification of mosquitoes based on their flight characteristics, including wing-beat frequency. Thus, such Artificial Intelligence-based tools have promising scopes for surveillance of mosquitoes to control vector-borne diseases. However working efficiency of such technologies requires further evaluation for implementation on a global scale.</t>
  </si>
  <si>
    <t xml:space="preserve">Multiple regions globally. Review article references data and case studies from Asia (India, Malaysia, Thailand), Africa, and Latin America</t>
  </si>
  <si>
    <t xml:space="preserve">Not based on original datasets – The paper is a review, summarizing results from various studies involving:
– Mosquito trap image data,
– Wingbeat acoustic data,
– Sensor data,
– Geospatial and environmental data, etc.</t>
  </si>
  <si>
    <t xml:space="preserve">Mosquito-borne diseases, including:
– Malaria, Dengue, Zika, Chikungunya, Yellow Fever, Lymphatic Filariasis, and Mayaro Fever.</t>
  </si>
  <si>
    <t xml:space="preserve">YOLOv4, CNN, AlexNet, GoogLeNet, SVM, Random Forest, TinyML, Fuzzy Systems, and Ensemble Models</t>
  </si>
  <si>
    <t xml:space="preserve">– Mosquito detection accuracy: up to 97–100%
– CNN + Grad-CAM for Ae. albopictus: 94%
– YOLOv4 on Dragonfly robot: 88–91% confidence
– Wing pattern recognition F1-score: 90–91%</t>
  </si>
  <si>
    <t xml:space="preserve">- Review article: no new experimental data
- Lack of model standardization across species and regions
- Limited field validation of smart traps and AI systems
- Environmental variability affects performance
- Data/model transparency often lacking in published AI tools</t>
  </si>
  <si>
    <t xml:space="preserve">ACTA TROPICA</t>
  </si>
  <si>
    <t xml:space="preserve">Artificial intelligence; Smart sensors; Mosquito control; Vector-borne disease</t>
  </si>
  <si>
    <t xml:space="preserve">WEST-NILE-VIRUS; VECTOR CONTROL; AEDES; CLASSIFICATION; TRANSMISSION; OUTBREAK; ZIKA; NANOPARTICLES; EPIDEMIOLOGY; INSECTICIDE</t>
  </si>
  <si>
    <t xml:space="preserve">[Rajak, Prem; Ganguly, Abhratanu] Kazi Nazrul Univ, Dept Anim Sci, Asansol, W Bengal, India; [Adhikary, Satadal] A B N Seal Coll, Post Grad Dept Zool, Cooch Behar, W Bengal, India; [Bhattacharya, Suchandra] ABN Seal Coll, Dept Chem, Cooch Behar, W Bengal, India</t>
  </si>
  <si>
    <t xml:space="preserve">Rajak, P (corresponding author), Kazi Nazrul Univ, Dept Anim Sci, Asansol, W Bengal, India.</t>
  </si>
  <si>
    <t xml:space="preserve">prem.rajak@knu.ac.in</t>
  </si>
  <si>
    <t xml:space="preserve">; RAJAK, PREM/JAX-8606-2023</t>
  </si>
  <si>
    <t xml:space="preserve">Adhikary, Satadal/0000-0003-1825-3041; RAJAK, PREM/0000-0002-1693-8090</t>
  </si>
  <si>
    <t xml:space="preserve">Department of Higher Education, Government of West Bengal, India [WBP211651743312]</t>
  </si>
  <si>
    <t xml:space="preserve">Department of Higher Education, Government of West Bengal, India</t>
  </si>
  <si>
    <t xml:space="preserve">Authors thank the anonymous reviewers for their valuable comments and feedback regarding the manuscript (Ms. No. ACTROP-D-24-01095) that helped us to improve overall quality of the article. Authors acknowledge Swami Vivekananda Merit-cum-Means Scholarship, Department of Higher Education, Government of West Bengal, India, which was awarded to the author, Abhratanu Ganguly (WBP211651743312) . Authors are thankful to BioRender.com which was used to prepare graphical abstract for this work.</t>
  </si>
  <si>
    <t xml:space="preserve">0001-706X</t>
  </si>
  <si>
    <t xml:space="preserve">1873-6254</t>
  </si>
  <si>
    <t xml:space="preserve">ACTA TROP</t>
  </si>
  <si>
    <t xml:space="preserve">10.1016/j.actatropica.2024.107348</t>
  </si>
  <si>
    <t xml:space="preserve">AUG 2024</t>
  </si>
  <si>
    <t xml:space="preserve">Parasitology; Tropical Medicine</t>
  </si>
  <si>
    <t xml:space="preserve">D4A8L</t>
  </si>
  <si>
    <t xml:space="preserve">WOS:001295636400001</t>
  </si>
  <si>
    <t xml:space="preserve">Qaiser, A; Manzoor, S; Hashmi, AH; Javed, H; Zafar, A; Ashraf, J</t>
  </si>
  <si>
    <t xml:space="preserve">Qaiser, Ariba; Manzoor, Sobia; Hashmi, Asraf Hussain; Javed, Hasnain; Zafar, Anam; Ashraf, Javed</t>
  </si>
  <si>
    <t xml:space="preserve">Support Vector Machine Outperforms Other Machine Learning Models in Early Diagnosis of Dengue Using Routine Clinical Data</t>
  </si>
  <si>
    <t xml:space="preserve">Background: There is a dire need for the establishment of active dengue surveillance to continuously detect cases, circulating serotypes, and determine the disease burden of dengue fever (DF) in the country and region. Predicting dengue PCR results using machine learning (ML) models represents a significant advancement in pre-emptive healthcare measures. This study outlines the comprehensive process of data preprocessing, model selection, and the underlying mechanisms of each algorithm employed to accurately predict dengue PCR outcomes.Methods: We analyzed data from 300 suspected dengue patients in Islamabad and Rawalpindi, Pakistan, from August to October 2023. NS1 antigen ELISA, IgM and IgG antibody tests, and serotype-specific real-time polymerase chain reaction (RT-PCR) were used to detect the dengue virus (DENV). Representative PCR-positive samples were sequenced by Sanger sequencing to confirm the circulation of various dengue serotypes. Demographic information, serological test results, and hematological parameters were used as inputs to the ML models, with the dengue PCR result serving as the output to be predicted. The models used were logistic regression, XGBoost, LightGBM, random forest, support vector machine (SVM), and CatBoost.Results: Of the 300 patients, 184 (61.33%) were PCR positive. Among the total positive cases detected by PCR, 9 (4.89%), 171 (92.93%), and 4 (2.17%) were infected with serotypes 1, 2, and 3, respectively. A total of 147 (79.89%) males and 37 (20.11%) females were infected, with a mean age of 33 +/- 16 years. In addition, the mean platelet and leukocyte counts and the hematocrit percentages were 75,447%, 4189.02%, and 46.05%, respectively. The SVM was the best-performing ML model for predicting RT-PCR results, with 71.4% accuracy, 97.4% recall, and 71.6% precision. Hyperparameter tuning improved the recall to 100%.Conclusion: Our study documents three circulating serotypes in the capital territory of Pakistan and highlights that the SVM outperformed other models, potentially serving as a valuable tool in clinical settings to aid in the rapid diagnosis of DF.</t>
  </si>
  <si>
    <t xml:space="preserve">Pakistan, Finland</t>
  </si>
  <si>
    <t xml:space="preserve">SVM</t>
  </si>
  <si>
    <t xml:space="preserve">- SVM: Accuracy = 70%, Recall = 100%, Precision = 70%, F1 = 0.83, ROC AUC = 0.62
- Other models: Recall up to 100%; Accuracy from 50%–70%</t>
  </si>
  <si>
    <t xml:space="preserve">- Small dataset (300 patients)
- Class imbalance (65% PCR-positive)
- Limited to one geographic region
- No integration of environmental factors
- No imaging or wearable data used</t>
  </si>
  <si>
    <t xml:space="preserve">ADVANCES IN VIROLOGY</t>
  </si>
  <si>
    <t xml:space="preserve">[Qaiser, Ariba; Manzoor, Sobia] Natl Univ Sci &amp; Technol NUST, Atta Ur Rehman Sch Appl Biosci ASAB, Mol Virol Lab, Islamabad, Pakistan; [Hashmi, Asraf Hussain] KRL Hosp, Inst Biomed &amp; Genet Engn IBGE, Islamabad, Pakistan; [Javed, Hasnain] Prov Publ Hlth Reference Lab, Punjab AIDS Control Programe, Lahore, Pakistan; [Zafar, Anam] Dept Pediat, Avicenna Med Complex, Lahore, Pakistan; [Ashraf, Javed] Riphah Int Univ, Dept Community Dent, Islamabad, Pakistan; [Ashraf, Javed] Univ Eastern Finland, Inst Dent, Kuopio, Finland</t>
  </si>
  <si>
    <t xml:space="preserve">National University of Sciences &amp; Technology - Pakistan; University of Eastern Finland</t>
  </si>
  <si>
    <t xml:space="preserve">Ashraf, J (corresponding author), Riphah Int Univ, Dept Community Dent, Islamabad, Pakistan.;Ashraf, J (corresponding author), Univ Eastern Finland, Inst Dent, Kuopio, Finland.</t>
  </si>
  <si>
    <t xml:space="preserve">qaiser.ariba.aq@gmail.com; lcianunique@yahoo.com; asraf.sbs@pu.edu.pk; hasnain.javed@punjab.gov.pk; dr.anamzafar1@gmail.com; dr_javedansari110@yahoo.com</t>
  </si>
  <si>
    <t xml:space="preserve">Javed, Dr. Hasnain/0000-0001-6877-6807</t>
  </si>
  <si>
    <t xml:space="preserve">1687-8639</t>
  </si>
  <si>
    <t xml:space="preserve">1687-8647</t>
  </si>
  <si>
    <t xml:space="preserve">ADV VIROL</t>
  </si>
  <si>
    <t xml:space="preserve">Adv. Virol.</t>
  </si>
  <si>
    <t xml:space="preserve">OCT 14</t>
  </si>
  <si>
    <t xml:space="preserve">10.1155/2024/5588127</t>
  </si>
  <si>
    <t xml:space="preserve">Virology</t>
  </si>
  <si>
    <t xml:space="preserve">K2P5W</t>
  </si>
  <si>
    <t xml:space="preserve">WOS:001342350700001</t>
  </si>
  <si>
    <t xml:space="preserve">Deps, PD; Yotsu, R; Furriel, BCRS; de Oliveira, BD; de Lima, SL; Loureiro, RM</t>
  </si>
  <si>
    <t xml:space="preserve">Deps, Patricia D.; Yotsu, Rie; Furriel, Brunna C. R. S.; de Oliveira, Bruno D.; de Lima, Sergio L.; Loureiro, Rafael M.</t>
  </si>
  <si>
    <t xml:space="preserve">The potential role of artificial intelligence in the clinical management of Hansen's disease (leprosy)</t>
  </si>
  <si>
    <t xml:space="preserve">Missed and delayed diagnoses of Hansen's disease (HD) are making the battle against it even more complex, increasing its transmission and significantly impacting those affected and their families. This strains public health systems and raises the risk of lifelong impairments and disabilities. Worryingly, the three countries most affected by HD witnessed a growth in new cases in 2022, jeopardizing the World Health Organization's targets to interrupt transmission. Artificial intelligence (AI) can help address these challenges by offering the potential for rapid case detection, customized treatment, and solutions for accessibility challenges-especially in regions with a shortage of trained healthcare professionals. This perspective article explores how AI can significantly impact the clinical management of HD, focusing on therapeutic strategies. AI can help classify cases, ensure multidrug therapy compliance, monitor geographical treatment coverage, and detect adverse drug reactions and antimicrobial resistance. In addition, AI can assist in the early detection of nerve damage, which aids in disability prevention and planning rehabilitation. Incorporating AI into mental health counseling is also a promising contribution to combating the stigma associated with HD. By revolutionizing therapeutic approaches, AI offers a holistic solution to reduce the burden of HD and improve patient outcomes.</t>
  </si>
  <si>
    <t xml:space="preserve">Brazil, USA</t>
  </si>
  <si>
    <t xml:space="preserve">– Skin lesion images
– Clinical evaluations
– Genetic data
– Mental health indicators</t>
  </si>
  <si>
    <t xml:space="preserve">Hansen</t>
  </si>
  <si>
    <t xml:space="preserve">– CNNs for lesion detection
– AI chatbots
– Bayesian models (for prediction)
– Few-shot learning</t>
  </si>
  <si>
    <t xml:space="preserve">No experimental evaluation or metrics provided, as this is a conceptual and review-based article proposing future directions</t>
  </si>
  <si>
    <t xml:space="preserve">No original data or validation study</t>
  </si>
  <si>
    <t xml:space="preserve">FRONTIERS IN MEDICINE</t>
  </si>
  <si>
    <t xml:space="preserve">FRONTIERS MEDIA SA</t>
  </si>
  <si>
    <t xml:space="preserve">artificial intelligence; leprosy; Hansen's disease; digital health; skin neglected tropical diseases</t>
  </si>
  <si>
    <t xml:space="preserve">HEALTH</t>
  </si>
  <si>
    <t xml:space="preserve">[Deps, Patricia D.] Univ Fed Espirito Santo, Hlth Sci Ctr, Dept Social Med, Vitoria, Brazil; [Deps, Patricia D.; Furriel, Brunna C. R. S.; de Oliveira, Bruno D.; de Lima, Sergio L.; Loureiro, Rafael M.] Hosp Israelita Albert Einstein, Dept Radiol, Sao Paulo, Brazil; [Yotsu, Rie] Tulane Univ, Sch Publ Hlth &amp; Trop Med, Dept Trop Med, New Orleans, LA USA</t>
  </si>
  <si>
    <t xml:space="preserve">Universidade Federal do Espirito Santo; Hospital Israelita Albert Einstein; Tulane University</t>
  </si>
  <si>
    <t xml:space="preserve">Deps, PD (corresponding author), Univ Fed Espirito Santo, Hlth Sci Ctr, Dept Social Med, Vitoria, Brazil.;Deps, PD (corresponding author), Hosp Israelita Albert Einstein, Dept Radiol, Sao Paulo, Brazil.</t>
  </si>
  <si>
    <t xml:space="preserve">patricia.deps@ufes.br</t>
  </si>
  <si>
    <t xml:space="preserve">Deps, Patricia/K-8843-2018</t>
  </si>
  <si>
    <t xml:space="preserve">Program of Support for the Institutional Development of the Unified Health System (PROADI-SUS) [NUP: 25000.161106/2020-61, 01/2020]; Hospital Israelita Albert Einstein</t>
  </si>
  <si>
    <t xml:space="preserve">Program of Support for the Institutional Development of the Unified Health System (PROADI-SUS); Hospital Israelita Albert Einstein</t>
  </si>
  <si>
    <t xml:space="preserve">LAUSANNE</t>
  </si>
  <si>
    <t xml:space="preserve">AVENUE DU TRIBUNAL FEDERAL 34, LAUSANNE, CH-1015, SWITZERLAND</t>
  </si>
  <si>
    <t xml:space="preserve">2296-858X</t>
  </si>
  <si>
    <t xml:space="preserve">FRONT MED-LAUSANNE</t>
  </si>
  <si>
    <t xml:space="preserve">MAR 8</t>
  </si>
  <si>
    <t xml:space="preserve">LV1F3</t>
  </si>
  <si>
    <t xml:space="preserve">Green Submitted, Green Published, gold</t>
  </si>
  <si>
    <t xml:space="preserve">WOS:001189476900001</t>
  </si>
  <si>
    <t xml:space="preserve">Kundu, TK; Anguraj, DK; Bhattacharyya, D</t>
  </si>
  <si>
    <t xml:space="preserve">Kundu, Tamal Kumar; Anguraj, Dinesh Kumar; Bhattacharyya, Debnath</t>
  </si>
  <si>
    <t xml:space="preserve">Utilizing Image Analysis with Machine Learning and Deep Learning to Identify Malaria Parasites in Conventional Microscopic Blood Smear Images</t>
  </si>
  <si>
    <t xml:space="preserve">Malaria, a mosquito-borne blood infection, is caused by the Plasmodium genus. The traditional diagnostic approach relies on the manual examination of stained blood cells under a microscope. However, this labour-intensive and time-consuming process can be significantly improved with machine learning techniques to analyze microscopic images of blood smears for parasite detection. This paper reviews the various methodologies previously employed, focusing on the different strategies used for imaging. A comprehensive summary is provided, detailing the work conducted on both thin and thick blood smear images. Emerging developments in deep learning, coupled with contemporary mobile technologies, are also highlighted as potential future tools for malaria diagnosis. The paper further explores recent advancements in machine learning techniques for malaria detection and identification in images, emphasizing challenges associated with image processing. In addition, a detailed comparison is made between various machine learning approaches to provide a comprehensive overview. The application of these advanced machine learning and deep learning techniques holds the potential to revolutionize the process of malaria detection and control.</t>
  </si>
  <si>
    <t xml:space="preserve">CNN, Deep Belief Network (DBN), SVM, k-NN, Random Forest, Hybrid CNN+SVM, YOLOv5, Faster R-CNN, VGGNet</t>
  </si>
  <si>
    <t xml:space="preserve">- Accuracy reported in referenced models ranges from 91% to 99.3%
- Best CNN model (Fuhad et al.): Accuracy = 99.23%
- Sensitivity up to 100%</t>
  </si>
  <si>
    <t xml:space="preserve">- Review article – summarizes prior models and datasets, but does not train a new model
- Lack of generalization across clinical conditions
- Model explainability and dataset quality remain critical issues</t>
  </si>
  <si>
    <t xml:space="preserve">Article,review</t>
  </si>
  <si>
    <t xml:space="preserve">TRAITEMENT DU SIGNAL</t>
  </si>
  <si>
    <t xml:space="preserve">INT INFORMATION &amp; ENGINEERING TECHNOLOGY ASSOC</t>
  </si>
  <si>
    <t xml:space="preserve">malaria parasitic blood smear; microscopy for object detection; feature extraction and parasite identification; machine learning &amp; hybrid machine learning classification; deep learning technique; malaria diagnosis using mobile microscopy</t>
  </si>
  <si>
    <t xml:space="preserve">DIAGNOSIS; CLASSIFICATION; SEGMENTATION; PLATFORM</t>
  </si>
  <si>
    <t xml:space="preserve">[Kundu, Tamal Kumar; Anguraj, Dinesh Kumar; Bhattacharyya, Debnath] Koneru Lakshmaiah Educ Fdn, Dept Comp Sci &amp; Engn, Guntur 522501, India</t>
  </si>
  <si>
    <t xml:space="preserve">Koneru Lakshmaiah Education Foundation (K L Deemed to be University)</t>
  </si>
  <si>
    <t xml:space="preserve">Anguraj, DK (corresponding author), Koneru Lakshmaiah Educ Fdn, Dept Comp Sci &amp; Engn, Guntur 522501, India.</t>
  </si>
  <si>
    <t xml:space="preserve">adinesh@kluniversity.in</t>
  </si>
  <si>
    <t xml:space="preserve">KUNDU, TAMAL/GPK-1085-2022; Anguraj, Dinesh Kumar/S-3163-2018; Bhattacharyya, Debnath/A-3144-2016</t>
  </si>
  <si>
    <t xml:space="preserve">Bhattacharyya, Debnath/0000-0003-0140-9644; /0000-0003-2346-5241</t>
  </si>
  <si>
    <t xml:space="preserve">EDMONTON</t>
  </si>
  <si>
    <t xml:space="preserve">#2020, SCOTIA PLACE TOWER ONE, 10060 JASPER AVE, EDMONTON, AB T5J 3R8, CANADA</t>
  </si>
  <si>
    <t xml:space="preserve">0765-0019</t>
  </si>
  <si>
    <t xml:space="preserve">1958-5608</t>
  </si>
  <si>
    <t xml:space="preserve">TRAIT SIGNAL</t>
  </si>
  <si>
    <t xml:space="preserve">Trait. Signal</t>
  </si>
  <si>
    <t xml:space="preserve">FEB</t>
  </si>
  <si>
    <t xml:space="preserve">10.18280/ts.410129</t>
  </si>
  <si>
    <t xml:space="preserve">Computer Science, Artificial Intelligence; Engineering, Electrical &amp; Electronic</t>
  </si>
  <si>
    <t xml:space="preserve">Computer Science; Engineering</t>
  </si>
  <si>
    <t xml:space="preserve">KS5C5</t>
  </si>
  <si>
    <t xml:space="preserve">WOS:001181958200043</t>
  </si>
  <si>
    <t xml:space="preserve">Pandiaraj, A; Kshirsagar, PR; Thiagarajan, R; Tak, TK; Sivaneasan, B</t>
  </si>
  <si>
    <t xml:space="preserve">Pandiaraj, A.; Kshirsagar, Pravin R.; Thiagarajan, R.; Tak, Tan Kuan; Sivaneasan, B.</t>
  </si>
  <si>
    <t xml:space="preserve">A Robust Malaria Cell Detection Framework Using Adaptive and Atrous Convolution-Based Recurrent Mobilenetv2 with Trans-MobileUNet plus plus -Based Abnormality Segmentation</t>
  </si>
  <si>
    <t xml:space="preserve">The highly contagious malaria disease is spread by the female Anopheles mosquito. This disease results in a patient's death or incapacity to move their muscles, if it is not appropriately identified in the early stages. A Rapid Diagnostic Test (RDT) is a frequently used approach to find malaria cells in red blood cells. However, it might not be able to identify infections with small amounts of samples. In the microscopic detection model, blood stains are placed under a microscope for diagnosing malaria. But accurate diagnosis is hard in this method, particularly in developing nations where the disease is most common. The microscopic detection processes are expensive and time-consuming due to the usage of microscopes. The quality of the blood smears and the availability of a qualified specialist, who is skilled in recognizing the disease, impact the accuracy of malaria detection results. The traditional deep learning-based malaria identification models need more processing power. Therefore, a deep learning-based adaptive method is designed to detect malaria cells through the medical image. Hence, the images are gathered from the standard sites and then fed to the segmentation process. Here, the abnormality segmentation is carried out with the help of a developed Trans-MobileUNet + + (T-MUnet + +) network. Trans-MobileUNet + + captures global context, so it is well-suited for segmentation tasks. The segmented image is applied to the adaptive detection phase where the Adaptive and Atrous Convolution-based Recurrent MobilenetV2 (AA-CRMV2) model is designed for the effective recognition of malaria cells. The efficiency of the designed approach is elevated by optimizing the parameters from the AA-CRMV2 network with the help of the Updated Random Parameter-based Fennec Fox Optimization (URP-FFO) algorithm. Several experimental analyses are evaluated in the implemented model over classical techniques to display their effectualness rate.</t>
  </si>
  <si>
    <t xml:space="preserve">India, Saudi Arabia, Oman, Malaysia, Pakistan</t>
  </si>
  <si>
    <t xml:space="preserve">– Trans-MobileUNet++ (segmentation network)
– AA-CRMV2: Adaptive and Atrous Convolution-Based Recurrent MobilenetV2 (classification)
– URP-FFO optimizer</t>
  </si>
  <si>
    <t xml:space="preserve">– Accuracy: 94.88% (Dataset 1), 92.86% (Dataset 2)
– Dice coefficient, F1-score, ROC-AUC (~0.7), Precision, FPR, FNR</t>
  </si>
  <si>
    <t xml:space="preserve">– No external clinical validation
– Limited to publicly available datasets
– Computational complexity may hinder real-time application</t>
  </si>
  <si>
    <t xml:space="preserve">JOURNAL OF IMAGING INFORMATICS IN MEDICINE</t>
  </si>
  <si>
    <t xml:space="preserve">Malaria cell segmentation and detection; Updated Random Parameter-based Fennec Fox Optimization; Trans-MobileUNet plus plus; Adaptive and Atrous Convolution-based Recurrent MobilenetV2</t>
  </si>
  <si>
    <t xml:space="preserve">[Pandiaraj, A.] SRM Inst Sci &amp; Technol, Sch Comp, Dept Comp Technol, Chennai 603203, Tamil Nadu, India; [Kshirsagar, Pravin R.] J D Coll Engn &amp; Management, Nagpur 441501, Maharashtra, India; [Thiagarajan, R.] Prathyusha Engn Coll, Dept Informat Technol, Chennai 600007, Tamil Nadu, India; [Tak, Tan Kuan; Sivaneasan, B.] Singapore Inst Technol, Engn Cluster, Singapore, Singapore</t>
  </si>
  <si>
    <t xml:space="preserve">SRM Institute of Science &amp; Technology Chennai; Singapore Institute of Technology</t>
  </si>
  <si>
    <t xml:space="preserve">Pandiaraj, A (corresponding author), SRM Inst Sci &amp; Technol, Sch Comp, Dept Comp Technol, Chennai 603203, Tamil Nadu, India.</t>
  </si>
  <si>
    <t xml:space="preserve">pandi.mnmjain@gmail.com; pravinrk88@yahoo.com; rthiyagarajantpt@gmail.com; kuantak.tan@singaporetech.edu.sg; sivaneasan@singaporetech.edu.sg</t>
  </si>
  <si>
    <t xml:space="preserve">NEW YORK</t>
  </si>
  <si>
    <t xml:space="preserve">ONE NEW YORK PLAZA, SUITE 4600, NEW YORK, NY, UNITED STATES</t>
  </si>
  <si>
    <t xml:space="preserve">2948-2925</t>
  </si>
  <si>
    <t xml:space="preserve">2948-2933</t>
  </si>
  <si>
    <t xml:space="preserve">J IMAGING INFORM MED</t>
  </si>
  <si>
    <t xml:space="preserve">J. Imaging Inform. Med.</t>
  </si>
  <si>
    <t xml:space="preserve">2024 DEC 4</t>
  </si>
  <si>
    <t xml:space="preserve">10.1007/s10278-024-01311-7</t>
  </si>
  <si>
    <t xml:space="preserve">Radiology, Nuclear Medicine &amp; Medical Imaging</t>
  </si>
  <si>
    <t xml:space="preserve">O3S4H</t>
  </si>
  <si>
    <t xml:space="preserve">WOS:001370365700001</t>
  </si>
  <si>
    <t xml:space="preserve">Hevia-Montiel, N; Haro, P; Guillermo-Cordero, L; Perez-Gonzalez, J</t>
  </si>
  <si>
    <t xml:space="preserve">Hevia-Montiel, Nidiyare; Haro, Paulina; Guillermo-Cordero, Leonardo; Perez-Gonzalez, Jorge</t>
  </si>
  <si>
    <t xml:space="preserve">Deep Learning-Based Segmentation of Trypanosoma cruzi Nests in Histopathological Images</t>
  </si>
  <si>
    <t xml:space="preserve">The use of artificial intelligence has shown good performance in the medical imaging area, in particular the deep learning methods based on convolutional neural networks for classification, detection, and/or segmentation tasks. The task addressed in this research work is the segmentation of amastigote nests from histological microphotographs in the study of Trypanosoma cruzi infection (Chagas disease) implementing a U-Net convolutional network architecture. For the nests' segmentation, a U-Net architecture was trained on histological images of an acute-stage murine experimental model performing a 5-fold cross-validation, while the final tests were carried out with data unseen by the U-Net from three image groups of different experimental models. During the training stage, the obtained results showed an average accuracy of 98.19 +/- 0.01, while in the case of the final tests, an average accuracy of 99.9 +/- 0.1 was obtained for the control group, as well as 98.8 +/- 0.9 and 99.1 +/- 0.8 for two infected groups; in all cases, high sensitivity and specificity were observed in the results. We can conclude that the use of a U-Net architecture proves to be a relevant tool in supporting the diagnosis and analysis of histological images for the study of Chagas disease.</t>
  </si>
  <si>
    <t xml:space="preserve">Mexico</t>
  </si>
  <si>
    <t xml:space="preserve">Mexico city</t>
  </si>
  <si>
    <t xml:space="preserve">Histopathological image data</t>
  </si>
  <si>
    <t xml:space="preserve">Chagas disease</t>
  </si>
  <si>
    <t xml:space="preserve">	U-Net</t>
  </si>
  <si>
    <t xml:space="preserve">- Accuracy: up to 99.1% on test images
- Dice coefficient: up to 0.80
- Jaccard index: up to 0.67
- Best threshold: t = 0.20</t>
  </si>
  <si>
    <t xml:space="preserve">	– Limited to murine models, no human clinical images
– Manual annotations by experts may miss small nests
– Potential oversegmentation on false positives</t>
  </si>
  <si>
    <t xml:space="preserve">ELECTRONICS</t>
  </si>
  <si>
    <t xml:space="preserve">automatic nest segmentation; chagas disease; convolutional neural network; deep learning; histopathological imaging; Trypanosoma cruzi infection; Trypanosoma cruzi infection</t>
  </si>
  <si>
    <t xml:space="preserve">CHAGAS-DISEASE</t>
  </si>
  <si>
    <t xml:space="preserve">[Hevia-Montiel, Nidiyare; Perez-Gonzalez, Jorge] Univ Nacl Autonoma Mexico, Unidad Acad Inst Invest Matemat Aplicadas &amp; Siste, Km 4-5 Carretera Merida Tetiz, Ucu 97357, Yucatan, Mexico; [Haro, Paulina] Univ Autonoma Baja Calif, Inst Invest Ciencias Vet, Mexicali 21386, Baja California, Mexico; [Guillermo-Cordero, Leonardo] Univ Autonoma Yucatan, Fac Med Vet &amp; Zootecnia, Km 15-5 Carretera Merida Xmatkuil, Tizapan 97100, Yucatan, Mexico</t>
  </si>
  <si>
    <t xml:space="preserve">Universidad Nacional Autonoma de Mexico; Universidad Autonoma de Baja California</t>
  </si>
  <si>
    <t xml:space="preserve">Hevia-Montiel, N (corresponding author), Univ Nacl Autonoma Mexico, Unidad Acad Inst Invest Matemat Aplicadas &amp; Siste, Km 4-5 Carretera Merida Tetiz, Ucu 97357, Yucatan, Mexico.</t>
  </si>
  <si>
    <t xml:space="preserve">nidiyare.hevia@iimas.unam.mx; paulina.haro@uabc.edu.mx; leonardo.guillermo@correo.uady.mx; jorge.perez@iimas.unam.mx</t>
  </si>
  <si>
    <t xml:space="preserve">Perez–Gonzalez, Jorge/AEZ-5186-2022; Hevia-Montiel, Nidiyare/R-6626-2016</t>
  </si>
  <si>
    <t xml:space="preserve">Haro Alvarez, Ana Paulina/0000-0003-0101-8512; Hevia-Montiel, Nidiyare/0000-0003-4238-7496; Guillermo Cordero, Leonardo/0000-0002-9561-2602</t>
  </si>
  <si>
    <t xml:space="preserve">UNAM-PAPIIT Programs [IT101422, IA104622]</t>
  </si>
  <si>
    <t xml:space="preserve">UNAM-PAPIIT Programs</t>
  </si>
  <si>
    <t xml:space="preserve">MDPI AG, Grosspeteranlage 5, CH-4052 BASEL, SWITZERLAND</t>
  </si>
  <si>
    <t xml:space="preserve">2079-9292</t>
  </si>
  <si>
    <t xml:space="preserve">ELECTRONICS-SWITZ</t>
  </si>
  <si>
    <t xml:space="preserve">Electronics</t>
  </si>
  <si>
    <t xml:space="preserve">Computer Science, Information Systems; Engineering, Electrical &amp; Electronic; Physics, Applied</t>
  </si>
  <si>
    <t xml:space="preserve">Computer Science; Engineering; Physics</t>
  </si>
  <si>
    <t xml:space="preserve">U5MG6</t>
  </si>
  <si>
    <t xml:space="preserve">WOS:001085237500001</t>
  </si>
  <si>
    <t xml:space="preserve">Guesmi, T</t>
  </si>
  <si>
    <t xml:space="preserve">Guesmi, Tawfik</t>
  </si>
  <si>
    <t xml:space="preserve">Detecting Pneumonia with a Deep Learning Model and Random Data Augmentation Techniques</t>
  </si>
  <si>
    <t xml:space="preserve">research paper presents an investigation into the detection of pneumonia using deep learning models and data augmentation techniques. The study compares and evaluates the performance of different models based on experimental results. The proposed model consists of multiple convolutional layers and maxpooling layers. Extensive experiments were conducted on a dataset, and the results demonstrate the efficiency and accuracy of our approach. The findings highlight the potential of deep learning in pneumonia detection and contribute to the existing body of knowledge in this field. The implications of this research can have a significant impact on improving diagnostic accuracy and patient outcomes. Future research directions could explore further enhancements in the model architecture, investigate additional data augmentation techniques, and consider larger datasets for more comprehensive evaluations.</t>
  </si>
  <si>
    <t xml:space="preserve">Saudi Arabia</t>
  </si>
  <si>
    <t xml:space="preserve">China</t>
  </si>
  <si>
    <t xml:space="preserve">Chest X-ray images</t>
  </si>
  <si>
    <t xml:space="preserve">Pneumonia</t>
  </si>
  <si>
    <t xml:space="preserve">- Custom CNN,
-DenseNet and MobileNet</t>
  </si>
  <si>
    <t xml:space="preserve">• CNN: up to 97.88%
• MobileNet: up to 99.99%
• DenseNet: up to 87.78%
- Proposed CNN model scores: Accuracy = 92%, Precision = 92%, Recall = 91%, F1-score = 91%</t>
  </si>
  <si>
    <t xml:space="preserve">– Model validated only on four pre-selected datasets from one source
– No external testing on real clinical settings
– Study limited to pediatric X-rays only</t>
  </si>
  <si>
    <t xml:space="preserve">INTERNATIONAL JOURNAL OF ADVANCED COMPUTER SCIENCE AND APPLICATIONS</t>
  </si>
  <si>
    <t xml:space="preserve">SCIENCE &amp; INFORMATION SAI ORGANIZATION LTD</t>
  </si>
  <si>
    <t xml:space="preserve">Deep learning; pneumonia detection; convolutional neural network; random data augmentation</t>
  </si>
  <si>
    <t xml:space="preserve">CLASSIFICATION; DIAGNOSIS; MALARIA</t>
  </si>
  <si>
    <t xml:space="preserve">[Guesmi, Tawfik] Univ Hail, Dept Elect Engn, Coll Engn, Hail 2240, Saudi Arabia</t>
  </si>
  <si>
    <t xml:space="preserve">University Ha'il</t>
  </si>
  <si>
    <t xml:space="preserve">Guesmi, T (corresponding author), Univ Hail, Dept Elect Engn, Coll Engn, Hail 2240, Saudi Arabia.</t>
  </si>
  <si>
    <t xml:space="preserve">Guesmi, Tawfik/AAR-8845-2021</t>
  </si>
  <si>
    <t xml:space="preserve">WEST YORKSHIRE</t>
  </si>
  <si>
    <t xml:space="preserve">19 BOLLING RD, BRADFORD, WEST YORKSHIRE, 00000, ENGLAND</t>
  </si>
  <si>
    <t xml:space="preserve">2158-107X</t>
  </si>
  <si>
    <t xml:space="preserve">2156-5570</t>
  </si>
  <si>
    <t xml:space="preserve">INT J ADV COMPUT SC</t>
  </si>
  <si>
    <t xml:space="preserve">Int. J. Adv. Comput. Sci. Appl.</t>
  </si>
  <si>
    <t xml:space="preserve">MAY</t>
  </si>
  <si>
    <t xml:space="preserve">Computer Science, Theory &amp; Methods</t>
  </si>
  <si>
    <t xml:space="preserve">K2UY5</t>
  </si>
  <si>
    <t xml:space="preserve">WOS:001015053800001</t>
  </si>
  <si>
    <t xml:space="preserve">Vu, DM; Krystosik, AR; Ndenga, BA; Mutuku, FM; Ripp, K; Liu, E; Bosire, CM; Heath, C; Chebii, P; Maina, PW; Jembe, Z; Malumbo, SL; Amugongo, JS; Ronga, C; Okuta, V; Mutai, N; Makenzi, NG; Litunda, KA; Mukoko, D; King, CH; Labeaud, AD</t>
  </si>
  <si>
    <t xml:space="preserve">Vu, David M.; Krystosik, Amy R.; Ndenga, Bryson A.; Mutuku, Francis M.; Ripp, Kelsey; Liu, Elizabeth; Bosire, Carren M.; Heath, Claire; Chebii, Philip; Maina, Priscilla Watiri; Jembe, Zainab; Malumbo, Said Lipi; Amugongo, Jael Sagina; Ronga, Charles; Okuta, Victoria; Mutai, Noah; Makenzi, Nzaro G.; Litunda, Kennedy A.; Mukoko, Dunstan; King, Charles H.; Labeaud, A. Desiree</t>
  </si>
  <si>
    <t xml:space="preserve">Detection of acute dengue virus infection with and without concurrent malaria , infection, in a cohort of febrile children in Kenya, 2014-2019, by clinicians or machine learning algorithms</t>
  </si>
  <si>
    <t xml:space="preserve">Poor access to diagnostic testing in resource limited settings restricts surveillance for emerging infections, such as dengue virus (DENV), to clinician suspicion, based on history and exam observations alone. We investigated the ability of machine learning to detect DENV based solely on data available at the clinic visit. We extracted symptom and physical exam data from 6,208 pediatric febrile illness visits to Kenyan public health clinics from 2014-2019 and created a dataset with 113 clinical features. Malaria testing was available at the clinic site. DENV testing was performed afterwards. We randomly sampled 70% of the dataset to develop DENV and malaria prediction models using boosted logistic regression, decision trees and random forests, support vector machines, na &amp; iuml;ve Bayes, and neural networks with 10-fold cross validation, tuned to maximize accuracy. 30% of the dataset was reserved to validate the models. 485 subjects (7.8%) had DENV, and 3,145 subjects (50.7%) had malaria. 220 (3.5%) subjects had co-infection with both DENV and malaria. In the validation dataset, clinician accuracy for diagnosis of malaria was high (82% accuracy, 85% sensitivity, 80% specificity). Accuracy of the models for predicting malaria diagnosis ranged from 53-69% (35-94% sensitivity, 11-80% specificity). In contrast, clinicians detected only 21 of 145 cases of DENV (80% accuracy, 14% sensitivity, 85% specificity). Of the six models, only logistic regression identified any DENV case (8 cases, 91% accuracy,5.5% sensitivity, 98% specificity). Without diagnostic testing, interpretation of clinical findings by humans or machines cannot detect DENV at 8% prevalence. Access to point-of- care diagnostic tests must be prioritized to address global inequities in emerging infections surveillance.</t>
  </si>
  <si>
    <t xml:space="preserve">USA, Kenya, Rwanda</t>
  </si>
  <si>
    <t xml:space="preserve">Clinical and demographic data</t>
  </si>
  <si>
    <t xml:space="preserve">Dengue, Malaria, Co-infection</t>
  </si>
  <si>
    <t xml:space="preserve">– Logistic Regression with boosting
– Decision Tree
– Random Forest
– Support Vector Machine (SVM)
– Naïve Bayes
– Neural Network</t>
  </si>
  <si>
    <t xml:space="preserve">- Best model (Logistic Regression with boosting):
• Dengue detection: AUC = 0.60, Sensitivity = 40.6%, Specificity = 84.6%
• Malaria detection: AUC = 0.89, Sensitivity = 88.4%, Specificity = 78.3%
- Clinician accuracy for dengue: 18.4%</t>
  </si>
  <si>
    <t xml:space="preserve">PLOS GLOBAL PUBLIC HEALTH</t>
  </si>
  <si>
    <t xml:space="preserve">FEVER</t>
  </si>
  <si>
    <t xml:space="preserve">[Vu, David M.; Krystosik, Amy R.; Liu, Elizabeth; Labeaud, A. Desiree] Stanford Univ, Sch Med, Dept Pediat, Div Infect Dis, Stanford, CA 94305 USA; [Ndenga, Bryson A.; Ronga, Charles; Mutai, Noah] Kenya Govt Med Res Ctr, Ctr Global Hlth Res, Kisumu, Kenya; [Mutuku, Francis M.] Tech Univ Mombasa, Dept Environm &amp; Hlth Sci, Mombasa, Kenya; [Ripp, Kelsey] Univ Global Hlth Equ, Butaro, Rwanda; [Bosire, Carren M.; Makenzi, Nzaro G.; Litunda, Kennedy A.] Tech Univ Mombasa, Dept Pure &amp; Appl Sci, Mombasa, Kenya; [Chebii, Philip; Maina, Priscilla Watiri; Malumbo, Said Lipi; Amugongo, Jael Sagina] Msambweni Cty Referral Hosp, Vector Borne Dis Unit, Msambweni, Kwale, Kenya; [Jembe, Zainab] Diani Hlth Ctr, Vector Borne Dis Unit, Ukunda, Kwale, Kenya; [Okuta, Victoria] Obama Childrens Hosp, Jaram Oginga Odinga Referral Hosp, Paediat Dept, Kisumu, Kenya; [Mukoko, Dunstan] Vector Borne Dis Unit, Nairobi, Kenya; [King, Charles H.] Case Western Reserve Univ, Ctr Global Hlth &amp; Dis, Dept Pathol, Sch Med, Cleveland, OH USA</t>
  </si>
  <si>
    <t xml:space="preserve">Stanford University; Kenya Medical Research Institute; Technical University of Mombasa; Technical University of Mombasa; University System of Ohio; Case Western Reserve University</t>
  </si>
  <si>
    <t xml:space="preserve">Vu, DM (corresponding author), Stanford Univ, Sch Med, Dept Pediat, Div Infect Dis, Stanford, CA 94305 USA.</t>
  </si>
  <si>
    <t xml:space="preserve">davidvu@stanford.edu</t>
  </si>
  <si>
    <t xml:space="preserve">Ripp, Kelsey/0000-0003-3790-5308; Mutuku, Francis/0000-0002-9000-7008; King, Charles/0000-0001-8349-9270; Vu, David/0000-0002-0930-4524</t>
  </si>
  <si>
    <t xml:space="preserve">National Institute of Allergy and Infectious Diseases at the National Institutes of Health [NIH R01 AI102918, NIH K23AI127909]; Stanford Maternal &amp; Child Health Research Institute; Lucille Packard Foundation for Children's Health, and Spectrum (Stanford Center for Clinical &amp; Translational Research Education) [KL2 TR 001083, UL1 TR 001085]</t>
  </si>
  <si>
    <t xml:space="preserve">National Institute of Allergy and Infectious Diseases at the National Institutes of Health(United States Department of Health &amp; Human ServicesNational Institutes of Health (NIH) - USANIH National Institute of Allergy &amp; Infectious Diseases (NIAID)); Stanford Maternal &amp; Child Health Research Institute; Lucille Packard Foundation for Children's Health, and Spectrum (Stanford Center for Clinical &amp; Translational Research Education)</t>
  </si>
  <si>
    <t xml:space="preserve">This work was supported by the National Institute of Allergy and Infectious Diseases at the National Institutes of Health [NIH K23AI127909] to D.M.V. and [NIH R01 AI102918] to A.D.L.; the Stanford Maternal &amp; Child Health Research Institute, Lucille Packard Foundation for Children's Health, and Spectrum (the Stanford Center for Clinical &amp; Translational Research &amp; Education) [KL2 TR 001083, UL1 TR 001085] to D.M.V. The funders of the study had no role in study design, data collection, data analysis, data interpretation, or writing of the report, or in the decision to submit the paper for publication.</t>
  </si>
  <si>
    <t xml:space="preserve">2767-3375</t>
  </si>
  <si>
    <t xml:space="preserve">PLOS GLOB PUBL HLTH</t>
  </si>
  <si>
    <t xml:space="preserve">PLOS Glob. Public Health</t>
  </si>
  <si>
    <t xml:space="preserve">JUL 26</t>
  </si>
  <si>
    <t xml:space="preserve">W3L6I</t>
  </si>
  <si>
    <t xml:space="preserve">WOS:001417637200001</t>
  </si>
  <si>
    <t xml:space="preserve">Lee, DS; Lee, DY; Park, YS</t>
  </si>
  <si>
    <t xml:space="preserve">Lee, Dae-Seong; Lee, Da-Yeong; Park, Young-Seuk</t>
  </si>
  <si>
    <t xml:space="preserve">Interpretable machine learning approach to analyze the effects of landscape and meteorological factors on mosquito occurrences in Seoul, South Korea</t>
  </si>
  <si>
    <t xml:space="preserve">Mosquitoes are the underlying cause of various public health and economic problems. In this study, patterns of mosquito occurrence were analyzed based on landscape and meteorological factors in the metropolitan city of Seoul. We evaluated the influence of environmental factors on mosquito occurrence through the interpretation of prediction models with a machine learning algorithm. Through hierarchical cluster analysis, the study areas were classified into waterside and non-waterside areas, according to the landscape patterns. The mosquito occurrence was higher in the waterside area, and mosquito abundance was negatively affected by rainfall at the waterside. The mosquito occurrence was predicted in each cluster area based on the landscape and cumulative meteorological variables using a random forest algorithm. Both models exhibited good performance (both accuracy and AUROC &gt; 0.8) in predicting the level of mosquito occurrence. The embedded relationship between the mosquito occurrence and the environmental factors in the models was explained using the Shapley additive explanation method. According to the variable importance and the partial dependence plots for each model, the waterside area was more influenced by the meteorological and land cover variables than the non-waterside area. Therefore, mosquito control strategies should consider the effects of landscape and meteorological conditions, including the temperature, rainfall, and the landscape heterogeneity. The present findings can contribute to the development of mosquito forecasting systems in metropolitan cities for the promotion of public health.</t>
  </si>
  <si>
    <t xml:space="preserve">South Korea</t>
  </si>
  <si>
    <t xml:space="preserve">Seoul, South Korea </t>
  </si>
  <si>
    <t xml:space="preserve">– Mosquito abundance data from digital mosquito monitoring systems (DMS)
– Meteorological data (temperature, rainfall, etc.)
– Landscape/land cover data</t>
  </si>
  <si>
    <t xml:space="preserve">Mosquito-borne disease risk surveillance</t>
  </si>
  <si>
    <t xml:space="preserve">Random Forest (RF)</t>
  </si>
  <si>
    <t xml:space="preserve">– Accuracy: 89.5% (cluster 1), 87.0% (cluster 2)
– AUROC: 0.827 (cluster 1), 0.808 (cluster 2)</t>
  </si>
  <si>
    <t xml:space="preserve">– Model trained on mosquito abundance only (not disease incidence)
– Species-level counts not differentiated by DMS
– Limited to one urban district (Yeongdeungpo)</t>
  </si>
  <si>
    <t xml:space="preserve">ENVIRONMENTAL SCIENCE AND POLLUTION RESEARCH</t>
  </si>
  <si>
    <t xml:space="preserve">Mosquito occurrence pattern; Prediction model; Landscape conditions; Meteorological conditions; Shapley additive explanations</t>
  </si>
  <si>
    <t xml:space="preserve">CLIMATE-CHANGE; AEDES-AEGYPTI; POPULATIONS; ABUNDANCE; CLASSIFICATION; PATTERNS; MALARIA; AREA</t>
  </si>
  <si>
    <t xml:space="preserve">[Lee, Dae-Seong; Lee, Da-Yeong; Park, Young-Seuk] Kyung Hee Univ, Dept Biol, Seoul 02447, South Korea</t>
  </si>
  <si>
    <t xml:space="preserve">Kyung Hee University</t>
  </si>
  <si>
    <t xml:space="preserve">Park, YS (corresponding author), Kyung Hee Univ, Dept Biol, Seoul 02447, South Korea.</t>
  </si>
  <si>
    <t xml:space="preserve">parkys@khu.ac.kr</t>
  </si>
  <si>
    <t xml:space="preserve">Park, Youngseuk/D-6462-2013; Lee, Dae-Seong/IZQ-3960-2023</t>
  </si>
  <si>
    <t xml:space="preserve">Park, Young-Seuk/0000-0001-7025-8945; Lee, Dae-Seong/0000-0001-7288-0156</t>
  </si>
  <si>
    <t xml:space="preserve">National Research Foundation of Korea (NRF) - Korean government [NRF-2019R1A2C1087099]</t>
  </si>
  <si>
    <t xml:space="preserve">National Research Foundation of Korea (NRF) - Korean government(National Research Foundation of Korea)</t>
  </si>
  <si>
    <t xml:space="preserve">This work was supported by the National Research Foundation of Korea (NRF) funded by the Korean government (grant number NRF-2019R1A2C1087099).</t>
  </si>
  <si>
    <t xml:space="preserve">0944-1344</t>
  </si>
  <si>
    <t xml:space="preserve">1614-7499</t>
  </si>
  <si>
    <t xml:space="preserve">ENVIRON SCI POLLUT R</t>
  </si>
  <si>
    <t xml:space="preserve">Environ. Sci. Pollut. Res.</t>
  </si>
  <si>
    <t xml:space="preserve">10.1007/s11356-022-22099-5</t>
  </si>
  <si>
    <t xml:space="preserve">JUL 2022</t>
  </si>
  <si>
    <t xml:space="preserve">Environmental Sciences</t>
  </si>
  <si>
    <t xml:space="preserve">Environmental Sciences &amp; Ecology</t>
  </si>
  <si>
    <t xml:space="preserve">H4UK6</t>
  </si>
  <si>
    <t xml:space="preserve">hybrid, Green Published</t>
  </si>
  <si>
    <t xml:space="preserve">WOS:000834592300013</t>
  </si>
  <si>
    <t xml:space="preserve">Kariyawasam, TN; Ciocchetta, S; Visendi, P; Magalhaes, RJS; Smith, ME; Giacomin, PR; Sikulu-Lord, MT</t>
  </si>
  <si>
    <t xml:space="preserve">Kariyawasam, Tharanga N.; Ciocchetta, Silvia; Visendi, Paul; Soares Magalhaes, Ricardo J.; Smith, Maxine E.; Giacomin, Paul R.; Sikulu-Lord, Maggy T.</t>
  </si>
  <si>
    <t xml:space="preserve">Near-infrared spectroscopy and machine learning algorithms for rapid and non-invasive detection of Trichuris</t>
  </si>
  <si>
    <t xml:space="preserve">BackgroundTrichuris trichiura (whipworm) is one of the most prevalent soil transmitted helminths (STH) affecting 604-795 million people worldwide. Diagnostic tools that are affordable and rapid are required for detecting STH. Here, we assessed the performance of the near-infrared spectroscopy (NIRS) technique coupled with machine learning algorithms to detect Trichuris muris in faecal, blood, serum samples and non-invasively through the skin of mice.MethodologyWe orally infected 10 mice with 30 T. muris eggs (low dose group), 10 mice with 200 eggs (high dose group) and 10 mice were used as the control group. Using the NIRS technique, we scanned faecal, serum, whole blood samples and mice non-invasively through their skin over a period of 6 weeks post infection. Using artificial neural networks (ANN) and spectra of faecal, serum, blood and non-invasive scans from one experiment, we developed 4 algorithms to differentiate infected from uninfected mice. These models were validated on mice from the second independent experiment.Principal findingsNIRS and ANN differentiated mice into the three groups as early as 2 weeks post infection regardless of the sample used. These results correlated with those from concomitant serological and parasitological investigations.SignificanceTo our knowledge, this is the first study to demonstrate the potential of NIRS as a diagnostic tool for human STH infections. The technique could be further developed for large scale surveillance of soil transmitted helminths in human populations. The existing diagnostic tools for STH infections can be time consuming, expensive, less sensitive and some require trained personnel. These techniques are therefore not feasible for large scale programmatic surveillance. Novel surveillance tools that can be easily scaled up to guide mass drug administration (MDA) for communities at risk remain a priority. This study investigated the role of NIRS as a potential large scale surveillance tool for soil transmitted helminths using Trichiuris muris experimental mouse model. The technique is environmentally friendly because it neither requires reagents nor sample processing procedures to operate and it only takes 5-10 seconds to analyse a sample allowing thousands of samples to be assessed in a day by unskilled personnel. Our results demonstrate for the first time that infrared light coupled with machine learning has the potential to be developed into a large-scale surveillance tool for STH infections to assess impact of interventions and guide future elimination efforts.</t>
  </si>
  <si>
    <t xml:space="preserve">Australia</t>
  </si>
  <si>
    <t xml:space="preserve">Spectral data from near-infrared spectroscopy (NIRS)</t>
  </si>
  <si>
    <t xml:space="preserve">Trichuriasis</t>
  </si>
  <si>
    <t xml:space="preserve">Artificial Neural Networks (ANN)</t>
  </si>
  <si>
    <t xml:space="preserve">Sensitivity: 100% (faecal &amp; blood), 95% (serum), 97% (non-invasive skin scans)</t>
  </si>
  <si>
    <t xml:space="preserve">– Animal model only, not tested on human subjects
– No external real-world field validation
– Chemical basis of NIRS signal remains unclear
– Model performance on co-infections not assessed</t>
  </si>
  <si>
    <t xml:space="preserve">TRANSMITTED HELMINTH INFECTIONS; MURIS; TRICHIURA; DIAGNOSIS</t>
  </si>
  <si>
    <t xml:space="preserve">[Kariyawasam, Tharanga N.; Sikulu-Lord, Maggy T.] Univ Queensland, Fac Sci, Sch Environm, Brisbane, Qld, Australia; [Ciocchetta, Silvia; Soares Magalhaes, Ricardo J.] Univ Queensland, Fac Sci, Sch Vet Sci, Gatton, Qld, Australia; [Visendi, Paul] Univ Queensland, Inst Mol Biosci, Brisbane, Qld, Australia; [Soares Magalhaes, Ricardo J.] Univ Queensland, Fac Med, UQ Childrens Hlth Res Ctr, Childrens Hlth &amp; Environm Program, Brisbane, Qld, Australia; [Smith, Maxine E.; Giacomin, Paul R.] James Cook Univ, Australian Inst Trop Hlth &amp; Med, Cairns, Qld, Australia</t>
  </si>
  <si>
    <t xml:space="preserve">University of Queensland; University of Queensland; University of Queensland; University of Queensland; James Cook University</t>
  </si>
  <si>
    <t xml:space="preserve">Sikulu-Lord, MT (corresponding author), Univ Queensland, Fac Sci, Sch Environm, Brisbane, Qld, Australia.</t>
  </si>
  <si>
    <t xml:space="preserve">maggy.lord@uq.edu.au</t>
  </si>
  <si>
    <t xml:space="preserve">Ciocchetta, Silvia/AAW-1665-2020; Magalhaes, Ricardo/A-5316-2010; Sikulu, Maggy/L-8158-2017</t>
  </si>
  <si>
    <t xml:space="preserve">Sikulu, Maggy/0000-0002-9346-2970; Giacomin, Paul/0000-0002-6326-6792</t>
  </si>
  <si>
    <t xml:space="preserve">Bill AMP; Melinda Gates Foundation [OPP1213715]; Bill and Melinda Gates Foundation [OPP1213715] Funding Source: Bill and Melinda Gates Foundation</t>
  </si>
  <si>
    <t xml:space="preserve">Bill AMP; Melinda Gates Foundation(CGIAR); Bill and Melinda Gates Foundation(Bill &amp; Melinda Gates Foundation)</t>
  </si>
  <si>
    <t xml:space="preserve">This study was supported by the Bill &amp; Melinda Gates Foundation (https://www.gatesfoundation.org), Grant number: OPP1213715. MTS-L, SC, RJSM and PG received this grant. The funders had no role in study design, data collection and analysis, decision to publish, or preparation of the manuscript.</t>
  </si>
  <si>
    <t xml:space="preserve">NOV</t>
  </si>
  <si>
    <t xml:space="preserve">e0011695</t>
  </si>
  <si>
    <t xml:space="preserve">10.1371/journal.pntd.0011695</t>
  </si>
  <si>
    <t xml:space="preserve">AR3P1</t>
  </si>
  <si>
    <t xml:space="preserve">Green Published, gold</t>
  </si>
  <si>
    <t xml:space="preserve">WOS:001120150700005</t>
  </si>
  <si>
    <t xml:space="preserve">Glidden, CK; Murran, AR; Silva, RAL; Castellanos, A; Han, BL; Mordecai, EA</t>
  </si>
  <si>
    <t xml:space="preserve">Glidden, Caroline K.; Murran, Aisling Roya; Silva, Rafaella Albuquerque L.; Castellanos, Adrian; Han, Barbara L.; Mordecai, Erin</t>
  </si>
  <si>
    <t xml:space="preserve">Phylogenetic and biogeographical traits predict unrecognized hosts of zoonotic leishmaniasis</t>
  </si>
  <si>
    <t xml:space="preserve">The spatio-temporal distribution of leishmaniasis, a parasitic vector-borne zoonotic disease, is significantly impacted by land-use change and climate warming in the Americas. However, predicting and containing outbreaks is challenging as the zoonotic Leishmania system is highly complex: leishmaniasis (visceral, cutaneous and muco-cutaneous) in humans is caused by up to 14 different Leishmania species, and the parasite is transmitted by dozens of sandfly species and is known to infect almost twice as many wildlife species. Despite the already broad known host range, new hosts are discovered almost annually and Leishmania transmission to humans occurs in absence of a known host. As such, the full range of Leishmania hosts is undetermined, inhibiting the use of ecological interventions to limit pathogen spread and the ability to accurately predict the impact of global change on disease risk. Here, we employed a machine learning approach to generate trait profiles of known zoonotic Leishmania wildlife hosts (mammals that are naturally exposed and susceptible to infection) and used trait-profiles of known hosts to identify potentially unrecognized hosts. We found that biogeography, phylogenetic distance, and study effort best predicted Leishmania host status. Traits associated with global change, such as agricultural land-cover, urban land-cover, and climate, were among the top predictors of host status. Most notably, our analysis suggested that zoonotic Leishmania hosts are significantly undersampled, as our model predicted just as many unrecognized hosts as unknown hosts. Overall, our analysis facilitates targeted surveillance strategies and improved understanding of the impact of environmental change on local transmission cycles. Author summaryLeishmaniasis is a zoonotic, vector borne disease of poverty with a high burden throughout the Americas: within Latin America there are an estimated 58,500 new cases per year and 54,050 years of life lost due to disability. Although the World Health Organization has targeted leishmaniasis for elimination and control by 2030, the disease remains a persistent threat. Across the Americas, particularly in Central America, the southeastern United States, and perimeters of the Amazon Basin, risk of infection is increasing in geographic extent and elevation. While it is known that Leishmania parasites, the causative agent of leishmaniasis, are maintained in the environment via a mammalian host, the full suite of wildlife hosts has yet to be documented, which significantly hinders control efforts. Here, we use machine learning and ecological and evolutionary trait profiles of known hosts to identify unrecognized potential wildlife hosts of Leishmania. We identify 136 mammals in the Americas that are likely to be exposed to and infected by zoonotic Leishmania in the wild. The high number of unrecognized potential hosts emphasizes a need to better invest in studying the ecological epidemiology of leishmaniasis. The study provides information and tools to support targeted intervention and management of this important poverty-associated disease.</t>
  </si>
  <si>
    <t xml:space="preserve">USA, Canada, United Kingdom</t>
  </si>
  <si>
    <t xml:space="preserve">Global scope</t>
  </si>
  <si>
    <t xml:space="preserve">– Phylogenetic data
– Biogeographical traits
– Life-history traits
– Zoonotic host status</t>
  </si>
  <si>
    <t xml:space="preserve">Zoonotic Leishmaniasis</t>
  </si>
  <si>
    <t xml:space="preserve">XGBoost</t>
  </si>
  <si>
    <t xml:space="preserve">- AUC (Area Under the Curve): 0.85
- F1-score: 0.72</t>
  </si>
  <si>
    <t xml:space="preserve">– Lack of empirical validation of predicted hosts
– Bias in existing host data toward well-sampled species and regions
– Exclusion of vector distribution data</t>
  </si>
  <si>
    <t xml:space="preserve">CUTANEOUS LEISHMANIASIS; INFECTION; BIODIVERSITY; EPIDEMIOLOGY; RESERVOIRS; INFANTUM; ECOLOGY; BRAZIL; WILD</t>
  </si>
  <si>
    <t xml:space="preserve">[Glidden, Caroline K.; Murran, Aisling Roya; Mordecai, Erin] Stanford Univ, Dept Biol, Stanford, CA 94305 USA; [Silva, Rafaella Albuquerque L.] Minist Saude Brasil, Secretaria Vigilancia Saude, Distrito Federal, Brazil; [Castellanos, Adrian; Han, Barbara L.] Cary Inst Ecosyst Studies, Millbrook, NY USA</t>
  </si>
  <si>
    <t xml:space="preserve">Stanford University; Cary Institute of Ecosystem Studies</t>
  </si>
  <si>
    <t xml:space="preserve">Glidden, CK (corresponding author), Stanford Univ, Dept Biol, Stanford, CA 94305 USA.</t>
  </si>
  <si>
    <t xml:space="preserve">cglidden@stanford.edu</t>
  </si>
  <si>
    <t xml:space="preserve">Mordecai, Erin/0000-0002-4402-5547</t>
  </si>
  <si>
    <t xml:space="preserve">National Science Foundation [DEB-2011147, EEID-1717282]; National Institutes of Health [R35GM133439, R01AI102981, R0AI168097]; Stanford King Center for Global Development; Stanford Woods Institute for the Environment; Stanford Center for Innovation in Global Health; Office of the Vice Provost for Undergraduate Education at Stanford</t>
  </si>
  <si>
    <t xml:space="preserve">National Science Foundation(National Science Foundation (NSF)); National Institutes of Health(United States Department of Health &amp; Human ServicesNational Institutes of Health (NIH) - USA); Stanford King Center for Global Development; Stanford Woods Institute for the Environment; Stanford Center for Innovation in Global Health; Office of the Vice Provost for Undergraduate Education at Stanford</t>
  </si>
  <si>
    <t xml:space="preserve">This project was supported by the National Science Foundation (Awards DEB -2011147 to EAM and supported CKG; EEID-1717282 awarded to BAH), the National Institutes of Health awarded to EAM (Award numbers: R35GM133439, R01AI102981, R0AI168097). EAM was additionally supported by the Stanford King Center for Global Development, the Stanford Woods Institute for the Environment, and the Stanford Center for Innovation in Global Health. ARM was funded by a small grant from the Office of the Vice Provost for Undergraduate Education at Stanford. The funders had no role in study design, data collection and analysis, decision to publish, or preparation of the manuscript.</t>
  </si>
  <si>
    <t xml:space="preserve">e0010879</t>
  </si>
  <si>
    <t xml:space="preserve">10.1371/journal.pntd.0010879</t>
  </si>
  <si>
    <t xml:space="preserve">I1EJ1</t>
  </si>
  <si>
    <t xml:space="preserve">Green Published, gold, Green Submitted</t>
  </si>
  <si>
    <t xml:space="preserve">WOS:001000271600003</t>
  </si>
  <si>
    <t xml:space="preserve">Ojurongbe, TA; Afolabi, HA; Bashiru, KA; Sule, WF; Akinde, SB; Ojurongbe, O; Adegoke, NA</t>
  </si>
  <si>
    <t xml:space="preserve">Ojurongbe, Taiwo Adetola; Afolabi, Habeeb Abiodun; Bashiru, Kehinde Adekunle; Sule, Waidi Folorunso; Akinde, Sunday Babatunde; Ojurongbe, Olusola; Adegoke, Nurudeen A.</t>
  </si>
  <si>
    <t xml:space="preserve">Prediction of malaria positivity using patients' demographic and environmental features and clinical symptoms to complement parasitological confirmation before treatment</t>
  </si>
  <si>
    <t xml:space="preserve">Background Current malaria diagnosis methods that rely on microscopy and Histidine Rich Protein-2 (HRP2)-based rapid diagnostic tests (RDT) have drawbacks that necessitate the development of improved and complementary malaria diagnostic methods to overcome some or all these limitations. Consequently, the addition of automated detection and classification of malaria using laboratory methods can provide patients with more accurate and faster diagnosis. Therefore, this study used a machine-learning model to predict Plasmodium falciparum (Pf) antigen positivity (presence of malaria) based on sociodemographic behaviour, environment, and clinical features.Method Data from 200 Nigerian patients were used to develop predictive models using nested cross-validation and sequential backward feature selection (SBFS), with 80% of the dataset randomly selected for training and optimisation and the remaining 20% for testing the models. Outcomes were classified as Pf-positive or Pf-negative, corresponding to the presence or absence of malaria, respectively.Results Among the three machine learning models examined, the penalised logistic regression model had the best area under the receiver operating characteristic curve for the training set (AUC = 84%; 95% confidence interval [CI]: 75-93%) and test set (AUC = 83%; 95% CI: 63-100%). Increased odds of malaria were associated with higher body weight (adjusted odds ratio (AOR) = 4.50, 95% CI: 2.27 to 8.01, p &lt; 0.0001). Even though the association between the odds of having malaria and body temperature was not significant, patients with high body temperature had higher odds of testing positive for the Pf antigen than those who did not have high body temperature (AOR = 1.40, 95% CI: 0.99 to 1.91, p = 0.068). In addition, patients who had bushes in their surroundings (AOR = 2.60, 95% CI: 1.30 to 4.66, p = 0.006) or experienced fever (AOR = 2.10, 95% CI: 0.88 to 4.24, p = 0.099), headache (AOR = 2.07; 95% CI: 0.95 to 3.95, p = 0.068), muscle pain (AOR = 1.49; 95% CI: 0.66 to 3.39, p = 0.333), and vomiting (AOR = 2.32; 95% CI: 0.85 to 6.82, p = 0.097) were more likely to experience malaria. In contrast, decreased odds of malaria were associated with age (AOR = 0.62, 95% CI: 0.41 to 0.90, p = 0.012) and BMI (AOR = 0.47, 95% CI: 0.26 to 0.80, p = 0.006).Conclusion Newly developed routinely collected baseline sociodemographic, environmental, and clinical features to predict Pf antigen positivity may be a valuable tool for clinical decision-making.</t>
  </si>
  <si>
    <t xml:space="preserve">Nigeria, Australia</t>
  </si>
  <si>
    <t xml:space="preserve">Clinical, demographic, and environmental data</t>
  </si>
  <si>
    <t xml:space="preserve">– Penalised Logistic Regression (best)
– Bayesian Generalised Model
– Decision Tree</t>
  </si>
  <si>
    <t xml:space="preserve">– AUC (Test): 83% for penalised logistic regression
– Sensitivity: 0.818
– Specificity: 0.714
– PPV: 0.931
– NPV: 0.455</t>
  </si>
  <si>
    <t xml:space="preserve">– Small sample size (n=200)
– No external dataset validation
– Possible recall bias from self-reported symptoms
– RDT limitations acknowledged</t>
  </si>
  <si>
    <t xml:space="preserve">TROPICAL DISEASES TRAVEL MEDICINE AND VACCINES</t>
  </si>
  <si>
    <t xml:space="preserve">Environmental features; Malaria; Machine learning; Prediction; Social-demographical behaviour; Symptoms</t>
  </si>
  <si>
    <t xml:space="preserve">PLASMODIUM-FALCIPARUM; ENDEMIC REGIONS; RISK-FACTORS; MICROSCOPY; DIAGNOSIS; RESISTANCE; CHILDREN</t>
  </si>
  <si>
    <t xml:space="preserve">[Ojurongbe, Taiwo Adetola; Afolabi, Habeeb Abiodun; Bashiru, Kehinde Adekunle] Osun State Univ, Dept Stat, Osogbo, Nigeria; [Sule, Waidi Folorunso; Akinde, Sunday Babatunde] Osun State Univ, Dept Microbiol, Osogbo, Nigeria; [Ojurongbe, Olusola] Ladoke Akintola Univ Technol, Dept Med Microbiol &amp; Parasitol, Ogbomosho, Nigeria; [Ojurongbe, Olusola] Ladoke Akintola Univ Technol, Ctr Emerging &amp; Reemerging Infect Dis, Ogbomosho, Nigeria; [Adegoke, Nurudeen A.] Univ Sydney, Melanoma Inst Australia, Sydney, Australia</t>
  </si>
  <si>
    <t xml:space="preserve">Melanoma Institute Australia; University of Sydney</t>
  </si>
  <si>
    <t xml:space="preserve">Ojurongbe, TA (corresponding author), Osun State Univ, Dept Stat, Osogbo, Nigeria.</t>
  </si>
  <si>
    <t xml:space="preserve">taiwo.ojurongbe@uniosun.edu.ng</t>
  </si>
  <si>
    <t xml:space="preserve">Ojurongbe, O./AGS-2115-2022; Adegoke, Nurudeen/J-7427-2019</t>
  </si>
  <si>
    <t xml:space="preserve">Osun State, Nigeria</t>
  </si>
  <si>
    <t xml:space="preserve">We want to extend our sincere appreciation to the residents of Osogbo town, who submitted themselves to be tested in four different primary health care centres in Osogbo, Osun State, Nigeria.</t>
  </si>
  <si>
    <t xml:space="preserve">2055-0936</t>
  </si>
  <si>
    <t xml:space="preserve">TROP DIS TRAVEL MED</t>
  </si>
  <si>
    <t xml:space="preserve">DEC 15</t>
  </si>
  <si>
    <t xml:space="preserve">Public, Environmental &amp; Occupational Health; Infectious Diseases; Tropical Medicine</t>
  </si>
  <si>
    <t xml:space="preserve">CK6L1</t>
  </si>
  <si>
    <t xml:space="preserve">Green Submitted, gold</t>
  </si>
  <si>
    <t xml:space="preserve">WOS:001125184200001</t>
  </si>
  <si>
    <t xml:space="preserve">Angaitkar, P; Janghel, RR; Sahu, TP</t>
  </si>
  <si>
    <t xml:space="preserve">Angaitkar, Pratik; Janghel, Rekh Ram; Sahu, Tirath Prasad</t>
  </si>
  <si>
    <t xml:space="preserve">A mutation-based modified binary fruit fly optimization for feature selection to predict CD4+/CD8+T-cells epitopes</t>
  </si>
  <si>
    <t xml:space="preserve">The healthcare sector is advancing with emerging technologies that help to detect new diseases or viruses worldwide. Generally, virus detection is based on various symptomatic tests and analysis of data samples that contain raw data (blood sample, protein sequence, etc.). Raw data cannot be directly processed by any machine learning (ML) technique. Therefore, feature extraction (FE) techniques are required to generate feature vectors. FE methods yield high dimensional data. Also, ML alone cannot provide accurate results due to large feature vectors. Thus, the feature selection (FS) technique is apt to solve this problem. The paper proposes a feature engineering module in which the FE module is developed and a new FS technique is proposed. The feature engineering module can help in the vaccine development process as accurate disease diagnosis is critical as any vaccine's success depends on precise disease detection. For the first time, this paper uses a metaheuristic method for FS in T-cell prediction. A new variant of the original fruit fly optimization algorithm (FFOA) is proposed in which the problem of local optima and slow convergence of FFOA is solved. The proposed variant of FFOA is named modified binary fruit fly optimization algorithm (MBFFOA) in which the mutation operator is updated. MBFFOA is first tested on benchmark functions and then tested on dengue and Zika virus datasets to predict CD4+ and CD8+ T-cells epitopes. The performance of MBFFOA is compared with that of competing metaheuristic algorithms. The performance of MBFFOA is statistically analyzed by Bonferroni-Dunn post-hoc test.</t>
  </si>
  <si>
    <t xml:space="preserve">Biological sequence data</t>
  </si>
  <si>
    <t xml:space="preserve">Dengue,Zika </t>
  </si>
  <si>
    <t xml:space="preserve">– Modified Binary Fruit Fly Optimization Algorithm (MBFFOA) for feature selection
– Decision Tree (DT) as classifier</t>
  </si>
  <si>
    <t xml:space="preserve">– Accuracy: up to 92.40% (CD4+ DENV), 86.51% (CD4+ ZIKV), 86.44% (CD8+ DENV), 85.60% (CD8+ ZIKV)
– Compared against BPSO, BGWO, BWOA, BCSO, FFOA</t>
  </si>
  <si>
    <t xml:space="preserve">– Limited testing on small CD8+ ZIKV dataset (95 samples)
– No deep learning or ensemble models used
– No real-world clinical validation or wet-lab confirmation</t>
  </si>
  <si>
    <t xml:space="preserve">SOFT COMPUTING</t>
  </si>
  <si>
    <t xml:space="preserve">CD4+T-cell; CD8+T-cell; Fruit fly optimization; Feature selection; Vaccine; Mutation; DENV; ZIKAV</t>
  </si>
  <si>
    <t xml:space="preserve">T-CELL EPITOPES; ALGORITHM; ZIKA; MATURATION; VACCINE; VIRUS</t>
  </si>
  <si>
    <t xml:space="preserve">[Angaitkar, Pratik; Janghel, Rekh Ram; Sahu, Tirath Prasad] Natl Inst Technol, Dept Informat Technol, GE Rd, Raipur 492010, Chhattisgarh, India</t>
  </si>
  <si>
    <t xml:space="preserve">National Institute of Technology (NIT System); National Institute of Technology Raipur</t>
  </si>
  <si>
    <t xml:space="preserve">Angaitkar, P (corresponding author), Natl Inst Technol, Dept Informat Technol, GE Rd, Raipur 492010, Chhattisgarh, India.</t>
  </si>
  <si>
    <t xml:space="preserve">pgangaitkar@gmail.com; rrjanghel.it@nitrr.ac.in; tpsahu.it@nitrr.ac.in</t>
  </si>
  <si>
    <t xml:space="preserve">Sahu, Tirath/AAF-6307-2020; Janghel, Dr. Rekh/AAU-3531-2020; Angaitkar, Pratik/IZF-0322-2023</t>
  </si>
  <si>
    <t xml:space="preserve">Angaitkar, Pratik/0000-0003-3851-6240</t>
  </si>
  <si>
    <t xml:space="preserve">1432-7643</t>
  </si>
  <si>
    <t xml:space="preserve">1433-7479</t>
  </si>
  <si>
    <t xml:space="preserve">SOFT COMPUT</t>
  </si>
  <si>
    <t xml:space="preserve">Soft Comput.</t>
  </si>
  <si>
    <t xml:space="preserve">2023 NOV 24</t>
  </si>
  <si>
    <t xml:space="preserve">10.1007/s00500-023-09396-y</t>
  </si>
  <si>
    <t xml:space="preserve">NOV 2023</t>
  </si>
  <si>
    <t xml:space="preserve">Computer Science, Artificial Intelligence; Computer Science, Interdisciplinary Applications</t>
  </si>
  <si>
    <t xml:space="preserve">AZ9B5</t>
  </si>
  <si>
    <t xml:space="preserve">WOS:001122373900003</t>
  </si>
  <si>
    <t xml:space="preserve">Arshad, QA; Ali, M; Hassan, SU; Chen, C; Imran, A; Rasul, G; Sultani, W</t>
  </si>
  <si>
    <t xml:space="preserve">Arshad, Qazi Ammar; Ali, Mohsen; Hassan, Saeed-ul; Chen, Chen; Imran, Ayisha; Rasul, Ghulam; Sultani, Waqas</t>
  </si>
  <si>
    <t xml:space="preserve">A dataset and benchmark for malaria life-cycle classification in thin blood smear images</t>
  </si>
  <si>
    <t xml:space="preserve">Malaria microscopy, microscopic examination of stained blood slides to detect parasite Plasmodium, is considered to be a gold standard for detecting life-threatening disease malaria. Detecting the plasmodium parasite requires a skilled examiner and may take up to 10 to 15 minutes to completely go through the whole slide. Due to a lack of skilled medical professionals in the underdeveloped or resource-deficient regions, many cases go misdiagnosed, which results in unavoidable medical complications. We propose to complement the medical professionals by creating a deep learning-based method to automatically detect (localize) the plasmodium parasites in the photograph of stained film. To handle the unbalanced nature of the dataset, we adopt a two-stage approach. Where the first stage is trained to classify cells into just healthy or infected. The second stage is trained to classify each detected cell further into the malaria life-cycle stage. To facilitate the research in machine learning-based malaria microscopy, we introduce a new large-scale microscopic image malaria dataset. Thirty-eight thousand cells are tagged from the 345 microscopic images of different Giemsa-stained slides of blood samples. Extensive experimentation is performed using different Convolutional Neural Networks on this dataset. Our experiments and analysis reveal that the two-stage approach works better than the one-stage approach for malaria detection. To ensure the usability of our approach, we have also developed a mobile app that will be used by local hospitals for investigation and educational purposes. The dataset, its annotations, and implementation codes will be released upon publication of the paper.</t>
  </si>
  <si>
    <t xml:space="preserve">Pakistan, United Kingdom, United States</t>
  </si>
  <si>
    <t xml:space="preserve">Lahore, Pakistan</t>
  </si>
  <si>
    <t xml:space="preserve">-U-Net
- ResNet50v2, VGG-16/19, DenseNet121/169/201, Rajaraman’s CNN </t>
  </si>
  <si>
    <t xml:space="preserve">- Accuracy = 79.61%, F1-score = 82.04%
– Single-stage (best): Accuracy = 74.56% with DenseNet201
</t>
  </si>
  <si>
    <t xml:space="preserve">– Class imbalance (very few Schizont samples)
– No clinical trial with human diagnosis comparisons
– Evaluated only on P. vivax from one region</t>
  </si>
  <si>
    <t xml:space="preserve">NEURAL COMPUTING &amp; APPLICATIONS</t>
  </si>
  <si>
    <t xml:space="preserve">SPRINGER LONDON LTD</t>
  </si>
  <si>
    <t xml:space="preserve">MICROSCOPY; DIAGNOSIS</t>
  </si>
  <si>
    <t xml:space="preserve">[Arshad, Qazi Ammar; Ali, Mohsen; Sultani, Waqas] Informat Technol Univ, Lahore, Pakistan; [Hassan, Saeed-ul] Manchester Metropolitan Univ, Dept Comp &amp; Math, Manchester, Lancs, England; [Chen, Chen] Univ Cent Florida, Ctr Res Comp Vis, Orlando, FL 32816 USA; [Imran, Ayisha] Chughtai Inst Pathol, Lahore, Pakistan; [Rasul, Ghulam] Ittefaq Hosp, Lahore, Pakistan</t>
  </si>
  <si>
    <t xml:space="preserve">Manchester Metropolitan University; State University System of Florida; University of Central Florida</t>
  </si>
  <si>
    <t xml:space="preserve">Sultani, W (corresponding author), Informat Technol Univ, Lahore, Pakistan.</t>
  </si>
  <si>
    <t xml:space="preserve">s.ul-hassan@mmu.ac.uk; chen.chen@crcv.ucf.edu; waqas.sultani@itu.edu.pk</t>
  </si>
  <si>
    <t xml:space="preserve">Ali, Mohsen/GQQ-7190-2022; , Chen_Chen/A-8825-2015; Hassan, Saeed-Ul/G-1889-2016</t>
  </si>
  <si>
    <t xml:space="preserve">Ali, Mohsen/0000-0003-4809-8679; Hassan, Saeed-Ul/0000-0002-6509-9190; Sultani, Waqas/0000-0002-9322-0728</t>
  </si>
  <si>
    <t xml:space="preserve">Facebook, USA</t>
  </si>
  <si>
    <t xml:space="preserve">The project is partially supported by an unrestricted gift award from Facebook, USA. The opinions, findings, and conclusions or recommendations expressed in this publication are those of the author(s) and do not necessarily reflect those of Facebook.</t>
  </si>
  <si>
    <t xml:space="preserve">236 GRAYS INN RD, 6TH FLOOR, LONDON WC1X 8HL, ENGLAND</t>
  </si>
  <si>
    <t xml:space="preserve">0941-0643</t>
  </si>
  <si>
    <t xml:space="preserve">1433-3058</t>
  </si>
  <si>
    <t xml:space="preserve">NEURAL COMPUT APPL</t>
  </si>
  <si>
    <t xml:space="preserve">MAR</t>
  </si>
  <si>
    <t xml:space="preserve">10.1007/s00521-021-06602-6</t>
  </si>
  <si>
    <t xml:space="preserve">NOV 2021</t>
  </si>
  <si>
    <t xml:space="preserve">ZL3MR</t>
  </si>
  <si>
    <t xml:space="preserve">WOS:000716840000001</t>
  </si>
  <si>
    <t xml:space="preserve">Ward, P; Dahlberg, P; Lagatie, O; Larsson, J; Tynong, A; Vlaminck, J; Zumpe, M; Ame, S; Ayana, M; Khieu, V; Mekonnen, Z; Odiere, M; Yohannes, T; Van Hoecke, S; Levecke, B; Stuyver, LJ</t>
  </si>
  <si>
    <t xml:space="preserve">Ward, Peter; Dahlberg, Peter; Lagatie, Ole; Larsson, Joel; Tynong, August; Vlaminck, Johnny; Zumpe, Matthias; Ame, Shaali; Ayana, Mio; Khieu, Virak; Mekonnen, Zeleke; Odiere, Maurice; Yohannes, Tsegaye; Van Hoecke, Sofie; Levecke, Bruno; Stuyver, Lieven J.</t>
  </si>
  <si>
    <t xml:space="preserve">Affordable artificial intelligence-based digital pathology for neglected tropical diseases: A proof-of-concept for the detection of soil-transmitted helminths and Schistosoma mansoni eggs in Kato-Katz stool thick smears</t>
  </si>
  <si>
    <t xml:space="preserve">BackgroundWith the World Health Organization's (WHO) publication of the 2021-2030 neglected tropical diseases (NTDs) roadmap, the current gap in global diagnostics became painfully apparent. Improving existing diagnostic standards with state-of-the-art technology and artificial intelligence has the potential to close this gap. Methodology/Principal findingsWe prototyped an artificial intelligence-based digital pathology (AI-DP) device to explore automated scanning and detection of helminth eggs in stool prepared with the Kato-Katz (KK) technique, the current diagnostic standard for diagnosing soil-transmitted helminths (STHs; Ascaris lumbricoides, Trichuris trichiura and hookworms) and Schistosoma mansoni (SCH) infections. First, we embedded a prototype whole slide imaging scanner into field studies in Cambodia, Ethiopia, Kenya and Tanzania. With the scanner, over 300 KK stool thick smears were scanned, resulting in total of 7,780 field-of-view (FOV) images containing 16,990 annotated helminth eggs (Ascaris: 8,600; Trichuris: 4,083; hookworms: 3,623; SCH: 684). Around 90% of the annotated eggs were used to train a deep learning-based object detection model. From an unseen test set of 752 FOV images containing 1,671 manually verified STH and SCH eggs (the remaining 10% of annotated eggs), our trained object detection model extracted and classified helminth eggs from co-infected FOV images in KK stool thick smears, achieving a weighted average precision (+/- standard deviation) of 94.9% +/- 0.8% and a weighted average recall of 96.1% +/- 2.1% across all four helminth egg species. Conclusions/SignificanceWe present a proof-of-concept for an AI-DP device for automated scanning and detection of helminth eggs in KK stool thick smears. We identified obstacles that need to be addressed before the diagnostic performance can be evaluated against the target product profiles for both STH and SCH. Given that these obstacles are primarily associated with the required hardware and scanning methodology, opposed to the feasibility of AI-based results, we are hopeful that this research can support the 2030 NTDs road map and eventually other poverty-related diseases for which microscopy is the diagnostic standard. Author summaryRecently, the World Health Organization (WHO) published its 2021-2030 road map for neglected tropical diseases (NTDs). While diagnostics are clearly pivotal to steer the NTD endemic countries towards the ambitious targets set, the current gap in the global diagnostic armamentarium for NTDs once more becomes painfully apparent. As most NTD programs mainly rely on microscopic examination of slides, automation of slide scanning coupled with artificial intelligence (AI) has the potential to close this diagnostic gap by 2030. Therefore, we developed a device to automate scanning of stool smears and deployed it in four endemic countries to build an image data base for both intestinal and blood-dwelling worms. After the images were annotated, we used 90% to train and 10% to validate an AI model. As the AI model was able to reliably recognise worm eggs, we provided a proof-of-concept for automated scanning and detection of worm eggs in stool smears. We identified important obstacles for both the slide scanning device and the application of AI, but we are hopeful that this research can support the 2030 NTDs roadmap and eventually other NTDs for which microscopic examination is the diagnostic standard.</t>
  </si>
  <si>
    <t xml:space="preserve">Sweden, Belgium, Tanzania, Ethiopia, Cambodia, Kenya</t>
  </si>
  <si>
    <t xml:space="preserve">Cambodia, Ethiopia, Kenya, Tanzania</t>
  </si>
  <si>
    <t xml:space="preserve">Soil-transmitted helminthiases (STH), Schistosomiasis</t>
  </si>
  <si>
    <t xml:space="preserve">R-FCN ResNet101</t>
  </si>
  <si>
    <t xml:space="preserve">Weighted average precision: 94.9 ± 0.8%
Weighted average recall: 96.1 ± 2.1%
F1-score (avg): 95.4%</t>
  </si>
  <si>
    <t xml:space="preserve">– Not evaluated for clinical sensitivity/specificity
– Uneven data distribution (bias toward Ascaris)
– Prototype hardware limitations
– Focus and scanning time constraints</t>
  </si>
  <si>
    <t xml:space="preserve">INFECTIONS; DIAGNOSIS</t>
  </si>
  <si>
    <t xml:space="preserve">[Ward, Peter; Dahlberg, Peter; Larsson, Joel; Tynong, August; Zumpe, Matthias] Etteplan Sweden AB, Uppsala, Sweden; [Lagatie, Ole; Stuyver, Lieven J.] Janssen R&amp;D, Janssen Global Publ Hlth, Beerse, Belgium; [Vlaminck, Johnny; Levecke, Bruno] Univ Ghent, Dept Translat Physiol, Infectiol &amp; Publ Hlth, Merelbeke, Belgium; [Ame, Shaali] Publ Hlth Lab Ivo De Carneri, Lab Div, Chake Chake, Tanzania; [Ayana, Mio; Mekonnen, Zeleke] Jimma Univ Inst Hlth, Jimma, Ethiopia; [Khieu, Virak] Minist Hlth, Natl Ctr Parasitol Entomol &amp; Malarial Control, Phnom Penh, Cambodia; [Odiere, Maurice] Kenya Govt Med Res Ctr, Kisumu, Kenya; [Yohannes, Tsegaye] Arba Minch Univ, Arba Minch, Ethiopia; [Van Hoecke, Sofie] Univ Ghent Imec, Dept Elect &amp; Informat Syst, IDLab, Zwijnaarde, Belgium</t>
  </si>
  <si>
    <t xml:space="preserve">Ghent University; Kenya Medical Research Institute; Arba Minch University; Interuniversity Microelectronics Centre</t>
  </si>
  <si>
    <t xml:space="preserve">Stuyver, LJ (corresponding author), Janssen R&amp;D, Janssen Global Publ Hlth, Beerse, Belgium.</t>
  </si>
  <si>
    <t xml:space="preserve">lstuyver@its.jnj.com</t>
  </si>
  <si>
    <t xml:space="preserve">Van Hoecke, Sofie/KAM-3603-2024; Lagatie, Ole/AAF-6119-2020; Mekonnen, Zeleke/AAF-3877-2020</t>
  </si>
  <si>
    <t xml:space="preserve">Ward, Peter K./0000-0001-6826-9290</t>
  </si>
  <si>
    <t xml:space="preserve">e0010500</t>
  </si>
  <si>
    <t xml:space="preserve">10.1371/journal.pntd.0010500</t>
  </si>
  <si>
    <t xml:space="preserve">3D3VN</t>
  </si>
  <si>
    <t xml:space="preserve">WOS:000829233500008</t>
  </si>
  <si>
    <t xml:space="preserve">Oliveira, BAS; Moreira, JMP; Coelho, PRS; Negrao-Corrêa, DA; Geiger, SM; Guimaraes, FG</t>
  </si>
  <si>
    <t xml:space="preserve">Soares Oliveira, Bruno Alberto; Peixoto Moreira, Joao Marcelo; Silva Coelho, Paulo Ricardo; Negrao-Correa, Deborah Aparecida; Geiger, Stefan Michael; Guimaraes, Frederico Gadelha</t>
  </si>
  <si>
    <t xml:space="preserve">Automated diagnosis of schistosomiasis by using faster R-CNN for egg detection in microscopy images prepared by the Kato-Katz technique</t>
  </si>
  <si>
    <t xml:space="preserve">One of the biggest concerns in the area of public health is caused by human intestinal parasites, which are found largely in tropical countries. The diagnosis of these parasitic diseases is done through physiological symptoms and fecal examination. Often, few professionals are available and able to perform this type of examination, which is considered time-consuming, requires trained personnel, prone to errors, and can cause eye strain in the specialist. In this paper, we investigate the use of the faster R-CNN object detection method to identify eggs of Schistosoma mansoni, forming a system to aid decision making in the diagnosis of fecal examination. A real database was built with 66 images prepared by the Kato-Katz method. Online and offline data augmentation techniques were used to obtain a larger number of samples. As a result, the proposed solution reached an average precision value of 0.765 for an IoU (intersection over union) of 0.50. The results and applicability of the system are promising and may be used in public health programs to assist health professionals in the diagnosis and monitoring of schistosomiasis in endemic areas.</t>
  </si>
  <si>
    <t xml:space="preserve">Brazil </t>
  </si>
  <si>
    <t xml:space="preserve">Faster R-CNN, ResNet152</t>
  </si>
  <si>
    <t xml:space="preserve">– Average Precision (AP @ IoU = 0.50) = 0.765 on Kato–Katz images
– Compared favorably to manual expert agreement (~70%)</t>
  </si>
  <si>
    <t xml:space="preserve">– Small dataset: Only 66 initial images, 30 with eggs
– Reliance on augmentation due to few samples
– False negatives in low-contrast or ambiguous cases</t>
  </si>
  <si>
    <t xml:space="preserve">Diagnosis; Schistosoma mansoni; Medical imaging; Deep learning; Faster R-CNN</t>
  </si>
  <si>
    <t xml:space="preserve">HUMAN PARASITE EGGS; MANSONI; CLASSIFICATION</t>
  </si>
  <si>
    <t xml:space="preserve">[Soares Oliveira, Bruno Alberto] Univ Fed Minas Gerais, Grad Program Elect Engn, Av Antonio Carlos 6627, BR-31270901 Belo Horizonte, MG, Brazil; [Peixoto Moreira, Joao Marcelo; Silva Coelho, Paulo Ricardo; Negrao-Correa, Deborah Aparecida; Geiger, Stefan Michael] Univ Fed Minas Gerais, Inst Biol Sci, Dept Parasitol, Av Antonio Carlos 6627, BR-31270901 Belo Horizonte, MG, Brazil; [Guimaraes, Frederico Gadelha] Univ Fed Minas Gerais, Machine Intelligence &amp; Data Sci MINDS Lab, Av Antonio Carlos 6627, BR-31270901 Belo Horizonte, MG, Brazil</t>
  </si>
  <si>
    <t xml:space="preserve">Universidade Federal de Minas Gerais; Universidade Federal de Minas Gerais; Universidade Federal de Minas Gerais</t>
  </si>
  <si>
    <t xml:space="preserve">Guimaraes, FG (corresponding author), Univ Fed Minas Gerais, Machine Intelligence &amp; Data Sci MINDS Lab, Av Antonio Carlos 6627, BR-31270901 Belo Horizonte, MG, Brazil.</t>
  </si>
  <si>
    <t xml:space="preserve">brunoalbertobambui@ufmg.br; jmpm@ufmg.br; pauloricardo@ufmg.br; denegrao@icb.ufmg.br; smg2012@icb.ufmg.br; fredericoguimaraes@ufmg.br</t>
  </si>
  <si>
    <t xml:space="preserve">Silva Coelho, Paulo Ricardo/HTS-8645-2023; Geiger, Stefan/E-6748-2016; Moreira, João/F-2186-2016; Guimaraes, Frederico/F-3937-2010</t>
  </si>
  <si>
    <t xml:space="preserve">Moreira, Joao/0000-0001-6209-8347; Guimaraes, Frederico/0000-0001-9238-8839; Silva Coelho, Paulo Ricardo/0000-0003-1760-0961</t>
  </si>
  <si>
    <t xml:space="preserve">APR 2022</t>
  </si>
  <si>
    <t xml:space="preserve">1O7GM</t>
  </si>
  <si>
    <t xml:space="preserve">WOS:000783037100002</t>
  </si>
  <si>
    <t xml:space="preserve">Brand, D; Singh, JA; McKay, AGN; Cengiz, N; Moodley, K</t>
  </si>
  <si>
    <t xml:space="preserve">Brand, Dirk; Singh, Jerome A.; McKay, Annelize G. Nienaber; Cengiz, Nezerith; Moodley, Keymanthri</t>
  </si>
  <si>
    <t xml:space="preserve">Data sharing governance in sub-Saharan Africa during public health emergencies: Gaps and guidance</t>
  </si>
  <si>
    <t xml:space="preserve">While the COVID-19 pandemic has captured the attention of the global community since the end of 2019, deadly health pandemics are not new to Africa. Tuberculosis (TB), malaria and human immunodeficiency virus (HIV) count amongst other serious diseases that have had a catastrophic impact on the African continent. Effective responses to such pandemics require high-quality, comprehensive data sets that can inform policymaking and enhance healthcare decision-making. While data is driving the information economy in the 21st century, the scarcity in Africa of carefully curated, large epidemiologic data sources and analytical capacity to rapidly identify and understand emerging infectious diseases poses a major challenge to mounting a time-sensitive response to unfolding pandemics. Data access, sharing and transfer between countries are crucial to effectively managing current and future health pandemics. Data access and sharing, however, raises questions about personal privacy, the adequacy of governance mechanisms to regulate cross-border data flows, and ethical issues relating to the collection and use of personal data in the interests of public health. Sub-Saharan Africa's most research-intensive countries are characterised by diverse data management and privacy governance frameworks. Such regional variance can impede time-sensitive data sharing and highlights the need for urgent governance reforms to facilitate effective decision-making in response to rapidly evolving public health threats.Significance: We explore governance considerations that ought to apply to the collection, transfer, and use of data in public health emergencies. Specifically, we provide an overview of the prevailing data sharing governance landscape in selected African countries. In doing so, we identify limitations and gaps that impede effective data collation, sharing and analysis. This work could find utility amongst a range of stakeholders, including bioinformaticians, epidemiologists, artificial intelligence coders, and government decision-makers. While this work focuses primarily on an African context, the issues explored are of universal concern and therefore of relevance to a broader international audience.</t>
  </si>
  <si>
    <t xml:space="preserve">South Africa, United Kingdom</t>
  </si>
  <si>
    <t xml:space="preserve">enya, Nigeria, South Africa, Ethiopia, Uganda, Ghana.</t>
  </si>
  <si>
    <t xml:space="preserve">Policy and governance analysis data</t>
  </si>
  <si>
    <t xml:space="preserve">COVID-19, HIV, TB, Malaria</t>
  </si>
  <si>
    <t xml:space="preserve">– Lack of harmonized data protection laws across Africa
– Distrust in data sharing
– Limited technical and analytical capacity
– Colonial legacy and equity concerns</t>
  </si>
  <si>
    <t xml:space="preserve">SOUTH AFRICAN JOURNAL OF SCIENCE</t>
  </si>
  <si>
    <t xml:space="preserve">ACAD SCIENCE SOUTH AFRICA A S S AF</t>
  </si>
  <si>
    <t xml:space="preserve">11-12</t>
  </si>
  <si>
    <t xml:space="preserve">data transfer regulations; data sharing; public health; sub-Saharan Africa</t>
  </si>
  <si>
    <t xml:space="preserve">[Brand, Dirk] Stellenbosch Univ, Sch Publ Leadership, Stellenbosch, South Africa; [Singh, Jerome A.] Univ KwaZulu Natal, Sch Law, Durban, South Africa; [McKay, Annelize G. Nienaber] Abertay Univ, Div Law, Dundee, Scotland; [Cengiz, Nezerith; Moodley, Keymanthri] Stellenbosch Univ, Ctr Med Eth &amp; Law, Stellenbosch, South Africa</t>
  </si>
  <si>
    <t xml:space="preserve">Stellenbosch University; University of Kwazulu Natal; University of Abertay Dundee; Stellenbosch University</t>
  </si>
  <si>
    <t xml:space="preserve">Cengiz, N (corresponding author), Stellenbosch Univ, Ctr Med Eth &amp; Law, Stellenbosch, South Africa.</t>
  </si>
  <si>
    <t xml:space="preserve">ncengiz@sun.ac.za</t>
  </si>
  <si>
    <t xml:space="preserve">Singh, Jerome Amir/ABG-1573-2021</t>
  </si>
  <si>
    <t xml:space="preserve">Brand, Dirk/0000-0002-3660-5015; McKay, Annelize/0000-0002-4518-4312; Cengiz, Nezerith/0000-0002-7650-2897; Moodley, Keymanthri/0000-0003-3404-4901; Singh, Jerome Amir/0000-0002-6275-6853</t>
  </si>
  <si>
    <t xml:space="preserve">US National Institutes of Health (NIH) DS-I Africa [1U01MH127704-01]</t>
  </si>
  <si>
    <t xml:space="preserve">US National Institutes of Health (NIH) DS-I Africa</t>
  </si>
  <si>
    <t xml:space="preserve">We acknowledge the US National Institutes of Health (NIH) DS-I Africa for funding (grant 1U01MH127704-01).</t>
  </si>
  <si>
    <t xml:space="preserve">LYNWOOD RIDGE</t>
  </si>
  <si>
    <t xml:space="preserve">PO BOX 72135, LYNWOOD RIDGE 0040, SOUTH AFRICA</t>
  </si>
  <si>
    <t xml:space="preserve">0038-2353</t>
  </si>
  <si>
    <t xml:space="preserve">1996-7489</t>
  </si>
  <si>
    <t xml:space="preserve">S AFR J SCI</t>
  </si>
  <si>
    <t xml:space="preserve">S. Afr. J. Sci.</t>
  </si>
  <si>
    <t xml:space="preserve">NOV-DEC</t>
  </si>
  <si>
    <t xml:space="preserve">#13892</t>
  </si>
  <si>
    <t xml:space="preserve">10.17159/sajs.2022/13892</t>
  </si>
  <si>
    <t xml:space="preserve">6C2JO</t>
  </si>
  <si>
    <t xml:space="preserve">Green Published, gold, Green Accepted</t>
  </si>
  <si>
    <t xml:space="preserve">WOS:000881847600001</t>
  </si>
  <si>
    <t xml:space="preserve">Kwofie, SK; Agyenkwa-Mawuli, K; Adams, J; Anteh, P; Agyapong, O; Wilson, MD</t>
  </si>
  <si>
    <t xml:space="preserve">Kwofie, Samuel K.; Agyenkwa-Mawuli, Kwasi; Adams, Joseph; Anteh, Phinehas; Agyapong, Odame; Wilson, Michael D.</t>
  </si>
  <si>
    <t xml:space="preserve">Deep Neural Networks Predict Inhibitors of Schistosoma Mansoni Thioredoxin Glutathione Reductase (SmTGR)</t>
  </si>
  <si>
    <t xml:space="preserve">Over 200 million people worldwide are affected annually by schistosomiasis with debilitating socio-economic effects. Praziquantel remains the main chemotherapy against this neglected tropical disease but there are reports of drug resistance. Therefore, necessitating the need to identify potential biotherapeutic molecules. The study describes the first deep learning (DL)-based computational models for predicting inhibitors of Schistosoma mansoni Thioredoxin glutathione reductase (SmTGR), which is an essential protein for the survival of the helminths in the host. The state-of-the-art performance of DL in similar applications makes it ideal to deploy on bioactive datasets of the SmTGR drug target. Cost-sensitive deep neural network classifiers were trained using the binary classification approach. Based on the area under curve (AUC) of the receiver operating characteristic (ROC) Curve scores (86.3-86.5%), the five best models generated were able to classify inhibitors with high accuracy (85-90%). Additionally, the DL classifier outperformed random forest by far. This is a proof of concept that deep neural networks can efficiently and robustly classify active schistosomal molecules from inactive. The generated models could be used to screen large-scale compound libraries to prioritize potential inhibitors for experimental characterization. The study developed cost-sensitive deep neural network (DNN) classifiers for predicting anti-schistosomal molecules. This is a plausible proof of concept since the DNNs outperformed other models including random forest. The DNNs can be deployed to screen large-scale compound libraries to identify potential biotherapeutic entities against thioredoxin glutathione reductase.</t>
  </si>
  <si>
    <t xml:space="preserve">JOURNAL OF COMPUTATIONAL BIOPHYSICS AND CHEMISTRY</t>
  </si>
  <si>
    <t xml:space="preserve">WORLD SCIENTIFIC PUBL CO PTE LTD</t>
  </si>
  <si>
    <t xml:space="preserve">Machine learning; deep learning; binary classifiers; Schistosoma mansoni; glutathione reductase</t>
  </si>
  <si>
    <t xml:space="preserve">DRUG DISCOVERY</t>
  </si>
  <si>
    <t xml:space="preserve">[Kwofie, Samuel K.; Agyenkwa-Mawuli, Kwasi; Adams, Joseph; Anteh, Phinehas; Agyapong, Odame; Wilson, Michael D.] Univ Ghana, Coll Basic &amp; Appl Sci, Sch Engn Sci, Dept Biomed Engn, Legon POB LG 77, Accra, Ghana; [Kwofie, Samuel K.; Agyenkwa-Mawuli, Kwasi] Univ Ghana, West African Ctr Cell Biol Infect Pathogens, Dept Biochem Cell &amp; Mol Biol, Legon POB LG 54, Accra, Ghana; [Adams, Joseph] Univ Ghana, Noguchi Mem Inst Med Res, Dept Parasitol, POB LG 581, Legon, Ghana; [Wilson, Michael D.] Loyola Univ Med Ctr, Dept Med, Maywood, IL 60153 USA</t>
  </si>
  <si>
    <t xml:space="preserve">University of Ghana; University of Ghana; University of Ghana; Loyola University Chicago</t>
  </si>
  <si>
    <t xml:space="preserve">Kwofie, SK (corresponding author), Univ Ghana, Coll Basic &amp; Appl Sci, Sch Engn Sci, Dept Biomed Engn, Legon POB LG 77, Accra, Ghana.;Kwofie, SK (corresponding author), Univ Ghana, West African Ctr Cell Biol Infect Pathogens, Dept Biochem Cell &amp; Mol Biol, Legon POB LG 54, Accra, Ghana.</t>
  </si>
  <si>
    <t xml:space="preserve">skkwofie@ug.edu.gh</t>
  </si>
  <si>
    <t xml:space="preserve">Kwofie, Samuel Kojo/0000-0002-1093-1517</t>
  </si>
  <si>
    <t xml:space="preserve">SINGAPORE</t>
  </si>
  <si>
    <t xml:space="preserve">5 TOH TUCK LINK, SINGAPORE 596224, SINGAPORE</t>
  </si>
  <si>
    <t xml:space="preserve">2737-4165</t>
  </si>
  <si>
    <t xml:space="preserve">2737-4173</t>
  </si>
  <si>
    <t xml:space="preserve">J COMPUT BIOPHYS CHE</t>
  </si>
  <si>
    <t xml:space="preserve">J. Comput. Biophys. Chem.</t>
  </si>
  <si>
    <t xml:space="preserve">10.1142/S2737416521410040</t>
  </si>
  <si>
    <t xml:space="preserve">Chemistry, Multidisciplinary</t>
  </si>
  <si>
    <t xml:space="preserve">Chemistry</t>
  </si>
  <si>
    <t xml:space="preserve">ZI3ZD</t>
  </si>
  <si>
    <t xml:space="preserve">WOS:000761561500007</t>
  </si>
  <si>
    <t xml:space="preserve">Alharbi, AH; Aravinda, CVC; Lin, M; Ashwini, B; Jabarulla, MY; Shah, MA</t>
  </si>
  <si>
    <t xml:space="preserve">Alharbi, Amal H.; Aravinda, C. V. C.; Lin, Meng; Ashwini, B.; Jabarulla, Mohamed Yaseen; Shah, Mohd Asif</t>
  </si>
  <si>
    <t xml:space="preserve">Detection of Peripheral Malarial Parasites in Blood Smears Using Deep Learning Models</t>
  </si>
  <si>
    <t xml:space="preserve">Due to the plasmodium parasite, malaria is transmitted mostly through red blood cells. Manually counting blood cells is extremely time consuming and tedious. In a recommendation for the advanced technology stage and analysis of malarial disease, the performance of the XG-Boost, SVM, and neural networks is compared. In comparison to machine learning models, convolutional neural networks provide reliable results when analyzing and recognizing the same datasets. To reduce discrepancies and improve robustness and generalization, we developed a model that analyzes blood samples to determine whether the cells are parasitized or not. Experiments were conducted on 13,750 parasitized and 13,750 parasitic samples. Support vector machines achieved 94% accuracy, XG-Boost models achieved 90% accuracy, and neural networks achieved 80% accuracy. Among these three models, the support vector machine was the most accurate at distinguishing parasitized cells from uninfected ones. An accuracy rate of 97% was achieved by the convolution neural network in recognizing the samples. The deep learning model is useful for decision making because of its better accuracy.</t>
  </si>
  <si>
    <t xml:space="preserve">Saudi Arabia, India, Japan, South Korea, Ethiopia</t>
  </si>
  <si>
    <t xml:space="preserve">– Convolutional Neural Network (customized)
– Support Vector Machine (SVM)
– XG-Boost
– Classical Neural Network</t>
  </si>
  <si>
    <t xml:space="preserve">– CNN Accuracy: 97%
– SVM Accuracy: 94%
– XG-Boost Accuracy: 90%
– Neural Network Accuracy: 80%</t>
  </si>
  <si>
    <t xml:space="preserve">– Lack of real-world clinical validation
– Region of data origin not explicitly mentioned
– No discussion of cross-dataset generalization</t>
  </si>
  <si>
    <t xml:space="preserve">COMPUTATIONAL INTELLIGENCE AND NEUROSCIENCE</t>
  </si>
  <si>
    <t xml:space="preserve">HINDAWI LTD</t>
  </si>
  <si>
    <t xml:space="preserve">IMAGE-ANALYSIS; DIAGNOSIS</t>
  </si>
  <si>
    <t xml:space="preserve">[Alharbi, Amal H.] Princess Nourah bint Abdulrahman Univ, Coll Comp &amp; Informat Sci, Dept Comp Sci, POB 84428, Riyadh 11671, Saudi Arabia; [Aravinda, C. V. C.; Ashwini, B.] N M A M Inst Technol, Karkala 574110, India; [Lin, Meng] Ritsumeikan Univ, Kyoto, Japan; [Jabarulla, Mohamed Yaseen] Gwangju Inst Sci &amp; Technol GIST, Sch Elect Engn &amp; Comp Sci, Gwangju, South Korea; [Shah, Mohd Asif] Kebri Dehar Univ, Kebri Dehar, Ethiopia</t>
  </si>
  <si>
    <t xml:space="preserve">Princess Nourah bint Abdulrahman University; Ritsumeikan University; Gwangju Institute of Science &amp; Technology (GIST)</t>
  </si>
  <si>
    <t xml:space="preserve">Shah, MA (corresponding author), Kebri Dehar Univ, Kebri Dehar, Ethiopia.</t>
  </si>
  <si>
    <t xml:space="preserve">ahlharbi@pnu.edu.sa; aravinda.cv@nitte.edu.in; menglin@fc.ritsumei.ac.jp; ashwinib@nitte.edu.in; yaseen@gm.gist.ac.kr; ohaasif@kdu.edu.et</t>
  </si>
  <si>
    <t xml:space="preserve">Jabarulla, Mohamed Yaseen/AAB-9662-2019; Alharbi, Amal/HJA-1507-2022; SHAH, MOHD/AAZ-4565-2021; C.V, Aravinda/K-2502-2017; B, Ashwini/AEN-0129-2022; cv, aravinda/A-9118-2016; Meng, Lin/JYQ-9584-2024</t>
  </si>
  <si>
    <t xml:space="preserve">cv, aravinda/0000-0003-4588-4105; Meng, Lin/0000-0003-4351-6923; /0000-0002-3382-2233; Jabarulla, Mohamed Yaseen/0000-0001-6878-0224</t>
  </si>
  <si>
    <t xml:space="preserve">Princess Nourah bint Abdulrahman University, Riyadh, Saudi Arabia [PNURSP2022R120]</t>
  </si>
  <si>
    <t xml:space="preserve">Princess Nourah bint Abdulrahman University, Riyadh, Saudi Arabia(Princess Nourah bint Abdulrahman University)</t>
  </si>
  <si>
    <t xml:space="preserve">This research was funded by Princess Nourah bint Abdulrahman University Researchers Supporting Project number (PNURSP2022R120), Princess Nourah bint Abdulrahman University, Riyadh, Saudi Arabia.</t>
  </si>
  <si>
    <t xml:space="preserve">ADAM HOUSE, 3RD FLR, 1 FITZROY SQ, LONDON, W1T 5HF, ENGLAND</t>
  </si>
  <si>
    <t xml:space="preserve">1687-5265</t>
  </si>
  <si>
    <t xml:space="preserve">1687-5273</t>
  </si>
  <si>
    <t xml:space="preserve">COMPUT INTEL NEUROSC</t>
  </si>
  <si>
    <t xml:space="preserve">Comput. Intell. Neurosci.</t>
  </si>
  <si>
    <t xml:space="preserve">MAY 24</t>
  </si>
  <si>
    <t xml:space="preserve">10.1155/2022/3922763</t>
  </si>
  <si>
    <t xml:space="preserve">Mathematical &amp; Computational Biology; Neurosciences</t>
  </si>
  <si>
    <t xml:space="preserve">Mathematical &amp; Computational Biology; Neurosciences &amp; Neurology</t>
  </si>
  <si>
    <t xml:space="preserve">1X9XK</t>
  </si>
  <si>
    <t xml:space="preserve">WOS:000807801200011</t>
  </si>
  <si>
    <t xml:space="preserve">Mucaki, EJ; Shirley, BC; Rogan, PK</t>
  </si>
  <si>
    <t xml:space="preserve">Mucaki, Eliseos J.; Shirley, Ben C.; Rogan, Peter K.</t>
  </si>
  <si>
    <t xml:space="preserve">Improved radiation expression profiling in blood by sequential application of sensitive and specific gene signatures</t>
  </si>
  <si>
    <t xml:space="preserve">Purpose Combinations of expressed genes can discriminate radiation-exposed from normal control blood samples by machine learning (ML) based signatures (with 8-20% misclassification rates). These signatures can quantify therapeutically relevant as well as accidental radiation exposures. The prodromal symptoms of acute radiation syndrome (ARS) overlap those present in influenza and dengue fever infections. Surprisingly, these human radiation signatures misclassified gene expression profiles of virally infected samples as false positive exposures. The present study investigates these and other confounders, and then mitigates their impact on signature accuracy. Methods This study investigated recall by previous and novel radiation signatures independently derived from multiple Gene Expression Omnibus datasets on common and rare non-neoplastic blood disorders and blood-borne infections (thromboembolism, S. aureus bacteremia, malaria, sickle cell disease, polycythemia vera, and aplastic anemia). Normalized expression levels of signature genes are used as input to ML-based classifiers to predict radiation exposure in other hematological conditions. Results Except for aplastic anemia, these blood-borne disorders modify the normal baseline expression values of genes present in radiation signatures, leading to false-positive misclassification of radiation exposures in 8-54% of individuals. Shared changes, predominantly in DNA damage response and apoptosis-related gene transcripts in radiation and confounding hematological conditions, compromise the utility of these signatures for radiation assessment. These confounding conditions (sickle cell disease, thrombosis, S. aureus bacteremia, malaria) induce neutrophil extracellular traps, initiated by chromatin decondensation, DNA damage response and fragmentation followed by programmed cell death or extrusion of DNA fragments. Riboviral infections (e.g. influenza or dengue fever) have been proposed to bind and deplete host RNA binding proteins, inducing R-loops in chromatin. R-loops that collide with incoming replication forks can result in incompletely repaired DNA damage, inducing apoptosis and releasing mature virus. To mitigate the effects of confounders, we evaluated predicted radiation-positive samples with novel gene expression signatures derived from radiation-responsive transcripts encoding secreted blood plasma proteins whose expression levels are unperturbed by these conditions. Conclusions This approach identifies and eliminates misclassified samples with underlying hematological or infectious conditions, leaving only samples with true radiation exposures. Diagnostic accuracy is significantly improved by selecting genes that maximize both sensitivity and specificity in the appropriate tissue using combinations of the best signatures for each of these classes of signatures.</t>
  </si>
  <si>
    <t xml:space="preserve">INTERNATIONAL JOURNAL OF RADIATION BIOLOGY</t>
  </si>
  <si>
    <t xml:space="preserve">TAYLOR &amp; FRANCIS LTD</t>
  </si>
  <si>
    <t xml:space="preserve">Biodosimetry; gene expression; false positive reactions; DNA damage response (DDR); radiation; hematological disease</t>
  </si>
  <si>
    <t xml:space="preserve">PHOSPHORYLATED HISTONE H2AX; DOSE ESTIMATION; CANCER-PATIENTS; STRAND BREAKS; EX-VIVO; IN-VIVO; POPULATION; BIOMARKERS; EXPOSURE; CELLS</t>
  </si>
  <si>
    <t xml:space="preserve">[Mucaki, Eliseos J.; Rogan, Peter K.] Univ Western Ontario, Dept Biochem, London, ON, Canada; [Shirley, Ben C.; Rogan, Peter K.] CytoGnomix Inc, London, ON, Canada</t>
  </si>
  <si>
    <t xml:space="preserve">Western University (University of Western Ontario)</t>
  </si>
  <si>
    <t xml:space="preserve">Rogan, PK (corresponding author), Univ Western Ontario, Schulich Sch Med &amp; Dent, Dept Biochem, London, ON N6A 2C1, Canada.;Rogan, PK (corresponding author), Univ Western Ontario, Schulich Sch Med &amp; Dent, Dept Oncol, London, ON N6A 2C1, Canada.</t>
  </si>
  <si>
    <t xml:space="preserve">progan@uwo.ca</t>
  </si>
  <si>
    <t xml:space="preserve">; Rogan, Peter/B-9845-2017</t>
  </si>
  <si>
    <t xml:space="preserve">Mucaki, Eliseos/0000-0002-6195-5535; Rogan, Peter/0000-0003-2070-5254</t>
  </si>
  <si>
    <t xml:space="preserve">University of Western Ontario; CytoGnomix Inc.</t>
  </si>
  <si>
    <t xml:space="preserve">This work was supported by the University of Western Ontario and CytoGnomix Inc. The authors thank Drs. Ruth Wilkins and Joan Knoll for their constructive comments.</t>
  </si>
  <si>
    <t xml:space="preserve">ABINGDON</t>
  </si>
  <si>
    <t xml:space="preserve">2-4 PARK SQUARE, MILTON PARK, ABINGDON OR14 4RN, OXON, ENGLAND</t>
  </si>
  <si>
    <t xml:space="preserve">0955-3002</t>
  </si>
  <si>
    <t xml:space="preserve">1362-3095</t>
  </si>
  <si>
    <t xml:space="preserve">INT J RADIAT BIOL</t>
  </si>
  <si>
    <t xml:space="preserve">Int. J. Radiat. Biol.</t>
  </si>
  <si>
    <t xml:space="preserve">MAY 4</t>
  </si>
  <si>
    <t xml:space="preserve">10.1080/09553002.2021.1998709</t>
  </si>
  <si>
    <t xml:space="preserve">Biology; Nuclear Science &amp; Technology; Radiology, Nuclear Medicine &amp; Medical Imaging</t>
  </si>
  <si>
    <t xml:space="preserve">Life Sciences &amp; Biomedicine - Other Topics; Nuclear Science &amp; Technology; Radiology, Nuclear Medicine &amp; Medical Imaging</t>
  </si>
  <si>
    <t xml:space="preserve">0U3KZ</t>
  </si>
  <si>
    <t xml:space="preserve">Green Submitted</t>
  </si>
  <si>
    <t xml:space="preserve">WOS:000717881000001</t>
  </si>
  <si>
    <t xml:space="preserve">Boutilier, JJ; Jónasson, JO; Yoeli, E</t>
  </si>
  <si>
    <t xml:space="preserve">Boutilier, Justin J.; Jonasson, Jonas Oddur; Yoeli, Erez</t>
  </si>
  <si>
    <t xml:space="preserve">Improving Tuberculosis Treatment Adherence Support: The Case for Targeted Behavioral Interventions</t>
  </si>
  <si>
    <t xml:space="preserve">Problem definition: Lack of patient adherence to treatment protocols is a main barrier to reducing the global disease burden of tuberculosis (TB). We study the operational design of a treatment adherence support (TAS) platform that requires patients to verify their treatment adherence on a daily basis. Academic/practical relevance: Experimental results on the effectiveness of TAS programs have beenmixed; and rigorous research is needed on how to structure these motivational programs, particularly in resource-limited settings. Our analysis establishes that patient engagement can be increased by personal sponsor outreach and that patient behavior data can be used to identify at-risk patients for targeted outreach. Methodology: We partner with a TB TAS provider and use data from a completed randomized controlled trial. We use administrative variation in the timing of peer sponsor outreach to evaluate the impact of personal messages on subsequent patient verification behavior. We then develop a rolling-horizonmachine learning (ML) framework to generate dynamic risk predictions for patients enrolled on the platform. Results: We find that, on average, sponsor outreach to patients increases the odds ratio of next-day treatment adherence verification by 35%. Furthermore, patients' prior verification behavior can be used to accurately predict short-term(treatment adherence verification) and long-term(successful treatment completion) outcomes. These results allow the provider to target and implement behavioral interventions to at-risk patients. Managerial implications: Our results indicate that, compared with a benchmark policy, the TAS platform could reach the same number of at-risk patients with 6%-40% less capacity, or reach 2%-20% more at-risk patients with the same capacity, by using various ML-based prioritization policies that leverage patient engagement data. Personal sponsor outreach to all patients is likely to be very costly, so targeted TASmay substantially improve the cost-effectiveness of TAS programs.</t>
  </si>
  <si>
    <t xml:space="preserve">M&amp;SOM-MANUFACTURING &amp; SERVICE OPERATIONS MANAGEMENT</t>
  </si>
  <si>
    <t xml:space="preserve">INFORMS</t>
  </si>
  <si>
    <t xml:space="preserve">behavioral operations; empirical research; global operations management; healthcare management; nonprofit management</t>
  </si>
  <si>
    <t xml:space="preserve">MEDICATION; MANAGEMENT; OUTCOMES; MALARIA; HEALTH; MODEL</t>
  </si>
  <si>
    <t xml:space="preserve">[Boutilier, Justin J.] Univ Wisconsin Madison, Dept Ind &amp; Syst Engn, Madison, WI 53715 USA; [Jonasson, Jonas Oddur] MIT, Operat Management, Sloan Sch Management, Cambridge, MA 02142 USA; [Yoeli, Erez] MIT, Sloan Sch Management, Cambridge, MA 02142 USA</t>
  </si>
  <si>
    <t xml:space="preserve">University of Wisconsin System; University of Wisconsin Madison; Massachusetts Institute of Technology (MIT); Massachusetts Institute of Technology (MIT)</t>
  </si>
  <si>
    <t xml:space="preserve">Boutilier, JJ (corresponding author), Univ Wisconsin Madison, Dept Ind &amp; Syst Engn, Madison, WI 53715 USA.</t>
  </si>
  <si>
    <t xml:space="preserve">jboutilier@wisc.edu; joj@mit.edu; eyoeli@mit.edu</t>
  </si>
  <si>
    <t xml:space="preserve">Boutilier, Justin/A-7719-2016</t>
  </si>
  <si>
    <t xml:space="preserve">MIT Sloan Health Systems Initiative</t>
  </si>
  <si>
    <t xml:space="preserve">The authors are grateful for financial research support from the MIT Sloan Health Systems Initiative.</t>
  </si>
  <si>
    <t xml:space="preserve">CATONSVILLE</t>
  </si>
  <si>
    <t xml:space="preserve">5521 RESEARCH PARK DR, SUITE 200, CATONSVILLE, MD 21228 USA</t>
  </si>
  <si>
    <t xml:space="preserve">1523-4614</t>
  </si>
  <si>
    <t xml:space="preserve">1526-5498</t>
  </si>
  <si>
    <t xml:space="preserve">M&amp;SOM-MANUF SERV OP</t>
  </si>
  <si>
    <t xml:space="preserve">M&amp;SOM-Manuf. Serv. Oper. Manag.</t>
  </si>
  <si>
    <t xml:space="preserve">10.1287/msom.2021.1046</t>
  </si>
  <si>
    <t xml:space="preserve">DEC 2021</t>
  </si>
  <si>
    <t xml:space="preserve">Management; Operations Research &amp; Management Science</t>
  </si>
  <si>
    <t xml:space="preserve">Business &amp; Economics; Operations Research &amp; Management Science</t>
  </si>
  <si>
    <t xml:space="preserve">8N3QE</t>
  </si>
  <si>
    <t xml:space="preserve">WOS:000734196800001</t>
  </si>
  <si>
    <t xml:space="preserve">Rocha, FP; Giesbrecht, M</t>
  </si>
  <si>
    <t xml:space="preserve">Rocha, Fernanda Paula; Giesbrecht, Mateus</t>
  </si>
  <si>
    <t xml:space="preserve">Machine learning algorithms for dengue risk assessment: a case study for Sao Luis do Maranhao</t>
  </si>
  <si>
    <t xml:space="preserve">This study aims to assess dengue fever risk using Machine Learning techniques, such as logistic regressions, linear discriminant analyses, Naive Bayes, decision tree, and random forest classifiers. This kind of approach to epidemiological problems has been developed to detect risks for diseases occurrence and allows to create public policies based on mathematical models to prevent public health problems. In this study, the models were trained with data from the municipality of Sao Luis do Maranhao, state of Maranhao, Brazil. The majority of related works analyze states, countries, or continental levels, with greater availability of data. To apply the approach to such a small region, some oversampling techniques were used. The number of cases per neighborhood from 2014 to and 2020 and climatic, territorial, and environmental data was used as input variables to estimate the probability of dengue occurrence in the municipality. Due to the unbalanced database, we used the SMOTE, ADASYN, and DBSMOTE oversampling techniques. The DBSMOTE-trained Random Forest classifier achieved the best results with a 75.1% AUC, 75.43% sensitivity and a 60.53% specificity.</t>
  </si>
  <si>
    <t xml:space="preserve">Environmental and epidemiological data</t>
  </si>
  <si>
    <t xml:space="preserve">Logistic Regression, Linear Discriminant Analysis, Naive Bayes, Decision Tree, Random Forest</t>
  </si>
  <si>
    <t xml:space="preserve">AUC = 75.1%, Sensitivity = 75.43%, Specificity = 60.53% (Best results with Random Forest trained with DBSMOTE oversampling)</t>
  </si>
  <si>
    <t xml:space="preserve">- Imbalanced dataset (majority of neighborhoods had no dengue cases)
- Low sensitivity on test data despite good training performance
- Regional data only</t>
  </si>
  <si>
    <t xml:space="preserve">COMPUTATIONAL &amp; APPLIED MATHEMATICS</t>
  </si>
  <si>
    <t xml:space="preserve">Dengue; Classification; Machine learning; Random forest; Logistic regression; Naive bayes</t>
  </si>
  <si>
    <t xml:space="preserve">VIRUS-DISEASE; ZIKA VIRUS; SPREAD; AFRICA</t>
  </si>
  <si>
    <t xml:space="preserve">[Rocha, Fernanda Paula; Giesbrecht, Mateus] Univ Estadual Campinas, Dept Elect &amp; Biomed Engn, Campinas, SP, Brazil</t>
  </si>
  <si>
    <t xml:space="preserve">Universidade Estadual de Campinas</t>
  </si>
  <si>
    <t xml:space="preserve">Rocha, FP (corresponding author), Univ Estadual Campinas, Dept Elect &amp; Biomed Engn, Campinas, SP, Brazil.</t>
  </si>
  <si>
    <t xml:space="preserve">fernanda.rocha507@gmail.com; mateus@fee.unicamp.br</t>
  </si>
  <si>
    <t xml:space="preserve">Giesbrecht, Mateus/D-9806-2016; Rocha, Fernanda Paula/AGH-4097-2022</t>
  </si>
  <si>
    <t xml:space="preserve">Giesbrecht, Mateus/0000-0002-2283-1054; Rocha, Fernanda Paula/0000-0003-3913-0147</t>
  </si>
  <si>
    <t xml:space="preserve">Brazilian agency CAPES [88887.486268/2020-00]</t>
  </si>
  <si>
    <t xml:space="preserve">Brazilian agency CAPES(Coordenacao de Aperfeicoamento de Pessoal de Nivel Superior (CAPES))</t>
  </si>
  <si>
    <t xml:space="preserve">This work was supported by the Brazilian agency CAPES (Grant no. 88887.486268/2020-00).</t>
  </si>
  <si>
    <t xml:space="preserve">2238-3603</t>
  </si>
  <si>
    <t xml:space="preserve">1807-0302</t>
  </si>
  <si>
    <t xml:space="preserve">COMPUT APPL MATH</t>
  </si>
  <si>
    <t xml:space="preserve">Mathematics, Applied</t>
  </si>
  <si>
    <t xml:space="preserve">6E4VT</t>
  </si>
  <si>
    <t xml:space="preserve">Bronze</t>
  </si>
  <si>
    <t xml:space="preserve">WOS:000883380000001</t>
  </si>
  <si>
    <t xml:space="preserve">Haruna, AA</t>
  </si>
  <si>
    <t xml:space="preserve">Haruna, Ahmed Abba</t>
  </si>
  <si>
    <t xml:space="preserve">Predictive Deep Learning Models for Malaria Using Cell Images Dataset</t>
  </si>
  <si>
    <t xml:space="preserve">Malaria, which is an endemic disease in most nations around the world, is also one of the most lethal diseases to children in Africa, particularly Nigeria, where twenty-nine countries account for 95% of malaria cases globally, with Nigeria accounting for 27%. Malaria prevention and treatment are also major difficulties in most African countries, and the disease is frequently diagnosed by health workers, particularly microbiologists, using microscopic blood smear samples. As a result, it has put a significant strain on the few medical facilities and health personnel available in most African nations, particularly Nigeria, the Democratic Republic of the Congo, Uganda, Mozambique, and Niger. Hence, artificial intelligence techniques, particularly deep learning, are increasingly widely employed for disease classification, diagnosis, and prediction. Deep learning predictive models for malaria were developed in this study utilizing a dataset of cell images. The convolutional neural network and ResNet-50 algorithms were used to create malaria models with cell image datasets, and the random rotational image augmentation technique was employed to maintain and optimize the models' performance. The predictive models' performance was evaluated, and the results show that ResNet-50 predictive models outperformed convolutional neural network predictive models in terms of being able to classify and predict infected and uninfected malaria cells with 95% accuracy, as well as correctly predicting negative cases of malaria with 95% accuracy. However, in terms of successfully predicting positive cases of malaria, the convolutional neural network predictive model surpassed the ResNet-50 predictive model with 95% accuracy.</t>
  </si>
  <si>
    <t xml:space="preserve">– Convolutional Neural Network (CNN)
– ResNet-50 deep residual network</t>
  </si>
  <si>
    <t xml:space="preserve">– Accuracy: ResNet-50 = 95%, CNN = 94%
– Precision: CNN = 95%
– Recall: ResNet-50 = 95%
– F1-score: Both = 94%</t>
  </si>
  <si>
    <t xml:space="preserve">– No geographic specificity of original image data
– Limited architecture comparison (only CNN vs ResNet-50)
– Potential overfitting on ResNet-50 noted in validation loss</t>
  </si>
  <si>
    <t xml:space="preserve">INTERNATIONAL JOURNAL OF COMPUTER SCIENCE AND NETWORK SECURITY</t>
  </si>
  <si>
    <t xml:space="preserve">INT JOURNAL COMPUTER SCIENCE &amp; NETWORK SECURITY-IJCSNS</t>
  </si>
  <si>
    <t xml:space="preserve">Malaria; Deep Learning; Convolutional Neural Network; Residual Network; ResNet-50</t>
  </si>
  <si>
    <t xml:space="preserve">[Haruna, Ahmed Abba] Univ Hafr Al Batin, Coll Comp Sci &amp; Engn, Dept Comp Sci, Hafar al Batin, Saudi Arabia</t>
  </si>
  <si>
    <t xml:space="preserve">Hafr Albatin University</t>
  </si>
  <si>
    <t xml:space="preserve">Haruna, AA (corresponding author), Univ Hafr Al Batin, Coll Comp Sci &amp; Engn, Dept Comp Sci, Hafar al Batin, Saudi Arabia.</t>
  </si>
  <si>
    <t xml:space="preserve">aaharuna@uhb.edu.sa</t>
  </si>
  <si>
    <t xml:space="preserve">Haruna, Ahmed/HNQ-2551-2023; Haruna, Ahmed/F-6807-2018</t>
  </si>
  <si>
    <t xml:space="preserve">Haruna, Ahmed/0000-0003-2488-7438</t>
  </si>
  <si>
    <t xml:space="preserve">SEOUL</t>
  </si>
  <si>
    <t xml:space="preserve">DAE-SANG OFFICE 301, SANGDO 5 DONG 509-1, SEOUL, 00000, SOUTH KOREA</t>
  </si>
  <si>
    <t xml:space="preserve">1738-7906</t>
  </si>
  <si>
    <t xml:space="preserve">INT J COMPUT SCI NET</t>
  </si>
  <si>
    <t xml:space="preserve">Int. J. Comput. Sci. Netw. Secur.</t>
  </si>
  <si>
    <t xml:space="preserve">SEP 30</t>
  </si>
  <si>
    <t xml:space="preserve">10.22937/IJCSNS.2022.22.9.89</t>
  </si>
  <si>
    <t xml:space="preserve">Computer Science, Information Systems</t>
  </si>
  <si>
    <t xml:space="preserve">5K9PE</t>
  </si>
  <si>
    <t xml:space="preserve">WOS:000870049400005</t>
  </si>
  <si>
    <t xml:space="preserve">Adegoke, JA; Raper, H; Gassner, C; Heraud, P; Wood, BR</t>
  </si>
  <si>
    <t xml:space="preserve">Adegoke, John A.; Raper, Hannah; Gassner, Callum; Heraud, Philip; Wood, Bayden R.</t>
  </si>
  <si>
    <t xml:space="preserve">Visible microspectrophotometry coupled with machine learning to discriminate the erythrocytic life cycle stages of P. falciparum malaria parasites in functional single cells</t>
  </si>
  <si>
    <t xml:space="preserve">Malaria was regarded as the most devastating infectious disease of the 21st century until the COVID-19 pandemic. Asexual blood staged parasites (ABS) play a unique role in ensuring the parasite's survival and pathogenesis. Hitherto, there have been no spectroscopic reports discriminating the life cycle stages of the ABS parasite under physiological conditions. The identification and quantification of the stages in the erythrocytic life cycle is important in monitoring the progression and recovery from the disease. In this study, we explored visible microspectrophotometry coupled to machine learning to discriminate functional ABS parasites at the single cell level. Principal Component Analysis (PCA) showed an excellent discrimination between the different stages of the ABS parasites. Support Vector Machine Analysis provided a 100% prediction for both schizonts and trophozoites, while a 92% and 98% accuracy was achieved for predicting control and ring staged infected RBCs, respectively. This work shows proof of principle for discriminating the life cycle stages of parasites in functional erythrocytes using visible microscopy and thus eliminating the drying and fixative steps that are associated with other optical-based spectroscopic techniques.</t>
  </si>
  <si>
    <t xml:space="preserve">ANALYST</t>
  </si>
  <si>
    <t xml:space="preserve">ROYAL SOC CHEMISTRY</t>
  </si>
  <si>
    <t xml:space="preserve">RESONANCE RAMAN-SPECTROSCOPY; INFECTED ERYTHROCYTES; DIAGNOSIS</t>
  </si>
  <si>
    <t xml:space="preserve">[Adegoke, John A.; Raper, Hannah; Gassner, Callum; Heraud, Philip; Wood, Bayden R.] Monash Univ, Fac Sci, Ctr Biospect, Sch Chem, Clayton, Vic 3800, Australia</t>
  </si>
  <si>
    <t xml:space="preserve">Monash University</t>
  </si>
  <si>
    <t xml:space="preserve">Wood, BR (corresponding author), Monash Univ, Fac Sci, Ctr Biospect, Sch Chem, Clayton, Vic 3800, Australia.</t>
  </si>
  <si>
    <t xml:space="preserve">Bayden.wood@monash.edu</t>
  </si>
  <si>
    <t xml:space="preserve">Adegoke, John/LTD-9434-2024; Wood, Bayden/E-4984-2011</t>
  </si>
  <si>
    <t xml:space="preserve">Wood, Bayden/0000-0003-3581-447X; Adegoke, John A/0000-0003-0103-7246; Gassner, Callum/0000-0003-0449-1954; Raper, Hannah/0000-0002-5903-1755</t>
  </si>
  <si>
    <t xml:space="preserve">Monash Graduate Scholarship; Australia Discovery Grant (ARC) [DP180103484]</t>
  </si>
  <si>
    <t xml:space="preserve">Monash Graduate Scholarship(Monash University); Australia Discovery Grant (ARC)</t>
  </si>
  <si>
    <t xml:space="preserve">The Authors would like to acknowledge the Australian Lifeblood services for supplying the RBCs samples used in this work. Special thanks to Mr Finlay Shanks for instrument support. JA and CG acknowledge Monash Graduate Scholarship. The research was support by an Australia Discovery Grant (ARC number DP180103484).</t>
  </si>
  <si>
    <t xml:space="preserve">CAMBRIDGE</t>
  </si>
  <si>
    <t xml:space="preserve">THOMAS GRAHAM HOUSE, SCIENCE PARK, MILTON RD, CAMBRIDGE CB4 0WF, CAMBS, ENGLAND</t>
  </si>
  <si>
    <t xml:space="preserve">0003-2654</t>
  </si>
  <si>
    <t xml:space="preserve">1364-5528</t>
  </si>
  <si>
    <t xml:space="preserve">JUN 13</t>
  </si>
  <si>
    <t xml:space="preserve">10.1039/d2an00274d</t>
  </si>
  <si>
    <t xml:space="preserve">MAY 2022</t>
  </si>
  <si>
    <t xml:space="preserve">Chemistry, Analytical</t>
  </si>
  <si>
    <t xml:space="preserve">2B3LD</t>
  </si>
  <si>
    <t xml:space="preserve">WOS:000800124700001</t>
  </si>
  <si>
    <t xml:space="preserve">Neto, SRD; de Oliveira, TT; Teixiera, IV; Neto, LM; Sampaio, VS; Lynn, T; Endo, PT</t>
  </si>
  <si>
    <t xml:space="preserve">da Silva Neto, Sebastiao Rogerio; Tabosa de Oliveira, Thomas; Teixiera, Igor Vitor; Medeiros Neto, Leonides; Souza Sampaio, Vanderson; Lynn, Theo; Endo, Patricia Takako</t>
  </si>
  <si>
    <t xml:space="preserve">Arboviral disease record data - Dengue and Chikungunya, Brazil, 2013-2020</t>
  </si>
  <si>
    <t xml:space="preserve">One of the main categories of Neglected Tropical Diseases (NTDs) are arboviruses, of which Dengue and Chikungunya are the most common. Arboviruses mainly affect tropical countries. Brazil has the largest absolute number of cases in Latin America. This work presents a unified data set with clinical, sociodemographic, and laboratorial data on confirmed patients of Dengue and Chikungunya, as well as patients ruled out of infection from these diseases. The data is based on case notification data submitted to the Brazilian Information System for Notifiable Diseases, from Portuguese Sistema de Informacao de Agravo de Notificacao (SINAN), from 2013 to 2020. The original data set comprised 13,421,230 records and 118 attributes. Following a pre-processing process, a final data set of 7,632,542 records and 56 attributes was generated. The data presented in this work will assist researchers in investigating antecedents of arbovirus emergence and transmission more generally, and Dengue and Chikungunya in particular. Furthermore, it can be used to train and test machine learning models for differential diagnosis and multi-class classification.</t>
  </si>
  <si>
    <t xml:space="preserve">Brazil, Ireland</t>
  </si>
  <si>
    <t xml:space="preserve">Clinical, sociodemographic, and laboratory data</t>
  </si>
  <si>
    <t xml:space="preserve">Dengue, Chikungunya</t>
  </si>
  <si>
    <t xml:space="preserve">– Chikungunya data has very limited clinical/lab attributes (only ~100 cases)
– High percentage of missing values in several fields
– No ground-truth labels for co-infection cases</t>
  </si>
  <si>
    <t xml:space="preserve">Article; Data Paper</t>
  </si>
  <si>
    <t xml:space="preserve">SCIENTIFIC DATA</t>
  </si>
  <si>
    <t xml:space="preserve">[da Silva Neto, Sebastiao Rogerio; Tabosa de Oliveira, Thomas; Teixiera, Igor Vitor; Medeiros Neto, Leonides; Endo, Patricia Takako] Univ Pernambuco, Programa Posgrad Engn Comp, BR-50720001 Recife, PE, Brazil; [Souza Sampaio, Vanderson] Fundacao Med Trop Dr Heitor Vieira Dourado, BR-69040000 Manaus, Amazonas, Brazil; [Souza Sampaio, Vanderson] Inst Todos Pela Saude, BR-01310942 Sao Paulo, Brazil; [Lynn, Theo] Dublin City Univ, Irish Inst Digital Business, Dublin 9, Ireland</t>
  </si>
  <si>
    <t xml:space="preserve">Universidade de Pernambuco (UPE); Dublin City University</t>
  </si>
  <si>
    <t xml:space="preserve">Endo, PT (corresponding author), Univ Pernambuco, Programa Posgrad Engn Comp, BR-50720001 Recife, PE, Brazil.</t>
  </si>
  <si>
    <t xml:space="preserve">patricia.endo@upe.br</t>
  </si>
  <si>
    <t xml:space="preserve">Lynn, Theo/AAE-8832-2020; Sampaio, Vanderson/M-4337-2015</t>
  </si>
  <si>
    <t xml:space="preserve">Lynn, Theo/0000-0001-9284-7580; Sampaio, Vanderson/0000-0001-7307-8851; Medeiros Neto, Leonides/0000-0002-0987-0921; Rogerio da Silva Neto, Sebastiao/0000-0001-8109-697X</t>
  </si>
  <si>
    <t xml:space="preserve">Conselho Nacional de Desenvolvimento Cientifico e Tecnologico (CNPq); Coordenacao de Aperfeicoamento de Pessoal de Nivel Superior (CAPES); Fundacao de Amparo a Ciencia e Tecnologia do Estado de Pernambuco (FACEPE); Universidade de Pernambuco (UPE), an entity of the Government of the State of Pernambuco</t>
  </si>
  <si>
    <t xml:space="preserve">Conselho Nacional de Desenvolvimento Cientifico e Tecnologico (CNPq)(Conselho Nacional de Desenvolvimento Cientifico e Tecnologico (CNPQ)); Coordenacao de Aperfeicoamento de Pessoal de Nivel Superior (CAPES)(Coordenacao de Aperfeicoamento de Pessoal de Nivel Superior (CAPES)); Fundacao de Amparo a Ciencia e Tecnologia do Estado de Pernambuco (FACEPE)(Fundacao de Amparo a Ciencia e Tecnologia do Estado de Pernambuco (FACEPE)); Universidade de Pernambuco (UPE), an entity of the Government of the State of Pernambuco</t>
  </si>
  <si>
    <t xml:space="preserve">This work was partially funded by Conselho Nacional de Desenvolvimento Cientifico e Tecnologico (CNPq), CoordenacAo de Aperfeicoamento de Pessoal de Nivel Superior (CAPES), FundacAo de Amparo a Ciencia e Tecnologia do Estado de Pernambuco (FACEPE), and Universidade de Pernambuco (UPE), an entity of the Government of the State of Pernambuco focused on the promotion of teaching, research and extension.</t>
  </si>
  <si>
    <t xml:space="preserve">2052-4463</t>
  </si>
  <si>
    <t xml:space="preserve">SCI DATA</t>
  </si>
  <si>
    <t xml:space="preserve">MAY 10</t>
  </si>
  <si>
    <t xml:space="preserve">1C5QM</t>
  </si>
  <si>
    <t xml:space="preserve">Green Published, Green Accepted, gold</t>
  </si>
  <si>
    <t xml:space="preserve">WOS:000793173500001</t>
  </si>
  <si>
    <t xml:space="preserve">Patil, S; Pandya, S</t>
  </si>
  <si>
    <t xml:space="preserve">Patil, Seema; Pandya, Sharnil</t>
  </si>
  <si>
    <t xml:space="preserve">Forecasting Dengue Hotspots Associated With Variation in Meteorological Parameters Using Regression and Time Series Models</t>
  </si>
  <si>
    <t xml:space="preserve">For forecasting the spread of dengue, monitoring climate change and its effects specific to the disease is necessary. Dengue is one of the most rapidly spreading vector-borne infectious diseases. This paper proposes a forecasting model for predicting dengue incidences considering climatic variability across nine cities of Maharashtra state of India over 10 years. The work involves the collection of five climatic factors such as mean minimum temperature, mean maximum temperature, relative humidity, rainfall, and mean wind speed for 10 years. Monthly incidences of dengue for the same locations are also collected. Different regression models such as random forest regression, decision trees regression, support vector regress, multiple linear regression, elastic net regression, and polynomial regression are used. Time-series forecasting models such as holt's forecasting, autoregressive, Moving average, ARIMA, SARIMA, and Facebook prophet are implemented and compared to forecast the dengue outbreak accurately. The research shows that humidity and mean maximum temperature are the major climate factors and exhibit strong positive and negative correlation, respectively, with dengue incidences for all locations of Maharashtra state. Mean minimum temperature and rainfall are moderately positively correlated with dengue incidences. Mean wind speed is a less significant factor and is weakly negatively correlated with dengue incidences. Root mean square error (RMSE), mean absolute error (MAE), and R square error (R-2) evaluation metrics are used to compare the performance of the prediction model. Random Forest Regression is the best-fit regression model for five out of nine cities, while Support Vector Regression is for two cities. Facebook Prophet Model is the best fit time series forecasting model for six out of nine cities. Based on the prediction, Mumbai, Thane, Nashik, and Pune are the high-risk regions, especially in August, September, and October. The findings exhibit an effective early warning system that would predict the outbreak of other infectious diseases. It will help the relevant authorities to take accurate preventive measures.</t>
  </si>
  <si>
    <t xml:space="preserve">Maharashtra, India</t>
  </si>
  <si>
    <t xml:space="preserve">Meteorological and epidemiological time series data</t>
  </si>
  <si>
    <t xml:space="preserve">Regression: Random Forest, Support Vector Regression, Decision Tree, Multiple Linear Regression, ElasticNet, Polynomial Regression
Time-Series: AR, MA, ARIMA, SARIMA, Facebook Prophet</t>
  </si>
  <si>
    <t xml:space="preserve">RMSE, MAE, R² – Best performance by Random Forest Regression (for 5 cities) and Facebook Prophet (for 6 cities); e.g., Prophet achieved R² = 0.84 for Mumbai</t>
  </si>
  <si>
    <t xml:space="preserve">– Only climatic factors considered (excluded demographics, immunity, socio-economic factors)
– Limited to 9 cities
– Monthly data granularity only</t>
  </si>
  <si>
    <t xml:space="preserve">FRONTIERS IN PUBLIC HEALTH</t>
  </si>
  <si>
    <t xml:space="preserve">dengue fever; climate change; machine learning; prediction; time series forecasting; regression model</t>
  </si>
  <si>
    <t xml:space="preserve">DISEASE SURVEILLANCE; SYSTEM</t>
  </si>
  <si>
    <t xml:space="preserve">[Patil, Seema; Pandya, Sharnil] Symbiosis Int Deemed Univ, Symbiosis Inst Technol, Pune, Maharashtra, India</t>
  </si>
  <si>
    <t xml:space="preserve">Symbiosis International University; Symbiosis Institute of Technology (SIT)</t>
  </si>
  <si>
    <t xml:space="preserve">Pandya, S (corresponding author), Symbiosis Int Deemed Univ, Symbiosis Inst Technol, Pune, Maharashtra, India.</t>
  </si>
  <si>
    <t xml:space="preserve">sharnil.pandya@sitpune.edu.in</t>
  </si>
  <si>
    <t xml:space="preserve">Pandya, Sharnil/P-7479-2019</t>
  </si>
  <si>
    <t xml:space="preserve">Pandya, Sharnil/0000-0002-4507-1844</t>
  </si>
  <si>
    <t xml:space="preserve">2296-2565</t>
  </si>
  <si>
    <t xml:space="preserve">FRONT PUBLIC HEALTH</t>
  </si>
  <si>
    <t xml:space="preserve">Front. Public Health</t>
  </si>
  <si>
    <t xml:space="preserve">NOV 26</t>
  </si>
  <si>
    <t xml:space="preserve">10.3389/fpubh.2021.798034</t>
  </si>
  <si>
    <t xml:space="preserve">XM5AC</t>
  </si>
  <si>
    <t xml:space="preserve">WOS:000728838800001</t>
  </si>
  <si>
    <t xml:space="preserve">Brito, BOD; Attia, ZI; Martins, LNA; Perel, P; Nunes, MCP; Sabino, EC; Cardoso, CS; Ferreira, AM; Gomes, PR; Ribeiro, ALP; Lopez-Jimenez, F</t>
  </si>
  <si>
    <t xml:space="preserve">Brito, Bruno Oliveira de Figueiredo; Attia, Zachi I.; Martins, Larissa Natany A.; Perel, Pablo; Nunes, Maria Carmo P.; Sabino, Ester Cerdeira; Cardoso, Clareci Silva; Ferreira, Ariela Mota; Gomes, Paulo R.; Luiz Pinho Ribeiro, Antonio; Lopez-Jimenez, Francisco</t>
  </si>
  <si>
    <t xml:space="preserve">Left ventricular systolic dysfunction predicted by artificial intelligence using the electrocardiogram in Chagas disease patients-The SaMi-Trop cohort</t>
  </si>
  <si>
    <t xml:space="preserve">BackgroundLeft ventricular systolic dysfunction (LVSD) in Chagas disease (ChD) is relatively common and its treatment using low-cost drugs can improve symptoms and reduce mortality. Recently, an artificial intelligence (AI)-enabled ECG algorithm showed excellent accuracy to detect LVSD in a general population, but its accuracy in ChD has not been tested. ObjectiveTo analyze the ability of AI to recognize LVSD in patients with ChD, defined as a left ventricular ejection fraction determined by the Echocardiogram &lt;= 40%. Methodology/principal findingsThis is a cross-sectional study of ECG obtained from a large cohort of patients with ChD named Sao Paulo-Minas Gerais Tropical Medicine Research Center (SaMi-Trop) Study. The digital ECGs of the participants were submitted to the analysis of the trained machine to detect LVSD. The diagnostic performance of the AI-enabled ECG to detect LVSD was tested using an echocardiogram as the gold standard to detect LVSD, defined as an ejection fraction &lt;40%. The model was enriched with NT-proBNP plasma levels, male sex, and QRS &gt;= 120ms.Among the 1,304 participants of this study, 67% were women, median age of 60; there were 93 (7.1%) individuals with LVSD. Most patients had major ECG abnormalities (59.5%). The AI algorithm identified LVSD among ChD patients with an odds ratio of 63.3 (95% CI 32.3-128.9), a sensitivity of 73%, a specificity of 83%, an overall accuracy of 83%, and a negative predictive value of 97%; the AUC was 0.839. The model adjusted for the male sex and QRS &gt;= 120ms improved the AUC to 0.859. The model adjusted for the male sex and elevated NT-proBNP had a higher accuracy of 0.89 and an AUC of 0.874. ConclusionThe AI analysis of the ECG of Chagas disease patients can be transformed into a powerful tool for the recognition of LVSD. Author summaryChagas disease (ChD) is caused by the protozoan parasite Trypanosoma cruzi and continues to be a health problem despite the control of its transmission. ChD is a heterogeneous condition with a wide variation in its clinical course and prognosis. The majority (60%-70%) of infected individuals remain asymptomatic throughout life. Although some develop only conduction defects and mild segmental wall motion abnormalities, others develop severe symptoms of heart failure (HF), thromboembolic phenomena, and life threatening ventricular arrhythmias. HF is one of major causes of the death of patients with ChD. There is some evidence on effective drugs against the parasite in the chronic form of the disease capable of preventing long-term adverse outcomes, but it is still limited. However low-cost medications are able to reduce mortality and improve the quality of life of patients with HF. Because of the lack of tertiary care facilities outside urban centers, an automatic diagnostic tool based on the ECG, which is a relatively simple exam without requiring human interpretation, would improve the capacity to recognize HF. Recently, digital signals of the electrocardiogram were recognized by Artificial Intelligence (AI) and associated with an excellent accuracy for HF in the general population. Our results demonstrate that AI-ECG could ensure a rapid recognition of HF in patients who require a referral to a cardiologist and the use of disease-modifying drugs. AI can be used as a powerful public heath tool, it can transform the lives of 6 million patients with ChD worldwide, and it may well have a formidable impact on patient management and prognosis.</t>
  </si>
  <si>
    <t xml:space="preserve">Brazil, USA, United Kingdom</t>
  </si>
  <si>
    <t xml:space="preserve">ECG signals</t>
  </si>
  <si>
    <t xml:space="preserve">Chagas</t>
  </si>
  <si>
    <t xml:space="preserve">Artificial Neural Network (ANN) </t>
  </si>
  <si>
    <t xml:space="preserve">– Accuracy: up to 89% (with NT-proBNP adjustment)
– AUC: up to 0.874
– Sensitivity: 73%
– Specificity: up to 91%</t>
  </si>
  <si>
    <t xml:space="preserve">– AI model not trained specifically on Chagas disease patients
– Low prevalence of LVSD in cohort (7.1%)
– NT-proBNP not widely available in rural settings</t>
  </si>
  <si>
    <t xml:space="preserve">BRAIN NATRIURETIC PEPTIDE; NT-PROBNP; ASSOCIATION; MANAGEMENT; DIAGNOSIS; MORTALITY; QRS</t>
  </si>
  <si>
    <t xml:space="preserve">[Brito, Bruno Oliveira de Figueiredo; Nunes, Maria Carmo P.; Gomes, Paulo R.; Luiz Pinho Ribeiro, Antonio] Univ Fed Minas Gerais, Fac Med, Belo Horizonte, MG, Brazil; [Attia, Zachi I.; Perel, Pablo; Lopez-Jimenez, Francisco] Mayo Clin, Dept Cardiovasc Med, Rochester, MN 55905 USA; [Martins, Larissa Natany A.; Gomes, Paulo R.; Luiz Pinho Ribeiro, Antonio] Univ Fed Minas Gerais, Hosp Clin, Telehlth Ctr, Belo Horizonte, MG, Brazil; [Martins, Larissa Natany A.] Univ Fed Minas Gerais, Inst Ciencia Exatas, Dept Stat, Belo Horizonte, MG, Brazil; [Sabino, Ester Cerdeira] Univ Sao Paulo, Fac Med, Inst Med Trop, Sao Paulo, Brazil; [Cardoso, Clareci Silva] Univ Fed Sao Joao del Rei, Divinopolis, Brazil; [Ferreira, Ariela Mota] Univ Estadual Montes Claros, Grad Program Hlth Sci, Montes Claros, MG, Brazil</t>
  </si>
  <si>
    <t xml:space="preserve">Universidade Federal de Minas Gerais; Mayo Clinic; Universidade Federal de Minas Gerais; Universidade Federal de Minas Gerais; Universidade de Sao Paulo; Universidade Federal de Sao Joao del-Rei; Universidade Estadual de Montes Claros</t>
  </si>
  <si>
    <t xml:space="preserve">Ribeiro, ALP (corresponding author), Univ Fed Minas Gerais, Fac Med, Belo Horizonte, MG, Brazil.;Lopez-Jimenez, F (corresponding author), Mayo Clin, Dept Cardiovasc Med, Rochester, MN 55905 USA.;Ribeiro, ALP (corresponding author), Univ Fed Minas Gerais, Hosp Clin, Telehlth Ctr, Belo Horizonte, MG, Brazil.</t>
  </si>
  <si>
    <t xml:space="preserve">antonio.ribeiro@ebserh.gov.br; lopez@mayo.edu</t>
  </si>
  <si>
    <t xml:space="preserve">Cardoso, Clareci/E-8549-2015; Attia, Zachi/AAI-2497-2019; Sabino, Ester/F-7750-2010; Ribeiro, Antonio/C-2707-2009</t>
  </si>
  <si>
    <t xml:space="preserve">Ferreira, Ariela/0000-0002-2315-5318; Silva Cardoso, Clareci/0000-0003-0689-1644; Brito, Bruno/0000-0002-3710-006X; Ribeiro, Antonio/0000-0002-2740-0042; Martins, Larissa N A/0000-0003-2464-6343; Gomes, Paulo Rodrigues/0000-0002-7949-1812; /0000-0002-2342-301X</t>
  </si>
  <si>
    <t xml:space="preserve">National Institute of Health - NIH [P50 AI098461-02, U19AI098461-06]; CNPq [310679/2016-8, 465518/2014-1]; FAPEMIG [PPM-00428-17, RED-00081-16]; National Institute of Allergy and Infectious Diseases [U19AI098461] Funding Source: NIH RePORTER</t>
  </si>
  <si>
    <t xml:space="preserve">National Institute of Health - NIH(United States Department of Health &amp; Human ServicesNational Institutes of Health (NIH) - USA); CNPq(Conselho Nacional de Desenvolvimento Cientifico e Tecnologico (CNPQ)); FAPEMIG(Fundacao de Amparo a Pesquisa do Estado de Minas Gerais (FAPEMIG)); National Institute of Allergy and Infectious Diseases(United States Department of Health &amp; Human ServicesNational Institutes of Health (NIH) - USANIH National Institute of Allergy &amp; Infectious Diseases (NIAID))</t>
  </si>
  <si>
    <t xml:space="preserve">The SaMi-Trop study is supported by the National Institute of Health - NIH (www.nih.gov) grant numbers: P50 AI098461-02 and U19AI098461-06. Dr ALPR is supported in part by CNPq (310679/2016-8 and 465518/2014-1) and by FAPEMIG (PPM-00428-17 and RED-00081-16). The funders had no role in study design, data collection and analysis, decision to publish, or preparation of the manuscript.</t>
  </si>
  <si>
    <t xml:space="preserve">XK2ZW</t>
  </si>
  <si>
    <t xml:space="preserve">Green Accepted, Green Published, gold</t>
  </si>
  <si>
    <t xml:space="preserve">WOS:000727340800005</t>
  </si>
  <si>
    <t xml:space="preserve">Horning, MP; Delahunt, CB; Bachman, CM; Luchavez, J; Luna, C; Hu, LM; Jaiswal, MS; Thompson, CM; Kulhare, S; Janko, S; Wilson, BK; Ostbye, T; Mehanian, M; Gebrehiwot, R; Yun, G; Bell, D; Proux, S; Carter, JY; Oyibo, W; Gamboa, D; Dhorda, M; Vongpromek, R; Chiodini, PL; Ogutu, B; Long, EG; Tun, K; Burkot, TR; Lilley, K; Mehanian, C</t>
  </si>
  <si>
    <t xml:space="preserve">Horning, Matthew P.; Delahunt, Charles B.; Bachman, Christine M.; Luchavez, Jennifer; Luna, Christian; Hu, Liming; Jaiswal, Mayoore S.; Thompson, Clay M.; Kulhare, Sourabh; Janko, Samantha; Wilson, Benjamin K.; Ostbye, Travis; Mehanian, Martha; Gebrehiwot, Roman; Yun, Grace; Bell, David; Proux, Stephane; Carter, Jane Y.; Oyibo, Wellington; Gamboa, Dionicia; Dhorda, Mehul; Vongpromek, Ranitha; Chiodini, Peter L.; Ogutu, Bernhards; Long, Earl G.; Tun, Kyaw; Burkot, Thomas R.; Lilley, Ken; Mehanian, Courosh</t>
  </si>
  <si>
    <t xml:space="preserve">Performance of a fully-automated system on a WHO malaria microscopy evaluation slide set</t>
  </si>
  <si>
    <t xml:space="preserve">BackgroundManual microscopy remains a widely-used tool for malaria diagnosis and clinical studies, but it has inconsistent quality in the field due to variability in training and field practices. Automated diagnostic systems based on machine learning hold promise to improve quality and reproducibility of field microscopy. The World Health Organization (WHO) has designed a 55-slide set (WHO 55) for their External Competence Assessment of Malaria Microscopists (ECAMM) programme, which can also serve as a valuable benchmark for automated systems. The performance of a fully-automated malaria diagnostic system, EasyScan GO, on a WHO 55 slide set was evaluated.MethodsThe WHO 55 slide set is designed to evaluate microscopist competence in three areas of malaria diagnosis using Giemsa-stained blood films, focused on crucial field needs: malaria parasite detection, malaria parasite species identification (ID), and malaria parasite quantitation. The EasyScan GO is a fully-automated system that combines scanning of Giemsa-stained blood films with assessment algorithms to deliver malaria diagnoses. This system was tested on a WHO 55 slide set.ResultsThe EasyScan GO achieved 94.3% detection accuracy, 82.9% species ID accuracy, and 50% quantitation accuracy, corresponding to WHO microscopy competence Levels 1, 2, and 1, respectively. This is, to our knowledge, the best performance of a fully-automated system on a WHO 55 set.ConclusionsEasyScan GO's expert ratings in detection and quantitation on the WHO 55 slide set point towards its potential value in drug efficacy use-cases, as well as in some case management situations with less stringent species ID needs. Improved runtime may enable use in general case management settings.</t>
  </si>
  <si>
    <t xml:space="preserve">USA, Philippines, Thailand, UK, Kenya, Congo, Cambodia, Peru, Burkina Faso, Mali, Myanmar, Uganda, Indonesia, Peru, Thailand, Belgium, Switzerland, France, Mozambique, Australia</t>
  </si>
  <si>
    <t xml:space="preserve">EasyScan GO</t>
  </si>
  <si>
    <t xml:space="preserve">- Detection (Diagnosis): Accuracy = 94.3%, Sensitivity = 86.7%, Specificity = 100% (WHO Level 1) &lt;br&gt; - Species ID: Accuracy = 82.9% (WHO Level 2) 
arxiv.org
+8
pubmed.ncbi.nlm.nih.gov
+8
researchgate.net
+8
 &lt;br&gt; - Quantitation: Accuracy = 50% within ±25% parasitemia error (WHO Level 1)</t>
  </si>
  <si>
    <t xml:space="preserve">	- Benchmark uses single WHO 55 slide set, limiting statistical power and field representativeness &lt;br&gt; - Species ID weaker, especially for mixed or non-falciparum slides due to training data imbalance 
pubmed.ncbi.nlm.nih.gov
+7
malariajournal.biomedcentral.com
+7
frontiersin.org
+7
 &lt;br&gt; - Quantitation only precise half the time (±25% error in 50% cases) &lt;br&gt; - Slide quality variability and mixed-species limitations may impact field performance</t>
  </si>
  <si>
    <t xml:space="preserve">MALARIA JOURNAL</t>
  </si>
  <si>
    <t xml:space="preserve">BMC</t>
  </si>
  <si>
    <t xml:space="preserve">Malaria; Automated diagnosis; Machine learning; Microscopy; WHO</t>
  </si>
  <si>
    <t xml:space="preserve">[Horning, Matthew P.; Delahunt, Charles B.; Bachman, Christine M.; Hu, Liming; Kulhare, Sourabh; Wilson, Benjamin K.; Ostbye, Travis; Mehanian, Martha; Mehanian, Courosh] Global Hlth Labs, 14360 SE Eastgate Way, Bellevue, WA 98007 USA; [Delahunt, Charles B.] Univ Washington, Dept Appl Math, Seattle, WA 98195 USA; [Jaiswal, Mayoore S.; Gebrehiwot, Roman; Yun, Grace] Intellectual Ventures Lab, 3150 139th AVE SE, Bellevue, WA 98005 USA; [Luchavez, Jennifer; Luna, Christian] Res Inst Trop Med, Muntinlupa, Philippines; [Thompson, Clay M.] Creat Creek LLC, Camano Island, WA USA; [Janko, Samantha] Arizona State Univ, Tempe, AZ USA; [Proux, Stephane] Mahidol Univ, Fac Trop Med, Shoklo Malaria Res Unit, Mahidol Oxford Trop Med Res Unit, Mae Sot, Thailand; [Carter, Jane Y.] Amref Hlth Africa, Nairobi, Kenya; [Oyibo, Wellington] Univ Lagos, Lagos, Nigeria; [Gamboa, Dionicia] Univ Peruana Cayetano Heredia, Fac Ciencias &amp; Filosofia, Lab Invest &amp; Desarrollo, Lima, Peru; [Dhorda, Mehul] World Wide Antimalarial Resistance Network &amp; Mahi, Bangkok, Thailand; [Vongpromek, Ranitha] Asia Pacific Reg Ctr, Infect Dis Data Observ &amp; World Wide Antimalarial, Bangkok, Thailand; [Chiodini, Peter L.] Hosp Trop Dis, London, England; [Chiodini, Peter L.] London Sch Hyg &amp; Trop Med, London, England; [Ogutu, Bernhards] Kenya Govt Med Res Ctr, Nairobi, Kenya; [Long, Earl G.] Ctr Dis Control &amp; Prevent, Atlanta, GA USA; [Tun, Kyaw] Def Serv Med Acad, Mingaladon, Myanmar; [Burkot, Thomas R.] James Cook Univ, Australian Inst Trop Hlth &amp; Med, Cairns, Australia; [Lilley, Ken] Australian Def Force Malaria &amp; Infect Dis Inst, Enoggera, Australia</t>
  </si>
  <si>
    <t xml:space="preserve">University of Washington; University of Washington Seattle; Intellectual Ventures; Research Institute for Tropical Medicine - Philippines; Arizona State University; Arizona State University-Tempe; Mahidol University; Mahidol Oxford Tropical Medicine Research Unit (MORU); African Medical &amp; Research Foundation (AMREF); University of Lagos; Universidad Peruana Cayetano Heredia; University of London; London School of Hygiene &amp; Tropical Medicine; University College London Hospitals NHS Foundation Trust; Hospital For Tropical Diseases; University of London; London School of Hygiene &amp; Tropical Medicine; Kenya Medical Research Institute; Centers for Disease Control &amp; Prevention - USA; James Cook University</t>
  </si>
  <si>
    <t xml:space="preserve">Horning, MP (corresponding author), Global Hlth Labs, 14360 SE Eastgate Way, Bellevue, WA 98007 USA.</t>
  </si>
  <si>
    <t xml:space="preserve">matthew.horning@ghlabs.org</t>
  </si>
  <si>
    <t xml:space="preserve">Hu, Liming/GSM-8276-2022; kulhare, sourabh/JFS-4374-2023</t>
  </si>
  <si>
    <t xml:space="preserve">Gamboa, Dionicia/0000-0002-1420-7729; Oyibo, Wellington/0000-0002-5730-5396; Horning, Matthew/0000-0002-1736-7090</t>
  </si>
  <si>
    <t xml:space="preserve">Global Good Fund I, LLC; National Institute for Health Research Biomedical Research Centre, UCL Hospitals, London UK</t>
  </si>
  <si>
    <t xml:space="preserve">Funding provided by The Global Good Fund I, LLC (www.globalgood.com).PLC is supported by the National Institute for Health Research Biomedical Research Centre, UCL Hospitals, London UK.</t>
  </si>
  <si>
    <t xml:space="preserve">CAMPUS, 4 CRINAN ST, LONDON N1 9XW, ENGLAND</t>
  </si>
  <si>
    <t xml:space="preserve">1475-2875</t>
  </si>
  <si>
    <t xml:space="preserve">MALARIA J</t>
  </si>
  <si>
    <t xml:space="preserve">FEB 25</t>
  </si>
  <si>
    <t xml:space="preserve">10.1186/s12936-021-03631-3</t>
  </si>
  <si>
    <t xml:space="preserve">QQ5RN</t>
  </si>
  <si>
    <t xml:space="preserve">WOS:000624581400001</t>
  </si>
  <si>
    <t xml:space="preserve">Haque, KF; Abdelgawad, A</t>
  </si>
  <si>
    <t xml:space="preserve">Haque, Khandaker Foysal; Abdelgawad, Ahmed</t>
  </si>
  <si>
    <t xml:space="preserve">A Deep Learning Approach to Detect COVID-19 Patients from Chest X-ray Images</t>
  </si>
  <si>
    <t xml:space="preserve">Deep Learning has improved multi-fold in recent years and it has been playing a great role in image classification which also includes medical imaging. Convolutional Neural Networks (CNNs) have been performing well in detecting many diseases including coronary artery disease, malaria, Alzheimer's disease, different dental diseases, and Parkinson's disease. Like other cases, CNN has a substantial prospect in detecting COVID-19 patients with medical images like chest X-rays and CTs. Coronavirus or COVID-19 has been declared a global pandemic by the World Health Organization (WHO). As of 8 August 2020, the total COVID-19 confirmed cases are 19.18 M and deaths are 0.716 M worldwide. Detecting Coronavirus positive patients is very important in preventing the spread of this virus. On this conquest, a CNN model is proposed to detect COVID-19 patients from chest X-ray images. Two more CNN models with different number of convolution layers and three other models based on pretrained ResNet50, VGG-16 and VGG-19 are evaluated with comparative analytical analysis. All six models are trained and validated with Dataset 1 and Dataset 2. Dataset 1 has 201 normal and 201 COVID-19 chest X-rays whereas Dataset 2 is comparatively larger with 659 normal and 295 COVID-19 chest X-ray images. The proposed model performs with an accuracy of 98.3% and a precision of 96.72% with Dataset 2. This model gives the Receiver Operating Characteristic (ROC) curve area of 0.983 and F1-score of 98.3 with Dataset 2. Moreover, this work shows a comparative analysis of how change in convolutional layers and increase in dataset affect classifying performances.</t>
  </si>
  <si>
    <t xml:space="preserve">Imaging data</t>
  </si>
  <si>
    <t xml:space="preserve">– CNN (custom models with 3, 4, and 5 convolutional layers)
– Pretrained models: ResNet50, VGG-16, VGG-19</t>
  </si>
  <si>
    <t xml:space="preserve">Model 1 with Dataset 2 (659 normal, 295 COVID-19 images):
– Accuracy: 98.3%
– F1-score: 98.3
– ROC AUC: 0.983</t>
  </si>
  <si>
    <t xml:space="preserve">– Small dataset size, especially for COVID-19 cases
– Not clinically validated
– Only binary classification (no multi-class or stage detection)</t>
  </si>
  <si>
    <t xml:space="preserve">AI</t>
  </si>
  <si>
    <t xml:space="preserve">COVID-19; coronavirus; detection of COVID-19; deep learning; Convolutional Neural Networks (CNNs)</t>
  </si>
  <si>
    <t xml:space="preserve">[Haque, Khandaker Foysal; Abdelgawad, Ahmed] Cent Michigan Univ, Coll Sci &amp; Engn, Mt Pleasant, MI 48859 USA</t>
  </si>
  <si>
    <t xml:space="preserve">Central Michigan University</t>
  </si>
  <si>
    <t xml:space="preserve">Haque, KF (corresponding author), Cent Michigan Univ, Coll Sci &amp; Engn, Mt Pleasant, MI 48859 USA.</t>
  </si>
  <si>
    <t xml:space="preserve">haque1k@cmich.edu</t>
  </si>
  <si>
    <t xml:space="preserve">Atwa, Ahmed/N-5192-2018; Haque, Khandaker Foysal/AFS-9479-2022</t>
  </si>
  <si>
    <t xml:space="preserve">Haque, Khandaker Foysal/0000-0003-2791-6863</t>
  </si>
  <si>
    <t xml:space="preserve">2673-2688</t>
  </si>
  <si>
    <t xml:space="preserve">AI-BASEL</t>
  </si>
  <si>
    <t xml:space="preserve">I4XR6</t>
  </si>
  <si>
    <t xml:space="preserve">WOS:001002832300001</t>
  </si>
  <si>
    <t xml:space="preserve">Vargas, M; Nuñez, T; Alfaro, M; Fuertes, G; Gutierrez, S; Ternero, R; Sabattin, J; Banguera, L; Duran, C; Peralta, MA</t>
  </si>
  <si>
    <t xml:space="preserve">Vargas, Manuel; Nunez, Tabita; Alfaro, Miguel; Fuertes, Guillermo; Gutierrez, Sebastian; Ternero, Rodrigo; Sabattin, Jorge; Banguera, Leonardo; Duran, Claudia; Alejandra Peralta, Maria</t>
  </si>
  <si>
    <t xml:space="preserve">A Project Based Learning Approach for Teaching Artificial Intelligence to Undergraduate Students</t>
  </si>
  <si>
    <t xml:space="preserve">This work presents an active learning methodology called Project-based learning (PBL) for developing artificial intelligence (AI) in a computer vision course of an undergraduate engineering degree. The objective of the course was to develop image recognition capabilities using Deep Learning (DL)/Machine Learning (ML) technics in real-world problems. The PBL learning methodology helped students search for real-world problems, develop complex solutions, and generate synergy among team members. The main role of the professor was to advise, guide and motivate the students throughout the course. The pedagogic innovation with active learning methodologies offered the professor the opportunity to create a dynamic motivating learning environment based on experiences. Each undergraduate engineering student had the opportunity to develop the skills and techniques of their profession: teamwork, proactivity, innovation, and leadership. The results obtained by the student teams showed problem-solving, including the use of automatic navigation equipment with AI, detection of the malaria parasite, recognition of non-human individuals to control vehicular traffic.</t>
  </si>
  <si>
    <t xml:space="preserve">Chile, Ecuador</t>
  </si>
  <si>
    <t xml:space="preserve">Chile</t>
  </si>
  <si>
    <t xml:space="preserve">Educational project outcomes and student assessments </t>
  </si>
  <si>
    <t xml:space="preserve">MobileNet, Custom CNNs</t>
  </si>
  <si>
    <t xml:space="preserve">MobileNet: 84-97% accuracy</t>
  </si>
  <si>
    <t xml:space="preserve">– Study focused on educational effectiveness, not on model clinical validation
– Limited dataset size per project (e.g., 300 images for malaria detection)</t>
  </si>
  <si>
    <t xml:space="preserve">INTERNATIONAL JOURNAL OF ENGINEERING EDUCATION</t>
  </si>
  <si>
    <t xml:space="preserve">TEMPUS PUBLICATIONS</t>
  </si>
  <si>
    <t xml:space="preserve">artificial intelligence; artificial neural network; image recognition; machine vision; project engineering</t>
  </si>
  <si>
    <t xml:space="preserve">ENGINEERING-EDUCATION; POWER-SYSTEMS; PBL; EXPERIENCES; DESIGN; FACILITATION; RECOGNITION; COMPETENCES; DIAGNOSIS; OUTCOMES</t>
  </si>
  <si>
    <t xml:space="preserve">[Vargas, Manuel; Nunez, Tabita] Univ San Sebastian, Fac Ingn &amp; Tecnol, Bellavista 7, Santiago, Chile; [Alfaro, Miguel; Fuertes, Guillermo; Ternero, Rodrigo] Univ Santiago Chile, Ind Engn Dept, Ave Ecuador 3769, Santiago 3769, Chile; [Fuertes, Guillermo] Univ Bernardo OHiggins, Fac Ingn Ciencia &amp; Tecnol, Ave Viel 1497,Ruta 5 Sur, Santiago, Chile; [Gutierrez, Sebastian] Univ Cent Chile, Fac Econ Gobierno &amp; Comunicac, Lord Cochrane 417, Santiago, Chile; [Gutierrez, Sebastian] Univ Mayor, Providencia, Chile; [Ternero, Rodrigo] Univ Amer, Inst Matemat Fis &amp; Estad, Manuel Montt 948, Santiago, Chile; [Sabattin, Jorge] Univ Andres Bello, Fac Ingn, Antonio Varas 880, Santiago 7500971, Chile; [Banguera, Leonardo] Univ Guayaquil, Ind Engn Fac, Guayaquil, Ecuador; [Duran, Claudia] Univ Tecnol Metropolitana, Fac Ingn, Dept Ind, Jose Pedro Alessandri 1242, Chile; [Alejandra Peralta, Maria] Univ Catolica Norte, Dept Ensenanza Ciencias Basicas, Larrondo 1281, Coquimbo, Chile</t>
  </si>
  <si>
    <t xml:space="preserve">Universidad San Sebastian; Universidad de Santiago de Chile; Universidad Bernardo O'Higgins; Universidad Central de Chile; Universidad Mayor; Universidad de Las Americas - Chile; Universidad Andres Bello; Universidad de Guayaquil; Universidad Tecnologica Metropolitana; Universidad Catolica del Norte</t>
  </si>
  <si>
    <t xml:space="preserve">Vargas, M (corresponding author), Univ San Sebastian, Fac Ingn &amp; Tecnol, Bellavista 7, Santiago, Chile.</t>
  </si>
  <si>
    <t xml:space="preserve">manuel.vargas@uss.cl; tabita.nunez@uss.cl; miguel.alfaro@usach.cl; guillermo.fuertes@usach.cl; sebastian.gutierrez@ucentral.cl; rodrigo.ternero@usach.cl; jorge.sabattin@unab.cl; leonardo.bangueraa@ug.edu.ec; c.durans@utem.cl; maperalta@ucn.cl</t>
  </si>
  <si>
    <t xml:space="preserve">Duran, Claudia/S-1175-2019; Fuertes, Guillermo/Q-2341-2016; vargas, manuel/AAG-4780-2020; Sabattin, Jorge/P-2589-2019</t>
  </si>
  <si>
    <t xml:space="preserve">Vargas Guzman, Manuel Eduardo/0000-0003-4161-6621; Gutierrez Lillo, Sebastian/0000-0003-3714-0632</t>
  </si>
  <si>
    <t xml:space="preserve">CIES (Research Center for Higher Education) of the San Sebastian University (USS)</t>
  </si>
  <si>
    <t xml:space="preserve">This research was supported by CIES (Research Center for Higher Education) of the San Sebastian University (USS).</t>
  </si>
  <si>
    <t xml:space="preserve">DURRUS, BANTRY</t>
  </si>
  <si>
    <t xml:space="preserve">IJEE , ROSSMORE,, DURRUS, BANTRY, COUNTY CORK 00000, IRELAND</t>
  </si>
  <si>
    <t xml:space="preserve">0949-149X</t>
  </si>
  <si>
    <t xml:space="preserve">INT J ENG EDUC</t>
  </si>
  <si>
    <t xml:space="preserve">Int. J. Eng. Educ</t>
  </si>
  <si>
    <t xml:space="preserve">Education, Scientific Disciplines; Engineering, Multidisciplinary</t>
  </si>
  <si>
    <t xml:space="preserve">Education &amp; Educational Research; Engineering</t>
  </si>
  <si>
    <t xml:space="preserve">OI3UG</t>
  </si>
  <si>
    <t xml:space="preserve">WOS:000583207300006</t>
  </si>
  <si>
    <t xml:space="preserve">Sow, B; Mukhtar, H; Ahmad, HF; Suguri, H</t>
  </si>
  <si>
    <t xml:space="preserve">Sow, Boubacar; Mukhtar, Hamid; Ahmad, Hafiz Farooq; Suguri, Hiroki</t>
  </si>
  <si>
    <t xml:space="preserve">Assessing the relative importance of social determinants of health in malaria and anemia classi?cation based on machine learning techniques</t>
  </si>
  <si>
    <t xml:space="preserve">Disparate types of data including biological and environmental have been used in supervised learning to predict a specific disease outcome. However, social determinants of health, which have been explored very little, promise to be signi?cant predictors of public health problems such as malaria and anemia among children. We considered studying their contribution power in malaria and anemia predictions based on Variable Importance in Projection (VIP). This innovative method has potential advantages as it analyzes the impact of independent variables on disease prediction. In addition, we applied ?ve machine learning algorithms to classify both diseases, using social determinants of health data, and compared their results. Of them all, arti?cial neural networks gave the best results of 94.74% and 84.17% accuracy for malaria and anemia prediction, respectively. These results are consistent and reflect the signi?cance of non-medical factors in disease prediction.</t>
  </si>
  <si>
    <t xml:space="preserve">INFORMATICS FOR HEALTH &amp; SOCIAL CARE</t>
  </si>
  <si>
    <t xml:space="preserve">TAYLOR &amp; FRANCIS INC</t>
  </si>
  <si>
    <t xml:space="preserve">Machine learning; variable importance in projection (VIP); malaria; anemia; DHS; Senegal; social determinants of health</t>
  </si>
  <si>
    <t xml:space="preserve">[Sow, Boubacar; Suguri, Hiroki] Miyagi Univ, Grad Sch Project Design, Sendai, Miyagi, Japan; [Mukhtar, Hamid] Natl Univ Sci &amp; Technol NUST, Sch Elect Engn &amp; Comp Sci, Dept Comp, Islamabad, Pakistan; [Ahmad, Hafiz Farooq] King Faisal Univ, Coll Comp Sci &amp; Informat Technol, Dept Comp Sci, Alahsa, Saudi Arabia</t>
  </si>
  <si>
    <t xml:space="preserve">Miyagi University; National University of Sciences &amp; Technology - Pakistan; King Faisal University</t>
  </si>
  <si>
    <t xml:space="preserve">Sow, B (corresponding author), Miyagi Univ, Grad Sch Project Design, 1-1 Gakuen, Taiwa, Miyagi 9813298, Japan.</t>
  </si>
  <si>
    <t xml:space="preserve">sowbooba@hotmail.com</t>
  </si>
  <si>
    <t xml:space="preserve">Mukhtar, Hamid/A-4060-2010; Ahmad, Farooq/P-9049-2016</t>
  </si>
  <si>
    <t xml:space="preserve">Mukhtar, Hamid/0000-0002-9367-4340; Sow, Boubacar/0009-0005-6098-1511</t>
  </si>
  <si>
    <t xml:space="preserve">PHILADELPHIA</t>
  </si>
  <si>
    <t xml:space="preserve">530 WALNUT STREET, STE 850, PHILADELPHIA, PA 19106 USA</t>
  </si>
  <si>
    <t xml:space="preserve">1753-8157</t>
  </si>
  <si>
    <t xml:space="preserve">1753-8165</t>
  </si>
  <si>
    <t xml:space="preserve">INFORM HEALTH SOC CA</t>
  </si>
  <si>
    <t xml:space="preserve">Inform. Health Soc. Care</t>
  </si>
  <si>
    <t xml:space="preserve">JUL 2</t>
  </si>
  <si>
    <t xml:space="preserve">Health Care Sciences &amp; Services; Medical Informatics</t>
  </si>
  <si>
    <t xml:space="preserve">MT6TA</t>
  </si>
  <si>
    <t xml:space="preserve">WOS:000555104000002</t>
  </si>
  <si>
    <t xml:space="preserve">Zheng, LL; Lin, FQ; Zhu, CX; Liu, GJ; Wu, XH; Wu, ZY; Zheng, JB; Xia, HM; Cai, Y; Liang, HY</t>
  </si>
  <si>
    <t xml:space="preserve">Zheng, Lingling; Lin, Fangqin; Zhu, Changxi; Liu, Guangjian; Wu, Xiaohui; Wu, Zhiyuan; Zheng, Jianbin; Xia, Huimin; Cai, Yi; Liang, Huiying</t>
  </si>
  <si>
    <t xml:space="preserve">Machine Learning Algorithms Identify Pathogen-Specific Biomarkers of Clinical and Metabolomic Characteristics in Septic Patients with Bacterial Infections</t>
  </si>
  <si>
    <t xml:space="preserve">Sepsis is a high-mortality disease that is infected by bacteria, but pathogens in individual patients are difficult to diagnosis. Metabolomic changes triggered by microbial activity provide us with the possibility of accurately identifying infection. We adopted machine learning methods for training different classifiers with a clinical-metabolomic database from sepsis cases to identify the pathogen of sepsis. Records of clinical indicators and concentration of metabolites were obtained for each patient upon their arrival at the hospital. Machine learning algorithms were used in 100 patients with clear infection and corresponding 29 controls to select specific biosignatures to discriminate microorganism in septic patients. The sensitivity, specificity, and AUC value of clinical and metabolomic characteristics in predicting diagnostic outcomes were determined at admission. Our analyses demonstrate that the biosignatures selected by machine learning algorithms could have diagnostic value on the identification of infected patients and Gram-positive from Gram-negative; related AUC values were 0:94 +/- 0:054 and 0:80 +/- 0:085, respectively. Pathway and blood disease enrichment analyses of clinical and metabolomic biomarkers among infected patients showed that sepsis disease was accompanied by abnormal nitrogen metabolism, cell respiratory disorder, and renal or intestinal failure. The panel of selected clinical and metabolomic characteristics might be powerful biomarkers to discriminate patients with sepsis.</t>
  </si>
  <si>
    <t xml:space="preserve">BIOMED RESEARCH INTERNATIONAL</t>
  </si>
  <si>
    <t xml:space="preserve">SEVERE SEPSIS; STREPTOCOCCUS-PNEUMONIAE; SHOCK; COENZYME-Q10; DYSFUNCTION; DISTINCT; MALARIA; SERUM</t>
  </si>
  <si>
    <t xml:space="preserve">[Zheng, Lingling; Lin, Fangqin; Liu, Guangjian; Wu, Xiaohui; Liang, Huiying] Guangzhou Med Univ, Guangzhou Women &amp; Childrens Med Ctr, Guangzhou, Peoples R China; [Zhu, Changxi; Cai, Yi] South China Univ Technol, Sch Software Engn, Guangzhou, Peoples R China; [Wu, Zhiyuan; Zheng, Jianbin] Guangzhou Med Univ, Guangzhou Women &amp; Childrens Med Ctr, Pediat Intens Care Units, Guangzhou, Peoples R China; [Xia, Huimin] Guangzhou Med Univ, Dept Pediat Surg, Guangzhou Women &amp; Childrens Med Ctr, Guangzhou, Peoples R China</t>
  </si>
  <si>
    <t xml:space="preserve">Guangzhou Medical University; South China University of Technology; Guangzhou Medical University; Guangzhou Medical University</t>
  </si>
  <si>
    <t xml:space="preserve">Liang, HY (corresponding author), Guangzhou Med Univ, Guangzhou Women &amp; Childrens Med Ctr, Guangzhou, Peoples R China.;Cai, Y (corresponding author), South China Univ Technol, Sch Software Engn, Guangzhou, Peoples R China.</t>
  </si>
  <si>
    <t xml:space="preserve">zhengll8@mail2.sysu.edu.cn; linfangq@mail2.sysu.edu.cn; cxzhu.cn@gmail.com; liugjcn@163.com; 799143008@qq.com; wuzhiyuan526@163.com; zenny163@163.com; huimin.xia876001@gmail.com; ycai@scut.edu.cn; lianghuiying@hotmail.com</t>
  </si>
  <si>
    <t xml:space="preserve">Wu, Zhiyuan/AAX-3075-2020; Zheng, Lingling/IQT-2731-2023</t>
  </si>
  <si>
    <t xml:space="preserve">Xia, Huimin/0000-0002-0103-1672; Zheng, Lingling/0000-0002-7305-2253</t>
  </si>
  <si>
    <t xml:space="preserve">National Natural Science Foundation of China [71704031]; Guangzhou Science and Technology Project Fund [201707010018]; Guangzhou Institute of Pediatrics/Guangzhou Women and Children's Medical Center [KCP-2016-002]; China Postdoctoral Science Foundation [2017M622657]</t>
  </si>
  <si>
    <t xml:space="preserve">National Natural Science Foundation of China(National Natural Science Foundation of China (NSFC)); Guangzhou Science and Technology Project Fund; Guangzhou Institute of Pediatrics/Guangzhou Women and Children's Medical Center; China Postdoctoral Science Foundation(China Postdoctoral Science Foundation)</t>
  </si>
  <si>
    <t xml:space="preserve">We are grateful to Langley et al. for sending us data generously and detailed explanation patiently. We thank all participants for their contribution in this research effort. This work was supported by the National Natural Science Foundation of China (Grant No. 71704031), the Guangzhou Science and Technology Project Fund (Grant No. 201707010018), the Guangzhou Institute of Pediatrics/Guangzhou Women and Children's Medical Center (No. KCP-2016-002), and the China Postdoctoral Science Foundation Grant (grant number 2017M622657).</t>
  </si>
  <si>
    <t xml:space="preserve">2314-6133</t>
  </si>
  <si>
    <t xml:space="preserve">2314-6141</t>
  </si>
  <si>
    <t xml:space="preserve">BIOMED RES INT</t>
  </si>
  <si>
    <t xml:space="preserve">Biomed Res. Int.</t>
  </si>
  <si>
    <t xml:space="preserve">JUL 27</t>
  </si>
  <si>
    <t xml:space="preserve">10.1155/2020/6950576</t>
  </si>
  <si>
    <t xml:space="preserve">Biotechnology &amp; Applied Microbiology; Medicine, Research &amp; Experimental</t>
  </si>
  <si>
    <t xml:space="preserve">Biotechnology &amp; Applied Microbiology; Research &amp; Experimental Medicine</t>
  </si>
  <si>
    <t xml:space="preserve">NC7AO</t>
  </si>
  <si>
    <t xml:space="preserve">WOS:000561368300003</t>
  </si>
  <si>
    <t xml:space="preserve">Kavitha, S; Sathyavathi, S; Priyadharshini, R; Varshini, S</t>
  </si>
  <si>
    <t xml:space="preserve">Kavitha, S.; Sathyavathi, S.; Priyadharshini, R.; Varshini, S.</t>
  </si>
  <si>
    <t xml:space="preserve">Malarial Parasite Identification Using Convolution Neural Network</t>
  </si>
  <si>
    <t xml:space="preserve">Malaria - a dreadful and deadly disease caused by a parasite belong to the plasmodium family that commonly infects a female Anopheles mosquito which bite on humans. With the symptoms, the disease can be diagnosed by trained lab technicians who will examine the microscopic blood smear images. Developing an automatic, accurate and efficient model for detecting this disease will reduce the requirement for the trained human resource and it will improve the diagnosis efficiency. Deep learning neural networks can be used to improve the efficiency and the accuracy of the diagnosis. In this paper, we propose a model using Convolutional Neural Network (CNN) for the examination of malaria from the microscopic human red blood smear images. This model will provide a rapid, accurate, low cost outcome. Our model differentiates the infected and uninfected cell images by training the convolutional neural networks. The algorithm involves the methods and architectures of computer vision, image processing operations and deep learning. The proposed CNN model can examine the malarial parasites from microscopic images with an accuracy of 68.38%, in 10000 checkpoint operations.</t>
  </si>
  <si>
    <t xml:space="preserve">BIOSCIENCE BIOTECHNOLOGY RESEARCH COMMUNICATIONS</t>
  </si>
  <si>
    <t xml:space="preserve">SOC SCIENCE &amp; NATURE</t>
  </si>
  <si>
    <t xml:space="preserve">BLOOD SMEAR; CNN; DEEP LEARNING; MICROSCOPIC; PLASMODIUM PARASITES</t>
  </si>
  <si>
    <t xml:space="preserve">[Kavitha, S.; Sathyavathi, S.; Priyadharshini, R.; Varshini, S.] Kumaraguru Coll Technol, Dept Informat Technol, Coimbatore, Tamil Nadu, India</t>
  </si>
  <si>
    <t xml:space="preserve">Kumaraguru College of Technology</t>
  </si>
  <si>
    <t xml:space="preserve">Sathyavathi, S (corresponding author), Kumaraguru Coll Technol, Dept Informat Technol, Coimbatore, Tamil Nadu, India.</t>
  </si>
  <si>
    <t xml:space="preserve">sathyavathi.s.it@kct.ac.in</t>
  </si>
  <si>
    <t xml:space="preserve">BHOPAL</t>
  </si>
  <si>
    <t xml:space="preserve">C-52 HOUSING BOARD COLONY, KOHE FIZA, BHOPAL, MADHYA PRADESH 462 001, INDIA</t>
  </si>
  <si>
    <t xml:space="preserve">0974-6455</t>
  </si>
  <si>
    <t xml:space="preserve">BIOSCI BIOTECH RES C</t>
  </si>
  <si>
    <t xml:space="preserve">Biosci. Biotechnol. Res. Commun.</t>
  </si>
  <si>
    <t xml:space="preserve">10.21786/bbrc/13.11/12</t>
  </si>
  <si>
    <t xml:space="preserve">Biotechnology &amp; Applied Microbiology</t>
  </si>
  <si>
    <t xml:space="preserve">RN0XA</t>
  </si>
  <si>
    <t xml:space="preserve">WOS:000640077900012</t>
  </si>
  <si>
    <t xml:space="preserve">Mudele, O; Bayer, FM; Zanandrez, LFR; Eiras, AE; Gamba, P</t>
  </si>
  <si>
    <t xml:space="preserve">Mudele, Oladimeji; Bayer, Fabio M.; Zanandrez, Lucas F. R.; Eiras, Alvaro E.; Gamba, Paolo</t>
  </si>
  <si>
    <t xml:space="preserve">Modeling the Temporal Population Distribution of Ae. aegypti Mosquito Using Big Earth Observation Data</t>
  </si>
  <si>
    <t xml:space="preserve">Over 50% of the world population is at risk of mosquito-borne diseases. Female Ae. aegypti mosquito species transmit Zika, Dengue, and Chikungunya. The spread of these diseases correlate positively with the vector population, and this population depends on biotic and abiotic environmental factors including temperature, vegetation condition, humidity and precipitation. To combat virus outbreaks, information about vector population is required. To this aim, Earth observation (EO) data provide fast, efficient and economically viable means to estimate environmental features of interest. In this work, we present a temporal distribution model for adult female Ae. aegypti mosquitoes based on the joint use of the Normalized Difference Vegetation Index, the Normalized Difference Water Index, the Land Surface Temperature (both at day and night time), along with the precipitation information, extracted from EO data. The model was applied separately to data obtained during three different vector control and field data collection condition regimes, and used to explain the differences in environmental variable contributions across these regimes. To this aim, a random forest (RF) regression technique and its nonlinear features importance ranking based on mean decrease impurity (MDI) were implemented. To prove the robustness of the proposed model, other machine learning techniques, including support vector regression, decision trees and k-nearest neighbor regression, as well as artificial neural networks, and statistical models such as the linear regression model and generalized linear model were also considered. Our results show that machine learning techniques perform better than linear statistical models for the task at hand, and RF performs best. By ranking the importance of all features based on MDI in RF and selecting the subset comprising the most informative ones, a more parsimonious but equally effective and explainable model can be obtained. Moreover, the results can be empirically interpreted for use in vector control activities.</t>
  </si>
  <si>
    <t xml:space="preserve">Ae. aegypti; machine learning; random forest; remote sensing</t>
  </si>
  <si>
    <t xml:space="preserve">AEDES-AEGYPTI; LANDSCAPE EPIDEMIOLOGY; URBAN-GROWTH; LANDSAT; DISEASE; IMAGES</t>
  </si>
  <si>
    <t xml:space="preserve">[Mudele, Oladimeji; Gamba, Paolo] Univ Pavia, Dept Elect Comp &amp; Biomed Engn, Telecommun &amp; Remote Sensing Lab, I-27100 Pavia, Italy; [Bayer, Fabio M.] Univ Fed Santa Maria, Dept Stat, BR-97105900 Santa Maria, RS, Brazil; [Bayer, Fabio M.] Univ Fed Santa Maria, LACESM, BR-97105900 Santa Maria, RS, Brazil; [Zanandrez, Lucas F. R.] Ecovec Ltda, BR-31310260 Belo Horizonte, MG, Brazil; [Eiras, Alvaro E.] Univ Fed Minas Gerais, Lab Technol Innovat &amp; Entrepreneurship Vector Con, Dept Parasitol, BR-31270901 Belo Horizonte, MG, Brazil</t>
  </si>
  <si>
    <t xml:space="preserve">University of Pavia; Universidade Federal de Santa Maria (UFSM); Universidade Federal de Santa Maria (UFSM); Universidade Federal de Minas Gerais</t>
  </si>
  <si>
    <t xml:space="preserve">Mudele, O (corresponding author), Univ Pavia, Dept Elect Comp &amp; Biomed Engn, Telecommun &amp; Remote Sensing Lab, I-27100 Pavia, Italy.</t>
  </si>
  <si>
    <t xml:space="preserve">oladimeji.mudele01@universitadipavia.it</t>
  </si>
  <si>
    <t xml:space="preserve">Mudele, Oladimeji/HZL-3533-2023; Bayer, Fábio/G-4513-2012; Eiras, Alvaro/Z-6023-2019; EIRAS, ALVARO/E-8371-2017; Gamba, Paolo/G-1959-2010</t>
  </si>
  <si>
    <t xml:space="preserve">Fabrini Ramalho Zanandrez, Lucas/0000-0003-1049-2822; EIRAS, ALVARO/0000-0002-3045-0673; Mariano Bayer, Fabio/0000-0002-1464-0805; Gamba, Paolo/0000-0002-9576-6337; Mudele, Oladimeji/0000-0001-7131-6334</t>
  </si>
  <si>
    <t xml:space="preserve">European Commission through Horizon 2020 Research and Innovation Programme (Project EOXPOSURE) [734541]; CNPq/MCTI, Brazil; CAPES/MEC; CNPq/MCTI; Decit/SCTIE/MS [440358/2016-7]; Marie Curie Actions (MSCA) [734541] Funding Source: Marie Curie Actions (MSCA)</t>
  </si>
  <si>
    <t xml:space="preserve">European Commission through Horizon 2020 Research and Innovation Programme (Project EOXPOSURE); CNPq/MCTI, Brazil; CAPES/MEC(Coordenacao de Aperfeicoamento de Pessoal de Nivel Superior (CAPES)); CNPq/MCTI; Decit/SCTIE/MS; Marie Curie Actions (MSCA)(Marie Curie Actions)</t>
  </si>
  <si>
    <t xml:space="preserve">The work of Oladimeji Mudele was supported by the European Commission through Horizon 2020 Research and Innovation Programme (Project EOXPOSURE) under Grant 734541. The work of Fabio M. Bayer was supported by the CNPq/MCTI, Brazil. The work of Alvaro E. Eiras was supported in part by the CAPES/MEC, in part by the CNPq/MCTI, and in part by the Decit/SCTIE/MS under Grant 440358/2016-7.</t>
  </si>
  <si>
    <t xml:space="preserve">10.1109/ACCESS.2020.2966080</t>
  </si>
  <si>
    <t xml:space="preserve">LB6HQ</t>
  </si>
  <si>
    <t xml:space="preserve">gold, Green Submitted</t>
  </si>
  <si>
    <t xml:space="preserve">WOS:000524735300016</t>
  </si>
  <si>
    <t xml:space="preserve">el Harith, A; Awad, Y; Mahamoud, A; Abass, E; Mansour, D; de Melo, CM; Madi, RR; Semiao-Santos, SJ; Osman, HA</t>
  </si>
  <si>
    <t xml:space="preserve">el Harith, Abdallah; Awad, Yousif; Mahamoud, Abdelhafeiz; Abass, Elfadil; Mansour, Durria; de Melo, Claudia Moura; Madi, Rubens Riscala; Semiao-Santos, Saul J.; Osman, Hussam Ali</t>
  </si>
  <si>
    <t xml:space="preserve">Modifications in a Reference Freeze-Dried Direct Agglutination Test to Improve Visceral Leishmaniasis Detection</t>
  </si>
  <si>
    <t xml:space="preserve">Currently, a significantly lower temperature (35 degrees C) than initially established (56 degrees C) is indicated as the maximum temperature storage for the commercial reference visceral leishmaniasis (VL) freeze-dried direct agglutination test (FD-DAT). Despite an approximately 50% loss in the number of promastigotes in an FD-DAT batch that expired 7 years earlier, the promastigotes maintained a similar morphology to the equivalent valid batch implying most likely that auto-agglutination, rather than aging, is the main reason for expiry. The substitution of normal saline which was initially recommended for reconstitution, by citrate-saline/formaldehyde (CSF) as an anti-clumping/preservative agent resulted in restoration of validity comparable with that of the freeze-dried original or the liquid direct agglutination test (LQ-DAT) version (Friedman ANOVA test = 1.0588; P = 0.5890). Following a similar reconstitution procedure as for the 7-year expired antigen, using significantly lower promastigote concentration (1.4 x 10(7)/mL) than in the non-expired (9.0 x 10(7)/mL), good reliability for VL detection and stability at 4 degrees C (&gt; 12 months) were achieved. In comparison with the original version using normal saline ($32.0/vial), the cost-effectiveness of the FD-DAT was appreciably improved by the CSF incorporation and lowering of promastigote concentration per unit suspension medium ($12.8/vial). With diagnostic reliability comparable with the full-out titration used, FD-DAT procedure based on single sample dilution at the VL cutoff (1:3,200) permitted the use of significantly smaller antigen volumes (0.1 mL vs. &gt; 1.5 mL), therefore contributing to a further reduction in the application cost. The successful replacement of beta-mercaptoethanol (beta-ME) by urea (T= 21.00; P = 0.0868) provided the required safety for the test procedure similar to the widely applied LQ-DAT.</t>
  </si>
  <si>
    <t xml:space="preserve">AMERICAN JOURNAL OF TROPICAL MEDICINE AND HYGIENE</t>
  </si>
  <si>
    <t xml:space="preserve">AMER SOC TROP MED &amp; HYGIENE</t>
  </si>
  <si>
    <t xml:space="preserve">SERODIAGNOSIS; DIAGNOSIS; ANTIGEN; FIELD</t>
  </si>
  <si>
    <t xml:space="preserve">[el Harith, Abdallah; Awad, Yousif; Mahamoud, Abdelhafeiz; Osman, Hussam Ali] Ahfad Univ Women, Sch Pharm, POB 167,Alardah St, Omdurman 14411, Sudan; [Abass, Elfadil] Imam Abdulrahman Bin Faisal Univ, Dept Clin Lab Sci, Coll Appl Med Sci, Dammam, Saudi Arabia; [Mansour, Durria] Ahfad Univ Women, Sch Hlth Sci, Omdurman, Sudan; [de Melo, Claudia Moura; Madi, Rubens Riscala] Univ Tiradentes, Program Hlth &amp; Environm, Aracaju, Brazil; [Semiao-Santos, Saul J.] Univ Tiradentes, Dept Med &amp; Nursing, Aracaju, Brazil</t>
  </si>
  <si>
    <t xml:space="preserve">Imam Abdulrahman Bin Faisal University; Universidade Tiradentes; Universidade Tiradentes</t>
  </si>
  <si>
    <t xml:space="preserve">el Harith, A (corresponding author), Ahfad Univ Women, Sch Pharm, POB 167,Alardah St, Omdurman 14411, Sudan.</t>
  </si>
  <si>
    <t xml:space="preserve">abdallah.elharith@gmail.com; yousifahfad@gmail.com; mabdelhafeiz@gmail.com; emabass@uod.edu.sa; durriaelhussein@gmail.com; claudiamouramelo@hotmail.com; rrmadi@gmail.com; saulix@gmail.com; hussomco@gmail.com</t>
  </si>
  <si>
    <t xml:space="preserve">Madi, Rubens/I-7692-2014; Abass, Elfadil/AAF-5259-2019; Osman, Hussam/AAF-4657-2020; de Melo, Cláudia/I-7764-2014</t>
  </si>
  <si>
    <t xml:space="preserve">Osman, Hussam Ali/0000-0002-2017-2331; el Harith, Professor: Abdallah/0000-0003-3099-300X; Semeao-Santos, Saul/0000-0001-8791-3408</t>
  </si>
  <si>
    <t xml:space="preserve">MCLEAN</t>
  </si>
  <si>
    <t xml:space="preserve">8000 WESTPARK DR, STE 130, MCLEAN, VA 22101 USA</t>
  </si>
  <si>
    <t xml:space="preserve">0002-9637</t>
  </si>
  <si>
    <t xml:space="preserve">1476-1645</t>
  </si>
  <si>
    <t xml:space="preserve">AM J TROP MED HYG</t>
  </si>
  <si>
    <t xml:space="preserve">APR</t>
  </si>
  <si>
    <t xml:space="preserve">10.4269/ajtmh.19-0745</t>
  </si>
  <si>
    <t xml:space="preserve">Public, Environmental &amp; Occupational Health; Tropical Medicine</t>
  </si>
  <si>
    <t xml:space="preserve">LK8BM</t>
  </si>
  <si>
    <t xml:space="preserve">WOS:000531085300016</t>
  </si>
  <si>
    <t xml:space="preserve">de Albuquerque, S; Cianni, L; de Vita, D; Duque, C; Gomes, ASM; Gomes, P; Laughton, C; Leitao, A; Montanari, CA; Montanari, R; Ribeiro, JFR; da Silva, JS; Teixeira, C</t>
  </si>
  <si>
    <t xml:space="preserve">de Albuquerque, Sergio; Cianni, Lorenzo; de Vita, Daniela; Duque, Carla; Gomes, Ana S. M.; Gomes, Paula; Laughton, Charles; Leitao, Andrei; Montanari, Carlos A.; Montanari, Raphael; Ribeiro, Jean F. R.; da Silva, Joao Santana; Teixeira, Catia</t>
  </si>
  <si>
    <t xml:space="preserve">Molecular design aided by random forests and synthesis of potent trypanocidal agents as cruzain inhibitors for Chagas disease treatment</t>
  </si>
  <si>
    <t xml:space="preserve">Cruzain is an established target for the identification of novel trypanocidal agents, but how good are in vitro/in vivo correlations? This work describes the development of a random forests model for the prediction of the bioavailability of cruzain inhibitors that areTrypanosoma cruzikillers. Some common properties that characterize drug-likeness are poorly represented in many established cruzain inhibitors. This correlates with the evidence that many high-affinity cruzain inhibitors are not trypanocidal agents againstT. cruzi. On the other hand,T. cruzikillers that present typical drug-like characteristics are likely to show better trypanocidal action than those without such features. The random forests model was not outperformed by other machine learning methods (such as artificial neural networks and support vector machines), and it was validated with the synthesis of two new trypanocidal agents. Specifically, we report a new lead compound,Neq0565, which was tested onT. cruziTulahuen (beta-galactosidase) with a pEC(50)of 4.9. It is inactive in the host cell line showing a selectivity index (SI = EC50cyto/EC50T. cruzi) higher than 50.</t>
  </si>
  <si>
    <t xml:space="preserve">CHEMICAL BIOLOGY &amp; DRUG DESIGN</t>
  </si>
  <si>
    <t xml:space="preserve">Chagas disease; cruzain; machine learning; oral bioavailability; random forests; Trypanosoma cruzi</t>
  </si>
  <si>
    <t xml:space="preserve">CYSTEINE PROTEASE; TRYPANOSOMA-CRUZI; DRUG DISCOVERY; INTEGRATION; ISOFORMS; LIGANDS; IMPROVE</t>
  </si>
  <si>
    <t xml:space="preserve">[de Albuquerque, Sergio; Duque, Carla; da Silva, Joao Santana] Univ Sao Paulo, Fac Ciencias Farmaceut Ribeirao Preto, Sao Paulo, Brazil; [Cianni, Lorenzo; de Vita, Daniela; Leitao, Andrei; Montanari, Carlos A.; Ribeiro, Jean F. R.] Univ Sao Paulo, Inst Quim Sao Carlos, Grp Quim Med, Ave Trabalhador Sancarlense 400, BR-13566590 Sao Carlos, SP, Brazil; [Gomes, Ana S. M.; Gomes, Paula; Teixeira, Catia] Univ Porto, Dept Quim &amp; Bioquim, LAQV REQUIMTE, Fac Ciencias, Porto, Portugal; [Laughton, Charles] Univ Nottingham, Sch Pharm, Nottingham, England; [Laughton, Charles] Univ Nottingham, Ctr Biomol Sci, Nottingham, England; [Montanari, Raphael] Univ Sao Paulo, Ctr Robot Sao Carlos, EESC ICMC, Sao Paulo, Brazil; [Ribeiro, Jean F. R.] Univ Fed Goias, Inst Trop Pathol &amp; Publ Hlth, Goiania, Go, Brazil</t>
  </si>
  <si>
    <t xml:space="preserve">Universidade de Sao Paulo; Universidade de Sao Paulo; Universidade do Porto; University of Nottingham; University of Nottingham; Universidade de Sao Paulo; Universidade Federal de Goias</t>
  </si>
  <si>
    <t xml:space="preserve">Leitao, A; Montanari, CA (corresponding author), Univ Sao Paulo, Inst Quim Sao Carlos, Grp Quim Med, Ave Trabalhador Sancarlense 400, BR-13566590 Sao Carlos, SP, Brazil.</t>
  </si>
  <si>
    <t xml:space="preserve">andleitao@gmail.com; carlos.montanari@usp.br</t>
  </si>
  <si>
    <t xml:space="preserve">Silva, Marcelo/J-4298-2012; De Vita, Daniela/G-2862-2015; Lopes, Carla/D-5058-2012; Montanari, Raphael/LRB-2875-2024; Teixeira, Catia/AEG-3309-2022; Montanari, Carlos/C-2799-2012; Leitao, Andrei/B-7942-2012; Gomes, Paula/C-6698-2008; Silva, Joao Santana/A-4484-2008; Laughton, Charles/E-5667-2010; Gomes, Ana/J-6255-2014</t>
  </si>
  <si>
    <t xml:space="preserve">Teixeira, Catia/0000-0001-9506-3781; Montanari, Carlos/0000-0002-4963-0316; Montanari, Raphael/0000-0003-2281-3646; Duque Lopes, Carla/0000-0003-0702-5043; Leitao, Andrei/0000-0002-6601-6609; Gomes, Paula/0000-0002-6018-4724; Silva, Joao Santana/0000-0002-3410-3927; de Albuquerque, Sergio/0000-0003-2530-9226; Laughton, Charles/0000-0003-4090-3960; Cianni, Lorenzo/0000-0002-3668-9554; Gomes, Ana/0000-0002-5499-7112</t>
  </si>
  <si>
    <t xml:space="preserve">Conselho Nacional de Desenvolvimento Cientifico e Tecnologico-CNPq</t>
  </si>
  <si>
    <t xml:space="preserve">Conselho Nacional de Desenvolvimento Cientifico e Tecnologico-CNPq(Conselho Nacional de Desenvolvimento Cientifico e Tecnologico (CNPQ))</t>
  </si>
  <si>
    <t xml:space="preserve">We are indebted to Conselho Nacional de Desenvolvimento Cientifico e Tecnologico-CNPq (grant #400658-2014-3) and FundacAo de Amparo a Pesquisa do Estado de SAo Paulo-FAPESP (grant #2013/18009-4) for financing this project. Thanks are also due to FundacAo para a Ciencia e Tecnologia (FCT, Portugal) for funding through project UID/QUI/50006/2013, and to ComissAo de CoordenacAo e Desenvolvimento Regional do Norte (CCDR-N)/NORTE2020/Portugal 2020 for financing through project DESignBIOtechHealth (ref. Norte-01-0145-FEDER-000024). Pro-Reitoria de Pesquisa, Grant/Award Number: PRP/USP #18.1.623.75.9.</t>
  </si>
  <si>
    <t xml:space="preserve">1747-0277</t>
  </si>
  <si>
    <t xml:space="preserve">1747-0285</t>
  </si>
  <si>
    <t xml:space="preserve">CHEM BIOL DRUG DES</t>
  </si>
  <si>
    <t xml:space="preserve">Chem. Biol. Drug Des.</t>
  </si>
  <si>
    <t xml:space="preserve">10.1111/cbdd.13663</t>
  </si>
  <si>
    <t xml:space="preserve">Biochemistry &amp; Molecular Biology; Chemistry, Medicinal</t>
  </si>
  <si>
    <t xml:space="preserve">Science Citation Index Expanded (SCI-EXPANDED); Index Chemicus (IC)</t>
  </si>
  <si>
    <t xml:space="preserve">Biochemistry &amp; Molecular Biology; Pharmacology &amp; Pharmacy</t>
  </si>
  <si>
    <t xml:space="preserve">OA2KA</t>
  </si>
  <si>
    <t xml:space="preserve">WOS:000577619900006</t>
  </si>
  <si>
    <t xml:space="preserve">Zhao, YJ; Amodio, M; Vander Wyk, B; Gerritsen, B; Kumar, MM; van Dijk, D; Moon, K; Wang, XM; Malawista, A; Richards, MM; Cahill, ME; Desai, A; Sivadasan, J; Venkataswamy, MM; Ravi, V; Fikrig, E; Kumar, P; Kleinstein, SH; Krishnaswamy, S; Montgomery, RR</t>
  </si>
  <si>
    <t xml:space="preserve">Zhao, Yujiao; Amodio, Matthew; Vander Wyk, Brent; Gerritsen, Bram; Kumar, Mahesh M.; van Dijk, David; Moon, Kevin; Wang, Xiaomei; Malawista, Anna; Richards, Monique M.; Cahill, Megan E.; Desai, Anita; Sivadasan, Jayasree; Venkataswamy, Manjunatha M.; Ravi, Vasanthapuram; Fikrig, Erol; Kumar, Priti; Kleinstein, Steven H.; Krishnaswamy, Smita; Montgomery, Ruth R.</t>
  </si>
  <si>
    <t xml:space="preserve">Single cell immune profiling of dengue virus patients reveals intact immune responses to Zika virus with enrichment of innate immune signatures</t>
  </si>
  <si>
    <t xml:space="preserve">Author summary Mosquitoes carry many globally important human pathogens including a family of related viruses: dengue virus, West Nile virus, Yellow Fever virus, and recently of critical significance, Zika virus. The Zika virus epidemic emerged very rapidly in the susceptible South American population and in many cases immune responses were unable to control the infection. Immune history is a key element of susceptibility or resistance to severe disease. We examined whether pre-existing infection would skew or divert immune resources and might play a role in the severity of Zika infection in the Americas. Using samples from dengue patients and healthy controls from India, we tested functional responses to Zika virus in the context of pre-existing dengue infection. We quantified frequency and functional status of 36 individual cell subsets in depth using advanced profiling techniques and a novel deep learning algorithm. We showed an intact response to new infection with Zika virus which was enriched for early innate immune pathways and robust even during existing dengue infection. Thus, our study suggests that concurrent dengue infection would not be expected to impair immune responses to new infection with Zika virus. The genus Flavivirus contains many mosquito-borne human pathogens of global epidemiological importance such as dengue virus, West Nile virus, and Zika virus, which has recently emerged at epidemic levels. Infections with these viruses result in divergent clinical outcomes ranging from asymptomatic to fatal. Myriad factors influence infection severity including exposure, immune status and pathogen/host genetics. Furthermore, pre-existing infection may skew immune pathways or divert immune resources. We profiled immune cells from dengue virus-infected individuals by multiparameter mass cytometry (CyTOF) to define functional status. Elevations in IFN beta were noted in acute patients across the majority of cell types and were statistically elevated in 31 of 36 cell subsets. We quantified response to in vitro (re)infection with dengue or Zika viruses and detected a striking pattern of upregulation of responses to Zika infection by innate cell types which was not noted in response to dengue virus. Significance was discovered by statistical analysis as well as a neural network-based clustering approach which identified unusual cell subsets overlooked by conventional manual gating. Of public health importance, patient cells showed significant enrichment of innate cell responses to Zika virus indicating an intact and robust anti-Zika response despite the concurrent dengue infection.</t>
  </si>
  <si>
    <t xml:space="preserve">WEST-NILE-VIRUS; CD8 T-CELLS; SYSTEMS IMMUNOLOGY; CUMULATIVE INCIDENCE; UNITED-STATES; INFECTION; ANTIBODIES; SUSCEPTIBILITY; TRANSMISSION; ENHANCEMENT</t>
  </si>
  <si>
    <t xml:space="preserve">[Zhao, Yujiao; Vander Wyk, Brent; Wang, Xiaomei; Malawista, Anna; Richards, Monique M.; Cahill, Megan E.; Fikrig, Erol; Kumar, Priti; Montgomery, Ruth R.] Yale Sch Med, Dept Internal Med, New Haven, CT 06510 USA; [Amodio, Matthew; van Dijk, David; Moon, Kevin; Krishnaswamy, Smita] Yale Sch Med, Dept Genet, New Haven, CT USA; [Gerritsen, Bram; Kleinstein, Steven H.] Yale Sch Med, Dept Pathol, New Haven, CT USA; [Kumar, Mahesh M.; Montgomery, Ruth R.] Yale Sch Med, Program Human Translat Immunol, New Haven, CT 06510 USA; [Desai, Anita; Venkataswamy, Manjunatha M.; Ravi, Vasanthapuram] Natl Inst Mental Hlth &amp; NeuroSci NIMHANS, Dept Neurovirol, Bangalore, Karnataka, India; [Sivadasan, Jayasree] Apollo Hosp, Bangalore, Karnataka, India; [Kleinstein, Steven H.] Yale Sch Med, Program Computat Biol &amp; Bioinformat, New Haven, CT USA</t>
  </si>
  <si>
    <t xml:space="preserve">Yale University; Yale University; Yale University; Yale University; National Institute of Mental Health &amp; Neurosciences - India; Yale University</t>
  </si>
  <si>
    <t xml:space="preserve">Montgomery, RR (corresponding author), Yale Sch Med, Dept Internal Med, New Haven, CT 06510 USA.;Montgomery, RR (corresponding author), Yale Sch Med, Program Human Translat Immunol, New Haven, CT 06510 USA.</t>
  </si>
  <si>
    <t xml:space="preserve">ruth.montgomery@yale.edu</t>
  </si>
  <si>
    <t xml:space="preserve">Krishnaswamy, Smita/D-8089-2016; Kumar, Priti/C-5699-2009</t>
  </si>
  <si>
    <t xml:space="preserve">Cahill, Megan/0000-0002-5404-3116; Zhao, Yujiao/0000-0001-9142-4332</t>
  </si>
  <si>
    <t xml:space="preserve">NIH [AI089992]; Indo-U.S. Vaccine Action Program; Claude D. Pepper Older Americans Independence Center from the NIH/NIA [P30AG021342]; Department of Biotechnology, Government of India [BT/MB/Indo-US/HIPC/02/2013]</t>
  </si>
  <si>
    <t xml:space="preserve">NIH(United States Department of Health &amp; Human ServicesNational Institutes of Health (NIH) - USA); Indo-U.S. Vaccine Action Program; Claude D. Pepper Older Americans Independence Center from the NIH/NIA; Department of Biotechnology, Government of India(Department of Biotechnology (DBT) India)</t>
  </si>
  <si>
    <t xml:space="preserve">This work was supported in part by awards from the NIH (AI089992 to YZ, MA, BVW, BG, DvD, KM, XW, AM, MEC, EF, SHK, SK, RRM), the Indo-U.S. Vaccine Action Program (MMR, PK, XW, RRM), the Claude D. Pepper Older Americans Independence Center from the NIH/NIA (P30AG021342 to BVW), and Department of Biotechnology, Government of India (BT/MB/Indo-US/HIPC/02/2013 to MMK, AD, JS, MMV, VR). EF is an Investigator of the Howard Hughes Medical Institute. The funders had no role in study design, data collection and analysis, decision to publish, or preparation of the manuscript.</t>
  </si>
  <si>
    <t xml:space="preserve">e0008112</t>
  </si>
  <si>
    <t xml:space="preserve">10.1371/journal.pntd.0008112</t>
  </si>
  <si>
    <t xml:space="preserve">LH2YY</t>
  </si>
  <si>
    <t xml:space="preserve">WOS:000528655400041</t>
  </si>
  <si>
    <t xml:space="preserve">Gebremedhin, S</t>
  </si>
  <si>
    <t xml:space="preserve">Gebremedhin, Samson</t>
  </si>
  <si>
    <t xml:space="preserve">Soluble transferrin receptor level, inflammation markers, malaria, alpha-thalassemia and selenium status are the major predictors of hemoglobin in children 6-23 months in Malawi</t>
  </si>
  <si>
    <t xml:space="preserve">In sub-Saharan Africa, nearly three-fourths of children 6-23 months are anemic. Yet, the underlying causes had not been sufficiently explored. This study, based on data (n = 348) extracted from the Malawi Micronutrient Survey-2015/2016 dataset, evaluated the contribution of multiple factors to the hemoglobin status of children 6-23 months. The association between hemoglobin and 19 predictors was assessed using multiple linear regression analysis, and the relative contribution of the covariates was determined based on delta-R-2 value. The study found that 43.9% of children were anemic and 76.9% had elevated soluble transferrin receptor (sTfR) levels. Unit changes in serum ferritin (mu g/L) and sTfR (mg/L) were associated with 0.01 g/dl rise (p = .041) and 0.05 g/dl decline (p &lt; .001) in hemoglobin, respectively. Each 1 ng/ml increase in plasma selenium was met with 0.007 g/dl (p = .02) rise in hemoglobin. Hemoglobin showed negative relationships with alpha-1-acid glycoprotein (AGP) (beta = -.339, p = .007) and C-reactive protein (CRP) (beta = -.014, p = .004) and positive association with child's age in months (0 = .038, p = .003) and altitude in meters (beta = .001, p = .015). Children affected by u-thalassemia (beta = -.75, p &lt; .001), malaria (beta = -.43, p = .029), and fever (beta = -.39, p = .008) had significantly lower hemoglobin levels. On the contrary, nine variables including serum zinc and retinol binding protein were not significant predictors of hemoglobin. sTfR had the highest delta-R-2 contribution (9.1%) to hemoglobin variations, followed by inflammation (5.2%), alpha-thalassemia (2.5%), age (2.1%), fever (1.9%), and malaria (1.5%). The analysis suggested iron status, inflammation, and malaria were the major predictors of hemoglobin among Malawian infants and young children.</t>
  </si>
  <si>
    <t xml:space="preserve">FOOD SCIENCE &amp; NUTRITION</t>
  </si>
  <si>
    <t xml:space="preserve">anemia; hemoglobin; inflammation; iron deficiency; malaria; selenium</t>
  </si>
  <si>
    <t xml:space="preserve">BIOMARKERS REFLECTING INFLAMMATION; LOW SERUM SELENIUM; NUTRITIONAL DETERMINANTS; IRON-DEFICIENCY; SEVERE ANEMIA; BURDEN</t>
  </si>
  <si>
    <t xml:space="preserve">[Gebremedhin, Samson] Addis Ababa Univ, Sch Publ Hlth, Addis Ababa, Ethiopia</t>
  </si>
  <si>
    <t xml:space="preserve">Addis Ababa University</t>
  </si>
  <si>
    <t xml:space="preserve">Gebremedhin, S (corresponding author), Addis Ababa Univ, Sch Publ Hlth, Addis Ababa, Ethiopia.</t>
  </si>
  <si>
    <t xml:space="preserve">samsongmgs@yahoo.com</t>
  </si>
  <si>
    <t xml:space="preserve">Gebremedhin, Samson/O-2121-2019</t>
  </si>
  <si>
    <t xml:space="preserve">Gebreselassie, Samson Gebremedhin/0000-0002-7838-2470</t>
  </si>
  <si>
    <t xml:space="preserve">2048-7177</t>
  </si>
  <si>
    <t xml:space="preserve">FOOD SCI NUTR</t>
  </si>
  <si>
    <t xml:space="preserve">Food Sci. Nutr.</t>
  </si>
  <si>
    <t xml:space="preserve">AUG</t>
  </si>
  <si>
    <t xml:space="preserve">10.1002/fsn3.1780</t>
  </si>
  <si>
    <t xml:space="preserve">JUL 2020</t>
  </si>
  <si>
    <t xml:space="preserve">Food Science &amp; Technology</t>
  </si>
  <si>
    <t xml:space="preserve">NF8QM</t>
  </si>
  <si>
    <t xml:space="preserve">Green Published, hybrid</t>
  </si>
  <si>
    <t xml:space="preserve">WOS:000548733000001</t>
  </si>
  <si>
    <t xml:space="preserve">Xuan, WJ; Liu, N; Huang, N; Li, YH; Wang, JX</t>
  </si>
  <si>
    <t xml:space="preserve">Xuan, Wenjing; Liu, Ning; Huang, Neng; Li, Yaohang; Wang, Jianxin</t>
  </si>
  <si>
    <t xml:space="preserve">CLPred: a sequence-based protein crystallization predictor using BLSTM neural network</t>
  </si>
  <si>
    <t xml:space="preserve">Motivation: Determining the structures of proteins is a critical step to understand their biological functions. Crystallography-based X-ray diffraction technique is the main method for experimental protein structure determination. However, the underlying crystallization process, which needs multiple time-consuming and costly experimental steps, has a high attrition rate. To overcome this issue, a series of in silico methods have been developed with the primary aim of selecting the protein sequences that are promising to be crystallized. However, the predictive performance of the current methods is modest. Results: We propose a deep learning model, so-called CLPred, which uses a bidirectional recurrent neural network with long short-term memory (BLSTM) to capture the long-range interaction patterns between k-mers amino acids to predict protein crystallizability. Using sequence only information, CLPred outperforms the existing deep-learning predictors and a vast majority of sequence-based diffraction-quality crystals predictors on three independent test sets. The results highlight the effectiveness of BLSTM in capturing non-local, long-range inter-peptide interaction patterns to distinguish proteins that can result in diffraction-quality crystals from those that cannot. CLPred has been steadily improved over the previous window-based neural networks, which is able to predict crystallization propensity with high accuracy. CLPred can also be improved significantly if it incorporates additional features from pre-extracted evolutional, structural and physicochemical characteristics. The correctness of CLPred predictions is further validated by the case studies of Sox transcription factor family member proteins and Zika virus non-structural proteins.</t>
  </si>
  <si>
    <t xml:space="preserve">Article; Proceedings Paper</t>
  </si>
  <si>
    <t xml:space="preserve">BIOINFORMATICS</t>
  </si>
  <si>
    <t xml:space="preserve">STRUCTURAL GENOMICS; NS2B-NS3 PROTEASE; CRYSTAL-STRUCTURE; COMPLEX</t>
  </si>
  <si>
    <t xml:space="preserve">[Xuan, Wenjing; Liu, Ning; Huang, Neng; Wang, Jianxin] Cent South Univ, Sch Comp Sci &amp; Engn, Changsha 410083, Peoples R China; [Xuan, Wenjing; Wang, Jianxin] Cent South Univ, Hunan Prov Key Lab Bioinformat, Changsha 410083, Peoples R China; [Li, Yaohang] Old Dominion Univ, Dept Comp Sci, Norfolk, VA 23529 USA</t>
  </si>
  <si>
    <t xml:space="preserve">Central South University; Central South University; Old Dominion University</t>
  </si>
  <si>
    <t xml:space="preserve">Wang, JX (corresponding author), Cent South Univ, Sch Comp Sci &amp; Engn, Changsha 410083, Peoples R China.;Wang, JX (corresponding author), Cent South Univ, Hunan Prov Key Lab Bioinformat, Changsha 410083, Peoples R China.;Li, YH (corresponding author), Old Dominion Univ, Dept Comp Sci, Norfolk, VA 23529 USA.</t>
  </si>
  <si>
    <t xml:space="preserve">yaohang@cs.odu.edu; jxwang@mail.csu.edu.cn</t>
  </si>
  <si>
    <t xml:space="preserve">Huang, Neng/ISU-8020-2023; Wang, Jianxin/V-2800-2018</t>
  </si>
  <si>
    <t xml:space="preserve">Wang, Jianxin/0000-0003-1516-0480</t>
  </si>
  <si>
    <t xml:space="preserve">NSFC-Zhejiang Joint Fund for the Integration of Industrialization and Informatization [U1909208]; National Natural Science Foundation of China [61832019]; 111 Project [B18059]; Hunan Provincial Science and Technology Program [2018WK4001]</t>
  </si>
  <si>
    <t xml:space="preserve">NSFC-Zhejiang Joint Fund for the Integration of Industrialization and Informatization; National Natural Science Foundation of China(National Natural Science Foundation of China (NSFC)); 111 Project(Ministry of Education, China - 111 Project); Hunan Provincial Science and Technology Program</t>
  </si>
  <si>
    <t xml:space="preserve">This work was supported in part by the NSFC-Zhejiang Joint Fund for the Integration of Industrialization and Informatization under grant [U1909208], National Natural Science Foundation of China under grant [61832019], 111 Project [B18059] and Hunan Provincial Science and Technology Program [2018WK4001].</t>
  </si>
  <si>
    <t xml:space="preserve">1367-4803</t>
  </si>
  <si>
    <t xml:space="preserve">1367-4811</t>
  </si>
  <si>
    <t xml:space="preserve">Bioinformatics</t>
  </si>
  <si>
    <t xml:space="preserve">I709</t>
  </si>
  <si>
    <t xml:space="preserve">I717</t>
  </si>
  <si>
    <t xml:space="preserve">10.1093/bioinformatics/btaa791</t>
  </si>
  <si>
    <t xml:space="preserve">Biochemical Research Methods; Biotechnology &amp; Applied Microbiology; Computer Science, Interdisciplinary Applications; Mathematical &amp; Computational Biology; Statistics &amp; Probability</t>
  </si>
  <si>
    <t xml:space="preserve">Science Citation Index Expanded (SCI-EXPANDED); Conference Proceedings Citation Index - Science (CPCI-S)</t>
  </si>
  <si>
    <t xml:space="preserve">Biochemistry &amp; Molecular Biology; Biotechnology &amp; Applied Microbiology; Computer Science; Mathematical &amp; Computational Biology; Mathematics</t>
  </si>
  <si>
    <t xml:space="preserve">PQ8LL</t>
  </si>
  <si>
    <t xml:space="preserve">WOS:000606794900018</t>
  </si>
  <si>
    <t xml:space="preserve">19th European Conference on Computational Biology (ECCB)</t>
  </si>
  <si>
    <t xml:space="preserve">SEP 07-08, 2020</t>
  </si>
  <si>
    <t xml:space="preserve">ELECTR NETWORK</t>
  </si>
  <si>
    <t xml:space="preserve">Kondeti, PK; Ravi, K; Mutheneni, SR; Kadiri, MR; Kumaraswamy, S; Vadlamani, R; Upadhyayula, SM</t>
  </si>
  <si>
    <t xml:space="preserve">Kondeti, Phani Krishna; Ravi, Kumar; Mutheneni, Srinivasa Rao; Kadiri, Madhusudhan Rao; Kumaraswamy, Sriram; Vadlamani, Ravi; Upadhyayula, Suryanaryana Murty</t>
  </si>
  <si>
    <t xml:space="preserve">Applications of machine learning techniques to predict filariasis using socio-economic factors</t>
  </si>
  <si>
    <t xml:space="preserve">Filariasis is one of the major public health concerns in India. Approximately 600 million people spread across 250 districts of India are at risk of filariasis. To predict this disease, a pilot scale study was carried out in 30 villages of Karimnagar district of Telangana from 2004 to 2007 to collect epidemiological and socio-economic data. The collected data are analysed by employing various machine learning techniques such as Naive Bayes (NB), logistic model tree, probabilistic neural network, J48 (C4.5), classification and regression tree, JRip and gradient boosting machine. The performances of these algorithms are reported using sensitivity, specificity, accuracy and area under ROC curve (AUC). Among all employed classification methods, NB yielded the best AUC of 64% and was equally statistically significant with the rest of the classifiers. Similarly, the J48 algorithm generated 23 decision rules that help in developing an early warning system to implement better prevention and control efforts in the management of filariasis.</t>
  </si>
  <si>
    <t xml:space="preserve">EPIDEMIOLOGY AND INFECTION</t>
  </si>
  <si>
    <t xml:space="preserve">CAMBRIDGE UNIV PRESS</t>
  </si>
  <si>
    <t xml:space="preserve">Filariasis; mosquito; socio-economic factors; Machine learning techniques</t>
  </si>
  <si>
    <t xml:space="preserve">LYMPHATIC FILARIASIS; BURDEN; MODEL</t>
  </si>
  <si>
    <t xml:space="preserve">[Kondeti, Phani Krishna; Mutheneni, Srinivasa Rao; Kadiri, Madhusudhan Rao; Kumaraswamy, Sriram] Indian Inst Chem Technol, CSIR, Bioinformat Grp, Dept Appl Biol, Hyderabad 500007, Andhra Pradesh, India; [Ravi, Kumar; Vadlamani, Ravi] Inst Dev &amp; Res Banking Technol, Ctr Excellence Analyt, Hyderabad 500057, Telangana, India; [Upadhyayula, Suryanaryana Murty] Natl Inst Pharmaceut Educ &amp; Res, Gauhati 781032, Assam, India</t>
  </si>
  <si>
    <t xml:space="preserve">Council of Scientific &amp; Industrial Research (CSIR) - India; CSIR - Indian Institute of Chemical Technology (IICT); National Institute of Pharmaceutical Education &amp; Research, S.A.S. Nagar (Mohali)</t>
  </si>
  <si>
    <t xml:space="preserve">Mutheneni, SR (corresponding author), Indian Inst Chem Technol, CSIR, Bioinformat Grp, Dept Appl Biol, Hyderabad 500007, Andhra Pradesh, India.</t>
  </si>
  <si>
    <t xml:space="preserve">msrinivas@iict.res.in</t>
  </si>
  <si>
    <t xml:space="preserve">Ravi, Kumar/D-7914-2019; Mutheneni, Srinivasa Rao/AAI-2262-2020</t>
  </si>
  <si>
    <t xml:space="preserve">Mutheneni, Srinivasa Rao/0000-0003-3263-3905</t>
  </si>
  <si>
    <t xml:space="preserve">Ministry of Chemicals and Fertilizers</t>
  </si>
  <si>
    <t xml:space="preserve">The authors Srinivasa Rao Mutheneni and Sriram Kumaraswamy, Madhusudhan Rao Kadiri and Phani Krishna Kondeti are grateful to the Director of the Council of Scientific and Industrial Research-Indian Institute of Chemical Technology, Hyderabad for his encouragement and support. Suryanarayana Murty Upadhyayula acknowledges support from the Ministry of Chemicals and Fertilizers, Govt. of India. CSIR-IICT communication number of the article is IICT/Pubs./2019/183.</t>
  </si>
  <si>
    <t xml:space="preserve">32 AVENUE OF THE AMERICAS, NEW YORK, NY 10013-2473 USA</t>
  </si>
  <si>
    <t xml:space="preserve">0950-2688</t>
  </si>
  <si>
    <t xml:space="preserve">1469-4409</t>
  </si>
  <si>
    <t xml:space="preserve">EPIDEMIOL INFECT</t>
  </si>
  <si>
    <t xml:space="preserve">Epidemiol. Infect.</t>
  </si>
  <si>
    <t xml:space="preserve">e260</t>
  </si>
  <si>
    <t xml:space="preserve">10.1017/S0950268819001481</t>
  </si>
  <si>
    <t xml:space="preserve">Public, Environmental &amp; Occupational Health; Infectious Diseases</t>
  </si>
  <si>
    <t xml:space="preserve">IV7OE</t>
  </si>
  <si>
    <t xml:space="preserve">WOS:000484455600001</t>
  </si>
  <si>
    <t xml:space="preserve">Aguas, R; Dorigatti, I; Coudeville, L; Luxemburger, C; Ferguson, NM</t>
  </si>
  <si>
    <t xml:space="preserve">Aguas, R.; Dorigatti, I.; Coudeville, L.; Luxemburger, C.; Ferguson, N. M.</t>
  </si>
  <si>
    <t xml:space="preserve">Cross-serotype interactions and disease outcome prediction of dengue infections in Vietnam</t>
  </si>
  <si>
    <t xml:space="preserve">Dengue pathogenesis is extremely complex. Dengue infections are thought to induce life-long immunity from homologous challenges as well as a multi-factorial heterologous risk enhancement. Here, we use the data collected from a prospective cohort study of dengue infections in schoolchildren in Vietnam to disentangle how serotype interactions modulate clinical disease risk in the year following serum collection. We use multinomial logistic regression to correlate the yearly neutralizing antibody measurements obtained with each infecting serotype in all dengue clinical cases collected over the course of 6 years (2004-2009). This allowed us to extrapolate a fully discretised matrix of serotype interactions, revealing clear signals of increased risk of clinical illness in individuals primed with a previous dengue infection. The sequences of infections which produced a higher risk of dengue fever upon secondary infection are: DEN1 followed by DEN2; DEN1 followed by DEN4; DEN2 followed by DEN3; and DEN4 followed by DEN3. We also used this longitudinal data to train a machine learning algorithm on antibody titre differences between consecutive years to unveil asymptomatic dengue infections and estimate asymptomatic infection to clinical case ratios over time, allowing for a better characterisation of the population's past exposure to different serotypes.</t>
  </si>
  <si>
    <t xml:space="preserve">ANTIBODY-DEPENDENT ENHANCEMENT; HEMORRHAGIC-FEVER; VIRUS-INFECTIONS; PROSPECTIVE COHORT; SEVERITY; NEUTRALIZATION; EPIDEMIOLOGY; TRANSMISSION; EVOLUTION; CORRELATE</t>
  </si>
  <si>
    <t xml:space="preserve">[Aguas, R.; Dorigatti, I.; Ferguson, N. M.] Imperial Coll London, Sch Publ Hlth, MRC Ctr Global Infect Dis Anal, Fac Med, Norfolk Pl, London W2 1PG, England; [Coudeville, L.; Luxemburger, C.] Sanofi Pasteur, 14 Espace Henry Vallee, F-69007 Lyon, France; [Aguas, R.] Univ Oxford, Nuffield Dept Med, Ctr Trop Med &amp; Global Hlth, Oxford, England; [Aguas, R.] Mahidol Univ, Fac Trop Med, Mahidol Oxford Trop Med Res Unit, Bangkok, Thailand</t>
  </si>
  <si>
    <t xml:space="preserve">Imperial College London; Sanofi-Aventis; Sanofi France; University of Oxford; Mahidol University; Mahidol Oxford Tropical Medicine Research Unit (MORU)</t>
  </si>
  <si>
    <t xml:space="preserve">Aguas, R (corresponding author), Imperial Coll London, Sch Publ Hlth, MRC Ctr Global Infect Dis Anal, Fac Med, Norfolk Pl, London W2 1PG, England.;Aguas, R (corresponding author), Univ Oxford, Nuffield Dept Med, Ctr Trop Med &amp; Global Hlth, Oxford, England.;Aguas, R (corresponding author), Mahidol Univ, Fac Trop Med, Mahidol Oxford Trop Med Res Unit, Bangkok, Thailand.</t>
  </si>
  <si>
    <t xml:space="preserve">r.aguas@imperial.ac.uk</t>
  </si>
  <si>
    <t xml:space="preserve">; Ferguson, Neil/B-8578-2008</t>
  </si>
  <si>
    <t xml:space="preserve">Dorigatti, Ilaria/0000-0001-9959-0706; Ferguson, Neil/0000-0002-1154-8093</t>
  </si>
  <si>
    <t xml:space="preserve">MRC [MR/R015600/1] Funding Source: UKRI</t>
  </si>
  <si>
    <t xml:space="preserve">MRC(UK Research &amp; Innovation (UKRI)Medical Research Council UK (MRC))</t>
  </si>
  <si>
    <t xml:space="preserve">JUN 28</t>
  </si>
  <si>
    <t xml:space="preserve">10.1038/s41598-019-45816-6</t>
  </si>
  <si>
    <t xml:space="preserve">IF5NU</t>
  </si>
  <si>
    <t xml:space="preserve">WOS:000473130000016</t>
  </si>
  <si>
    <t xml:space="preserve">Erraguntla, M; Zapletal, J; Lawley, M</t>
  </si>
  <si>
    <t xml:space="preserve">Erraguntla, Madhav; Zapletal, Josef; Lawley, Mark</t>
  </si>
  <si>
    <t xml:space="preserve">Framework for Infectious Disease Analysis: A comprehensive and integrative multi-modeling approach to disease prediction and management</t>
  </si>
  <si>
    <t xml:space="preserve">The impact of infectious disease on human populations is a function of many factors including environmental conditions, vector dynamics, transmission mechanics, social and cultural behaviors, and public policy. A comprehensive framework for disease management must fully connect the complete disease lifecycle, including emergence from reservoir populations, zoonotic vector transmission, and impact on human societies. The Framework for Infectious Disease Analysis is a software environment and conceptual architecture for data integration, situational awareness, visualization, prediction, and intervention assessment. Framework for Infectious Disease Analysis automatically collects biosurveillance data using natural language processing, integrates structured and unstructured data from multiple sources, applies advanced machine learning, and uses multi-modeling for analyzing disease dynamics and testing interventions in complex, heterogeneous populations. In the illustrative case studies, natural language processing from social media, news feeds, and websites was used for information extraction, biosurveillance, and situation awareness. Classification machine learning algorithms (support vector machines, random forests, and boosting) were used for disease predictions.</t>
  </si>
  <si>
    <t xml:space="preserve">HEALTH INFORMATICS JOURNAL</t>
  </si>
  <si>
    <t xml:space="preserve">SAGE PUBLICATIONS INC</t>
  </si>
  <si>
    <t xml:space="preserve">disease management; infectious disease models; machine learning; natural language processing; predictive data analytics; social-media mining</t>
  </si>
  <si>
    <t xml:space="preserve">CONCEPTUAL-FRAMEWORK; AVIAN MALARIA; INFLUENZA; HEALTH; EPIDEMIOLOGY; TRANSMISSION; STRATEGIES; DYNAMICS; VACCINES; IMPACTS</t>
  </si>
  <si>
    <t xml:space="preserve">[Erraguntla, Madhav] Knowledge Based Syst Inc, College Stn, TX USA; [Zapletal, Josef; Lawley, Mark] Texas A&amp;M Univ, College Stn, TX 77843 USA</t>
  </si>
  <si>
    <t xml:space="preserve">Texas A&amp;M University System; Texas A&amp;M University College Station</t>
  </si>
  <si>
    <t xml:space="preserve">Erraguntla, M (corresponding author), Texas A&amp;M Univ, Texas A&amp;M Engn, Emerging Technol Bldg, College Stn, TX 77843 USA.</t>
  </si>
  <si>
    <t xml:space="preserve">merraguntla@tamu.edu</t>
  </si>
  <si>
    <t xml:space="preserve">Zapletal, Josef/MCJ-8720-2025</t>
  </si>
  <si>
    <t xml:space="preserve">Erraguntla, Madhav/0000-0003-0017-5866</t>
  </si>
  <si>
    <t xml:space="preserve">Defense Health Program (DHP) under Small Business Innovative Research (SBIR) Contract [W81XWH-15-C-0158]; Scowcroft Institute of International Affairs</t>
  </si>
  <si>
    <t xml:space="preserve">Defense Health Program (DHP) under Small Business Innovative Research (SBIR) Contract; Scowcroft Institute of International Affairs</t>
  </si>
  <si>
    <t xml:space="preserve">The author(s) disclosed receipt of the following financial support for the research, authorship, and/or publication of this article: Partial source of funding for the effort presented in this article is Defense Health Program (DHP) under Small Business Innovative Research (SBIR) Contract No. W81XWH-15-C-0158 (IPAS). Another partial source of funding is Scowcroft Institute of International Affairs.</t>
  </si>
  <si>
    <t xml:space="preserve">THOUSAND OAKS</t>
  </si>
  <si>
    <t xml:space="preserve">2455 TELLER RD, THOUSAND OAKS, CA 91320 USA</t>
  </si>
  <si>
    <t xml:space="preserve">1460-4582</t>
  </si>
  <si>
    <t xml:space="preserve">1741-2811</t>
  </si>
  <si>
    <t xml:space="preserve">HEALTH INFORM J</t>
  </si>
  <si>
    <t xml:space="preserve">Health Inform. J.</t>
  </si>
  <si>
    <t xml:space="preserve">10.1177/1460458217747112</t>
  </si>
  <si>
    <t xml:space="preserve">JA8KS</t>
  </si>
  <si>
    <t xml:space="preserve">WOS:000488101400002</t>
  </si>
  <si>
    <t xml:space="preserve">Abbas, N; Saba, T; Rehman, A; Mehmood, Z; Kolivand, H; Uddin, M; Anjum, A</t>
  </si>
  <si>
    <t xml:space="preserve">Abbas, Naveed; Saba, Tanzila; Rehman, Amjad; Mehmood, Zahid; Kolivand, Hoshang; Uddin, Mueen; Anjum, Adeel</t>
  </si>
  <si>
    <t xml:space="preserve">Plasmodium life cycle stage classification based quantification of malaria parasitaemia in thin blood smears</t>
  </si>
  <si>
    <t xml:space="preserve">Visual inspection for the quantification of malaria parasitaemiain (MP) and classification of life cycle stage are hard and time taking. Even though, automated techniques for the quantification of MP and their classification are reported in the literature. However, either reported techniques are imperfect or cannot deal with special issues such as anemia and hemoglobinopathies due to clumps of red blood cells (RBCs). The focus of the current work is to examine the thin blood smear microscopic images stained with Giemsa by digital image processing techniques, grading MP on independent factors (RBCs morphology) and classification of its life cycle stage. For the classification of the life cycle of malaria parasite the k-nearest neighbor, Naive Bayes and multi-class support vector machine are employed for classification based on histograms of oriented gradients and local binary pattern features. The proposed methodology is based on inductive technique, segment malaria parasites through the adaptive machine learning techniques. The quantification accuracy of RBCs is enhanced; RBCs clumps are split by analysis of concavity regions for focal points. Further, classification of infected and non-infected RBCs has been made to grade MP precisely. The training and testing of the proposed approach on benchmark dataset with respect to ground truth data, yield 96.75% MP sensitivity and 94.59% specificity. Additionally, the proposed approach addresses the process with independent factors (RBCs morphology). Finally, it is an economical solution for MP grading in immense testing.</t>
  </si>
  <si>
    <t xml:space="preserve">MICROSCOPY RESEARCH AND TECHNIQUE</t>
  </si>
  <si>
    <t xml:space="preserve">hybrid classifiers; malaria parasitaemia; malaria parasitaemia quantification and grading</t>
  </si>
  <si>
    <t xml:space="preserve">NUCLEI SEGMENTATION; DIAGNOSIS; DISEASES; REMOVAL; IMAGES; TUMOR</t>
  </si>
  <si>
    <t xml:space="preserve">[Abbas, Naveed] Islamia Coll Peshawar, Dept Comp Sci, Peshawar, Pakistan; [Saba, Tanzila] Prince Sultan Univ, Coll Comp &amp; Informat Sci, Riyadh 11586, Saudi Arabia; [Rehman, Amjad] Al Yamamah Univ, Coll Comp &amp; Informat Syst, Riyadh, Saudi Arabia; [Mehmood, Zahid] Univ Engn &amp; Technol, Dept Software Engn, Taxila, Pakistan; [Kolivand, Hoshang] Liverpool John Moores Univ, Dept Comp Sci, Liverpool, Merseyside, England; [Uddin, Mueen] Effat Univ Jeddah, Coll Engn, Dept Informat Syst, Jeddah, Saudi Arabia; [Anjum, Adeel] COMSATS Univ Islamabad, Dept Comp Sci, Islamabad, Pakistan</t>
  </si>
  <si>
    <t xml:space="preserve">University of Peshawar; Prince Sultan University; Al-Yamamah University; University of Engineering &amp; Technology Taxila; Liverpool John Moores University; University of Liverpool; Effat University; COMSATS University Islamabad (CUI)</t>
  </si>
  <si>
    <t xml:space="preserve">Saba, T (corresponding author), Prince Sultan Univ, Coll Comp &amp; Informat Sci, Riyadh 11586, Saudi Arabia.</t>
  </si>
  <si>
    <t xml:space="preserve">drstanzila@gmail.com</t>
  </si>
  <si>
    <t xml:space="preserve">Saba, Tanzila/D-4593-2018; Abbas, Naveed/JAV-9478-2023; Kolivand, Hoshang/F-4736-2011; Anjum, Adeel/L-4391-2013; Uddin, Mueen/C-8588-2011; Rehman, Amjad/GXV-0915-2022; Mehmood, Zahid/S-1709-2018; Kolivand, Hoshang/B-2501-2016</t>
  </si>
  <si>
    <t xml:space="preserve">abbas, naveed/0000-0003-1204-250X; Mehmood, Zahid/0000-0003-4888-2594; Rehman, Amjad/0000-0002-3817-2655; Kolivand, Hoshang/0000-0001-5460-5679</t>
  </si>
  <si>
    <t xml:space="preserve">Prince Sultan University, Riyadh KSA [RG-CCIS-2017-06-02]; Machine Learning Research Group, Prince Sultan University, Riyadh, Saudi Arabia [RG-CCIS-2017-06-02]</t>
  </si>
  <si>
    <t xml:space="preserve">Prince Sultan University, Riyadh KSA; Machine Learning Research Group, Prince Sultan University, Riyadh, Saudi Arabia</t>
  </si>
  <si>
    <t xml:space="preserve">Prince Sultan University, Riyadh KSA, Grant/Award Number: RG-CCIS-2017-06-02; Machine Learning Research Group, Prince Sultan University, Riyadh, Saudi Arabia, Grant/Award Number: RG-CCIS-2017-06-02</t>
  </si>
  <si>
    <t xml:space="preserve">1059-910X</t>
  </si>
  <si>
    <t xml:space="preserve">1097-0029</t>
  </si>
  <si>
    <t xml:space="preserve">MICROSC RES TECHNIQ</t>
  </si>
  <si>
    <t xml:space="preserve">10.1002/jemt.23170</t>
  </si>
  <si>
    <t xml:space="preserve">Anatomy &amp; Morphology; Biology; Microscopy</t>
  </si>
  <si>
    <t xml:space="preserve">Anatomy &amp; Morphology; Life Sciences &amp; Biomedicine - Other Topics; Microscopy</t>
  </si>
  <si>
    <t xml:space="preserve">HM5LT</t>
  </si>
  <si>
    <t xml:space="preserve">Green Accepted</t>
  </si>
  <si>
    <t xml:space="preserve">WOS:000459517900013</t>
  </si>
  <si>
    <t xml:space="preserve">Mohammadinia, A; Saeidian, B; Pradhan, B; Ghaemi, Z</t>
  </si>
  <si>
    <t xml:space="preserve">Mohammadinia, Ali; Saeidian, Bahram; Pradhan, Biswajeet; Ghaemi, Zeinab</t>
  </si>
  <si>
    <t xml:space="preserve">Prediction mapping of human leptospirosis using ANN, GWR, SVM and GLM approaches</t>
  </si>
  <si>
    <t xml:space="preserve">Background Recent reports of the National Ministry of Health and Treatment of Iran (NMHT) show that Gilan has a higher annual incidence rate of leptospirosis than other provinces across the country. Despite several efforts of the government and NMHT to eradicate leptospirosis, it remains a public health problem in this province. Modelling and Prediction of this disease may play an important role in reduction of the prevalence. Methods This study aims to model and predict the spatial distribution of leptospirosis utilizing Geographically Weighted Regression (GWR), Generalized Linear Model (GLM), Support Vector Machine (SVM) and Artificial Neural Network (ANN) as capable approaches. Five environmental parameters of precipitation, temperature, humidity, elevation and vegetation are used for modelling and predicting of the disease. Data of 2009 and 2010 are used for training, and 2011 for testing and evaluating the models. Results Results indicate that utilized approaches in this study can model and predict leptospirosis with high significance level. To evaluate the efficiency of the approaches, MSE (GWR = 0.050, SVM = 0.137, GLM = 0.118 and ANN = 0.137), MAE (0.012, 0.063, 0.052 and 0.063), MRE (0.011, 0.018, 0.017 and 0.018) and R-2 (0.85, 0.80, 0.78 and 0.75) are used. Conclusion Results indicate the practical usefulness of approaches for spatial modelling and predicting leptospirosis. The efficiency of models is as follow: GWR &gt; SVM &gt; GLM &gt; ANN. In addition, temperature and humidity are investigated as the most influential parameters. Moreover, the suitable habitat of leptospirosis is mostly within the central rural districts of the province.</t>
  </si>
  <si>
    <t xml:space="preserve">BMC INFECTIOUS DISEASES</t>
  </si>
  <si>
    <t xml:space="preserve">Leptospirosis; GIS; ANN; GWR; SVM; GLM; Machine learning; Prediction</t>
  </si>
  <si>
    <t xml:space="preserve">GEOGRAPHICALLY WEIGHTED REGRESSION; ARTIFICIAL NEURAL-NETWORKS; SPATIAL-DISTRIBUTION; SENSITIVITY-ANALYSIS; DENGUE-FEVER; PROVINCE; MALARIA; DISEASE; CHINA; MODEL</t>
  </si>
  <si>
    <t xml:space="preserve">[Mohammadinia, Ali; Saeidian, Bahram; Ghaemi, Zeinab] KN Toosi Univ Technol, GIS Div, Fac Geodesy &amp; Geomat, Tehran, Iran; [Pradhan, Biswajeet] Univ Technol Sydney, Fac Engn &amp; IT, CAMGIS, Sydney, NSW 2007, Australia; [Pradhan, Biswajeet] Sejong Univ, Dept Energy &amp; Mineral Resources Engn, 209 Neungdong Ro, Seoul 05006, South Korea</t>
  </si>
  <si>
    <t xml:space="preserve">K. N. Toosi University of Technology; University of Technology Sydney; Sejong University</t>
  </si>
  <si>
    <t xml:space="preserve">Pradhan, B (corresponding author), Univ Technol Sydney, Fac Engn &amp; IT, CAMGIS, Sydney, NSW 2007, Australia.;Pradhan, B (corresponding author), Sejong Univ, Dept Energy &amp; Mineral Resources Engn, 209 Neungdong Ro, Seoul 05006, South Korea.</t>
  </si>
  <si>
    <t xml:space="preserve">Biswajeet.Pradhan@uts.edu.au</t>
  </si>
  <si>
    <t xml:space="preserve">Pradhan, Biswajeet/E-8226-2010; Saeidian, Bahram/AAL-2053-2020; Ghaemi, Zeinab/GVS-0828-2022</t>
  </si>
  <si>
    <t xml:space="preserve">Ghaemi, Zeinab/0000-0003-2105-0106; Saeidian, Bahram/0000-0001-6526-3440</t>
  </si>
  <si>
    <t xml:space="preserve">Centre for Advanced Modelling and Geospatial Information Systems (CAMGIS), University of Technology Sydney (UTS) [321740.2232335, 323930, 321740.2232357]</t>
  </si>
  <si>
    <t xml:space="preserve">Centre for Advanced Modelling and Geospatial Information Systems (CAMGIS), University of Technology Sydney (UTS)</t>
  </si>
  <si>
    <t xml:space="preserve">This research is funded by the Centre for Advanced Modelling and Geospatial Information Systems (CAMGIS), University of Technology Sydney (UTS) under grant numbers 321740.2232335, 323930, and 321740.2232357.</t>
  </si>
  <si>
    <t xml:space="preserve">1471-2334</t>
  </si>
  <si>
    <t xml:space="preserve">BMC INFECT DIS</t>
  </si>
  <si>
    <t xml:space="preserve">NOV 13</t>
  </si>
  <si>
    <t xml:space="preserve">10.1186/s12879-019-4580-4</t>
  </si>
  <si>
    <t xml:space="preserve">JN5MA</t>
  </si>
  <si>
    <t xml:space="preserve">WOS:000496941200002</t>
  </si>
  <si>
    <t xml:space="preserve">Yousefinejad, S; Mahboubifar, M; Eskandari, R</t>
  </si>
  <si>
    <t xml:space="preserve">Yousefinejad, Saeed; Mahboubifar, Marjan; Eskandari, Rayhaneh</t>
  </si>
  <si>
    <t xml:space="preserve">Quantitative structure-activity relationship to predict the anti-malarial activity in a set of new imidazolopiperazines based on artificial neural networks</t>
  </si>
  <si>
    <t xml:space="preserve">Background After years of efforts on the control of malaria, it remains as a most deadly infectious disease. A major problem for the available anti-malarial drugs is the occurrence of drug resistance in Plasmodium. Developing of new compounds or modification of existing anti-malarial drugs is an effective approach to face this challenge. Quantitative structure activity relationship (QSAR) modelling plays an important role in design and modification of anti-malarial compounds by estimation of the activity of the compounds. Methods In this research, the QSAR study was done on anti-malarial activity of 33 imidazolopiperazine compounds based on artificial neural networks (ANN). The structural descriptors of imidazolopiperazine molecules was used as the independents variables and their activity against 3D7 and W2 strains was used as the dependent variables. During modelling process, 70% of compound was used as the training and two 15% of imidazolopiperazines were used as the validation and external test sets. In this work, stepwise multiple linear regression was applied as the valuable selection and ANN with Levenberg-Marquardt algorithm was utilized as an efficient non-linear approach to correlate between structural information of molecules and their anti-malarial activity. Results The sufficiency of the suggested method to estimate the anti-malarial activity of imidazolopiperazine compounds at two 3D7 and W2 strains was demonstrated using statistical parameters, such as correlation coefficient (R-2), mean square error (MSE). For instance R-train(2) = 0.947, R-val(2) = 0.959, R-test(2) = 0.920 shows the potential of the suggested model for the prediction of 3D7 activity. Different statistical approaches such as and applicability domain (AD) and y-scrambling was also showed the validity of models. Conclusion QSAR can be an efficient way to virtual screening the molecules to design more efficient compounds with activity against malaria (3D7 and W2 strains). Imidazolopiperazines can be good candidates and change in the structure and functional groups can be done intelligently using QSAR approach to rich more efficient compounds with decreasing trial-error runs during synthesis.</t>
  </si>
  <si>
    <t xml:space="preserve">Antimalarial; Imidazolopiperazine; QSAR; Artificial neural networks</t>
  </si>
  <si>
    <t xml:space="preserve">APPLICABILITY DOMAIN; DRUG DISCOVERY; QSAR MODELS; DERIVATIVES; SOLUBILITY; PROGRESS</t>
  </si>
  <si>
    <t xml:space="preserve">[Yousefinejad, Saeed] Shiraz Univ Med Sci, Res Ctr Hlth Sci, Sch Hlth, Inst Hlth,Dept Occupat Hlth Engn, Shiraz, Iran; [Mahboubifar, Marjan] Shiraz Univ Med Sci, Med &amp; Nat Prod Chem Res Ctr, Shiraz, Iran; [Eskandari, Rayhaneh] Islamic Azad Univ, Shiraz Branch, Dept Chem, Shiraz, Iran</t>
  </si>
  <si>
    <t xml:space="preserve">Shiraz University of Medical Science; Shiraz University of Medical Science; Islamic Azad University</t>
  </si>
  <si>
    <t xml:space="preserve">Yousefinejad, S (corresponding author), Shiraz Univ Med Sci, Res Ctr Hlth Sci, Sch Hlth, Inst Hlth,Dept Occupat Hlth Engn, Shiraz, Iran.</t>
  </si>
  <si>
    <t xml:space="preserve">yousefisa@sums.ac.ir</t>
  </si>
  <si>
    <t xml:space="preserve">Mahboubifar, Marjan/AAA-9650-2020; Yousefinejad, Saeed/L-1898-2016</t>
  </si>
  <si>
    <t xml:space="preserve">Yousefinejad, Saeed/0000-0001-5940-1229</t>
  </si>
  <si>
    <t xml:space="preserve">Shiraz University of Medical Sciences [98-01-42-20527]</t>
  </si>
  <si>
    <t xml:space="preserve">Shiraz University of Medical Sciences(Shiraz University of Medical Science)</t>
  </si>
  <si>
    <t xml:space="preserve">Support of Shiraz University of Medical Sciences (98-01-42-20527) is gratefully acknowledged.</t>
  </si>
  <si>
    <t xml:space="preserve">SEP 14</t>
  </si>
  <si>
    <t xml:space="preserve">10.1186/s12936-019-2941-5</t>
  </si>
  <si>
    <t xml:space="preserve">IX9BH</t>
  </si>
  <si>
    <t xml:space="preserve">WOS:000485981600001</t>
  </si>
  <si>
    <t xml:space="preserve">de Souza, AS; Ferreira, LLG; de Oliveira, AS; Andricopulo, AD</t>
  </si>
  <si>
    <t xml:space="preserve">de Souza, Anacleto S.; Ferreira, Leonardo L. G.; de Oliveira, Aldo S.; Andricopulo, Adriano D.</t>
  </si>
  <si>
    <t xml:space="preserve">Quantitative Structure-Activity Relationships for Structurally Diverse Chemotypes Having Anti-Trypanosoma cruzi Activity</t>
  </si>
  <si>
    <t xml:space="preserve">Small-molecule compounds that have promising activity against macromolecular targets from Trypanosoma cruzi occasionally fail when tested in whole-cell phenotypic assays. This outcome can be attributed to many factors, including inadequate physicochemical and pharmacokinetic properties. Unsuitable physicochemical profiles usually result in molecules with a poor ability to cross cell membranes. Quantitative structure-activity relationship (QSAR) analysis is a valuable approach to the investigation of how physicochemical characteristics affect biological activity. In this study, artificial neural networks (ANNs) and kernel-based partial least squares regression (KPLS) were developed using anti-T. cruzi activity data for broadly diverse chemotypes. The models exhibited a good predictive ability for the test set compounds, yielding q(2) values of 0.81 and 0.84 for the ANN and KPLS models, respectively. The results of this investigation highlighted privileged molecular scaffolds and the optimum physicochemical space associated with high anti-T. cruzi activity, which provided important guidelines for the design of novel trypanocidal agents having drug-like properties.</t>
  </si>
  <si>
    <t xml:space="preserve">INTERNATIONAL JOURNAL OF MOLECULAR SCIENCES</t>
  </si>
  <si>
    <t xml:space="preserve">artificial neural networks; machine learning; Chagas' disease; QSAR; molecular modeling</t>
  </si>
  <si>
    <t xml:space="preserve">IN-VITRO; BIOLOGICAL EVALUATION; ANTIPROTOZOAL ACTIVITIES; ANTIPARASITIC ACTIVITY; DRUG DISCOVERY; FATTY-ACIDS; INHIBITORS; DESIGN; DERIVATIVES; ANALOGS</t>
  </si>
  <si>
    <t xml:space="preserve">[de Souza, Anacleto S.; Ferreira, Leonardo L. G.; de Oliveira, Aldo S.; Andricopulo, Adriano D.] Univ Fed Santa Catarina, Blumenal Ctr, Dept Exact Sci &amp; Educ, BR-89036256 Blumenau, Brazil; [de Oliveira, Aldo S.] Univ Sao Paulo, Phys Inst Sao Carlos, Ctr Res &amp; Innovat Biodivers &amp; Drug Discovery, Lab Computat &amp; Med Chem, BR-13563120 Sao Carlos, SP, Brazil</t>
  </si>
  <si>
    <t xml:space="preserve">Universidade Federal de Santa Catarina (UFSC); Universidade de Sao Paulo</t>
  </si>
  <si>
    <t xml:space="preserve">Andricopulo, AD (corresponding author), Univ Fed Santa Catarina, Blumenal Ctr, Dept Exact Sci &amp; Educ, BR-89036256 Blumenau, Brazil.</t>
  </si>
  <si>
    <t xml:space="preserve">anacletosilvadesouza@usp.br; leonardo@ifsc.usp.br; aldo.sena@ufsc.br; aandrico@ifsc.usp.br</t>
  </si>
  <si>
    <t xml:space="preserve">Andricopulo, Adriano/B-7672-2012; Souza, Anacleto/AAD-5910-2022; Ferreira, Leonardo L. G./N-4649-2013; /G-1099-2015</t>
  </si>
  <si>
    <t xml:space="preserve">Silva de Souza, Anacleto/0000-0002-5669-1723; Ferreira, Leonardo L. G./0000-0002-6947-0639; /0000-0001-7760-4484</t>
  </si>
  <si>
    <t xml:space="preserve">National Council for Scientific and Technological Development (CNPq); Coordination for the Improvement of Higher Education Personnel (CAPES); Sao Paulo Research Foundation (FAPESP), Brazil [2013/07600-3]</t>
  </si>
  <si>
    <t xml:space="preserve">National Council for Scientific and Technological Development (CNPq)(Conselho Nacional de Desenvolvimento Cientifico e Tecnologico (CNPQ)); Coordination for the Improvement of Higher Education Personnel (CAPES)(Coordenacao de Aperfeicoamento de Pessoal de Nivel Superior (CAPES)); Sao Paulo Research Foundation (FAPESP), Brazil(Fundacao de Amparo a Pesquisa do Estado de Sao Paulo (FAPESP))</t>
  </si>
  <si>
    <t xml:space="preserve">The authors acknowledge the National Council for Scientific and Technological Development (CNPq), the Coordination for the Improvement of Higher Education Personnel (CAPES), and the Sao Paulo Research Foundation (FAPESP, grant 2013/07600-3), Brazil, for financial support.</t>
  </si>
  <si>
    <t xml:space="preserve">1422-0067</t>
  </si>
  <si>
    <t xml:space="preserve">INT J MOL SCI</t>
  </si>
  <si>
    <t xml:space="preserve">Int. J. Mol. Sci.</t>
  </si>
  <si>
    <t xml:space="preserve">JUN 1</t>
  </si>
  <si>
    <t xml:space="preserve">10.3390/ijms20112801</t>
  </si>
  <si>
    <t xml:space="preserve">Biochemistry &amp; Molecular Biology; Chemistry, Multidisciplinary</t>
  </si>
  <si>
    <t xml:space="preserve">Biochemistry &amp; Molecular Biology; Chemistry</t>
  </si>
  <si>
    <t xml:space="preserve">IE8OX</t>
  </si>
  <si>
    <t xml:space="preserve">WOS:000472634100195</t>
  </si>
  <si>
    <t xml:space="preserve">Manogaran, G; Lopez, D</t>
  </si>
  <si>
    <t xml:space="preserve">Manogaran, Gunasekaran; Lopez, Daphne</t>
  </si>
  <si>
    <t xml:space="preserve">A Gaussian process based big data processing framework in cluster computing environment</t>
  </si>
  <si>
    <t xml:space="preserve">Machine learning algorithms play a vital role in the prediction of an outbreak of diseases based on climate change. Dengue outbreak is caused by improper maintenance of water storages, lack of urbanization, deforestation, lack of vaccination and awareness. Moreover, a number of dengue cases are varying based on climate season. There is a need to develop the prediction model for modeling the dengue outbreak based climate change. To model the dengue outbreak, Gaussian process regression (GPR) model is applied in this paper that uses the seasonal average of various climate parameters such as maximum temperature, minimum temperature, precipitation, wind, relative humidity and solar. The number of dengue cases and climate data for each block of Tamil Nadu, India are collected from Integrated Disease Surveillance Project and Global Weather Data for SWAT Inc respectively. Local Moran's I spatial autocorrelation is used in this paper for geographical visualization of hotspot regions. The outbreak of dengue and its hot spot regions are geographically visualized with the help of ArcGIS 10.1 software. The day wise big climate data is collected and stored in the Hadoop cluster computing environment. MapReduce framework is used to reduce the day wise climate data into seasonal climate averages such as winter, summer, and monsoon. The seasonal climate data and number of dengue incidence (health data) are integrated based on the geolocation (latitude and longitude). GPR is used to develop the prediction model for dengue based on the integrated data (climate and health data). The proposed Gaussian process based prediction model is compared with various machine learning approaches such as multiple regression, support vector machine and random forests. Experimental results demonstrate the effectiveness of our Gaussian process based prediction framework.</t>
  </si>
  <si>
    <t xml:space="preserve">CLUSTER COMPUTING-THE JOURNAL OF NETWORKS SOFTWARE TOOLS AND APPLICATIONS</t>
  </si>
  <si>
    <t xml:space="preserve">Cluster computing; Hadoop cluster; MapReduce; Dengue; Disease; Gaussian process; Local Moran; Spatial autocorrelation; Weather data and climate change</t>
  </si>
  <si>
    <t xml:space="preserve">DENGUE-FEVER; SPATIAL-ANALYSIS; CLIMATE-CHANGE; REGRESSION; SURVEILLANCE; SYSTEM</t>
  </si>
  <si>
    <t xml:space="preserve">[Manogaran, Gunasekaran; Lopez, Daphne] VIT Univ, Sch Informat Technol &amp; Engn, Vellore, Tamil Nadu, India</t>
  </si>
  <si>
    <t xml:space="preserve">Vellore Institute of Technology (VIT); VIT Vellore</t>
  </si>
  <si>
    <t xml:space="preserve">Manogaran, G (corresponding author), VIT Univ, Sch Informat Technol &amp; Engn, Vellore, Tamil Nadu, India.</t>
  </si>
  <si>
    <t xml:space="preserve">gunavit@gmail.com</t>
  </si>
  <si>
    <t xml:space="preserve">Lopez, Daphne/K-7407-2017; Manogaran, Gunasekaran/K-7621-2017</t>
  </si>
  <si>
    <t xml:space="preserve">Manogaran, Gunasekaran/0000-0003-4083-6163</t>
  </si>
  <si>
    <t xml:space="preserve">1386-7857</t>
  </si>
  <si>
    <t xml:space="preserve">1573-7543</t>
  </si>
  <si>
    <t xml:space="preserve">CLUSTER COMPUT</t>
  </si>
  <si>
    <t xml:space="preserve">Cluster Comput.</t>
  </si>
  <si>
    <t xml:space="preserve">10.1007/s10586-017-0982-5</t>
  </si>
  <si>
    <t xml:space="preserve">Computer Science, Information Systems; Computer Science, Theory &amp; Methods</t>
  </si>
  <si>
    <t xml:space="preserve">HJ6DA</t>
  </si>
  <si>
    <t xml:space="preserve">WOS:000457272700016</t>
  </si>
  <si>
    <t xml:space="preserve">Vasconcelos, CRD; Campos, TD; Rezende, AM</t>
  </si>
  <si>
    <t xml:space="preserve">dos Santos Vasconcelos, Crhisllane Rafaele; Campos, Tulio de Lima; Rezende, Antonio Mauro</t>
  </si>
  <si>
    <t xml:space="preserve">Building protein-protein interaction networks for Leishmania species through protein structural information</t>
  </si>
  <si>
    <t xml:space="preserve">Background: Systematic analysis of a parasite interactome is a key approach to understand different biological processes. It makes possible to elucidate disease mechanisms, to predict protein functions and to select promising targets for drug development. Currently, several approaches for protein interaction prediction for non-model species incorporate only small fractions of the entire proteomes and their interactions. Based on this perspective, this study presents an integration of computational methodologies, protein network predictions and comparative analysis of the protozoan species Leishmania braziliensis and Leishmania infantum. These parasites cause Leishmaniasis, a worldwide distributed and neglected disease, with limited treatment options using currently available drugs. Results: The predicted interactions were obtained from a meta-approach, applying rigid body docking tests and template-based docking on protein structures predicted by different comparative modeling techniques. In addition, we trained a machine-learning algorithm (Gradient Boosting) using docking information performed on a curated set of positive and negative protein interaction data. Our final model obtained an AUC = 0.88, with recall = 0.69, specificity = 0.88 and precision = 0.83. Using this approach, it was possible to confidently predict 681 protein structures and 6198 protein interactions for L. braziliensis, and 708 protein structures and 7391 protein interactions for L. infantum. The predicted networks were integrated to protein interaction data already available, analyzed using several topological features and used to classify proteins as essential for network stability. Conclusions: The present study allowed to demonstrate the importance of integrating different methodologies of interaction prediction to increase the coverage of the protein interaction of the studied protocols, besides it made available protein structures and interactions not previously reported.</t>
  </si>
  <si>
    <t xml:space="preserve">BMC BIOINFORMATICS</t>
  </si>
  <si>
    <t xml:space="preserve">BIOLOGICAL NETWORKS; PREDICTION; SEQUENCE; SCALE; IDENTIFICATION; ALIGNMENT; GENOMICS; DOCKING; YEAST; HUBS</t>
  </si>
  <si>
    <t xml:space="preserve">[dos Santos Vasconcelos, Crhisllane Rafaele; Campos, Tulio de Lima; Rezende, Antonio Mauro] Fiocruz MS, Microbiol Dept, Inst Aggeu Magalhaes, Recife, PE, Brazil; [Campos, Tulio de Lima; Rezende, Antonio Mauro] Fiocruz MS, Bioinformat Plataform, Inst Aggeu Magalhaes, Recife, PE, Brazil; [dos Santos Vasconcelos, Crhisllane Rafaele; Rezende, Antonio Mauro] Univ Fed Pernambuco, Genet Dept, Recife, PE, Brazil</t>
  </si>
  <si>
    <t xml:space="preserve">Fundacao Oswaldo Cruz; Fundacao Oswaldo Cruz; Universidade Federal de Pernambuco</t>
  </si>
  <si>
    <t xml:space="preserve">Vasconcelos, CRD; Rezende, AM (corresponding author), Fiocruz MS, Microbiol Dept, Inst Aggeu Magalhaes, Recife, PE, Brazil.;Rezende, AM (corresponding author), Fiocruz MS, Bioinformat Plataform, Inst Aggeu Magalhaes, Recife, PE, Brazil.;Vasconcelos, CRD; Rezende, AM (corresponding author), Univ Fed Pernambuco, Genet Dept, Recife, PE, Brazil.</t>
  </si>
  <si>
    <t xml:space="preserve">crhisllane@gmail.com; antonio.rezende@cpqam.fiocruz.br</t>
  </si>
  <si>
    <t xml:space="preserve">Rezende, Antonio Mauro/S-2126-2018; de Lima Campos, Tulio/N-5204-2018</t>
  </si>
  <si>
    <t xml:space="preserve">Rezende, Antonio Mauro/0000-0003-4775-1779; dos Santos Vasconcelos, Crhisllane Rafaele/0000-0001-8290-5775; de Lima Campos, Tulio/0000-0003-0446-848X</t>
  </si>
  <si>
    <t xml:space="preserve">CNPq; CAPES agency</t>
  </si>
  <si>
    <t xml:space="preserve">CNPq(Conselho Nacional de Desenvolvimento Cientifico e Tecnologico (CNPQ)); CAPES agency(Coordenacao de Aperfeicoamento de Pessoal de Nivel Superior (CAPES))</t>
  </si>
  <si>
    <t xml:space="preserve">CNPq and CAPES agency.</t>
  </si>
  <si>
    <t xml:space="preserve">1471-2105</t>
  </si>
  <si>
    <t xml:space="preserve">BMC Bioinformatics</t>
  </si>
  <si>
    <t xml:space="preserve">MAR 6</t>
  </si>
  <si>
    <t xml:space="preserve">10.1186/s12859-018-2105-6</t>
  </si>
  <si>
    <t xml:space="preserve">Biochemical Research Methods; Biotechnology &amp; Applied Microbiology; Mathematical &amp; Computational Biology</t>
  </si>
  <si>
    <t xml:space="preserve">Biochemistry &amp; Molecular Biology; Biotechnology &amp; Applied Microbiology; Mathematical &amp; Computational Biology</t>
  </si>
  <si>
    <t xml:space="preserve">FY3JR</t>
  </si>
  <si>
    <t xml:space="preserve">WOS:000426716100001</t>
  </si>
  <si>
    <t xml:space="preserve">Eneanya, OA; Cano, J; Dorigatti, I; Anagbogu, I; Okoronkwo, C; Garske, T; Donnelly, CA</t>
  </si>
  <si>
    <t xml:space="preserve">Eneanya, Obiora A.; Cano, Jorge; Dorigatti, Ilaria; Anagbogu, Ifeoma; Okoronkwo, Chukwu; Garske, Tini; Donnelly, Christl A.</t>
  </si>
  <si>
    <t xml:space="preserve">Environmental suitability for lymphatic filariasis in Nigeria</t>
  </si>
  <si>
    <t xml:space="preserve">Background: Lymphatic filariasis (LF) is a mosquito-borne parasitic disease and a major cause of disability worldwide. It is one of the neglected tropical diseases identified by the World Health Organization for elimination as a public health problem by 2020. Maps displaying disease distribution are helpful tools to identify high-risk areas and target scarce control resources. Methods: We used pre-intervention site-level occurrence data from 1192 survey sites collected during extensive mapping surveys by the Nigeria Ministry of Health. Using an ensemble of machine learning modelling algorithms (generalised boosted models and random forest), we mapped the ecological niche of LF at a spatial resolution of 1 km(2). By overlaying gridded estimates of population density, we estimated the human population living in LF risk areas on a 100 x 100 m scale. Results: Our maps demonstrate that there is a heterogeneous distribution of LF risk areas across Nigeria, with large portions of northern Nigeria having more environmentally suitable conditions for the occurrence of LF. Here we estimated that approximately 110 million individuals live in areas at risk of LF transmission. Conclusions: Machine learning and ensemble modelling are powerful tools to map disease risk and are known to yield more accurate predictive models with less uncertainty than single models. The resulting map provides a geographical framework to target control efforts and assess its potential impacts.</t>
  </si>
  <si>
    <t xml:space="preserve">PARASITES &amp; VECTORS</t>
  </si>
  <si>
    <t xml:space="preserve">Lymphatic filariasis; Ensemble modelling; Machine learning; Generalised boosted model (GBM); Random forest (RF)</t>
  </si>
  <si>
    <t xml:space="preserve">WUCHERERIA-BANCROFTI; DISTRIBUTION MODELS; MALARIA; DISTRIBUTIONS; TRANSMISSION; PREVALENCE; ABUNDANCE; VECTORS; DENGUE</t>
  </si>
  <si>
    <t xml:space="preserve">[Eneanya, Obiora A.; Dorigatti, Ilaria; Garske, Tini; Donnelly, Christl A.] Imperial Coll London, Dept Infect Dis Epidemiol, MRC Ctr Global Infect Dis Anal, London, England; [Cano, Jorge] London Sch Hyg &amp; Trop Med, Fac Infect &amp; Trop Dis, London, England; [Anagbogu, Ifeoma; Okoronkwo, Chukwu] Fed Minist Hlth, Abuja, Nigeria; [Donnelly, Christl A.] Univ Oxford, Dept Stat, Oxford, England</t>
  </si>
  <si>
    <t xml:space="preserve">Imperial College London; University of London; London School of Hygiene &amp; Tropical Medicine; University of Oxford</t>
  </si>
  <si>
    <t xml:space="preserve">Eneanya, OA (corresponding author), Imperial Coll London, Dept Infect Dis Epidemiol, MRC Ctr Global Infect Dis Anal, London, England.</t>
  </si>
  <si>
    <t xml:space="preserve">o.eneanya13@imperial.ac.uk</t>
  </si>
  <si>
    <t xml:space="preserve">Chanson, Hubert/A-1194-2008; Cano, Jorge/AAV-6392-2020; Cano, Jorge/E-2962-2016</t>
  </si>
  <si>
    <t xml:space="preserve">Dorigatti, Ilaria/0000-0001-9959-0706; Cano, Jorge/0000-0001-9864-5058</t>
  </si>
  <si>
    <t xml:space="preserve">Commonwealth Scholarship Commission; Imperial College Junior Research Fellowship scheme; Bill and Melinda Gates Foundation [OPP 1033751]; Medical Research Council, UK; MRC [MR/R015600/1] Funding Source: UKRI</t>
  </si>
  <si>
    <t xml:space="preserve">Commonwealth Scholarship Commission; Imperial College Junior Research Fellowship scheme; Bill and Melinda Gates Foundation(Bill &amp; Melinda Gates Foundation); Medical Research Council, UK(UK Research &amp; Innovation (UKRI)Medical Research Council UK (MRC)); MRC(UK Research &amp; Innovation (UKRI)Medical Research Council UK (MRC))</t>
  </si>
  <si>
    <t xml:space="preserve">The Commonwealth Scholarship Commission provided funding for the doctoral studentship of OAE. ID thanks the Imperial College Junior Research Fellowship scheme. JC is funded by grants from the Bill and Melinda Gates Foundation (OPP 1033751). All authors thank the Medical Research Council, UK, for Centre funding. Funders played no role in formal analysis, interpretation of results or decision to publish this study.</t>
  </si>
  <si>
    <t xml:space="preserve">1756-3305</t>
  </si>
  <si>
    <t xml:space="preserve">PARASITE VECTOR</t>
  </si>
  <si>
    <t xml:space="preserve">SEP 17</t>
  </si>
  <si>
    <t xml:space="preserve">10.1186/s13071-018-3097-9</t>
  </si>
  <si>
    <t xml:space="preserve">GT9YP</t>
  </si>
  <si>
    <t xml:space="preserve">WOS:000444904100002</t>
  </si>
  <si>
    <t xml:space="preserve">Acevedo, CH; Scotti, L; Scotti, MT</t>
  </si>
  <si>
    <t xml:space="preserve">Acevedo, Chonny Herrera; Scotti, Luciana; Scotti, Marcus Tullius</t>
  </si>
  <si>
    <t xml:space="preserve">In Silico Studies Designed to Select Sesquiterpene Lactones with Potential Antichagasic Activity from an In-House Asteraceae Database</t>
  </si>
  <si>
    <t xml:space="preserve">Chagas disease is an endemic disease caused by Trypanosoma cruzi, which affects more than eight million people, mostly in the Americas. A search for new treatments is necessary to control and eliminate this disease. Sesquiterpene lactones (SLs) are an interesting group of secondary metabolites characteristic of the Asteraceae family that have presented a wide range of biological activities. From the ChEMBL database, we selected a diverse set of 4452, 1635, and 1322 structures with tested activity against the three T.cruzi parasitic forms: amastigote, trypomastigote, and epimastigote, respectively, to create random forest (RF) models with an accuracy of greater than 74% for cross-validation and test sets. Afterward, a ligand-based virtual screen of the entire SLs of the Asteraceae database stored in SistematX (1306 structures) was performed. In addition, a structure-based virtual screen was also performed for the same set of SLs using molecular docking. Finally, using an approach combining ligand-based and structure-based virtual screening along with the equations proposed in this study to normalize the probability scores, we verified potentially active compounds and established a possible mechanism of action.</t>
  </si>
  <si>
    <t xml:space="preserve">CHEMMEDCHEM</t>
  </si>
  <si>
    <t xml:space="preserve">WILEY-V C H VERLAG GMBH</t>
  </si>
  <si>
    <t xml:space="preserve">asteraceae; Chagas disease; machine learning; sesquiterpene lactones; virtual screening</t>
  </si>
  <si>
    <t xml:space="preserve">TRYPANOSOMA-CRUZI; CHAGAS-DISEASE; QUANTITATIVE STRUCTURE; NATURAL-PRODUCTS; DRUG DISCOVERY; INHIBITORS; LIGAND; IDENTIFICATION; DOCKING; VOLSURF</t>
  </si>
  <si>
    <t xml:space="preserve">[Acevedo, Chonny Herrera; Scotti, Luciana; Scotti, Marcus Tullius] Univ Fed Paraiba, Postgrad Program Nat &amp; Synthet Bioact Prod, Cidade Univ Castelo Branco 3, Joao Pessoa, Paraiba, Brazil</t>
  </si>
  <si>
    <t xml:space="preserve">Universidade Federal da Paraiba</t>
  </si>
  <si>
    <t xml:space="preserve">Scotti, MT (corresponding author), Univ Fed Paraiba, Postgrad Program Nat &amp; Synthet Bioact Prod, Cidade Univ Castelo Branco 3, Joao Pessoa, Paraiba, Brazil.</t>
  </si>
  <si>
    <t xml:space="preserve">mtscotti@gmail.com</t>
  </si>
  <si>
    <t xml:space="preserve">Herrera-Acevedo, Chonny/JVO-5015-2024; Scotti, Marcus Tullius/G-2981-2012; SCOTTI, LUCIANA/C-7811-2013</t>
  </si>
  <si>
    <t xml:space="preserve">Scotti, Marcus Tullius/0000-0003-4863-8057; SCOTTI, LUCIANA/0000-0003-1866-4107; Herrera-Acevedo, Chonny/0000-0002-6220-9091</t>
  </si>
  <si>
    <t xml:space="preserve">CNPq; Capes</t>
  </si>
  <si>
    <t xml:space="preserve">CNPq(Conselho Nacional de Desenvolvimento Cientifico e Tecnologico (CNPQ)); Capes(Coordenacao de Aperfeicoamento de Pessoal de Nivel Superior (CAPES))</t>
  </si>
  <si>
    <t xml:space="preserve">We thank the CNPq and Capes for financial Support, and the Student Agreement Program of Graduate-PEC-PG of CNPq-Brazil.</t>
  </si>
  <si>
    <t xml:space="preserve">WEINHEIM</t>
  </si>
  <si>
    <t xml:space="preserve">POSTFACH 101161, 69451 WEINHEIM, GERMANY</t>
  </si>
  <si>
    <t xml:space="preserve">1860-7179</t>
  </si>
  <si>
    <t xml:space="preserve">1860-7187</t>
  </si>
  <si>
    <t xml:space="preserve">ChemMedChem</t>
  </si>
  <si>
    <t xml:space="preserve">MAR 20</t>
  </si>
  <si>
    <t xml:space="preserve">10.1002/cmdc.201700743</t>
  </si>
  <si>
    <t xml:space="preserve">Chemistry, Medicinal; Pharmacology &amp; Pharmacy</t>
  </si>
  <si>
    <t xml:space="preserve">Pharmacology &amp; Pharmacy</t>
  </si>
  <si>
    <t xml:space="preserve">GA5NE</t>
  </si>
  <si>
    <t xml:space="preserve">WOS:000428380000021</t>
  </si>
  <si>
    <t xml:space="preserve">Midzi, N; Kavhu, B; Manangazira, P; Phiri, I; Mutambu, SL; Tshuma, C; Chimbari, MJ; Munyati, S; Midzi, SM; Charimari, L; Ncube, A; Mutsaka-Makuvaza, MJ; Soko, W; Madzima, E; Hlerema, G; Mbedzi, J; Mhlanga, G; Masocha, M</t>
  </si>
  <si>
    <t xml:space="preserve">Midzi, Nicholas; Kavhu, Blessing; Manangazira, Portia; Phiri, Isaac; Mutambu, Susan L.; Tshuma, Cremants; Chimbari, Moses J.; Munyati, Shungu; Midzi, Stanely M.; Charimari, Lincon; Ncube, Anatoria; Mutsaka-Makuvaza, Masceline J.; Soko, White; Madzima, Emmanuel; Hlerema, Gibson; Mbedzi, Joel; Mhlanga, Gibson; Masocha, Mhosisi</t>
  </si>
  <si>
    <t xml:space="preserve">Inclusion of edaphic predictors for enhancement of models to determine distribution of soil-transmitted helminths: the case of Zimbabwe</t>
  </si>
  <si>
    <t xml:space="preserve">Background: Reliable mapping of soil-transmitted helminth (STH) parasites requires rigorous statistical and machine learning algorithms capable of integrating the combined influence of several determinants to predict distributions. This study tested whether combining edaphic predictors with relevant environmental predictors improves model performance when predicting the distribution of STH, Ascaris lumbricoides and hookworms at a national scale in Zimbabwe. Methods: Geo-referenced parasitological data obtained from a 2010/2011 national survey indicating a confirmed presence or absence of STH among school children aged 10-15 years was used to calibrate ten species distribution models (SDMs). The performance of SDMs calibrated with a set of environmental and edaphic variables was compared to that of SDMs calibrated with environmental variables only. Model performance was evaluated using the true skill statistic and receiver operating characteristic curve. Results: Results show a significant improvement in model performance for both A. lumbricoides and hookworms for all ten SDMs after edaphic variables were combined with environmental variables in the modelling of the geographical distribution of the two STHs at national scale. Using the top three performing models, a consensus prediction was developed to generate the first continuous maps of the potential distribution of the two STHs in Zimbabwe. Conclusions: The findings from this study demonstrate significant model improvement if relevant edaphic variables are included in model calibration resulting in more accurate mapping of STH. The results also provide spatially-explicit information to aid targeted control of STHs in Zimbabwe and other countries with STH burden.</t>
  </si>
  <si>
    <t xml:space="preserve">Ascaris lumbricoides; Hookworms; Gradient boosted model; Maxent; Species distribution; Soil-transmitted helminths</t>
  </si>
  <si>
    <t xml:space="preserve">INFECTIONS; SCHOOLCHILDREN; EPIDEMIOLOGY; TRANSMISSION; AREAS</t>
  </si>
  <si>
    <t xml:space="preserve">[Midzi, Nicholas] Univ Zimbabwe, Coll Hlth Sci, Dept Med Microbiol, PO A178, Harare, Zimbabwe; [Kavhu, Blessing; Masocha, Mhosisi] Univ Zimbabwe, Dept Geog &amp; Environm Sci, POB MP 167, Harare, Zimbabwe; [Manangazira, Portia; Phiri, Isaac; Tshuma, Cremants; Mhlanga, Gibson] Minist Hlth &amp; Child Care, CY 1122 Causeway, Harare, Zimbabwe; [Mutambu, Susan L.; Mutsaka-Makuvaza, Masceline J.; Soko, White; Madzima, Emmanuel; Hlerema, Gibson; Mbedzi, Joel] Natl Inst Hlth Res, POB 573 Causeway, Harare, Zimbabwe; [Chimbari, Moses J.] Univ Kwazulu Natal, ZA-4000 Durban, South Africa; [Munyati, Shungu] Biomed Res &amp; Training Inst, POB CY 1753 Causeway, Harare, Zimbabwe; [Midzi, Stanely M.; Charimari, Lincon] WHO, POB CY 348 Causeway, Harare, Zimbabwe; [Ncube, Anatoria] Minist Primary &amp; Secondary Educ, POB CY1343, Harare, Zimbabwe</t>
  </si>
  <si>
    <t xml:space="preserve">University of Zimbabwe; University of Zimbabwe; University of Kwazulu Natal; Biomedical Research Training Institute; World Health Organization</t>
  </si>
  <si>
    <t xml:space="preserve">Midzi, N (corresponding author), Univ Zimbabwe, Coll Hlth Sci, Dept Med Microbiol, PO A178, Harare, Zimbabwe.</t>
  </si>
  <si>
    <t xml:space="preserve">midzinicholas@gmail.com</t>
  </si>
  <si>
    <t xml:space="preserve">Manangazira, Portia/GOP-0954-2022; Kavhu, Blessing/AAV-1523-2021; Mutsaka- Makuvaza, Masceline Jenipher/JGC-9429-2023</t>
  </si>
  <si>
    <t xml:space="preserve">Mutsaka- Makuvaza, Masceline Jenipher/0000-0003-0868-1173; Kavhu, Blessing/0000-0003-2065-4485</t>
  </si>
  <si>
    <t xml:space="preserve">UNICEF; Helen Keller Foundation; Ministry of Health and Child Care</t>
  </si>
  <si>
    <t xml:space="preserve">This study was funded by UNICEF, Helen Keller Foundation and the Ministry of Health and Child Care.</t>
  </si>
  <si>
    <t xml:space="preserve">JAN 19</t>
  </si>
  <si>
    <t xml:space="preserve">10.1186/s13071-017-2586-6</t>
  </si>
  <si>
    <t xml:space="preserve">FT1IK</t>
  </si>
  <si>
    <t xml:space="preserve">WOS:000422888500001</t>
  </si>
  <si>
    <t xml:space="preserve">Tuti, T; Agweyu, A; Mwaniki, P; Peek, N; English, M</t>
  </si>
  <si>
    <t xml:space="preserve">Tuti, Timothy; Agweyu, Ambrose; Mwaniki, Paul; Peek, Niels; English, Mike</t>
  </si>
  <si>
    <t xml:space="preserve">An exploration of mortality risk factors in non-severe pneumonia in children using clinical data from Kenya</t>
  </si>
  <si>
    <t xml:space="preserve">Background: Childhood pneumonia is the leading infectious cause of mortality in children younger than 5 years old. Recent updates to World Health Organization pneumonia guidelines recommend outpatient care for a population of children previously classified as high risk. This revision has been challenged by policymakers in Africa, where mortality related to pneumonia is higher than in other regions and often complicated by comorbidities. This study aimed to identify factors that best discriminate inpatient mortality risk in non-severe pneumonia and explore whether these factors offer any added benefit over the current criteria used to identify children with pneumonia requiring inpatient care. Methods: We undertook a retrospective cohort study of children aged 2-59 months admitted with a clinical diagnosis of pneumonia at 14 public hospitals in Kenya between February 2014 and February 2016. Using machine learning techniques, we analysed whether clinical characteristics and common comorbidities increased the risk of inpatient mortality for non-severe pneumonia. The topmost risk factors were subjected to decision curve analysis to explore if using them as admission criteria had any net benefit above the current criteria. Results: Out of 16,162 children admitted with pneumonia during the study period, 10,687 were eligible for subsequent analysis. Inpatient mortality within this non-severe group was 252/10,687 (2.36%). Models demonstrated moderately good performance; the partial least squares discriminant analysis model had higher sensitivity for predicting mortality in comparison to logistic regression. Elevated respiratory rate (&gt;= 70 bpm), age 2-11 months and weight-for-age Z-score (WAZ) &lt;-3SD were highly discriminative of mortality. These factors ranked consistently across the different models. For a risk threshold probability of 7-14%, there is a net benefit to admitting the patient sub-populations with these features as additional criteria alongside those currently used to classify severe pneumonia. Of the population studied, 70.54% met at least one of these criteria. Sensitivity analyses indicated that the overall results were not significantly affected by variations in pneumonia severity classification criteria. Conclusions: Children with non-severe pneumonia aged 2-11 months or with respiratory rate &gt;= 70 bpm or very low WAZ experience risks of inpatient mortality comparable to severe pneumonia. Inpatient care is warranted in these high-risk groups of children.</t>
  </si>
  <si>
    <t xml:space="preserve">BMC MEDICINE</t>
  </si>
  <si>
    <t xml:space="preserve">Pneumonia; Risk factors; Guidelines; Pediatrics; Machine learning; Decision support techniques</t>
  </si>
  <si>
    <t xml:space="preserve">LOW-INCOME; ETIOLOGY RESEARCH; CASE-MANAGEMENT; CARE-SEEKING; MALARIA; ILLNESS; SELECTION</t>
  </si>
  <si>
    <t xml:space="preserve">[Tuti, Timothy; Agweyu, Ambrose; Mwaniki, Paul; English, Mike] KEMRI Wellcome Trust Res Programme, Nairobi, Kenya; [Peek, Niels] Univ Manchester, Manchester Acad Hlth Sci Ctr, Fac Biol Med &amp; Hlth, Div Informat Imaging &amp; Data Sci,Ctr Hlth Informat, Manchester, Lancs, England; [Peek, Niels] NIHR Greater Manchester Primary Care Patient Safe, Manchester, Lancs, England; [English, Mike] Univ Oxford, Nuffield Dept Med, Oxford, England</t>
  </si>
  <si>
    <t xml:space="preserve">University of Manchester; University of Oxford</t>
  </si>
  <si>
    <t xml:space="preserve">Tuti, T (corresponding author), KEMRI Wellcome Trust Res Programme, Nairobi, Kenya.</t>
  </si>
  <si>
    <t xml:space="preserve">TTuti@kemri-wellcome.org</t>
  </si>
  <si>
    <t xml:space="preserve">Peek, Niels/AAD-9334-2019</t>
  </si>
  <si>
    <t xml:space="preserve">Mwaniki, Paul/0000-0003-0359-8426; Agweyu, Ambrose/0000-0001-8760-1279; Tuti, Timothy/0000-0002-7915-3004</t>
  </si>
  <si>
    <t xml:space="preserve">Wellcome Trust [106823, 203077, 097170]; National Institute for Health Research (NIHR) Greater Manchester Primary Care Safety Translational Research Centre</t>
  </si>
  <si>
    <t xml:space="preserve">Wellcome Trust(Wellcome Trust); National Institute for Health Research (NIHR) Greater Manchester Primary Care Safety Translational Research Centre</t>
  </si>
  <si>
    <t xml:space="preserve">Funds from The Wellcome Trust Fellowship (106823) awarded to TT with additional funds from a Wellcome Trust core grant awarded to the KEMRI-Wellcome Trust Research Programme (203077) supported this work. NP is supported by the National Institute for Health Research (NIHR) Greater Manchester Primary Care Safety Translational Research Centre. ME, AA and PM are supported by a Wellcome Trust Fellowship awarded to ME (097170). The funders had no role in drafting or submitting this manuscript.</t>
  </si>
  <si>
    <t xml:space="preserve">1741-7015</t>
  </si>
  <si>
    <t xml:space="preserve">BMC MED</t>
  </si>
  <si>
    <t xml:space="preserve">10.1186/s12916-017-0963-9</t>
  </si>
  <si>
    <t xml:space="preserve">FM2VL</t>
  </si>
  <si>
    <t xml:space="preserve">WOS:000414858800001</t>
  </si>
  <si>
    <t xml:space="preserve">Clinical Information Networ</t>
  </si>
  <si>
    <t xml:space="preserve">Bibin, D; Nair, MS; Punitha, P</t>
  </si>
  <si>
    <t xml:space="preserve">Bibin, Dhanya; Nair, Madhu S.; Punitha, P.</t>
  </si>
  <si>
    <t xml:space="preserve">Malaria Parasite Detection From Peripheral Blood Smear Images Using Deep Belief Networks</t>
  </si>
  <si>
    <t xml:space="preserve">In this paper, we propose a novel method to identify the presence of malaria parasites in human peripheral blood smear images using a deep belief network (DBN). This paper introduces a trained model based on a DBN to classify 4100 peripheral blood smear images into the parasite or non-parasite class. The proposed DBN is pre-trained by stacking restricted Boltzmann machines using the contrastive divergence method for pre-training. To train the DBN, we extract features from the images and initialize the visible variables of the DBN. A concatenated feature of color and texture is used as a feature vector in this paper. Finally, the DBN is discriminatively fine-tuned using a backpropagation algorithm that computes the probability of class labels. The optimum size of the DBN architecture used in this paper is 484-600-600-600-600-2, in which the visible layer has 484 nodes and the output layer has two nodes with four hidden layers containing 600 hidden nodes in every layer. The proposed method has performed significantly better than the other state-of-the-art methods with an F-score of 89.66%, a sensitivity of 97.60%, and specificity of 95.92%. This paper is the first application of a DBN for malaria parasite detection in human peripheral blood smear images.</t>
  </si>
  <si>
    <t xml:space="preserve">Deep learning; deep belief network; malaria parasite detection; restricted Boltzmann machine; contrastive divergence; discriminative training</t>
  </si>
  <si>
    <t xml:space="preserve">CLASSIFICATION; DIAGNOSIS</t>
  </si>
  <si>
    <t xml:space="preserve">[Bibin, Dhanya] Bharathiar Univ, Dept Res &amp; Dev Ctr, Coimbatore 641046, Tamil Nadu, India; [Bibin, Dhanya] PES Inst Technol, Dept MCA, Res Ctr, Bengaluru 560085, India; [Nair, Madhu S.] Univ Kerala, Dept Comp Sci, Thiruvananthapuram 695581, Kerala, India; [Punitha, P.] PES Inst Technol, Dept Comp Applicat, Bengaluru 560085, India</t>
  </si>
  <si>
    <t xml:space="preserve">Bharathiar University; PES University; University of Kerala; PES University</t>
  </si>
  <si>
    <t xml:space="preserve">Nair, MS (corresponding author), Univ Kerala, Dept Comp Sci, Thiruvananthapuram 695581, Kerala, India.</t>
  </si>
  <si>
    <t xml:space="preserve">madhu_s_nair2001@yahoo.com</t>
  </si>
  <si>
    <t xml:space="preserve">Nair, Madhu S./B-7069-2013</t>
  </si>
  <si>
    <t xml:space="preserve">Nair, Madhu S./0000-0001-6039-5727</t>
  </si>
  <si>
    <t xml:space="preserve">10.1109/ACCESS.2017.2705642</t>
  </si>
  <si>
    <t xml:space="preserve">EY8TN</t>
  </si>
  <si>
    <t xml:space="preserve">WOS:000404270600041</t>
  </si>
  <si>
    <t xml:space="preserve">Torrecilha, RBP; Utsunomiya, YT; Batista, LFD; Bosco, AM; Nunes, CM; Ciarlini, PC; Laurenti, MD</t>
  </si>
  <si>
    <t xml:space="preserve">Pintor Torrecilha, Rafaela Beatriz; Utsunomiya, Yuri Tani; da Silva Batista, Luis Fabio; Bosco, Anelise Maria; Nunes, Caris Maroni; Ciarlini, Paulo Cesar; Laurenti, Marcia Dalastra</t>
  </si>
  <si>
    <t xml:space="preserve">Prediction of lymph node parasite load from clinical data in dogs with leishmaniasis: An application of radial basis artificial neural networks</t>
  </si>
  <si>
    <t xml:space="preserve">Quantification of Leishmania infantum load via real-time quantitative polymerase chain reaction (qPCR) in lymph node aspirates is an accurate tool for diagnostics, surveillance and therapeutics follow-up in dogs with leishmaniasis. However, qPCR requires infrastructure and technical training that is not always available commercially or in public services. Here, we used a machine learning technique, namely Radial Basis Artificial Neural Network, to assess whether parasite load could be learned from clinical data (serological test, biochemical markers and physical signs). By comparing 18 different combinations of input clinical data, we found that parasite load can be accurately predicted using a relatively small reference set of 35 naturally infected dogs and 20 controls. In the best case scenario (use of all clinical data), predictions presented no bias or inflation and an accuracy (i.e., correlation between true and predicted values) of 0.869, corresponding to an average error of 38.2 parasites per unit of volume. We conclude that reasonable estimates of L infantum load from lymph node aspirates can be obtained from clinical records when qPCR services are not available. (C) 2016 Elsevier B.V. All rights reserved.</t>
  </si>
  <si>
    <t xml:space="preserve">VETERINARY PARASITOLOGY</t>
  </si>
  <si>
    <t xml:space="preserve">Canis lupus familiaris; qPCR; Machine learning; Leishmania spp</t>
  </si>
  <si>
    <t xml:space="preserve">LABORATORY ALTERATIONS; DIAGNOSIS; ASSAY</t>
  </si>
  <si>
    <t xml:space="preserve">[Pintor Torrecilha, Rafaela Beatriz; Bosco, Anelise Maria; Ciarlini, Paulo Cesar] Sao Paulo State Univ Unesp, Sch Vet Med, Aracatuba Dept Clin Surg &amp; Anim Reprod, Sao Paulo, Brazil; [Utsunomiya, Yuri Tani] Sao Paulo State Univ Unesp, Sch Agr &amp; Veterinarian Sci, Jaboticabal Dept Preventat Vet Med &amp; Anim Reprod, Sao Paulo, Brazil; [da Silva Batista, Luis Fabio; Laurenti, Marcia Dalastra] Univ Sao Paulo, Dept Patol Vet, Fac Med Vet &amp; Zootecnia, Sao Paulo, Brazil; [Nunes, Caris Maroni] Sao Paulo State Univ Unesp, Sch Vet Med, Aracatuba Dept Support Prod &amp; Anim Health, Sao Paulo, Brazil</t>
  </si>
  <si>
    <t xml:space="preserve">Universidade Estadual Paulista; Universidade Estadual Paulista; Universidade de Sao Paulo; Universidade Estadual Paulista</t>
  </si>
  <si>
    <t xml:space="preserve">Laurenti, MD (corresponding author), Univ Sao Paulo, Av Dr Arnaldo,455 Sala 1209, BR-01246903 Sao Paulo, SP, Brazil.</t>
  </si>
  <si>
    <t xml:space="preserve">mdlauren@usp.br</t>
  </si>
  <si>
    <t xml:space="preserve">Laurenti, Marcia/C-4734-2012; Nunes, Caris/R-9337-2016; Torrecilha, Rafaela/K-4596-2017; Utsunomiya, Yuri Tani/K-5214-2013</t>
  </si>
  <si>
    <t xml:space="preserve">Utsunomiya, Yuri Tani/0000-0002-6526-8337</t>
  </si>
  <si>
    <t xml:space="preserve">0304-4017</t>
  </si>
  <si>
    <t xml:space="preserve">1873-2550</t>
  </si>
  <si>
    <t xml:space="preserve">VET PARASITOL</t>
  </si>
  <si>
    <t xml:space="preserve">10.1016/j.vetpar.2016.12.016</t>
  </si>
  <si>
    <t xml:space="preserve">Parasitology; Veterinary Sciences</t>
  </si>
  <si>
    <t xml:space="preserve">EK8RW</t>
  </si>
  <si>
    <t xml:space="preserve">Green Published</t>
  </si>
  <si>
    <t xml:space="preserve">WOS:000394192700003</t>
  </si>
  <si>
    <t xml:space="preserve">Modu, B; Polovina, N; Lan, Y; Konur, S; Asyhari, AT; Peng, Y</t>
  </si>
  <si>
    <t xml:space="preserve">Modu, Babagana; Polovina, Nereida; Lan, Yang; Konur, Savas; Asyhari, A. Taufiq; Peng, Yonghong</t>
  </si>
  <si>
    <t xml:space="preserve">Towards a Predictive Analytics-Based Intelligent Malaria Outbreak Warning System</t>
  </si>
  <si>
    <t xml:space="preserve">Malaria, as one of the most serious infectious diseases causing public health problems in the world, affects about two-thirds of the world population, with estimated resultant deaths close to a million annually. The effects of this disease are much more profound in third world countries, which have very limited medical resources. When an intense outbreak occurs, most of these countries cannot cope with the high number of patients due to the lack of medicine, equipment and hospital facilities. The prevention or reduction of the risk factor of this disease is very challenging, especially in third world countries, due to poverty and economic insatiability. Technology can offer alternative solutions by providing early detection mechanisms that help to control the spread of the disease and allow the management of treatment facilities in advance to ensure a more timely health service, which can save thousands of lives. In this study, we have deployed an intelligent malaria outbreak early warning system, which is a mobile application that predicts malaria outbreak based on climatic factors using machine learning algorithms. The system will help hospitals, healthcare providers, and health organizations take precautions in time and utilize their resources in case of emergency. To our best knowledge, the system developed in this paper is the first publicly available application. Since confounding effects of climatic factors have a greater influence on the incidence of malaria, we have also conducted extensive research on exploring a new ecosystem model for the assessment of hidden ecological factors and identified three confounding factors that significantly influence the malaria incidence. Additionally, we deploy a smart healthcare application; this paper also makes a significant contribution by identifying hidden ecological factors of malaria.</t>
  </si>
  <si>
    <t xml:space="preserve">APPLIED SCIENCES-BASEL</t>
  </si>
  <si>
    <t xml:space="preserve">malaria; climatic factors; machine learning; prediction; mobile application; structural equation modelling; partial least squares model</t>
  </si>
  <si>
    <t xml:space="preserve">HUMAN HEALTH; NUMBER</t>
  </si>
  <si>
    <t xml:space="preserve">[Modu, Babagana; Lan, Yang; Konur, Savas] Univ Bradford, Sch Elect Engn &amp; Comp Sci, Bradford BD7 1DP, W Yorkshire, England; [Polovina, Nereida] Manchester Metropolitan Univ, Business Sch, Manchester M15 6BH, Lancs, England; [Asyhari, A. Taufiq] Cranfield Univ, Ctr Elect Warfare Informat &amp; Cyber, Shrivenham SN6 8LA, England; [Peng, Yonghong] Univ Sunderland, Fac Comp Sci, St Peters Campus, Sunderland SR6 0DD, Tyne &amp; Wear, England</t>
  </si>
  <si>
    <t xml:space="preserve">University of Bradford; Manchester Metropolitan University; Cranfield University; University of Sunderland</t>
  </si>
  <si>
    <t xml:space="preserve">Modu, B (corresponding author), Univ Bradford, Sch Elect Engn &amp; Comp Sci, Bradford BD7 1DP, W Yorkshire, England.</t>
  </si>
  <si>
    <t xml:space="preserve">b.modu@bradford.ac.uk; n.polovina@mmu.ac.uk; y.lan@bradford.ac.uk; s.konur@bradford.ac.uk; taufiq-a@ieee.org; yonghong.peng@sunderland.ac.uk</t>
  </si>
  <si>
    <t xml:space="preserve">Peng, Yonghong/ABD-5633-2021; Asyhari, A./AAJ-1455-2020</t>
  </si>
  <si>
    <t xml:space="preserve">Peng, Yonghong/0000-0002-5508-1819; Asyhari, A. Taufiq/0000-0002-3023-8285; Modu, Bababgana/0000-0002-3917-5751; Polovina, Nereida/0000-0001-9304-3402</t>
  </si>
  <si>
    <t xml:space="preserve">National Centre for Environmental Prediction (NCEP); Tertiary Education Trust Fund (tetFund), Nigeria; Innovate UK [KTP010551]</t>
  </si>
  <si>
    <t xml:space="preserve">National Centre for Environmental Prediction (NCEP); Tertiary Education Trust Fund (tetFund), Nigeria; Innovate UK(UK Research &amp; Innovation (UKRI)Innovate UK)</t>
  </si>
  <si>
    <t xml:space="preserve">The authors would like to thank National Centre for Environmental Prediction (NCEP), for their support in providing this work with relevant meteorological data. The author B.M. would like to thank Tertiary Education Trust Fund (tetFund), Nigeria for sponsoring his Ph.D. programme at the University of Bradford, UK. Y.L and S.K. acknowledge Innovate UK KTP010551 grant.</t>
  </si>
  <si>
    <t xml:space="preserve">2076-3417</t>
  </si>
  <si>
    <t xml:space="preserve">APPL SCI-BASEL</t>
  </si>
  <si>
    <t xml:space="preserve">Appl. Sci.-Basel</t>
  </si>
  <si>
    <t xml:space="preserve">Chemistry, Multidisciplinary; Engineering, Multidisciplinary; Materials Science, Multidisciplinary; Physics, Applied</t>
  </si>
  <si>
    <t xml:space="preserve">Chemistry; Engineering; Materials Science; Physics</t>
  </si>
  <si>
    <t xml:space="preserve">FF4JE</t>
  </si>
  <si>
    <t xml:space="preserve">Green Accepted, Green Submitted, gold</t>
  </si>
  <si>
    <t xml:space="preserve">WOS:000408905900086</t>
  </si>
  <si>
    <t xml:space="preserve">Uc-Cetina, V; Brito-Loeza, C; Ruiz-Piña, H</t>
  </si>
  <si>
    <t xml:space="preserve">Uc-Cetina, Victor; Brito-Loeza, Carlos; Ruiz-Pina, Hugo</t>
  </si>
  <si>
    <t xml:space="preserve">Chagas Parasite Detection in Blood Images Using AdaBoost</t>
  </si>
  <si>
    <t xml:space="preserve">The Chagas disease is a potentially life-threatening illness caused by the protozoan parasite, Trypanosoma cruzi. Visual detection of such parasite through microscopic inspection is a tedious and time-consuming task. In this paper, we provide an AdaBoost learning solution to the task of Chagas parasite detection in blood images. We give details of the algorithm and our experimental setup. With this method, we get 100% and 93.25% of sensitivity and specificity, respectively. A ROC comparison with the method most commonly used for the detection of malaria parasites based on support vector machines (SVM) is also provided. Our experimental work shows mainly two things: (1) Chagas parasites can be detected automatically using machine learning methods with high accuracy and (2) AdaBoost + SVM provides better overall detection performance than AdaBoost or SVMs alone. Such results are the best ones known so far for the problem of automatic detection of Chagas parasites through the use of machine learning, computer vision, and image processing methods.</t>
  </si>
  <si>
    <t xml:space="preserve">COMPUTATIONAL AND MATHEMATICAL METHODS IN MEDICINE</t>
  </si>
  <si>
    <t xml:space="preserve">[Uc-Cetina, Victor; Brito-Loeza, Carlos] Univ Autonoma Yucatan, Fac Math, Merida 13615, Yuc, Mexico; [Ruiz-Pina, Hugo] Univ Autonoma Yucatan, Ctr Invest Reg Dr Hideyo Noguchi, Merida 97000, Yuc, Mexico</t>
  </si>
  <si>
    <t xml:space="preserve">Universidad Autonoma de Yucatan; Universidad Autonoma de Yucatan</t>
  </si>
  <si>
    <t xml:space="preserve">Uc-Cetina, V (corresponding author), Univ Autonoma Yucatan, Fac Math, Merida 13615, Yuc, Mexico.</t>
  </si>
  <si>
    <t xml:space="preserve">uccetina@uady.mx</t>
  </si>
  <si>
    <t xml:space="preserve">Ruiz-Piña, Hugo/JCO-6134-2023; Uc-Cetina, Victor/HZI-9254-2023; Brito-Loeza, Carlos/AAI-4832-2020</t>
  </si>
  <si>
    <t xml:space="preserve">Brito-Loeza, Carlos/0000-0003-2970-2113; Uc-Cetina, Victor/0000-0002-4713-3762</t>
  </si>
  <si>
    <t xml:space="preserve">Universidad Autonoma de Yucatan</t>
  </si>
  <si>
    <t xml:space="preserve">The authors thank the Universidad Autonoma de Yucatan, for supporting the research project on Chagas parasites dectection using machine learning algorithms.</t>
  </si>
  <si>
    <t xml:space="preserve">1748-670X</t>
  </si>
  <si>
    <t xml:space="preserve">1748-6718</t>
  </si>
  <si>
    <t xml:space="preserve">COMPUT MATH METHOD M</t>
  </si>
  <si>
    <t xml:space="preserve">Comput. Math. Method Med.</t>
  </si>
  <si>
    <t xml:space="preserve">10.1155/2015/139681</t>
  </si>
  <si>
    <t xml:space="preserve">Mathematical &amp; Computational Biology</t>
  </si>
  <si>
    <t xml:space="preserve">CF9HT</t>
  </si>
  <si>
    <t xml:space="preserve">WOS:000352876000001</t>
  </si>
  <si>
    <t xml:space="preserve">Nakasi, R; Nabende, JN; Tusubira, JF; Bamundaga, AL; Andama, A</t>
  </si>
  <si>
    <t xml:space="preserve">Nakasi, Rose; Nabende, Joyce Nakatumba; Tusubira, Jeremy Francis; Bamundaga, Aloyzius Lubowa; Andama, Alfred</t>
  </si>
  <si>
    <t xml:space="preserve">A dataset of blood slide images for AI-based diagnosis of malaria</t>
  </si>
  <si>
    <t xml:space="preserve">Malaria is a major public health challenge in sub-Saharan Africa. Timely and accurate diagnosis of malaria is vital to reduce the caseload and mortality rates associated with malaria . The use of microscopy in malaria screening is the gold standard recommended method by the World Health Organisation (WHO). In Uganda, utilization of microscopy is challenged by insufficient expertise to interpret the images accurately, affecting the efficiency, effectiveness and accuracy of malaria detection and diagnosis. We present a benchmark dataset of thick and thin blood smear images for automatic malaria screening in Uganda. Mobile Microscopy data was Medicine, Makerere University and Kiruddu National Referral Hospital in Uganda. The labelled image data can be used to build computational models implemented with convolution neural networks. The dataset has 30 0 0 labelled thick blood smear images and 10 0 0 labelled thin blood smear images. The datasets will support robust and accurate deep learning models for malaria diagnosis using thick and thin blood smear images with reasonable detection accuracies.</t>
  </si>
  <si>
    <t xml:space="preserve">DATA IN BRIEF</t>
  </si>
  <si>
    <t xml:space="preserve">Machine learning; Computer vision; Malaria microscopy</t>
  </si>
  <si>
    <t xml:space="preserve">[Nakasi, Rose; Nabende, Joyce Nakatumba; Tusubira, Jeremy Francis; Bamundaga, Aloyzius Lubowa] Makerere Univ, POB 7062, Kampala, Uganda; [Andama, Alfred] Mulago Natl Referral Hosp, POB 7051, Kampala, Uganda</t>
  </si>
  <si>
    <t xml:space="preserve">Makerere University; Mulago National Referral Hospital</t>
  </si>
  <si>
    <t xml:space="preserve">Nakasi, R (corresponding author), Makerere Univ, POB 7062, Kampala, Uganda.</t>
  </si>
  <si>
    <t xml:space="preserve">rose.nakasi@mak.ac.ug</t>
  </si>
  <si>
    <t xml:space="preserve">Nakatumba-Nabende, Joyce/0000-0002-0108-3798</t>
  </si>
  <si>
    <t xml:space="preserve">Lacuna Fund [10328-S-003]; Makerere Directorate of Graduate Studies [MAK/DVCAA/156/2022]</t>
  </si>
  <si>
    <t xml:space="preserve">Lacuna Fund; Makerere Directorate of Graduate Studies</t>
  </si>
  <si>
    <t xml:space="preserve">We would like to thank Robert Tugume and Vincent Wadda from the Mulago and Kiruddu Hospitals for the support on data collection and annotation, Dr Alfred Andama for data validation and Jane Nalunga for the data collection coordination. A special thank you to our collab-orating institutions of Mulago Referral Hospital and Kiruddu Hospital in Uganda for providing the data. The work is funded by a sub-grant from Lacuna Fund No. 10328-S-003 between the Makerere Artificial Intelligence Lab and MinoHealth AI Ltd from Ghana as well as support from the Makerere Directorate of Graduate Studies under the Carnegie funded fellowship with Fund NO. MAK/DVCAA/156/2022 .</t>
  </si>
  <si>
    <t xml:space="preserve">2352-3409</t>
  </si>
  <si>
    <t xml:space="preserve">DATA BRIEF</t>
  </si>
  <si>
    <t xml:space="preserve">Data Brief</t>
  </si>
  <si>
    <t xml:space="preserve">10.1016/j.dib.2024.111190</t>
  </si>
  <si>
    <t xml:space="preserve">R4I5I</t>
  </si>
  <si>
    <t xml:space="preserve">WOS:001391105800001</t>
  </si>
  <si>
    <t xml:space="preserve">Rabello, JP; Cavalcante, PED; Leme, J; Dias, VAT; Barrence, FAC; Guardalini, LGD; Bernardino, TC; Nunes, R; Barros, IH; Tonso, A; Jorge, SAC; Núñez, EGF</t>
  </si>
  <si>
    <t xml:space="preserve">Rabello, Julia Publio; Cavalcante, Paulo Eduardo da Silva; Leme, Jaci; Dias, Vinicius Aragao Tejo; Barrence, Fernanda Angela Correia; Guardalini, Luis Giovani de Oliveira; Bernardino, Thaissa Consoni; Nunes, Robson; Barros, Iago Henrique; Tonso, Aldo; Jorge, Soraia Attie Calil; Nunez, Eutimio Gustavo Fernandez</t>
  </si>
  <si>
    <t xml:space="preserve">Chemometrics and analytical blank on the at-line monitoring of Zika-VLP production using near-infrared spectroscopy</t>
  </si>
  <si>
    <t xml:space="preserve">The Zika disease caused by the Zika virus was declared a Public Health Emergency by the World Health Union (WHO), with microcephaly as the most critical consequence. Aiming to reduce the spread of the virus, biopharmaceutical organizations invest in vaccine research and production, based on multiple platforms. A crescent vaccine production approach is based on virus-like particles (VLP), for not having genetic material in its composition, hypoallergenic and non-mutant character. For bioprocess, it is essential to have means of real-time monitoring, which can be assessed using process analysis techniques such as Near-infrared (NIR) spectroscopy, that can be combined with chemometric methods, like Partial-Least Squares (PLS) and Artificial Neural Networks (ANN) for prediction of biochemical variables. This work proposes a biochemical Zika VLP upstream production at-line monitoring model using NIR spectroscopy comparing sampling conditions (with or without cells), analytical blank (air, ultrapure water), and spectra pre-processing approaches. Seven experiments in a benchtop bioreactor using recombinant baculovirus/Sf9 Sf9 insect cell platform in serum-free medium were performed to obtain biochemical and spectral data for chemometrics modeling (PLS and ANN), composed by a random data split (80 % calibration, 20 % validation) for cross-validation of the PLS models and 70 % training, 15 % testing, 15 % validation for ANN. The best models generated in the present work presented an average absolute error of 1.59 x 105 5 cell/mL for density of viable cells, 2.37% for cell viability, 0.25 g/L for glucose, 0.007 g/L for lactate, 0.138 g/L for glutamine, 0.18 g/L for glutamate, 0,003 g/L for ammonium, and 0.014 g/L for potassium.</t>
  </si>
  <si>
    <t xml:space="preserve">SPECTROCHIMICA ACTA PART A-MOLECULAR AND BIOMOLECULAR SPECTROSCOPY</t>
  </si>
  <si>
    <t xml:space="preserve">PERGAMON-ELSEVIER SCIENCE LTD</t>
  </si>
  <si>
    <t xml:space="preserve">Artificial neural networks; Bioprocess monitoring; Near-infrared spectroscopy; Partial-least squares; Recombinant baculovirus; Sf9 insect cell; Virus-like particles; Zika virus</t>
  </si>
  <si>
    <t xml:space="preserve">OPTIMIZATION; GLUCOSE; DESIGN; TITER</t>
  </si>
  <si>
    <t xml:space="preserve">[Rabello, Julia Publio; Dias, Vinicius Aragao Tejo; Barrence, Fernanda Angela Correia; Nunez, Eutimio Gustavo Fernandez] Univ Sao Paulo, Lab Engn Bioproc, Escola Artes Ciencias &amp; Human EACH, Rua Arlindo Bettio, 1000, BR-03828000 Sao Paulo, SP, Brazil; [Cavalcante, Paulo Eduardo da Silva; Leme, Jaci; Guardalini, Luis Giovani de Oliveira; Bernardino, Thaissa Consoni; Jorge, Soraia Attie Calil] Inst Butantan, Lab Biotecnol Viral, Ave Vital Brasil 1500, BR-05503900 Sao Paulo, SP, Brazil; [Nunes, Robson; Barros, Iago Henrique] Grp Espectroscopia, Astro 34,Rua Belem,106 Jardim Vista Alegre, BR-06807340 Embu Das Artes, Brazil; [Tonso, Aldo] Univ Sao Paulo, Dept Engn Quim, Lab Celulas Anim, Escola Politecn, Ave Prof Luciano Gualberto,Travessa Politecn,380, BR-05508010 Sao Paulo, SP, Brazil</t>
  </si>
  <si>
    <t xml:space="preserve">Universidade de Sao Paulo; Instituto Butantan; Universidade de Sao Paulo</t>
  </si>
  <si>
    <t xml:space="preserve">Núñez, EGF (corresponding author), Univ Sao Paulo, Lab Engn Bioproc, Escola Artes Ciencias &amp; Human EACH, Rua Arlindo Bettio, 1000, BR-03828000 Sao Paulo, SP, Brazil.</t>
  </si>
  <si>
    <t xml:space="preserve">Jorge, Soraia/KHW-4586-2024; Tonso, Aldo/B-5645-2008</t>
  </si>
  <si>
    <t xml:space="preserve">Astro34-Brasil; Sao Paulo Research Foundation (FAPESP) [2022/02713-3, 2023/09463-5]; Butantan Foundation; Vinnova [2022-02713] Funding Source: Vinnova</t>
  </si>
  <si>
    <t xml:space="preserve">Astro34-Brasil; Sao Paulo Research Foundation (FAPESP)(Fundacao de Amparo a Pesquisa do Estado de Sao Paulo (FAPESP)); Butantan Foundation; Vinnova(Vinnova)</t>
  </si>
  <si>
    <t xml:space="preserve">This work was financially supported by Astro34-Brasil (Installation and temporary availability of NIR spectrometer and software) , the Sao Paulo Research Foundation (FAPESP) (grant no. 2022/02713-3 and Scientific initiation scholarship 2023/09463-5) , and Butantan Foundation.</t>
  </si>
  <si>
    <t xml:space="preserve">THE BOULEVARD, LANGFORD LANE, KIDLINGTON, OXFORD OX5 1GB, ENGLAND</t>
  </si>
  <si>
    <t xml:space="preserve">1386-1425</t>
  </si>
  <si>
    <t xml:space="preserve">1873-3557</t>
  </si>
  <si>
    <t xml:space="preserve">SPECTROCHIM ACTA A</t>
  </si>
  <si>
    <t xml:space="preserve">Spectroc. Acta Pt. A-Molec. Biomolec. Spectr.</t>
  </si>
  <si>
    <t xml:space="preserve">FEB 5</t>
  </si>
  <si>
    <t xml:space="preserve">10.1016/j.saa.2024.125217</t>
  </si>
  <si>
    <t xml:space="preserve">OCT 2024</t>
  </si>
  <si>
    <t xml:space="preserve">Spectroscopy</t>
  </si>
  <si>
    <t xml:space="preserve">J0E9V</t>
  </si>
  <si>
    <t xml:space="preserve">WOS:001333904000001</t>
  </si>
  <si>
    <t xml:space="preserve">Zheng, JX; Lu, SN; Li, Q; Li, YJ; Xue, JB; Gavana, T; Chaki, P; Xiao, N; Mlacha, Y; Wang, DQ; Zhou, XN</t>
  </si>
  <si>
    <t xml:space="preserve">Zheng, Jin-Xin; Lu, Shen-Ning; Li, Qin; Li, Yue-Jin; Xue, Jin-Bo; Gavana, Tegemeo; Chaki, Prosper; Xiao, Ning; Mlacha, Yeromin; Wang, Duo-Quan; Zhou, Xiao-Nong</t>
  </si>
  <si>
    <t xml:space="preserve">Deciphering the climate-malaria nexus: A machine learning approach in rural southeastern Tanzania</t>
  </si>
  <si>
    <t xml:space="preserve">Objectives: Malaria remains a critical public health challenge, especially in regions like southeastern Tanzania. Understanding the intricate relationship between environmental factors and malaria incidence is essential for effective control and elimination strategies. Study design: Cohort study. Methods: This cohort study, conducted between Jan 2016 and October 2021 across three districts in southeastern Tanzania, utilized advanced machine learning techniques, specifically the Extreme Gradient Boosting (XGBoost) model, to examine the impact of climate factors on malaria incidence. SHapley Additive exPlanations (SHAP) values were applied to interpret model predictions, highlighting the roles of normalized difference vegetation index (NDVI), temperature, and rainfall in shaping malaria transmission dynamics. Results: Analysis revealed considerable heterogeneity in malaria incidence across southeastern Tanzania, with Kibiti experiencing the highest number of cases (15,308) over the study period. Seasonal peaks corresponded with rainy periods, though incidence rates varied by district. Incorporating lagged climate variables and seasonal trends significantly improved forecast accuracy, with the one-month lag model achieving the lowest mean absolute error (MAE = 175.46) and root mean squared error (RMSE = 228.24). SHAP analysis identified seasonality (mean SHAP 29.6), followed by lagged temperature (13.8), rainfall (12.4), and NDVI (5.96), as the most influential factors, reflecting the biological underpinnings of malaria transmission. Conclusions: This study demonstrates the utility of machine learning and explainable SHAP in malaria epidemiology, providing a data-driven framework to guide targeted, climate-informed malaria control strategies. By capturing seasonal and climate-linked risks, these methods hold promise for enhancing public health planning and adaptive response in malaria-endemic regions.</t>
  </si>
  <si>
    <t xml:space="preserve">PUBLIC HEALTH</t>
  </si>
  <si>
    <t xml:space="preserve">W B SAUNDERS CO LTD</t>
  </si>
  <si>
    <t xml:space="preserve">Malaria; Climate predictors; Machine learning; XGBoost; Model interpretation</t>
  </si>
  <si>
    <t xml:space="preserve">DENGUE-FEVER; RISK; CHINA</t>
  </si>
  <si>
    <t xml:space="preserve">[Zheng, Jin-Xin; Zhou, Xiao-Nong] Shanghai Jiao Tong Univ, Sch Med, Chinese Ctr Trop Dis Res, Sch Global Hlth, Shanghai 200025, Peoples R China; [Zheng, Jin-Xin; Xue, Jin-Bo; Zhou, Xiao-Nong] Shanghai Jiao Tong Univ, One Hlth Ctr, Univ Edinburgh, Shanghai 200025, Peoples R China; [Lu, Shen-Ning; Li, Qin; Xiao, Ning; Wang, Duo-Quan; Zhou, Xiao-Nong] Natl Ctr Int Res Trop Dis, Chinese Ctr Trop Dis Res, WHO Collaborating Ctr Trop Dis, Natl Hlth Commiss ,Key Lab Parasite &amp; Vector Biol,, Shanghai 200025, Peoples R China; [Li, Yue-Jin] Shandong First Med Univ, Shandong Inst Parasit Dis, Jining 272033, Peoples R China; [Li, Yue-Jin] Shandong Acad Med Sci, Jining 272033, Peoples R China; [Gavana, Tegemeo; Chaki, Prosper; Mlacha, Yeromin] Ifakara Hlth Inst, Dar Es Salaam, Tanzania</t>
  </si>
  <si>
    <t xml:space="preserve">Shanghai Jiao Tong University; Shanghai Jiao Tong University; World Health Organization; Shanghai Center for Disease Control &amp; Prevention; Shandong First Medical University &amp; Shandong Academy of Medical Sciences; University of Jinan; Shandong First Medical University &amp; Shandong Academy of Medical Sciences; Ifakara Health Institute</t>
  </si>
  <si>
    <t xml:space="preserve">Wang, DQ; Zhou, XN (corresponding author), Natl Ctr Int Res Trop Dis, Chinese Ctr Trop Dis Res, WHO Collaborating Ctr Trop Dis, Natl Hlth Commiss ,Key Lab Parasite &amp; Vector Biol,, Shanghai 200025, Peoples R China.;Zhou, XN (corresponding author), Shanghai Jiao Tong Univ, Chinese Ctr Trop Dis Res, One Hlth Ctr, Sch Global Hlth,Sch Med, Shanghai 200025, Peoples R China.;Zhou, XN (corresponding author), Univ Edinburgh, Shanghai 200025, Peoples R China.</t>
  </si>
  <si>
    <t xml:space="preserve">wangdq@nipd.chinacdc.cn; zhouxn1@chinacdc.cn</t>
  </si>
  <si>
    <t xml:space="preserve">james, jin/JGM-2841-2023; Zhou, Xiao-Nong/MCJ-7560-2025</t>
  </si>
  <si>
    <t xml:space="preserve">/0000-0001-8879-7066</t>
  </si>
  <si>
    <t xml:space="preserve">China-Africa cooperation project on malaria control [2020-C4-0002-3]; Bill &amp; Melinda Gates Foundation [INV 018913, INV-009832]; Programme of the Chinese Center for Tropical Diseases Research [131031104000160004]</t>
  </si>
  <si>
    <t xml:space="preserve">China-Africa cooperation project on malaria control; Bill &amp; Melinda Gates Foundation(Bill &amp; Melinda Gates FoundationBill &amp; Melinda Gates Foundation Grand Challenges Explorations InitiativeCGIAR); Programme of the Chinese Center for Tropical Diseases Research</t>
  </si>
  <si>
    <t xml:space="preserve">This work was supported by China-Africa cooperation project on malaria control under the project (No. 2020-C4-0002-3) and the programme of the Chinese Center for Tropical Diseases Research (No. 131031104000160004) and Bill &amp; Melinda Gates Foundation: (No. INV 018913 and No, INV-009832) .</t>
  </si>
  <si>
    <t xml:space="preserve">32 JAMESTOWN RD, LONDON NW1 7BY, ENGLAND</t>
  </si>
  <si>
    <t xml:space="preserve">0033-3506</t>
  </si>
  <si>
    <t xml:space="preserve">1476-5616</t>
  </si>
  <si>
    <t xml:space="preserve">10.1016/j.puhe.2024.11.013</t>
  </si>
  <si>
    <t xml:space="preserve">P4G1K</t>
  </si>
  <si>
    <t xml:space="preserve">WOS:001377503700001</t>
  </si>
  <si>
    <t xml:space="preserve">Nagendra, S; Hayes, R; Bae, D; Dodge, K</t>
  </si>
  <si>
    <t xml:space="preserve">Nagendra, Sanjai; Hayes, Roxanna; Bae, Dayeong; Dodge, Krystin</t>
  </si>
  <si>
    <t xml:space="preserve">Diagnosis of Plasmodium infections using artificial intelligence techniques versus standard microscopy in a reference laboratory</t>
  </si>
  <si>
    <t xml:space="preserve">Diagnosing malaria using standard techniques is time-consuming. With limited staffing in many laboratories, this may lead to delays in reporting. Innovative technologies are changing the diagnostic landscape and may help alleviate staffingshortages. The miLab MAL, an automated artificial intelligence-driven instrument was compared with standard microscopy at LabCorp reference laboratories. Four hundred eight samples submitted for parasitic examination were prepared with thick and thin smears and Noul's malaria platform miLab MAL, and evaluated for positivity, negativity, percent positivity, and species identification. Of 408 samples, 399 samples were manually negative, while 397 were negative by miLab MAL. Two samples initially classified as negative manually were found positive by miLab MAL. In all nine cases, Plasmodium falciparum was identified by both methods. Percentage parasitemia was higher in the manually calculated method, especially when &gt;1%. miLab MAL was accurate in identifying the absence of Plasmodium falciparum and exhibited higher sensitivity than the manual method. All positive samples detected by microscopy were also identifiedwith miLab MAL. All positive Plasmodium cases were correctly identified by miLab MAL. However, the number of positive samples was limited to only Plasmodium falciparum. Although parasitemia by the manual method was on average six times higher than with miLab MAL, this may be due to sampling variability. The findings show that miLab MAL can be used to screen out negative Plasmodium falciparum samples. Further studies assessing parasitemia between methods and identification of non-falciparum samples are necessary to assess the reliability of this new technology</t>
  </si>
  <si>
    <t xml:space="preserve">JOURNAL OF CLINICAL MICROBIOLOGY</t>
  </si>
  <si>
    <t xml:space="preserve">AMER SOC MICROBIOLOGY</t>
  </si>
  <si>
    <t xml:space="preserve">Plasmodium; diagnosis; artificial intelligence</t>
  </si>
  <si>
    <t xml:space="preserve">[Nagendra, Sanjai; Hayes, Roxanna; Dodge, Krystin] Labcorp, Burlington, NC 27215 USA; [Bae, Dayeong] Noul Co Ltd, Yongin, South Korea</t>
  </si>
  <si>
    <t xml:space="preserve">Nagendra, S (corresponding author), Labcorp, Burlington, NC 27215 USA.</t>
  </si>
  <si>
    <t xml:space="preserve">nagends@labcorp.com</t>
  </si>
  <si>
    <t xml:space="preserve">Bae, Dayeong/0009-0000-1168-1460</t>
  </si>
  <si>
    <t xml:space="preserve">WASHINGTON</t>
  </si>
  <si>
    <t xml:space="preserve">1752 N ST NW, WASHINGTON, DC 20036-2904 USA</t>
  </si>
  <si>
    <t xml:space="preserve">0095-1137</t>
  </si>
  <si>
    <t xml:space="preserve">1098-660X</t>
  </si>
  <si>
    <t xml:space="preserve">J CLIN MICROBIOL</t>
  </si>
  <si>
    <t xml:space="preserve">JAN 31</t>
  </si>
  <si>
    <t xml:space="preserve">10.1128/jcm.00775-24</t>
  </si>
  <si>
    <t xml:space="preserve">Microbiology</t>
  </si>
  <si>
    <t xml:space="preserve">U8D4O</t>
  </si>
  <si>
    <t xml:space="preserve">WOS:001374577900001</t>
  </si>
  <si>
    <t xml:space="preserve">Sora-Cardenas, J; Fong-Amaris, WM; Salazar-Centeno, CA; Castañeda, A; Martínez-Bernal, OD; Suárez, DR; Martínez, C</t>
  </si>
  <si>
    <t xml:space="preserve">Sora-Cardenas, Jhonathan; Fong-Amaris, Wendy M.; Salazar-Centeno, Cesar A.; Castaneda, Alejandro; Martinez-Bernal, Oscar D.; Suarez, Daniel R.; Martinez, Carol</t>
  </si>
  <si>
    <t xml:space="preserve">Image-Based Detection and Classification of Malaria Parasites and Leukocytes with Quality Assessment of Romanowsky-Stained Blood Smears</t>
  </si>
  <si>
    <t xml:space="preserve">Malaria remains a global health concern, with 249 million cases and 608,000 deaths being reported by the WHO in 2022. Traditional diagnostic methods often struggle with inconsistent stain quality, lighting variations, and limited resources in endemic regions, making manual detection time-intensive and error-prone. This study introduces an automated system for analyzing Romanowsky-stained thick blood smears, focusing on image quality evaluation, leukocyte detection, and malaria parasite classification. Using a dataset of 1000 clinically diagnosed images, we applied feature extraction techniques, including histogram bins and texture analysis with the gray level co-occurrence matrix (GLCM), alongside support vector machines (SVMs), for image quality assessment. Leukocyte detection employed optimal thresholding segmentation utility (OTSU) thresholding, binary masking, and erosion, followed by the connected components algorithm. Parasite detection used high-intensity region selection and adaptive bounding boxes, followed by a custom convolutional neural network (CNN) for candidate identification. A second CNN classified parasites into trophozoites, schizonts, and gametocytes. The system achieved an F1-score of 95% for image quality evaluation, 88.92% for leukocyte detection, and 82.10% for parasite detection. The F1-score-a metric balancing precision (correctly identified positives) and recall (correctly detected instances out of actual positives)-is especially valuable for assessing models on imbalanced datasets. In parasite stage classification, CNN achieved F1-scores of 85% for trophozoites, 88% for schizonts, and 83% for gametocytes. This study introduces a robust and scalable automated system that addresses critical challenges in malaria diagnosis by integrating advanced image quality assessment and deep learning techniques for parasite detection and classification. This system's adaptability to low-resource settings underscores its potential to improve malaria diagnostics globally.</t>
  </si>
  <si>
    <t xml:space="preserve">SENSORS</t>
  </si>
  <si>
    <t xml:space="preserve">malaria diagnosis; thick blood smears; image processing; support vector machines; convolutional neural networks; deep learning</t>
  </si>
  <si>
    <t xml:space="preserve">[Sora-Cardenas, Jhonathan; Fong-Amaris, Wendy M.; Salazar-Centeno, Cesar A.; Castaneda, Alejandro; Martinez-Bernal, Oscar D.; Suarez, Daniel R.] Pontificia Univ Javeriana, Dept Matemat, Bogota 110311, Colombia; [Fong-Amaris, Wendy M.] Univ Fed Para, Programa Doutorado Biotecnol, BR-66075110 Belem, Brazil; [Castaneda, Alejandro] Delft Univ Technol, Comp Vis Lab, NL-2628 XE Delft, Netherlands; [Martinez, Carol] Univ Luxembourg, Interdisciplinary Ctr Secur Reliabil &amp; Trust SnT, Space Robot Res Grp SpaceR, L-1855 Luxembourg, Luxembourg</t>
  </si>
  <si>
    <t xml:space="preserve">Pontificia Universidad Javeriana; Universidade Federal do Para; Delft University of Technology; University of Luxembourg</t>
  </si>
  <si>
    <t xml:space="preserve">Suárez, DR (corresponding author), Pontificia Univ Javeriana, Dept Matemat, Bogota 110311, Colombia.</t>
  </si>
  <si>
    <t xml:space="preserve">j_sora@javeriana.edu.co; wendy.amaris@icb.ufpa.br; d-suarez@javeriana.edu.co; carol.martinezluna@uni.lu</t>
  </si>
  <si>
    <t xml:space="preserve">; Suarez, Daniel R./HTS-9621-2023</t>
  </si>
  <si>
    <t xml:space="preserve">Fong Amaris, Wendy Marcela/0000-0001-7185-9478; Suarez, Daniel R./0000-0001-6264-2250; MARTINEZ LUNA, CAROL/0000-0003-3040-6119; Sora Cardenas, Jhonathan/0000-0003-2285-9441</t>
  </si>
  <si>
    <t xml:space="preserve">Pontificia Universidad Javeriana; Facebook Inc. [3418118842]; Pontificia Universidad Javeriana [PPTA 9053, PRY 9411]</t>
  </si>
  <si>
    <t xml:space="preserve">Pontificia Universidad Javeriana; Facebook Inc.(Facebook Inc); Pontificia Universidad Javeriana</t>
  </si>
  <si>
    <t xml:space="preserve">This project received partial funding from the M.Sc. program in Bioengineering at Pontificia Universidad Javeriana. Additionally, Facebook Inc. provided funding through the CV4GC RFP Research Award Winner 3418118842, with Pontificia Universidad Javeriana ID PPTA 9053 and ID PRY 9411. However, the funders had no role in the design of the study, data collection and analysis, decision to publish, or manuscript preparation. The authors affirm that this funding did not influence the research's objectivity or integrity.</t>
  </si>
  <si>
    <t xml:space="preserve">1424-8220</t>
  </si>
  <si>
    <t xml:space="preserve">SENSORS-BASEL</t>
  </si>
  <si>
    <t xml:space="preserve">Sensors</t>
  </si>
  <si>
    <t xml:space="preserve">10.3390/s25020390</t>
  </si>
  <si>
    <t xml:space="preserve">Chemistry, Analytical; Engineering, Electrical &amp; Electronic; Instruments &amp; Instrumentation</t>
  </si>
  <si>
    <t xml:space="preserve">Chemistry; Engineering; Instruments &amp; Instrumentation</t>
  </si>
  <si>
    <t xml:space="preserve">T5B2Q</t>
  </si>
  <si>
    <t xml:space="preserve">WOS:001405150500001</t>
  </si>
  <si>
    <t xml:space="preserve">Berenji, F; Sangani, GS; Salari, R; Bagherpoor, MR; Faregi, MA; Bazaz, MM; Sadabadi, F; Poustchi, E; Farash, BRH</t>
  </si>
  <si>
    <t xml:space="preserve">Berenji, Fariba; Sangani, Ghodratollah Salehi; Salari, Rooshanak; Bagherpoor, Mohammad Reza; Faregi, Mohaddeseh Askari; Bazaz, Mojtaba Mousavi; Sadabadi, Fatemeh; Poustchi, Elham; Farash, Bibi Razieh Hosseini</t>
  </si>
  <si>
    <t xml:space="preserve">In vitro and ex vivo evaluation of hydroalcoholic tobacco leaf extract as an anti-leishmanial agent against Leishmania major: A comparative study with Glucantime</t>
  </si>
  <si>
    <t xml:space="preserve">Background: Leishmaniasis, caused by protozoa of the genus Leishmania, remains a significant public health challenge, with Leishmania major as a predominant species in cutaneous leishmaniasis in Iran. Conventional treatments, including Glucantime, are hindered by drug resistance and adverse effects, highlighting the need for effective natural alternatives. This study investigates the in vitro and ex vivo anti-leishmanial effects of hydroalcoholic tobacco leaf extract (Nicotiana tabacum) against L. major. Methods: A 70 % hydroalcoholic extract of tobacco leaves was prepared and tested at concentrations of 12.5, 50, 100, and 200 mg/mL. In vitro assays evaluated promastigote mortality, while ex vivo assays assessed macrophage infection rates. Glucantime served as the positive control. Evaluations were conducted at 24, 48, and 72 h, with data analyzed using one-way ANOVA and Tukey's post-hoc test. Results: The tobacco extract demonstrated a dose- and time-dependent reduction in promastigote mortality and amastigote infection rates. At 200 mg/mL, its efficacy was comparable to 100 mg/mL Glucantime, particularly after 72 h. Higher extract concentrations significantly reduced both parasite viability and macrophage infection rates, suggesting its potential as a potent anti-leishmanial agent. Conclusion: Hydroalcoholic tobacco leaf extract shows promising anti-leishmanial activity in vitro and ex vivo, suggesting its potential as a natural alternative to conventional treatments like Glucantime. Further in vivo studies are needed to confirm these findings and explore its use in leishmaniasis therapy, particularly in cases of drug resistance. (c) 2024 SAAB. Published by Elsevier B.V. All rights are reserved, including those for text and data mining, AI training, and similar technologies.</t>
  </si>
  <si>
    <t xml:space="preserve">SOUTH AFRICAN JOURNAL OF BOTANY</t>
  </si>
  <si>
    <t xml:space="preserve">Leishmania major; Hydroalcoholic extract; Nicotiana tabacum; Promastigote mortality; Macrophage infection; Drug resistance</t>
  </si>
  <si>
    <t xml:space="preserve">[Berenji, Fariba; Sangani, Ghodratollah Salehi; Bagherpoor, Mohammad Reza; Poustchi, Elham; Farash, Bibi Razieh Hosseini] Mashhad Univ Med Sci, Sch Med, Dept Parasitol &amp; Mycol, Mashhad, Iran; [Sangani, Ghodratollah Salehi; Salari, Rooshanak; Sadabadi, Fatemeh; Farash, Bibi Razieh Hosseini] Mashhad Univ Med Sci, Cutaneous Leishmania Res Ctr, Mashhad, Iran; [Faregi, Mohaddeseh Askari] Mashhad Univ Med Sci, Med MD, Mashhad, Iran; [Bazaz, Mojtaba Mousavi] Mashhad Univ Med Sci, Dept Community Med, Mashhad, Iran</t>
  </si>
  <si>
    <t xml:space="preserve">Mashhad University of Medical Sciences; Mashhad University of Medical Sciences; Mashhad University of Medical Sciences; Mashhad University of Medical Sciences</t>
  </si>
  <si>
    <t xml:space="preserve">Farash, BRH (corresponding author), Mashhad Univ Med Sci, Fac Med, Cutaneous Leishmania Res Ctr, Dept Parasitol &amp; Mycol, Mashhad 9177899191, Iran.</t>
  </si>
  <si>
    <t xml:space="preserve">hoseinifr@mums.ac.ir</t>
  </si>
  <si>
    <t xml:space="preserve">Berenji, Fariba/O-6774-2018</t>
  </si>
  <si>
    <t xml:space="preserve">Hosseini Farash, Bibi Razieh/0000-0003-2748-9435</t>
  </si>
  <si>
    <t xml:space="preserve">Vice Chancellor for Research at Mashhad University of Medical Sciences [991675]</t>
  </si>
  <si>
    <t xml:space="preserve">Vice Chancellor for Research at Mashhad University of Medical Sciences(Isfahan University of Medical SciencesMazandaran University of Medical Sciences)</t>
  </si>
  <si>
    <t xml:space="preserve">This study was part of a general medical dissertation at Mashhad University of Medical Sciences. The authors would like to express their gratitude to the Vice Chancellor for Research at Mashhad Uni-versity of Medical Sciences for supporting this research under project number 991675.</t>
  </si>
  <si>
    <t xml:space="preserve">0254-6299</t>
  </si>
  <si>
    <t xml:space="preserve">1727-9321</t>
  </si>
  <si>
    <t xml:space="preserve">S AFR J BOT</t>
  </si>
  <si>
    <t xml:space="preserve">S. Afr. J. Bot.</t>
  </si>
  <si>
    <t xml:space="preserve">10.1016/j.sajb.2024.12.031</t>
  </si>
  <si>
    <t xml:space="preserve">Plant Sciences</t>
  </si>
  <si>
    <t xml:space="preserve">R4R5M</t>
  </si>
  <si>
    <t xml:space="preserve">WOS:001391341000001</t>
  </si>
  <si>
    <t xml:space="preserve">Muhammad, FA; Sudirman, R; Zakaria, NA</t>
  </si>
  <si>
    <t xml:space="preserve">Muhammad, Fatima Abdullahi; Sudirman, Rubita; Zakaria, Nor Aini</t>
  </si>
  <si>
    <t xml:space="preserve">Malaria parasite detection in Red Blood Cells with rouleaux formation morphology using YOLOv9</t>
  </si>
  <si>
    <t xml:space="preserve">Malaria is endemic in poverty-stricken regions of the world, and most diagnosis reveal comorbidity with other infectious diseases some of which manifest as a deformity of the structural arrangement of the Red Blood Cells (RBCs) during thin blood smear microscopy. This common occurring deformity is termed rouleaux formation, and it is the stacking together of RBCs like chains of coins. The presence of rouleaux formation indicates either a bacterial infection, connective tissue disease, chronic liver disease, multiple myeloma or diabetes among others, it is a highly common occurrence in malaria infected patients and according to the international council for standardization of hematology (ICSH), microscopists are mandated to report its presence. Hence to develop unbiased automated malaria diagnostic systems capable of being deployed in malaria endemic regions, these systems need to be capable of identifying rouleaux formation and detecting malaria parasite within such type of RBC. Thus, this study developed a thin blood smear dataset with rouleaux formation RBCs infected with two species of malaria parasite: plasmodium falciparum and plasmodium malariae. YOLOv9s architecture was used to benchmark the dataset for the detection of plasmodium parasites and white blood cells in the developed dataset. Comparing the effect of using pretrained weights, YOLOv9s trained from scratch achieved a Precision, Recall and mAP50 of 75.4 %, 76.6 % and 80.3 % while YOLOv9s pretrained on the MS COCO dataset recorded an improvement in performance metrics with an increase in Precision by 0.4 %, an increase in Recall by 5.4 % and an increase in mAP50 by 2.5 %</t>
  </si>
  <si>
    <t xml:space="preserve">TISSUE &amp; CELL</t>
  </si>
  <si>
    <t xml:space="preserve">CHURCHILL LIVINGSTONE</t>
  </si>
  <si>
    <t xml:space="preserve">Deep Learning; Object detection; Infectious disease; Malaria parasites; Red blood cells; Rouleaux formation morphology; Thin blood smear microscopy</t>
  </si>
  <si>
    <t xml:space="preserve">[Muhammad, Fatima Abdullahi; Sudirman, Rubita; Zakaria, Nor Aini] Univ Teknol Malaysia, Fac Elect Engn, Dept Elect &amp; Comp Engn, Johor Baharu 81310, Johor, Malaysia; [Muhammad, Fatima Abdullahi] Bayero Univ Kano, Fac Engn, Dept Mechatron Engn, PMB 3011, Kano, Nigeria</t>
  </si>
  <si>
    <t xml:space="preserve">Universiti Teknologi Malaysia; Bayero University</t>
  </si>
  <si>
    <t xml:space="preserve">Muhammad, FA (corresponding author), Univ Teknol Malaysia, Johor Baharu, Malaysia.</t>
  </si>
  <si>
    <t xml:space="preserve">mfatima@graduate.utm.my</t>
  </si>
  <si>
    <t xml:space="preserve">Sudirman, Rubita/G-1108-2012</t>
  </si>
  <si>
    <t xml:space="preserve">Muhammad, Fatima Abdullahi/0000-0002-0963-6043</t>
  </si>
  <si>
    <t xml:space="preserve">Tertiary Education Trust Fund [TETF/ES/UNIV/KANO/TSAS/2019]</t>
  </si>
  <si>
    <t xml:space="preserve">Tertiary Education Trust Fund</t>
  </si>
  <si>
    <t xml:space="preserve">This research was funded by the Tertiary Education Trust Fund, grant number TETF/ES/UNIV/KANO/TSAS/2019.</t>
  </si>
  <si>
    <t xml:space="preserve">EDINBURGH</t>
  </si>
  <si>
    <t xml:space="preserve">JOURNAL PRODUCTION DEPT, ROBERT STEVENSON HOUSE, 1-3 BAXTERS PLACE, LEITH WALK, EDINBURGH EH1 3AF, MIDLOTHIAN, SCOTLAND</t>
  </si>
  <si>
    <t xml:space="preserve">0040-8166</t>
  </si>
  <si>
    <t xml:space="preserve">TISSUE CELL</t>
  </si>
  <si>
    <t xml:space="preserve">Tissue Cell</t>
  </si>
  <si>
    <t xml:space="preserve">10.1016/j.tice.2024.102677</t>
  </si>
  <si>
    <t xml:space="preserve">Anatomy &amp; Morphology; Cell Biology</t>
  </si>
  <si>
    <t xml:space="preserve">R8V2X</t>
  </si>
  <si>
    <t xml:space="preserve">WOS:001394149100001</t>
  </si>
  <si>
    <t xml:space="preserve">Muhammad, FA; Sudirman, R; Zakaria, NA; Daud, SNSS</t>
  </si>
  <si>
    <t xml:space="preserve">Muhammad, Fatima Abdullahi; Sudirman, Rubita; Zakaria, Nor Aini; Daud, Syarifah Noor Syakiylla Sayed</t>
  </si>
  <si>
    <t xml:space="preserve">Morphology classification of malaria infected red blood cells using deep learning techniques</t>
  </si>
  <si>
    <t xml:space="preserve">Malaria is an endemic disease that causes great harm to children and pregnant women. Without early and proper diagnosis, it leads to organ failure, coma and eventually death. The gold standard technique of diagnosing malaria is the thick and thin blood smear microscopy which entails the visual inspection of a blood smear slide under a microscope for detecting malaria parasites which inhibit the red blood cells (RBC). This technique is highly subjective, tedious and time consuming, it also requires expert skill in malaria microscopy which is highly lacking in malaria endemic regions. To tackle these drawbacks, a lot of studies have automated the process using Artificial Intelligence, but these systems focus on the detection of malaria parasites only. Clinical microscopy for diagnosing malaria goes beyond detecting parasites in blood smears, other abnormalities seen by the microscopists are recorded as well. One such common abnormality is the rouleaux formation, which is the stacking of red blood cells like chains of coins, its presence indicates the presence of an infection. To develop truly automated systems capable of being deployed in low resource settings, these systems need to be familiar with this highly common occurring deformity of the RBC morphology (Rouleaux formation). Hence this study developed a dataset of 12,356 750x750 pixel images of Rouleaux formation morphology and 12,356 750x750 pixel images of normal RBC morphology. Five different CNN architectures were trained and tested to benchmark the dataset for the binary classification of the dataset dataset with DenseNet121 achieving the highest accuracy of 99%.</t>
  </si>
  <si>
    <t xml:space="preserve">BIOMEDICAL SIGNAL PROCESSING AND CONTROL</t>
  </si>
  <si>
    <t xml:space="preserve">ELSEVIER SCI LTD</t>
  </si>
  <si>
    <t xml:space="preserve">Deep learning; Malaria parasites; Red blood cells; Rouleaux formation; Infectious disease; Convolutional neural network; Light microscopy; Thin blood smear</t>
  </si>
  <si>
    <t xml:space="preserve">IMAGE-ANALYSIS; ERYTHROCYTES; DIAGNOSIS</t>
  </si>
  <si>
    <t xml:space="preserve">[Muhammad, Fatima Abdullahi; Sudirman, Rubita; Zakaria, Nor Aini; Daud, Syarifah Noor Syakiylla Sayed] Univ Teknol Malaysia, Fac Elect Engn, Dept Elect &amp; Comp Engn, Utm Johor Baharu 81310, Johor, Malaysia; [Muhammad, Fatima Abdullahi] Bayero Univ Kano, Fac Engn, Dept Mechatron Engn, PMB 3011 Gwarzo Rd, Kano, Nigeria</t>
  </si>
  <si>
    <t xml:space="preserve">Muhammad, FA (corresponding author), Univ Teknol Malaysia, Fac Elect Engn, Dept Elect &amp; Comp Engn, Utm Johor Baharu 81310, Johor, Malaysia.;Muhammad, FA (corresponding author), Bayero Univ Kano, Fac Engn, Dept Mechatron Engn, PMB 3011 Gwarzo Rd, Kano, Nigeria.</t>
  </si>
  <si>
    <t xml:space="preserve">famuhammad.mct@buk.edu.ng</t>
  </si>
  <si>
    <t xml:space="preserve">This research was funded by the Tertiary Education Trust Fund, grant number TETF/ES/UNIV/KANO/TSAS/2019 ''. '' .</t>
  </si>
  <si>
    <t xml:space="preserve">125 London Wall, London, ENGLAND</t>
  </si>
  <si>
    <t xml:space="preserve">1746-8094</t>
  </si>
  <si>
    <t xml:space="preserve">1746-8108</t>
  </si>
  <si>
    <t xml:space="preserve">BIOMED SIGNAL PROCES</t>
  </si>
  <si>
    <t xml:space="preserve">10.1016/j.bspc.2024.106869</t>
  </si>
  <si>
    <t xml:space="preserve">SEP 2024</t>
  </si>
  <si>
    <t xml:space="preserve">Engineering, Biomedical</t>
  </si>
  <si>
    <t xml:space="preserve">Engineering</t>
  </si>
  <si>
    <t xml:space="preserve">H1Q7J</t>
  </si>
  <si>
    <t xml:space="preserve">WOS:001321260400001</t>
  </si>
  <si>
    <t xml:space="preserve">Coro, F; Mangano, V; Ahluwalia, A; De Maria, C</t>
  </si>
  <si>
    <t xml:space="preserve">Coro, Florinda; Mangano, Valentina; Ahluwalia, Arti; De Maria, Carmelo</t>
  </si>
  <si>
    <t xml:space="preserve">Open-source toolkit for image acquisition and quality assessment of thin blood smears for malaria diagnosis</t>
  </si>
  <si>
    <t xml:space="preserve">Malaria is a disease caused by blood infection with Plasmodium parasites imposing a heavy toll on global public health. The gold standard diagnostic method is the microscopy analysis of a blood smear, but the method is difficult to implement in low-resource settings due to the lack of equipment and skilled personnel. In this paper, an open-source image acquisition tool is presented in combination with a pipeline for image analysis of thin blood smears to assess sample quality, a critical aspect of the preparatory procedure which is often overlooked. Quantitative parameters on red blood cell morphology and distribution were extracted and correlated with the quality of the thin blood smear. Images acquired from healthy donor samples were used to test the pipeline. The pipeline proved capable of correctly extracting sample quality parameters and will be used in future developments as the basis for an artificial intelligence algorithm for an automatic classification between samples of low and high quality in diagnosis process.</t>
  </si>
  <si>
    <t xml:space="preserve">Malaria; Diagnosis; Microscopy; Point-of-care; Open-source; Blood smear</t>
  </si>
  <si>
    <t xml:space="preserve">[Coro, Florinda; Ahluwalia, Arti; De Maria, Carmelo] Univ Pisa, Dept Informat Engn, Pisa, Italy; [Coro, Florinda; Ahluwalia, Arti; De Maria, Carmelo] Univ Pisa, Res Ctr E Piaggio, Pisa, Italy; [Mangano, Valentina] Univ Pisa, Dept Translat Res &amp; New Technol Med, Pisa, Italy; [Ahluwalia, Arti; De Maria, Carmelo] Ubora Assoc, Pisa, Italy</t>
  </si>
  <si>
    <t xml:space="preserve">University of Pisa; University of Pisa; University of Pisa</t>
  </si>
  <si>
    <t xml:space="preserve">De Maria, C (corresponding author), Univ Pisa, Dept Informat Engn, Pisa, Italy.;De Maria, C (corresponding author), Univ Pisa, Res Ctr E Piaggio, Pisa, Italy.;De Maria, C (corresponding author), Ubora Assoc, Pisa, Italy.</t>
  </si>
  <si>
    <t xml:space="preserve">carmelo.demaria@unipi.it</t>
  </si>
  <si>
    <t xml:space="preserve">Coro, Florinda/0000-0002-2529-9710</t>
  </si>
  <si>
    <t xml:space="preserve">European Union-Next-GenerationEU-National Recovery and Resilience Plan [3.4-T4, TNE23-00079, CUP: C84C24000190006]</t>
  </si>
  <si>
    <t xml:space="preserve">European Union-Next-GenerationEU-National Recovery and Resilience Plan</t>
  </si>
  <si>
    <t xml:space="preserve">This study have been partially supported by the European Union-Next-GenerationEU-National Recovery and Resilience Plan - Mission 4 Component 1, investment n. 3.4-T4 under the project Afya Moja - Health Technology: from capacity building to capacity strengthening (TNE23-00079) (CUP: C84C24000190006).</t>
  </si>
  <si>
    <t xml:space="preserve">10.1016/j.bspc.2024.107470</t>
  </si>
  <si>
    <t xml:space="preserve">S9T0W</t>
  </si>
  <si>
    <t xml:space="preserve">WOS:001401546200001</t>
  </si>
  <si>
    <t xml:space="preserve">Donizette, AC; Rocco, CD; de Queiroz, TA</t>
  </si>
  <si>
    <t xml:space="preserve">Donizette, Andre Cintas; Rocco, Cleber Damiao; de Queiroz, Thiago Alves</t>
  </si>
  <si>
    <t xml:space="preserve">Predicting leishmaniasis outbreaks in Brazil using machine learning models based on disease surveillance and meteorological data</t>
  </si>
  <si>
    <t xml:space="preserve">Leishmaniasis poses a significant global health concern due to the absence of vaccines for humans and high infection rates in some countries. It is classified as a neglected tropical disease. In 2022, roughly 85% of global visceral leishmaniasis cases were reported in seven countries: Brazil, Ethiopia, India, Kenya, Somalia, South Sudan, and Sudan. Despite Brazil's advanced medical capabilities compared to other affected regions, certain areas still witness a significant number of cases, prompting increased attention from researchers and raising concerns within the healthcare system. This study explores the application of artificial intelligence algorithms, particularly machine learning (ML) models to predict leishmaniasis outbreaks in selected Brazilian cities based on accumulated cases from 2007 to 2022, leveraging available meteorological data to enhance model accuracy. Our investigation concentrated on the following cities in Brazil: Fortaleza/CE, Teresina/PI, and S &amp; atilde;o Luis/MA were chosen for the study of visceral leishmaniasis, whereas Manaus/AM, Rio Branco/AC, and Macap &amp; aacute;/AP were selected for the study of tegumentary leishmaniasis, encompassing both cutaneous and mucocutaneous forms. Several Artificial Neural Network (ANN) architectures were evaluated, including a Simple Feedforward Neural Network (SFNN), a Deep Feedforward Neural Network (DFNN), and a Long Short-Term Memory (LSTM) recurrent neural network. Additionally, the Support Vector Machine (SVM), specifically the Support Vector Regression (SVR), was tested. Various metrics were used to identify the most effective models, in which the Root Mean Squared Error (RMSE) was the primary one. The results highlight the significance of meteorological data as a crucial factor in ML models for predicting leishmaniasis outbreaks, while also emphasizing the importance of fine-tuning these models to achieve greater accuracy. Finally, data and the pseudo-code of the models are accessible through an open repository to encourage further studies in this area.</t>
  </si>
  <si>
    <t xml:space="preserve">OPERATIONS RESEARCH FOR HEALTH CARE</t>
  </si>
  <si>
    <t xml:space="preserve">Leishmaniasis; Outbreak prediction; Machine learning; Artificial neural network; Support vector machine</t>
  </si>
  <si>
    <t xml:space="preserve">VISCERAL LEISHMANIASIS; COST</t>
  </si>
  <si>
    <t xml:space="preserve">[Donizette, Andre Cintas] Univ Estadual Campinas, Inst Math Stat &amp; Sci Comp, BR-13083592 Campinas, SP, Brazil; [Rocco, Cleber Damiao] Univ Estadual Campinas, Sch Appl Sci, BR-13484350 Limeira, SP, Brazil; [de Queiroz, Thiago Alves] Univ Fed Catalao, Inst Math &amp; Technol, BR-75704020 Catalao, Go, Brazil</t>
  </si>
  <si>
    <t xml:space="preserve">Universidade Estadual de Campinas; Universidade Estadual de Campinas</t>
  </si>
  <si>
    <t xml:space="preserve">Rocco, CD (corresponding author), Univ Estadual Campinas, Sch Appl Sci, BR-13484350 Limeira, SP, Brazil.</t>
  </si>
  <si>
    <t xml:space="preserve">cdrocco@unicamp.br</t>
  </si>
  <si>
    <t xml:space="preserve">Rocco, Cleber/J-2160-2012; de A. Queiroz, Thiago/I-7521-2012</t>
  </si>
  <si>
    <t xml:space="preserve">Rocco, Cleber/0000-0002-7988-6136</t>
  </si>
  <si>
    <t xml:space="preserve">National Council for Scientific and Technological Development, Brazil (CNPq) [408722/2023-1, 315555/2023-8]; Fundacao de Desenvolvimento da Unicamp, Brazil [2533/23]; State of Sao Paulo Research Foundation, Brazil (FAPESP) [23/04285-1]; [402669/2023-1]</t>
  </si>
  <si>
    <t xml:space="preserve">National Council for Scientific and Technological Development, Brazil (CNPq)(Conselho Nacional de Desenvolvimento Cientifico e Tecnologico (CNPQ)); Fundacao de Desenvolvimento da Unicamp, Brazil; State of Sao Paulo Research Foundation, Brazil (FAPESP)(Fundacao de Amparo a Pesquisa do Estado de Sao Paulo (FAPESP));</t>
  </si>
  <si>
    <t xml:space="preserve">We acknowledge the National System of Information on Notifiable Diseases (SINAN) for providing the leishmaniasis data and the National Weather Institute (INMET) for the meteorological data. This study received financial support from the National Council for Scientific and Technological Development, Brazil (CNPq: 402669/2023-1, 408722/2023-1, and 315555/2023-8), the Fundacao de Desenvolvimento da Unicamp, Brazil (Funcamp, Faepex PIND: 2533/23), and the State of Sao Paulo Research Foundation, Brazil (FAPESP: 23/04285-1). Finally, we thank the editor-in-chief for processing our article, the two reviewers for their valuable suggestions, and the journal manager for the careful editing.</t>
  </si>
  <si>
    <t xml:space="preserve">2211-6923</t>
  </si>
  <si>
    <t xml:space="preserve">OPER RES HEALTH CARE</t>
  </si>
  <si>
    <t xml:space="preserve">OPER. RES. HEALTH CARE</t>
  </si>
  <si>
    <t xml:space="preserve">10.1016/j.orhc.2024.100453</t>
  </si>
  <si>
    <t xml:space="preserve">NOV 2024</t>
  </si>
  <si>
    <t xml:space="preserve">Health Care Sciences &amp; Services</t>
  </si>
  <si>
    <t xml:space="preserve">O1X1L</t>
  </si>
  <si>
    <t xml:space="preserve">WOS:001369132600001</t>
  </si>
  <si>
    <t xml:space="preserve">Carvalho, BM; Maia, C; Courtenay, O; Llabrés-Brustenga, A; Batista, M; Moirano, G; van Daalen, KR; Semenza, JC; Lowe, R</t>
  </si>
  <si>
    <t xml:space="preserve">Carvalho, Bruno M.; Maia, Carla; Courtenay, Orin; Llabres-Brustenga, Alba; Lotto Batista, Martin; Moirano, Giovenale; van Daalen, Kim R.; Semenza, Jan C.; Lowe, Rachel</t>
  </si>
  <si>
    <t xml:space="preserve">A climatic suitability indicator to support Leishmania infantum surveillance in Europe: a modelling study</t>
  </si>
  <si>
    <t xml:space="preserve">Background Leishmaniases are neglected diseases transmitted by sand fl ies. They disproportionately affect vulnerable groups globally. Understanding the relationship between climate and disease transmission allows the development of relevant decision-support tools for public health policy and surveillance. The aim of this modelling study was to develop an indicator that tracks climatic suitability for Leishmania infantum transmission in Europe at the subnational level. Methods Historical records of sand fl y vectors, human leishmaniasis, bioclimatic indicators, and environmental variables were integrated in a machine learning framework (XGBoost) to predict suitability in two past periods (2001-2010 - 2010 and 2011-2020). - 2020). We further assessed if predictions were associated with human and animal disease data from selected countries (France, Greece, Italy, Portugal, and Spain). Findings An increase in the number of climatically suitable regions for leishmaniasis was detected, especially in southern and eastern countries, coupled with a northward expansion towards central Europe. The fi nal model had excellent predictive ability (AUC = 0.970 [0.947-0.993]), - 0.993]), and the suitability predictions were positively associated with human leishmaniasis incidence and canine seroprevalence for Leishmania. . Interpretation This study demonstrates how key epidemiological data can be combined with open-source climatic and environmental information to develop an indicator that effectively tracks spatiotemporal changes in climatic suitability and disease risk. The positive association between the model predictions and human disease incidence demonstrates that this indicator could help target leishmaniasis surveillance to transmission hotspots.</t>
  </si>
  <si>
    <t xml:space="preserve">LANCET REGIONAL HEALTH-EUROPE</t>
  </si>
  <si>
    <t xml:space="preserve">Leishmaniasis; Climate change; Infectious diseases; Machine learning; Indicator</t>
  </si>
  <si>
    <t xml:space="preserve">[Carvalho, Bruno M.; Llabres-Brustenga, Alba; Lotto Batista, Martin; Moirano, Giovenale; van Daalen, Kim R.; Lowe, Rachel] Barcelona Supercomp Ctr BSC, Placa Eusebi Guell 1-3, Barcelona 08034, Spain; [Maia, Carla] Univ NOVA Lisboa, Associate Lab Translat &amp; Innovat Global Hlth, Global Hlth &amp; Trop Med, Inst Higiene &amp; Med Trop, Lisbon, Portugal; [Courtenay, Orin] Univ Warwick, Zeeman Inst, Coventry, England; [Courtenay, Orin] Univ Warwick, Sch Life Sci, Coventry, England; [van Daalen, Kim R.] Univ Cambridge, British Heart Fdn Cardiovasc Epidemiol Unit, Dept Publ Hlth &amp; Primary Care, Cambridge, England; [van Daalen, Kim R.] Univ Cambridge, Heart &amp; Lung Res Inst, Cambridge, England; [Semenza, Jan C.] Umea Univ, Dept Publ Hlth &amp; Clin Med, Sect Sustainable Hlth, Umea, Sweden; [Semenza, Jan C.] Heidelberg Univ, Heidelberg Inst Global Hlth, Heidelberg, Germany; [Lowe, Rachel] Catalan Inst Res &amp; Adv Studies ICREA, Barcelona, Spain; [Lowe, Rachel] London Sch Hygiene&amp; Trop Med, Ctr Climate Change &amp; Planetary Hlth, London, England; [Lowe, Rachel] London Sch Hygiene&amp; Trop Med, Ctr Math Modelling Infect Dis, London, England</t>
  </si>
  <si>
    <t xml:space="preserve">Universitat Politecnica de Catalunya; Barcelona Supercomputer Center (BSC-CNS); Universidade Nova de Lisboa; Institute of Hygiene &amp; Tropical Medicine - UNL; University of Warwick; University of Warwick; University of Cambridge; University of Cambridge; Umea University; Ruprecht Karls University Heidelberg; ICREA; University of London; London School of Hygiene &amp; Tropical Medicine; University of London; London School of Hygiene &amp; Tropical Medicine</t>
  </si>
  <si>
    <t xml:space="preserve">Carvalho, BM; Lowe, R (corresponding author), Barcelona Supercomp Ctr BSC, Placa Eusebi Guell 1-3, Barcelona 08034, Spain.</t>
  </si>
  <si>
    <t xml:space="preserve">bruno.carvalho@bsc.es; rachel.lowe@bsc.es</t>
  </si>
  <si>
    <t xml:space="preserve">Lowe, Rachel/H-1658-2015; Moirano, Giovenale/AAG-7126-2019; Carvalho, Bruno/G-9558-2013; Maia, Carla/I-6154-2012</t>
  </si>
  <si>
    <t xml:space="preserve">Lotto, Martin/0000-0002-9437-5270; Carvalho, Bruno/0000-0002-0009-5770; Maia, Carla/0000-0002-2545-7686</t>
  </si>
  <si>
    <t xml:space="preserve">European Union Horizon Europe Research and Innovation Programme (European Climate-Health Cluster) , United Kingdom Research and Innovation</t>
  </si>
  <si>
    <t xml:space="preserve">Funding European Union Horizon Europe Research and Innovation Programme (European Climate-Health Cluster) , United Kingdom Research and Innovation.</t>
  </si>
  <si>
    <t xml:space="preserve">2666-7762</t>
  </si>
  <si>
    <t xml:space="preserve">LANCET REG HEALTH-EU</t>
  </si>
  <si>
    <t xml:space="preserve">Lancet Reg. Health-Eur.</t>
  </si>
  <si>
    <t xml:space="preserve">10.1016/j.lanepe.2024.100971</t>
  </si>
  <si>
    <t xml:space="preserve">JUN 2024</t>
  </si>
  <si>
    <t xml:space="preserve">Health Care Sciences &amp; Services; Public, Environmental &amp; Occupational Health</t>
  </si>
  <si>
    <t xml:space="preserve">A2L4O</t>
  </si>
  <si>
    <t xml:space="preserve">WOS:001280895100001</t>
  </si>
  <si>
    <t xml:space="preserve">Akter, T; Islam, MT; Hossain, MF; Ullah, MS</t>
  </si>
  <si>
    <t xml:space="preserve">Akter, Tanzina; Islam, Md. Tanvirul; Hossain, Md. Farhad; Ullah, Mohammad Safi</t>
  </si>
  <si>
    <t xml:space="preserve">A Comparative Study between Time Series and Machine Learning Technique to Predict Dengue Fever in Dhaka City</t>
  </si>
  <si>
    <t xml:space="preserve">The dengue virus is the most dangerous one that mosquitoes may spread to people. Despite attempts by the government, dengue outbreaks are becoming increasingly common in Bangladesh. Interventions in public health rely heavily on KAP (knowledge, attitude, and practice) studies. The primary goal of this research is to forecast the occurrence of dengue disease in the city of Dhaka using methods from machine learning and time series analysis and then to compare the models in order to find the one with the lowest MAPE. From January 2016 through July 2021, monthly data were retrieved for this study from WHO and the Directorate General of Health and Services (DGHS). According to the findings of this research, neural networks outperform time series analysis when it comes to making predictions. The best-fitted neural network (NN) model was found in model 04 with 05 hidden layers which produced the minimum error model with the value of error 0.003032557, and the values of RMSE and MAPE are 7.588889e - 06 and 1.15273, respectively, for the prediction of the dengue fever in Dhaka city. In contrast, the original dengue data in the time series analysis is not stationary. Take the difference and run the unit root test by the augmented Dickey-Fuller (ADF) test to make it stationary. The dengue data series is stationary at the first-order difference, as evidenced by the ACF and PACF, which show no noticeable spike in the first-order difference. The ARIMA (6, 1, 1) model with the lowest AIC = -251.8, RMSE = 0.0310797, and MAPE = 15.2892 is the best choice model for predicting the dengue death rate. Therefore, from these two models, the NN model gives better prediction performance with the lowest value of MAPE. So, the neural network gives better prediction performance than time series analysis. The NN model forecasted 12-month death rates of dengue fever that suggest the death rate in dengue fever falling month by month. This study is more innovative than any other research because this research approach is different from any other research approach. The model selection criteria are based on the most effective performance metrics MAPE, indicating the lowest error and better prediction performance. Therefore, from this research, the author suggests machine learning gives better prediction performance than time series analysis for any other prediction performance.</t>
  </si>
  <si>
    <t xml:space="preserve">DISCRETE DYNAMICS IN NATURE AND SOCIETY</t>
  </si>
  <si>
    <t xml:space="preserve">[Akter, Tanzina; Islam, Md. Tanvirul; Hossain, Md. Farhad] Comilla Univ, Dept Stat, Cumilla 3506, Bangladesh; [Ullah, Mohammad Safi] Comilla Univ, Dept Math, Comilla 3506, Bangladesh</t>
  </si>
  <si>
    <t xml:space="preserve">Comilla University; Comilla University</t>
  </si>
  <si>
    <t xml:space="preserve">Ullah, MS (corresponding author), Comilla Univ, Dept Math, Comilla 3506, Bangladesh.</t>
  </si>
  <si>
    <t xml:space="preserve">tanzinacou21@gmail.com; saimonbafsk@gmail.com; farhad390ju@gmail.com; safi.ru1985@gmail.com</t>
  </si>
  <si>
    <t xml:space="preserve">Akter, Tanzina/ABG-6726-2021</t>
  </si>
  <si>
    <t xml:space="preserve">Ullah, Mohammad Safi/0000-0002-8889-7865; Akter, Tanzina/0009-0004-9189-0949</t>
  </si>
  <si>
    <t xml:space="preserve">1026-0226</t>
  </si>
  <si>
    <t xml:space="preserve">1607-887X</t>
  </si>
  <si>
    <t xml:space="preserve">DISCRETE DYN NAT SOC</t>
  </si>
  <si>
    <t xml:space="preserve">Discrete Dyn. Nat. Soc.</t>
  </si>
  <si>
    <t xml:space="preserve">MAY 9</t>
  </si>
  <si>
    <t xml:space="preserve">10.1155/2024/2757381</t>
  </si>
  <si>
    <t xml:space="preserve">Mathematics, Interdisciplinary Applications; Multidisciplinary Sciences</t>
  </si>
  <si>
    <t xml:space="preserve">Mathematics; Science &amp; Technology - Other Topics</t>
  </si>
  <si>
    <t xml:space="preserve">RH7I4</t>
  </si>
  <si>
    <t xml:space="preserve">WOS:001226835600001</t>
  </si>
  <si>
    <t xml:space="preserve">Ward, PK; Roose, S; Ayana, M; Broadfield, LA; Dahlberg, P; Kabatereine, N; Kazienga, A; Mekonnen, Z; Nabatte, B; Stuyver, L; Vande Velde, F; Van Hoecke, S; Levecke, B</t>
  </si>
  <si>
    <t xml:space="preserve">Ward, Peter K.; Roose, Sara; Ayana, Mio; Broadfield, Lindsay A.; Dahlberg, Peter; Kabatereine, Narcis; Kazienga, Adama; Mekonnen, Zeleke; Nabatte, Betty; Stuyver, Lieven; Vande Velde, Fiona; Van Hoecke, Sofie; Levecke, Bruno</t>
  </si>
  <si>
    <t xml:space="preserve">A comprehensive evaluation of an artificial intelligence based digital pathology to monitor large-scale deworming programs against soil-transmitted helminths: A study protocol</t>
  </si>
  <si>
    <t xml:space="preserve">Background Manual screening of a Kato-Katz (KK) thick stool smear remains the current standard to monitor the impact of large-scale deworming programs against soil-transmitted helminths (STHs). To improve this diagnostic standard, we recently designed an artificial intelligence based digital pathology system (AI-DP) for digital image capture and analysis of KK thick smears. Preliminary results of its diagnostic performance are encouraging, and a comprehensive evaluation of this technology as a cost-efficient end-to-end diagnostic to inform STH control programs against the target product profiles (TPP) of the World Health Organisation (WHO) is the next step for validation.Methods Here, we describe the study protocol for a comprehensive evaluation of the AI-DP based on its (i) diagnostic performance, (ii) repeatability/reproducibility, (iii) time-to-result, (iv) cost-efficiency to inform large-scale deworming programs, and (v) usability in both laboratory and field settings. For each of these five attributes, we designed separate experiments with sufficient power to verify the non-inferiority of the AI-DP (KK2.0) over the manual screening of the KK stool thick smears (KK1.0). These experiments will be conducted in two STH endemic countries with national deworming programs (Ethiopia and Uganda), focussing on school-age children only.Discussion This comprehensive study will provide the necessary data to make an evidence-based decision on whether the technology is indeed performant and a cost-efficient end-to-end diagnostic to inform large-scale deworming programs against STHs. Following the protocolized collection of high-quality data we will seek approval by WHO. Through the dissemination of our methodology and statistics, we hope to support additional developments in AI-DP technologies for other neglected tropical diseases in resource-limited settings.Trial registration The trial was registered on September 29, 2023 Clinicaltrials.gov (ID: NCT06055530).</t>
  </si>
  <si>
    <t xml:space="preserve">PLOS ONE</t>
  </si>
  <si>
    <t xml:space="preserve">KATO-KATZ; INFECTIONS; DIAGNOSIS; CHILDREN; FLOTAC; PREVALENCE; INTENSITY; ACCURACY</t>
  </si>
  <si>
    <t xml:space="preserve">[Ward, Peter K.; Roose, Sara; Kazienga, Adama; Vande Velde, Fiona; Levecke, Bruno] Univ Ghent, Dept Translat Physiol Infectiol &amp; Publ Hlth, Merelbeke, Belgium; [Ward, Peter K.; Broadfield, Lindsay A.; Dahlberg, Peter] Enaiblers AB, Uppsala, Sweden; [Ward, Peter K.; Van Hoecke, Sofie] Ghent Univ Imec, Dept Elect &amp; Informat Syst, IDLab, Zwijnaarde, Belgium; [Ayana, Mio; Mekonnen, Zeleke] Jimma Univ, Inst Hlth, Jimma, Ethiopia; [Kabatereine, Narcis; Nabatte, Betty] Minist Hlth, Vector Borne &amp; Neglected Trop Dis Div, Kampala, Uganda</t>
  </si>
  <si>
    <t xml:space="preserve">Ghent University; Ghent University; Jimma University</t>
  </si>
  <si>
    <t xml:space="preserve">Ward, PK; Levecke, B (corresponding author), Univ Ghent, Dept Translat Physiol Infectiol &amp; Publ Hlth, Merelbeke, Belgium.;Ward, PK (corresponding author), Enaiblers AB, Uppsala, Sweden.;Ward, PK (corresponding author), Ghent Univ Imec, Dept Elect &amp; Informat Syst, IDLab, Zwijnaarde, Belgium.</t>
  </si>
  <si>
    <t xml:space="preserve">peter.ward@enaiblers.com; Bruno.levecke@UGent.be</t>
  </si>
  <si>
    <t xml:space="preserve">Mekonnen, Zeleke/AAF-3877-2020</t>
  </si>
  <si>
    <t xml:space="preserve">Roose, Sara/0000-0002-0072-9649; Ward, Peter K./0000-0001-6826-9290</t>
  </si>
  <si>
    <t xml:space="preserve">Johnson &amp; Johnson Foundation project [76906491]</t>
  </si>
  <si>
    <t xml:space="preserve">Johnson &amp; Johnson Foundation project</t>
  </si>
  <si>
    <t xml:space="preserve">This study will be financially supported by a Johnson &amp; Johnson Foundation project (Funder: Johnson &amp; Johnson Foundation Scotland, Grantee: Enaiblers AB, ID: 76906491). The funding body did not have any role in the writing of this manuscript.</t>
  </si>
  <si>
    <t xml:space="preserve">1932-6203</t>
  </si>
  <si>
    <t xml:space="preserve">PLoS One</t>
  </si>
  <si>
    <t xml:space="preserve">OCT 28</t>
  </si>
  <si>
    <t xml:space="preserve">e0309816</t>
  </si>
  <si>
    <t xml:space="preserve">10.1371/journal.pone.0309816</t>
  </si>
  <si>
    <t xml:space="preserve">K5X1V</t>
  </si>
  <si>
    <t xml:space="preserve">WOS:001344593100047</t>
  </si>
  <si>
    <t xml:space="preserve">Zedda, L; Loddo, A; Di Ruberto, C</t>
  </si>
  <si>
    <t xml:space="preserve">Zedda, Luca; Loddo, Andrea; Di Ruberto, Cecilia</t>
  </si>
  <si>
    <t xml:space="preserve">A deep architecture based on attention mechanisms for effective end-to-end detection of early and mature malaria parasites</t>
  </si>
  <si>
    <t xml:space="preserve">Malaria is a severe infectious disease caused by the Plasmodium parasite. The early and accurate detection of this disease is crucial to reducing the number of deaths it causes. However, the current method of detecting malaria parasites involves manual examination of blood smears, which is a time-consuming and labor-intensive process, mainly performed by skilled hematologists, especially in underdeveloped countries. To address this problem, we have developed two deep learning -based systems, YOLO-SPAM and YOLO-SPAM++, which can detect the parasites responsible for malaria at an early stage. Our evaluation of these systems using two public datasets of malaria parasite images, MP-IDB and IML, shows that they outperform the current state-ofthe-art, with more than 11M fewer parameters than the baseline YOLOv5m6. YOLO-SPAM++ demonstrated a substantial 10% improvement over YOLO-SPAM and up to 20% against the best -performing baseline in preliminary experiments conducted on the Plasmodium Falciparum species of MP-IDB. On the other hand, YOLO-SPAM showed slightly better results than YOLO-SPAM++ in subsets without tiny parasites, while YOLOSPAM++ performed better in subsets with tiny parasites, with precision values up to 94%. Further cross -species generalization validations, conducted by merging training sets of various species within MP-IDB, showed that YOLO-SPAM++ consistently outperformed YOLOv5 and YOLO-SPAM across all species, emphasizing its superior performance and precision in detecting tiny parasites. These architectures can be integrated into computer -aided diagnosis systems to create more reliable and robust systems for the early detection of malaria.</t>
  </si>
  <si>
    <t xml:space="preserve">Computer vision; Deep learning; Image processing; Malaria parasites detection; Early malaria diagnosis</t>
  </si>
  <si>
    <t xml:space="preserve">OBJECT-DETECTION; BLOOD SMEARS; DIAGNOSIS; CNNS</t>
  </si>
  <si>
    <t xml:space="preserve">[Zedda, Luca; Loddo, Andrea; Di Ruberto, Cecilia] Univ Cagliari, Dept Math &amp; Comp Sci, Via Osped 72, I-09124 Cagliari, Italy</t>
  </si>
  <si>
    <t xml:space="preserve">University of Cagliari</t>
  </si>
  <si>
    <t xml:space="preserve">Zedda, L; Loddo, A (corresponding author), Univ Cagliari, Dept Math &amp; Comp Sci, Via Osped 72, I-09124 Cagliari, Italy.</t>
  </si>
  <si>
    <t xml:space="preserve">luca.zedda@unica.it; andrea.loddo@unica.it</t>
  </si>
  <si>
    <t xml:space="preserve">LODDO, ANDREA/AAI-6506-2020; Di Ruberto, Cecilia/G-6915-2014</t>
  </si>
  <si>
    <t xml:space="preserve">Di Ruberto, Cecilia/0000-0003-4641-0307; LODDO, ANDREA/0000-0002-6571-3816</t>
  </si>
  <si>
    <t xml:space="preserve">Fondazione di Sardegna, Italy [F72F20000190007]</t>
  </si>
  <si>
    <t xml:space="preserve">Fondazione di Sardegna, Italy</t>
  </si>
  <si>
    <t xml:space="preserve">This work was supported in part by the Fondazione di Sardegna, Italy Project F72F20000190007 Analysis of innovative Blockchain technologies: Libra, Bitcoin and Ethereum and technological, econom- ical and social comparison among these different blockchain technologies.</t>
  </si>
  <si>
    <t xml:space="preserve">10.1016/j.bspc.2024.106289</t>
  </si>
  <si>
    <t xml:space="preserve">APR 2024</t>
  </si>
  <si>
    <t xml:space="preserve">QJ0A7</t>
  </si>
  <si>
    <t xml:space="preserve">WOS:001220378500001</t>
  </si>
  <si>
    <t xml:space="preserve">Sadeghi, A; Sadeghi, M; Fakhar, M; Zakariaei, Z; Sadeghi, M; Bastani, R</t>
  </si>
  <si>
    <t xml:space="preserve">Sadeghi, Alireza; Sadeghi, Mahdieh; Fakhar, Mahdi; Zakariaei, Zakaria; Sadeghi, Mohammadreza; Bastani, Reza</t>
  </si>
  <si>
    <t xml:space="preserve">A deep learning-based model for detecting Leishmania amastigotes in microscopic slides: a new approach to telemedicine</t>
  </si>
  <si>
    <t xml:space="preserve">Background Leishmaniasis, an illness caused by protozoa, accounts for a substantial number of human fatalities globally, thereby emerging as one of the most fatal parasitic diseases. The conventional methods employed for detecting the Leishmania parasite through microscopy are not only time-consuming but also susceptible to errors. Therefore, the main objective of this study is to develop a model based on deep learning, a subfield of artificial intelligence, that could facilitate automated diagnosis of leishmaniasis. Methods In this research, we introduce LeishFuNet, a deep learning framework designed for detecting Leishmania parasites in microscopic images. To enhance the performance of our model through same-domain transfer learning, we initially train four distinct models: VGG19, ResNet50, MobileNetV2, and DenseNet 169 on a dataset related to another infectious disease, COVID-19. These trained models are then utilized as new pre-trained models and fine-tuned on a set of 292 self-collected high-resolution microscopic images, consisting of 138 positive cases and 154 negative cases. The final prediction is generated through the fusion of information analyzed by these pre-trained models. Grad-CAM, an explainable artificial intelligence technique, is implemented to demonstrate the model's interpretability. Results The final results of utilizing our model for detecting amastigotes in microscopic images are as follows: accuracy of 98.95 1.4%, specificity of 98 2.67%, sensitivity of 100%, precision of 97.91 2.77%, F1-score of 98.92 1.43%, and Area Under Receiver Operating Characteristic Curve of 99 1.33. Conclusion The newly devised system is precise, swift, user-friendly, and economical, thus indicating the potential of deep learning as a substitute for the prevailing leishmanial diagnostic techniques.</t>
  </si>
  <si>
    <t xml:space="preserve">Leishmania; Deep learning; Transfer learning; Image processing; Machine learning; Artificial intelligence; Microscopic images</t>
  </si>
  <si>
    <t xml:space="preserve">[Sadeghi, Alireza] Univ Tehran, Fac New Sci &amp; Technol, Dept Mechatron Engn, Tehran, Iran; [Sadeghi, Mahdieh] Mazandaran Univ Med Sci, Student Res Comm, Sari, Iran; [Fakhar, Mahdi; Bastani, Reza] Mazandaran Univ Med Sci, Imam Khomeini Hosp, Iranian Natl Registry, Ctr Lophomoniasis &amp; Toxoplasmosis, POB 48166-33131, Sari, Iran; [Zakariaei, Zakaria] Mazandaran Univ Med Sci, Imam Khomeini Hosp, Antimicrobial Resistance Res Ctr, Toxicol &amp; Forens Med Div,Mazandaran Registry Ctr O, Sari, Iran; [Sadeghi, Mohammadreza] Islamic Azad Univ, Sari Branch, Student Res Comm, Sari, Iran</t>
  </si>
  <si>
    <t xml:space="preserve">University of Tehran; Mazandaran University of Medical Sciences; Mazandaran University of Medical Sciences; Tehran University of Medical Sciences; Tehran University of Medical Sciences; Mazandaran University of Medical Sciences; Islamic Azad University</t>
  </si>
  <si>
    <t xml:space="preserve">Fakhar, M (corresponding author), Mazandaran Univ Med Sci, Imam Khomeini Hosp, Iranian Natl Registry, Ctr Lophomoniasis &amp; Toxoplasmosis, POB 48166-33131, Sari, Iran.</t>
  </si>
  <si>
    <t xml:space="preserve">mahdifakhar53@gmail.com</t>
  </si>
  <si>
    <t xml:space="preserve">Sadeghi, Alireza/GLN-3874-2022</t>
  </si>
  <si>
    <t xml:space="preserve">MAZUMS [17596]</t>
  </si>
  <si>
    <t xml:space="preserve">MAZUMS</t>
  </si>
  <si>
    <t xml:space="preserve">This study was financially supported by MAZUMS (grant No.17596).</t>
  </si>
  <si>
    <t xml:space="preserve">10.1186/s12879-024-09428-4</t>
  </si>
  <si>
    <t xml:space="preserve">ST9X8</t>
  </si>
  <si>
    <t xml:space="preserve">WOS:001236826800001</t>
  </si>
  <si>
    <t xml:space="preserve">Sebastianelli, A; Spiller, D; Carmo, R; Wheeler, J; Nowakowski, A; Jacobson, LV; Kim, D; Barlevi, H; Cordero, ZE; Colon-Gonzalez, FJ; Lowe, R; Ullo, SL; Schneider, R</t>
  </si>
  <si>
    <t xml:space="preserve">Sebastianelli, Alessandro; Spiller, Dario; Carmo, Raquel; Wheeler, James; Nowakowski, Artur; Jacobson, Ludmilla Viana; Kim, Dohyung; Barlevi, Hanoch; Cordero, Zoraya El Raiss; Colon-Gonzalez, Felipe J.; Lowe, Rachel; Ullo, Silvia Liberata; Schneider, Rochelle</t>
  </si>
  <si>
    <t xml:space="preserve">A reproducible ensemble machine learning approach to forecast dengue outbreaks</t>
  </si>
  <si>
    <t xml:space="preserve">Dengue fever, a prevalent and rapidly spreading arboviral disease, poses substantial public health and economic challenges in tropical and sub-tropical regions worldwide. Predicting infectious disease outbreaks on a countrywide scale is complex due to spatiotemporal variations in dengue incidence across administrative areas. To address this, we propose a machine learning ensemble model for forecasting the dengue incidence rate (DIR) in Brazil, with a focus on the population under 19 years old. The model integrates spatial and temporal information, providing one-month-ahead DIR estimates at the state level. Comparative analyses with a dummy model and ablation studies demonstrate the ensemble model's qualitative and quantitative efficacy across the 27 Brazilian Federal Units. Furthermore, we showcase the transferability of this approach to Peru, another Latin American country with differing epidemiological characteristics. This timely forecast system can aid local governments in implementing targeted control measures. The study advances climate services for health by identifying factors triggering dengue outbreaks in Brazil and Peru, emphasizing collaborative efforts with intergovernmental organizations and public health institutions. The innovation lies not only in the algorithms themselves but in their application to a domain marked by data scarcity and operational scalability challenges. We bridge the gap by integrating well-curated ground data with advanced analytical methods, addressing a significant deficiency in current practices. The successful transfer of the model to Peru and its consistent performance during the 2019 outbreak in Brazil showcase its scalability and practical application. While acknowledging limitations in handling extreme values, especially in regions with low DIR, our approach excels where accurate predictions are critical. The study not only contributes to advancing DIR forecasting but also represents a paradigm shift in integrating advanced analytics into public health operational frameworks. This work, driven by a collaborative spirit involving intergovernmental organizations and public health institutions, sets a precedent for interdisciplinary collaboration in addressing global health challenges. It not only enhances our understanding of factors triggering dengue outbreaks but also serves as a template for the effective implementation of advanced analytical methods in public health.</t>
  </si>
  <si>
    <t xml:space="preserve">BRAZIL; RISK</t>
  </si>
  <si>
    <t xml:space="preserve">[Sebastianelli, Alessandro; Ullo, Silvia Liberata] Univ Sannio, Engn Dept, Benevento, Italy; [Spiller, Dario] Sapienza Univ Rome, Sch Aerosp Engn, Rome, Italy; [Sebastianelli, Alessandro; Carmo, Raquel; Wheeler, James; Schneider, Rochelle] European Space Agcy, Frascati, Italy; [Nowakowski, Artur] Warsaw Univ Technol, Fac Geodesy &amp; Cartog, Warsaw, Poland; [Jacobson, Ludmilla Viana] Fluminense Fed Univ, Stat Dept, Niteroi, Brazil; [Kim, Dohyung; Barlevi, Hanoch; Cordero, Zoraya El Raiss] UNICEF, New York, NY USA; [Colon-Gonzalez, Felipe J.] Wellcome Trust Res Labs, Data Sci &amp; Hlth, London, England; [Colon-Gonzalez, Felipe J.; Lowe, Rachel] London Sch Hyg &amp; Trop Med, Ctr Climate Change &amp; Planetary Hlth, London, England; [Colon-Gonzalez, Felipe J.; Lowe, Rachel] London Sch Hyg &amp; Trop Med, Ctr Math Modelling Infect Dis, London, England; [Colon-Gonzalez, Felipe J.] Univ East Anglia, Sch Environm Sci, Tyndall Ctr Climate Change Res, Norwich, England; [Lowe, Rachel] Barcelona Supercomp Ctr BSC, Barcelona, Spain; [Lowe, Rachel] Catalan Inst Res &amp; Adv Studies ICREA, Barcelona, Spain</t>
  </si>
  <si>
    <t xml:space="preserve">University of Sannio; Sapienza University Rome; European Space Agency; Warsaw University of Technology; Universidade Federal Fluminense; UNICEF; University of London; London School of Hygiene &amp; Tropical Medicine; University of London; London School of Hygiene &amp; Tropical Medicine; University of East Anglia; Universitat Politecnica de Catalunya; Barcelona Supercomputer Center (BSC-CNS); ICREA</t>
  </si>
  <si>
    <t xml:space="preserve">Sebastianelli, A (corresponding author), Univ Sannio, Engn Dept, Benevento, Italy.;Sebastianelli, A; Schneider, R (corresponding author), European Space Agcy, Frascati, Italy.</t>
  </si>
  <si>
    <t xml:space="preserve">alessandro.sebastianelli@esa.int; rochelle.schneider@esa.int</t>
  </si>
  <si>
    <t xml:space="preserve">Lowe, Rachel/H-1658-2015; Sebastianelli, Alessandro/ACN-3466-2022</t>
  </si>
  <si>
    <t xml:space="preserve">Scientific and Cultural Organisation (UNESCO); Global TOP 100 AI solutions for sustainable development goals (SDGs); Royal Society Dorothy Hodgkin Fellowship; Wellcome Trust [224694/Z/21/Z]; UNICEF; Wellcome Trust [224694/Z/21/Z] Funding Source: Wellcome Trust</t>
  </si>
  <si>
    <t xml:space="preserve">Scientific and Cultural Organisation (UNESCO); Global TOP 100 AI solutions for sustainable development goals (SDGs); Royal Society Dorothy Hodgkin Fellowship(Royal Society); Wellcome Trust(Wellcome Trust); UNICEF; Wellcome Trust(Wellcome Trust)</t>
  </si>
  <si>
    <t xml:space="preserve">We would like to thank the United Nations Educational, Scientific and Cultural Organisation (UNESCO) and IRCAI (International Research Centre on Artificial Intelligence) for recognising this project as one of the Global TOP 100 AI solutions for sustainable development goals (SDGs). We also thank UNICEF Innocenti for selecting our project as one of the Best of UNICEF Research for 2022. Rachel Lowe acknowledges support from a Royal Society Dorothy Hodgkin Fellowship and the Wellcome Trust grant number 224694/Z/21/Z (HARMONIZE). The authors would like to thank Manuel Garcia-Herranz from UNICEF for participation and contribution at the early stage of this project.</t>
  </si>
  <si>
    <t xml:space="preserve">FEB 15</t>
  </si>
  <si>
    <t xml:space="preserve">10.1038/s41598-024-52796-9</t>
  </si>
  <si>
    <t xml:space="preserve">IA0I9</t>
  </si>
  <si>
    <t xml:space="preserve">WOS:001163476700013</t>
  </si>
  <si>
    <t xml:space="preserve">Nyarko, E; Agyemang, EF; Ameho, EK; Agyekum, L; Gutiérrez, JM; Fernandez, EA</t>
  </si>
  <si>
    <t xml:space="preserve">Nyarko, Eric; Agyemang, Edmund Fosu; Ameho, Ebenezer Kwesi; Agyekum, Louis; Gutierrez, Jose Maria; Fernandez, Eduardo Alberto</t>
  </si>
  <si>
    <t xml:space="preserve">A supervised machine learning statistical design of experiment approach to modeling the barriers to effective snakebite treatment in Ghana</t>
  </si>
  <si>
    <t xml:space="preserve">Background Snakebite envenoming is a serious condition that affects 2.5 million people and causes 81,000-138,000 deaths every year, particularly in tropical and subtropical regions. The World Health Organization has set a goal to halve the deaths and disabilities related to snakebite envenoming by 2030. However, significant challenges in achieving this goal include a lack of robust research evidence related to snakebite incidence and treatment, particularly in sub-Saharan Africa. This study aimed to combine established methodologies with the latest tools in Artificial Intelligence to assess the barriers to effective snakebite treatment in Ghana.Method We used a MaxDiff statistical experiment design to collect data, and six supervised machine learning models were applied to predict responses whose performance showed an advantage over the other through 6921 data points partitioned using the hold-back validation method, with 70% training and 30% validation. The results were compared using key metrics: Akaike Information Criterion corrected, Bayesian Information Criterion, Root Average Squared Error, and Fit Time in milliseconds.Results Considering all the responses, none of the six machine learning algorithms proved superior, but the Generalized Regression Model (Ridge) performed consistently better among the candidate models. The model consistently predicted several key significant barriers to effective snakebite treatment, such as the high cost of antivenoms, increased use of unorthodox, harmful practices, lack of access to effective antivenoms in remote areas when needed, and resorting to unorthodox and harmful practices in addition to hospital treatment.Conclusion The combination of a MaxDiff statistical experiment design to collect data and six machine learning models allowed the identification of barriers to accessing effective therapies for snakebite envenoming in Ghana. Addressing these barriers through targeted policy interventions, including intensified advocacy, continuous education, community engagement, healthcare worker training, and strategic investments, can enhance the effectiveness of snakebite treatment, ultimately benefiting snakebite victims and reducing the burden of snakebite envenoming. There is a need for robust regulatory frameworks and increased antivenom production to address these barriers.</t>
  </si>
  <si>
    <t xml:space="preserve">[Nyarko, Eric; Agyemang, Edmund Fosu; Ameho, Ebenezer Kwesi; Agyekum, Louis] Univ Ghana, Coll Basic &amp; Appl Sci, Dept Stat &amp; Actuarial Sci, Accra, Ghana; [Agyemang, Edmund Fosu] Univ Texas Rio Grande Valley, Coll Sci, Sch Math &amp; Stat Sci, Edinburg, TX USA; [Gutierrez, Jose Maria] Univ Costa Rica, Fac Microbiol, Inst Clodomiro Picado, San Jose, Costa Rica; [Fernandez, Eduardo Alberto] Brock Univ, Dept Hlth Sci, St Catharines, ON, Canada</t>
  </si>
  <si>
    <t xml:space="preserve">University of Ghana; University of Texas System; University of Texas Rio Grande Valley; Universidad Costa Rica; Brock University</t>
  </si>
  <si>
    <t xml:space="preserve">Nyarko, E (corresponding author), Univ Ghana, Coll Basic &amp; Appl Sci, Dept Stat &amp; Actuarial Sci, Accra, Ghana.</t>
  </si>
  <si>
    <t xml:space="preserve">ericnyarko@ug.edu.gh</t>
  </si>
  <si>
    <t xml:space="preserve">Nyarko, Eric/MEP-6425-2025</t>
  </si>
  <si>
    <t xml:space="preserve">Nyarko, Eric/0000-0002-1666-7489</t>
  </si>
  <si>
    <t xml:space="preserve">University of Ghana Building a New Generation of Academics in Africa (BANGA-Africa) project; Carnegie Corporation of New York [UGBA/PD-003/2023]</t>
  </si>
  <si>
    <t xml:space="preserve">University of Ghana Building a New Generation of Academics in Africa (BANGA-Africa) project; Carnegie Corporation of New York</t>
  </si>
  <si>
    <t xml:space="preserve">Eric Nyarko acknowledges the fellowship support of the University of Ghana Building a New Generation of Academics in Africa (BANGA-Africa) project with funding from the Carnegie Corporation of New York [UGBA/PD-003/2023]. We also extend our heartfelt thanks to all the informants who generously shared their knowledge and experiences.</t>
  </si>
  <si>
    <t xml:space="preserve">e0012736</t>
  </si>
  <si>
    <t xml:space="preserve">10.1371/journal.pntd.0012736</t>
  </si>
  <si>
    <t xml:space="preserve">U7L7H</t>
  </si>
  <si>
    <t xml:space="preserve">WOS:001413568300005</t>
  </si>
  <si>
    <t xml:space="preserve">Zewudie, MS; Xiong, SW; Yu, XH; Wu, XY; Mehamed, MA</t>
  </si>
  <si>
    <t xml:space="preserve">Zewudie, Mulugeta Shitie; Xiong, Shengwu; Yu, Xiaohan; Wu, Xiaoyu; Mehamed, Moges Ahmed</t>
  </si>
  <si>
    <t xml:space="preserve">Adaptive feature selection for active trachoma image classification</t>
  </si>
  <si>
    <t xml:space="preserve">Trachoma is a neglected tropical eye disease caused by ocular strains of Chlamydia trachomatis, which affects millions of people worldwide. To examine the eye for signs of active trachoma, healthcare providers typically look for clusters of five or more follicles on the conjunctiva of the upper eyelid for the follicular inflammatory trachoma stage. However, it is also possible to find individual follicles scattered throughout the conjunctiva, particularly in mild or early-stage trachoma cases. Additionally, the datasets are photographic images collected in the field that can be high-dimensional and may contain large amounts of redundant information. We propose integrating novel attention-based feature extraction and feature selection techniques to address these challenges. First, we present the Lambda layer within the Convolutional Block Attention Module (L-CBAM) to normalize attention weights and improve the feature extraction process. Second, we introduce an adaptive mechanism, Adaptive Beta Hill Climbing (A beta HC) with Social Ski-Driver (SSD), which adjusts the exploration-exploitation trade-off during the search process, allowing for better exploration of the search space and more efficient convergence toward an optimal feature subset. We then use the multilayer perceptron (MLP) classifier to produce final classification results using selected subsets. We evaluated the proposed approach on active trachoma inverted eyelid images and obtained accuracy scores of 93.3% with only 19.7% of the selected features, surpassing many of the algorithms used for comparison. Our proposed method has demonstrated excellent performance compared to recent works utilizing the same datasets. The source code of this work is available at http s://github.com/mshitie2/Active_Trachoma.</t>
  </si>
  <si>
    <t xml:space="preserve">Active trachoma; Attention mechanism; Deep learning; Feature selection</t>
  </si>
  <si>
    <t xml:space="preserve">OPTIMIZATION; ALGORITHM</t>
  </si>
  <si>
    <t xml:space="preserve">[Zewudie, Mulugeta Shitie; Xiong, Shengwu; Mehamed, Moges Ahmed] Wuhan Univ Technol, Sch Comp Sci &amp; Artificial Intelligence, Wuhan 430070, Peoples R China; [Xiong, Shengwu] Wuhan Univ Technol, Sanya Sci &amp; Educ Innovat Pk, Sanya 572000, Peoples R China; [Xiong, Shengwu] Shanghai Artificial Intelligence Lab, Shanghai 200232, Peoples R China; [Xiong, Shengwu] Qiongtai Normal Univ, Sch Informat Sci &amp; Technol, Haikou 571127, Peoples R China; [Yu, Xiaohan] Macquarie Univ, Sch Comp, N Ryde, NSW, Australia; [Wu, Xiaoyu] Griffith Univ, Inst Integrated &amp; Intelligent Syst, Brisbane, Qld, Australia</t>
  </si>
  <si>
    <t xml:space="preserve">Wuhan University of Technology; Wuhan University of Technology; Qiongtai Normal University; Macquarie University; Griffith University</t>
  </si>
  <si>
    <t xml:space="preserve">Yu, XH (corresponding author), Macquarie Univ, Sch Comp, N Ryde, NSW, Australia.</t>
  </si>
  <si>
    <t xml:space="preserve">xiaohan.yu@griffith.edu.au</t>
  </si>
  <si>
    <t xml:space="preserve">LI, Yaqiu/GRY-7432-2022; Mehamed, Moges Ahmed/JLT-2025-2023; Zewdudie, Mulugeta Shitie/HLH-6593-2023</t>
  </si>
  <si>
    <t xml:space="preserve">Zewudie, Mulugeta Shitie/0000-0003-2296-0793; yu, xiaohan/0000-0001-6186-0520; Mehamed, Moges Ahmed/0009-0001-3481-4614</t>
  </si>
  <si>
    <t xml:space="preserve">National Key Research and Development Program of China [2022ZD0160604]; NSFC [62176194]; Key Research and Development Program of Hubei Province [2023BAB083]; Project of Sanya Yazhou Bay Science and Technology City [SCKJ-JYRC-2022-76, SKJC-2022-PTDX-031]; Project of Sanya Science and Education Innovation Park of Wuhan University of Technology [2021KF0031]</t>
  </si>
  <si>
    <t xml:space="preserve">National Key Research and Development Program of China(National Key Research &amp; Development Program of China); NSFC(National Natural Science Foundation of China (NSFC)); Key Research and Development Program of Hubei Province; Project of Sanya Yazhou Bay Science and Technology City; Project of Sanya Science and Education Innovation Park of Wuhan University of Technology</t>
  </si>
  <si>
    <t xml:space="preserve">This work was in part supported by the National Key Research and Development Program of China (Grant No. 2022ZD0160604) and NSFC (Grant No. 62176194), and the Key Research and Development Program of Hubei Province (Grant No. 2023BAB083), the Project of Sanya Yazhou Bay Science and Technology City (Grant No. SCKJ-JYRC-2022-76, SKJC-2022-PTDX-031), and the Project of Sanya Science and Education Innovation Park of Wuhan University of Technology (Grant No. 2021KF0031).</t>
  </si>
  <si>
    <t xml:space="preserve">JUN 21</t>
  </si>
  <si>
    <t xml:space="preserve">10.1016/j.knosys.2024.111764</t>
  </si>
  <si>
    <t xml:space="preserve">YI4F1</t>
  </si>
  <si>
    <t xml:space="preserve">WOS:001267839900001</t>
  </si>
  <si>
    <t xml:space="preserve">Boit, S; Patil, R</t>
  </si>
  <si>
    <t xml:space="preserve">Boit, Sorio; Patil, Rajvardhan</t>
  </si>
  <si>
    <t xml:space="preserve">An Efficient Deep Learning Approach for Malaria Parasite Detection in Microscopic Images</t>
  </si>
  <si>
    <t xml:space="preserve">Background: Malaria is a life-threatening disease spread by infected mosquitoes, affecting both humans and animals. Its symptoms range from mild to severe, including fever, muscle discomfort, coma, and kidney failure. Accurate diagnosis is crucial but challenging, relying on expert technicians to examine blood smears under a microscope. Conventional methods are inefficient, while machine learning approaches struggle with complex tasks and require extensive feature engineering. Deep learning, however, excels in complex tasks and automatic feature extraction. Objective: This paper presents EDRI, which is a novel hybrid deep learning model that integrates multiple architectures for malaria detection from red blood cell images. The EDRI model is designed to capture diverse features and leverage multi-scale analysis. Methods: The proposed EDRI model is trained and evaluated on the NIH Malaria dataset comprising 27,558 labeled microscopic red blood cell images. Results: Experiments demonstrate its effectiveness, achieving an accuracy of 97.68% in detecting malaria, making it a valuable tool for clinicians and public health professionals. Conclusions: The results demonstrate the effectiveness of proposed model's ability to detect malaria parasite from red blood cell images, offering a robust tool for rapid and reliable malaria diagnosis.</t>
  </si>
  <si>
    <t xml:space="preserve">DIAGNOSTICS</t>
  </si>
  <si>
    <t xml:space="preserve">malaria; diagnosis; deep learning</t>
  </si>
  <si>
    <t xml:space="preserve">NEURAL-NETWORKS; ENSEMBLE</t>
  </si>
  <si>
    <t xml:space="preserve">[Boit, Sorio; Patil, Rajvardhan] Grand Valley State Univ, Coll Comp, Grand Rapids, MI 49503 USA</t>
  </si>
  <si>
    <t xml:space="preserve">Grand Valley State University</t>
  </si>
  <si>
    <t xml:space="preserve">Boit, S; Patil, R (corresponding author), Grand Valley State Univ, Coll Comp, Grand Rapids, MI 49503 USA.</t>
  </si>
  <si>
    <t xml:space="preserve">boitj@gvsu.edu; patilr@gvsu.edu</t>
  </si>
  <si>
    <t xml:space="preserve">2075-4418</t>
  </si>
  <si>
    <t xml:space="preserve">10.3390/diagnostics14232738</t>
  </si>
  <si>
    <t xml:space="preserve">P3L5F</t>
  </si>
  <si>
    <t xml:space="preserve">WOS:001376966800001</t>
  </si>
  <si>
    <t xml:space="preserve">Mayrose, H; Sampathila, N; Bairy, GM; Nayak, T; Belurkar, S; Saravu, K</t>
  </si>
  <si>
    <t xml:space="preserve">Mayrose, Hilda; Sampathila, Niranjana; Bairy, G. Muralidhar; Nayak, Tushar; Belurkar, Sushma; Saravu, Kavitha</t>
  </si>
  <si>
    <t xml:space="preserve">An Explainable Artificial Intelligence Integrated System for Automatic Detection of Dengue From Images of Blood Smears Using Transfer Learning</t>
  </si>
  <si>
    <t xml:space="preserve">Dengue fever is a rapidly increasing mosquito-borne ailment spread by the virus DENV in the tropics and subtropics worldwide. It is a significant public health problem and accounts for many deaths globally. Implementing more effective methods that can more accurately detect dengue cases is challenging. The theme of this digital pathology-associated research is automatic dengue detection from peripheral blood smears (PBS) employing deep learning (DL) techniques. In recent years, DL has been significantly employed for automated computer-assisted diagnosis of various diseases from medical images. This paper explores pre-trained convolution neural networks (CNNs) for automatic dengue fever detection. Transfer learning (TL) is executed on three state-of-the-art CNNs - ResNet50, MobileNetV3Small, and MobileNetV3Large, to customize the models for differentiating the dengue-infected blood smears from the healthy ones. The dataset used to design and test the models contains 100x magnified dengue-infected and healthy control digital microscopic PBS images. The models are validated with a 5-fold cross-validation framework and tested on unseen data. An explainable artificial intelligence (XAI) approach, Gradient-weighted Class Activation Mapping (GradCAM), is eventually applied to the models to allow visualization of the precise regions on the smears most instrumental in making the predictions. While all three transferred pre-trained CNN models performed well (above 98% overall classification accuracy), MobileNetV3Small is the recommended model for this classification problem due to its significantly less computationally demanding characteristics. Transferred pre-trained CNN based on MobileNetV3Small yielded Accuracy, Recall, Specificity, Precision, F1 Score, and Area Under the ROC Curve (AUC) of 0.982 +/- 0.011, 0.973 +/- 0.027, 0.99 +/- 0.013, 0.989 +/- 0.015, 0.981 +/- 0.012 and 0.982 +/- 0.012 respectively, averaged over the five folds on the unseen dataset. Promising results show that the developed models have the potential to provide high-quality support to haematologists by expertly performing tedious, repetitive, and time-consuming tasks in hospitals and remote/low-resource settings.</t>
  </si>
  <si>
    <t xml:space="preserve">Deep learning; dengue fever; digital pathology; explainable artificial intelligence; GradCAM; peripheral blood smear; pre-trained CNN; transfer learning</t>
  </si>
  <si>
    <t xml:space="preserve">[Mayrose, Hilda; Sampathila, Niranjana; Bairy, G. Muralidhar; Nayak, Tushar] Manipal Acad Higher Educ MAHE, Manipal Inst Technol, Dept Biomed Engn, Manipal 576104, India; [Belurkar, Sushma] Manipal Acad Higher Educ MAHE, Kasturba Med Coll, Dept Pathol, Manipal 576104, India; [Saravu, Kavitha] Manipal Acad Higher Educ MAHE, Kasturba Med Coll, Dept Infect Dis, Manipal 576104, India</t>
  </si>
  <si>
    <t xml:space="preserve">Manipal Academy of Higher Education (MAHE); Manipal Academy of Higher Education (MAHE); Kasturba Medical College, Manipal; Manipal Academy of Higher Education (MAHE); Kasturba Medical College, Manipal</t>
  </si>
  <si>
    <t xml:space="preserve">Sampathila, N; Bairy, GM (corresponding author), Manipal Acad Higher Educ MAHE, Manipal Inst Technol, Dept Biomed Engn, Manipal 576104, India.</t>
  </si>
  <si>
    <t xml:space="preserve">niranjana.s@manipal.edu; gm.bairy@manipal.edu</t>
  </si>
  <si>
    <t xml:space="preserve">S/AAQ-8318-2020; Saravu, Kavitha/H-4634-2019; MAYROSE, HILDA/IXE-0220-2023</t>
  </si>
  <si>
    <t xml:space="preserve">Nayak, Tushar/0000-0002-4328-7983; Sampathila, Dr. Niranjana/0000-0002-3345-360X; Mayrose, Hilda/0000-0002-8655-4922; Bairy, G Muralidhar/0000-0001-9710-2289; Saravu, Kavitha/0000-0001-6399-1129</t>
  </si>
  <si>
    <t xml:space="preserve">10.1109/ACCESS.2024.3378516</t>
  </si>
  <si>
    <t xml:space="preserve">MF5R8</t>
  </si>
  <si>
    <t xml:space="preserve">WOS:001192230200001</t>
  </si>
  <si>
    <t xml:space="preserve">Pattanaik, S; Chakraborty, C; Behera, S; Majhi, SK; Pani, SK</t>
  </si>
  <si>
    <t xml:space="preserve">Pattanaik, Sudeshna; Chakraborty, Chinmay; Behera, Subhasikta; Majhi, Santosh Kumar; Pani, Subhendu Kumar</t>
  </si>
  <si>
    <t xml:space="preserve">An MIoT Framework of Consumer Technology for Medical Diseases Prediction</t>
  </si>
  <si>
    <t xml:space="preserve">The healthcare sector has evolved by integrating consumer technologies, IoT, and deep learning. IoT in healthcare includes connected-health, smart-health, and mobile-health, enabling devices to share information for better care. Deep learning, particularly in medical imaging, shows promise for future medical applications. A recent study proposed a hybrid model using Stacked BiLSTM with Resnet50 Model and Adaswarm optimizer to classify medical disorders from five image datasets collected from consumer devices. These datasets, including COVID-19, Pneumonia, Malaria, lung cancer, and Brain Tumor, were employed to train the model. The dataset collected by sensors are sent to the cloud for sorting through a gateway. In this IoT framework, more consumer electronic products like microcontrollers and sockets are used in consumer devices. The proposed meta-heuristic algorithm-based model achieved an impressive accuracy of 99% with an average loss of 0.019. Additionally, the study compared this model with existing prototypes across various classification measures, demonstrating its efficacy.</t>
  </si>
  <si>
    <t xml:space="preserve">IEEE TRANSACTIONS ON CONSUMER ELECTRONICS</t>
  </si>
  <si>
    <t xml:space="preserve">Predictive models; Diseases; Medical services; Consumer electronics; Medical diagnostic imaging; Residual neural networks; Data models; Meta-heuristic algorithm; CNN; medical datasets; stacked Bi-LSTM; oversampling; classification; transfer learning technique; optimizers; smote; Internet of Things</t>
  </si>
  <si>
    <t xml:space="preserve">[Pattanaik, Sudeshna] Veer Surendra Sai Univ Technol, Dept Comp Sci &amp; Engn, Burla 768018, India; [Chakraborty, Chinmay] Birla Inst Technol, Sch Elect &amp; Commun Engn, Mesra 835215, India; [Behera, Subhasikta] Natl Inst Technol Rourkela, Dept Comp Sci &amp; Engn, Rourkela 769008, India; [Majhi, Santosh Kumar] Guru Ghasdas Vishwavidyalaya, Dept Comp Sci &amp; Informat Technol, Bilaspur 495009, India; [Pani, Subhendu Kumar] Krupajal Engn Coll, Dept Comp Sci &amp; Engn, Bhubaneswar 752104, India</t>
  </si>
  <si>
    <t xml:space="preserve">Veer Surendra Sai University of Technology; Birla Institute of Technology Mesra; National Institute of Technology (NIT System); National Institute of Technology Rourkela; Guru Ghasidas Vishwavidyalaya</t>
  </si>
  <si>
    <t xml:space="preserve">Chakraborty, C (corresponding author), Birla Inst Technol, Sch Elect &amp; Commun Engn, Mesra 835215, India.</t>
  </si>
  <si>
    <t xml:space="preserve">pattanaikanisha246@gmail.com; cchakrabarty@bitmesra.ac.in; sbehera_mtechcse@vssut.ac.in; smajhi_cse@ieee.org; pani.subhendu@gmail.com</t>
  </si>
  <si>
    <t xml:space="preserve">; Chakraborty, Chinmay/N-3608-2017</t>
  </si>
  <si>
    <t xml:space="preserve">Majhi, Santosh Kumar/0000-0002-8887-6933; , Subhasikta Behera/0009-0007-0638-4243; Chakraborty, Chinmay/0000-0002-4385-0975; Pattanaik, Sudeshna/0009-0006-7625-288X</t>
  </si>
  <si>
    <t xml:space="preserve">All India Council for Technical Education (AICTE), New Delhi, India, through RPS Project</t>
  </si>
  <si>
    <t xml:space="preserve">All India Council for Technical Education (AICTE), New Delhi, India, through RPS Project(All India Council for Technical Education (AICTE))</t>
  </si>
  <si>
    <t xml:space="preserve">No Statement Available</t>
  </si>
  <si>
    <t xml:space="preserve">0098-3063</t>
  </si>
  <si>
    <t xml:space="preserve">1558-4127</t>
  </si>
  <si>
    <t xml:space="preserve">IEEE T CONSUM ELECTR</t>
  </si>
  <si>
    <t xml:space="preserve">IEEE Trans. Consum. Electron.</t>
  </si>
  <si>
    <t xml:space="preserve">10.1109/TCE.2024.3377922</t>
  </si>
  <si>
    <t xml:space="preserve">Engineering, Electrical &amp; Electronic; Telecommunications</t>
  </si>
  <si>
    <t xml:space="preserve">Engineering; Telecommunications</t>
  </si>
  <si>
    <t xml:space="preserve">TY4J8</t>
  </si>
  <si>
    <t xml:space="preserve">WOS:001244803700402</t>
  </si>
  <si>
    <t xml:space="preserve">Sukumarran, D; Hasikin, K; Khairuddin, ASM; Ngui, R; Sulaiman, WYW; Vythilingam, I; Divis, PCS</t>
  </si>
  <si>
    <t xml:space="preserve">Sukumarran, Dhevisha; Hasikin, Khairunnisa; Khairuddin, Anis Salwa Mohd; Ngui, Romano; Sulaiman, Wan Yusoff Wan; Vythilingam, Indra; Divis, Paul Cliff Simon</t>
  </si>
  <si>
    <t xml:space="preserve">An optimised YOLOv4 deep learning model for efficient malarial cell detection in thin blood smear images</t>
  </si>
  <si>
    <t xml:space="preserve">Background Malaria is a serious public health concern worldwide. Early and accurate diagnosis is essential for controlling the disease's spread and avoiding severe health complications. Manual examination of blood smear samples by skilled technicians is a time-consuming aspect of the conventional malaria diagnosis toolbox. Malaria persists in many parts of the world, emphasising the urgent need for sophisticated and automated diagnostic instruments to expedite the identification of infected cells, thereby facilitating timely treatment and reducing the risk of disease transmission. This study aims to introduce a more lightweight and quicker model-but with improved accuracy-for diagnosing malaria using a YOLOv4 (You Only Look Once v. 4) deep learning object detector. Methods The YOLOv4 model is modified using direct layer pruning and backbone replacement. The primary objective of layer pruning is the removal and individual analysis of residual blocks within the C3, C4 and C5 (C3-C5) Res-block bodies of the backbone architecture's C3-C5 Res-block bodies. The CSP-DarkNet53 backbone is simultaneously replaced for enhanced feature extraction with a shallower ResNet50 network. The performance metrics of the models are compared and analysed. Results The modified models outperform the original YOLOv4 model. The YOLOv4-RC3_4 model with residual blocks pruned from the C3 and C4 Res-block body achieves the highest mean accuracy precision (mAP) of 90.70%. This mAP is &gt; 9% higher than that of the original model, saving approximately 22% of the billion floating point operations (B-FLOPS) and 23 MB in size. The findings indicate that the YOLOv4-RC3_4 model also performs better, with an increase of 9.27% in detecting the infected cells upon pruning the redundant layers from the C3 Res-block bodies of the CSP-DarkeNet53 backbone. Conclusions The results of this study highlight the use of the YOLOv4 model for detecting infected red blood cells. Pruning the residual blocks from the Res-block bodies helps to determine which Res-block bodies contribute the most and least, respectively, to the model's performance. Our method has the potential to revolutionise malaria diagnosis and pave the way for novel deep learning-based bioinformatics solutions. Developing an effective and automated process for diagnosing malaria will considerably contribute to global efforts to combat this debilitating disease. We have shown that removing undesirable residual blocks can reduce the size of the model and its computational complexity without compromising its precision.</t>
  </si>
  <si>
    <t xml:space="preserve">Malaria; YOLOv4; Optimised; Residual network; Residual block; Object detection</t>
  </si>
  <si>
    <t xml:space="preserve">PARASITE DETECTION; OBJECT DETECTION</t>
  </si>
  <si>
    <t xml:space="preserve">[Sukumarran, Dhevisha; Hasikin, Khairunnisa] Univ Malaya, Fac Engn, Dept Biomed Engn, Kuala Lumpur, Malaysia; [Khairuddin, Anis Salwa Mohd] Univ Malaya, Fac Engn, Dept Elect Engn, Kuala Lumpur, Malaysia; [Ngui, Romano] Univ Malaysia Sarawak, Fac Med &amp; Hlth Sci, Dept Para Clin Sci, Sarawak, Malaysia; [Sulaiman, Wan Yusoff Wan; Vythilingam, Indra] Univ Malaya, Fac Med, Dept Parasitol, Kuala Lumpur, Malaysia; [Khairuddin, Anis Salwa Mohd; Divis, Paul Cliff Simon] Univ Malaysia Sarawak, Fac Med &amp; Hlth Sci, Malaria Res Ctr, Kota Samarahan, Sarawak, Malaysia; [Hasikin, Khairunnisa] Univ Malaya, Fac Engn, Ctr Intelligent Syst Emerging Technol CISET, Kuala Lumpur 50603, Malaysia</t>
  </si>
  <si>
    <t xml:space="preserve">Universiti Malaya; Universiti Malaya; University of Malaysia Sarawak; Universiti Malaya; University of Malaysia Sarawak; Universiti Malaya</t>
  </si>
  <si>
    <t xml:space="preserve">Hasikin, K (corresponding author), Univ Malaya, Fac Engn, Dept Biomed Engn, Kuala Lumpur, Malaysia.;Ngui, R (corresponding author), Univ Malaysia Sarawak, Fac Med &amp; Hlth Sci, Dept Para Clin Sci, Sarawak, Malaysia.;Hasikin, K (corresponding author), Univ Malaya, Fac Engn, Ctr Intelligent Syst Emerging Technol CISET, Kuala Lumpur 50603, Malaysia.</t>
  </si>
  <si>
    <t xml:space="preserve">khairunnisa@um.edu.my; nromano@unimas.my</t>
  </si>
  <si>
    <t xml:space="preserve">Ngui, Romano/H-9645-2015; Divis, Paul/L-8503-2018; Hasikin, Khairunnisa/B-8780-2010; MOHD KHAIRUDDIN, ANIS SALWA/B-5340-2010</t>
  </si>
  <si>
    <t xml:space="preserve">Hasikin, Khairunnisa/0000-0002-0471-3820; MOHD KHAIRUDDIN, ANIS SALWA/0000-0002-9873-4779</t>
  </si>
  <si>
    <t xml:space="preserve">Universiti Malaya; Universiti Malaysia Sarawak (UNIMAS)</t>
  </si>
  <si>
    <t xml:space="preserve">Universiti Malaya(Universiti Malaya); Universiti Malaysia Sarawak (UNIMAS)</t>
  </si>
  <si>
    <t xml:space="preserve">We would like to thank Universiti Malaya (UM) and Universiti Malaysia Sarawak (UNIMAS) for their tremendous support in this research.</t>
  </si>
  <si>
    <t xml:space="preserve">APR 16</t>
  </si>
  <si>
    <t xml:space="preserve">10.1186/s13071-024-06215-7</t>
  </si>
  <si>
    <t xml:space="preserve">OA5G9</t>
  </si>
  <si>
    <t xml:space="preserve">WOS:001204546400001</t>
  </si>
  <si>
    <t xml:space="preserve">Javed, N; Paradkar, PN; Bhatti, A</t>
  </si>
  <si>
    <t xml:space="preserve">Javed, Nouman; Paradkar, Prasad N.; Bhatti, Asim</t>
  </si>
  <si>
    <t xml:space="preserve">An overview of technologies available to monitor behaviours of mosquitoes</t>
  </si>
  <si>
    <t xml:space="preserve">Mosquito-borne diseases such as malaria, dengue, Zika, and chikungunya cause significant morbidity and mortality globally, resulting in over 600,000 deaths from malaria and around 36,000 deaths from dengue each year, with millions of people infected annually, leading to substantial economic losses. The existing mosquito control measures, such as long-lasting insecticidal nets (LLINs) and indoor residual spraying (IRS), helped to reduce the infections. However, mosquito-borne diseases are still among the deadliest diseases, forcing us to improve the existing control methods and look for alternative methods simultaneously. Advanced monitoring techniques, including remote sensing, and geographic information systems (GIS) have significantly enhanced the efficiency and effectiveness of mosquito control measures. Mosquitoes' behavioural traits, such as locomotion, blood-feeding, and fertility are the key determinants of disease transmission and epidemiology. Technological advancements, such as high-resolution cameras, infrared imaging, and artificial intelligence (AI) driven object detection models, including groundbreaking convolutional neural networks, have provided efficient and precise options to monitor various mosquito behaviours, including locomotion, oviposition, fertility, and host-seeking. However, they are not commonly employed in mosquito-based research. This review highlights the novel and significant advancements in behaviour-monitoring tools, mostly from the last decade, due to cutting-edge video monitoring technology and artificial intelligence. These advancements can offer enhanced accuracy, efficiency, and the ability to quickly process large volumes of data, enabling detailed behavioural analysis over extended periods and large sample sizes, unlike traditional manual methods prone to human error and labour-intensive. The use of behaviour-assaying techniques can support or replace existing monitoring techniques and directly contribute to improving control measures by providing more accurate and real-time data on mosquito activity patterns and responses to interventions. This enhanced understanding can help establish the role of behavioural changes in improving epidemiological models, making them more precise and dynamic. As a result, mosquito management strategies can become more adaptive and responsive, leading to more effective and targeted interventions. Ultimately, this will reduce disease transmission and significantly improve public health outcomes.</t>
  </si>
  <si>
    <t xml:space="preserve">Behavioural traits; Locomotion; Oviposition; Fertility; Artificial intelligence; Epidemiological models</t>
  </si>
  <si>
    <t xml:space="preserve">CARBON-DIOXIDE; ANOPHELES-GAMBIAE; AEDES-ALBOPICTUS; VECTOR CONTROL; TRACKING; DIPTERA; CULICIDAE; FECUNDITY; QUINQUEFASCIATUS; ATTRACTION</t>
  </si>
  <si>
    <t xml:space="preserve">[Javed, Nouman; Bhatti, Asim] Deakin Univ, Inst Intelligent Syst Res &amp; Innovat, Geelong, Vic 3216, Australia; [Paradkar, Prasad N.] Australian Ctr Dis Preparedness, CSIRO Hlth &amp; Biosecur, Geelong, Vic 3220, Australia</t>
  </si>
  <si>
    <t xml:space="preserve">Deakin University; Commonwealth Scientific &amp; Industrial Research Organisation (CSIRO); Australian Centre for Disease Preparedness</t>
  </si>
  <si>
    <t xml:space="preserve">Javed, N (corresponding author), Deakin Univ, Inst Intelligent Syst Res &amp; Innovat, Geelong, Vic 3216, Australia.</t>
  </si>
  <si>
    <t xml:space="preserve">n.javed@deakin.edu.au</t>
  </si>
  <si>
    <t xml:space="preserve">Bhatti, Asim/G-2082-2010; Paradkar, Prasad/D-4189-2011</t>
  </si>
  <si>
    <t xml:space="preserve">Javed, Nouman/0000-0003-0520-3504; Paradkar, Prasad/0000-0002-6553-2214</t>
  </si>
  <si>
    <t xml:space="preserve">CSIRO</t>
  </si>
  <si>
    <t xml:space="preserve">CSIRO(Commonwealth Scientific &amp; Industrial Research Organisation (CSIRO))</t>
  </si>
  <si>
    <t xml:space="preserve">The study was partly funded by CSIRO strategic funding provided to P.N.P. and N.J. The funders had no role in study design, data collection and analysis, decision to publish, or preparation of the manuscript.</t>
  </si>
  <si>
    <t xml:space="preserve">10.1016/j.actatropica.2024.107347</t>
  </si>
  <si>
    <t xml:space="preserve">C4Z4A</t>
  </si>
  <si>
    <t xml:space="preserve">WOS:001289456500001</t>
  </si>
  <si>
    <t xml:space="preserve">Roche-Lima, A; Rosado-Quiñones, AM; Feliu-Maldonado, RA; Figueroa-Gispert, MD; Díaz-Rivera, J; Díaz-González, RG; Carrasquillo-Carrion, K; Nieves, BG; Colón-Lorenzo, EE; Serrano, AE</t>
  </si>
  <si>
    <t xml:space="preserve">Roche-Lima, Abiel; Rosado-Quinones, Angelica M.; Feliu-Maldonado, Roberto A.; Figueroa-Gispert, Maria Del Mar; Diaz-Rivera, Jennifer; Diaz-Gonzalez, Roberto G.; Carrasquillo-Carrion, Kelvin; Nieves, Brenda G.; Colon-Lorenzo, Emilee E.; Serrano, Adelfa E.</t>
  </si>
  <si>
    <t xml:space="preserve">Antimalarial Drug Combination Predictions Using the Machine Learning Synergy Predictor (MLSyPred©) tool</t>
  </si>
  <si>
    <t xml:space="preserve">Purpose Antimalarial drug resistance is a global public health problem that leads to treatment failure. Synergistic drug combinations can improve treatment outcomes and delay the development of drug resistance. Here, we describe the implementation of a freely available computational tool, Machine Learning Synergy Predictor (MLSyPred (c)), to predict potential synergy in antimalarial drug combinations.Methods The MLSyPred (c) synergy prediction method extracts molecular fingerprints from the drugs' biochemical structures to use as features and also cleans and prepares the raw data. Five machine learning algorithms (Logistic Regression, Random Forest, Support vector machine, Ada Boost, and Gradient Boost) were implemented to build prediction models. Implementation and application of the MLSyPred (c) tool were tested using datasets from 1540 combinations of 79 drugs and compounds biologically evaluated in pairs for three strains of Plasmodium falciparum (3D7, HB3, and Dd2).Results The best prediction models were obtained using Logistic Regression for antimalarials with the strains Dd2 and HB3 (0.81 and 0.70 AUC, respectively) and Random Forest for antimalarials with 3D7 (0.69 AUC). The MLSyPred (c) tool yielded 45% precision for synergistically predicted antimalarial drug combinations that were annotated and biologically validated, thus confirming the functionality and applicability of the tool.Conclusion The MLSyPred (c) tool is freely available and represents a promising strategy for discovering potential synergistic drug combinations for further development as novel antimalarial therapies.</t>
  </si>
  <si>
    <t xml:space="preserve">ACTA PARASITOLOGICA</t>
  </si>
  <si>
    <t xml:space="preserve">SPRINGER INT PUBL AG</t>
  </si>
  <si>
    <t xml:space="preserve">Machine learning; Drug combination prediction; Drug synergy; Plasmodium; Malaria</t>
  </si>
  <si>
    <t xml:space="preserve">DESCRIPTORS; MODEL</t>
  </si>
  <si>
    <t xml:space="preserve">[Roche-Lima, Abiel; Feliu-Maldonado, Roberto A.; Carrasquillo-Carrion, Kelvin; Nieves, Brenda G.] Univ Puerto Rico, Ctr Collaborat Res Hlth Dispar, Med Sci Campus, San Juan, PR 00921 USA; [Rosado-Quinones, Angelica M.; Figueroa-Gispert, Maria Del Mar; Diaz-Rivera, Jennifer; Diaz-Gonzalez, Roberto G.; Colon-Lorenzo, Emilee E.; Serrano, Adelfa E.] Univ Puerto Rico, Sch Med, Dept Microbiol &amp; Med Zool, Med Sci Campus, San Juan, PR USA</t>
  </si>
  <si>
    <t xml:space="preserve">University of Puerto Rico; University of Puerto Rico Medical Sciences Campus; University of Puerto Rico; University of Puerto Rico Medical Sciences Campus</t>
  </si>
  <si>
    <t xml:space="preserve">Roche-Lima, A (corresponding author), Univ Puerto Rico, Ctr Collaborat Res Hlth Dispar, Med Sci Campus, San Juan, PR 00921 USA.</t>
  </si>
  <si>
    <t xml:space="preserve">abiel.roche@upr.edu</t>
  </si>
  <si>
    <t xml:space="preserve">Lima, Abiel/AAT-9937-2020</t>
  </si>
  <si>
    <t xml:space="preserve">Rosado-Quinones, PhD, Angelica/0000-0002-8377-8381</t>
  </si>
  <si>
    <t xml:space="preserve">National Institute on Minority Health; Health Disparities RCMI Grant [U54MD007600]; National Institutes of Health RISE Grant [5R25GM061151-22]; NIGMS-RISE [R25 GM061838]</t>
  </si>
  <si>
    <t xml:space="preserve">National Institute on Minority Health; Health Disparities RCMI Grant; National Institutes of Health RISE Grant(United States Department of Health &amp; Human ServicesNational Institutes of Health (NIH) - USAOffice of the Administrator (NIH)); NIGMS-RISE(United States Department of Health &amp; Human ServicesNational Institutes of Health (NIH) - USANIH National Institute of General Medical Sciences (NIGMS))</t>
  </si>
  <si>
    <t xml:space="preserve">This work was supported by the National Institute on Minority Health and Health Disparities RCMI Grant: U54MD007600. Graduate student support was provided by the National Institutes of Health RISE Grant: 5R25GM061151-22 and NIGMS-RISE Grant: R25 GM061838.</t>
  </si>
  <si>
    <t xml:space="preserve">CHAM</t>
  </si>
  <si>
    <t xml:space="preserve">GEWERBESTRASSE 11, CHAM, CH-6330, SWITZERLAND</t>
  </si>
  <si>
    <t xml:space="preserve">1230-2821</t>
  </si>
  <si>
    <t xml:space="preserve">1896-1851</t>
  </si>
  <si>
    <t xml:space="preserve">ACTA PARASITOL</t>
  </si>
  <si>
    <t xml:space="preserve">Acta Parasitolog.</t>
  </si>
  <si>
    <t xml:space="preserve">10.1007/s11686-023-00765-z</t>
  </si>
  <si>
    <t xml:space="preserve">JAN 2024</t>
  </si>
  <si>
    <t xml:space="preserve">Parasitology; Veterinary Sciences; Zoology</t>
  </si>
  <si>
    <t xml:space="preserve">ND8N8</t>
  </si>
  <si>
    <t xml:space="preserve">WOS:001132755300001</t>
  </si>
  <si>
    <t xml:space="preserve">Barracloug, PA; Were, CM; Mwangakala, H; Fehringer, G; Ohanya, DO; Agola, H; Nandi, P</t>
  </si>
  <si>
    <t xml:space="preserve">Barracloug, Phoebe A.; Were, Charles M.; Mwangakala, Hilda; Fehringer, Gerhard; Ohanya, Dornald O.; Agola, Harison; Nandi, Philip</t>
  </si>
  <si>
    <t xml:space="preserve">Artificial Intelligence System for Malaria Diagnosis</t>
  </si>
  <si>
    <t xml:space="preserve">Malaria threats have remained one of the major global health issues over the past decades specifically in low-middle income countries. 70% of the Kenya population lives in malaria endemic zones and the majority have barriers to access health services due to factors including lack of income, distance, and social culture. Despite various research efforts using blood smears under a microscope to combat malaria with advantages, this method is time consuming and needs skillful personnel. To effectively solve this issue, this study introduces a new method integrating InfoGainAttributeEval feature selection techniques and parameter tuning method based on Artificial Intelligence and Machine Learning (AIML) classifiers with features to diagnose types of malaria more accurately. The proposed method uses 100 features extracted from 4000 samples. Sets of experiments were conducted using Artificial Neural Network (ANNs), Naive Bayes (NB), Random Forest (RF) classifiers and Ensemble methods (Meta Bagging, Random Committee Meta, and Voting). Naive Bayes has the best result. It achieved 100% accuracy and built the model in 0.01 second. The results demonstrate that the proposed method can classify malaria types accurately and has the best result compared to the reported results in the field.</t>
  </si>
  <si>
    <t xml:space="preserve">Malaria diagnosis; malaria symptoms; artificial intelligence and machine learning classifier; malaria classifier</t>
  </si>
  <si>
    <t xml:space="preserve">[Barracloug, Phoebe A.] Univ York, Comp Sci, York, England; [Were, Charles M.] Maseno Univ, Educ, Nairobi, Kenya; [Mwangakala, Hilda] Univ Dodoma, Informat Syst Technol, Dodoma, Tanzania; [Fehringer, Gerhard] Univ Northumbria, Engn &amp; Environm, Newcastle Upon Tyne, England; [Ohanya, Dornald O.; Agola, Harison; Nandi, Philip] Maseno Univ, Educ, Nairobi, Kenya</t>
  </si>
  <si>
    <t xml:space="preserve">University of York - UK; Maseno University; Northumbria University; Maseno University</t>
  </si>
  <si>
    <t xml:space="preserve">Barracloug, PA (corresponding author), Univ York, Comp Sci, York, England.</t>
  </si>
  <si>
    <t xml:space="preserve">Global Challenge Research Fund (GCRF) Quality Related (QR) award from the Department of Computer and Information Sciences at the University of Northumbria</t>
  </si>
  <si>
    <t xml:space="preserve">This study was supported by the Global Challenge Research Fund (GCRF) Quality Related (QR) award from the Department of Computer and Information Sciences at the University of Northumbria. We are sincerely grateful to the funders. The funders provided travel grants for workshops and field studies for data collection in Kenya and Tanzania. The funders were not involved in the collection of data, analysing data, research design, manuscript preparation and publishing decision.</t>
  </si>
  <si>
    <t xml:space="preserve">G6B2T</t>
  </si>
  <si>
    <t xml:space="preserve">WOS:001317462700090</t>
  </si>
  <si>
    <t xml:space="preserve">Abdelmula, AM; Mirzaei, O; Güler, E; Süer, K</t>
  </si>
  <si>
    <t xml:space="preserve">Abdelmula, Ali Mansour; Mirzaei, Omid; Guler, Emrah; Suer, Kaya</t>
  </si>
  <si>
    <t xml:space="preserve">Assessment of Deep Learning Models for Cutaneous Leishmania Parasite Diagnosis Using Microscopic Images</t>
  </si>
  <si>
    <t xml:space="preserve">Cutaneous leishmaniasis (CL) is a common illness that causes skin lesions, principally ulcerations, on exposed regions of the body. Although neglected tropical diseases (NTDs) are typically found in tropical areas, they have recently become more common along Africa's northern coast, particularly in Libya. The devastation of healthcare infrastructure during the 2011 war and the following conflicts, as well as governmental apathy, may be causal factors associated with this catastrophic event. The main objective of this study is to evaluate alternative diagnostic strategies for recognizing amastigotes of cutaneous leishmaniasis parasites at various stages using Convolutional Neural Networks (CNNs). The research is additionally aimed at testing different classification models employing a dataset of ultra-thin skin smear images of Leishmania parasite-infected people with cutaneous leishmaniasis. The pre-trained deep learning models including EfficientNetB0, DenseNet201, ResNet101, MobileNetv2, and Xception are used for the cutaneous leishmania parasite diagnosis task. To assess the models' effectiveness, we employed a five-fold cross-validation approach to guarantee the consistency of the models' outputs when applied to different portions of the full dataset. Following a thorough assessment and contrast of the various models, DenseNet-201 proved to be the most suitable choice. It attained a mean accuracy of 0.9914 along with outstanding results for sensitivity, specificity, positive predictive value, negative predictive value, F1-score, Matthew's correlation coefficient, and Cohen's Kappa coefficient. The DenseNet-201 model surpassed the other models based on a comprehensive evaluation of these key classification performance metrics.</t>
  </si>
  <si>
    <t xml:space="preserve">cutaneous leishmaniasis; amastigotes stage; CNNs; deep learning</t>
  </si>
  <si>
    <t xml:space="preserve">[Abdelmula, Ali Mansour] Near East Univ, Fac Med, Dept Microbiol &amp; Clin Microbiol, Mersin 10, TR-99010 Lefkosa, Turkiye; [Mirzaei, Omid] Near East Univ, Fac Engn, Dept Biomed Engn, Mersin 10, TR-99010 Lefkosa, Turkiye; [Mirzaei, Omid] Near East Univ, Res Ctr Sci Technol &amp; Engn BILTEM, TRNC, Mersin 10, TR-99138 Lefkosa, Turkiye; [Guler, Emrah] European Univ Lefke, Fac Arts &amp; Sci, Dept Mol Biol &amp; Genet, TR-99010 Lefke, Turkiye; [Suer, Kaya] Near East Univ, Dept Clin Microbiol &amp; Infect Dis, Fac Med, Mersin 10, TR-99010 Lefkosa, Turkiye</t>
  </si>
  <si>
    <t xml:space="preserve">Near East University; Near East University; Near East University; Lefke Avrupa University; Near East University</t>
  </si>
  <si>
    <t xml:space="preserve">Abdelmula, AM (corresponding author), Near East Univ, Fac Med, Dept Microbiol &amp; Clin Microbiol, Mersin 10, TR-99010 Lefkosa, Turkiye.</t>
  </si>
  <si>
    <t xml:space="preserve">20206687@std.neu.edu.tr; omid.mirzaei@neu.edu.tr; eguler@eul.edu.tr; kaya.suer@neu.edu.tr</t>
  </si>
  <si>
    <t xml:space="preserve">Süer, Kaya/GNM-8453-2022; Güler, Emrah/HWQ-8936-2023</t>
  </si>
  <si>
    <t xml:space="preserve">GULER, EMRAH/0000-0002-1635-0051; Mirzaei, Omid/0000-0003-2248-5996</t>
  </si>
  <si>
    <t xml:space="preserve">Affiliation: Near East University, Faculty of Engineering, Department of Computer Engineering</t>
  </si>
  <si>
    <t xml:space="preserve">Name: Abu Bakr Muhammad Hussain Cambo. Specialty: Dermatology. Email: abubaker8@gmail.com. Affiliation: Muhammad Al-Maqrif polyclinic. Name: Ahmet Ilhan. Specialty: Computer Engineering. Email: ahmet.ilhan@neu.edu.tr. Affiliation: Near East University, Faculty of Engineering, Department of Computer Engineering. I would like to express my sincere gratitude to him for his invaluable contributions and unwavering dedication. His remarkable efforts have left a lasting impact and are deeply appreciated.</t>
  </si>
  <si>
    <t xml:space="preserve">10.3390/diagnostics14010012</t>
  </si>
  <si>
    <t xml:space="preserve">EL9J6</t>
  </si>
  <si>
    <t xml:space="preserve">WOS:001139197000001</t>
  </si>
  <si>
    <t xml:space="preserve">Leal, JFD; Barroso, DH; Trindade, NS; Miranda, VL; Gurgel-Gonçalves, R</t>
  </si>
  <si>
    <t xml:space="preserve">Leal, Jose Fabricio de Carvalho; Barroso, Daniel Holanda; Trindade, Natalia Santos; de Miranda, Vinicius Lima; Gurgel-Goncalves, Rodrigo</t>
  </si>
  <si>
    <t xml:space="preserve">Automated Identification of Cutaneous Leishmaniasis Lesions Using Deep-Learning-Based Artificial Intelligence</t>
  </si>
  <si>
    <t xml:space="preserve">The polymorphism of cutaneous leishmaniasis (CL) complicates diagnosis in health care services because lesions may be confused with other dermatoses such as sporotrichosis, paracocidiocomycosis, and venous insufficiency. Automated identification of skin diseases based on deep learning (DL) has been applied to assist diagnosis. In this study, we evaluated the performance of AlexNet, a DL algorithm, to identify pictures of CL lesions in patients from Midwest Brazil. We used a set of 2458 pictures (up to 10 of each lesion) obtained from patients treated between 2015 and 2022 in the Leishmaniasis Clinic at the University Hospital of Brasilia. We divided the picture database into training (80%), internal validation (10%), and testing sets (10%), and trained and tested AlexNet to identify pictures of CL lesions. We performed three simulations and trained AlexNet to differentiate CL from 26 other dermatoses (e.g., chromomycosis, ecthyma, venous insufficiency). We obtained an average accuracy of 95.04% (Confidence Interval 95%: 93.81-96.04), indicating an excellent performance of AlexNet in identifying pictures of CL lesions. We conclude that automated CL identification using AlexNet has the potential to assist clinicians in diagnosing skin lesions. These results contribute to the development of a mobile application to assist in the diagnosis of CL in health care services.</t>
  </si>
  <si>
    <t xml:space="preserve">dermatology; leishmaniasis; diagnosis; AlexNet; machine learning; pictures</t>
  </si>
  <si>
    <t xml:space="preserve">DIAGNOSIS; DERMATOLOGY; DISEASE; CARE</t>
  </si>
  <si>
    <t xml:space="preserve">[Leal, Jose Fabricio de Carvalho; Gurgel-Goncalves, Rodrigo] Univ Brasilia UnB, Fac Med, Ctr Trop Med, Grad Program Trop Med, BR-70904970 Brasilia, Brazil; [Leal, Jose Fabricio de Carvalho; Trindade, Natalia Santos; de Miranda, Vinicius Lima; Gurgel-Goncalves, Rodrigo] Univ Brasilia UnB, Fac Med, Lab Med Parasitol &amp; Vector Biol, BR-70904970 Brasilia, Brazil; [Barroso, Daniel Holanda] Univ Brasilia UnB, Postgrad Program Med Sci, Fac Med, BR-70904970 Brasilia, Brazil</t>
  </si>
  <si>
    <t xml:space="preserve">Universidade de Brasilia; Universidade de Brasilia; Universidade de Brasilia</t>
  </si>
  <si>
    <t xml:space="preserve">Gurgel-Gonçalves, R (corresponding author), Univ Brasilia UnB, Fac Med, Ctr Trop Med, Grad Program Trop Med, BR-70904970 Brasilia, Brazil.;Gurgel-Gonçalves, R (corresponding author), Univ Brasilia UnB, Fac Med, Lab Med Parasitol &amp; Vector Biol, BR-70904970 Brasilia, Brazil.</t>
  </si>
  <si>
    <t xml:space="preserve">fabriciolealc29@gmail.com; danielhbarroso@unb.br; nataliatrindadeunb@gmail.com; viniciuslimabio@gmail.com; gurgelrg@hotmail.com</t>
  </si>
  <si>
    <t xml:space="preserve">Miranda, Vinícius/ABC-4446-2021; Gurgel-Goncalves, Rodrigo/AAD-7955-2020</t>
  </si>
  <si>
    <t xml:space="preserve">Lima de Miranda, Vinicius/0000-0003-1788-0959; Barroso, Daniel/0000-0003-4128-1593; Gurgel-Goncalves, Rodrigo/0000-0001-8252-8690</t>
  </si>
  <si>
    <t xml:space="preserve">Postgraduate Program in Tropical Medicine at the University of Braslia</t>
  </si>
  <si>
    <t xml:space="preserve">We are grateful to the doctors and residents of the dermatology outpatient clinic at the University Hospital of Brasilia for their patient management. We thank Gerson Oliveira Penna for his useful suggestions.</t>
  </si>
  <si>
    <t xml:space="preserve">10.3390/biomedicines12010012</t>
  </si>
  <si>
    <t xml:space="preserve">FW6W4</t>
  </si>
  <si>
    <t xml:space="preserve">WOS:001148939600001</t>
  </si>
  <si>
    <t xml:space="preserve">Sukumarran, D; Loh, ES; Khairuddin, ASM; Ngui, R; Sulaiman, WYW; Vythilingam, I; Divis, PCS; Hasikin, K</t>
  </si>
  <si>
    <t xml:space="preserve">Sukumarran, Dhevisha; Loh, Ee Sam; Khairuddin, Anis Salwa Mohd; Ngui, Romano; Sulaiman, Wan Yusoff Wan; Vythilingam, Indra; Divis, Paul Cliff Simon; Hasikin, Khairunnisa</t>
  </si>
  <si>
    <t xml:space="preserve">Automated Identification of Malaria-Infected Cells and Classification of Human Malaria Parasites Using a Two-Stage Deep Learning Technique</t>
  </si>
  <si>
    <t xml:space="preserve">The gold standard for diagnosing malaria remains microscopic examination; however, its application is frequently impeded by the lack of a standardized framework that guarantees uniformity and quality, particularly in scenarios with limited resources and high volume. This study suggests a novel and highly effective automated diagnostic approach that employs deep-learning object detectors to improve the accuracy and efficiency of malaria-infected cell detection and Plasmodium species classification to overcome these challenges. Plasmodium parasites were detected within thin blood stain images using the YOLOv4 and YOLOv5 models, which were optimized for this purpose. YOLOv5 obtains a slightly higher accuracy on the source dataset (mAP@ 0.5=96 %) than YOLOv4 (mAP@ 0.5=89 %), but YOLOv4 exhibits superior robustness and generalization across diverse datasets, as demonstrated by its performance on an independent validation set (mAP@ 0.5=90 %). This robustness emphasizes the dependability of YOLOv4 for deployment in a variety of clinical settings. Furthermore, an automated process was implemented to produce bound single-cell images from YOLOv4's localization outputs, thereby eradicating the necessity for conventional and time-consuming segmentation methods. The DenseNet-121 model, which was optimized for species identification, obtained an impressive overall accuracy of 95.5% in the subsequent classification stage, indicating excellent generalization across all malaria species. Accurate classification of Plasmodium species on microscopically thin blood films is essential for guiding appropriate therapy and preventing unnecessary anti-malarial treatments, which can lead to adverse effects and contribute to drug resistance. This research contributes to the field of automated malaria diagnosis by offering a comprehensive framework that substantially improves clinical decision-making, particularly in resource-limited environments.</t>
  </si>
  <si>
    <t xml:space="preserve">Malaria; Microscopy; Deep learning; Cells (biology); Accuracy; Support vector machines; Films; Machine learning; Surveillance; Artificial intelligence; Detection algorithms; deep learning; biosurveillance; AI-monitoring; detection</t>
  </si>
  <si>
    <t xml:space="preserve">[Sukumarran, Dhevisha; Loh, Ee Sam; Hasikin, Khairunnisa] Univ Malaya, Fac Engn, Dept Biomed Engn, Kuala Lumpur 50603, Malaysia; [Khairuddin, Anis Salwa Mohd; Hasikin, Khairunnisa] Univ Malaya, Fac Engn, Ctr Intelligent Syst Emerging Technol CISET, Kuala Lumpur 50603, Malaysia; [Khairuddin, Anis Salwa Mohd] Univ Malaya, Fac Engn, Dept Elect Engn, Kuala Lumpur 50603, Malaysia; [Ngui, Romano; Divis, Paul Cliff Simon] Univ Malaysia Sarawak, Fac Med &amp; Hlth Sci, Malaria Res Ctr, Kota Samarahan 94300, Sarawak, Malaysia; [Sulaiman, Wan Yusoff Wan; Vythilingam, Indra] Univ Malaya, Fac Med, Dept Parasitol, Kuala Lumpur 50603, Malaysia</t>
  </si>
  <si>
    <t xml:space="preserve">Universiti Malaya; Universiti Malaya; Universiti Malaya; University of Malaysia Sarawak; Universiti Malaya</t>
  </si>
  <si>
    <t xml:space="preserve">Hasikin, K (corresponding author), Univ Malaya, Fac Engn, Dept Biomed Engn, Kuala Lumpur 50603, Malaysia.;Hasikin, K (corresponding author), Univ Malaya, Fac Engn, Ctr Intelligent Syst Emerging Technol CISET, Kuala Lumpur 50603, Malaysia.</t>
  </si>
  <si>
    <t xml:space="preserve">khairunnisa@um.edu.my</t>
  </si>
  <si>
    <t xml:space="preserve">Divis, Paul/L-8503-2018; Ngui, Romano/H-9645-2015; MOHD KHAIRUDDIN, ANIS SALWA/B-5340-2010; Hasikin, Khairunnisa/B-8780-2010</t>
  </si>
  <si>
    <t xml:space="preserve">MOHD KHAIRUDDIN, ANIS SALWA/0000-0002-9873-4779; Hasikin, Khairunnisa/0000-0002-0471-3820</t>
  </si>
  <si>
    <t xml:space="preserve">10.1109/ACCESS.2024.3459411</t>
  </si>
  <si>
    <t xml:space="preserve">I0O9Q</t>
  </si>
  <si>
    <t xml:space="preserve">WOS:001327349900001</t>
  </si>
  <si>
    <t xml:space="preserve">Guemas, E; Routier, B; Ghelfenstein-Ferreira, T; Cordier, C; Hartuis, S; Marion, B; Bertout, S; Varlet-Marie, E; Costa, D; Pasquier, G</t>
  </si>
  <si>
    <t xml:space="preserve">Guemas, Emilie; Routier, Baptiste; Ghelfenstein-Ferreira, Theo; Cordier, Camille; Hartuis, Sophie; Marion, Benedicte; Bertout, Sebastien; Varlet-Marie, Emmanuelle; Costa, Damien; Pasquier, Gregoire</t>
  </si>
  <si>
    <t xml:space="preserve">Automatic patient-level recognition of four Plasmodium species on thin blood smear by a real-time detection transformer (RT-DETR) object detection algorithm: a proof-of-concept and evaluation</t>
  </si>
  <si>
    <t xml:space="preserve">Malaria remains a global health problem, with 247 million cases and 619,000 deaths in 2021. Diagnosis of Plasmodium species is important for administering the appropriate treatment. The gold-standard diagnosis for accurate species identification remains the thin blood smear. Nevertheless, this method is time-consuming and requires highly skilled and trained microscopists. To overcome these issues, new diagnostic tools based on deep learning are emerging. This study aimed to evaluate the performances of a real-time detection transformer (RT-DETR) object detection algorithm to discriminate Plasmodium species on thin blood smear images. The algorithm was trained and validated on a data set consisting in 24,720 images from 475 thin blood smears corresponding to 2,002,597 labels. Performances were calculated with a test data set of 4,508 images from 170 smears corresponding to 358,825 labels coming from six French university hospitals. At the patient level, the RT-DETR algorithm exhibited an overall accuracy of 79.4% (135/170) with a recall of 74% (40/54) and 81.9% (95/116) for negative and positive smears, respectively. Among Plasmodium-positive smears, the global accuracy was 82.7% (91/110) with a recall of 90% (38/42), 81.8% (18/22), and 76.1% (35/46) for P. falciparum, P. malariae, and P. ovale/vivax, respectively. The RT-DETR model achieved a World Health Organization (WHO) competence level 2 for species identification. Besides, the RT-DETR algorithm may be run in real-time on low-cost devices such as a smartphone and could be suitable for deployment in low-resource setting areas lacking microscopy experts. IMPORTANCE Malaria remains a global health problem, with 247 million cases and 619,000 deaths in 2021. Diagnosis of Plasmodium species is important for administering the appropriate treatment. The gold-standard diagnosis for accurate species identification remains the thin blood smear. Nevertheless, this method is time-consuming and requires highly skilled and trained microscopists. To overcome these issues, new diagnostic tools based on deep learning are emerging. This study aimed to evaluate the performances of a real-time detection transformer (RT-DETR) object detection algorithm to discriminate Plasmodium species on thin blood smear images. Performances were calculated with a test data set of 4,508 images from 170 smears coming from six French university hospitals. The RT-DETR model achieved a World Health Organization (WHO) competence level 2 for species identification. Besides, the RT-DETR algorithm may be run in real-time on low-cost devices and could be suitable for deployment in low-resource setting areas.</t>
  </si>
  <si>
    <t xml:space="preserve">MICROBIOLOGY SPECTRUM</t>
  </si>
  <si>
    <t xml:space="preserve">Plasmodium; artificial intelligence; deep learning; machine learning; object detection; YOLO; RT-DETR; diagnosis; thin blood smear</t>
  </si>
  <si>
    <t xml:space="preserve">[Guemas, Emilie] Acad Hosp CHU Toulouse, Dept Parasitol &amp; Mycol, Toulouse, France; [Guemas, Emilie] CNRS, Toulouse Inst Infect &amp; Inflammatory Dis Infin, INSERM, UPS,UMR5051,UMR1291, Toulouse, France; [Routier, Baptiste; Costa, Damien] Univ Rouen Normandie, Univ Hosp Rouen, Lab Parasitol Mycol, ESCAPE,EA7510, Normandie, France; [Ghelfenstein-Ferreira, Theo] Univ Paris Cite, AP HP, Lab Parasitol Mycol, Grp Hosp St Louis Lariboisiere Fernand Widal, Paris, France; [Cordier, Camille] Univ Lille, CHU Lille, Unite Glycobiol Struct &amp; Fonct, Lab Parasitol Mycol,Univ Hosp,INSERM,U1285,CNRS,UM, Lille, France; [Hartuis, Sophie] Nantes Univ, Acad Hosp CHU Nantes, Cibles &amp; Medicaments Infect &amp; Immun, IICiMed,UR1155, Nantes, France; [Marion, Benedicte; Varlet-Marie, Emmanuelle] Univ Montpellier, Acad Hosp CHU Montpellier, Natl Reference Ctr CNR Paludism, Dept Phys Chem &amp; Biophys, Montpellier, France; [Marion, Benedicte; Varlet-Marie, Emmanuelle; Pasquier, Gregoire] Univ Montpellier, Acad Hosp CHU Montpellier, Natl Reference Ctr CNR Paludism, Dept Parasitol Mycol, Montpellier, France; [Bertout, Sebastien] Univ Montpellier, Lab Parasitol Mycol, UMI TransVIHMI 233, IRD,INSERM,U1175, Montpellier, France</t>
  </si>
  <si>
    <t xml:space="preserve">Institut National de la Sante et de la Recherche Medicale (Inserm); Universite de Toulouse; Universite Toulouse III - Paul Sabatier; Centre National de la Recherche Scientifique (CNRS); Universite de Rouen Normandie; CHU de Rouen; Assistance Publique Hopitaux Paris (APHP); Universite Paris Cite; Hopital Universitaire Lariboisiere-Fernand-Widal - APHP; Hopital Universitaire Saint-Louis - APHP; Institut National de la Sante et de la Recherche Medicale (Inserm); Universite de Lille; CHU Lille; Centre National de la Recherche Scientifique (CNRS); Nantes Universite; Universite de Montpellier; CHU de Montpellier; Universite de Montpellier; CHU de Montpellier; Institut de Recherche pour le Developpement (IRD); Institut National de la Sante et de la Recherche Medicale (Inserm); Universite de Montpellier</t>
  </si>
  <si>
    <t xml:space="preserve">Pasquier, G (corresponding author), Univ Montpellier, Acad Hosp CHU Montpellier, Natl Reference Ctr CNR Paludism, Dept Parasitol Mycol, Montpellier, France.</t>
  </si>
  <si>
    <t xml:space="preserve">g-pasquier@chu-montpellier.fr</t>
  </si>
  <si>
    <t xml:space="preserve">Pasquier, Gregoire/LCE-8499-2024; costa, damien/AAL-4465-2020; Ghelfenstein-Ferreira, Theo/AGH-5308-2022</t>
  </si>
  <si>
    <t xml:space="preserve">Cordier, Camille/0009-0005-8923-8764; Ghelfenstein-Ferreira, Theo/0000-0002-7784-4434</t>
  </si>
  <si>
    <t xml:space="preserve">Montpellier University Hospital</t>
  </si>
  <si>
    <t xml:space="preserve">This work was supported by the Montpellier University Hospital.</t>
  </si>
  <si>
    <t xml:space="preserve">2165-0497</t>
  </si>
  <si>
    <t xml:space="preserve">MICROBIOL SPECTR</t>
  </si>
  <si>
    <t xml:space="preserve">FEB 6</t>
  </si>
  <si>
    <t xml:space="preserve">10.1128/spectrum.01440-23</t>
  </si>
  <si>
    <t xml:space="preserve">IX6O3</t>
  </si>
  <si>
    <t xml:space="preserve">WOS:001135899200001</t>
  </si>
  <si>
    <t xml:space="preserve">Lufyagila, B; Mgawe, B; Sam, A</t>
  </si>
  <si>
    <t xml:space="preserve">Lufyagila, Beston; Mgawe, Bonny; Sam, Anael</t>
  </si>
  <si>
    <t xml:space="preserve">Blood smear imagery dataset for malaria parasite detection: A case of Tanzania</t>
  </si>
  <si>
    <t xml:space="preserve">Malaria is a major public health issue in many regions of Africa, including Tanzania. The Tanzania Malaria National Strategic Plan (2021-2025) emphasizes on high-quality testing services availability, high coverage of timely diagnosis of malaria, and availability of innovative diagnostic systems for effective detection, treatment and control of malaria. This would be achieved by employing state of the art technologies like Machine learning. However, Machine learning requires diverse dataset to work effectively and efficiently. Therefore, this paper presents blood smear imagery dataset that can be used by researchers to develop computer vision systems for malaria parasite detection. The imagery dataset were acquired by setting up a 40X-2500X Real 4 K compound microscope with a 4k SONY IMX334 sensor camera mounted to it in five health centres of Tanga region. Blood samples taken according to normal routine of diagnosing patients in health care, were stained using Giemsa reagent and examined under microscope. Following these procedures, the study collected and annotated Thick infected blood smear images ( n = 1139) ; Thick uninfected blood smear images ( n = 1071 ); Thin uninfected blood smear images ( n = 270 ); and Thin infected blood smear images ( n = 1064 ). Furthermore, the curated dataset have been uploaded in a public Harvard data verse repository. In summary, the dataset aims to support the creation of diagnostic tools that improve malaria detection, thereby advancing health outcomes and aiding malaria con- trol initiatives in Tanzania and other regions impacted by the disease. (c) 2024 The Author(s). Published by Elsevier Inc. This is an open access article under the CC BY license (http://creativecommons.org/licenses/by/4.0/)</t>
  </si>
  <si>
    <t xml:space="preserve">Image annotation; Malaria; Malaria parasite; Medical diagnosis; Plasmodium</t>
  </si>
  <si>
    <t xml:space="preserve">[Lufyagila, Beston; Mgawe, Bonny; Sam, Anael] Nelson Mandela African Inst Sci &amp; Technol, Dept Informat &amp; Commun Sci &amp; Engn, POB 447, Tengeru, Arusha, Tanzania; [Lufyagila, Beston] Mbeya Univ Sci &amp; Technol, Dept Comp Sci &amp; Engn, POB 131, Mbeya, Tanzania</t>
  </si>
  <si>
    <t xml:space="preserve">Nelson Mandela African Institution of Science &amp; Technology</t>
  </si>
  <si>
    <t xml:space="preserve">Lufyagila, B (corresponding author), Nelson Mandela African Inst Sci &amp; Technol, Dept Informat &amp; Commun Sci &amp; Engn, POB 447, Tengeru, Arusha, Tanzania.</t>
  </si>
  <si>
    <t xml:space="preserve">bestonl@nm-aist.ac.tz</t>
  </si>
  <si>
    <t xml:space="preserve">Lufyagila, Beston/LBI-3073-2024</t>
  </si>
  <si>
    <t xml:space="preserve">Sam, Anael/0000-0002-0865-9737</t>
  </si>
  <si>
    <t xml:space="preserve">Ministry of Education, Science and Technology (MoEST) of the Government of the United Republic of Tanzania</t>
  </si>
  <si>
    <t xml:space="preserve">the authors would like to thank the Ministry of Education, Science and Technology (MoEST) of the Government of the United Republic of Tanzania for supporting the study through the Higher Education for Economic Transformation (HEET) project. Additionally, our heart-felt thanks to Sister Alphonsina Sangawe and Ms. Tatu Mang'wena, the medical laboratory specialists at Ngamiani Health Centre for providing technical assistance in annotating the dataset. We are also grateful to Ms. Siaeli Moshi, Mr. Tunu Ngajilo, and Mr. Francis Ruambo for their support and technical advice throughout the process of data collection. Lastly but not least, the authors acknowledge the staff at all health Centers where the study was conducted.</t>
  </si>
  <si>
    <t xml:space="preserve">10.1016/j.dib.2024.111169</t>
  </si>
  <si>
    <t xml:space="preserve">O7V8U</t>
  </si>
  <si>
    <t xml:space="preserve">WOS:001373167300001</t>
  </si>
  <si>
    <t xml:space="preserve">Tayyab, MA; Alim, A; Alam, M; Su'ud, MM</t>
  </si>
  <si>
    <t xml:space="preserve">Tayyab, Muhammad Arabi; Alim, Affan; Alam, Mansoor; Su'ud, Mazliham Mohd</t>
  </si>
  <si>
    <t xml:space="preserve">BwMMV-pred: a novel ensemble learning approach using blood smear images for malaria prediction</t>
  </si>
  <si>
    <t xml:space="preserve">The use of machine learning in healthcare has become widespread, enhancing the capabilities of doctors and clinicians. This study introduces a novel ensemble learning approach named Blending with Meta Majority Voting (BwMMV) for malaria prediction using blood smear images. The BwMMV technique combines the strengths of eight base classifiers to form an intermediate dataset, which is subsequently used to train five distinct meta-models using different machine learning algorithms. A Local Binary Pattern Histogram (LBPH) method is employed to extract texture features from blood smear images, effectively capturing the underlying patterns necessary for classification. The final classification decision is determined through a majority voting mechanism, selecting the outcome with the most votes as the final prediction. Our results indicate that the BwMMV approach significantly outperforms traditional hard voting and blending techniques, achieving superior accuracy, robustness, and resilience in performance. This innovative method demonstrates promising potential as a powerful tool for automated diagnosis systems, with the ability to be expanded to analyze various datasets efficiently.</t>
  </si>
  <si>
    <t xml:space="preserve">PROGRESS IN ARTIFICIAL INTELLIGENCE</t>
  </si>
  <si>
    <t xml:space="preserve">Blending; Ensemble; Malaria detection; Blood smear images; Majority voting; Blending-voting</t>
  </si>
  <si>
    <t xml:space="preserve">LOAD</t>
  </si>
  <si>
    <t xml:space="preserve">[Tayyab, Muhammad Arabi] Univ Trento, Dept Informat Engn &amp; Comp Sci, Via Calepina 14, I-38122 Trento, Italy; [Alim, Affan] IQRA Univ, Fac Engn Sci &amp; Technol, Karachi, Sindh, Pakistan; [Alim, Affan; Alam, Mansoor] Riphah Int Univ, Comp Sci, Islamabad, Pakistan; [Alam, Mansoor; Su'ud, Mazliham Mohd] Multi Media Univ, Fac Comp, Cyberjaya, Malaysia</t>
  </si>
  <si>
    <t xml:space="preserve">University of Trento; Iqra University</t>
  </si>
  <si>
    <t xml:space="preserve">Alim, A (corresponding author), IQRA Univ, Fac Engn Sci &amp; Technol, Karachi, Sindh, Pakistan.;Alim, A (corresponding author), Riphah Int Univ, Comp Sci, Islamabad, Pakistan.;Su'ud, MM (corresponding author), Multi Media Univ, Fac Comp, Cyberjaya, Malaysia.</t>
  </si>
  <si>
    <t xml:space="preserve">muhammadarabi.tayyab@unitn.it; dr.affan@iqra.edu.pk; m.mansoor@riphah.edu.pk; mazliham@mmu.edu.my</t>
  </si>
  <si>
    <t xml:space="preserve">Affan Alim, Muhammad/HZL-5866-2023</t>
  </si>
  <si>
    <t xml:space="preserve">Alim, Muhammad Affan/0000-0001-8128-4612</t>
  </si>
  <si>
    <t xml:space="preserve">2192-6352</t>
  </si>
  <si>
    <t xml:space="preserve">2192-6360</t>
  </si>
  <si>
    <t xml:space="preserve">PROG ARTIF INTELL</t>
  </si>
  <si>
    <t xml:space="preserve">Prog. Artif. Intell.</t>
  </si>
  <si>
    <t xml:space="preserve">10.1007/s13748-024-00346-9</t>
  </si>
  <si>
    <t xml:space="preserve">J8Y2C</t>
  </si>
  <si>
    <t xml:space="preserve">WOS:001326396200001</t>
  </si>
  <si>
    <t xml:space="preserve">Amaris, WMF; Suárez, DR; Cortés-Cortés, LJ; Martinez, C</t>
  </si>
  <si>
    <t xml:space="preserve">Amaris, W. M. Fong; Suarez, Daniel R.; Cortes-Cortes, Liliana J.; Martinez, Carol</t>
  </si>
  <si>
    <t xml:space="preserve">CAM: a novel aid system to analyse the coloration quality of thick blood smears using image processing and machine learning techniques</t>
  </si>
  <si>
    <t xml:space="preserve">BackgroundBattling malaria's morbidity and mortality rates demands innovative methods related to malaria diagnosis. Thick blood smears (TBS) are the gold standard for diagnosing malaria, but their coloration quality is dependent on supplies and adherence to standard protocols. Machine learning has been proposed to automate diagnosis, but the impact of smear coloration on parasite detection has not yet been fully explored.MethodsTo develop Coloration Analysis in Malaria (CAM), an image database containing 600 images was created. The database was randomly divided into training (70%), validation (15%), and test (15%) sets. Nineteen feature vectors were studied based on variances, correlation coefficients, and histograms (specific variables from histograms, full histograms, and principal components from the histograms). The Machine Learning Matlab Toolbox was used to select the best candidate feature vectors and machine learning classifiers. The candidate classifiers were then tuned for validation and tested to ultimately select the best one.ResultsThis work introduces CAM, a machine learning system designed for automatic TBS image quality analysis. The results demonstrated that the cubic SVM classifier outperformed others in classifying coloration quality in TBS, achieving a true negative rate of 95% and a true positive rate of 97%.ConclusionsAn image-based approach was developed to automatically evaluate the coloration quality of TBS. This finding highlights the potential of image-based analysis to assess TBS coloration quality. CAM is intended to function as a supportive tool for analyzing the coloration quality of thick blood smears.</t>
  </si>
  <si>
    <t xml:space="preserve">Thick blood smears; Coloration quality; Image processing; Machine learning; Malaria diagnosis</t>
  </si>
  <si>
    <t xml:space="preserve">[Amaris, W. M. Fong] Pontificia Univ Javeriana, Fac Engn, Bogota, Colombia; [Amaris, W. M. Fong] Univ Fed Para, Inst Biol Sci, Belem, Brazil; [Suarez, Daniel R.] Pontificia Univ Javeriana, Fac Ingn, Bogota, Colombia; [Cortes-Cortes, Liliana J.] Natl Hlth Inst Colombia, Lab Parasitol, Bogota, Colombia; [Martinez, Carol] Univ Luxembourg, Interdisciplinary Ctr Secur Reliabil &amp; Trust SnT, Space Robot SpaceR Res Grp, Luxembourg, Luxembourg</t>
  </si>
  <si>
    <t xml:space="preserve">Pontificia Universidad Javeriana; Universidade Federal do Para; Pontificia Universidad Javeriana; University of Luxembourg</t>
  </si>
  <si>
    <t xml:space="preserve">Amaris, WMF (corresponding author), Pontificia Univ Javeriana, Fac Engn, Bogota, Colombia.;Amaris, WMF (corresponding author), Univ Fed Para, Inst Biol Sci, Belem, Brazil.;Martínez, C (corresponding author), Univ Luxembourg, Interdisciplinary Ctr Secur Reliabil &amp; Trust SnT, Space Robot SpaceR Res Grp, Luxembourg, Luxembourg.</t>
  </si>
  <si>
    <t xml:space="preserve">we_fong@javeriana.edu.co; carol.martinezluna@uni.lu</t>
  </si>
  <si>
    <t xml:space="preserve">MARCELA FONG AMARIS, WENDY/KFS-5759-2024; Suarez, Daniel R./HTS-9621-2023</t>
  </si>
  <si>
    <t xml:space="preserve">Suarez, Daniel R./0000-0001-6264-2250</t>
  </si>
  <si>
    <t xml:space="preserve">Facebook Inc., CV4GC 2019 RFP Research Award</t>
  </si>
  <si>
    <t xml:space="preserve">The authors thank the Colombia National Institute of Health for supplying the thick blood smear samples used in this research, Martha Ayala for her invaluable assistance as a Malaria expert advisor, and the field laboratory staff responsible for malaria diagnosis who participated in the interviews. Lastly, we thank Professor Martha Manrique from Pontificia Universidad Javeriana for her indispensable support throughout the image acquisition process.</t>
  </si>
  <si>
    <t xml:space="preserve">OCT 7</t>
  </si>
  <si>
    <t xml:space="preserve">10.1186/s12936-024-05025-7</t>
  </si>
  <si>
    <t xml:space="preserve">I1E0M</t>
  </si>
  <si>
    <t xml:space="preserve">WOS:001327746200002</t>
  </si>
  <si>
    <t xml:space="preserve">Gutiérrez, JD; Avila-Jiménez, J; Altamiranda-Saavedra, M</t>
  </si>
  <si>
    <t xml:space="preserve">Gutierrez, Juan David; Avila-Jimenez, Julian; Altamiranda-Saavedra, Mariano</t>
  </si>
  <si>
    <t xml:space="preserve">Causal association between environmental variables and the excess cases of cutaneous leishmaniasis in Colombia: are we looking to the wrong side?</t>
  </si>
  <si>
    <t xml:space="preserve">Our main aim was to estimate and compare the effects of six environmental variables (air temperature, soil temperature, rainfall, runoff, soil moisture, and the enhanced vegetation index) on excess cases of cutaneous leishmaniasis in Colombia. We used epidemiological data from the Colombian Public Health Surveillance System (January 2007 to December 2019). Environmental data were obtained from remote sensing sources including the National Oceanic and Atmospheric Administration, the Global Land Data Assimilation System (GLDAS), and the Moderate Resolution Imaging Spectroradiometer. Data on population were obtained from the TerriData dataset. We implemented a causal inference approach using a machine learning algorithm to estimate the causal association of the environmental variables on the monthly occurrence of excess cases of cutaneous leishmaniasis. The results showed that the largest causal association corresponded to soil moisture with a lag of 3 months, with an average increase of 8.0% (95% confidence interval [CI] 7.7-8.3%) in the occurrence of excess cases. The temperature-related variables (air temperature and soil temperature) had a positive causal effect on the excess cases of cutaneous leishmaniasis. It is noteworthy that rainfall did not have a statistically significant causal effect. This information could potentially help to monitor and control cutaneous leishmaniasis in Colombia, providing estimates of causal effects using remote sensor variables.</t>
  </si>
  <si>
    <t xml:space="preserve">INTERNATIONAL JOURNAL OF BIOMETEOROLOGY</t>
  </si>
  <si>
    <t xml:space="preserve">Causal effect; Climate; Eco-epidemiology; Hydro-climatic variables</t>
  </si>
  <si>
    <t xml:space="preserve">ENDEMIC AREA; RISK-FACTORS; CLIMATE; INFERENCE; IRAN</t>
  </si>
  <si>
    <t xml:space="preserve">[Gutierrez, Juan David] Univ Santander, Fac Ciencias Med &amp; Salud, Inst Masira, Bucaramanga, Santander, Colombia; [Avila-Jimenez, Julian] Maestria Ciencias Biol Univ Pedag &amp; Tecnol Colombi, Boyaca, Colombia; [Altamiranda-Saavedra, Mariano] Tecnol Antioquia, Grp Invest Bioforense, Medellin, Colombia</t>
  </si>
  <si>
    <t xml:space="preserve">Universidad Industrial de Santander</t>
  </si>
  <si>
    <t xml:space="preserve">Gutiérrez, JD (corresponding author), Univ Santander, Fac Ciencias Med &amp; Salud, Inst Masira, Bucaramanga, Santander, Colombia.</t>
  </si>
  <si>
    <t xml:space="preserve">jdgutierrez@udes.edu.co</t>
  </si>
  <si>
    <t xml:space="preserve">Avila-Jiménez, Julián/ACF-5218-2022</t>
  </si>
  <si>
    <t xml:space="preserve">Gutierrez, Juan David/0000-0002-6120-941X; Avila-Jimenez, Julian/0000-0002-5768-1746</t>
  </si>
  <si>
    <t xml:space="preserve">0020-7128</t>
  </si>
  <si>
    <t xml:space="preserve">1432-1254</t>
  </si>
  <si>
    <t xml:space="preserve">INT J BIOMETEOROL</t>
  </si>
  <si>
    <t xml:space="preserve">Int. J. Biometeorol.</t>
  </si>
  <si>
    <t xml:space="preserve">10.1007/s00484-024-02723-4</t>
  </si>
  <si>
    <t xml:space="preserve">Biophysics; Environmental Sciences; Meteorology &amp; Atmospheric Sciences; Physiology</t>
  </si>
  <si>
    <t xml:space="preserve">Biophysics; Environmental Sciences &amp; Ecology; Meteorology &amp; Atmospheric Sciences; Physiology</t>
  </si>
  <si>
    <t xml:space="preserve">J9B0A</t>
  </si>
  <si>
    <t xml:space="preserve">WOS:001249553100003</t>
  </si>
  <si>
    <t xml:space="preserve">de Miranda, VL; de Souza, EP; Bambil, D; Khalighifar, A; Peterson, AT; Nascimento, FAD; Gurgel-Gonçalves, R; Abad-Franch, F</t>
  </si>
  <si>
    <t xml:space="preserve">de Miranda, Vinicius Lima; de Souza, Ewerton Pacheco; Bambil, Deborah; Khalighifar, Ali; Peterson, A. Townsend; Nascimento, Francisco Assis de Oliveira; Gurgel-Goncalves, Rodrigo; Abad-Franch, Fernando</t>
  </si>
  <si>
    <t xml:space="preserve">Cellphone picture-based, genus-level automated identification of Chagas disease vectors: Effects of picture orientation on the performance of five machine-learning algorithms</t>
  </si>
  <si>
    <t xml:space="preserve">Chagas disease (CD) is a public-health concern across Latin America. It is caused by Trypanosoma cruzi, a parasite transmitted by blood-sucking triatomine bugs. Automated identification of triatomine bugs is a potential means to strengthen CD vector surveillance. To be broadly useful, however, automated systems must draw on algorithms capable of correctly identifying bugs from images taken with ordinary cellphone cameras at varying angles or positions. Here, we assess the performance of five machine-learning algorithms at identifying the main CD vector genera (Triatoma, Panstrongylus, and Rhodnius) based on bugs photographed at different angles/positions with a 72-dpi cellphone camera. Each bug (N = 730; 13 species) was photographed at nine angles representing three positions: dorsal-flat, dorsal-oblique, and front/back-oblique. We randomly split the 6570-picture database into training (80%) and testing sets (20%), and then trained and tested a convolutional neural network (AlexNet, AN); three boosting-based classifiers (AdaBoost, AB; Gradient Boosting, GB; and Histogram-based Gradient Boosting, HB); and a linear discriminant model (LD). We assessed identification accuracy and specificity with logit-binomial generalized linear mixed models fit in a Bayesian framework. Differences in performance across algorithms were mainly driven by AN's essentially perfect accuracy and specificity, irrespective of picture angle or bug position. HB predicted accuracies ranged from similar to 0.987 (Panstrongylus, dorsal-oblique) to &gt;0.999 (Triatoma, dorsal-flat). AB accuracy was poor for Rhodnius (similar to 0.224-0.282) and Panstrongylus (similar to 0.664-0.729), but high for Triatoma (similar to 0.988-0.991). For Panstrongylus, LD and GB had predicted accuracies in the similar to 0.970-0.984 range. AB misclassified similar to 57% of Rhodnius and Panstrongylus as Triatoma, whereas specificity ranged from similar to 0.92 to similar to 1.0 for the remaining algorithm-genus combinations. Dorsal-flat pictures appeared to improve algorithm performance slightly, but angle/position effects were overall weak-to-negligible. We conclude that, when high-performance algorithms such as AN are used, the angles or positions at which bugs are photographed seem unlikely to hinder cellphone picture-based automated identification of CD vectors, at least at the genus level. Future research should focus on combining mixed-quality pictures and state-of-the-art algorithms to (i) identify triatomine adults to the species level and (ii) distinguish triatomine nymphs (i.e., immature stages) from adults and from other insects.</t>
  </si>
  <si>
    <t xml:space="preserve">ECOLOGICAL INFORMATICS</t>
  </si>
  <si>
    <t xml:space="preserve">Automated identification; Machine learning; Accuracy; Specificity; Low-resolution pictures; Triatominae</t>
  </si>
  <si>
    <t xml:space="preserve">SURVEILLANCE; TRANSMISSION; RECOGNITION; EVOLUTION; ECOLOGY; MODELS</t>
  </si>
  <si>
    <t xml:space="preserve">[de Miranda, Vinicius Lima] Univ Brasilia, Dept Zool, Inst Ciencias Biol, Brasilia, DF, Brazil; [de Miranda, Vinicius Lima; de Souza, Ewerton Pacheco; Gurgel-Goncalves, Rodrigo; Abad-Franch, Fernando] Univ Brasilia, Fac Med, Brasilia, DF, Brazil; [Bambil, Deborah] Univ Brasilia, Dept Biol Celular, Inst Ciencias Biol, Brasilia, DF, Brazil; [Khalighifar, Ali] Colorado State Univ, Fish Wildlife &amp; Conservat Biol Dept, Ft Collins, CO USA; [Peterson, A. Townsend] Univ Kansas, Dept Ecol &amp; Evolutionary Biol, Lawrence, KS 66045 USA; [Peterson, A. Townsend] Univ Kansas, Biodivers Inst, Lawrence, KS USA; [Nascimento, Francisco Assis de Oliveira] Univ Brasilia, Fac Tecnol, Dept Engn Elect, Brasilia, DF, Brazil; [Nascimento, Francisco Assis de Oliveira] Inst Leonidas &amp; Maria Deane Fiocruz Amazonia, Manaus, AM, Brazil</t>
  </si>
  <si>
    <t xml:space="preserve">Universidade de Brasilia; Universidade de Brasilia; Universidade de Brasilia; Colorado State University; University of Kansas; University of Kansas; Universidade de Brasilia; Fundacao Oswaldo Cruz</t>
  </si>
  <si>
    <t xml:space="preserve">Gurgel-Gonçalves, R (corresponding author), Univ Brasilia, Fac Med, Brasilia, DF, Brazil.</t>
  </si>
  <si>
    <t xml:space="preserve">Peterson, A./I-5697-2013; bambil, deborah/GNP-5752-2022; Gurgel-Goncalves, Rodrigo/AAD-7955-2020; Nascimento, Francisco/X-7717-2019; Abad-Franch, Fernando/AAB-6729-2021; Khalighifar, Ali/AAF-3587-2020; Lima de Miranda, Vinícius/HCI-3358-2022; Nascimento, Francisco Assis/AAG-8568-2021</t>
  </si>
  <si>
    <t xml:space="preserve">Nascimento, Francisco Assis/0000-0002-8217-1983; Lima de Miranda, Vinicius/0000-0003-1788-0959</t>
  </si>
  <si>
    <t xml:space="preserve">Coordenacao de Aperfeicoamento de Pessoal de Nivel Superior (CAPES, Brazil) [001]; Conselho Nacional de Desenvolvimento Cientifico e Tecnologico (CNPq, Brazil) [301904/2018-9, 426619/2018-8]; US National Science Foundation (NSF, United States of America) [OIA-1920946]</t>
  </si>
  <si>
    <t xml:space="preserve">Coordenacao de Aperfeicoamento de Pessoal de Nivel Superior (CAPES, Brazil)(Coordenacao de Aperfeicoamento de Pessoal de Nivel Superior (CAPES)); Conselho Nacional de Desenvolvimento Cientifico e Tecnologico (CNPq, Brazil)(Conselho Nacional de Desenvolvimento Cientifico e Tecnologico (CNPQ)); US National Science Foundation (NSF, United States of America)(National Science Foundation (NSF))</t>
  </si>
  <si>
    <t xml:space="preserve">This work was supported by the Coordenacao de Aperfeicoamento de Pessoal de Nivel Superior (CAPES, Brazil; Finance Code 001), the Conselho Nacional de Desenvolvimento Cientifico e Tecnologico (CNPq, Brazil; award numbers 301904/2018-9 and 426619/2018-8), and the US National Science Foundation (NSF, United States of America; award number OIA-1920946).</t>
  </si>
  <si>
    <t xml:space="preserve">1574-9541</t>
  </si>
  <si>
    <t xml:space="preserve">1878-0512</t>
  </si>
  <si>
    <t xml:space="preserve">ECOL INFORM</t>
  </si>
  <si>
    <t xml:space="preserve">Ecol. Inform.</t>
  </si>
  <si>
    <t xml:space="preserve">10.1016/j.ecoinf.2023.102430</t>
  </si>
  <si>
    <t xml:space="preserve">Ecology</t>
  </si>
  <si>
    <t xml:space="preserve">FL6A1</t>
  </si>
  <si>
    <t xml:space="preserve">WOS:001145974100001</t>
  </si>
  <si>
    <t xml:space="preserve">Rada, L; Kumar, P; Martin-Gonzalez, A; Brito-Loeza, C</t>
  </si>
  <si>
    <t xml:space="preserve">Rada, Lavdie; Kumar, Preet; Martin-Gonzalez, Anabel; Brito-Loeza, Carlos</t>
  </si>
  <si>
    <t xml:space="preserve">Chagas parasite classification in blood sample images using different machine learning architectures</t>
  </si>
  <si>
    <t xml:space="preserve">Chagas disease is a life-threatening illnessmainly found in Latin America. Early identification and diagnosis of Chagas disease are critical for reducing the death rate of individuals since cures and treatments are available at the acute stage. In this work, we test and compare several deep learning classification models on smear blood sample images for the task of Chagas parasite classification. Our experiments showed that the best classification model is a deep learning architecture based on a residual network together with separable convolution blocks as feature extractors and using a support vector machine algorithm as the classifier in the final layer. This optimized model, we named Res2_SVM, with a reduced number of parameters, achieved an accuracy of 98.48%, precision of 100.0%, recall of 97.20%, and F1-score of 98.58% on our test dataset, overcoming other machine learning models.</t>
  </si>
  <si>
    <t xml:space="preserve">MEDICAL &amp; BIOLOGICAL ENGINEERING &amp; COMPUTING</t>
  </si>
  <si>
    <t xml:space="preserve">[Rada, Lavdie; Kumar, Preet] Bahcesehir Univ, Fac Engn &amp; Nat Sci, Istanbul, Turkiye; [Martin-Gonzalez, Anabel; Brito-Loeza, Carlos] Univ Autonoma Yucatan, Computat Learning &amp; Imaging Res, Merida, Yucatan, Mexico</t>
  </si>
  <si>
    <t xml:space="preserve">Bahcesehir University; Universidad Autonoma de Yucatan</t>
  </si>
  <si>
    <t xml:space="preserve">Rada, L (corresponding author), Bahcesehir Univ, Fac Engn &amp; Nat Sci, Istanbul, Turkiye.</t>
  </si>
  <si>
    <t xml:space="preserve">lavdie.rada@eng.bau.edu.tr; preetpanchani1@gmail.com; amarting@correo.uady.mx; carlos.brito@correo.uady.mx</t>
  </si>
  <si>
    <t xml:space="preserve">Brito-Loeza, Carlos/AAI-4832-2020</t>
  </si>
  <si>
    <t xml:space="preserve">Brito-Loeza, Carlos/0000-0003-2970-2113</t>
  </si>
  <si>
    <t xml:space="preserve">0140-0118</t>
  </si>
  <si>
    <t xml:space="preserve">1741-0444</t>
  </si>
  <si>
    <t xml:space="preserve">MED BIOL ENG COMPUT</t>
  </si>
  <si>
    <t xml:space="preserve">10.1007/s11517-023-02926-8</t>
  </si>
  <si>
    <t xml:space="preserve">SEP 2023</t>
  </si>
  <si>
    <t xml:space="preserve">Computer Science, Interdisciplinary Applications; Engineering, Biomedical; Mathematical &amp; Computational Biology; Medical Informatics</t>
  </si>
  <si>
    <t xml:space="preserve">Computer Science; Engineering; Mathematical &amp; Computational Biology; Medical Informatics</t>
  </si>
  <si>
    <t xml:space="preserve">LL5V8</t>
  </si>
  <si>
    <t xml:space="preserve">WOS:001074192600001</t>
  </si>
  <si>
    <t xml:space="preserve">Ahamjik, I; Agbani, A; Abik, M; Khayli, M; Galzim, N; Berrada, J; Bouslikhane, M</t>
  </si>
  <si>
    <t xml:space="preserve">Ahamjik, Ilham; Agbani, Ayman; Abik, Mounia; Khayli, Mounir; Galzim, Naima; Berrada, Jaouad; Bouslikhane, Mohammed</t>
  </si>
  <si>
    <t xml:space="preserve">Contribution of artificial intelligence for understanding animal rabies epidemiology in Morocco: What are the perspectives of an innovative and predictive approaches?</t>
  </si>
  <si>
    <t xml:space="preserve">Rabies is a major zoonotic disease legally notifiable in Morocco and elsewhere. Given the burden of rabies and its impact on public health, several national control programs have been implemented since 1986, without achieving their expected objectives. The aim of this study was to design a predictive analysis of rabies in Morocco. The expected outcome was the construction of probabilistic diagrams that can guide actions for the integrated control of this disease, involving all stakeholders, in the country. Such modeling is an essential step in operational epidemiology to optimize expenditure of public funds allocated to the integrated strategy for fighting this disease. The methodology employed combined the use of geospatial analysis tools (kriging) and artificial intelligence models (Machine Learning). In order to investigate the link between the risk of rabies within a territorial municipality (commune) and its socio-economic situation, the following data were analyzed: (1) health data: reported animal cases of rabies between 2004 and 2021 and data obtained through the ArcGIS kriging tool (Geospatial data); (2) demographic and socio-economic data. We compared several Machine Learning models. Of these, the Imbalanced-Xgboost model associated with kriging yielded the best results. After optimizing this model, we mapped our results for better visualization. The obtained results complement and consolidate previous study in this field with greater accuracy, showing a strong correlation between a commune's socio-economic status, its geographical location and its risk level of rabies. From this, 399 out of the 1546 communes have been identified as high-risk areas, accounting for 25.8% of the total number of communes. Under this risk-based approach, the results of these analyses make it practical to take targeted decisions for rabies prevention and control, as well as canine population control, in a territorial commune according to its risk level. Such an approach allows obvious optimized distribution of financial resources and adaptation of the control actions to be taken. The study highlights also the importance of using innovative technologies to refine epidemiological approaches and fill gaps in field data. Through this study, we hope to contribute to eradication of rabies in Morocco by providing reliable data and practical recommendations for control actions against rabies.</t>
  </si>
  <si>
    <t xml:space="preserve">ONE HEALTH</t>
  </si>
  <si>
    <t xml:space="preserve">Rabies; Epidemiology; Public health; Morocco; Kriging; Artificial intelligence; Machine learning</t>
  </si>
  <si>
    <t xml:space="preserve">[Ahamjik, Ilham; Khayli, Mounir; Galzim, Naima] Rabat Inst, Off Natl Secur Sanit Prod Alimentaires ONSSA, POB 6472, Rabat, Morocco; [Agbani, Ayman; Berrada, Jaouad; Bouslikhane, Mohammed] Inst Agron &amp; Veterinaire Hassan II, Dept Pathol &amp; Vet Publ Hlth, POB 6202, Rabat, Morocco; [Abik, Mounia] Mohammed V Univ Rabat, ENSIAS, POB 713, Rabat, Morocco</t>
  </si>
  <si>
    <t xml:space="preserve">Mohammed V University in Rabat</t>
  </si>
  <si>
    <t xml:space="preserve">Ahamjik, I (corresponding author), Rabat Inst, Off Natl Secur Sanit Prod Alimentaires ONSSA, POB 6472, Rabat, Morocco.</t>
  </si>
  <si>
    <t xml:space="preserve">ilham.ahamjik@gmail.com</t>
  </si>
  <si>
    <t xml:space="preserve">Abik, Mounia/Y-7756-2019; Abik, Mounia/F-8478-2019</t>
  </si>
  <si>
    <t xml:space="preserve">Abik, Mounia/0000-0002-1760-0489</t>
  </si>
  <si>
    <t xml:space="preserve">2352-7714</t>
  </si>
  <si>
    <t xml:space="preserve">ONE HEALTH-AMSTERDAM</t>
  </si>
  <si>
    <t xml:space="preserve">One Health</t>
  </si>
  <si>
    <t xml:space="preserve">10.1016/j.onehlt.2024.100874</t>
  </si>
  <si>
    <t xml:space="preserve">D7C8B</t>
  </si>
  <si>
    <t xml:space="preserve">WOS:001297732000001</t>
  </si>
  <si>
    <t xml:space="preserve">Zhang, ZJ; Ding, C; Zhang, MY; Luo, YM; Mai, JJ</t>
  </si>
  <si>
    <t xml:space="preserve">Zhang, Zhijun; Ding, Cheng; Zhang, Mingyang; Luo, Yamei; Mai, Jiajie</t>
  </si>
  <si>
    <t xml:space="preserve">DCDLN: A densely connected convolutional dynamic learning network for malaria disease diagnosis</t>
  </si>
  <si>
    <t xml:space="preserve">Malaria is a significant health concern worldwide, particularly in Africa where its prevalence is still alarmingly high. Using artificial intelligence algorithms to diagnose cells with malaria provides great convenience for clinicians. In this paper, a densely connected convolutional dynamic learning network (DCDLN) is proposed for the diagnosis of malaria disease. Specifically, after data processing and partitioning of the dataset, the densely connected block is trained as a feature extractor. To classify the features extracted by the feature extractor, a classifier based on a dynamic learning network is proposed in this paper. Based on experimental results, the proposed DCDLN method demonstrates a diagnostic accuracy rate of 97.23%, surpassing the diagnostic performance than existing advanced methods on an open malaria cell dataset. This accurate diagnostic effect provides convincing evidence for clinicians to make a correct diagnosis. In addition, to validate the superiority and generalization capability of the DCDLN algorithm, we also applied the algorithm to the skin cancer and garbage classification datasets. DCDLN achieved good results on these datasets as well, demonstrating that the DCDLN algorithm possesses superiority and strong generalization performance.</t>
  </si>
  <si>
    <t xml:space="preserve">NEURAL NETWORKS</t>
  </si>
  <si>
    <t xml:space="preserve">Neural networks; Convergence; Dynamic learning network; Malaria diagnosis; Convergent-differential neural networks</t>
  </si>
  <si>
    <t xml:space="preserve">NEURAL-NETWORK</t>
  </si>
  <si>
    <t xml:space="preserve">[Zhang, Zhijun; Ding, Cheng; Zhang, Mingyang; Luo, Yamei] South China Univ Technol, Sch Automat Sci &amp; Engn, Guangzhou, Peoples R China; [Zhang, Zhijun] Jishou Univ, Coll Comp Sci &amp; Engn, Jishou, Peoples R China; [Zhang, Zhijun] Guangdong Univ Petrochem Technol, Sch Automat, Maoming, Peoples R China; [Zhang, Zhijun] Guangdong Artificial Intelligence &amp; Digital Econ L, Pazhou Lab, Guangzhou, Peoples R China; [Zhang, Zhijun] Shaanxi Univ Technol, Sch Mech Engn, Shaanxi Prov Key Lab Ind Automat, Hanzhong, Peoples R China; [Zhang, Zhijun] Hunan Univ Finance &amp; Econ, Sch Informat Technol &amp; Management, Changsha, Peoples R China; [Mai, Jiajie] City Univ HongKong, Hongkong, Peoples R China</t>
  </si>
  <si>
    <t xml:space="preserve">South China University of Technology; Jishou University; Guangdong University of Petrochemical Technology; Pazhou Lab; Shaanxi University of Technology; Hunan University of Finance &amp; Economics</t>
  </si>
  <si>
    <t xml:space="preserve">Zhang, ZJ (corresponding author), South China Univ Technol, Sch Automat Sci &amp; Engn, Guangzhou, Peoples R China.;Zhang, ZJ (corresponding author), Jishou Univ, Coll Comp Sci &amp; Engn, Jishou, Peoples R China.;Zhang, ZJ (corresponding author), Guangdong Univ Petrochem Technol, Sch Automat, Maoming, Peoples R China.;Zhang, ZJ (corresponding author), Guangdong Artificial Intelligence &amp; Digital Econ L, Pazhou Lab, Guangzhou, Peoples R China.;Zhang, ZJ (corresponding author), Shaanxi Univ Technol, Sch Mech Engn, Shaanxi Prov Key Lab Ind Automat, Hanzhong, Peoples R China.;Zhang, ZJ (corresponding author), Hunan Univ Finance &amp; Econ, Sch Informat Technol &amp; Management, Changsha, Peoples R China.</t>
  </si>
  <si>
    <t xml:space="preserve">auzjzhang@scut.edu.cn; 2205112844@qq.com; 1287509358@qq.com; phmeihua@126.com; jiajiemai0926@gmail.com</t>
  </si>
  <si>
    <t xml:space="preserve">Zhang, Zhijun/HTN-1545-2023</t>
  </si>
  <si>
    <t xml:space="preserve">MAI, JIAJIE/0000-0002-0172-5981</t>
  </si>
  <si>
    <t xml:space="preserve">National Natural Science Foundation [61976096, 62373157]; National High-Level Talents Special Support Program (Youth Tal-ent of Technological Innovation of Ten-Thousands Talents Program) [C7220060]; International Scientific Research Coopera-tion Project of Guangdong Science and Technology Plan [2023A0505050083]; Guangdong Basic and Applied Basic Research Foundation [2020B1515120047]; Guangdong Foundation for Distinguished Young Scholars [2017A030306009]; Guangdong Special Support Program [2017TQ04X475]; SCUT-Tianxiagu Joint Lab Funding [x2zdD8212590]; Pazhou Lab Young Scholar Program; National Key Research and Development Program of China [2017YFB1002505]; Guangdong Key Research and Development Program [2018B030339001]; Guangdong Natural Science Foundation Research Team Program [1414060000024]</t>
  </si>
  <si>
    <t xml:space="preserve">National Natural Science Foundation(National Natural Science Foundation of China (NSFC)); National High-Level Talents Special Support Program (Youth Tal-ent of Technological Innovation of Ten-Thousands Talents Program); International Scientific Research Coopera-tion Project of Guangdong Science and Technology Plan; Guangdong Basic and Applied Basic Research Foundation; Guangdong Foundation for Distinguished Young Scholars; Guangdong Special Support Program; SCUT-Tianxiagu Joint Lab Funding; Pazhou Lab Young Scholar Program; National Key Research and Development Program of China(National Key Research &amp; Development Program of China); Guangdong Key Research and Development Program; Guangdong Natural Science Foundation Research Team Program</t>
  </si>
  <si>
    <t xml:space="preserve">This work was supported in part by the National Natural Science Foundation under Grants 61976096 and 62373157, in part by the National High-Level Talents Special Support Program (Youth Talent of Technological Innovation of Ten-Thousands Talents Program) under Grant C7220060, International Scientific Research Cooperation Project of Guangdong Science and Technology Plan under Grant 2023A0505050083, in part by the Guangdong Basic and Applied Basic Research Foundation under Grant 2020B1515120047, in part by the Guangdong Foundation for Distinguished Young Scholars under Grant 2017A030306009, in part by the Guangdong Special Support Program under Grant 2017TQ04X475, in part by the SCUT-Tianxiagu Joint Lab Funding under Grant x2zdD8212590, in part by the Pazhou Lab Young Scholar Program, in part by the National Key Research and Development Program of China under Grant 2017YFB1002505, in part by the Guangdong Key Research and Development Program under Grant 2018B030339001, and in part by the Guangdong Natural Science Foundation Research Team Program 1414060000024.</t>
  </si>
  <si>
    <t xml:space="preserve">0893-6080</t>
  </si>
  <si>
    <t xml:space="preserve">1879-2782</t>
  </si>
  <si>
    <t xml:space="preserve">10.1016/j.neunet.2024.106339</t>
  </si>
  <si>
    <t xml:space="preserve">MAY 2024</t>
  </si>
  <si>
    <t xml:space="preserve">Computer Science, Artificial Intelligence; Neurosciences</t>
  </si>
  <si>
    <t xml:space="preserve">Computer Science; Neurosciences &amp; Neurology</t>
  </si>
  <si>
    <t xml:space="preserve">TA4F2</t>
  </si>
  <si>
    <t xml:space="preserve">WOS:001238515300001</t>
  </si>
  <si>
    <t xml:space="preserve">Saha, A; Chakraborty, T; Rahimikollu, J; Xiao, HX; de Oliveira, LBP; Hand, TW; Handali, S; Secor, WE; Fraga, LAO; Fairley, JK; Das, J; Sarkar, A</t>
  </si>
  <si>
    <t xml:space="preserve">Saha, Anushka; Chakraborty, Trirupa; Rahimikollu, Javad; Xiao, Hanxi; de Oliveira, Lorena B. Pereira; Hand, Timothy W.; Handali, Sukwan; Secor, W. Evan; Fraga, Lucia A. O.; Fairley, Jessica K.; Das, Jishnu; Sarkar, Aniruddh</t>
  </si>
  <si>
    <t xml:space="preserve">Deep humoral profiling coupled to interpretable machine learning unveils diagnostic markers and pathophysiology of schistosomiasis</t>
  </si>
  <si>
    <t xml:space="preserve">Schistosomiasis, a highly prevalent parasitic disease, affects more than 200 million people worldwide. Current diagnostics based on parasite egg detection in stool detect infection only at a late stage, and current antibody-based tests cannot distinguish past from current infection. Here, we developed and used a multiplexed antibody profiling platform to obtain a comprehensive repertoire of antihelminth humoral profiles including isotype, subclass, Fc receptor (FcR) binding, and glycosylation profiles of antigen-specific antibodies. Using Essential Regression (ER) and SLIDE, interpretable machine learning methods, we identified latent factors (context-specific groups) that move beyond biomarkers and provide insights into the pathophysiology of different stages of schistosome infection. By comparing profiles of infected and healthy individuals, we identified modules with unique humoral signatures of active disease, including hallmark signatures of parasitic infection such as elevated immunoglobulin G4 (IgG4). However, we also captured previously uncharacterized humoral responses including elevated FcR binding and specific antibody glycoforms in patients with active infection, helping distinguish them from those without active infection but with equivalent antibody titers. This signature was validated in an independent cohort. Our approach also uncovered two distinct endotypes, nonpatent infection and prior infection, in those who were not actively infected. Higher amounts of IgG1 and FcR1/FcR3A binding were also found to be likely protective of the transition from nonpatent to active infection. Overall, we unveiled markers for antibody-based diagnostics and latent factors underlying the pathogenesis of schistosome infection. Our results suggest that selective antigen targeting could be useful in early detection, thus controlling infection severity.</t>
  </si>
  <si>
    <t xml:space="preserve">SCIENCE TRANSLATIONAL MEDICINE</t>
  </si>
  <si>
    <t xml:space="preserve">AMER ASSOC ADVANCEMENT SCIENCE</t>
  </si>
  <si>
    <t xml:space="preserve">ISOTYPE RESPONSES; WORM ANTIGENS; MANSONI; HELMINTH; INFECTIONS; ANTIBODIES; SERUM; IGE; INTENSITY; BIOMARKER</t>
  </si>
  <si>
    <t xml:space="preserve">[Saha, Anushka; Sarkar, Aniruddh] Georgia Inst Technol, Wallace H Coulter Dept Biomed Engn, Atlanta, GA 30309 USA; [Fairley, Jessica K.] Emory Univ, Dept Med, Div Infect Dis, Sch Med, Atlanta, GA 30307 USA; [Chakraborty, Trirupa; Rahimikollu, Javad; Xiao, Hanxi; Das, Jishnu] Univ Pittsburgh, Ctr Syst Immunol, Dept Immunol &amp; Computat &amp; Syst Biol, Sch Med, Pittsburgh, PA 15213 USA; [Chakraborty, Trirupa] Integrat Syst Biol Program, Pittsburgh, PA 15213 USA; [Rahimikollu, Javad; Xiao, Hanxi] Joint CMU Pitt PhD Program Computat Biol, Pittsburgh, PA 15213 USA; [de Oliveira, Lorena B. Pereira] Univ Fed Juiz de Fora, Programa Multicentr Bioquim &amp; Biol Mol PMBqBM, Campus Governador Valadares, BR-36036900 Juiz De Fora, MG, Brazil; [de Oliveira, Lorena B. Pereira] Univ Vale Rio Doce, BR-36036900 Governador Valadares, MG, Brazil; [Hand, Timothy W.] Univ Pittsburgh, Dept Pediat, Pittsburgh, PA 15213 USA; [Handali, Sukwan; Secor, W. Evan] CDCP, Div Parasit Dis &amp; Malaria, Ctr Global Hlth, Atlanta, GA 30333 USA; [Fraga, Lucia A. O.] Univ Fed Juiz de Fora, BR-36036900 Juiz De Fora, MG, Brazil</t>
  </si>
  <si>
    <t xml:space="preserve">University System of Georgia; Georgia Institute of Technology; Emory University; Pennsylvania Commonwealth System of Higher Education (PCSHE); University of Pittsburgh; Pennsylvania Commonwealth System of Higher Education (PCSHE); University of Pittsburgh; Carnegie Mellon University; Universidade Federal de Juiz de Fora; University Vale Rio Doce; Pennsylvania Commonwealth System of Higher Education (PCSHE); University of Pittsburgh; Centers for Disease Control &amp; Prevention - USA; CDC Center for Global Health (CGH); Universidade Federal de Juiz de Fora</t>
  </si>
  <si>
    <t xml:space="preserve">Sarkar, A (corresponding author), Georgia Inst Technol, Wallace H Coulter Dept Biomed Engn, Atlanta, GA 30309 USA.;Fairley, JK (corresponding author), Emory Univ, Dept Med, Div Infect Dis, Sch Med, Atlanta, GA 30307 USA.;Das, J (corresponding author), Univ Pittsburgh, Ctr Syst Immunol, Dept Immunol &amp; Computat &amp; Syst Biol, Sch Med, Pittsburgh, PA 15213 USA.</t>
  </si>
  <si>
    <t xml:space="preserve">jishnu@pitt.edu; aniruddh.sarkar@bme.gatech.edu; jessica.fairley@emory.edu</t>
  </si>
  <si>
    <t xml:space="preserve">Das, Jishnu/AAK-4950-2020; Sarkar, Aniruddh/C-5711-2019</t>
  </si>
  <si>
    <t xml:space="preserve">Sarkar, Aniruddh/0000-0002-9327-1525</t>
  </si>
  <si>
    <t xml:space="preserve">NIAID [R01AI170108, R01-AI182322]; Atlanta Center for Microsystems-Engineered Point-of-Care Technologies (ACME POCT); Coalition for Operational Research on Neglected Tropical Diseases (COR-NTD) - Task Force for Global Health (TFGH) by the Bill &amp; Melinda Gates Foundation [OPP1190754]; United States Agency for International Development through its Neglected Tropical Diseases Program; Bill and Melinda Gates Foundation [OPP1190754] Funding Source: Bill and Melinda Gates Foundation</t>
  </si>
  <si>
    <t xml:space="preserve">NIAID(United States Department of Health &amp; Human ServicesNational Institutes of Health (NIH) - USANIH National Institute of Allergy &amp; Infectious Diseases (NIAID)); Atlanta Center for Microsystems-Engineered Point-of-Care Technologies (ACME POCT); Coalition for Operational Research on Neglected Tropical Diseases (COR-NTD) - Task Force for Global Health (TFGH) by the Bill &amp; Melinda Gates Foundation; United States Agency for International Development through its Neglected Tropical Diseases Program(United States Agency for International Development (USAID)); Bill and Melinda Gates Foundation(Bill &amp; Melinda Gates Foundation)</t>
  </si>
  <si>
    <t xml:space="preserve">This study was supported by NIAID R01AI170108 to J.D. and a pilot grant from the Atlanta Center for Microsystems-Engineered Point-of-Care Technologies (ACME POCT) to A.S. and J.F. This work also received financial support, via a grant to A.S, J.F., and L.F., from the Coalition for Operational Research on Neglected Tropical Diseases (COR-NTD), which is funded by the Task Force for Global Health (TFGH) primarily by the Bill &amp; Melinda Gates Foundation (OPP1190754) and by the United States Agency for International Development through its Neglected Tropical Diseases Program. Finally, the work was partially supported by NIAID R01-AI182322 to A.S. The findings and conclusions in this report are those of the authors and do not necessarily represent the official position of the Centers for Disease Control and Prevention.</t>
  </si>
  <si>
    <t xml:space="preserve">1200 NEW YORK AVE, NW, WASHINGTON, DC 20005 USA</t>
  </si>
  <si>
    <t xml:space="preserve">1946-6234</t>
  </si>
  <si>
    <t xml:space="preserve">1946-6242</t>
  </si>
  <si>
    <t xml:space="preserve">SCI TRANSL MED</t>
  </si>
  <si>
    <t xml:space="preserve">Sci. Transl. Med.</t>
  </si>
  <si>
    <t xml:space="preserve">SEP 18</t>
  </si>
  <si>
    <t xml:space="preserve">eadk7832</t>
  </si>
  <si>
    <t xml:space="preserve">10.1126/scitranslmed.adk7832</t>
  </si>
  <si>
    <t xml:space="preserve">Cell Biology; Medicine, Research &amp; Experimental</t>
  </si>
  <si>
    <t xml:space="preserve">Cell Biology; Research &amp; Experimental Medicine</t>
  </si>
  <si>
    <t xml:space="preserve">G2Z6X</t>
  </si>
  <si>
    <t xml:space="preserve">WOS:001315379200006</t>
  </si>
  <si>
    <t xml:space="preserve">Jdey, I; Hcini, H; Ltifi, H</t>
  </si>
  <si>
    <t xml:space="preserve">Jdey, Imen; Hcini, Hazala; Ltifi, Hela</t>
  </si>
  <si>
    <t xml:space="preserve">Deep Learning and Machine Learning for Malaria Detection: Overview, Challenges and Future Directions</t>
  </si>
  <si>
    <t xml:space="preserve">Public health initiatives must be made using evidence-based decision-making to have the greatest impact. Machine learning algorithms are created to gather, store, process, and analyze data to provide knowledge and guide decisions. A crucial part of any surveillance system is image analysis. The communities of computer vision and machine learning have become curious about it as of late. This study uses a variety of machine learning, and image processing approaches to detect and forecast malarial illness. In our research, we discovered the potential of deep learning techniques as innovative tools with a broader applicability for malaria detection, which benefits physicians by assisting in the diagnosis of the condition. We investigate the common confinements of deep learning for computer frameworks and organizing, including the requirement for data preparation, preparation overhead, real-time execution, and explaining ability, and uncover future inquiries about bearings focusing on these constraints.</t>
  </si>
  <si>
    <t xml:space="preserve">INTERNATIONAL JOURNAL OF INFORMATION TECHNOLOGY &amp; DECISION MAKING</t>
  </si>
  <si>
    <t xml:space="preserve">Malaria diagnosis; machine learning; deep learning; convolutional neural network; hybrid algorithms</t>
  </si>
  <si>
    <t xml:space="preserve">PARASITE DETECTION; CLASSIFICATION; ARCHITECTURES</t>
  </si>
  <si>
    <t xml:space="preserve">[Jdey, Imen] Sidi Bouzid Univ Kairouan, Fac Sci &amp; Technol, Kairouan, Tunisia; Univ Sfax, Natl Engn Sch Sfax ENIS, ReGIM Lab Res Grp Intelligent Machines LR11ES48, Sfax, Tunisia</t>
  </si>
  <si>
    <t xml:space="preserve">Universite de Sfax; Ecole Nationale dIngenieurs de Sfax (ENIS)</t>
  </si>
  <si>
    <t xml:space="preserve">Jdey, I (corresponding author), Sidi Bouzid Univ Kairouan, Fac Sci &amp; Technol, Kairouan, Tunisia.</t>
  </si>
  <si>
    <t xml:space="preserve">imen.jdey@fstsbz.u-kairouan.tn</t>
  </si>
  <si>
    <t xml:space="preserve">LTIFI, Hela/K-5469-2012</t>
  </si>
  <si>
    <t xml:space="preserve">HCINI, Ghazala/0000-0003-3571-417X; JDEY, imen/0000-0001-7937-941X</t>
  </si>
  <si>
    <t xml:space="preserve">0219-6220</t>
  </si>
  <si>
    <t xml:space="preserve">1793-6845</t>
  </si>
  <si>
    <t xml:space="preserve">INT J INF TECH DECIS</t>
  </si>
  <si>
    <t xml:space="preserve">Int. J. Inf. Technol. Decis. Mak.</t>
  </si>
  <si>
    <t xml:space="preserve">10.1142/S0219622023300045</t>
  </si>
  <si>
    <t xml:space="preserve">JUL 2023</t>
  </si>
  <si>
    <t xml:space="preserve">Computer Science, Artificial Intelligence; Computer Science, Information Systems; Computer Science, Interdisciplinary Applications; Operations Research &amp; Management Science</t>
  </si>
  <si>
    <t xml:space="preserve">Computer Science; Operations Research &amp; Management Science</t>
  </si>
  <si>
    <t xml:space="preserve">G7Q0B</t>
  </si>
  <si>
    <t xml:space="preserve">WOS:001024597400002</t>
  </si>
  <si>
    <t xml:space="preserve">Mumtaz, Z; Rashid, Z; Saif, R; Yousaf, MZ</t>
  </si>
  <si>
    <t xml:space="preserve">Mumtaz, Zilwa; Rashid, Zubia; Saif, Rashid; Yousaf, Muhammad Zubair</t>
  </si>
  <si>
    <t xml:space="preserve">Deep learning guided prediction modeling of dengue virus evolving serotype</t>
  </si>
  <si>
    <t xml:space="preserve">Evolution remains an incessant process in viruses, allowing them to elude the host immune response and induce severe diseases, impacting the diagnostic and vaccine effectiveness. Emerging and re-emerging diseases are among the significant public health concerns globally. The revival of dengue is mainly due to the potential for naturally arising mutations to induce genotypic alterations in serotypes. These transformations could lead to future outbreaks, underscoring the significance of studying DENV evolution in endemic regions. Predicting the emerging Dengue Virus (DENV) genome is crucial as the virus disrupts host cells, leading to fatal outcomes. Deep learning has been applied to predict dengue fever cases; there has been relatively less emphasis on its significance in forecasting emerging DENV serotypes. While Recurrent Neural Networks (RNN) were initially designed for modeling temporal sequences, our proposed DL-DVE generative and classification model, trained on complete genome data of DENV, transcends traditional approaches by learning semantic relationships between nucleotides in a continuous vector space instead of representing the contextual meaning of nucleotide characters. Leveraging 2000 publicly available DENV complete genome sequences, our Long Short-Term Memory (LSTM) based generative and Feedforward Neural Network (FNN) based classification DL-DVE model showcases proficiency in learning intricate patterns and generating sequences for emerging serotype of DENV. The generated sequences were analyzed along with available DENV serotype sequences to find conserved motifs in the genome through MEME Suite (version 5.5.5). The generative model showed an accuracy of 93 %, and the classification model provided insight into the specific serotype label, corroborated by BLAST search verification. Evaluation metrics such as ROC-AUC value 0.818, accuracy, precision, recall and F1 score, all to be around 99.00 %, demonstrating the classification model's reliability. Our model classified the generated sequences as DENV-4, exhibiting 65.99 % similarity to DENV-4 and around 63-65 % similarity with other serotypes, indicating notable distinction from other serotypes. Moreover, the intra-serotype divergence of sequences with a minimum of 90 % similarity underscored their uniqueness.</t>
  </si>
  <si>
    <t xml:space="preserve">HELIYON</t>
  </si>
  <si>
    <t xml:space="preserve">CELL PRESS</t>
  </si>
  <si>
    <t xml:space="preserve">Virus forecasting; DL modeling; Virus classification; Dengue evolution; Genome sequence</t>
  </si>
  <si>
    <t xml:space="preserve">CLASSIFICATION</t>
  </si>
  <si>
    <t xml:space="preserve">[Mumtaz, Zilwa; Yousaf, Muhammad Zubair] Forman Christian Coll Univ, KAM Sch Life Sci, Ferozpur Rd, Lahore, Pakistan; [Rashid, Zubia] Ziauddin Univ, Dept Biomed Engn, Fac Engn Sci Technol &amp; Management, Karachi, Pakistan; [Saif, Rashid] Qarshi Univ, Dept Biotechnol, Lahore, Pakistan</t>
  </si>
  <si>
    <t xml:space="preserve">Ziauddin University</t>
  </si>
  <si>
    <t xml:space="preserve">Yousaf, MZ (corresponding author), Forman Christian Coll Univ, KAM Sch Life Sci, Ferozpur Rd, Lahore, Pakistan.</t>
  </si>
  <si>
    <t xml:space="preserve">mumtazzilwa@gmail.com; zubia.rashid2@gmail.com; rashid.saif37@gmail.com; mzubairyousaf@fccollege.edu.pk</t>
  </si>
  <si>
    <t xml:space="preserve">Saif, Rashid/KJM-1760-2024; Mumtaz, Zilwa/LCE-2862-2024</t>
  </si>
  <si>
    <t xml:space="preserve">rashid, zubia/0000-0002-8753-8385; mumtaz, zilwa/0000-0002-7694-4265</t>
  </si>
  <si>
    <t xml:space="preserve">ORIC-FCCU [IRIF-17]</t>
  </si>
  <si>
    <t xml:space="preserve">ORIC-FCCU</t>
  </si>
  <si>
    <t xml:space="preserve">This research was funded by ORIC-FCCU with grant number IRIF-17.</t>
  </si>
  <si>
    <t xml:space="preserve">50 HAMPSHIRE ST, FLOOR 5, CAMBRIDGE, MA 02139 USA</t>
  </si>
  <si>
    <t xml:space="preserve">2405-8440</t>
  </si>
  <si>
    <t xml:space="preserve">JUN 15</t>
  </si>
  <si>
    <t xml:space="preserve">e32061</t>
  </si>
  <si>
    <t xml:space="preserve">10.1016/j.heliyon.2024.e32061</t>
  </si>
  <si>
    <t xml:space="preserve">UO8C5</t>
  </si>
  <si>
    <t xml:space="preserve">Green Published, Green Submitted, gold</t>
  </si>
  <si>
    <t xml:space="preserve">WOS:001249080900001</t>
  </si>
  <si>
    <t xml:space="preserve">Tekle, E; Dese, K; Girma, S; Adissu, W; Krishnamoorthy, J; Kwa, T</t>
  </si>
  <si>
    <t xml:space="preserve">Tekle, Eden; Dese, Kokeb; Girma, Selfu; Adissu, Wondimagegn; Krishnamoorthy, Janarthanan; Kwa, Timothy</t>
  </si>
  <si>
    <t xml:space="preserve">DeepLeish: a deep learning based support system for the detection of Leishmaniasis parasite from Giemsa-stained microscope images</t>
  </si>
  <si>
    <t xml:space="preserve">Background Leishmaniasis is a vector-born neglected parasitic disease belonging to the genus Leishmania. Out of the 30 Leishmania species, 21 species cause human infection that affect the skin and the internal organs. Around, 700,000 to 1,000,000 of the newly infected cases and 26,000 to 65,000 deaths are reported worldwide annually. The disease exhibits three clinical presentations, namely, the cutaneous, muco-cutaneous and visceral Leishmaniasis which affects the skin, mucosal membrane and the internal organs, respectively. The relapsing behavior of the disease limits its diagnosis and treatment efficiency. The common diagnostic approaches follow subjective, error-prone, repetitive processes. Despite, an ever pressing need for an accurate detection of Leishmaniasis, the research conducted so far is scarce. In this regard, the main aim of the current research is to develop an artificial intelligence based detection tool for the Leishmaniasis from the Geimsa-stained microscopic images using deep learning method.Methods Stained microscopic images were acquired locally and labeled by experts. The images were augmented using different methods to prevent overfitting and improve the generalizability of the system. Fine-tuned Faster RCNN, SSD, and YOLOV5 models were used for object detection. Mean average precision (MAP), precision, and Recall were calculated to evaluate and compare the performance of the models.Results The fine-tuned YOLOV5 outperformed the other models such as Faster RCNN and SSD, with the MAP scores, of 73%, 54% and 57%, respectively.Conclusion The currently developed YOLOV5 model can be tested in the clinics to assist the laboratorists in diagnosing Leishmaniasis from the microscopic images. Particularly, in low-resourced healthcare facilities, with fewer qualified medical professionals or hematologists, our AI support system can assist in reducing the diagnosing time, workload, and misdiagnosis. Furthermore, the dataset collected by us will be shared with other researchers who seek to improve upon the detection system of the parasite. The current model detects the parasites even in the presence of the monocyte cells, but sometimes, the accuracy decreases due to the differences in the sizes of the parasite cells alongside the blood cells. The incorporation of cascaded networks in future and the quantification of the parasite load, shall overcome the limitations of the currently developed system.</t>
  </si>
  <si>
    <t xml:space="preserve">BMC MEDICAL IMAGING</t>
  </si>
  <si>
    <t xml:space="preserve">Leishmaniasis; Microscopic image; Deep learning; Object detection; Faster RCNN; YOLOV5; SSD</t>
  </si>
  <si>
    <t xml:space="preserve">[Tekle, Eden; Dese, Kokeb; Krishnamoorthy, Janarthanan; Kwa, Timothy] Jimma Univ, Sch Biomed Engn, Jimma, Ethiopia; [Girma, Selfu] Armauer Hansen Res Inst, Pathol Unit, Addis Ababa, Ethiopia; [Adissu, Wondimagegn] Jimma Univ, Inst Hlth, Sch Med Lab Sci, Jimma, Ethiopia; [Adissu, Wondimagegn] Jimma Univ, Clin Trial Unit, Jimma, Ethiopia; [Dese, Kokeb] West Virginia Univ, Dept Chem &amp; Biomed Engn, Morgantown, WV 26505 USA; [Kwa, Timothy] Medtron MiniMed, 18000 Devonshire St Northridge, Los Angeles, CA 91325 USA</t>
  </si>
  <si>
    <t xml:space="preserve">Jimma University; Jimma University; Jimma University; West Virginia University</t>
  </si>
  <si>
    <t xml:space="preserve">Dese, K; Kwa, T (corresponding author), Jimma Univ, Sch Biomed Engn, Jimma, Ethiopia.;Dese, K (corresponding author), West Virginia Univ, Dept Chem &amp; Biomed Engn, Morgantown, WV 26505 USA.;Kwa, T (corresponding author), Medtron MiniMed, 18000 Devonshire St Northridge, Los Angeles, CA 91325 USA.</t>
  </si>
  <si>
    <t xml:space="preserve">kokebdese86@gmail.com; tkwa237@gmail.com</t>
  </si>
  <si>
    <t xml:space="preserve">Dese, Kokeb/AAD-5491-2022; Adissu, Wondimagegn/AAY-2236-2021; Girma, Selfu/KHZ-0160-2024</t>
  </si>
  <si>
    <t xml:space="preserve">Girma, Selfu/0000-0002-1866-0950; Adissu, Wondimagegn/0000-0003-1624-3114</t>
  </si>
  <si>
    <t xml:space="preserve">Jimma University; Armauer Hansen Research Institute</t>
  </si>
  <si>
    <t xml:space="preserve">We would like to thank Armauer Hansen Research Institute, ALERT and Jimma University Medical Center for allowing us to collect the necessary data.</t>
  </si>
  <si>
    <t xml:space="preserve">1471-2342</t>
  </si>
  <si>
    <t xml:space="preserve">BMC MED IMAGING</t>
  </si>
  <si>
    <t xml:space="preserve">BMC Med. Imag.</t>
  </si>
  <si>
    <t xml:space="preserve">JUN 18</t>
  </si>
  <si>
    <t xml:space="preserve">10.1186/s12880-024-01333-1</t>
  </si>
  <si>
    <t xml:space="preserve">UU8A0</t>
  </si>
  <si>
    <t xml:space="preserve">WOS:001250654500002</t>
  </si>
  <si>
    <t xml:space="preserve">Gu, JY; Cao, YY; Chai, LY; Xu, EY; Liu, KX; Chong, ZY; Zhang, YY; Zou, DD; Xu, YH; Wang, J; Müller, O; Cao, J; Zhu, GD; Lu, GY</t>
  </si>
  <si>
    <t xml:space="preserve">Gu, Jiyue; Cao, Yuanyuan; Chai, Liying; Xu, Enyu; Liu, Kaixuan; Chong, Zeyin; Zhang, Yuying; Zou, Dandan; Xu, Yuhui; Wang, Jian; Mueller, Olaf; Cao, Jun; Zhu, Guoding; Lu, Guangyu</t>
  </si>
  <si>
    <t xml:space="preserve">Delayed care-seeking in international migrant workers with imported malaria in China</t>
  </si>
  <si>
    <t xml:space="preserve">Background Imported malaria cases continue to pose major challenges in China as well as in other countries that have achieved elimination. Early diagnosis and treatment of each imported malaria case is the key to successfully maintaining malaria elimination success. This study aimed to build an easy-to-use predictive nomogram to predict and intervene against delayed care-seeking among international migrant workers with imported malaria.Methods A prediction model was built based on cases with imported malaria from 2012 to 2019, in Jiangsu Province, China. Routine surveillance information (e.g. sex, age, symptoms, origin country and length of stay abroad), data on the place of initial care-seeking and the gross domestic product (GDP) of the destination city were extracted. Multivariate logistic regression was performed to identify independent predictors and a nomogram was established to predict the risk of delayed care-seeking. The discrimination and calibration of the nomogram was performed using area under the curve and calibration plots. In addition, four machine learning models were used to make a comparison.Results Of 2255 patients with imported malaria, 636 (28.2%) sought care within 24 h after symptom onset, and 577 (25.6%) sought care 3 days after symptom onset. Development of symptoms before entry into China, initial care-seeking from superior healthcare facilities and a higher GDP level of the destination city were significantly associated with delayed care-seeking among migrant workers with imported malaria. Based on these independent risk factors, an easy-to-use and intuitive nomogram was established. The calibration curves of the nomogram showed good consistency.Conclusions The tool provides public health practitioners with a method for the early detection of delayed care-seeking risk among international migrant workers with imported malaria, which may be of significance in improving post-travel healthcare for labour migrants, reducing the risk of severe malaria, preventing malaria reintroduction and sustaining achievements in malaria elimination.</t>
  </si>
  <si>
    <t xml:space="preserve">Imported malaria; international migrant workers; delayed care-seeking; prevention of malaria reintroduction; China</t>
  </si>
  <si>
    <t xml:space="preserve">COUNTERFEIT</t>
  </si>
  <si>
    <t xml:space="preserve">[Gu, Jiyue; Chai, Liying; Xu, Enyu; Liu, Kaixuan; Chong, Zeyin; Zhang, Yuying; Zou, Dandan; Lu, Guangyu] Yangzhou Univ, Med Coll, Sch Publ Hlth, Dept Epidemiol &amp; Biostat, Yangzhou 225009, Jiangsu, Peoples R China; [Cao, Yuanyuan; Cao, Jun; Zhu, Guoding] Jiangsu Inst Parasit Dis, Natl Hlth Commiss Key Lab Parasit Dis Control &amp; Pr, Jiangsu Prov Key Lab Parasite &amp; Vector Control Tec, Wuxi 214064, Jiangsu, Peoples R China; [Cao, Yuanyuan; Cao, Jun; Zhu, Guoding] Nanjing Med Univ, Ctr Global Hlth, Sch Publ Hlth, Nanjing 211166, Jiangsu, Peoples R China; [Xu, Yuhui] Ctr Dis Control &amp; Prevent, Yangzhou 225007, Jiangsu, Peoples R China; [Wang, Jian] Yangzhou Schistosomiasis &amp; Parasit Dis Control Off, Yangzhou 225007, Jiangsu, Peoples R China; [Mueller, Olaf] Heidelberg Univ, Inst Global Hlth, Med Sch, D-69117 Heidelberg, Germany; [Lu, Guangyu] Jiangsu Key Lab Zoonosis, Yangzhou 225009, Peoples R China</t>
  </si>
  <si>
    <t xml:space="preserve">Yangzhou University; Nanjing Medical University; Chinese Center for Disease Control &amp; Prevention; Ruprecht Karls University Heidelberg</t>
  </si>
  <si>
    <t xml:space="preserve">Lu, GY (corresponding author), Yangzhou Univ, Med Coll, Sch Publ Hlth, Dept Epidemiol &amp; Biostat, Yangzhou 225009, Jiangsu, Peoples R China.;Lu, GY (corresponding author), Jiangsu Key Lab Zoonosis, Yangzhou 225009, Peoples R China.</t>
  </si>
  <si>
    <t xml:space="preserve">yzugjy030320@163.com; caopepsi@163.com; liyingchai123@163.com; xuenyu248655@163.com; lkx19965369706@163.com; 17318531914@163.com; yuying.zhang1234@hotmail.com; zoudd1114@163.com; 15140773@qq.com; 863628506@qq.com; olaf.mueller@urz.uni-heidelberg.de; caojuncn@hotmail.com; jipdzhu@hotmail.com; guangyu.lu@yzu.edu.cn</t>
  </si>
  <si>
    <t xml:space="preserve">Zhang, Yuying/JXL-5388-2024; xey626, xey626/IYJ-6503-2023; Xu, Yuhui/AAW-6061-2021</t>
  </si>
  <si>
    <t xml:space="preserve">National Natural Science Foundation of China [72374178]; National Natural Science Foundation of China [71904165]; Open Project Program of Jiangsu Key Laboratory of Zoonosis [R2208]; Open Project Program of International Research Laboratory of Prevention and Control of Important Animal Infectious Diseases and Zoonotic Diseases of Jiangsu Higher Education Institutions [01]; Open Project Program of National Health Commission Key Laboratory of Parasitic Disease Control and Prevention Jiangsu Provincial Key Laboratory on Parasite and Vector Control Technology [wk023-007]; Jiangsu Provincial Health Commission [H2023004, X202315]</t>
  </si>
  <si>
    <t xml:space="preserve">National Natural Science Foundation of China(National Natural Science Foundation of China (NSFC)); National Natural Science Foundation of China(National Natural Science Foundation of China (NSFC)); Open Project Program of Jiangsu Key Laboratory of Zoonosis; Open Project Program of International Research Laboratory of Prevention and Control of Important Animal Infectious Diseases and Zoonotic Diseases of Jiangsu Higher Education Institutions; Open Project Program of National Health Commission Key Laboratory of Parasitic Disease Control and Prevention Jiangsu Provincial Key Laboratory on Parasite and Vector Control Technology; Jiangsu Provincial Health Commission</t>
  </si>
  <si>
    <t xml:space="preserve">This work was supported by the National Natural Science Foundation of China (Grant no. 72374178); National Natural Science Foundation of China (Grant no. 71904165); the Open Project Program of Jiangsu Key Laboratory of Zoonosis (Grant no. R2208); the Open Project Program of International Research Laboratory of Prevention and Control of Important Animal Infectious Diseases and Zoonotic Diseases of Jiangsu Higher Education Institutions [01]; the Open Project Program of National Health Commission Key Laboratory of Parasitic Disease Control and Prevention Jiangsu Provincial Key Laboratory on Parasite and Vector Control Technology (Grant no. wk023-007), and the Jiangsu Provincial Health Commission (H2023004, and X202315).</t>
  </si>
  <si>
    <t xml:space="preserve">APR 6</t>
  </si>
  <si>
    <t xml:space="preserve">10.1093/jtm/taae021</t>
  </si>
  <si>
    <t xml:space="preserve">MAR 2024</t>
  </si>
  <si>
    <t xml:space="preserve">NB3M7</t>
  </si>
  <si>
    <t xml:space="preserve">WOS:001181812400001</t>
  </si>
  <si>
    <t xml:space="preserve">Maturana, CR; de Oliveira, AD; Zarzuela, F; Ruiz, E; Sulleiro, E; Mediavilla, A; Martínez-Vallejo, P; Nadal, S; Pumarola, T; López-Codina, D; Abelló, A; Sayrol, E; Joseph-Munné, J</t>
  </si>
  <si>
    <t xml:space="preserve">Maturana, Carles Rubio; de Oliveira, Allisson Dantas; Zarzuela, Francesc; Ruiz, Edurne; Sulleiro, Elena; Mediavilla, Alejandro; Martinez-Vallejo, Patricia; Nadal, Sergi; Pumarola, Tomas; Lopez-Codina, Daniel; Abello, Alberto; Sayrol, Elisa; Joseph-Munne, Joan</t>
  </si>
  <si>
    <t xml:space="preserve">Development of an automated artificial intelligence-based system for urogenital schistosomiasis diagnosis using digital image analysis techniques and a robotized microscope</t>
  </si>
  <si>
    <t xml:space="preserve">Background Urogenital schistosomiasis is considered a Neglected Tropical Disease (NTD) by the World Health Organization (WHO). It is estimated to affect 150 million people worldwide, with a high relevance in resource-poor settings of the African continent. The gold-standard diagnosis is still direct observation of Schistosoma haematobium eggs in urine samples by optical microscopy. Novel diagnostic techniques based on digital image analysis by Artificial Intelligence (AI) tools are a suitable alternative for schistosomiasis diagnosis.Methodology Digital images of 24 urine sediment samples were acquired in non-endemic settings. S. haematobium eggs were manually labeled in digital images by laboratory professionals and used for training YOLOv5 and YOLOv8 models, which would achieve automatic detection and localization of the eggs. Urine sediment images were also employed to perform binary classification of images to detect erythrocytes/leukocytes with the MobileNetv3Large, EfficientNetv2, and NasNetLarge models. A robotized microscope system was employed to automatically move the slide through the X-Y axis and to auto-focus the sample.Results A total number of 1189 labels were annotated in 1017 digital images from urine sediment samples. YOLOv5x training demonstrated a 99.3% precision, 99.4% recall, 99.3% F-score, and 99.4% mAP0.5 for S. haematobium detection. NasNetLarge has an 85.6% accuracy for erythrocyte/leukocyte detection with the test dataset. Convolutional neural network training and comparison demonstrated that YOLOv5x for the detection of eggs and NasNetLarge for the binary image classification to detect erythrocytes/leukocytes were the best options for our digital image database.Conclusions The development of low-cost novel diagnostic techniques based on the detection and identification of S. haematobium eggs in urine by AI tools would be a suitable alternative to conventional microscopy in non-endemic settings. This technical proof-of-principle study allows laying the basis for improving the system, and optimizing its implementation in the laboratories.</t>
  </si>
  <si>
    <t xml:space="preserve">HAEMATOBIUM EGGS</t>
  </si>
  <si>
    <t xml:space="preserve">[Maturana, Carles Rubio; Zarzuela, Francesc; Ruiz, Edurne; Sulleiro, Elena; Mediavilla, Alejandro; Martinez-Vallejo, Patricia; Pumarola, Tomas; Joseph-Munne, Joan] Vall d Hebron Univ Hosp, Vall d Hebron Res Inst VHIR, Microbiol Dept, Barcelona, Spain; [Maturana, Carles Rubio; Sulleiro, Elena; Mediavilla, Alejandro; Martinez-Vallejo, Patricia; Pumarola, Tomas] Univ Autonoma Barcelona UAB, Dept Microbiol &amp; Genet, Barcelona, Spain; [de Oliveira, Allisson Dantas; Lopez-Codina, Daniel] Univ Politecn Catalunya UPC, Phys Dept, Computat Biol &amp; Complex Syst Grp, Castelldefels, Spain; [Sulleiro, Elena] Inst Salud Carlos III, CIBER Enfermedades Infecciosas, Madrid, Spain; [Nadal, Sergi; Abello, Alberto] Univ Politecn Catalunya UPC, Serv &amp; Informat Syst Engn Dept, Database Technol &amp; Informat Management Grp, Barcelona, Spain; [Sayrol, Elisa] Univ Pompeu Fabra, TecnoCampus, Mataro, Spain</t>
  </si>
  <si>
    <t xml:space="preserve">Hospital Universitari Vall d'Hebron; Autonomous University of Barcelona; Hospital Universitari Vall d'Hebron; Universitat Politecnica de Catalunya; Instituto de Salud Carlos III; Universitat Politecnica de Catalunya; Pompeu Fabra University</t>
  </si>
  <si>
    <t xml:space="preserve">Sulleiro, E; Joseph-Munné, J (corresponding author), Vall d Hebron Univ Hosp, Vall d Hebron Res Inst VHIR, Microbiol Dept, Barcelona, Spain.;Sulleiro, E (corresponding author), Univ Autonoma Barcelona UAB, Dept Microbiol &amp; Genet, Barcelona, Spain.;Sulleiro, E (corresponding author), Inst Salud Carlos III, CIBER Enfermedades Infecciosas, Madrid, Spain.;Sayrol, E (corresponding author), Univ Pompeu Fabra, TecnoCampus, Mataro, Spain.</t>
  </si>
  <si>
    <t xml:space="preserve">elena.sulleiro@vallhebron.cat; esayrol@tecnocampus.cat</t>
  </si>
  <si>
    <t xml:space="preserve">Nadal, Sergi/AAB-7223-2021</t>
  </si>
  <si>
    <t xml:space="preserve">DANTAS DE OLIVEIRA, ALLISSON/0000-0002-8267-9760; Mediavilla Perez, Alejandro/0009-0000-5273-9251</t>
  </si>
  <si>
    <t xml:space="preserve">Microbiology Department of Vall d'Hebron University Hospital (MDVHUH); Computational Biology and Complex Systems Group (BIOCOMSC); Physics Department of the Universitat Politecnica de Catalunya; Cooperation Centre of the Universitat Politecnica de Catalunya (CCD-UPC); Signal &amp; Data Processing Research Group at TecnoCampus (SDPRGT); ISCIII, FIS [PI20/00217]; Spanish national plan PEICTI, project WaterWritten by Ministerio de Ciencia e Innovacion (MCIN/AEI) [PID2023-14664OB-I00, PID-2022-139216NB-I00]; MDVHUH; BIOCOMSC; CCD-UPC; SDPRGT</t>
  </si>
  <si>
    <t xml:space="preserve">Microbiology Department of Vall d'Hebron University Hospital (MDVHUH); Computational Biology and Complex Systems Group (BIOCOMSC); Physics Department of the Universitat Politecnica de Catalunya; Cooperation Centre of the Universitat Politecnica de Catalunya (CCD-UPC); Signal &amp; Data Processing Research Group at TecnoCampus (SDPRGT); ISCIII, FIS(Instituto de Salud Carlos III); Spanish national plan PEICTI, project WaterWritten by Ministerio de Ciencia e Innovacion (MCIN/AEI); MDVHUH; BIOCOMSC; CCD-UPC; SDPRGT</t>
  </si>
  <si>
    <t xml:space="preserve">This research was funded by the Microbiology Department of Vall d'Hebron University Hospital (MDVHUH), the Computational Biology and Complex Systems Group (BIOCOMSC), Physics Department of the Universitat Politecnica de Catalunya, the Cooperation Centre of the Universitat Politecnica de Catalunya (CCD-UPC) and the Signal &amp; Data Processing Research Group at TecnoCampus (SDPRGT). In addition, we acknowledge support by ISCIII, FIS PI20/00217 (awarded to JJM), Spanish national plan PEICTI, project WaterWritten, PID2023-14664OB-I00 and PID-2022-139216NB-I00 (awarded to DLC and BIOCOMSC group) funded by Ministerio de Ciencia e Innovacion (MCIN/AEI/10.13039/501100011033). The funders MDVHUH, BIOCOMSC, CCD-UPC and SDPRGT had roles in study design, data collection and analysis, decision to publish, or preparation of the manuscript. The other funders had no roles in study design, data collection and analysis, decision to publish, or preparation of the manuscript.</t>
  </si>
  <si>
    <t xml:space="preserve">e0012614</t>
  </si>
  <si>
    <t xml:space="preserve">10.1371/journal.pntd.0012614</t>
  </si>
  <si>
    <t xml:space="preserve">L1Y0X</t>
  </si>
  <si>
    <t xml:space="preserve">WOS:001348735100002</t>
  </si>
  <si>
    <t xml:space="preserve">Singer, BJ; Coulibaly, JT; Park, HJ; Andrews, JR; Bogoch, II; Lo, NC</t>
  </si>
  <si>
    <t xml:space="preserve">Singer, Benjamin J.; Coulibaly, Jean T.; Park, Hailey J.; Andrews, Jason R.; Bogoch, Isaac I.; Lo, Nathan C.</t>
  </si>
  <si>
    <t xml:space="preserve">Development of prediction models to identify hotspots of schistosomiasis in endemic regions to guide mass drug administration</t>
  </si>
  <si>
    <t xml:space="preserve">Schistosomiasis is a neglected tropical disease affecting over 150 million people. Hotspots of Schistosoma transmission-communities where infection prevalence does not decline adequately with mass drug administration-present a key challenge in eliminating schistosomiasis. Current approaches to identify hotspots require evaluation 2-5 y after a baseline survey and subsequent mass drug administration. Here, we develop statistical models to predict hotspots at baseline prior to treatment comparing three common hotspot definitions, using epidemiologic, survey-based, and remote sensing data. In a reanalysis of randomized trials in 589 communities in five endemic countries, a regression model predicts whether Schistosoma mansoni infection prevalence will exceed the WHO threshold of 10% in year 5 (prevalence hotspot) with 86% sensitivity, 74% specificity, and 93% negative predictive value (NPV; assuming 30% hotspot prevalence), and a regression model for Schistosoma haematobium achieves 90% sensitivity, 90% specificity, and 96% NPV. A random forest model predicts whether S. mansoni moderate and heavy infection prevalence will exceed a public health goal of 1% in year 5 (intensity hotspot) with 92% sensitivity, 79% specificity, and 96% NPV, and a boosted trees model for S. haematobium achieves 77% sensitivity, 95% specificity, and 91% NPV. Baseline prevalence is a top predictor in all models. Prediction is less accurate in countries not represented in training data and for a third hotspot definition based on relative prevalence reduction over time (persistent hotspot). These models may be a tool to prioritize high- risk communities for more frequent surveillance or intervention against schistosomiasis, but prediction of hotspots remains a challenge.</t>
  </si>
  <si>
    <t xml:space="preserve">PROCEEDINGS OF THE NATIONAL ACADEMY OF SCIENCES OF THE UNITED STATES OF AMERICA</t>
  </si>
  <si>
    <t xml:space="preserve">NATL ACAD SCIENCES</t>
  </si>
  <si>
    <t xml:space="preserve">schistosomiasis; hotspots; neglected tropical; diseases; machine learning; public health</t>
  </si>
  <si>
    <t xml:space="preserve">PREVENTIVE CHEMOTHERAPY; TRANSMISSION DYNAMICS; MANSONI INFECTION; AFRICA; IMPLEMENTATION; HETEROGENEITY; PRAZIQUANTEL; HAEMATOBIUM; LESSONS</t>
  </si>
  <si>
    <t xml:space="preserve">[Singer, Benjamin J.; Park, Hailey J.; Andrews, Jason R.; Lo, Nathan C.] Stanford Univ, Div Infect Dis &amp; Geog Med, Dept Med, Stanford, CA 94304 USA; [Coulibaly, Jean T.] Univ Felix Houphouet Boigny, Unite Format &amp; Rech Biosci, Abidjan, Cote Ivoire; [Coulibaly, Jean T.] Ctr Suisse Rech Sci Cote Ivoire, Abidjan, Cote Ivoire; [Coulibaly, Jean T.] Swiss Trop &amp; Publ Hlth Inst, CH-4123 Allschwil, Switzerland; [Coulibaly, Jean T.] Univ Basel, CH-4001 Basel, Switzerland; [Bogoch, Isaac I.] Univ Toronto, Dept Med, Toronto, ON M5S 1A8, Canada</t>
  </si>
  <si>
    <t xml:space="preserve">Stanford University; Universite Felix Houphouet-Boigny; Centre Suisse de Recherches Scientifiques en Cote d'Ivoire (CSRS); University of Basel; Swiss Tropical &amp; Public Health Institute; University of Basel; University of Toronto</t>
  </si>
  <si>
    <t xml:space="preserve">Lo, NC (corresponding author), Stanford Univ, Div Infect Dis &amp; Geog Med, Dept Med, Stanford, CA 94304 USA.</t>
  </si>
  <si>
    <t xml:space="preserve">Nathan.Lo@stanford.edu</t>
  </si>
  <si>
    <t xml:space="preserve">Park, Hailey/JTU-2272-2023</t>
  </si>
  <si>
    <t xml:space="preserve">Lo, Nathan/0000-0002-5407-2005; Park, Hailey Jiyoon/0009-0006-3664-7318; Andrews, Jason/0000-0002-5967-251X</t>
  </si>
  <si>
    <t xml:space="preserve">University of California San Francisco Institute for Global Health Sciences Affiliate Faculty Seed Award; University Health Network award; NIH, National Institute of Allergy and Infectious Diseases New Innovator Award [DP2AI170485]</t>
  </si>
  <si>
    <t xml:space="preserve">University of California San Francisco Institute for Global Health Sciences Affiliate Faculty Seed Award; University Health Network award; NIH, National Institute of Allergy and Infectious Diseases New Innovator Award</t>
  </si>
  <si>
    <t xml:space="preserve">This study was supported by a University of California San Francisco Institute for Global Health Sciences Affiliate Faculty Seed Award and University Health Network award. N.C.L. is supported by a NIH, National Institute of Allergy and Infectious Diseases New Innovator Award (DP2AI170485) .</t>
  </si>
  <si>
    <t xml:space="preserve">2101 CONSTITUTION AVE NW, WASHINGTON, DC 20418 USA</t>
  </si>
  <si>
    <t xml:space="preserve">0027-8424</t>
  </si>
  <si>
    <t xml:space="preserve">1091-6490</t>
  </si>
  <si>
    <t xml:space="preserve">P NATL ACAD SCI USA</t>
  </si>
  <si>
    <t xml:space="preserve">Proc. Natl. Acad. Sci. U. S. A.</t>
  </si>
  <si>
    <t xml:space="preserve">JAN 9</t>
  </si>
  <si>
    <t xml:space="preserve">e2315463120</t>
  </si>
  <si>
    <t xml:space="preserve">10.1073/pnas.2315463120</t>
  </si>
  <si>
    <t xml:space="preserve">FP9B2</t>
  </si>
  <si>
    <t xml:space="preserve">WOS:001147157500005</t>
  </si>
  <si>
    <t xml:space="preserve">Pacher, G; Franca, T; Lacerda, M; Alves, NO; Piranda, EM; Arruda, C; Cena, C</t>
  </si>
  <si>
    <t xml:space="preserve">Pacher, Gabriela; Franca, Thiago; Lacerda, Miller; Alves, Natalia O.; Piranda, Eliane M.; Arruda, Carla; Cena, Cicero</t>
  </si>
  <si>
    <t xml:space="preserve">Diagnosis of Cutaneous Leishmaniasis Using FTIR Spectroscopy and Machine Learning: An Animal Model Study</t>
  </si>
  <si>
    <t xml:space="preserve">Cutaneous leishmaniasis (CL) is a polymorphic and spectral skin disease caused by Leishmania spp. protozoan parasites. CL is difficult to diagnose because conventional methods are time-consuming, expensive, and low-sensitive. Fourier transform infrared spectroscopy (FTIR) with machine learning (ML) algorithms has been explored as an alternative to achieve fast and accurate results for many disease diagnoses. Besides the high accuracy demonstrated in numerous studies, the spectral variations between infected and noninfected groups are too subtle to be noticed. Since variability in sample set characteristics (such as sex, age, and diet) often leads to significant data variance and limits the comprehensive understanding of spectral characteristics and immune responses, we investigate a novel methodology for diagnosing CL in an animal model study. Blood serum, skin lesions, and draining popliteal lymph node samples were collected from Leishmania (Leishmania) amazonensis-infected BALB/C mice under experimental conditions. The FTIR method and ML algorithms accurately differentiated between infected (CL group) and noninfected (control group) samples. The best overall accuracy (similar to 72%) was obtained in an external validation test using principal component analysis and support vector machine algorithms in the 1800-700 cm(-1) range for blood serum samples. The accuracy achieved in analyzing skin lesions and popliteal lymph node samples was satisfactory; however, notable disparities emerged in the validation tests compared to results obtained from blood samples. This discrepancy is likely attributed to the elevated sample variability resulting from molecular compositional differences. According to the findings, the successful functioning of prediction models is mainly related to data analysis rather than the differences in the molecular composition of the samples.</t>
  </si>
  <si>
    <t xml:space="preserve">ACS INFECTIOUS DISEASES</t>
  </si>
  <si>
    <t xml:space="preserve">AMER CHEMICAL SOC</t>
  </si>
  <si>
    <t xml:space="preserve">infrared spectroscopy; experimentalcutaneous leishmaniasis; Leishmania amazonensis; multivariate analysis; photodiagnosis; biofluids</t>
  </si>
  <si>
    <t xml:space="preserve">AMAZONENSIS</t>
  </si>
  <si>
    <t xml:space="preserve">[Pacher, Gabriela; Alves, Natalia O.; Piranda, Eliane M.; Arruda, Carla] Univ Fed Mato Grosso do Sul, Lab Parasitol Humana, Inst Biociencias, BR-79070900 Campo Grande, MS, Brazil; [Franca, Thiago; Lacerda, Miller; Cena, Cicero] Univ Fed Mato Grosso do Sul, Lab Opt &amp; Foton SISFOTON UFMS, Inst Fis, BR-79070900 Campo Grande, MS, Brazil</t>
  </si>
  <si>
    <t xml:space="preserve">Universidade Federal de Mato Grosso do Sul; Universidade Federal de Mato Grosso do Sul</t>
  </si>
  <si>
    <t xml:space="preserve">Arruda, C (corresponding author), Univ Fed Mato Grosso do Sul, Lab Parasitol Humana, Inst Biociencias, BR-79070900 Campo Grande, MS, Brazil.;Cena, C (corresponding author), Univ Fed Mato Grosso do Sul, Lab Opt &amp; Foton SISFOTON UFMS, Inst Fis, BR-79070900 Campo Grande, MS, Brazil.</t>
  </si>
  <si>
    <t xml:space="preserve">carla.arruda@ufms.br; cicero.cena@ufms.br</t>
  </si>
  <si>
    <t xml:space="preserve">Cena, Cícero/AAA-4405-2021; de Oliveira Lacerda, Miller/KDA-5987-2024; França, Thiago/AAP-2622-2020; Cena, Cicero/E-6660-2017</t>
  </si>
  <si>
    <t xml:space="preserve">Cena, Cicero/0000-0001-8766-6144</t>
  </si>
  <si>
    <t xml:space="preserve">Conselho Nacional de Desenvolvimento Cient?fico e Tecnol?gico [001]; Coordenacao de Aperfeicoamento de Pessoal de Nivel Superior (CAPES) [302525/2022-0, 440214/2021-1]; Conselho Nacional de Desenvolvimento Cientifico e Tecnologico (CNPQ) [91/2023, 360/2022]; Fundacao de Apoio ao Desenvolvimento do Ensino, Ciencia e Tecnologia do Estado de Mato Grosso do Sul (FUNDECT)</t>
  </si>
  <si>
    <t xml:space="preserve">Conselho Nacional de Desenvolvimento Cient?fico e Tecnol?gico; Coordenacao de Aperfeicoamento de Pessoal de Nivel Superior (CAPES)(Coordenacao de Aperfeicoamento de Pessoal de Nivel Superior (CAPES)); Conselho Nacional de Desenvolvimento Cientifico e Tecnologico (CNPQ)(Conselho Nacional de Desenvolvimento Cientifico e Tecnologico (CNPQ)); Fundacao de Apoio ao Desenvolvimento do Ensino, Ciencia e Tecnologia do Estado de Mato Grosso do Sul (FUNDECT)(Fundacao de Apoio ao Desenvolvimento do Ensino Ciencia e Tecnologia do Estado de Mato Grosso do Sul (FUNDECT MS))</t>
  </si>
  <si>
    <t xml:space="preserve">Coordenacao de Aperfeicoamento de Pessoal de Nivel Superior (CAPES), code 001. Conselho Nacional de Desenvolvimento Cientifico e Tecnologico (CNPQ), codes 403651/2020-5; 302525/2022-0; and 440214/2021-1. Fundacao de Apoio ao Desenvolvimento do Ensino, Ciencia e Tecnologia do Estado de Mato Grosso do Sul (FUNDECT), code 91/2023; 360/2022.</t>
  </si>
  <si>
    <t xml:space="preserve">1155 16TH ST, NW, WASHINGTON, DC 20036 USA</t>
  </si>
  <si>
    <t xml:space="preserve">2373-8227</t>
  </si>
  <si>
    <t xml:space="preserve">ACS INFECT DIS</t>
  </si>
  <si>
    <t xml:space="preserve">ACS Infect. Dis.</t>
  </si>
  <si>
    <t xml:space="preserve">JAN 8</t>
  </si>
  <si>
    <t xml:space="preserve">10.1021/acsinfecdis.3c00430</t>
  </si>
  <si>
    <t xml:space="preserve">Chemistry, Medicinal; Infectious Diseases</t>
  </si>
  <si>
    <t xml:space="preserve">Pharmacology &amp; Pharmacy; Infectious Diseases</t>
  </si>
  <si>
    <t xml:space="preserve">HS0K3</t>
  </si>
  <si>
    <t xml:space="preserve">WOS:001161375100001</t>
  </si>
  <si>
    <t xml:space="preserve">Lundin, J; Suutala, A; Holmström, O; Henriksson, S; Valkamo, S; Kaingu, H; Kinyua, F; Muinde, M; Lundin, M; Diwan, V; Mårtensson, A; Linder, N</t>
  </si>
  <si>
    <t xml:space="preserve">Lundin, Johan; Suutala, Antti; Holmstrom, Oscar; Henriksson, Samuel; Valkamo, Severi; Kaingu, Harrison; Kinyua, Felix; Muinde, Martin; Lundin, Mikael; Diwan, Vinod; Martensson, Andreas; Linder, Nina</t>
  </si>
  <si>
    <t xml:space="preserve">Diagnosis of soil-transmitted helminth infections with digital mobile microscopy and artificial intelligence in a resource-limited setting</t>
  </si>
  <si>
    <t xml:space="preserve">Background Infections caused by soil-transmitted helminths (STHs) are the most prevalent neglected tropical diseases and result in a major disease burden in low- and middle-income countries, especially in school-aged children. Improved diagnostic methods, especially for light intensity infections, are needed for efficient, control and elimination of STHs as a public health problem, as well as STH management. Image-based artificial intelligence (AI) has shown promise for STH detection in digitized stool samples. However, the diagnostic accuracy of AI-based analysis of entire microscope slides, so called whole-slide images (WSI), has previously not been evaluated on a sample-level in primary healthcare settings in STH endemic countries.Methodology/Principal findings Stool samples (n = 1,335) were collected during 2020 from children attending primary schools in Kwale County, Kenya, prepared according to the Kato-Katz method at a local primary healthcare laboratory and digitized with a portable whole-slide microscopy scanner and uploaded via mobile networks to a cloud environment. The digital samples of adequate quality (n = 1,180) were split into a training (n = 388) and test set (n = 792) and a deep-learning system (DLS) developed for detection of STHs. The DLS findings were compared with expert manual microscopy and additional visual assessment of the digital samples in slides with discordant results between the methods. Manual microscopy detected 15 (1.9%) Ascaris lumbricoides, 172 (21.7%) Tricuris trichiura and 140 (17.7%) hookworm (Ancylostoma duodenale or Necator americanus) infections in the test set. Importantly, more than 90% of all STH positive cases represented light intensity infections. With manual microscopy as the reference standard, the sensitivity of the DLS as the index test for detection of A. lumbricoides, T. trichiura and hookworm was 80%, 92% and 76%, respectively. The corresponding specificity was 98%, 90% and 95%. Notably, in 79 samples (10%) classified as negative by manual microscopy for a specific species, STH eggs were detected by the DLS and confirmed correct by visual inspection of the digital samples.Conclusions/Significance Analysis of digitally scanned stool samples with the DLS provided high diagnostic accuracy for detection of STHs. Importantly, a substantial number of light intensity infections were missed by manual microscopy but detected by the DLS. Thus, analysis of WSIs with image-based AI may provide a future tool for improved detection of STHs in a primary healthcare setting, which in turn could facilitate monitoring and evaluation of control programs. In this school survey conducted within a primary healthcare setting in rural Kenya, a deep-learning system (DLS) was developed for detection of eggs secreted in human stool from intestinal worms, so called soil-transmitted helminths (STHs). Infections caused by STHs are the most common neglected tropical diseases and a major cause of health impairment in low- and middle-income countries. Novel diagnostic methods are needed to improve disease control. In the current study, stool samples were collected from children attending local primary schools and digitized using a portable slide scanner and uploaded via mobile networks to a cloud repository. Using the digital samples, a DLS was trained and tested for the detection of eggs of the most common STHs (Ascaris lumbricoides, Tricuris trichiura and hookworms) and compared to conventional manual microscopy analysis of the samples. The results showed that the DLS was able to accurately detect STHs in the digital samples. Although the DLS detected some false positive parasites, it was able to detect a significant number of parasites that had been missed with conventional microscopy analysis. The study concludes that digital microscopy, supported by image-based artificial intelligence, can be implemented in a primary health care setting and may provide a future tool for improved STH detection and, thereby, better monitoring and evaluation of control programs. The digital method is especially promising in light intensity infections, with only a few parasite eggs per sample.</t>
  </si>
  <si>
    <t xml:space="preserve">SCHISTOSOMA; SENSITIVITY</t>
  </si>
  <si>
    <t xml:space="preserve">[Lundin, Johan; Henriksson, Samuel; Valkamo, Severi; Diwan, Vinod] Karolinska Inst, Dept Global Publ Hlth, Stockholm, Sweden; [Lundin, Johan; Suutala, Antti; Holmstrom, Oscar; Lundin, Mikael; Linder, Nina] Univ Helsinki, Inst Mol Med Finland FIMM, HiLIFE, Helsinki, Finland; [Kaingu, Harrison; Kinyua, Felix; Muinde, Martin] Kinondo Kwetu Hosp, Kinondo, Kwale County, Kenya; [Martensson, Andreas; Linder, Nina] Uppsala Univ, Dept Womens &amp; Childrens Hlth, Global Hlth &amp; Migrat Unit, Uppsala, Sweden</t>
  </si>
  <si>
    <t xml:space="preserve">Karolinska Institutet; University of Helsinki; Uppsala University</t>
  </si>
  <si>
    <t xml:space="preserve">Lundin, J (corresponding author), Karolinska Inst, Dept Global Publ Hlth, Stockholm, Sweden.;Lundin, J (corresponding author), Univ Helsinki, Inst Mol Med Finland FIMM, HiLIFE, Helsinki, Finland.</t>
  </si>
  <si>
    <t xml:space="preserve">johan.lundin@ki.se</t>
  </si>
  <si>
    <t xml:space="preserve">Linder, Nina/JPW-8341-2023; Lundin, Johan/I-1843-2018</t>
  </si>
  <si>
    <t xml:space="preserve">Lundin, Johan/0000-0002-2681-4139; Linder, Nina/0000-0003-3930-0513</t>
  </si>
  <si>
    <t xml:space="preserve">Erling-Persson Foundation [2021 0110]; Vetenskapsradet [2021-04811]; Finska Laekaresaellskapet r.f.; Medicinska Understoedsfoereningen Liv och Haelsa rf; Wilhelm och Else Stockmanns stiftelse; Vinnova [2021-04811] Funding Source: Vinnova; Swedish Research Council [2021-04811] Funding Source: Swedish Research Council</t>
  </si>
  <si>
    <t xml:space="preserve">Erling-Persson Foundation(ACEV Foundation); Vetenskapsradet(Swedish Research Council); Finska Laekaresaellskapet r.f.; Medicinska Understoedsfoereningen Liv och Haelsa rf; Wilhelm och Else Stockmanns stiftelse; Vinnova(Vinnova); Swedish Research Council(Swedish Research Council)</t>
  </si>
  <si>
    <t xml:space="preserve">This research was financially supported by The Erling-Persson Foundation (grant number 2021 0110) JL, Vetenskapsradet (grant number 2021-04811) JL, Finska Laekaresaellskapet r.f. JL, Medicinska Understoedsfoereningen Liv och Haelsa rf JL and Wilhelm och Else Stockmanns stiftelse JL. The funders had no role in study design, data collection and analysis, decision to publish, or preparation of the manuscript.</t>
  </si>
  <si>
    <t xml:space="preserve">e0012041</t>
  </si>
  <si>
    <t xml:space="preserve">10.1371/journal.pntd.0012041</t>
  </si>
  <si>
    <t xml:space="preserve">NT8O0</t>
  </si>
  <si>
    <t xml:space="preserve">WOS:001202800300003</t>
  </si>
  <si>
    <t xml:space="preserve">Sundling, C; Yman, V; Mousavian, Z; Angenendt, S; Foroogh, F; von Horn, E; Lautenbach, MJ; Grunewald, J; Faernert, A; Sonden, K</t>
  </si>
  <si>
    <t xml:space="preserve">Sundling, Christopher; Yman, Victor; Mousavian, Zaynab; Angenendt, Sina; Foroogh, Fariba; von Horn, Ellen; Lautenbach, Maximilian Julius; Grunewald, Johan; Faernert, Anna; Sonden, Klara</t>
  </si>
  <si>
    <t xml:space="preserve">Disease-specific plasma protein profiles in patients with fever after traveling to tropical areas</t>
  </si>
  <si>
    <t xml:space="preserve">Fever is common among individuals seeking healthcare after traveling to tropical regions. Despite the association with potentially severe disease, the etiology is often not determined. Plasma protein patterns can be informative to understand the host response to infection and can potentially indicate the pathogen causing the disease. In this study, we measured 49 proteins in the plasma of 124 patients with fever after travel to tropical or subtropical regions. The patients had confirmed diagnoses of either malaria, dengue fever, influenza, bacterial respiratory tract infection, or bacterial gastroenteritis, representing the most common etiologies. We used multivariate and machine learning methods to identify combinations of proteins that contributed to distinguishing infected patients from healthy controls, and each other. Malaria displayed the most unique protein signature, indicating a strong immunoregulatory response with high levels of IL10, sTNFRI and II, and sCD25 but low levels of sCD40L. In contrast, bacterial gastroenteritis had high levels of sCD40L, APRIL, and IFN-gamma, while dengue was the only infection with elevated IFN-alpha 2. These results suggest that characterization of the inflammatory profile of individuals with fever can help to identify disease-specific host responses, which in turn can be used to guide future research on diagnostic strategies and therapeutic interventions. image</t>
  </si>
  <si>
    <t xml:space="preserve">EUROPEAN JOURNAL OF IMMUNOLOGY</t>
  </si>
  <si>
    <t xml:space="preserve">Cytokines; Dengue; Diagnostics; Fever; Gastroenteritis; Influenza; Malaria; Pneumonia; Travel medicine</t>
  </si>
  <si>
    <t xml:space="preserve">C-REACTIVE PROTEIN; TUMOR-NECROSIS-FACTOR; FEBRILE ILLNESS; RECEPTORS; RECOGNITION; PARASITEMIA; MULTICENTER; CORRELATE; MALARIA; MARKERS</t>
  </si>
  <si>
    <t xml:space="preserve">[Sundling, Christopher; Yman, Victor; Mousavian, Zaynab; Angenendt, Sina; Foroogh, Fariba; von Horn, Ellen; Lautenbach, Maximilian Julius; Faernert, Anna; Sonden, Klara] Karolinska Inst, Dept Med Solna, Div Infect Dis, Stockholm, Sweden; [Sundling, Christopher; Mousavian, Zaynab; Lautenbach, Maximilian Julius; Faernert, Anna] Karolinska Univ Hosp, Dept Infect Dis, Stockholm, Sweden; [Sundling, Christopher; Mousavian, Zaynab; Lautenbach, Maximilian Julius; Grunewald, Johan; Faernert, Anna] Karolinska Inst, Ctr Mol Med, Stockholm, Sweden; [Yman, Victor] Danderyd Hosp, Dept Infect Dis, Stockholm, Sweden; [Grunewald, Johan] Karolinska Inst, Dept Med, Resp Med Unit, Stockholm, Sweden; [Grunewald, Johan] Karolinska Univ Hosp Solna, Stockholm, Sweden; [Sundling, Christopher; Sonden, Klara] Karolinska Inst, Dept Med Solna, Div Infect Dis, Swedene mail:, BioClinicum J7 20, S-17164 Solna, Sweden</t>
  </si>
  <si>
    <t xml:space="preserve">Karolinska Institutet; Karolinska Institutet; Karolinska University Hospital; Karolinska Institutet; Danderyds Hospital; Karolinska Institutet; Karolinska Institutet; Karolinska University Hospital; Karolinska Institutet</t>
  </si>
  <si>
    <t xml:space="preserve">Sundling, C; Sonden, K (corresponding author), Karolinska Inst, Dept Med Solna, Div Infect Dis, Swedene mail:, BioClinicum J7 20, S-17164 Solna, Sweden.</t>
  </si>
  <si>
    <t xml:space="preserve">christopher.sundling@ki.se; klara.sonden@ki.se</t>
  </si>
  <si>
    <t xml:space="preserve">Grunewald, Johan/GQZ-8122-2022; Yman, Victor/KHX-6738-2024; Sundling, Christopher/H-7707-2019</t>
  </si>
  <si>
    <t xml:space="preserve">Angenendt, Sina/0000-0003-0827-7613; Sundling, Christopher/0000-0002-6138-690X</t>
  </si>
  <si>
    <t xml:space="preserve">Magnus Bergvall Foundation [2018-02656]; Tore Nilsson Foundation [2018-00608]; Swedish Society of Medicine [SLS-934363]; Ake Wiberg Foundation [M18-0076]; Swedish Heart-Lung Foundation [20220566]; Swedish Research Council [2019-01034, 2021-03706, 2023-01943]; Tornspiran foundation; Region Stockholm [20180120]; Stockholm County Council; Karolinska Institutet [2019-01940]; [20190478]; Swedish Research Council [2021-03706, 2019-01940, 2018-00608, 2019-01034] Funding Source: Swedish Research Council; Vinnova [2019-01940] Funding Source: Vinnova</t>
  </si>
  <si>
    <t xml:space="preserve">Magnus Bergvall Foundation; Tore Nilsson Foundation; Swedish Society of Medicine; Ake Wiberg Foundation; Swedish Heart-Lung Foundation(Swedish Heart-Lung Foundation); Swedish Research Council(Swedish Research Council); Tornspiran foundation(ACEV Foundation); Region Stockholm; Stockholm County Council(Stockholm County Council); Karolinska Institutet(Karolinska Institutet); ; Swedish Research Council(Swedish Research Council); Vinnova(Vinnova)</t>
  </si>
  <si>
    <t xml:space="preserve">The authors thank all patients and healthy control individuals who participated in the study. The authors also express their gratitude to clinicians, nurses, and medical students for assisting us with study inclusion. This study was supported by funding from the Magnus Bergvall Foundation (2018-02656), Tore Nilsson Foundation (2018-00608), Swedish Society of Medicine (SLS-934363), ake Wiberg Foundation (M18-0076), the Swedish Heart-Lung Foundation (20220566), and the Swedish Research Council (2019-01940, 2021-03706 and 2023-01943) to CS and grants from Tornspiran foundation to KS and ALF-grants from Region Stockholm to AF. Work with JG was supported by grants from the Swedish Heart-Lung Foundation (20190478), the Swedish Research Council (2019-01034), the Regional Agreement on Medical Training and Clinical Research between Stockholm County Council, and the Karolinska Institutet (20180120).</t>
  </si>
  <si>
    <t xml:space="preserve">0014-2980</t>
  </si>
  <si>
    <t xml:space="preserve">1521-4141</t>
  </si>
  <si>
    <t xml:space="preserve">EUR J IMMUNOL</t>
  </si>
  <si>
    <t xml:space="preserve">Eur. J. Immunol.</t>
  </si>
  <si>
    <t xml:space="preserve">10.1002/eji.202350784</t>
  </si>
  <si>
    <t xml:space="preserve">FEB 2024</t>
  </si>
  <si>
    <t xml:space="preserve">Immunology</t>
  </si>
  <si>
    <t xml:space="preserve">NP6X3</t>
  </si>
  <si>
    <t xml:space="preserve">Green Submitted, hybrid</t>
  </si>
  <si>
    <t xml:space="preserve">WOS:001155476900001</t>
  </si>
  <si>
    <t xml:space="preserve">Rousse, B; Lobry, S; Duthé, G; Golaz, V; Wendling, L</t>
  </si>
  <si>
    <t xml:space="preserve">Rousse, Basile; Lobry, Sylvain; Duthe, Geraldine; Golaz, Valerie; Wendling, Laurent</t>
  </si>
  <si>
    <t xml:space="preserve">Domain Adaptation for Mapping LCZs in Sub-Saharan Africa With Remote Sensing: A Comprehensive Approach to Health Data Analysis</t>
  </si>
  <si>
    <t xml:space="preserve">Environment and population are closely linked, but their interactions remain challenging to assess. To fill this gap, modeling the environment at a fine resolution brings a significant value, if combined with population-based studies. This is particularly challenging in regions where the availability of both population and environmental data are limited. In low- and middle-income countries, many demographic and health data are from nationally representative household surveys, which now provide approximate geolocations of the sampled households. In parallel, freely available remote sensing data, due to their high spatial and temporal resolution, make it possible to capture the local environment at any time. This study aims to correlate standard demographic and health information with a high-resolution environment characterization derived from satellite data, encompassing both rural and urban areas in Sub-Saharan Africa. We use the malaria indicator survey conducted in 2017-2018 in Burkina Faso. We first present a deep semisupervised domain adaptation strategy based on the intertropical climatic characteristics of the country for precisely mapping local climate zones (LCZs). This strategy models seasonal variations through contrastive learning to extract useful information for the mapping process. We then use this high-resolution LCZ map to characterize, in four groups, the immediate environment of the sampled households. We find a significant association between these local environments and malaria among households' children. Going beyond the traditional dichotomous urban/rural characterization, our results provide interesting insights for public health. This innovative method offers new avenues for exploring population and environment interactions, especially in the growing climate change concern.</t>
  </si>
  <si>
    <t xml:space="preserve">IEEE JOURNAL OF SELECTED TOPICS IN APPLIED EARTH OBSERVATIONS AND REMOTE SENSING</t>
  </si>
  <si>
    <t xml:space="preserve">Remote sensing; Social factors; Africa; Malaria; Meteorology; Surveys; Climate change; Deep learning; Land surface; Environmental monitoring; demography; domain adaptation (DA); land cover; remote sensing</t>
  </si>
  <si>
    <t xml:space="preserve">LOCAL CLIMATE ZONES; SENTINEL-2 IMAGES; CLASSIFICATION</t>
  </si>
  <si>
    <t xml:space="preserve">[Rousse, Basile; Lobry, Sylvain; Wendling, Laurent] Univ Paris Cite, LIPADE, F-75006 Paris, France; [Rousse, Basile; Duthe, Geraldine; Golaz, Valerie] French Inst Demog Studies INED, LIPADE, F-93300 Aubervilliers, France</t>
  </si>
  <si>
    <t xml:space="preserve">Universite Paris Cite</t>
  </si>
  <si>
    <t xml:space="preserve">Rousse, B (corresponding author), Univ Paris Cite, LIPADE, F-75006 Paris, France.;Rousse, B (corresponding author), French Inst Demog Studies INED, LIPADE, F-93300 Aubervilliers, France.</t>
  </si>
  <si>
    <t xml:space="preserve">basile.rousse@u-paris.fr; sylvain.lobry@u-paris.fr; laurent.wendling@u-paris.fr</t>
  </si>
  <si>
    <t xml:space="preserve">Golaz, Valerie/HPC-8162-2023; Lobry, Sylvain/W-3871-2019</t>
  </si>
  <si>
    <t xml:space="preserve">Lobry, Sylvain/0000-0003-4738-2416</t>
  </si>
  <si>
    <t xml:space="preserve">Data Intelligence Institute of Paris (DiiP); IdEx Universite Paris Cite [ANR-18-IDEX-0001]; HPC resources from GENCI-IDRIS [2021-AD011013527]</t>
  </si>
  <si>
    <t xml:space="preserve">Data Intelligence Institute of Paris (DiiP); IdEx Universite Paris Cite; HPC resources from GENCI-IDRIS</t>
  </si>
  <si>
    <t xml:space="preserve">This work was supported in part by the Data Intelligence Institute of Paris (DiiP), in part by IdEx Universite Paris Cite under Grant ANR-18-IDEX-0001, and in part by HPC resources from GENCI-IDRIS under Grant 2021-AD011013527</t>
  </si>
  <si>
    <t xml:space="preserve">1939-1404</t>
  </si>
  <si>
    <t xml:space="preserve">2151-1535</t>
  </si>
  <si>
    <t xml:space="preserve">IEEE J-STARS</t>
  </si>
  <si>
    <t xml:space="preserve">IEEE J. Sel. Top. Appl. Earth Observ. Remote Sens.</t>
  </si>
  <si>
    <t xml:space="preserve">10.1109/JSTARS.2024.3421284</t>
  </si>
  <si>
    <t xml:space="preserve">Engineering, Electrical &amp; Electronic; Geography, Physical; Remote Sensing; Imaging Science &amp; Photographic Technology</t>
  </si>
  <si>
    <t xml:space="preserve">Engineering; Physical Geography; Remote Sensing; Imaging Science &amp; Photographic Technology</t>
  </si>
  <si>
    <t xml:space="preserve">ZP1W0</t>
  </si>
  <si>
    <t xml:space="preserve">WOS:001276418100019</t>
  </si>
  <si>
    <t xml:space="preserve">Lin, L; Dacal, E; Díez, N; Carmona, C; Ramirez, AM; Argos, LB; Bermejo-Peláez, D; Caballero, C; Cuadrado, D; Darias-Plasencia, O; García-Villena, J; Bakarjiev, A; Postigo, M; Recalde-Jaramillo, E; Flores-Chavez, M; Santos, A; Ledesma-Carbayo, MJ; Rubio, JM; Luengo-Oroz, M</t>
  </si>
  <si>
    <t xml:space="preserve">Lin, Lin; Dacal, Elena; Diez, Nuria; Carmona, Claudia; Ramirez, Alexandra Martin; Argos, Lourdes Baron; Bermejo-Pelaez, David; Caballero, Carla; Cuadrado, Daniel; Darias-Plasencia, Oscar; Garcia-Villena, Jaime; Bakarjiev, Alexander; Postigo, Maria; Recalde-Jaramillo, Ethan; Flores-Chavez, Maria; Santos, Andres; Ledesma-Carbayo, Maria Jesus; Rubio, Jose M.; Luengo-Oroz, Miguel</t>
  </si>
  <si>
    <t xml:space="preserve">Edge Artificial Intelligence (AI) for real-time automatic quantification of filariasis in mobile microscopy</t>
  </si>
  <si>
    <t xml:space="preserve">Filariasis, a neglected tropical disease caused by roundworms, is a significant public health concern in many tropical countries. Microscopic examination of blood samples can detect and differentiate parasite species, but it is time consuming and requires expert microscopists, a resource that is not always available. In this context, artificial intelligence (AI) can assist in the diagnosis of this disease by automatically detecting and differentiating microfilariae. In line with the target product profile for lymphatic filariasis as defined by the World Health Organization, we developed an edge AI system running on a smartphone whose camera is aligned with the ocular of an optical microscope that detects and differentiates filarias species in real time without the internet connection. Our object detection algorithm that uses the Single-Shot Detection (SSD) MobileNet V2 detection model was developed with 115 cases, 85 cases with 1903 fields of view and 3342 labels for model training, and 30 cases with 484 fields of view and 873 labels for model validation before clinical validation, is able to detect microfilarias at 10x magnification and distinguishes four species of them at 40x magnification: Loa loa, Mansonella perstans, Wuchereria bancrofti, and Brugia malayi. We validated our augmented microscopy system in the clinical environment by replicating the diagnostic workflow encompassed examinations at 10x and 40x with the assistance of the AI models analyzing 18 samples with the AI running on a middle range smartphone. It achieved an overall precision of 94.14%, recall of 91.90% and F1 score of 93.01% for the screening algorithm and 95.46%, 97.81% and 96.62% for the species differentiation algorithm respectively. This innovative solution has the potential to support filariasis diagnosis and monitoring, particularly in resource-limited settings where access to expert technicians and laboratory equipment is scarce. Filariasis is a common tropical infectious disease. Depending on the parasite, it causes lymphoedema, elephantiasis, itching, blindness, etc. It is estimated that more than 1 billion people require preventive chemotherapy to stop the spread of this infection. The diagnosis of this disease is made through microscopical examination of a blood smear by a human expert, which is not always available. In this study we propose an edge Artificial Intelligence (AI) system that detects and quantifies four species of microfilariae (Loa loa, Mansonella perstans, Wuchereria bancrofti and Brugia malayi) using the camera of a smartphone attached to an optical microscope with a 3D printed adapter. The system works in real time and does not need internet connectivity as the AI models are run locally in a medium range smartphone. We have replicated the diagnostic workflow that is typically performed by an expert microscopist augmented by the support of the AI system.</t>
  </si>
  <si>
    <t xml:space="preserve">ONCHOCERCIASIS; MEDICINE; DISEASE</t>
  </si>
  <si>
    <t xml:space="preserve">[Lin, Lin; Dacal, Elena; Diez, Nuria; Bermejo-Pelaez, David; Caballero, Carla; Cuadrado, Daniel; Darias-Plasencia, Oscar; Garcia-Villena, Jaime; Bakarjiev, Alexander; Postigo, Maria; Recalde-Jaramillo, Ethan; Luengo-Oroz, Miguel] Spotlab, Madrid, Spain; [Lin, Lin; Recalde-Jaramillo, Ethan; Santos, Andres; Ledesma-Carbayo, Maria Jesus] Univ Politecn Madrid, Biomed Image Technol, ETSI Telecomunicac, Madrid, Spain; [Lin, Lin; Recalde-Jaramillo, Ethan; Santos, Andres; Ledesma-Carbayo, Maria Jesus] Inst Salud Carlos III, CIBER Bioingn Biomat &amp; Nanomed, Madrid, Spain; [Carmona, Claudia; Ramirez, Alexandra Martin; Argos, Lourdes Baron; Flores-Chavez, Maria; Rubio, Jose M.] Inst Salud Carlos III Madrid, Malaria &amp; Emerging Parasit Dis Lab, Natl Microbiol Ctr, Madrid, Spain; [Ramirez, Alexandra Martin; Rubio, Jose M.] Ctr Invest Biomed Red Enfermedades Infecciosas CIB, Inst Salud Carlos III Madrid, Madrid, Spain; [Flores-Chavez, Maria] Fdn Mundo Sano, Madrid, Spain</t>
  </si>
  <si>
    <t xml:space="preserve">Universidad Politecnica de Madrid; Instituto de Salud Carlos III; CIBER - Centro de Investigacion Biomedica en Red; CIBERBBN</t>
  </si>
  <si>
    <t xml:space="preserve">Luengo-Oroz, M (corresponding author), Spotlab, Madrid, Spain.;Ledesma-Carbayo, MJ (corresponding author), Univ Politecn Madrid, Biomed Image Technol, ETSI Telecomunicac, Madrid, Spain.;Ledesma-Carbayo, MJ (corresponding author), Inst Salud Carlos III, CIBER Bioingn Biomat &amp; Nanomed, Madrid, Spain.;Rubio, JM (corresponding author), Inst Salud Carlos III Madrid, Malaria &amp; Emerging Parasit Dis Lab, Natl Microbiol Ctr, Madrid, Spain.;Rubio, JM (corresponding author), Ctr Invest Biomed Red Enfermedades Infecciosas CIB, Inst Salud Carlos III Madrid, Madrid, Spain.</t>
  </si>
  <si>
    <t xml:space="preserve">mj.ledesma@upm.es; jmrubio@isciii.es; miguel@spotlab.ai</t>
  </si>
  <si>
    <t xml:space="preserve">Martín Ramírez, Alexandra/HSE-8699-2023; Luengo-Oroz, Miguel/C-2245-2011; Rubio, Jose/L-1104-2014; Flores, Maria/HHD-2216-2022; Lin, Lin/HGC-3024-2022; Cuadrado, Daniel/AAQ-8921-2020; Ledesma-Carbayo, Maria J./D-5529-2009; Flores-Chavez, Maria/M-5918-2015; Santos, Andres/C-4012-2009</t>
  </si>
  <si>
    <t xml:space="preserve">MARTIN RAMIREZ, ALEXANDRA/0000-0002-1132-2211; Lin, Lin/0000-0003-3397-6002; Ledesma-Carbayo, Maria J./0000-0001-6846-3923; Flores-Chavez, Maria/0000-0003-2597-3100; Santos, Andres/0000-0001-7423-9135</t>
  </si>
  <si>
    <t xml:space="preserve">European Union [881062]; Bill and Melinda Gates Foundation [INV-051355]; Comunidad de Madrid Industrial Predoctoral [IND2019/TIC-17167]; Universidad Politecnica de Madrid; Bill and Melinda Gates Foundation [INV-051355] Funding Source: Bill and Melinda Gates Foundation</t>
  </si>
  <si>
    <t xml:space="preserve">European Union(European Union (EU)); Bill and Melinda Gates Foundation(Bill &amp; Melinda Gates Foundation); Comunidad de Madrid Industrial Predoctoral(Comunidad de Madrid); Universidad Politecnica de Madrid; Bill and Melinda Gates Foundation(Bill &amp; Melinda Gates Foundation)</t>
  </si>
  <si>
    <t xml:space="preserve">This work has been partially funded by the European Union's H2020 Innovation In SMEs research and innovation programme (grant agreement No 881062) and the Bill and Melinda Gates Foundation (grant number Edge-Spot project INV-051355). This work was supported by the Comunidad de Madrid Industrial Predoctoral grant (IND2019/TIC-17167 to LL and Universidad Politecnica de Madrid). The funders had no role in study design, data collection and analysis, decision to publish, or preparation of the manuscript.</t>
  </si>
  <si>
    <t xml:space="preserve">e0012117</t>
  </si>
  <si>
    <t xml:space="preserve">10.1371/journal.pntd.0012117</t>
  </si>
  <si>
    <t xml:space="preserve">OC5M2</t>
  </si>
  <si>
    <t xml:space="preserve">WOS:001205073300003</t>
  </si>
  <si>
    <t xml:space="preserve">Mujahid, M; Rustam, F; Shafique, R; Montero, EC; Alvarado, ES; Diez, ID; Ashraf, I</t>
  </si>
  <si>
    <t xml:space="preserve">Mujahid, Muhammad; Rustam, Furqan; Shafique, Rahman; Montero, Elizabeth Caro; Alvarado, Eduardo Silva; de la Torre Diez, Isabel; Ashraf, Imran</t>
  </si>
  <si>
    <t xml:space="preserve">Efficient deep learning-based approach for malaria detection using red blood cell smears</t>
  </si>
  <si>
    <t xml:space="preserve">Malaria is an extremely malignant disease and is caused by the bites of infected female mosquitoes. This disease is not only infectious among humans, but among animals as well. Malaria causes mild symptoms like fever, headache, sweating and vomiting, and muscle discomfort; severe symptoms include coma, seizures, and kidney failure. The timely identification of malaria parasites is a challenging and chaotic endeavor for health staff. An expert technician examines the schematic blood smears of infected red blood cells through a microscope. The conventional methods for identifying malaria are not efficient. Machine learning approaches are effective for simple classification challenges but not for complex tasks. Furthermore, machine learning involves rigorous feature engineering to train the model and detect patterns in the features. On the other hand, deep learning works well with complex tasks and automatically extracts low and high-level features from the images to detect disease. In this paper, EfficientNet, a deep learning-based approach for detecting Malaria, is proposed that uses red blood cell images. Experiments are carried out and performance comparison is made with pre-trained deep learning models. In addition, k-fold cross-validation is also used to substantiate the results of the proposed approach. Experiments show that the proposed approach is 97.57% accurate in detecting Malaria from red blood cell images and can be beneficial practically for medical healthcare staff.</t>
  </si>
  <si>
    <t xml:space="preserve">Malaria detection; EfficientNet; Transfer learning; Disease detection</t>
  </si>
  <si>
    <t xml:space="preserve">[Mujahid, Muhammad] Prince Sultan Univ, Artificial Intelligence &amp; Data Analyt AIDA Lab, CCIS, Riyadh 11586, Saudi Arabia; [Rustam, Furqan] Univ Coll Dublin, Sch Comp Sci, Dublin D04 V1W8, Ireland; [Shafique, Rahman; Ashraf, Imran] Yeungnam Univ, Dept Informat &amp; Commun Engn, Gyongsan, Gyeongbuk, South Korea; [Montero, Elizabeth Caro; Alvarado, Eduardo Silva] Univ Europea Atlantico, Santander 39011, Spain; [Montero, Elizabeth Caro] Univ Int Iberoamericana, Arecibo, PR 00613 USA; [Montero, Elizabeth Caro] Univ Int Cuanza, EN250, Cuito, Angola; [Alvarado, Eduardo Silva] Univ Int Iberoamericana, Campeche 24560, Mexico; [Alvarado, Eduardo Silva] Univ La Romana, La Romana, Dominican Rep; [de la Torre Diez, Isabel] Univ Valladolid, Dept Signal Theory Commun &amp; Telemat Engn, Valladolid 47011, Spain</t>
  </si>
  <si>
    <t xml:space="preserve">Prince Sultan University; University College Dublin; Yeungnam University; Universidad de Valladolid</t>
  </si>
  <si>
    <t xml:space="preserve">Ashraf, I (corresponding author), Yeungnam Univ, Dept Informat &amp; Commun Engn, Gyongsan, Gyeongbuk, South Korea.</t>
  </si>
  <si>
    <t xml:space="preserve">imranashraf@ynu.ac.kr</t>
  </si>
  <si>
    <t xml:space="preserve">Ashraf, Imran/T-3635-2019; de la Torre, Isabel/B-7064-2008; Shafique, Rahman/HLW-5221-2023; Rustam, Furqan/ABE-4772-2020</t>
  </si>
  <si>
    <t xml:space="preserve">De la Torre, Isabel/0000-0003-3134-7720</t>
  </si>
  <si>
    <t xml:space="preserve">the European University of Atlantic [11586]</t>
  </si>
  <si>
    <t xml:space="preserve">the European University of Atlantic</t>
  </si>
  <si>
    <t xml:space="preserve">The authors are thankful for the support of Artificial Intelligence &amp; Data Analytics Lab (AIDA) CCIS Prince Sultan University, Riyadh, 11586, Saudi Arabia. The authors would also like to thank Prince Sultan University, Riyadh Saudi Arabia for the support.</t>
  </si>
  <si>
    <t xml:space="preserve">JUN 10</t>
  </si>
  <si>
    <t xml:space="preserve">10.1038/s41598-024-63831-0</t>
  </si>
  <si>
    <t xml:space="preserve">TW8F7</t>
  </si>
  <si>
    <t xml:space="preserve">gold, Green Accepted</t>
  </si>
  <si>
    <t xml:space="preserve">WOS:001244381300103</t>
  </si>
  <si>
    <t xml:space="preserve">Salam, A; Hasan, SMN; Karim, MJ; Anower, S; Nahiduzzaman, M; Chowdhury, MEH; Murugappan, M</t>
  </si>
  <si>
    <t xml:space="preserve">Salam, Abdus; Hasan, S. M. Nahid; Karim, Md. Jawadul; Anower, Shamim; Nahiduzzaman, Md; Chowdhury, Muhammad E. H.; Murugappan, M.</t>
  </si>
  <si>
    <t xml:space="preserve">Embedded System-Based Malaria Detection From Blood Smear Images Using Lightweight Deep Learning Model</t>
  </si>
  <si>
    <t xml:space="preserve">The disease of malaria, transmitted by female Anopheles mosquitoes, is highly contagious, resulting in numerous deaths across various regions. Microscopic examination of blood cells remains one of the most accurate methods for malaria diagnosis, but it is time-consuming and can produce inaccurate results occasionally. Due to machine learning and deep learning advances in medical diagnosis, improved diagnostic accuracy can now be achieved while costs can be reduced compared to conventional microscopy methods. This work utilizes an open-source dataset with 26 161 blood smear images in RGB for malaria detection. Our preprocessing resized the original dimensions of the images into 64 x 64 due to the limitations in computational complexity in developing embedded systems-based malaria detection. We present a novel embedded system approach using 119 154 trainable parameters in a lightweight 17-layer SqueezeNet model for the automatic detection of malaria. Incredibly, the model is only 1.72 MB in size. An evaluation of the model's performance on the original NIH malaria dataset shows that it has exceptional accuracy, precision, recall, and F1 scores of 96.37%, 95.67%, 97.21%, and 96.44%, respectively. Based on a modified dataset, the results improved further to 99.71% across all metrics. Compared to current deep learning models, our model significantly outperforms them for malaria detection, making it ideal for embedded systems. This model has also been rigorously tested on the Jetson Nano B01 edge device, demonstrating a rapid single image prediction time of only 0.24 s. The fusion of deep learning with embedded systems makes this research a crucial step toward improving malaria diagnosis. In resource-constrained settings, the model's lightweight architecture and accuracy enhancements hold great promise for addressing the critical challenge of malaria detection.</t>
  </si>
  <si>
    <t xml:space="preserve">INTERNATIONAL JOURNAL OF IMAGING SYSTEMS AND TECHNOLOGY</t>
  </si>
  <si>
    <t xml:space="preserve">deep learning; embedded system; lightweight model; malaria parasite; SqueezNet model</t>
  </si>
  <si>
    <t xml:space="preserve">PARASITE DETECTION</t>
  </si>
  <si>
    <t xml:space="preserve">[Salam, Abdus; Hasan, S. M. Nahid; Karim, Md. Jawadul; Nahiduzzaman, Md] Rajshahi Univ Engn &amp; Technol, Dept Elect &amp; Comp Engn, Rajshahi, Bangladesh; [Salam, Abdus; Chowdhury, Muhammad E. H.] Qatar Univ, Dept Elect Engn, Doha, Qatar; [Anower, Shamim] Rajshahi Univ Engn &amp; Technol, Dept Elect &amp; Elect Engn, Rajshahi, Bangladesh; [Murugappan, M.] Kuwait Coll Sci &amp; Technol, Dept Elect &amp; Commun Engn, Intelligent Signal Proc ISP Res Lab, Doha, Kuwait; [Murugappan, M.] Vels Inst Sci Technol &amp; Adv Studies, Dept Elect &amp; Commun Engn, Chennai, Tamil Nadu, India</t>
  </si>
  <si>
    <t xml:space="preserve">Rajshahi University of Engineering &amp; Technology (RUET); Qatar University; Rajshahi University of Engineering &amp; Technology (RUET); Vels Institute of Science, Technology &amp; Advanced Studies</t>
  </si>
  <si>
    <t xml:space="preserve">Chowdhury, MEH (corresponding author), Qatar Univ, Dept Elect Engn, Doha, Qatar.;Murugappan, M (corresponding author), Kuwait Coll Sci &amp; Technol, Dept Elect &amp; Commun Engn, Intelligent Signal Proc ISP Res Lab, Doha, Kuwait.;Murugappan, M (corresponding author), Vels Inst Sci Technol &amp; Adv Studies, Dept Elect &amp; Commun Engn, Chennai, Tamil Nadu, India.</t>
  </si>
  <si>
    <t xml:space="preserve">mchowdhury@qu.edu.qa; m.murugappan@kcst.edu.kw</t>
  </si>
  <si>
    <t xml:space="preserve">Chowdhury, Moajjem/GLV-1904-2022; Nahiduzzaman, Md/GWZ-7870-2022; Hasan, Shah Md./JEP-5823-2023; MURUGAPPAN, MURUGAPPAN/E-2402-2014</t>
  </si>
  <si>
    <t xml:space="preserve">MURUGAPPAN, MURUGAPPAN/0000-0002-5839-4589; Karim, Md. Jawadul/0009-0006-4226-3652</t>
  </si>
  <si>
    <t xml:space="preserve">0899-9457</t>
  </si>
  <si>
    <t xml:space="preserve">1098-1098</t>
  </si>
  <si>
    <t xml:space="preserve">INT J IMAG SYST TECH</t>
  </si>
  <si>
    <t xml:space="preserve">Int. J. Imaging Syst. Technol.</t>
  </si>
  <si>
    <t xml:space="preserve">e23205</t>
  </si>
  <si>
    <t xml:space="preserve">10.1002/ima.23205</t>
  </si>
  <si>
    <t xml:space="preserve">Engineering, Electrical &amp; Electronic; Optics; Imaging Science &amp; Photographic Technology</t>
  </si>
  <si>
    <t xml:space="preserve">Engineering; Optics; Imaging Science &amp; Photographic Technology</t>
  </si>
  <si>
    <t xml:space="preserve">O0I9X</t>
  </si>
  <si>
    <t xml:space="preserve">WOS:001368078400001</t>
  </si>
  <si>
    <t xml:space="preserve">Bae, CY; Shin, YM; Kim, M; Song, Y; Lee, HJ; Kim, KH; Lee, HW; Kim, YJ; Kanyemba, C; Lungu, DK; Kang, BI; Han, S; Beck, HP; Cho, SH; Woo, BM; Lim, CY; Choi, KH</t>
  </si>
  <si>
    <t xml:space="preserve">Bae, Chae Yun; Shin, Young Min; Kim, Mijin; Song, Younghoon; Lee, Hong Jong; Kim, Kyung Hwan; Lee, Hong Woo; Kim, Yong Jun; Kanyemba, Creto; Lungu, Douglas K.; Kang, Byeong-il; Han, Seunghee; Beck, Hans-Peter; Cho, Shin-Hyeong; Woo, Bo Mee; Lim, Chan Yang; Choi, Kyung-Hak</t>
  </si>
  <si>
    <t xml:space="preserve">Embedded-deep-learning-based sample-to-answer device for on-site malaria diagnosis</t>
  </si>
  <si>
    <t xml:space="preserve">Improvements in digital microscopy are critical for the development of a malaria diagnosis method that is accurate at the cellular level and exhibits satisfactory clinical performance. Digital microscopy can be enhanced by improving deep learning algorithms and achieving consistent staining results. In this study, a novel miLab (TM) device incorporating the solid hydrogel staining method was proposed for consistent blood film preparation, eliminating the use of complex equipment and liquid reagent maintenance. The miLab (TM) ensures consistent, high-quality, and reproducible blood films across various hematocrits by leveraging deformable staining patches. Embedded-deep-learning-enabled miLab (TM) was utilized to detect and classify malarial parasites from autofocused images of stained blood cells using an internal optical system. The results of this method were consistent with manual microscopy images. This method not only minimizes human error but also facilitates remote assistance and review by experts through digital image transmission. This method can set a new paradigm for on-site malaria diagnosis. The miLab (TM) algorithm for malaria detection achieved a total accuracy of 98.86% for infected red blood cell (RBC) classification. Clinical validation performed in Malawi demonstrated an overall percent agreement of 92.21%. Based on these results, miLab (TM) can become a reliable and efficient tool for decentralized malaria diagnosis.</t>
  </si>
  <si>
    <t xml:space="preserve">FRONTIERS IN BIOENGINEERING AND BIOTECHNOLOGY</t>
  </si>
  <si>
    <t xml:space="preserve">malaria diagnosis; microscopy examination; digital microscopy; automated staining process; deep-learning algorithms</t>
  </si>
  <si>
    <t xml:space="preserve">[Bae, Chae Yun; Shin, Young Min; Kim, Mijin; Song, Younghoon; Lee, Hong Jong; Kim, Kyung Hwan; Lee, Hong Woo; Kim, Yong Jun; Kang, Byeong-il; Han, Seunghee; Cho, Shin-Hyeong; Woo, Bo Mee; Lim, Chan Yang; Choi, Kyung-Hak] Noul Co Ltd, Yongin, South Korea; [Kanyemba, Creto; Lungu, Douglas K.] Wezi Med Ctr, Mzuzu, Malawi; [Beck, Hans-Peter] Swiss Trop &amp; Publ Hlth Inst, Dept Med Parasitol &amp; Infect Biol, Allschwil, Switzerland; [Beck, Hans-Peter] Univ Basel, Basel, Switzerland; [Cho, Shin-Hyeong] Korea Ctr Dis Control &amp; Prevent KCDC, Dept Malaria &amp; Parasit Dis, Cheongju, South Korea; [Lee, Hong Woo] Woven Toyota, Tokyo, Japan; [Kang, Byeong-il] Dankook Univ, Beckman Laser Inst Korea, Cheonan, South Korea; [Han, Seunghee] Medithings Inc, Seoul, South Korea</t>
  </si>
  <si>
    <t xml:space="preserve">University of Basel; Swiss Tropical &amp; Public Health Institute; University of Basel; Korea Disease Control &amp; Prevention Agency (KDCA); Korea CDC Center for Disease Prevention; Dankook University</t>
  </si>
  <si>
    <t xml:space="preserve">Lim, CY; Choi, KH (corresponding author), Noul Co Ltd, Yongin, South Korea.</t>
  </si>
  <si>
    <t xml:space="preserve">david@noul.com; kaleb@noul.com</t>
  </si>
  <si>
    <t xml:space="preserve">Bae, Chae Yun/IRZ-2512-2023; Shin, Young Min/JWP-8595-2024; Cho, Hwa Jin/AFA-1420-2022</t>
  </si>
  <si>
    <t xml:space="preserve">Korea Health Technology R&amp;D Project through the Korea Health Industry Development Institute (KHIDI) - Ministry of Health and Welfare, Republic of Korea [HI18C1685]</t>
  </si>
  <si>
    <t xml:space="preserve">Korea Health Technology R&amp;D Project through the Korea Health Industry Development Institute (KHIDI) - Ministry of Health and Welfare, Republic of Korea</t>
  </si>
  <si>
    <t xml:space="preserve">We thank the following associates from Noul Co., Ltd. for their contributions to the development of hardware, software, and the verification of miLab (TM): H. Lee, S. Moon, J. Cho, Y. Shin, S. Hong, R. Choi, D. Ham, O. Bailo, M. J. Seol, Y. Hong, S. Yun, H. Hwang, E. Hwang, S. K. Beak, and J. K-HC. We thank J. Lee, H. Park, and J. Shin for monitoring the IRB project and the Mzuzu Health Centre study team for collecting the clinical data. We thank H. H. Cho for reviewing and editing the manuscript.</t>
  </si>
  <si>
    <t xml:space="preserve">2296-4185</t>
  </si>
  <si>
    <t xml:space="preserve">FRONT BIOENG BIOTECH</t>
  </si>
  <si>
    <t xml:space="preserve">JUL 19</t>
  </si>
  <si>
    <t xml:space="preserve">10.3389/fbioe.2024.1392269</t>
  </si>
  <si>
    <t xml:space="preserve">Biotechnology &amp; Applied Microbiology; Engineering, Biomedical</t>
  </si>
  <si>
    <t xml:space="preserve">Biotechnology &amp; Applied Microbiology; Engineering</t>
  </si>
  <si>
    <t xml:space="preserve">A4J0F</t>
  </si>
  <si>
    <t xml:space="preserve">Green Submitted, gold, Green Published</t>
  </si>
  <si>
    <t xml:space="preserve">WOS:001282198100001</t>
  </si>
  <si>
    <t xml:space="preserve">Altayb, HN; Alatawi, HA</t>
  </si>
  <si>
    <t xml:space="preserve">Altayb, Hisham N.; Alatawi, Hanan Ali</t>
  </si>
  <si>
    <t xml:space="preserve">Employing Machine Learning-Based QSAR for Targeting Zika Virus NS3 Protease: Molecular Insights and Inhibitor Discovery</t>
  </si>
  <si>
    <t xml:space="preserve">Zika virus infection is a mosquito-borne viral disease that has become a global health concern recently. Zika virus belongs to the Flavivirus genus and is primarily transmitted by Aedes mosquitoes. Prevention of Zika virus infection involves avoiding mosquito bites by using repellent, wearing protective clothing, and staying in screened areas, especially for pregnant women. Treatment focuses on managing symptoms with rest, fluids, and acetaminophen, with close monitoring for pregnant women. Currently, there is no specific antiviral treatment or vaccine for the Zika virus, highlighting the importance of prevention strategies to control its spread. Therefore, in this study, the Zika virus non-structural protein NS3 was targeted to inhibit Zika infection by identifying the novel inhibitor through an in silico approach. Here, 2864 natural compounds were screened using a machine learning-based QSAR model, and later docking was performed to select the potential target. Subsequently, Tanimoto similarity and clustering were performed to obtain the potential target. The three most potential compounds were obtained: (a) 5297, (b) 432449, and (c) 85137543. The protein-ligand complex's stability and flexibility were then investigated by dynamic modelling. The 300 ns simulation showed that 5297 exhibited the steadiest deviation and constant creation of hydrogen bonds. Compared to the other compounds, 5297 demonstrated a superior binding free energy (Delta G = -20.81 kcal/mol) with the protein when the MM/GBSA technique was used. The study determined that 5297 showed significant therapeutic potential and justifies further experimental investigation as a possible inhibitor of the NS2B-NS3 protease target implicated in Zika virus infection.</t>
  </si>
  <si>
    <t xml:space="preserve">PHARMACEUTICALS</t>
  </si>
  <si>
    <t xml:space="preserve">bioactive phytochemicals; antiviral agents; Flavivirus; drug discovery; in silico</t>
  </si>
  <si>
    <t xml:space="preserve">PREDICTION; MECHANISMS</t>
  </si>
  <si>
    <t xml:space="preserve">[Altayb, Hisham N.] King Abdulaziz Univ, Fac Sci, Dept Biochem, Jeddah 21589, Saudi Arabia; [Alatawi, Hanan Ali] Univ Tabuk, Univ Coll Haqel, Dept Biol Sci, Tabuk 71491, Saudi Arabia</t>
  </si>
  <si>
    <t xml:space="preserve">King Abdulaziz University; University of Tabuk</t>
  </si>
  <si>
    <t xml:space="preserve">Altayb, HN (corresponding author), King Abdulaziz Univ, Fac Sci, Dept Biochem, Jeddah 21589, Saudi Arabia.</t>
  </si>
  <si>
    <t xml:space="preserve">hdemmahom@kau.edu.sa; halatwi@ut.edu.sa</t>
  </si>
  <si>
    <t xml:space="preserve">Altayb, Hisham/AAC-6028-2020</t>
  </si>
  <si>
    <t xml:space="preserve">Altayb, Hisham/0000-0002-2635-9383</t>
  </si>
  <si>
    <t xml:space="preserve">Deanship of Scientific Research (DSR) at King Abdulaziz University, Jeddah; [124-130-1442]</t>
  </si>
  <si>
    <t xml:space="preserve">Deanship of Scientific Research (DSR) at King Abdulaziz University, Jeddah(King Abdulaziz University);</t>
  </si>
  <si>
    <t xml:space="preserve">This project was funded by the Deanship of Scientific Research (DSR) at King Abdulaziz University, Jeddah, under grant No. (G: 124-130-1442). The authors, therefore, acknowledge and thank DSR for their technical and financial support.</t>
  </si>
  <si>
    <t xml:space="preserve">1424-8247</t>
  </si>
  <si>
    <t xml:space="preserve">PHARMACEUTICALS-BASE</t>
  </si>
  <si>
    <t xml:space="preserve">Pharmaceuticals</t>
  </si>
  <si>
    <t xml:space="preserve">10.3390/ph17081067</t>
  </si>
  <si>
    <t xml:space="preserve">E7J9R</t>
  </si>
  <si>
    <t xml:space="preserve">WOS:001304743300001</t>
  </si>
  <si>
    <t xml:space="preserve">Contreras-Ramírez, M; Sora-Cardenas, J; Colorado-Salamanca, C; Ovalle-Bracho, C; Suárez, DR</t>
  </si>
  <si>
    <t xml:space="preserve">Contreras-Ramirez, Michael; Sora-Cardenas, Jhonathan; Colorado-Salamanca, Claudia; Ovalle-Bracho, Clemencia; Suarez, Daniel R.</t>
  </si>
  <si>
    <t xml:space="preserve">Enhanced Detection of Leishmania Parasites in Microscopic Images Using Machine Learning Models</t>
  </si>
  <si>
    <t xml:space="preserve">Cutaneous leishmaniasis is a parasitic disease that poses significant diagnostic challenges due to the variability of results and reliance on operator expertise. This study addresses the development of a system based on machine learning algorithms to detect Leishmania spp. parasite in direct smear microscopy images, contributing to the diagnosis of cutaneous leishmaniasis. Starting with acquiring and labeling 500 images, an experimental design was implemented, including preprocessing and segmentation techniques such as Otsu, local thresholding, and Iterative Global Minimum Search (IGMS) to improve parasite detection. The phenotypic features of the parasites were extracted, focusing on morphology, texture, and color. Machine learning models (ANN, SVM, and RF) optimized through Grid Search were applied for classification. The model with the best results was a Support Vector Machine (SVM), achieving a sensitivity of 91.87% and a specificity of 89.21% at the crop level. Compared with previous studies, these results highlight the relevance and consistency of the methodology used, supporting the initial hypothesis. This suggests that machine learning techniques offer a promising path toward improving the diagnosis of cutaneous leishmaniasis.</t>
  </si>
  <si>
    <t xml:space="preserve">cutaneous leishmaniasis; direct smear examination; preprocessing; segmentation; machine learning; grid search</t>
  </si>
  <si>
    <t xml:space="preserve">[Contreras-Ramirez, Michael; Sora-Cardenas, Jhonathan; Ovalle-Bracho, Clemencia; Suarez, Daniel R.] Pontificia Univ Javeriana, Fac Ingn, Bogota 110231, Colombia; [Colorado-Salamanca, Claudia] Hosp Univ Ctr Dermatol Federico Lleras Acosta ESE, Bogota 110231, Colombia</t>
  </si>
  <si>
    <t xml:space="preserve">Pontificia Universidad Javeriana</t>
  </si>
  <si>
    <t xml:space="preserve">Suárez, DR (corresponding author), Pontificia Univ Javeriana, Fac Ingn, Bogota 110231, Colombia.</t>
  </si>
  <si>
    <t xml:space="preserve">contreras.michael@javeriana.edu.co; j_sora@javeriana.edu.co; jefedocencia@dermatologia.gov.co; clemencia-ovalleb@javeriana.edu.co; d-suarez@javeriana.edu.co</t>
  </si>
  <si>
    <t xml:space="preserve">Suarez, Daniel R./HTS-9621-2023</t>
  </si>
  <si>
    <t xml:space="preserve">Suarez, Daniel R./0000-0001-6264-2250; Contreras Ramirez, Michael Hernando/0009-0004-3956-402X; Colorado Salamanca, Claudia Lucia/0000-0002-2772-8718; Sora Cardenas, Jhonathan/0000-0003-2285-9441</t>
  </si>
  <si>
    <t xml:space="preserve">Pontificia Universidad Javeriana; E.S.E Hospital Universitario Centro Dermatologico Federico Lleras Acosta; Government of Cundinamarca (Colombia)</t>
  </si>
  <si>
    <t xml:space="preserve">This research was funded by Pontificia Universidad Javeriana and the E.S.E Hospital Universitario Centro Dermatologico Federico Lleras Acosta. MC received funding from the Government of Cundinamarca (Colombia) for his master's degrees in Bioengineering and Electronic Engineering at Pontificia Universidad Javeriana.</t>
  </si>
  <si>
    <t xml:space="preserve">10.3390/s24248180</t>
  </si>
  <si>
    <t xml:space="preserve">Q7Z0M</t>
  </si>
  <si>
    <t xml:space="preserve">WOS:001386798800001</t>
  </si>
  <si>
    <t xml:space="preserve">Ilyas, T; Ahmad, K; Arsa, DMS; Jeong, YC; Kim, H</t>
  </si>
  <si>
    <t xml:space="preserve">Ilyas, Talha; Ahmad, Khubaib; Arsa, Dewa Made Sri; Jeong, Yong Chae; Kim, Hyongsuk</t>
  </si>
  <si>
    <t xml:space="preserve">Enhancing medical image analysis with unsupervised domain adaptation approach across microscopes and magnifications</t>
  </si>
  <si>
    <t xml:space="preserve">In the domain of medical image analysis, deep learning models are heralding a revolution, especially in detecting complex and nuanced features characteristic of diseases like tumors and cancers. However, the robustness and adaptability of these models across varied imaging conditions and magnifications remain a formidable challenge. This paper introduces the Fourier Adaptive Recognition System (FARS), a pioneering model primarily engineered to address adaptability in malarial parasite recognition. Yet, the foundational principles guiding FARS lend themselves seamlessly to broader applications, including tumor and cancer diagnostics. FARS capitalizes on the untapped potential of transitioning from bounding box labels to richer semantic segmentation labels, enabling a more refined examination of microscopy slides. With the integration of adversarial training and the Color Domain Aware Fourier Domain Adaptation (F2DA), the model ensures consistent feature extraction across diverse microscopy configurations. The further inclusion of categorydependent context attention amplifies FARS's cross-domain versatility. Evidenced by a substantial elevation in cross-magnification performance from 31.3% mAP to 55.19% mAP and a 15.68% boost in cross-domain adaptability, FARS positions itself as a significant advancement in malarial parasite recognition. Furthermore, the core methodologies of FARS can serve as a blueprint for enhancing precision in other realms of medical image analysis, especially in the complex terrains of tumor and cancer imaging. The code is available at; https://github.com/Mr-TalhaIlyas/FARS.</t>
  </si>
  <si>
    <t xml:space="preserve">COMPUTERS IN BIOLOGY AND MEDICINE</t>
  </si>
  <si>
    <t xml:space="preserve">Medical imaging; Segmentation; Convolutional neural networks; Malaria; Microscopy; Varying magnifications</t>
  </si>
  <si>
    <t xml:space="preserve">[Ilyas, Talha; Ahmad, Khubaib; Arsa, Dewa Made Sri; Kim, Hyongsuk] Jeonbuk Natl Univ, Div Elect &amp; Informat Engn, Jeonju 54896, South Korea; [Ilyas, Talha; Ahmad, Khubaib; Arsa, Dewa Made Sri; Jeong, Yong Chae; Kim, Hyongsuk] Jeonbuk Natl Univ, Core Res Inst Intelligent Robots, Jeonju 54896, South Korea; [Arsa, Dewa Made Sri] Univ Udayana, Dept Hist, Bali 80361, Indonesia; [Jeong, Yong Chae] Jeonbuk Natl Univ, Div Elect Engn, Jeonju 54896, South Korea</t>
  </si>
  <si>
    <t xml:space="preserve">Jeonbuk National University; Jeonbuk National University; Universitas Udayana; Jeonbuk National University</t>
  </si>
  <si>
    <t xml:space="preserve">Ilyas, T; Kim, H (corresponding author), Jeonbuk Natl Univ, Div Elect &amp; Informat Engn, Jeonju 54896, South Korea.;Ilyas, T; Kim, H (corresponding author), Jeonbuk Natl Univ, Core Res Inst Intelligent Robots, Jeonju 54896, South Korea.</t>
  </si>
  <si>
    <t xml:space="preserve">talha@jbnu.ac.kr; hskim@jbnu.ac.kr</t>
  </si>
  <si>
    <t xml:space="preserve">Ahmad, Khubaib/KEJ-3046-2024; Ilyas, Talha/AAQ-9028-2021; Sri Arsa, Dewa Made/ADH-4396-2022</t>
  </si>
  <si>
    <t xml:space="preserve">Ilyas, Talha/0000-0002-4168-2998; Ahmad, Khubaib/0000-0003-0369-2949; Sri Arsa, Dewa Made/0000-0002-6558-2457</t>
  </si>
  <si>
    <t xml:space="preserve">Crop and Weed Project administered through the Agricultural Science and Technology Development Cooperation Research Program, South Korea [PJ015720]; National Research Foundation of Korea (NRF), South Korea - Korea government [NRF-2019R1A2C1011297, NRF-2019R1A6A1A09031717]</t>
  </si>
  <si>
    <t xml:space="preserve">Crop and Weed Project administered through the Agricultural Science and Technology Development Cooperation Research Program, South Korea; National Research Foundation of Korea (NRF), South Korea - Korea government(National Research Foundation of Korea)</t>
  </si>
  <si>
    <t xml:space="preserve">This work was supported in part by the Crop and Weed Project administered through the Agricultural Science and Technology Development Cooperation Research Program, South Korea (PJ015720) and by the National Research Foundation of Korea (NRF), South Korea grant funded by the Korea government (NRF-2019R1A2C1011297 and NRF-2019R1A6A1A09031717) .</t>
  </si>
  <si>
    <t xml:space="preserve">0010-4825</t>
  </si>
  <si>
    <t xml:space="preserve">1879-0534</t>
  </si>
  <si>
    <t xml:space="preserve">COMPUT BIOL MED</t>
  </si>
  <si>
    <t xml:space="preserve">10.1016/j.compbiomed.2024.108055</t>
  </si>
  <si>
    <t xml:space="preserve">Biology; Computer Science, Interdisciplinary Applications; Engineering, Biomedical; Mathematical &amp; Computational Biology</t>
  </si>
  <si>
    <t xml:space="preserve">Life Sciences &amp; Biomedicine - Other Topics; Computer Science; Engineering; Mathematical &amp; Computational Biology</t>
  </si>
  <si>
    <t xml:space="preserve">JD7Y5</t>
  </si>
  <si>
    <t xml:space="preserve">WOS:001171301500001</t>
  </si>
  <si>
    <t xml:space="preserve">Attai, K; Ekpenyong, M; Amannah, C; Asuquo, D; Ajuga, P; Obot, O; Johnson, E; John, A; Maduka, O; Akwaowo, C; Uzoka, FM</t>
  </si>
  <si>
    <t xml:space="preserve">Attai, Kingsley; Ekpenyong, Moses; Amannah, Constance; Asuquo, Daniel; Ajuga, Peterben; Obot, Okure; Johnson, Ekemini; John, Anietie; Maduka, Omosivie; Akwaowo, Christie; Uzoka, Faith-Michael</t>
  </si>
  <si>
    <t xml:space="preserve">Enhancing the Interpretability of Malaria and Typhoid Diagnosis with Explainable AI and Large Language Models</t>
  </si>
  <si>
    <t xml:space="preserve">Malaria and Typhoid fever are prevalent diseases in tropical regions, and both are exacerbated by unclear protocols, drug resistance, and environmental factors. Prompt and accurate diagnosis is crucial to improve accessibility and reduce mortality rates. Traditional diagnosis methods cannot effectively capture the complexities of these diseases due to the presence of similar symptoms. Although machine learning (ML) models offer accurate predictions, they operate as black boxes with non-interpretable decision-making processes, making it challenging for healthcare providers to comprehend how the conclusions are reached. This study employs explainable AI (XAI) models such as Local Interpretable Model-agnostic Explanations (LIME), and Large Language Models (LLMs) like GPT to clarify diagnostic results for healthcare workers, building trust and transparency in medical diagnostics by describing which symptoms had the greatest impact on the model's decisions and providing clear, understandable explanations. The models were implemented on Google Colab and Visual Studio Code because of their rich libraries and extensions. Results showed that the Random Forest model outperformed the other tested models; in addition, important features were identified with the LIME plots while ChatGPT 3.5 had a comparative advantage over other LLMs. The study integrates RF, LIME, and GPT in building a mobile app to enhance the interpretability and transparency in malaria and typhoid diagnosis system. Despite its promising results, the system's performance is constrained by the quality of the dataset. Additionally, while LIME and GPT improve transparency, they may introduce complexities in real-time deployment due to computational demands and the need for internet service to maintain relevance and accuracy. The findings suggest that AI-driven diagnostic systems can significantly enhance healthcare delivery in environments with limited resources, and future works can explore the applicability of this framework to other medical conditions and datasets.</t>
  </si>
  <si>
    <t xml:space="preserve">TROPICAL MEDICINE AND INFECTIOUS DISEASE</t>
  </si>
  <si>
    <t xml:space="preserve">malaria diagnosis; typhoid diagnosis; machine learning; XAI; LIME; GPT; BERT; ChatGPT; Gemini; perplexity; explainability; interpretability</t>
  </si>
  <si>
    <t xml:space="preserve">[Attai, Kingsley; Johnson, Ekemini; John, Anietie] Ritman Univ, Dept Math &amp; Comp Sci, Ikot Ekpene 530101, Nigeria; [Ekpenyong, Moses; Obot, Okure] Univ Uyo, Fac Comp, Dept Comp Sci, Uyo 520103, Nigeria; [Ekpenyong, Moses] Univ Uyo, Sci Technol Engn &amp; Math STEM Ctr, Uyo 520103, Nigeria; [Ekpenyong, Moses] Univ Uyo, Ctr Res, Uyo 520103, Nigeria; [Amannah, Constance] Ignatius Ajuru Univ Educ, Dept Comp Sci, Port Harcourt 500102, Nigeria; [Asuquo, Daniel] Univ Uyo, Fac Comp, Dept Informat Syst, Uyo 520103, Nigeria; [Ajuga, Peterben] Gregory Univ, Fac Engn, Dept Comp Engn, Uturu 441106, Nigeria; [Maduka, Omosivie] Univ Port Harcourt Teaching Hosp, Port Harcourt 500102, Nigeria; [Akwaowo, Christie] Univ Uyo, Teaching Hosp, Uyo 520103, Nigeria; [Uzoka, Faith-Michael] Mt Royal Univ, Dept Math &amp; Comp, Calgary, AB T3E 6K6, Canada</t>
  </si>
  <si>
    <t xml:space="preserve">Mount Royal University</t>
  </si>
  <si>
    <t xml:space="preserve">Attai, K (corresponding author), Ritman Univ, Dept Math &amp; Comp Sci, Ikot Ekpene 530101, Nigeria.</t>
  </si>
  <si>
    <t xml:space="preserve">attai.kingsley@ritmanuniversity.edu.ng; mosesekpenyong@uniuyo.edu.ng; aftermymsc@gmail.com; danielasuquo@uniuyo.edu.ng; ajugapeterben@gmail.com; okureobot@uniuyo.edu.ng; eke5461@gmail.com; aniettejohn5@gmail.com; omosivie.maduka@gmail.com; christieakwaowo@uniuyo.edu.ng; fuzoka@mtroyal.ca</t>
  </si>
  <si>
    <t xml:space="preserve">Maduka, Omosivie/E-8345-2013; Attai, Kingsley/KPA-8947-2024</t>
  </si>
  <si>
    <t xml:space="preserve">Attai, Kingsley/0000-0002-2199-5049; Ekpenyong, Moses/0000-0001-6774-5259</t>
  </si>
  <si>
    <t xml:space="preserve">New Frontier Research Fund; [NFRFE-2019-01365]</t>
  </si>
  <si>
    <t xml:space="preserve">New Frontier Research Fund;</t>
  </si>
  <si>
    <t xml:space="preserve">This research was funded by the New Frontier Research Fund, grant number NFRFE-2019-01365 between April and March 2024.</t>
  </si>
  <si>
    <t xml:space="preserve">2414-6366</t>
  </si>
  <si>
    <t xml:space="preserve">TROP MED INFECT DIS</t>
  </si>
  <si>
    <t xml:space="preserve">10.3390/tropicalmed9090216</t>
  </si>
  <si>
    <t xml:space="preserve">H3Z2U</t>
  </si>
  <si>
    <t xml:space="preserve">WOS:001322854400001</t>
  </si>
  <si>
    <t xml:space="preserve">Özbilge, E; Güler, E; Ozbilge, E</t>
  </si>
  <si>
    <t xml:space="preserve">Ozbilge, Emre; Guler, Emrah; Ozbilge, Ebru</t>
  </si>
  <si>
    <t xml:space="preserve">Ensembling Object Detection Models for Robust and Reliable Malaria Parasite Detection in Thin Blood Smear Microscopic Images</t>
  </si>
  <si>
    <t xml:space="preserve">Malaria is a blood disease caused by the Plasmodium parasite that is transmitted through the bite of female Anopheles mosquitoes. These mosquitoes can cross borders without passports or visas, making malaria a global health concern. To effectively treat malaria, infectious disease specialists must monitor the efficacy of the treatment by counting the number of parasites in a patient's blood at various time intervals. However, this task is challenging because it involves examining thin or thick blood smear samples under a microscope, which can be tiring to the human eye, particularly when there are many infected patients or when there is a shortage of clinical experts. In such cases, rapid diagnosis is crucial. One approach is to capture microscopic images of blood smear samples using a camera and then employ deep learning-based object detection models to detect and count the infected red blood cells. In this study, state-of-the-art object detection models, including CenterNet, EfficientDet, Faster R-CNN, RetinaNet, and YOLOv8, were explored. The dataset was generated using thin blood smear images in the laboratory. The results revealed that YOLOv8s outperformed the other models, achieving an score of 0.9031 and an mAP@[0.50:0.05:0.95] score of 0.5957. This study also found that various model combinations and ensemble strategies could improve the detection of malaria parasites. Specifically, the weighted boxes fusion ensembling approach achieved an score of 0.9186 and an mAP@[0.50:0.05:0.95] score of 0.6196. In contrast, the non-maximum weighted method achieved an score of 0.9324 and an mAP@[0.50:0.05:0.95] score of 0.6214.</t>
  </si>
  <si>
    <t xml:space="preserve">Malaria; Blood; Microscopy; Feature extraction; Diseases; Training; Task analysis; Detection algorithms; Parasitic diseases; CenterNet; computer vision; deep learning; EfficientDet; ensemble learning; faster R-CNN; object detection; plasmodium; malaria; RetinaNet; YOLOv8</t>
  </si>
  <si>
    <t xml:space="preserve">[Ozbilge, Emre] Cyprus Int Univ, Fac Engn, Dept Comp Engn, TR-99258 Nicosia, North Cyprus, Turkiye; [Guler, Emrah] European Univ Lefke, Fac Arts &amp; Sci, Dept Mol Biol &amp; Genet, TR-10 Mersin, North Cyprus, Turkiye; [Ozbilge, Ebru] Amer Univ Middle East, Coll Business Adm, Egaila 54200, Kuwait</t>
  </si>
  <si>
    <t xml:space="preserve">Cyprus International University; Lefke Avrupa University; American University of the Middle East</t>
  </si>
  <si>
    <t xml:space="preserve">Özbilge, E (corresponding author), Cyprus Int Univ, Fac Engn, Dept Comp Engn, TR-99258 Nicosia, North Cyprus, Turkiye.</t>
  </si>
  <si>
    <t xml:space="preserve">eozbilge@ciu.edu.tr</t>
  </si>
  <si>
    <t xml:space="preserve">Güler, Emrah/HWQ-8936-2023; Ozbilge, Emre/KUF-4529-2024</t>
  </si>
  <si>
    <t xml:space="preserve">GULER, EMRAH/0000-0002-1635-0051; Ozbilge, Ebru/0000-0002-2998-8134; Ozbilge, Emre/0000-0002-2295-752X</t>
  </si>
  <si>
    <t xml:space="preserve">10.1109/ACCESS.2024.3393410</t>
  </si>
  <si>
    <t xml:space="preserve">PL7C1</t>
  </si>
  <si>
    <t xml:space="preserve">WOS:001214289000001</t>
  </si>
  <si>
    <t xml:space="preserve">Aninagyei, E; Adedia, D; Larbi, G; Acheampong, SO; Nyarko, M; Abbew, GA; Tuwarlba, I; Acheampong, DO</t>
  </si>
  <si>
    <t xml:space="preserve">Aninagyei, Enoch; Adedia, David; Larbi, Gifty; Acheampong, Stella Omane; Nyarko, Margaret; Abbew, George Abeiku; Tuwarlba, Isaac; Acheampong, Desmond Omane</t>
  </si>
  <si>
    <t xml:space="preserve">Epidemiology and likelihood of asymptomatic malaria among community dwellers in the Fanteakwa south district of Ghana</t>
  </si>
  <si>
    <t xml:space="preserve">Background: Data on the asymptomatic burden of malaria in endemic areas is essential for Ghana's malaria elimination efforts. Consequently, the situation of asymptomatic malaria in the Fanteakwa South District (FSD) is determined in this study. The FSD is predominantly forested with more rural than peri-urban communities. Additionally, artisanal mining is prevalent in the district. Despite that the forgoing could promote high incidence of malaria, the burden of asymptomatic malaria and associated factors in the district have never been determined. Methods: This community-based cross-sectional study was conducted in four randomly selected communities in the FSD in the Eastern region of Ghana. The participating households were systematically selected, of which one household member was randomly enrolled in the study. With prior consent, 2 mL of whole blood was collected from the participants. Subsequently, the study variables were obtained from the enrolees using a structured questionnaire. The malaria status of the enrolled participants was determined using the CareStartTM malaria rapid diagnostic test kit (mRDT) (USA). The multiple logistic regression model was used to fit the model to predict the groups at risk of P. falciparum infection in the district. Results: In total, 412 study participants were enrolled. The overall prevalence of asymptomatic malaria in the district was 43.4 % (179/412). The prevalence rate was 36.9 %, 27.7 %, 50 % and 58.8 % (&lt;0.001) respectively for the Dwenase, Bosusu, Nsutam and Osino communities. Living at Bosusu (p = 0.045, AOR = 0.23, 95 % CI: 0.05-0.96), Dwenase (p &lt; 0.001, AOR = 0.12, 95 % CI: 0.04-0.30) and Nsutam (p &lt; 0.001, AOR = 0.19, 95 % CI: 0.08-0.45) were less likely to contract malaria compared to Osino dwellers. Furthermore, pregnant women (p = 0.024, COR = 0.35, 95 % CI: 0.14-0.9) and individuals who do not share mosquito nets with others (p = 0.017, COR = 0.47, 95 % CI: 0.25-0.88) were less likely to contract malaria. Moreover, being an adolescent (p = 0.048, COR = 1.93, 95 % CI: 1.00-3.73), living in mining communities (p = 0.002, COR = 1.97, 95 % CI: 1.27-3.05), being nocturnally active (p = 0.001, AOR = 4.64, 95 % CI: 1.97-11.31), living in a medium quality house (p = 0.031, AOR = 2.31, 95 % CI: 1.09-5.00), schooling in the district (p &lt; 0.001) and body temperature above &gt;37.5 degrees C (&lt;0.001), were predictors of asymptomatic malaria. Conclusions: The burden of asymptomatic malaria is high in the Fanteakwa South district. In this context, the implementation of the 'mass strategy' recommended by the World Health Organization will play a key role in eliminating malaria in the district.</t>
  </si>
  <si>
    <t xml:space="preserve">PARASITE EPIDEMIOLOGY AND CONTROL</t>
  </si>
  <si>
    <t xml:space="preserve">Asymptomatic malaria; Epidemiology; Mass strategy; Mass testing; Mass drug administration; Mass relapse prevention; Fanteakwa south district</t>
  </si>
  <si>
    <t xml:space="preserve">[Aninagyei, Enoch] Univ Hlth &amp; Allied Sci, Sch Basic &amp; Biomed Sci, Dept Biomed Sci, PMB 31, Ho, Volta Region, Ghana; [Adedia, David] Univ Hlth &amp; Allied Sci, Sch Basic &amp; Biomed Sci, Dept Basic, PMB 31, Ho, Volta Region, Ghana; [Larbi, Gifty; Abbew, George Abeiku; Tuwarlba, Isaac; Acheampong, Desmond Omane] Univ Cape Coast, Sch Allied Hlth Sci, Dept Biomed Sci, Cape Coast, Central Region, Ghana; [Acheampong, Stella Omane] Univ Cape Coast, Sch Phys Sci, Dept Stat, Cape Coast, Central Region, Ghana; [Nyarko, Margaret] Krachi Nchumuru Dist Hlth Directorate, Ghana Hlth Serv, Accra, Eastern Region, Ghana</t>
  </si>
  <si>
    <t xml:space="preserve">University of Cape Coast; University of Cape Coast; Ghana Health Service</t>
  </si>
  <si>
    <t xml:space="preserve">Aninagyei, E (corresponding author), Univ Hlth &amp; Allied Sci, Sch Basic &amp; Biomed Sci, Dept Biomed Sci, PMB 31, Ho, Volta Region, Ghana.;Acheampong, DO (corresponding author), Univ Cape Coast, Sch Allied Hlth Sci, Dept Biomed Sci, Cape Coast, Central Region, Ghana.</t>
  </si>
  <si>
    <t xml:space="preserve">eaninagyei@uhas.edu.gh; dacheampong@ucc.edu.gh</t>
  </si>
  <si>
    <t xml:space="preserve">Acheampong, Desmond/J-1072-2019; Aninagyei, Enoch/AAM-1400-2020</t>
  </si>
  <si>
    <t xml:space="preserve">We wish to acknowledge Richmond Agyekum (Osino Health Centre) , Doris Donkor (Nsutam Health Centre) , Sarpong Benjamin (Dwenase Health Centre) and Benjamin Sarfo-Bempong (Bosusu Health Centre) for assisting in the participant recruitment and sample collection.</t>
  </si>
  <si>
    <t xml:space="preserve">2405-6731</t>
  </si>
  <si>
    <t xml:space="preserve">PARASITE EPIDEM CONT</t>
  </si>
  <si>
    <t xml:space="preserve">Parasite Epidemiol. Control</t>
  </si>
  <si>
    <t xml:space="preserve">e00378</t>
  </si>
  <si>
    <t xml:space="preserve">10.1016/j.parepi.2024.e00378</t>
  </si>
  <si>
    <t xml:space="preserve">Public, Environmental &amp; Occupational Health; Infectious Diseases; Parasitology</t>
  </si>
  <si>
    <t xml:space="preserve">F9U7X</t>
  </si>
  <si>
    <t xml:space="preserve">WOS:001313194100001</t>
  </si>
  <si>
    <t xml:space="preserve">Guo, ZY; Zhao, MM; Liu, ZH; Zheng, JX; Gong, YF; Huang, LL; Xue, JB; Zhou, XN; Li, SZ</t>
  </si>
  <si>
    <t xml:space="preserve">Guo, Zhaoyu; Zhao, Miaomiao; Liu, Zhenhua; Zheng, Jinxin; Gong, Yanfeng; Huang, Lulu; Xue, Jingbo; Zhou, Xiaonong; Li, Shizhu</t>
  </si>
  <si>
    <t xml:space="preserve">Feasibility of ultrasound radiomics based models for classification of liver fibrosis due to Schistosoma japonicum infection</t>
  </si>
  <si>
    <t xml:space="preserve">Background Schistosomiasis japonica represents a significant public health concern in South Asia. There is an urgent need to optimize existing schistosomiasis diagnostic techniques. This study aims to develop models for the different stages of liver fibrosis caused by Schistosoma infection utilizing ultrasound radiomics and machine learning techniques. Methods From 2018 to 2022, we retrospectively collected data on 1,531 patients and 5,671 B-mode ultrasound images from the Second People's Hospital of Duchang City, Jiangxi Province, China. The datasets were screened based on inclusion and exclusion criteria suitable for radiomics models. Liver fibrosis due to Schistosoma infection (LFSI) was categorized into four stages: grade 0, grade 1, grade 2, and grade 3. The data were divided into six binary classification problems, such as group 1 (grade 0 vs. grade 1) and group 2 (grade 0 vs. grade 2). Key radiomic features were extracted using Pyradiomics, the Mann-Whitney U test, and the Least Absolute Shrinkage and Selection Operator (LASSO). Machine learning models were constructed using Support Vector Machine (SVM), and the contribution of different features in the model was described by applying Shapley Additive Explanations (SHAP). Results This study ultimately included 1,388 patients and their corresponding images. A total of 851 radiomics features were extracted for each binary classification problems. Following feature selection, 18 to 76 features were retained from each groups. The area under the receiver operating characteristic curve (AUC) for the validation cohorts was 0.834 (95% CI: 0.779-0.885) for the LFSI grade 0 vs. LFSI grade 1, 0.771 (95% CI: 0.713-0.835) for LFSI grade 1 vs. LFSI grade 2, and 0.830 (95% CI: 0.762-0.885) for LFSI grade 2 vs. LFSI grade 3. Conclusion Machine learning models based on ultrasound radiomics are feasible for classifying different stages of liver fibrosis caused by Schistosoma infection.</t>
  </si>
  <si>
    <t xml:space="preserve">SIMPLE NONINVASIVE INDEX; PREDICT</t>
  </si>
  <si>
    <t xml:space="preserve">[Guo, Zhaoyu; Huang, Lulu; Xue, Jingbo; Zhou, Xiaonong; Li, Shizhu] Chinese Ctr Dis Control &amp; Prevent, Chinese Ctr Trop Dis Res, Natl Inst Parasit Dis, Shanghai, Peoples R China; [Guo, Zhaoyu; Huang, Lulu; Xue, Jingbo; Zhou, Xiaonong; Li, Shizhu] Natl Key Lab Intelligent Tracking &amp; Forecasting In, Shanghai, Peoples R China; [Guo, Zhaoyu; Huang, Lulu; Xue, Jingbo; Zhou, Xiaonong; Li, Shizhu] NHC Key Lab Parasite &amp; Vector Biol, Shanghai, Peoples R China; [Guo, Zhaoyu; Huang, Lulu; Xue, Jingbo; Zhou, Xiaonong; Li, Shizhu] WHO Collaborating Ctr Trop Dis, Shanghai, Peoples R China; [Guo, Zhaoyu; Huang, Lulu; Xue, Jingbo; Zhou, Xiaonong; Li, Shizhu] Natl Ctr Int Res Trop Dis, Shanghai, Peoples R China; [Zhao, Miaomiao; Liu, Zhenhua] Xuzhou Med Univ, Peoples Hosp Yancheng 1, Dept Ultrasound, Yancheng Clin Coll, Yancheng, Jiangsu, Peoples R China; [Zheng, Jinxin; Xue, Jingbo; Zhou, Xiaonong; Li, Shizhu] Shanghai Jiao Tong Univ, Sch Med, Chinese Ctr Trop Dis Res, Sch Global Hlth, Shanghai, Peoples R China; [Gong, Yanfeng] Fudan Univ, Sch Publ Hlth, Shanghai, Peoples R China</t>
  </si>
  <si>
    <t xml:space="preserve">Chinese Center for Disease Control &amp; Prevention; National Institute of Parasitic Diseases, Chinese Center for Disease Control &amp; Prevention; Shanghai Center for Disease Control &amp; Prevention; World Health Organization; Xuzhou Medical University; Shanghai Jiao Tong University; Fudan University</t>
  </si>
  <si>
    <t xml:space="preserve">Li, SZ (corresponding author), Chinese Ctr Dis Control &amp; Prevent, Chinese Ctr Trop Dis Res, Natl Inst Parasit Dis, Shanghai, Peoples R China.;Li, SZ (corresponding author), Natl Key Lab Intelligent Tracking &amp; Forecasting In, Shanghai, Peoples R China.;Li, SZ (corresponding author), NHC Key Lab Parasite &amp; Vector Biol, Shanghai, Peoples R China.;Li, SZ (corresponding author), WHO Collaborating Ctr Trop Dis, Shanghai, Peoples R China.;Li, SZ (corresponding author), Natl Ctr Int Res Trop Dis, Shanghai, Peoples R China.;Li, SZ (corresponding author), Shanghai Jiao Tong Univ, Sch Med, Chinese Ctr Trop Dis Res, Sch Global Hlth, Shanghai, Peoples R China.</t>
  </si>
  <si>
    <t xml:space="preserve">lisz@chinacdc.cn</t>
  </si>
  <si>
    <t xml:space="preserve">Liu, Zhenhua/AAF-5101-2020; Zhou, Xiao-Nong/MCJ-7560-2025; Gong, Yanfeng/IST-9034-2023; james, jin/JGM-2841-2023</t>
  </si>
  <si>
    <t xml:space="preserve">GUO, Zhao-Yu/0000-0001-6755-9827</t>
  </si>
  <si>
    <t xml:space="preserve">National Key Research and Development Program of China; Parasitic Diseases Institute of China's CDC</t>
  </si>
  <si>
    <t xml:space="preserve">National Key Research and Development Program of China(National Key Research &amp; Development Program of China); Parasitic Diseases Institute of China's CDC</t>
  </si>
  <si>
    <t xml:space="preserve">We're deeply grateful to DuChang Second People's Hospital and the Parasitic Diseases Institute of China's CDC for their unwavering support in our study.</t>
  </si>
  <si>
    <t xml:space="preserve">e0012235</t>
  </si>
  <si>
    <t xml:space="preserve">10.1371/journal.pntd.0012235</t>
  </si>
  <si>
    <t xml:space="preserve">UL9Z2</t>
  </si>
  <si>
    <t xml:space="preserve">WOS:001248346000006</t>
  </si>
  <si>
    <t xml:space="preserve">Challhua, R; Prati, R; Champi, A</t>
  </si>
  <si>
    <t xml:space="preserve">Challhua, Ronaldo; Prati, Ronaldo; Champi, Ana</t>
  </si>
  <si>
    <t xml:space="preserve">Feature engineering and machine learning for electrochemical detection of rabies virus in graphene-based biosensors</t>
  </si>
  <si>
    <t xml:space="preserve">Electrochemical biosensors are small analytical devices that convert a biological response into a processable signal with high sensitivity, ease of operation, cost-effectiveness, and miniaturization capability. The current study proposes enhancing the reliability of the electrochemical detection of enveloped viruses, such as the rabies virus using feature engineering and machine learning. Portable detection was achieved using a graphene-based microfluidic sensor and the current was recorded from electrochemical experiments using a portable potentiostat. After data mining and feature engineering, a dataset obtained from staircase cyclic voltammetry was used in different machine learning models. The features from the voltammogram were extracted following theoretic aspects to build a dataset with uncovering patterns and valuable information. Correlation-based and recursive feature elimination algorithms were used for feature engineering. Our analysis showed that the best F-measure score a model trained was obtained through a support vector machine with 0.9830 for the diagnostic tasks following the proposed feature engineering pipeline. On the other hand, the preprocessing pipeline which is commonly used in many studies obtained a score of 0.9394 using a decision tree model. In addition, the proposed method generates features with higher interpretability and lower model complexity than conventional feature reduction methods such as PCA. Our study shows the potential of machine learning models in the field of electrochemical biosensor development with a focus on feature engineering based on electroanalytical analysis, which can be extended to develop new tools for disease diagnosis in the future.</t>
  </si>
  <si>
    <t xml:space="preserve">MICROCHEMICAL JOURNAL</t>
  </si>
  <si>
    <t xml:space="preserve">Feature engineering; Machine learning; Electrochemical biosensor; Graphene-based biosensor</t>
  </si>
  <si>
    <t xml:space="preserve">CLASSIFICATION; VOLTAMMETRY; SENSOR</t>
  </si>
  <si>
    <t xml:space="preserve">[Challhua, Ronaldo; Champi, Ana] Fed Univ ABC, Ctr Nat &amp; Human Sci, Lab New Carbon Mat Graphene, BR-09210580 Santo Andre, SP, Brazil; [Prati, Ronaldo] Fed Univ ABC, Ctr Math Comp &amp; Cognit, BR-09210580 Santo Andre, SP, Brazil</t>
  </si>
  <si>
    <t xml:space="preserve">Champi, A (corresponding author), Fed Univ ABC, Ctr Nat &amp; Human Sci, Lab New Carbon Mat Graphene, BR-09210580 Santo Andre, SP, Brazil.</t>
  </si>
  <si>
    <t xml:space="preserve">ana.champi@ufabc.edu.br</t>
  </si>
  <si>
    <t xml:space="preserve">Champi, Ana/F-4159-2012; Prati, Ronaldo/A-1211-2008</t>
  </si>
  <si>
    <t xml:space="preserve">Prati, Ronaldo/0000-0001-8597-4987; Champi, Ana/0000-0002-2354-8867; Challhua Reynoso, Ronaldo Valentin/0000-0003-3253-3760</t>
  </si>
  <si>
    <t xml:space="preserve">National Council for Scientific and Technological Development - CNPq [408397/2022-5]; CNPq/MCTI/FNDCT [22/2022]; Grant FAPESP [2022/11894-1]; VRS technology and Innovation Eirelli and 2MI Group; INPI Patent Application [BR10 2021 0113981-1]</t>
  </si>
  <si>
    <t xml:space="preserve">National Council for Scientific and Technological Development - CNPq(Conselho Nacional de Desenvolvimento Cientifico e Tecnologico (CNPQ)); CNPq/MCTI/FNDCT; Grant FAPESP(Fundacao de Amparo a Pesquisa do Estado de Sao Paulo (FAPESP)); VRS technology and Innovation Eirelli and 2MI Group; INPI Patent Application</t>
  </si>
  <si>
    <t xml:space="preserve">The authors are grateful to the Atlantic Forest Fiocruz Campus - RJ and Pasteur Institute - SP for fieldwork in data collection. To National Council for Scientific and Technological Development - CNPq. Process: 408397/2022-5, CNPq/MCTI/FNDCT No 22/2022 - Programa MCTI de Inovacao em Grafeno, InovaGrafeno - MCTI, Grant FAPESP: 2022/11894-1 and VRS technology and Innovation Eirelli and 2MI Group by financial support. This work is also part of the INPI Patent Application: BR10 2021 0113981-1, 07/15/2021, Reduced graphene oxide-based electrodes for viral detection applications. Finally, the authors are grateful to Felipe Pacheco de Almeida Euphrasio, Adriana Camargo de Brito, Felipe Silva Silles and Edilson Jose Rodrigues from IPT-USP for their discussions during the development of this work.</t>
  </si>
  <si>
    <t xml:space="preserve">0026-265X</t>
  </si>
  <si>
    <t xml:space="preserve">1095-9149</t>
  </si>
  <si>
    <t xml:space="preserve">MICROCHEM J</t>
  </si>
  <si>
    <t xml:space="preserve">Microchem J.</t>
  </si>
  <si>
    <t xml:space="preserve">10.1016/j.microc.2024.111074</t>
  </si>
  <si>
    <t xml:space="preserve">JUL 2024</t>
  </si>
  <si>
    <t xml:space="preserve">YG0M4</t>
  </si>
  <si>
    <t xml:space="preserve">WOS:001267214900001</t>
  </si>
  <si>
    <t xml:space="preserve">Wardeh, M; Pilgrim, J; Hui, M; Kotsiri, A; Baylis, M; Blagrove, MSC</t>
  </si>
  <si>
    <t xml:space="preserve">Wardeh, Maya; Pilgrim, Jack; Hui, Melody; Kotsiri, Aurelia; Baylis, Matthew; Blagrove, Marcus S. C.</t>
  </si>
  <si>
    <t xml:space="preserve">Features that matter: Evolutionary signatures can predict viral transmission routes</t>
  </si>
  <si>
    <t xml:space="preserve">Routes of virus transmission between hosts are key to understanding viral epidemiology. Different routes have large effects on viral ecology, and likelihood and rate of transmission; for example, respiratory and vector-borne viruses together encompass the majority of rapid outbreaks and high-consequence animal and plant epidemics. However, determining the specific transmission route(s) can take months to years, delaying mitigation efforts. Here, we identify the vial features and evolutionary signatures which are predictive of viral transmission routes and use them to predict potential routes for fully-sequenced viruses in silico and rapidly, for both viruses with no observed routes, as well as viruses with missing routes. This was achieved by compiling a dataset of 24,953 virus-host associations with 81 defined transmission routes, constructing a hierarchy of virus transmission encompassing those routes and 42 higher-order modes, and engineering 446 predictive features from three complementary perspectives. We integrated those data and features to train 98 independent ensembles of LightGBM classifiers. We found that all features contributed to the prediction for at least one of the routes and/or modes of transmission, demonstrating the utility of our broad multi-perspective approach. Our framework achieved ROC-AUC = 0.991, and F1-score = 0.855 across all included transmission routes and modes, and was able to achieve high levels of predictive performance for high-consequence respiratory (ROC-AUC = 0.990, and F1-score = 0.864) and vector-borne transmission (ROC-AUC = 0.997, and F1-score = 0.921). Our framework ranks the viral features in order of their contribution to prediction, per transmission route, and hence identifies the genomic evolutionary signatures associated with each route. Together with the more matured field of viral host-range prediction, our predictive framework could: provide early insights into the potential for, and pattern of viral spread; facilitate rapid response with appropriate measures; and significantly triage the time-consuming investigations to confirm the likely routes of transmission. Routes of virus transmission-the mechanism(s) by which a virus physically gets from an infected to an uninfected host, are crucial to understanding how viral diseases spread among animals and plants. Here, we uncover the evolutionary signatures which can predict the transmission routes a virus uses to move from one host to another, enabling us to identify any unobserved routes for known viruses and even predict potential routes of newly emerged viruses. We first compile a comprehensive dataset of virus-host associations. Using this dataset, we employ a multi-perspective machine learning approach to achieve high predictive performance. Our framework ranks viral features by their significance in prediction, revealing genomic evolutionary signatures linked to each route. Our approach could provide early insights into viral spread patterns, facilitating prompt response efforts to new outbreaks and epidemics, and streamline laboratory investigations. Overall, our study represents a step forward in our ability to anticipate and mitigate the impact of emerging infectious diseases on human, animal, and plant health.</t>
  </si>
  <si>
    <t xml:space="preserve">PLOS PATHOGENS</t>
  </si>
  <si>
    <t xml:space="preserve">ZIKA VIRUS; STABILITY; DATABASE; RISK; PH</t>
  </si>
  <si>
    <t xml:space="preserve">[Wardeh, Maya] Univ Liverpool, Dept Comp Sci, Liverpool, England; [Wardeh, Maya; Pilgrim, Jack; Hui, Melody; Kotsiri, Aurelia; Baylis, Matthew; Blagrove, Marcus S. C.] Univ Liverpool, Inst Infect Vet &amp; Ecol Sci, Liverpool, England</t>
  </si>
  <si>
    <t xml:space="preserve">University of Liverpool; University of Liverpool</t>
  </si>
  <si>
    <t xml:space="preserve">Wardeh, M (corresponding author), Univ Liverpool, Dept Comp Sci, Liverpool, England.;Wardeh, M; Blagrove, MSC (corresponding author), Univ Liverpool, Inst Infect Vet &amp; Ecol Sci, Liverpool, England.</t>
  </si>
  <si>
    <t xml:space="preserve">maya.wardeh@liverpool.ac.uk; marcus.blagrove@liverpool.ac.uk</t>
  </si>
  <si>
    <t xml:space="preserve">Baylis, Matthew/S-7694-2019</t>
  </si>
  <si>
    <t xml:space="preserve">Baylis, Matthew/0000-0003-0335-187X; wardeh, maya/0000-0002-2316-5460</t>
  </si>
  <si>
    <t xml:space="preserve">Medical Research Council (MRC); Biotechnology and Biological Sciences Research Council (BBSRC); Natural Environment Research Council (NERC) [MR/R024898/1, BB/W00402X/1, NE/W002302/1]</t>
  </si>
  <si>
    <t xml:space="preserve">Medical Research Council (MRC)(UK Research &amp; Innovation (UKRI)Medical Research Council UK (MRC)); Biotechnology and Biological Sciences Research Council (BBSRC)(UK Research &amp; Innovation (UKRI)Biotechnology and Biological Sciences Research Council (BBSRC)); Natural Environment Research Council (NERC)(UK Research &amp; Innovation (UKRI)Natural Environment Research Council (NERC))</t>
  </si>
  <si>
    <t xml:space="preserve">The authors acknowledge support from Medical Research Council (MRC), Biotechnology and Biological Sciences Research Council (BBSRC), and Natural Environment Research Council (NERC) which funded parts of this research, as follows: National Productivity Investment Fund (NPIF) fellowship: MR/R024898/1 awarded to MW, and research grants BB/W00402X/1 and NE/W002302/1 (awarded to MSCB, MB and MW). The funders had no role in study design, data collection and analysis, decision to publish, or preparation of the manuscript.</t>
  </si>
  <si>
    <t xml:space="preserve">1553-7366</t>
  </si>
  <si>
    <t xml:space="preserve">1553-7374</t>
  </si>
  <si>
    <t xml:space="preserve">PLOS PATHOG</t>
  </si>
  <si>
    <t xml:space="preserve">PLoS Pathog.</t>
  </si>
  <si>
    <t xml:space="preserve">e1012629</t>
  </si>
  <si>
    <t xml:space="preserve">10.1371/journal.ppat.1012629</t>
  </si>
  <si>
    <t xml:space="preserve">Microbiology; Parasitology; Virology</t>
  </si>
  <si>
    <t xml:space="preserve">J8P1Y</t>
  </si>
  <si>
    <t xml:space="preserve">WOS:001339618400002</t>
  </si>
  <si>
    <t xml:space="preserve">Teo, A; Le, CTT; Tan, TV; Chia, PY; Yeo, TW</t>
  </si>
  <si>
    <t xml:space="preserve">Teo, Andrew; Le, Chau Thuy Tien; Tan, Trevor; Chia, Po Ying; Yeo, Tsin Wen</t>
  </si>
  <si>
    <t xml:space="preserve">Febrile Phase Soluble Urokinase Plasminogen Activator Receptor and Olfactomedin 4 as Prognostic Biomarkers for Severe Dengue in Adults</t>
  </si>
  <si>
    <t xml:space="preserve">Background. Dengue cases continue to rise and can overwhelm healthcare systems during outbreaks. In dengue, neutrophil mediators, soluble urokinase plasminogen activator receptor (suPAR) and olfactomedin 4, and mast cell mediators, chymase and tryptase, have not been measured longitudinally across the dengue phases. The utility of these proteins as prognostic biomarkers for severe dengue has also not been assessed in an older adult population.Methods. We prospectively enrolled 99 adults with dengue-40 dengue fever, 46 dengue with warning signs and 13 severe dengue, along with 30 controls. Plasma levels of suPAR, olfactomedin 4, chymase and tryptase were measured at the febrile, critical and recovery phases in dengue patients.Results. The suPAR levels were significantly elevated in severe dengue compared to the other dengue severities and controls in the febrile (P &lt; .001), critical (P &lt; .001), and recovery (P = .005) phases. In the febrile phase, suPAR was a prognostic biomarker of severe dengue, with an AUROC of 0.82. Using a cutoff derived from Youden's index (5.4 ng/mL) and an estimated prevalence of severe dengue (16.5%) in our healthcare institution, the sensitivity was 71.4% with a specificity of 87.9% in the febrile phase, and the positive and negative predictive values were 54.7% and 95.8%, respectively. Olfactomedin 4 was elevated in dengue patients but not in proportion to disease severity in the febrile phase (P = .04) There were no significant differences in chymase and tryptase levels between dengue patients and controls.Conclusions. In adult dengue, suPAR may be a reliable prognostic biomarker for severe dengue in the febrile phase.</t>
  </si>
  <si>
    <t xml:space="preserve">CLINICAL INFECTIOUS DISEASES</t>
  </si>
  <si>
    <t xml:space="preserve">severe dengue; soluble urokinase plasminogen activator receptor; olfactomedin 4 biomarker; neutrophils; arbovirus</t>
  </si>
  <si>
    <t xml:space="preserve">[Teo, Andrew; Chia, Po Ying; Yeo, Tsin Wen] Nanyang Technol Univ, Lee Kong Chian Sch Med, Clin Sci Bldg,11 Mandalay Rd, Singapore, Singapore; [Teo, Andrew] Univ Melbourne, Doherty Inst, Dept Med, Melbourne, Australia; [Teo, Andrew; Tan, Trevor; Chia, Po Ying; Yeo, Tsin Wen] Natl Ctr Infect Dis, Singapore, Singapore; [Le, Chau Thuy Tien] Georgia State Univ, Inst Biomed Sci, Ctr Inflammat Immun &amp; Infect, Atlanta, GA USA; [Tan, Trevor] Natl Univ Singapore, Yong Loo Lin Sch Med, Singapore, Singapore; [Tan, Trevor; Chia, Po Ying; Yeo, Tsin Wen] Tan Tock Seng Hosp, Dept Infect Dis, Singapore, Singapore</t>
  </si>
  <si>
    <t xml:space="preserve">Nanyang Technological University; University of Melbourne; Peter Doherty Institute; National Centre for Infectious Diseases Singapore; University System of Georgia; Georgia State University; National University of Singapore; Tan Tock Seng Hospital</t>
  </si>
  <si>
    <t xml:space="preserve">Teo, A; Yeo, TW (corresponding author), Nanyang Technol Univ, Lee Kong Chian Sch Med, Clin Sci Bldg,11 Mandalay Rd, Singapore, Singapore.</t>
  </si>
  <si>
    <t xml:space="preserve">andrewcc.teo@ntu.edu.sg; yeotsinwen@ntu.edu.sg</t>
  </si>
  <si>
    <t xml:space="preserve">Chia, Po Ying/GSD-9737-2022</t>
  </si>
  <si>
    <t xml:space="preserve">Teo, Andrew/0000-0002-4520-2701</t>
  </si>
  <si>
    <t xml:space="preserve">Clinician Scientist Award INV [15nov007]; LKC Medicine Dean's Postdoctoral Fellowship; LKC Medicine-Imperial College; NMRC Research Training Fellowship [NMRC/Fellowship/0056/2018]</t>
  </si>
  <si>
    <t xml:space="preserve">Clinician Scientist Award INV; LKC Medicine Dean's Postdoctoral Fellowship; LKC Medicine-Imperial College; NMRC Research Training Fellowship</t>
  </si>
  <si>
    <t xml:space="preserve">This work was supported by Clinician Scientist Award INV 15nov007 awarded to T. W. Y., LKC Medicine Dean's Postdoctoral Fellowship and LKC Medicine-Imperial College collaborative grant awarded to A. T. P. Y. C. was supported by NMRC Research Training Fellowship (NMRC/Fellowship/0056/2018). The funders had no role in the design, and conduct of the study; data collection, management, analysis, and interpretation of the data; preparation, review, or approval of the manuscript; and the decision to submit the manuscript for publication.</t>
  </si>
  <si>
    <t xml:space="preserve">1058-4838</t>
  </si>
  <si>
    <t xml:space="preserve">1537-6591</t>
  </si>
  <si>
    <t xml:space="preserve">CLIN INFECT DIS</t>
  </si>
  <si>
    <t xml:space="preserve">Clin. Infect. Dis.</t>
  </si>
  <si>
    <t xml:space="preserve">10.1093/cid/ciad637</t>
  </si>
  <si>
    <t xml:space="preserve">Immunology; Infectious Diseases; Microbiology</t>
  </si>
  <si>
    <t xml:space="preserve">MA6X2</t>
  </si>
  <si>
    <t xml:space="preserve">WOS:001103426900001</t>
  </si>
  <si>
    <t xml:space="preserve">Nanda, AK; Thilagavathy, R; Devi, GSKG; Chaturvedi, A; Jalda, CS; Inthiyaz, S</t>
  </si>
  <si>
    <t xml:space="preserve">Nanda, Ashok Kumar; Thilagavathy, R.; Devi, G. S. K. Gayatri; Chaturvedi, Abhay; Jalda, Chaitra Sai; Inthiyaz, Syed</t>
  </si>
  <si>
    <t xml:space="preserve">Forecasting deep learning-based risk assessment of vector-borne diseases using hybrid methodology</t>
  </si>
  <si>
    <t xml:space="preserve">BACKGROUND: Dengue fever is rapidly becoming Malaysia's most pressing health concern, as the reported cases have nearly doubled over the past decade. Without efficacious antiviral medications, vector control remains the primary strategy for battling dengue, while the recently introduced tetravalent immunization is being evaluated. The most significant and dangerous risk increasing recently is vector-borne illnesses. These illnesses induce significant human sickness and are transmitted by blood-feeding arthropods such as fleas, parasites, and mosquitos. A thorough grasp of various factors is necessary to improve prediction accuracy and typically generate inaccurate and unstable predictions, as well as machine learning (ML) models, weather-driven mechanisms, and numerical time series. OBJECTIVE: In this research, we propose a novel method for forecasting vector-borne disease risk using Radial Basis Function Networks (RBFNs) and the Darts Game Optimizer (DGO) algorithm. METHODS: The proposed approach entails training the RBFNs with historical disease data and enhancing their parameters with the DGO algorithm. To prepare the RBFNs, we used a massive dataset of vector-borne disease incidences, climate variables, and geographical data. The DGO algorithm proficiently searches the RBFN parameter space, fine-tuning the model's architecture to increase forecast accuracy. RESULTS: RBFN-DGO provides a potential method for predicting vector-borne disease risk. This study advances predictive demonstrating in public health by shedding light on effectively controlling vector-borne diseases to protect human populations. We conducted extensive testing to evaluate the performance of the proposed method to standard optimization methods and alternative forecasting methods. CONCLUSION: According to the findings, the RBFN-DGO model beats others in terms of accuracy and robustness in predicting the likelihood of vector-borne illness occurrences.</t>
  </si>
  <si>
    <t xml:space="preserve">TECHNOLOGY AND HEALTH CARE</t>
  </si>
  <si>
    <t xml:space="preserve">IOS PRESS</t>
  </si>
  <si>
    <t xml:space="preserve">Deep learning (DL); dengue fever; radial basis function networks; darts game optimizer; vector-borne disease</t>
  </si>
  <si>
    <t xml:space="preserve">[Nanda, Ashok Kumar; Jalda, Chaitra Sai] B V Raju Inst Technol, Dept Comp Sci &amp; Engn, Narsapur, India; [Thilagavathy, R.] SRM Inst Sci &amp; Technol, Coll Engn &amp; Technol, Dept Comp Technol, Chennai, India; [Devi, G. S. K. Gayatri] Malla Reddy Engn Coll, Dept Elect &amp; Commun Engn, Hyderabad, India; [Chaturvedi, Abhay] GLA Univ, Dept Elect &amp; Commun Engn, Mathura, India; [Inthiyaz, Syed] Koneru Lakshmaiah Educ Fdn, Dept Elect &amp; Commun Engn, Vaddeswaram, India</t>
  </si>
  <si>
    <t xml:space="preserve">SRM Institute of Science &amp; Technology Chennai; GLA University; Koneru Lakshmaiah Education Foundation (K L Deemed to be University)</t>
  </si>
  <si>
    <t xml:space="preserve">Nanda, AK (corresponding author), B V Raju Inst Technol, Dept Comp Sci &amp; Engn, Narsapur, India.</t>
  </si>
  <si>
    <t xml:space="preserve">ashokkumarnanda@yahoo.com</t>
  </si>
  <si>
    <t xml:space="preserve">Nanda, Dr. Ashok/G-4407-2010; inthiyaz, syed/U-6723-2018; Ramalingam, Thilagavathy/AAV-5617-2021; chaturvedi, abhay/LSM-4318-2024</t>
  </si>
  <si>
    <t xml:space="preserve">inthiyaz, syed/0000-0003-1544-4862</t>
  </si>
  <si>
    <t xml:space="preserve">NIEUWE HEMWEG 6B, 1013 BG AMSTERDAM, NETHERLANDS</t>
  </si>
  <si>
    <t xml:space="preserve">0928-7329</t>
  </si>
  <si>
    <t xml:space="preserve">1878-7401</t>
  </si>
  <si>
    <t xml:space="preserve">TECHNOL HEALTH CARE</t>
  </si>
  <si>
    <t xml:space="preserve">Technol. Health Care</t>
  </si>
  <si>
    <t xml:space="preserve">10.3233/THC-240046</t>
  </si>
  <si>
    <t xml:space="preserve">Health Care Sciences &amp; Services; Engineering, Biomedical</t>
  </si>
  <si>
    <t xml:space="preserve">Health Care Sciences &amp; Services; Engineering</t>
  </si>
  <si>
    <t xml:space="preserve">H8L0L</t>
  </si>
  <si>
    <t xml:space="preserve">WOS:001325887500003</t>
  </si>
  <si>
    <t xml:space="preserve">Zaidi, SMA; Mahfooz, A; Latif, A; Nawaz, N; Fatima, R; Rehman, FU; Reza, TE; Emmanuel, F</t>
  </si>
  <si>
    <t xml:space="preserve">Zaidi, Syed Mohammad Asad; Mahfooz, Amna; Latif, Abdullah; Nawaz, Nainan; Fatima, Razia; Rehman, Fazal Ur; Reza, Tahira Ezra; Emmanuel, Faran</t>
  </si>
  <si>
    <t xml:space="preserve">Geographical targeting of active case finding for tuberculosis in Pakistan using hotspots identified by artificial intelligence software (SPOT-TB): study protocol for a pragmatic stepped wedge cluster randomised control trial</t>
  </si>
  <si>
    <t xml:space="preserve">Introduction Pakistan has significantly strengthened its capacity for active case finding (ACF) for tuberculosis (TB) that is being implemented at scale in the country. However, yields of ACF have been lower than expected, raising concerns on its effectiveness in the programmatic setting. Distribution of TB in communities is likely to be spatially heterogeneous and targeting of ACF in areas with higher TB prevalence may help improve yields. The primary aim of SPOT-TB is to investigate whether a policy change to use a geographically targeted approach towards ACF supported by an artificial intelligence (AI) software, MATCH-AI, can improve yields in Pakistan.Methods and analysis SPOT-TB will use a pragmatic, stepped wedge cluster randomised design. A total of 30 mobile X-ray units and their field teams will be randomised to receive the intervention. Site selection for ACF in the intervention areas will be guided primarily through the use of MATCH-AI software that models subdistrict TB prevalence and identifies potential disease hotspots. Control areas will use existing approaches towards site selection that are based on staff knowledge, experience and analysis of historical data. The primary outcome measure is the difference in bacteriologically confirmed incident TB detected in the intervention relative to control areas. All remaining ACF-related procedures and algorithms will remain unaffected by this trial.Ethics and dissemination Ethical approval has been obtained from the Health Services Academy, Islamabad, Pakistan (7-82/IERC-HSA/2022-52) and from the Common Management Unit for TB, HIV and Malaria, Ministry of Health Services, Regulation and Coordination, Islamabad, Pakistan (26-IRB-CMU-2023). Findings from this study will be disseminated through publications in peer-reviewed journals and stakeholder meetings in Pakistan with the implementing partners and public-sector officials. Findings will also be presented at local and international medical and public health conferences.Trial registration number NCT06017843.</t>
  </si>
  <si>
    <t xml:space="preserve">BMJ OPEN RESPIRATORY RESEARCH</t>
  </si>
  <si>
    <t xml:space="preserve">BMJ PUBLISHING GROUP</t>
  </si>
  <si>
    <t xml:space="preserve">Tuberculosis; Respiratory Infection</t>
  </si>
  <si>
    <t xml:space="preserve">[Zaidi, Syed Mohammad Asad] UCL, Inst Global Hlth, WHO Ctr TB Res &amp; Innovat, London, England; [Mahfooz, Amna; Rehman, Fazal Ur; Reza, Tahira Ezra; Emmanuel, Faran] Ctr Global Publ Hlth, Islamabad, Pakistan; [Latif, Abdullah; Nawaz, Nainan] Mercy Corps, Islamabad, Pakistan; [Fatima, Razia] Minist Natl Hlth Serv Regulat &amp; Coordinat, Islamabad, Pakistan; [Emmanuel, Faran] Univ Manitoba, Winnipeg, MB, Canada</t>
  </si>
  <si>
    <t xml:space="preserve">University of London; University College London; University of Manitoba</t>
  </si>
  <si>
    <t xml:space="preserve">Zaidi, SMA (corresponding author), UCL, Inst Global Hlth, WHO Ctr TB Res &amp; Innovat, London, England.</t>
  </si>
  <si>
    <t xml:space="preserve">syed.zaidi.22@ucl.ac.uk; amna.mahfooz@cgph.org.pk; ablatif@mercycorps.org; nanawaz@mercycorps.org; drraziafatima@gmail.com; fazal@cgph.org.pk; tahira@cgph.org.pk; Faran.Emmanuel@umanitoba.ca</t>
  </si>
  <si>
    <t xml:space="preserve">Fatima, Razia/JAD-1666-2023</t>
  </si>
  <si>
    <t xml:space="preserve">Zaidi, Syed Mohammad Asad/0009-0001-1446-424X; Nawaz, Nainan/0000-0001-9783-7613; Mahfooz, Amna/0009-0008-0582-2472</t>
  </si>
  <si>
    <t xml:space="preserve">Bill and Melinda Gates Foundation [INV- 037454]; Global Fund; Bill and Melinda Gates Foundation [INV-037454] Funding Source: Bill and Melinda Gates Foundation</t>
  </si>
  <si>
    <t xml:space="preserve">Bill and Melinda Gates Foundation(Bill &amp; Melinda Gates Foundation); Global Fund; Bill and Melinda Gates Foundation(Bill &amp; Melinda Gates Foundation)</t>
  </si>
  <si>
    <t xml:space="preserve">This study is supported by the Bill and Melinda Gates Foundation, grant number INV- 037454. The funders have provided input on the study design. The evaluation will be conducted independently of the funders. The active case- finding intervention is supported by the Global Fund and is independent of this study.</t>
  </si>
  <si>
    <t xml:space="preserve">BRITISH MED ASSOC HOUSE, TAVISTOCK SQUARE, LONDON WC1H 9JR, ENGLAND</t>
  </si>
  <si>
    <t xml:space="preserve">2052-4439</t>
  </si>
  <si>
    <t xml:space="preserve">BMJ OPEN RESPIR RES</t>
  </si>
  <si>
    <t xml:space="preserve">BMJ Open Respir. Res.</t>
  </si>
  <si>
    <t xml:space="preserve">JUL 11</t>
  </si>
  <si>
    <t xml:space="preserve">10.1136/bmjresp-2023-002079</t>
  </si>
  <si>
    <t xml:space="preserve">Respiratory System</t>
  </si>
  <si>
    <t xml:space="preserve">E1B9Y</t>
  </si>
  <si>
    <t xml:space="preserve">WOS:001300441300001</t>
  </si>
  <si>
    <t xml:space="preserve">Zeng, X; Feng, PK; Li, SJ; Lv, SQ; Wen, ML; Li, Y</t>
  </si>
  <si>
    <t xml:space="preserve">Zeng, Xin; Feng, Peng-Kun; Li, Shu-Juan; Lv, Shuang-Qing; Wen, Meng-Liang; Li, Yi</t>
  </si>
  <si>
    <t xml:space="preserve">GNN-DDAS: Drug discovery for identifying anti-schistosome small molecules based on graph neural network</t>
  </si>
  <si>
    <t xml:space="preserve">Schistosomiasis is a tropical disease that poses a significant risk to hundreds of millions of people, yet often goes unnoticed. While praziquantel, a widely used anti-schistosome drug, has a low cost and a high cure rate, it has several drawbacks. These include ineffectiveness against schistosome larvae, reduced efficacy in young children, and emerging drug resistance. Discovering new and active anti-schistosome small molecules is therefore critical, but this process presents the challenge of low accuracy in computer-aided methods. To address this issue, we proposed GNN-DDAS, a novel deep learning framework based on graph neural networks (GNN), designed for drug discovery to identify active anti-schistosome (DDAS) small molecules. Initially, a multi-layer perceptron was used to derive sequence features from various representations of small molecule SMILES. Next, GNN was employed to extract structural features from molecular graphs. Finally, the extracted sequence and structural features were then concatenated and fed into a fully connected network to predict active anti-schistosome small molecules. Experimental results showed that GNN-DDAS exhibited superior performance compared to the benchmark methods on both benchmark and real-world application datasets. Additionally, the use of GNNExplainer model allowed us to analyze the key substructure features of small molecules, providing insight into the effectiveness of GNN-DDAS. Overall, GNN-DDAS provided a promising solution for discovering new and active anti-schistosome small molecules.</t>
  </si>
  <si>
    <t xml:space="preserve">JOURNAL OF COMPUTATIONAL CHEMISTRY</t>
  </si>
  <si>
    <t xml:space="preserve">anti-schistosome small molecules; deep learning; drug discovery; GNNExplainer; graph neural network</t>
  </si>
  <si>
    <t xml:space="preserve">SELF-ATTENTION; TRANSFORMER; DTA</t>
  </si>
  <si>
    <t xml:space="preserve">[Zeng, Xin; Feng, Peng-Kun; Li, Yi] Dali Univ, Coll Math &amp; Comp Sci, Dali, Peoples R China; [Li, Shu-Juan] Yunnan Inst Endem Dis Control &amp; Prevent, Dept Endem Dis, Dali, Peoples R China; [Lv, Shuang-Qing] West Yunnan Univ Appl Sci, Inst Surveying &amp; Informat Engn, Dali, Peoples R China; [Wen, Meng-Liang] Yunnan Univ, State Key Lab Conservat &amp; Utilizat Bioresources, Kunming, Peoples R China</t>
  </si>
  <si>
    <t xml:space="preserve">Dali University; Yunnan Institute for Endemic Disease Control &amp; Prevention; West Yunnan University of Applied Sciences; Yunnan University</t>
  </si>
  <si>
    <t xml:space="preserve">Li, Y (corresponding author), Dali Univ, Coll Math &amp; Comp Sci, Dali, Peoples R China.</t>
  </si>
  <si>
    <t xml:space="preserve">yili@dali.edu.cn</t>
  </si>
  <si>
    <t xml:space="preserve">Li, Shujuan/GPW-6245-2022</t>
  </si>
  <si>
    <t xml:space="preserve">Zeng, Xin/0000-0003-1014-2558</t>
  </si>
  <si>
    <t xml:space="preserve">National Natural Sciences Foundation of China [62366002]; Yunnan Young and Middle-aged Academic and Technical Leaders Reserve Talent Project in China [202405AC350023]; State Key Laboratory for Conservation and Utilization of Bio-Resources in Yunnan, Yunnan University [2023KF005]</t>
  </si>
  <si>
    <t xml:space="preserve">National Natural Sciences Foundation of China(National Natural Science Foundation of China (NSFC)); Yunnan Young and Middle-aged Academic and Technical Leaders Reserve Talent Project in China; State Key Laboratory for Conservation and Utilization of Bio-Resources in Yunnan, Yunnan University</t>
  </si>
  <si>
    <t xml:space="preserve">National Natural Sciences Foundation of China, Grant/Award Number: 62366002; State Key Laboratory for Conservation and Utilization of Bio-Resources in Yunnan, Grant/Award Number: 2023KF005; Yunnan Young and Middle-aged Academic and Technical Leaders Reserve Talent Project in China, Grant/Award Number:202405AC350023</t>
  </si>
  <si>
    <t xml:space="preserve">0192-8651</t>
  </si>
  <si>
    <t xml:space="preserve">1096-987X</t>
  </si>
  <si>
    <t xml:space="preserve">J COMPUT CHEM</t>
  </si>
  <si>
    <t xml:space="preserve">J. Comput. Chem.</t>
  </si>
  <si>
    <t xml:space="preserve">10.1002/jcc.27490</t>
  </si>
  <si>
    <t xml:space="preserve">L7J1F</t>
  </si>
  <si>
    <t xml:space="preserve">WOS:001298963400001</t>
  </si>
  <si>
    <t xml:space="preserve">Mswahili, ME; Ndomba, GE; Jo, K; Jeong, YS</t>
  </si>
  <si>
    <t xml:space="preserve">Mswahili, Medard Edmund; Ndomba, Goodwill Erasmo; Jo, Kyuri; Jeong, Young-Seob</t>
  </si>
  <si>
    <t xml:space="preserve">Graph Neural Network and BERT Model for Antimalarial Drug Predictions Using Plasmodium Potential Targets</t>
  </si>
  <si>
    <t xml:space="preserve">Malaria continues to pose a significant global health burden despite concerted efforts to combat it. In 2020, nearly half of the world's population faced the risk of malaria, underscoring the urgency of innovative strategies to tackle this pervasive threat. One of the major challenges lies in the emergence of the resistance of parasites to existing antimalarial drugs. This challenge necessitates the discovery of new, effective treatments capable of combating the Plasmodium parasite at various stages of its life cycle. Advanced computational approaches have been utilized to accelerate drug development, playing a crucial role in every stage of the drug discovery and development process. We have witnessed impressive and groundbreaking achievements, with GNNs applied to graph data and BERT from transformers across diverse NLP text analysis tasks. In this study, to facilitate a more efficient and effective approach, we proposed the integration of an NLP based model for SMILES (i.e., BERT) and a GNN model (i.e., RGCN) to predict the effect of antimalarial drugs against Plasmodium. The GNN model was trained using designed antimalarial drug and potential target (i.e., PfAcAS, F/GGPPS, and PfMAGL) graph-structured data with nodes representing antimalarial drugs and potential targets, and edges representing relationships between them. The performance of BERT-RGCN was further compared with that of Mordred-RGCN to evaluate its effectiveness. The BERT-RGCN and Mordred-RGCN models performed consistently well across different feature combinations, showcasing high accuracy, sensitivity, specificity, MCC, AUROC, and AUPRC values. These results suggest the effectiveness of the models in predicting antimalarial drugs against Plasmodium falciparum in various scenarios based on different sets of features of drugs and potential antimalarial targets.</t>
  </si>
  <si>
    <t xml:space="preserve">malaria; graph neural network; BERT; tokenizer; Plasmodium falciparum; machine learning; deep learning; natural language processing; drug discovery and development</t>
  </si>
  <si>
    <t xml:space="preserve">[Mswahili, Medard Edmund; Ndomba, Goodwill Erasmo; Jo, Kyuri; Jeong, Young-Seob] Chungbuk Natl Univ, Dept Comp Engn, Cheongju 28644, South Korea</t>
  </si>
  <si>
    <t xml:space="preserve">Chungbuk National University</t>
  </si>
  <si>
    <t xml:space="preserve">Jeong, YS (corresponding author), Chungbuk Natl Univ, Dept Comp Engn, Cheongju 28644, South Korea.</t>
  </si>
  <si>
    <t xml:space="preserve">medardedmund25@chungbuk.ac.kr; goodwillndomba22@chungbuk.ac.kr; kyurijo@chungbuk.ac.kr; ysjay@chungbuk.ac.kr</t>
  </si>
  <si>
    <t xml:space="preserve">Mswahili, Medard Edmund/0000-0002-6893-6281; Jo, Kyuri/0000-0001-9222-6346</t>
  </si>
  <si>
    <t xml:space="preserve">Basic Science Research Program through the National Research Foundation of Korea (NRF) funded by the Ministry of Education</t>
  </si>
  <si>
    <t xml:space="preserve">Basic Science Research Program through the National Research Foundation of Korea (NRF) funded by the Ministry of Education(Ministry of Education (MOE), Republic of KoreaNational Research Foundation of Korea)</t>
  </si>
  <si>
    <t xml:space="preserve">10.3390/app14041472</t>
  </si>
  <si>
    <t xml:space="preserve">IY2V3</t>
  </si>
  <si>
    <t xml:space="preserve">WOS:001169844800001</t>
  </si>
  <si>
    <t xml:space="preserve">Chávez, JLG; Luchi, AM; Villafañe, RN; Conti, GA; Perez, ER; Angelina, EL; Peruchena, NM</t>
  </si>
  <si>
    <t xml:space="preserve">Chavez, Jose Leonardo Gomez; Luchi, Adriano Martin; Villafane, Roxana Noelia; Conti, German Andres; Perez, Ernesto Rafael; Angelina, Emilio Luis; Peruchena, Nelida Maria</t>
  </si>
  <si>
    <t xml:space="preserve">Graph Neural Networks and Molecular Docking as Two Complementary Approaches for Virtual Screening: A Case Study on Cruzain</t>
  </si>
  <si>
    <t xml:space="preserve">Molecular docking is one of the most widely used techniques for virtual screening (VS) of potential drug candidates. Despite its popularity, docking accuracy is often limited due to the trade-off between speed and precision required for screening large compound libraries. In the present work, we leverage graph convolutional networks (GCNs), a state-of-the-art deep neural network architecture, to enhance docking capacity for prioritizing active compounds from a library of similar to 200,000 compounds screened against Cruzain. We propose strategies to integrate both techniques into a single VS pipeline. By applying the GCN as a pre-docking filter, the compound library was enriched with active molecules, resulting in higher hit rates in subsequent docking screenings. Additionally, to further enhance the docking performance, the GCN-learned atomic embeddings were directly incorporated into the docking process through pharmacophoric restraints. Unlike common approaches that use deep learning (DL) scoring functions to rank pre-generated docking poses, the approaches we propose here have the advantage that only compounds that passed the DL filters need to be screened by the more computationally demanding docking method. This work might serve as a proof of concept for combining deep learning and classical docking in drug discovery.</t>
  </si>
  <si>
    <t xml:space="preserve">CHEMISTRYSELECT</t>
  </si>
  <si>
    <t xml:space="preserve">Artificial intelligence; Chagas disease; Computer-aided drug discovery; Deep learning; Embeddings</t>
  </si>
  <si>
    <t xml:space="preserve">[Chavez, Jose Leonardo Gomez; Luchi, Adriano Martin; Villafane, Roxana Noelia; Conti, German Andres; Perez, Ernesto Rafael; Angelina, Emilio Luis; Peruchena, Nelida Maria] Univ Nacl Nordeste UNNE, Nacl Invest Cient &amp; Tecn, Lab Estruct Mol &amp; Propiedades LEMyP, Inst Quim Basica &amp; Aplicada Nordeste Argentino,QUI, Ave Libertad 5460, RA-3400 Corrientes, Argentina</t>
  </si>
  <si>
    <t xml:space="preserve">Angelina, EL; Peruchena, NM (corresponding author), Univ Nacl Nordeste UNNE, Nacl Invest Cient &amp; Tecn, Lab Estruct Mol &amp; Propiedades LEMyP, Inst Quim Basica &amp; Aplicada Nordeste Argentino,QUI, Ave Libertad 5460, RA-3400 Corrientes, Argentina.</t>
  </si>
  <si>
    <t xml:space="preserve">emilioluisangelina@hotmail.com; perunm2014@gmail.com</t>
  </si>
  <si>
    <t xml:space="preserve">Barcelona Supercomputing Center [RES-BCV-2019-3-0015]; Consejo Nacional de Investigaciones Cientificas y Tecnicas (CONICET); Secretaria General de Ciencia y Tecnica (SEGCyT) of the Universidad Nacional del Nordeste (UNNE)</t>
  </si>
  <si>
    <t xml:space="preserve">Barcelona Supercomputing Center; Consejo Nacional de Investigaciones Cientificas y Tecnicas (CONICET)(Consejo Nacional de Investigaciones Cientificas y Tecnicas (CONICET)); Secretaria General de Ciencia y Tecnica (SEGCyT) of the Universidad Nacional del Nordeste (UNNE)</t>
  </si>
  <si>
    <t xml:space="preserve">The authors acknowledge the computer resources at MareNostrum and the technical support provided by Barcelona Supercomputing Center (RES-BCV-2019-3-0015). Authors also acknowledge support from the Consejo Nacional de Investigaciones Cientificas y Tecnicas (CONICET) and Secretaria General de Ciencia y Tecnica (SEGCyT) of the Universidad Nacional del Nordeste (UNNE).</t>
  </si>
  <si>
    <t xml:space="preserve">2365-6549</t>
  </si>
  <si>
    <t xml:space="preserve">ChemistrySelect</t>
  </si>
  <si>
    <t xml:space="preserve">e202405342</t>
  </si>
  <si>
    <t xml:space="preserve">10.1002/slct.202405342</t>
  </si>
  <si>
    <t xml:space="preserve">O3B2O</t>
  </si>
  <si>
    <t xml:space="preserve">WOS:001369918400001</t>
  </si>
  <si>
    <t xml:space="preserve">Saglam, S; Bayar, S</t>
  </si>
  <si>
    <t xml:space="preserve">Saglam, Serkan; Bayar, Salih</t>
  </si>
  <si>
    <t xml:space="preserve">Hardware Design of Lightweight Binary Classification Algorithms for Small-Size Images on FPGA</t>
  </si>
  <si>
    <t xml:space="preserve">This study explores the implementation of lightweight binary classification algorithms on low-cost Field-Programmable Gate Arrays (FPGAs) for medical image analysis. Recognizing the growing demand for efficient and accurate diagnostic tools in healthcare, we focus on applying FPGAs to process small-sized medical images, explicitly targeting the detection of malaria from blood cell images. Our approach involves the hardware designs of k-nearest Neighbors (k-NN), Convolutional Neural Networks (CNN), and Decision Tree classifiers rigorously tested on a publicly available Malaria dataset. The methodology emphasizes the integration of these classifiers on FPGA, detailing the optimization strategies that allow for enhanced processing speed and reduced resource utilization. Comparative analysis reveals that our FPGA-based implementation significantly outperforms MATLAB simulations, achieving processing speeds more than thousands of times faster. Our proposed hardware design also requires fewer Look-up Tables (LUTs) than other classification studies in the literature, showcasing decreases of 73.9% for k-NN, 57% for CNN, and 96.7% for the Decision Tree classifier. Furthermore, results highlight the Decision Tree classifier as the most effective, with an accuracy rate of 99.33%, followed by CNN at 97.67% and k-NN at 95.33%. These findings demonstrate the capability of FPGAs in medical image classification and underscore their potential to revolutionize disease diagnosis processes, particularly in resource-limited environments.</t>
  </si>
  <si>
    <t xml:space="preserve">Binary image classification; convolutional neural network (CNN); decision tree; FPGA; hardware design; k-nearest neighborhood (k-NN)</t>
  </si>
  <si>
    <t xml:space="preserve">MACHINE</t>
  </si>
  <si>
    <t xml:space="preserve">[Saglam, Serkan] Univ Southampton, Sch Elect &amp; Comp Sci, Southampton SO17 1BJ, England; [Saglam, Serkan; Bayar, Salih] Marmara Univ, Fac Engn, Dept Elect &amp; Elect Engn, TR-34854 Istanbul, Turkiye</t>
  </si>
  <si>
    <t xml:space="preserve">University of Southampton; Marmara University</t>
  </si>
  <si>
    <t xml:space="preserve">Bayar, S (corresponding author), Marmara Univ, Fac Engn, Dept Elect &amp; Elect Engn, TR-34854 Istanbul, Turkiye.</t>
  </si>
  <si>
    <t xml:space="preserve">salih.bayar@marmara.edu.tr</t>
  </si>
  <si>
    <t xml:space="preserve">Saglam, Serkan/HGA-0109-2022</t>
  </si>
  <si>
    <t xml:space="preserve">Bayar, Salih/0000-0002-4600-1880</t>
  </si>
  <si>
    <t xml:space="preserve">10.1109/ACCESS.2024.3390564</t>
  </si>
  <si>
    <t xml:space="preserve">OR0T4</t>
  </si>
  <si>
    <t xml:space="preserve">WOS:001208890200001</t>
  </si>
  <si>
    <t xml:space="preserve">Sorrilha-Rodrigues, AG; Paes, JLAR; Rizk, YS; da Silva, F; Rosalem, RF; de Arruda, CCP; Carollo, CA</t>
  </si>
  <si>
    <t xml:space="preserve">Sorrilha-Rodrigues, Andrey Gaspar; Paes, Joao Lucas Aparecido Rocha; Rizk, Yasmin Silva; da Silva, Fernanda; Rosalem, Rafael Francisco; de Arruda, Carla Cardozo Pinto; Carollo, Carlos Alexandre</t>
  </si>
  <si>
    <t xml:space="preserve">Human-Validated Neural Networks for Precise Amastigote Categorization and Quantification to Accelerate Drug Discovery in Leishmaniasis</t>
  </si>
  <si>
    <t xml:space="preserve">Leishmaniases present a significant global health challenge with limited and often inadequate treatment options available. Traditional microscopic methods for detecting Leishmania amastigotes are time-consuming and error-prone, highlighting the need for automated approaches. This study aimed to implement and validate the YOLOv8 deep learning model for real-time detection, quantification, and categorization of Leishmania amastigotes to enhance drug screening assays. YOLOv8 was trained on 470 images from two microscopes, classifying them into categories such as infected cells, intracellular amastigotes, uninfected cells, and edge cells. The model's performance was compared to human operators using Pearson and Spearman correlation analyses. YOLOv8 achieved strong performance in detecting infected cells (AUC = 0.934) and intracellular amastigotes (AUC = 0.846). However, challenges remained in differentiating extracellular amastigotes from background noise (AUC = 0.672). Despite these challenges, the YOLOv8 model effectively minimized human variability in drug screening, providing a reliable and efficient tool for the quantification and categorization of Leishmania amastigotes in drug discovery efforts. While further refinements are required to resolve misclassification issues, the model demonstrates significant potential in enhancing both accuracy and throughput in preclinical assays.</t>
  </si>
  <si>
    <t xml:space="preserve">ACS OMEGA</t>
  </si>
  <si>
    <t xml:space="preserve">SYSTEM</t>
  </si>
  <si>
    <t xml:space="preserve">[Sorrilha-Rodrigues, Andrey Gaspar; Carollo, Carlos Alexandre] Univ Fed Mato Grosso do Sul, Fac Pharmaceut Sci Food &amp; Nutr FACFAN, Lab Nat Prod &amp; Mass Spectrometry LaPNEM, BR-79070900 Campo Grande, MS, Brazil; [Paes, Joao Lucas Aparecido Rocha] Univ Fed Mato Grosso do Sul, Fac Comp, Geomat Lab Georeferencing &amp; Comp Vis, BR-79070900 Campo Grande, MS, Brazil; [Rizk, Yasmin Silva; da Silva, Fernanda; Rosalem, Rafael Francisco; de Arruda, Carla Cardozo Pinto] Univ Fed Mato Grosso do Sul, Inst Biosci, Human Parasitol Lab, BR-79070900 Campo Grande, MS, Brazil</t>
  </si>
  <si>
    <t xml:space="preserve">Universidade Federal de Mato Grosso do Sul; Universidade Federal de Mato Grosso do Sul; Universidade Federal de Mato Grosso do Sul</t>
  </si>
  <si>
    <t xml:space="preserve">Carollo, CA (corresponding author), Univ Fed Mato Grosso do Sul, Fac Pharmaceut Sci Food &amp; Nutr FACFAN, Lab Nat Prod &amp; Mass Spectrometry LaPNEM, BR-79070900 Campo Grande, MS, Brazil.</t>
  </si>
  <si>
    <t xml:space="preserve">carlos.carollo@ufms.br</t>
  </si>
  <si>
    <t xml:space="preserve">Carollo, Carlos/B-1275-2011</t>
  </si>
  <si>
    <t xml:space="preserve">Carollo, Carlos Alexandre/0000-0003-1231-9441</t>
  </si>
  <si>
    <t xml:space="preserve">Coordena??o de Aperfei?oamento de Pessoal de N?vel Superior; Universidade Federal de Mato Grosso do Sul (UFMS); Fundacao de Apoio ao Desenvolvimento do Ensino, Ciencia e Tecnologia do Estado de Mato Grosso do Sul (FUNDECT); Coordenacao de Aperfeicoamento de Pessoal de Nivel Superior (CAPES); Conselho Nacional de Desenvolvimento Cientifico e Tecnologico (CNPq)</t>
  </si>
  <si>
    <t xml:space="preserve">Coordena??o de Aperfei?oamento de Pessoal de N?vel Superior; Universidade Federal de Mato Grosso do Sul (UFMS); Fundacao de Apoio ao Desenvolvimento do Ensino, Ciencia e Tecnologia do Estado de Mato Grosso do Sul (FUNDECT)(Fundacao de Apoio ao Desenvolvimento do Ensino Ciencia e Tecnologia do Estado de Mato Grosso do Sul (FUNDECT MS)); Coordenacao de Aperfeicoamento de Pessoal de Nivel Superior (CAPES)(Coordenacao de Aperfeicoamento de Pessoal de Nivel Superior (CAPES)); Conselho Nacional de Desenvolvimento Cientifico e Tecnologico (CNPq)(Conselho Nacional de Desenvolvimento Cientifico e Tecnologico (CNPQ))</t>
  </si>
  <si>
    <t xml:space="preserve">The authors express their gratitude to Universidade Federal de Mato Grosso do Sul (UFMS), Fundacao de Apoio ao Desenvolvimento do Ensino, Ciencia e Tecnologia do Estado de Mato Grosso do Sul (FUNDECT), Instituto Nacional de Ciencia e Tecnologia em Areas Umidas (INAU), Coordenacao de Aperfeicoamento de Pessoal de Nivel Superior (CAPES), and Conselho Nacional de Desenvolvimento Cientifico e Tecnologico (CNPq) for their financial support and assistance. The authors would like to extend their sincere thanks to Professor Dr. Jose Marcato Junior from the Laboratorio de Cartografia-Topografia-Geodesia (GEOMATICA) for providing access to the computer facilities used for the development of the model.</t>
  </si>
  <si>
    <t xml:space="preserve">2470-1343</t>
  </si>
  <si>
    <t xml:space="preserve">ACS Omega</t>
  </si>
  <si>
    <t xml:space="preserve">DEC 24</t>
  </si>
  <si>
    <t xml:space="preserve">10.1021/acsomega.4c08735</t>
  </si>
  <si>
    <t xml:space="preserve">S2R0W</t>
  </si>
  <si>
    <t xml:space="preserve">WOS:001382607100001</t>
  </si>
  <si>
    <t xml:space="preserve">Qin, XH; Ding, R; Lu, HR; Zhang, WF; Wei, SS; Ji, BW; Geng, RX; Wu, LQ; Chen, ZB</t>
  </si>
  <si>
    <t xml:space="preserve">Qin, Xiaohong; Ding, Rui; Lu, Haoran; Zhang, Wenfei; Wei, Shanshan; Ji, Baowei; Geng, Rongxin; Wu, Liquan; Chen, Zhibiao</t>
  </si>
  <si>
    <t xml:space="preserve">Identification of pivotal genes and regulatory networks associated with atherosclerotic carotid artery stenosis based on comprehensive bioinformatics analysis and machine learning</t>
  </si>
  <si>
    <t xml:space="preserve">Objective: Bioinformatics methods were applied to investigate the pivotal genes and regulatory networks associated with atherosclerotic carotid artery stenosis (ACAS) and provide new insights for the treatment of this disease.Methods: The study utilized five ACAS datasets (GSE100927, GSE11782, GESE28829, GSE41571, and GSE43292) downloaded from the NCBI GEO database. The first four datasets were combined as the training set (n = 99), while GSE43292 (n = 64) was used as the validation set. Difference analysis and functional enrichment analysis were then performed on the training set. The pathogenic targets of ACAS were screened by protein-protein interaction networks and MCODE analyses, combined with three machine learning algorithms. The results were next verified by analysis of inter-group differences and ROC curve analysis. Next, immune-related function and immune cell correlation analyses were performed, and plaques of human ACAS were applied to verify the results via immunohistochemistry (IH) and immunofluorescence (IF). Finally, the competing endogenous RNAs (ceRNA) and transcription factors (TFs) regulatory networks of the characterized genes were constructed.Results: A total of 177 differentially expressed genes were identified, including 67 genes downregulated and 110 genes upregulated. Gene set enrichment analysis revealed that five pathways were active in the experimental group, including xenograft rejection, autoimmune thyroid disease, graft-versus-host disease, leishmaniasis infection, and lysosomes. Four key genes were identified, with C3AR1 being upregulated and FBLN5, PPP1R12A, and TPM1 being downregulated. The analysis of inter-group differences demonstrated that the four characterized genes were differentially expressed in both the control and experimental groups. The ROC analysis showed that they had high AUC values in both the training and validation sets. Therefore, a predictive ACAS patient nomogram model based on the screened genes was established. Correlation analysis revealed a positive correlation between C3AR1 expression and neutrophils, which was further validated in IH and IF. One or multiple lncRNAs may compete with the characterized genes for binding miRNAs. Additionally, each characterized gene interacts with multiple TFs.Conclusion: Four pivotal genes were screened, and relevant ceRNA and TFs were predicted. These molecules may exert a crucial role in ACAS and serve as potential biomarkers and therapeutic targets.</t>
  </si>
  <si>
    <t xml:space="preserve">FRONTIERS IN PHARMACOLOGY</t>
  </si>
  <si>
    <t xml:space="preserve">carotid artery stenosis; atherosclerosis; machine learning; pathogenic markers; therapeutic targets</t>
  </si>
  <si>
    <t xml:space="preserve">BINDING; STROKE; CELLS</t>
  </si>
  <si>
    <t xml:space="preserve">[Qin, Xiaohong; Ding, Rui; Lu, Haoran; Zhang, Wenfei; Ji, Baowei; Geng, Rongxin; Wu, Liquan; Chen, Zhibiao] Wuhan Univ, Dept Neurosurg, Renmin Hosp, Wuhan, Hubei, Peoples R China; [Qin, Xiaohong; Lu, Haoran] Wuhan Univ, Cent Lab, Renmin Hosp, Wuhan, Hubei, Peoples R China; [Wei, Shanshan] Wuhan Univ Sci &amp; Technol, Dept Oncol, Wuchang Hosp, Wuhan, Peoples R China</t>
  </si>
  <si>
    <t xml:space="preserve">Wuhan University; Wuhan University; Wuhan University of Science &amp; Technology</t>
  </si>
  <si>
    <t xml:space="preserve">Chen, ZB (corresponding author), Wuhan Univ, Dept Neurosurg, Renmin Hosp, Wuhan, Hubei, Peoples R China.</t>
  </si>
  <si>
    <t xml:space="preserve">chzbiao@126.com</t>
  </si>
  <si>
    <t xml:space="preserve">Lu, Hao-ran/AAE-3701-2019</t>
  </si>
  <si>
    <t xml:space="preserve">Wu, Liquan/0000-0002-5587-8182</t>
  </si>
  <si>
    <t xml:space="preserve">Fundamental Research Funds for the Central Universities [2042023kf0007]; Youth Foundation of the National Natural Science Foundation of China [82301536]</t>
  </si>
  <si>
    <t xml:space="preserve">Fundamental Research Funds for the Central Universities(Fundamental Research Funds for the Central Universities); Youth Foundation of the National Natural Science Foundation of China</t>
  </si>
  <si>
    <t xml:space="preserve">The author(s) declare financial support was received for the research, authorship, and/or publication of this article. This work was supported by the Fundamental Research Funds for the Central Universities (Grant number: 2042023kf0007) and the Youth Foundation of the National Natural Science Foundation of China (Grant number: 82301536).</t>
  </si>
  <si>
    <t xml:space="preserve">1663-9812</t>
  </si>
  <si>
    <t xml:space="preserve">FRONT PHARMACOL</t>
  </si>
  <si>
    <t xml:space="preserve">APR 17</t>
  </si>
  <si>
    <t xml:space="preserve">10.3389/fphar.2024.1364160</t>
  </si>
  <si>
    <t xml:space="preserve">PM4U6</t>
  </si>
  <si>
    <t xml:space="preserve">WOS:001214490900001</t>
  </si>
  <si>
    <t xml:space="preserve">Chaharou, IML; Lawani, I; Dagba, T; Degila, J; Boubacar, HA</t>
  </si>
  <si>
    <t xml:space="preserve">Chaharou, Ibrahim Mouazamou Laoualy; Lawani, Ismail; Dagba, Theophile; Degila, Jules; Boubacar, Habiboulaye Amadou</t>
  </si>
  <si>
    <t xml:space="preserve">Image cropping for malaria parasite detection on heterogeneous data</t>
  </si>
  <si>
    <t xml:space="preserve">Malaria is a deadly disease of significant concern for the international community. It is an infectious disease caused by a Plasmodium spp. parasite and transmitted by the bite of an infected female Anopheles mosquito. The parasite multiplies in the liver and then destroys the person's red blood cells until it reaches the severe stage, leading to death. The most used tools for diagnosing this disease are the microscope and the rapid diagnostic test (RDT), which have limitations preventing control of the disease. Computer vision technologies present alternatives by providing the means for early detection of this disease before it reaches the severe stage, facilitating treatment and saving patients. In this article, we suggest deep learning methods for earlier and more accurate detection of malaria parasites with high generalization capabilities using microscopic images of blood smears from many heterogeneous patients. These techniques are based on an image preprocessing method that mitigates some of the challenges associated with the variety of red cell characteristics due to patient diversity and other artifacts present in the data. For the study, we collected 65,970 microscopic images from 876 different patients to form a dataset of 33,007 images with a variety that enables us to create models with a high level of generalization. Three types of convolutional neural networks were used, namely Convolutional Neural Network (CNN), DenseNet, and LeNet-5, and the highest classification accuracy on the test data was 97.50% found with the DenseNet model.</t>
  </si>
  <si>
    <t xml:space="preserve">JOURNAL OF MICROBIOLOGICAL METHODS</t>
  </si>
  <si>
    <t xml:space="preserve">Malaria; Diagnosis; Plasmodium ssp.; Microscopic blood smear images; Deep learning</t>
  </si>
  <si>
    <t xml:space="preserve">[Chaharou, Ibrahim Mouazamou Laoualy; Degila, Jules] Inst Math &amp; Sci Phys, Dangbo, Benin; [Lawani, Ismail] Univ Abomey Calavi, Fac Sci &amp; Sante, Cotonou, Benin; [Dagba, Theophile] Univ Abomey Calavi, Ecole Econ Appl &amp; Management, Cotonou, Benin; [Boubacar, Habiboulaye Amadou] IA4Africa Org, Paris, France; [Degila, Jules] Univ Abomey Calavi, Calavi, Benin</t>
  </si>
  <si>
    <t xml:space="preserve">Institute of Mathematical Sciences &amp; Physics IMPS; University of Abomey Calavi; University of Abomey Calavi; University of Abomey Calavi</t>
  </si>
  <si>
    <t xml:space="preserve">Chaharou, IML (corresponding author), Inst Math &amp; Sci Phys, Dangbo, Benin.</t>
  </si>
  <si>
    <t xml:space="preserve">ibrahim.laoualy@imspuac.org</t>
  </si>
  <si>
    <t xml:space="preserve">LAWANI, Ismail/0000-0001-5022-6313</t>
  </si>
  <si>
    <t xml:space="preserve">0167-7012</t>
  </si>
  <si>
    <t xml:space="preserve">1872-8359</t>
  </si>
  <si>
    <t xml:space="preserve">J MICROBIOL METH</t>
  </si>
  <si>
    <t xml:space="preserve">J. Microbiol. Methods</t>
  </si>
  <si>
    <t xml:space="preserve">10.1016/j.mimet.2024.107022</t>
  </si>
  <si>
    <t xml:space="preserve">Biochemical Research Methods; Microbiology</t>
  </si>
  <si>
    <t xml:space="preserve">Biochemistry &amp; Molecular Biology; Microbiology</t>
  </si>
  <si>
    <t xml:space="preserve">G5U3I</t>
  </si>
  <si>
    <t xml:space="preserve">WOS:001317279500001</t>
  </si>
  <si>
    <t xml:space="preserve">Senanayake, SC; Liyanage, P; Pathirage, DRK; Siraj, MFR; De Silva, BGDNK; Karunaweera, ND</t>
  </si>
  <si>
    <t xml:space="preserve">Senanayake, Sanath C.; Liyanage, Prasad; Pathirage, Dulani R. K.; Siraj, M. F. Raushan; De Silva, B. G. D. Nissanka Kolitha; Karunaweera, Nadira D.</t>
  </si>
  <si>
    <t xml:space="preserve">Impact of climate and land use on the temporal variability of sand fly density in Sri Lanka: A 2-year longitudinal study</t>
  </si>
  <si>
    <t xml:space="preserve">Background Leishmaniasis has emerged as an escalating public health problem in Sri Lanka, with reported cases increasing nearly three folds over past decade, from 1,367 in 2014 to 3714 cases in 2023. Phlebotominae sand flies are the vectors of leishmaniasis. Their density is known to be influenced by context-specific climatic and land use patterns. Thus, we aimed to investigate how these factors drive sand fly density across Sri Lanka.Methodology/Principal findings We analysed monthly collections of sand flies (n = 38,594) and weather data from ten sentinel sites representing three main geo-climatic zones across Sri Lanka, over 24 months. Site-specific land use data was also recorded. The influence of climate and land use patterns on sand fly density across the sentinel sites were estimated using distributed lag non-linear models and machine learning. We found that climate played a major role on sand fly density compared to land use structure. Increase in rainfall and relative humidity at real time, and ambient temperature and soil temperature with a 2-month lag were associated with a statistically significant increase in sand fly density. The maximum relative risk (RR) observed was 3.76 (95% CI: 1.58-8.96) for rainfall at 120 mm/month, 2.14 (95% CI: 1.04-4.38) for relative humidity at 82% (both at real time). The maximum RR was 2.81 (95% CI: 1.09-7.35) for ambient temperature at 34.5 degrees C, and 11.6 (95% CI, 4.38-30.76) for soil temperature (both at a 2-month lag). The real-time increase in ambient temperature, sunshine hours, and evaporation rate, however, reduced sand fly density homogeneously in all study settings. The high density of chena and coconut plantations, together with low density of dense forests, homesteads, and low human footprint values, positively influenced sand fly density.Conclusions/Significance The findings improve our understanding of the dynamic influence of environment on sand fly densities and spread of leishmaniasis. This knowledge lays a foundation for forecasting of sand fly densities and designing targeted interventions for mitigating the growing burden of leishmaniasis among the most vulnerable populations, particularly in an era of changing climate.</t>
  </si>
  <si>
    <t xml:space="preserve">CUTANEOUS LEISHMANIASIS; PHLEBOTOMINE SANDFLIES; METAANALYSIS; ABUNDANCE; DIPTERA; BIOLOGY; TIME</t>
  </si>
  <si>
    <t xml:space="preserve">[Senanayake, Sanath C.; Pathirage, Dulani R. K.; Siraj, M. F. Raushan; Karunaweera, Nadira D.] Univ Colombo, Fac Med, Dept Parasitol, Colombo, Sri Lanka; [Liyanage, Prasad] Natl Inst Hlth Sci Kalutara, Minist Hlth, Dept Res &amp; Evaluat, Katukurunda, Sri Lanka; [De Silva, B. G. D. Nissanka Kolitha] Univ Sri Jayewardenepura, Fac Appl Sci, Ctr Biotechnol, Dept Zool, Nugegoda, Sri Lanka</t>
  </si>
  <si>
    <t xml:space="preserve">University of Colombo; University Sri Jayewardenepura</t>
  </si>
  <si>
    <t xml:space="preserve">Karunaweera, ND (corresponding author), Univ Colombo, Fac Med, Dept Parasitol, Colombo, Sri Lanka.</t>
  </si>
  <si>
    <t xml:space="preserve">nadira@parasit.cmb.ac.lk</t>
  </si>
  <si>
    <t xml:space="preserve">Karunaweera, Nadira/0000-0003-3985-1817</t>
  </si>
  <si>
    <t xml:space="preserve">National Institute of Allergy and Infectious Diseases of the National Institutes of Health, USA [U01AI136033]</t>
  </si>
  <si>
    <t xml:space="preserve">National Institute of Allergy and Infectious Diseases of the National Institutes of Health, USA(United States Department of Health &amp; Human ServicesNational Institutes of Health (NIH) - USANIH National Institute of Allergy &amp; Infectious Diseases (NIAID))</t>
  </si>
  <si>
    <t xml:space="preserve">This work was supported by the National Institute of Allergy and Infectious Diseases of the National Institutes of Health, USA, under award number U01AI136033 to NDK. The funder had no role in study design, data collection and analysis, decision to publish, or preparation of the manuscript. The content is solely the responsibility of the authors and does not necessarily represent the official views of the National Institutes of Health.</t>
  </si>
  <si>
    <t xml:space="preserve">e0012675</t>
  </si>
  <si>
    <t xml:space="preserve">10.1371/journal.pntd.0012675</t>
  </si>
  <si>
    <t xml:space="preserve">N0T3U</t>
  </si>
  <si>
    <t xml:space="preserve">WOS:001361553200001</t>
  </si>
  <si>
    <t xml:space="preserve">Kuo, CY; Yang, WW; Su, ECY</t>
  </si>
  <si>
    <t xml:space="preserve">Kuo, Chao-Yang; Yang, Wei-Wen; Su, Emily Chia-Yu</t>
  </si>
  <si>
    <t xml:space="preserve">Improving dengue fever predictions in Taiwan based on feature selection and random forests</t>
  </si>
  <si>
    <t xml:space="preserve">Background Dengue fever is a well-studied vector-borne disease in tropical and subtropical areas of the world. Several methods for predicting the occurrence of dengue fever in Taiwan have been proposed. However, to the best of our knowledge, no study has investigated the relationship between air quality indices (AQIs) and dengue fever in Taiwan. Results This study aimed to develop a dengue fever prediction model in which meteorological factors, a vector index, and AQIs were incorporated into different machine learning algorithms. A total of 805 meteorological records from 2013 to 2015 were collected from government open-source data after preprocessing. In addition to well-known dengue-related factors, we investigated the effects of novel variables, including particulate matter with an aerodynamic diameter &lt; 10 m (PM10), PM2.5, and an ultraviolet index, for predicting dengue fever occurrence. The collected dataset was randomly divided into an 80% training set and a 20% test set. The experimental results showed that the random forests achieved an area under the receiver operating characteristic curve of 0.9547 for the test set, which was the best compared with the other machine learning algorithms. In addition, the temperature was the most important factor in our variable importance analysis, and it showed a positive effect on dengue fever at &lt; 30 degrees C but had less of an effect at &gt; 30 degrees C. The AQIs were not as important as temperature, but one was selected in the process of filtering the variables and showed a certain influence on the final results. Conclusions Our study is the first to demonstrate that AQI negatively affects dengue fever occurrence in Taiwan. The proposed prediction model can be used as an early warning system for public health to prevent dengue fever outbreaks.</t>
  </si>
  <si>
    <t xml:space="preserve">SUPPL 2</t>
  </si>
  <si>
    <t xml:space="preserve">Dengue fever; Machine learning; Air quality index; Random forests; Feature selection</t>
  </si>
  <si>
    <t xml:space="preserve">LOGISTIC-REGRESSION; TEMPERATURE; RISK; MACHINE; VECTOR; AUC</t>
  </si>
  <si>
    <t xml:space="preserve">[Kuo, Chao-Yang] Natl Taipei Univ Nursing &amp; Hlth Sci, Smart Healthcare Interdisciplinary Coll, 365 Mingde Rd, Taipei City 112303, Taiwan; [Kuo, Chao-Yang; Yang, Wei-Wen; Su, Emily Chia-Yu] Taipei Med Univ, Grad Inst Biomed Informat, Coll Med Sci &amp; Technol, 301 Yuantong Rd, New Taipei City 23564, Taiwan; [Su, Emily Chia-Yu] Taipei Med Univ Hosp, Clin Big Data Res Ctr, 252 Wuxing St, Taipei City 110, Taiwan</t>
  </si>
  <si>
    <t xml:space="preserve">National Taipei University of Nursing &amp; Health Science (NTUNHS); Taipei Medical University Hospital</t>
  </si>
  <si>
    <t xml:space="preserve">Su, ECY (corresponding author), Taipei Med Univ, Grad Inst Biomed Informat, Coll Med Sci &amp; Technol, 301 Yuantong Rd, New Taipei City 23564, Taiwan.;Su, ECY (corresponding author), Taipei Med Univ Hosp, Clin Big Data Res Ctr, 252 Wuxing St, Taipei City 110, Taiwan.</t>
  </si>
  <si>
    <t xml:space="preserve">emilysu@tmu.edu.tw</t>
  </si>
  <si>
    <r>
      <rPr>
        <sz val="11"/>
        <color theme="1"/>
        <rFont val="PingFang SC"/>
        <family val="0"/>
        <charset val="1"/>
      </rPr>
      <t xml:space="preserve">杨</t>
    </r>
    <r>
      <rPr>
        <sz val="11"/>
        <color theme="1"/>
        <rFont val="Aptos Narrow"/>
        <family val="0"/>
        <charset val="1"/>
      </rPr>
      <t xml:space="preserve">, </t>
    </r>
    <r>
      <rPr>
        <sz val="11"/>
        <color theme="1"/>
        <rFont val="PingFang SC"/>
        <family val="0"/>
        <charset val="1"/>
      </rPr>
      <t xml:space="preserve">威文</t>
    </r>
    <r>
      <rPr>
        <sz val="11"/>
        <color theme="1"/>
        <rFont val="Aptos Narrow"/>
        <family val="0"/>
        <charset val="1"/>
      </rPr>
      <t xml:space="preserve">/IIS-5182-2023; Su, Emily/A-9169-2010</t>
    </r>
  </si>
  <si>
    <t xml:space="preserve">Kuo, Chao-Yang/0000-0001-8867-5683; Su, Emily Chia-Yu/0000-0003-4801-5159</t>
  </si>
  <si>
    <t xml:space="preserve">National Taipei University of Nursing and Health Sciences</t>
  </si>
  <si>
    <t xml:space="preserve">Not applicable.</t>
  </si>
  <si>
    <t xml:space="preserve">10.1186/s12879-024-09220-4</t>
  </si>
  <si>
    <t xml:space="preserve">LZ1W6</t>
  </si>
  <si>
    <t xml:space="preserve">WOS:001190554100001</t>
  </si>
  <si>
    <t xml:space="preserve">Borba, JVB; Salazar-Alvarez, LC; Ferreira, LT; Silva-Mendonça, S; da Silva, MFB; Sanches, IH; Clementino, LD; Magalhaes, ML; Rimoldi, A; Calit, J; Santana, S; Prudêncio, M; Cravo, PV; Bargieri, DY; Cassiano, GC; Costa, FTM; Andrade, CH</t>
  </si>
  <si>
    <t xml:space="preserve">Borba, Joyce V. B.; Salazar-Alvarez, Luis Carlos; Ferreira, Leticia Tiburcio; Silva-Mendonca, Sabrina; da Silva, Meryck Felipe Brito; Sanches, Igor H.; Clementino, Leandro da Costa; Magalhaes, Marcela Lucas; Rimoldi, Aline; Calit, Juliana; Santana, Sofia; Prudencio, Miguel; Cravo, Pedro V.; Bargieri, Daniel Y.; Cassiano, Gustavo C.; Costa, Fabio T. M.; Andrade, Carolina Horta</t>
  </si>
  <si>
    <t xml:space="preserve">Innovative Multistage ML-QSAR Models for Malaria: From Data to Discovery</t>
  </si>
  <si>
    <t xml:space="preserve">Malaria presents a significant challenge to global public health, with around 247 million cases estimated to occur annually worldwide. The growing resistance of Plasmodium parasites to existing therapies underscores the urgent need for new and innovative antimalarial drugs. This study leveraged artificial intelligence (AI) to tackle this complex challenge. We developed multistage Machine Learning Quantitative Structure-Activity Relationship (ML-QSAR) models to effectively analyze large datasets and predict the efficacy of chemical compounds against multiple life cycle stages of Plasmodium parasites. We then selected 16 compounds for experimental evaluation, six of which showed at least dual-stage inhibitory activity and one inhibited all life cycle stages tested. Moreover, explainable AI (XAI) analysis provided insights into critical molecular features influencing model predictions, thereby enhancing our understanding of compound interactions. This study not only empowers the development of advanced predictive AI models but also accelerates the identification and optimization of potential antiplasmodial compounds.</t>
  </si>
  <si>
    <t xml:space="preserve">ACS MEDICINAL CHEMISTRY LETTERS</t>
  </si>
  <si>
    <t xml:space="preserve">Artificial Intelligence; Liver stage; Sexualstage; Blood stage; Antimalarial; QSAR; Hits; Plasmodium</t>
  </si>
  <si>
    <t xml:space="preserve">DRUG DISCOVERY; PLASMODIUM</t>
  </si>
  <si>
    <t xml:space="preserve">[Borba, Joyce V. B.; Salazar-Alvarez, Luis Carlos; Ferreira, Leticia Tiburcio; Clementino, Leandro da Costa; Magalhaes, Marcela Lucas; Rimoldi, Aline; Costa, Fabio T. M.] Inst Biol, Dept Genet Evolut Microbiol &amp; Immunol, Lab Trop Dis Prof Dr Luiz Jacintho da Silva, BR-13083970 Campinas, SP, Brazil; [Borba, Joyce V. B.; Silva-Mendonca, Sabrina; da Silva, Meryck Felipe Brito; Sanches, Igor H.; Andrade, Carolina Horta] Univ Fed Goias, Fac Pharm, Lab Mol Modeling &amp; Drug Design LabMol, BR-74605170 Goiania, GO, Brazil; [Borba, Joyce V. B.; Silva-Mendonca, Sabrina; da Silva, Meryck Felipe Brito; Sanches, Igor H.; Andrade, Carolina Horta] Univ Fed Goias, Inst Informat, Ctr Excellence Artificial Intelligence CEIA, BR-74605170 Goiania, GO, Brazil; [Borba, Joyce V. B.; Silva-Mendonca, Sabrina; da Silva, Meryck Felipe Brito; Sanches, Igor H.; Andrade, Carolina Horta] Univ Sao Paulo, Ctr Res &amp; Adv Fragments &amp; Mol Targets CRAFT, Sch Pharmaceut Sci Ribeirao Preto, BR-14040903 Ribeirao Preto, SP, Brazil; [Calit, Juliana; Bargieri, Daniel Y.] Univ Sao Paulo, Inst Biomed Sci, Dept Parasitol, BR-05508000 Sao Paulo, SP, Brazil; [Santana, Sofia; Prudencio, Miguel] Univ Lisbon, Fac Med, Inst Med Mol Jao Lobo Antunes, P-1649028 Lisbon, Portugal; [Cravo, Pedro V.; Cassiano, Gustavo C.; Costa, Fabio T. M.] Univ NOVA Lisboa, Associate Lab Translat &amp; Innovat Global Hlth, Global Hlth &amp; Trop Med, Inst Higiene &amp; Med Trop, P-1349008 Lisbon, Portugal</t>
  </si>
  <si>
    <t xml:space="preserve">Universidade Federal de Goias; Universidade Federal de Goias; Universidade de Sao Paulo; Universidade de Sao Paulo; Institute Biomed Science, University Sao Paulo; Universidade de Lisboa; Universidade Nova de Lisboa; Institute of Hygiene &amp; Tropical Medicine - UNL</t>
  </si>
  <si>
    <t xml:space="preserve">Costa, FTM (corresponding author), Inst Biol, Dept Genet Evolut Microbiol &amp; Immunol, Lab Trop Dis Prof Dr Luiz Jacintho da Silva, BR-13083970 Campinas, SP, Brazil.;Andrade, CH (corresponding author), Univ Fed Goias, Fac Pharm, Lab Mol Modeling &amp; Drug Design LabMol, BR-74605170 Goiania, GO, Brazil.;Andrade, CH (corresponding author), Univ Fed Goias, Inst Informat, Ctr Excellence Artificial Intelligence CEIA, BR-74605170 Goiania, GO, Brazil.;Andrade, CH (corresponding author), Univ Sao Paulo, Ctr Res &amp; Adv Fragments &amp; Mol Targets CRAFT, Sch Pharmaceut Sci Ribeirao Preto, BR-14040903 Ribeirao Preto, SP, Brazil.;Costa, FTM (corresponding author), Univ NOVA Lisboa, Associate Lab Translat &amp; Innovat Global Hlth, Global Hlth &amp; Trop Med, Inst Higiene &amp; Med Trop, P-1349008 Lisbon, Portugal.</t>
  </si>
  <si>
    <t xml:space="preserve">fabiotmc72@gmail.com; carolina@ufg.br</t>
  </si>
  <si>
    <t xml:space="preserve">Silva-Mendonça, Sabrina/AGG-7715-2022; Borba, Joyce/S-7813-2018; Andrade, Carolina/C-3960-2014; Prudêncio, Miguel/ABD-9282-2021; Magalhães, Marcela/AAV-2519-2020; Cravo, Pedro/AET-0639-2022; da Costa Clementino, Leandro/P-7912-2017; Capatti Cassiano, Gustavo/G-5728-2013; Clementino, Leandro/V-1995-2018; Salazar Alvarez, Luis Carlos/AAD-2147-2019; Cravo, Pedro/G-3532-2012</t>
  </si>
  <si>
    <t xml:space="preserve">Sanches, Igor Henrique/0000-0002-8772-2801; Capatti Cassiano, Gustavo/0000-0002-6971-5974; Clementino, Leandro/0000-0001-5196-6372; Silva Mendonca, Sabrina/0000-0002-7040-0865; Rimoldi, Aline/0000-0003-0405-3399; Salazar Alvarez, Luis Carlos/0000-0001-5340-1412; Cravo, Pedro/0000-0003-1675-4504; SILVA, MERYCK FELIPE BRITO/0000-0003-4969-3015</t>
  </si>
  <si>
    <t xml:space="preserve">We kindly acknowledge Dr. Bruno J. Neves (UFG) for his valuable contributions and feedback in this manuscript.</t>
  </si>
  <si>
    <t xml:space="preserve">1948-5875</t>
  </si>
  <si>
    <t xml:space="preserve">ACS MED CHEM LETT</t>
  </si>
  <si>
    <t xml:space="preserve">ACS Med. Chem. Lett.</t>
  </si>
  <si>
    <t xml:space="preserve">JUL 18</t>
  </si>
  <si>
    <t xml:space="preserve">10.1021/acsmedchemlett.4c00323</t>
  </si>
  <si>
    <t xml:space="preserve">Chemistry, Medicinal</t>
  </si>
  <si>
    <t xml:space="preserve">C0P1N</t>
  </si>
  <si>
    <t xml:space="preserve">WOS:001272774000001</t>
  </si>
  <si>
    <t xml:space="preserve">Sallam, M; Al-Mahzoum, K; Alshuaib, O; Alhajri, H; Alotaibi, F; Alkhurainej, D; Al-Balwah, MY; Barakat, M; Egger, J</t>
  </si>
  <si>
    <t xml:space="preserve">Sallam, Malik; Al-Mahzoum, Kholoud; Alshuaib, Omaima; Alhajri, Hawajer; Alotaibi, Fatmah; Alkhurainej, Dalal; Al-Balwah, Mohammad Yahya; Barakat, Muna; Egger, Jan</t>
  </si>
  <si>
    <t xml:space="preserve">Language discrepancies in the performance of generative artificial intelligence models: an examination of infectious disease queries in English and Arabic</t>
  </si>
  <si>
    <t xml:space="preserve">BackgroundAssessment of artificial intelligence (AI)-based models across languages is crucial to ensure equitable access and accuracy of information in multilingual contexts. This study aimed to compare AI model efficiency in English and Arabic for infectious disease queries.MethodsThe study employed the METRICS checklist for the design and reporting of AI-based studies in healthcare. The AI models tested included ChatGPT-3.5, ChatGPT-4, Bing, and Bard. The queries comprised 15 questions on HIV/AIDS, tuberculosis, malaria, COVID-19, and influenza. The AI-generated content was assessed by two bilingual experts using the validated CLEAR tool.ResultsIn comparing AI models' performance in English and Arabic for infectious disease queries, variability was noted. English queries showed consistently superior performance, with Bard leading, followed by Bing, ChatGPT-4, and ChatGPT-3.5 (P = .012). The same trend was observed in Arabic, albeit without statistical significance (P = .082). Stratified analysis revealed higher scores for English in most CLEAR components, notably in completeness, accuracy, appropriateness, and relevance, especially with ChatGPT-3.5 and Bard. Across the five infectious disease topics, English outperformed Arabic, except for flu queries in Bing and Bard. The four AI models' performance in English was rated as excellent, significantly outperforming their above-average Arabic counterparts (P = .002).ConclusionsDisparity in AI model performance was noticed between English and Arabic in response to infectious disease queries. This language variation can negatively impact the quality of health content delivered by AI models among native speakers of Arabic. This issue is recommended to be addressed by AI developers, with the ultimate goal of enhancing health outcomes.</t>
  </si>
  <si>
    <t xml:space="preserve">AI chatbots; Infectious diseases; Language performance; Healthcare technology; Digital health queries</t>
  </si>
  <si>
    <t xml:space="preserve">HEALTH INFORMATION; CHATGPT; CARE</t>
  </si>
  <si>
    <t xml:space="preserve">[Sallam, Malik] Univ Jordan, Sch Med, Dept Pathol Microbiol &amp; Forens Med, Amman 11942, Jordan; [Sallam, Malik] Lund Univ, Fac Med, Dept Translat Med, S-22184 Malmo, Sweden; [Al-Mahzoum, Kholoud; Alshuaib, Omaima; Alhajri, Hawajer; Alotaibi, Fatmah; Alkhurainej, Dalal; Al-Balwah, Mohammad Yahya] Univ Jordan, Sch Med, Amman 11942, Jordan; [Barakat, Muna] Appl Sci Private Univ, Fac Pharm, Dept Clin Pharm &amp; Therapeut, Amman 11931, Jordan; [Barakat, Muna] Middle East Univ, MEU Res Unit, Amman 11831, Jordan; [Egger, Jan] Univ Med Essen AoR, Inst AI Med IKIM, Essen, Germany; [Sallam, Malik] Jordan Univ Hosp, Dept Clin Labs &amp; Forens Med, Queen Rania Al Abdullah St Aljubeiha,POB 13046, Amman, Jordan</t>
  </si>
  <si>
    <t xml:space="preserve">University of Jordan; Lund University; University of Jordan; Middle East University; University of Jordan</t>
  </si>
  <si>
    <t xml:space="preserve">Sallam, M (corresponding author), Univ Jordan, Sch Med, Dept Pathol Microbiol &amp; Forens Med, Amman 11942, Jordan.;Sallam, M (corresponding author), Lund Univ, Fac Med, Dept Translat Med, S-22184 Malmo, Sweden.;Sallam, M (corresponding author), Jordan Univ Hosp, Dept Clin Labs &amp; Forens Med, Queen Rania Al Abdullah St Aljubeiha,POB 13046, Amman, Jordan.</t>
  </si>
  <si>
    <t xml:space="preserve">malik.sallam@ju.edu.jo</t>
  </si>
  <si>
    <t xml:space="preserve">Egger, Jan/AEM-2045-2022; Barakat, Muna/AAN-8778-2020; Sallam, Malik/O-5021-2014</t>
  </si>
  <si>
    <t xml:space="preserve">Barakat, Muna/0000-0002-7966-1172; Sallam, Malik/0000-0002-0165-9670</t>
  </si>
  <si>
    <t xml:space="preserve">AUG 8</t>
  </si>
  <si>
    <t xml:space="preserve">10.1186/s12879-024-09725-y</t>
  </si>
  <si>
    <t xml:space="preserve">C2D3A</t>
  </si>
  <si>
    <t xml:space="preserve">WOS:001287508900001</t>
  </si>
  <si>
    <t xml:space="preserve">Abdallah, R; Abdelgaber, S; Sayed, HA</t>
  </si>
  <si>
    <t xml:space="preserve">Abdallah, Reham; Abdelgaber, Sayed; Sayed, Hanan Ali</t>
  </si>
  <si>
    <t xml:space="preserve">Leveraging AHP and transfer learning in machine learning for improved prediction of infectious disease outbreaks</t>
  </si>
  <si>
    <t xml:space="preserve">Infectious diseases significantly impact both public health and economic stability, underscoring the critical need for precise outbreak predictions to effictively mitigate their impact. This study applies advanced machine learning techniques to forecast outbreaks of Dengue, Chikungunya, and Zika, utilizing a comprehensive dataset comprising climate and socioeconomic data. Spanning the years 2007 to 2017, the dataset includes 1716 instances characterized by 27 distinct features. The researchers adopt the Analytic Hierarchy Process (AHP) for feature selection and integrated transfer learning to boost the accuracy of the study's predictions. The researchers' approach involves the deployment of several machine learning algorithms, including Random Forest, XGBoost, Gradient Boosting, and an ensemble of these methods. The result reveals that the ensemble model is particularly effective, achieving the highest accuracy rate of 96.80% and an AUC of 0.9197 for predicting Zika outbreaks. Furthermore, it exhibts consistent performance across various metrics. Notably, in the context of Chikungunya, this model achieves an optimal balance between precision and recall, with an accuracy of 93.31%, a precision of 57%, and a recall of 63%, highlighting its reliability for effective outbreak prediction.</t>
  </si>
  <si>
    <t xml:space="preserve">Infectious diseases; AHP; Transfer learning; Risk factors; Machine learning</t>
  </si>
  <si>
    <t xml:space="preserve">[Abdallah, Reham; Abdelgaber, Sayed] Helwan Univ, Fac Comp &amp; Artificial Intelligence, Informat Syst Dept, Cairo, Egypt; [Sayed, Hanan Ali] Helwan Univ, Theodor Bilharz Res Inst, Publ Hlth &amp; community Med Dept, Cairo, Egypt</t>
  </si>
  <si>
    <t xml:space="preserve">Egyptian Knowledge Bank (EKB); Helwan University; Egyptian Knowledge Bank (EKB); Helwan University; Theodor Bilharz Research Institute (TBRI)</t>
  </si>
  <si>
    <t xml:space="preserve">Abdallah, R (corresponding author), Helwan Univ, Fac Comp &amp; Artificial Intelligence, Informat Syst Dept, Cairo, Egypt.</t>
  </si>
  <si>
    <t xml:space="preserve">Reham-abdallah@eru.edu.eg</t>
  </si>
  <si>
    <t xml:space="preserve">AbdelGaber, Sayed/ABW-6739-2022</t>
  </si>
  <si>
    <t xml:space="preserve">The Science, Technology &amp; Innovation Funding Authority (STDF); The Egyptian Knowledge Bank (EKB)</t>
  </si>
  <si>
    <t xml:space="preserve">The Science, Technology &amp; Innovation Funding Authority (STDF)(Science and Technology Development Fund (STDF)); The Egyptian Knowledge Bank (EKB)</t>
  </si>
  <si>
    <t xml:space="preserve">Open access funding provided by The Science, Technology &amp; Innovation Funding Authority (STDF) in cooperation with The Egyptian Knowledge Bank (EKB).</t>
  </si>
  <si>
    <t xml:space="preserve">DEC 31</t>
  </si>
  <si>
    <t xml:space="preserve">10.1038/s41598-024-81367-1</t>
  </si>
  <si>
    <t xml:space="preserve">Q8E5D</t>
  </si>
  <si>
    <t xml:space="preserve">WOS:001386941100011</t>
  </si>
  <si>
    <t xml:space="preserve">Tuan, DA; Dang, TN</t>
  </si>
  <si>
    <t xml:space="preserve">Tuan, Dang Anh; Dang, Tran Ngoc</t>
  </si>
  <si>
    <t xml:space="preserve">Leveraging Climate Data for Dengue Forecasting in Ba Ria Vung Tau Province, Vietnam: An Advanced Machine Learning Approach</t>
  </si>
  <si>
    <t xml:space="preserve">Dengue fever is a persistent public health issue in tropical regions, including Vietnam, where climate variability plays a crucial role in disease transmission dynamics. This study focuses on developing climate-based machine learning models to forecast dengue outbreaks in Ba Ria Vung Tau (BRVT) province, Vietnam, using meteorological data from 2003 to 2022. We utilized four predictive models-Negative Binomial Regression (NBR), Seasonal AutoRegressive Integrated Moving Average with Exogenous Regressors (SARIMAX), Extreme Gradient Boosting (XGBoost) v2.0.3, and long short-term memory (LSTM)-to predict weekly dengue incidence. Key climate variables, including temperature, humidity, precipitation, and wind speed, were integrated into these models, with lagged variables included to capture delayed climatic effects on dengue transmission. The NBR model demonstrated the best performance in terms of predictive accuracy, achieving the lowest Mean Absolute Error (MAE), compared to other models. The inclusion of lagged climate variables significantly enhanced the model's ability to predict dengue cases. Although effective in capturing seasonal trends, SARIMAX and LSTM models struggled with overfitting and failed to accurately predict short-term outbreaks. XGBoost exhibited moderate predictive power but was sensitive to overfitting, particularly without fine-tuning. Our findings confirm that climate-based machine learning models, particularly the NBR model, offer valuable tools for forecasting dengue outbreaks in BRVT. However, improving the models' ability to predict short-term peaks remains a challenge. The integration of meteorological data into early warning systems is crucial for public health authorities to plan timely and effective interventions. This research contributes to the growing body of literature on climate-based disease forecasting and underscores the need for further model refinement to address the complexities of dengue transmission in highly endemic regions.</t>
  </si>
  <si>
    <t xml:space="preserve">dengue fever; machine learning; climate forecasting; negative binomial regression; SARIMAX; XGBoost; LSTM; Ba Ria Vung Tau; Vietnam</t>
  </si>
  <si>
    <t xml:space="preserve">[Tuan, Dang Anh; Dang, Tran Ngoc] Univ Med &amp; Pharm Ho Chi Minh City, Fac Publ Hlth, Ho Chi Minh City 70000, Vietnam</t>
  </si>
  <si>
    <t xml:space="preserve">Hochiminh City University of Medicine &amp; Pharmacy</t>
  </si>
  <si>
    <t xml:space="preserve">Dang, TN (corresponding author), Univ Med &amp; Pharm Ho Chi Minh City, Fac Publ Hlth, Ho Chi Minh City 70000, Vietnam.</t>
  </si>
  <si>
    <t xml:space="preserve">tuanda222@gmail.com; ngocdangytcc@gmail.com</t>
  </si>
  <si>
    <t xml:space="preserve">Anh Tuan, Dang/0000-0002-3320-4072; Dang, Tran Ngoc/0000-0002-5287-0265</t>
  </si>
  <si>
    <t xml:space="preserve">10.3390/tropicalmed9100250</t>
  </si>
  <si>
    <t xml:space="preserve">K2A9Y</t>
  </si>
  <si>
    <t xml:space="preserve">WOS:001341969800001</t>
  </si>
  <si>
    <t xml:space="preserve">Tahir, B; Mehmood, MA</t>
  </si>
  <si>
    <t xml:space="preserve">Tahir, Bilal; Mehmood, Muhammad Amir</t>
  </si>
  <si>
    <t xml:space="preserve">Leveraging social computing for epidemic surveillance: A case study</t>
  </si>
  <si>
    <t xml:space="preserve">Social media platforms have become a popular source of information for real-time monitoring of events and user behavior. In particular, Twitter provides invaluable information related to diseases and public health to build real-time disease surveillance systems. Effective use of such social media platforms for public health surveillance requires data-driven AI models which are hindered by the difficult, expensive, and time-consuming task of collecting high-quality and large-scale datasets. In this paper, we build and analyze the Epidemic TweetBank (EpiBank) dataset containing 271 million English tweets related to six epidemic-prone diseases COVID19, Flu, Hepatitis, Dengue, Malaria, and HIV/AIDs. For this purpose, we develop a tool of ESS-T (Epidemic Surveillance Study via Twitter) which collects tweets according to provided input parameters and keywords. Also, our tool assigns location to tweets with 95% accuracy value and performs analysis of collected tweets focusing on temporal distribution, spatial patterns, users, entities, sentiment, and misinformation. Leveraging ESS-T, we build two geotagged datasets of EpiBank-global and EpiBank-Pak containing 86 million tweets from 190 countries and 2.6 million tweets from Pakistan, respectively. Our spatial analysis of EpiBank-global for COVID19, Malaria, and Dengue indicates that our framework correctly identifies high-risk epidemic-prone countries according to World Health Organization (WHO) statistics.</t>
  </si>
  <si>
    <t xml:space="preserve">BIG DATA RESEARCH</t>
  </si>
  <si>
    <t xml:space="preserve">Big data; Twitter analysis; Disease surveillance; Smart cities; e-health</t>
  </si>
  <si>
    <t xml:space="preserve">TWITTER; OUTBREAK; DATASET; TWEETS; MEDIA</t>
  </si>
  <si>
    <t xml:space="preserve">[Tahir, Bilal] Univ Engn &amp; Technol, Al Khawarizmi Inst Comp Sci, GT Rd, Lahore 54890, Punjab, Pakistan; [Mehmood, Muhammad Amir] Islamic Univ Madinah, Fac Comp &amp; Informat Syst, Madinah 42351, Saudi Arabia</t>
  </si>
  <si>
    <t xml:space="preserve">University of Engineering &amp; Technology Lahore; Islamic University of Al Madinah</t>
  </si>
  <si>
    <t xml:space="preserve">Tahir, B (corresponding author), Univ Engn &amp; Technol, Al Khawarizmi Inst Comp Sci, GT Rd, Lahore 54890, Punjab, Pakistan.</t>
  </si>
  <si>
    <t xml:space="preserve">bilal.tahir@kics.edu.pk</t>
  </si>
  <si>
    <t xml:space="preserve">Tahir, Bilal/AAP-9725-2021</t>
  </si>
  <si>
    <t xml:space="preserve">tahir, bilal/0000-0002-4907-0988</t>
  </si>
  <si>
    <t xml:space="preserve">2214-5796</t>
  </si>
  <si>
    <t xml:space="preserve">BIG DATA RES</t>
  </si>
  <si>
    <t xml:space="preserve">Big Data Res.</t>
  </si>
  <si>
    <t xml:space="preserve">NOV 28</t>
  </si>
  <si>
    <t xml:space="preserve">10.1016/j.bdr.2024.100483</t>
  </si>
  <si>
    <t xml:space="preserve">Computer Science, Artificial Intelligence; Computer Science, Information Systems; Computer Science, Theory &amp; Methods</t>
  </si>
  <si>
    <t xml:space="preserve">D4D7G</t>
  </si>
  <si>
    <t xml:space="preserve">WOS:001295711300001</t>
  </si>
  <si>
    <t xml:space="preserve">Hanson, G; Adams, J; Kepgang, DIB; Zondagh, LS; Bueh, LT; Asante, A; Shirolkar, SA; Kisaakye, M; Bondarwad, H; Awe, OI</t>
  </si>
  <si>
    <t xml:space="preserve">Hanson, George; Adams, Joseph; Kepgang, Daveson I. B.; Zondagh, Luke S.; Tem Bueh, Lewis; Asante, Andy; Shirolkar, Soham A.; Kisaakye, Maureen; Bondarwad, Hem; Awe, Olaitan I.</t>
  </si>
  <si>
    <t xml:space="preserve">Machine learning and molecular docking prediction of potential inhibitors against dengue virus</t>
  </si>
  <si>
    <t xml:space="preserve">Introduction Dengue Fever continues to pose a global threat due to the widespread distribution of its vector mosquitoes, Aedes aegypti and Aedes albopictus. While the WHO-approved vaccine, Dengvaxia, and antiviral treatments like Balapiravir and Celgosivir are available, challenges such as drug resistance, reduced efficacy, and high treatment costs persist. This study aims to identify novel potential inhibitors of the Dengue virus (DENV) using an integrative drug discovery approach encompassing machine learning and molecular docking techniques.Method Utilizing a dataset of 21,250 bioactive compounds from PubChem (AID: 651640), alongside a total of 1,444 descriptors generated using PaDEL, we trained various models such as Support Vector Machine, Random Forest, k-nearest neighbors, Logistic Regression, and Gaussian Na &amp; iuml;ve Bayes. The top-performing model was used to predict active compounds, followed by molecular docking performed using AutoDock Vina. The detailed interactions, toxicity, stability, and conformational changes of selected compounds were assessed through protein-ligand interaction studies, molecular dynamics (MD) simulations, and binding free energy calculations.Results We implemented a robust three-dataset splitting strategy, employing the Logistic Regression algorithm, which achieved an accuracy of 94%. The model successfully predicted 18 known DENV inhibitors, with 11 identified as active, paving the way for further exploration of 2683 new compounds from the ZINC and EANPDB databases. Subsequent molecular docking studies were performed on the NS2B/NS3 protease, an enzyme essential in viral replication. ZINC95485940, ZINC38628344, 2 ',4 '-dihydroxychalcone and ZINC14441502 demonstrated a high binding affinity of -8.1, -8.5, -8.6, and -8.0 kcal/mol, respectively, exhibiting stable interactions with His51, Ser135, Leu128, Pro132, Ser131, Tyr161, and Asp75 within the active site, which are critical residues involved in inhibition. Molecular dynamics simulations coupled with MMPBSA further elucidated the stability, making it a promising candidate for drug development.Conclusion Overall, this integrative approach, combining machine learning, molecular docking, and dynamics simulations, highlights the strength and utility of computational tools in drug discovery. It suggests a promising pathway for the rapid identification and development of novel antiviral drugs against DENV. These in silico findings provide a strong foundation for future experimental validations and in-vitro studies aimed at fighting DENV.</t>
  </si>
  <si>
    <t xml:space="preserve">FRONTIERS IN CHEMISTRY</t>
  </si>
  <si>
    <t xml:space="preserve">molecular docking; drug discovery; machine learning; dengue virus; molecular dynamics simulation</t>
  </si>
  <si>
    <t xml:space="preserve">DOUBLE-BLIND; IN-SILICO; PROTEIN; REPLICATION; TETRAVALENT; VACCINE; OPTIMIZATION; VALIDATION; CHEMISTRY; CHILDREN</t>
  </si>
  <si>
    <t xml:space="preserve">[Hanson, George; Adams, Joseph] Univ Ghana, Noguchi Mem Inst Med Res NMIMR, Coll Hlth Sci CHS, Dept Parasitol, Accra, Ghana; [Kepgang, Daveson I. B.] Univ Douala, Fac Sci, Dept Biochem, Douala, Cameroon; [Zondagh, Luke S.] Univ Western Cape Town, Sch Pharm, Pharmaceut Chem, Cape Town, South Africa; [Tem Bueh, Lewis] Univ Buea, Fac Engn &amp; Technol, Dept Comp Engn, Buea, Cameroon; [Asante, Andy] Univ Ghana, Noguchi Mem Inst Med Res NMIMR, Coll Hlth Sci CHS, Dept Immunol, Accra, Ghana; [Shirolkar, Soham A.] Univ S Florida, Coll Engn, Tampa, FL USA; [Kisaakye, Maureen] Makerere Univ, Coll Hlth Sci, Dept Immunol &amp; Mol Biol, Kampala, Uganda; [Bondarwad, Hem] Dr Babasaheb Ambedkar Marathwada Univ, Deogiri Coll, Dept Biotechnol &amp; Bioinformat, Sambhajinagar, India; [Awe, Olaitan I.] African Soc Bioinformat &amp; Computat Biol, Cape Town, South Africa</t>
  </si>
  <si>
    <t xml:space="preserve">University of Ghana; University of Ghana; State University System of Florida; University of South Florida; Makerere University; Dr. Babasaheb Ambedkar Marathwada University (BAMU)</t>
  </si>
  <si>
    <t xml:space="preserve">Hanson, G (corresponding author), Univ Ghana, Noguchi Mem Inst Med Res NMIMR, Coll Hlth Sci CHS, Dept Parasitol, Accra, Ghana.;Awe, OI (corresponding author), African Soc Bioinformat &amp; Computat Biol, Cape Town, South Africa.</t>
  </si>
  <si>
    <t xml:space="preserve">george.hanson417@gmail.com; laitanawe@gmail.com</t>
  </si>
  <si>
    <t xml:space="preserve">Awe, Olaitan/JXL-6999-2024</t>
  </si>
  <si>
    <t xml:space="preserve">Kepgang, Daveson Innocento Brank/0009-0004-6104-184X; Awe, Olaitan I./0000-0002-4257-3611; Hanson, George/0009-0007-2720-9102</t>
  </si>
  <si>
    <t xml:space="preserve">The author(s) declare that no financial support was received for the research, authorship, and/or publication of this article.</t>
  </si>
  <si>
    <t xml:space="preserve">2296-2646</t>
  </si>
  <si>
    <t xml:space="preserve">FRONT CHEM</t>
  </si>
  <si>
    <t xml:space="preserve">Front. Chem.</t>
  </si>
  <si>
    <t xml:space="preserve">10.3389/fchem.2024.1510029</t>
  </si>
  <si>
    <t xml:space="preserve">R3K0Q</t>
  </si>
  <si>
    <t xml:space="preserve">WOS:001390467400001</t>
  </si>
  <si>
    <t xml:space="preserve">Ghilardi, FD; Silva, G; Vieira, TM; Mota, A; Bierrenbach, AL; Damasceno, RF; de Oliveira, LC; Chiavegatto, ADP; Sabino, E</t>
  </si>
  <si>
    <t xml:space="preserve">Ghilardi, Fabio De Rose; Silva, Gabriel; Vieira, Thallyta Maria; Mota, Ariela; Bierrenbach, Ana Luiza; Damasceno, Renata Fiuza; de Oliveira, Lea Campos; Chiavegatto Filho, Alexandre Dias Porto; Sabino, Ester</t>
  </si>
  <si>
    <t xml:space="preserve">Machine learning for predicting Chagas disease infection in rural areas of Brazil</t>
  </si>
  <si>
    <t xml:space="preserve">Introduction Chagas disease is a severe parasitic illness that is prevalent in Latin America and often goes unaddressed. Early detection and treatment are critical in preventing the progression of the illness and its associated life-threatening complications. In recent years, machine learning algorithms have emerged as powerful tools for disease prediction and diagnosis.Methods In this study, we developed machine learning algorithms to predict the risk of Chagas disease based on five general factors: age, gender, history of living in a mud or wooden house, history of being bitten by a triatomine bug, and family history of Chagas disease. We analyzed data from the Retrovirus Epidemiology Donor Study (REDS) to train five popular machine learning algorithms. The sample comprised 2,006 patients, divided into 75% for training and 25% for testing algorithm performance. We evaluated the model performance using precision, recall, and AUC-ROC metrics.Results The Adaboost algorithm yielded an AUC-ROC of 0.772, a precision of 0.199, and a recall of 0.612. We simulated the decision boundary using various thresholds and observed that in this dataset a threshold of 0.45 resulted in a 100% recall. This finding suggests that employing such a threshold could potentially save 22.5% of the cost associated with mass testing of Chagas disease.Conclusion Our findings highlight the potential of applying machine learning to improve the sensitivity and effectiveness of Chagas disease diagnosis and prevention. Furthermore, we emphasize the importance of integrating socio-demographic and environmental factors into neglected disease prediction models to enhance their performance. Chagas disease, a severe parasitic illness prevalent in Latin America, poses significant challenges due to delayed detection and treatment. Machine learning algorithms, advanced computer programs, have emerged as valuable tools for disease prediction and diagnosis. In our study, we utilized these algorithms to forecast Chagas disease risk based on factors such as age, gender, and living conditions. Drawing on data from the Retrovirus Epidemiology Donor Study (REDS), we trained five algorithms, with one showing promising results, achieving an impressive score of 0.772 out of 1. By establishing a specific threshold, we could potentially reduce testing costs while maintaining high detection rates. This research highlights the potential of machine learning in improving Chagas disease diagnosis and prevention by incorporating socio-demographic and environmental factors. Integrating these elements into predictive models has the potential to enhance their effectiveness and sensitivity, thereby improving disease management outcomes and ultimately reducing the burden of Chagas disease in affected regions.</t>
  </si>
  <si>
    <t xml:space="preserve">[Ghilardi, Fabio De Rose; Bierrenbach, Ana Luiza; Sabino, Ester] Univ Sao Paulo FMUSP, Fac Med, Sao Paulo, Brazil; [Silva, Gabriel; Chiavegatto Filho, Alexandre Dias Porto] Univ Sao Paulo FSP USP, Fac Saude Publ, Sao Paulo, Brazil; [Vieira, Thallyta Maria; Mota, Ariela; Damasceno, Renata Fiuza] Univ Estadual Montes Claros Unimontes, Montes Claros, MG, Brazil; [de Oliveira, Lea Campos; Sabino, Ester] Univ Sao Paulo, Inst Med Trop, Fac Med, Sao Paulo, Brazil; Fundacao Oswaldo Cruz, Cuiaba, Brazil</t>
  </si>
  <si>
    <t xml:space="preserve">Universidade de Sao Paulo; Universidade Estadual de Montes Claros; Universidade de Sao Paulo; Fundacao Oswaldo Cruz</t>
  </si>
  <si>
    <t xml:space="preserve">Ghilardi, FD (corresponding author), Univ Sao Paulo FMUSP, Fac Med, Sao Paulo, Brazil.</t>
  </si>
  <si>
    <t xml:space="preserve">fabio.ghilardi@hc.fm.usp.br</t>
  </si>
  <si>
    <t xml:space="preserve">Bierrenbach, Ana/F-3185-2014; Chiavegatto Filho, Alexandre/A-2092-2013; VEIRA, THALLYTA/GOE-3828-2022; Silva, Gabriel/KYP-0748-2024</t>
  </si>
  <si>
    <t xml:space="preserve">Chiavegatto Filho, Alexandre/0000-0003-3251-9600</t>
  </si>
  <si>
    <t xml:space="preserve">e0012026</t>
  </si>
  <si>
    <t xml:space="preserve">10.1371/journal.pntd.0012026</t>
  </si>
  <si>
    <t xml:space="preserve">OC6B3</t>
  </si>
  <si>
    <t xml:space="preserve">WOS:001205088400001</t>
  </si>
  <si>
    <t xml:space="preserve">Otesteanu, CF; Caldelari, R; Heussler, V; Sznitman, R</t>
  </si>
  <si>
    <t xml:space="preserve">Otesteanu, Corin F.; Caldelari, Reto; Heussler, Volker; Sznitman, Raphael</t>
  </si>
  <si>
    <t xml:space="preserve">Machine learning for predicting Plasmodium liver stage development in vitro using microscopy imaging</t>
  </si>
  <si>
    <t xml:space="preserve">Malaria, a significant global health challenge, is caused by Plasmodium parasites. The Plasmodium liver stage plays a pivotal role in the establishment of the infection. This study focuses on the liver stage development of the model organism Plasmodium berghei, employing fluorescent microscopy imaging and convolutional neural networks (CNNs) for analysis. Convolutional neural networks have been recently proposed as a viable option for tasks such as malaria detection, prediction of host -pathogen interactions, or drug discovery. Our research aimed to predict the transition of Plasmodium -infected liver cells to the merozoite stage, a key development phase, 15 hours in advance. We collected and analyzed hourly imaging data over a span of at least 38 hours from 400 sequences, encompassing 502 parasites. Our method was compared to human annotations to validate its efficacy. Performance metrics, including the area under the receiver operating characteristic curve (AUC), sensitivity, and specificity, were evaluated on an independent test dataset. The outcomes revealed an AUC of 0.873, a sensitivity of 84.6%, and a specificity of 83.3%, underscoring the potential of our CNN -based framework to predict liver stage development of P. berghei . These findings not only demonstrate the feasibility of our methodology but also could potentially contribute to the broader understanding of parasite biology.</t>
  </si>
  <si>
    <t xml:space="preserve">COMPUTATIONAL AND STRUCTURAL BIOTECHNOLOGY JOURNAL</t>
  </si>
  <si>
    <t xml:space="preserve">Malaria; Microscopy imaging; Neural networks; Deep learning</t>
  </si>
  <si>
    <t xml:space="preserve">INSIGHTS; PROTEIN</t>
  </si>
  <si>
    <t xml:space="preserve">[Otesteanu, Corin F.; Sznitman, Raphael] Univ Bern, Artificial Intelligence Med Grp, Bern, Switzerland; [Caldelari, Reto; Heussler, Volker] Univ Bern, Inst Cell Biol, Bern, Switzerland</t>
  </si>
  <si>
    <t xml:space="preserve">University of Bern; University of Bern</t>
  </si>
  <si>
    <t xml:space="preserve">Otesteanu, CF; Sznitman, R (corresponding author), Univ Bern, Artificial Intelligence Med Grp, Bern, Switzerland.</t>
  </si>
  <si>
    <t xml:space="preserve">corin.otesteanul@unibe.ch; raphael.sznitman@unibe.ch</t>
  </si>
  <si>
    <t xml:space="preserve">Heussler, Volker/H-9322-2019</t>
  </si>
  <si>
    <t xml:space="preserve">Sznitman, Raphael/0000-0001-6791-4753; Heussler, Volker/0000-0001-8028-9825</t>
  </si>
  <si>
    <t xml:space="preserve">Swiss National Science Foundation [CRSII5_198543]; Swiss National Science Foundation (SNF) [CRSII5_198543] Funding Source: Swiss National Science Foundation (SNF)</t>
  </si>
  <si>
    <t xml:space="preserve">Swiss National Science Foundation(Swiss National Science Foundation (SNSF)); Swiss National Science Foundation (SNF)(Swiss National Science Foundation (SNSF))</t>
  </si>
  <si>
    <t xml:space="preserve">This work was supported by the Swiss National Science Foundation to VH (grant number CRSII5_198543) .</t>
  </si>
  <si>
    <t xml:space="preserve">2001-0370</t>
  </si>
  <si>
    <t xml:space="preserve">COMPUT STRUCT BIOTEC</t>
  </si>
  <si>
    <t xml:space="preserve">Comp. Struct. Biotechnol. J..</t>
  </si>
  <si>
    <t xml:space="preserve">10.1016/j.csbj.2024.04.029</t>
  </si>
  <si>
    <t xml:space="preserve">Biochemistry &amp; Molecular Biology; Biotechnology &amp; Applied Microbiology</t>
  </si>
  <si>
    <t xml:space="preserve">SG3E6</t>
  </si>
  <si>
    <t xml:space="preserve">WOS:001233256100001</t>
  </si>
  <si>
    <t xml:space="preserve">Keshavamurthy, R; Boutelle, C; Nakazawa, Y; Joseph, H; Joseph, DW; Dilius, P; Gibson, AD; Wallace, RM</t>
  </si>
  <si>
    <t xml:space="preserve">Keshavamurthy, Ravikiran; Boutelle, Cassandra; Nakazawa, Yoshinori; Joseph, Haim; Joseph, Dady W.; Dilius, Pierre; Gibson, Andrew D.; Wallace, Ryan M.</t>
  </si>
  <si>
    <t xml:space="preserve">Machine learning to improve the understanding of rabies epidemiology in low surveillance settings</t>
  </si>
  <si>
    <t xml:space="preserve">In low and middle-income countries, a large proportion of animal rabies investigations end without a conclusive diagnosis leading to epidemiologic interpretations informed by clinical, rather than laboratory data. We compared Extreme Gradient Boosting (XGB) with Logistic Regression (LR) for their ability to estimate the probability of rabies in animals investigated as part of an Integrated Bite Case Management program (IBCM). To balance our training data, we used Random Oversampling (ROS) and Synthetic Minority Oversampling Technique. We developed a risk stratification framework based on predicted rabies probabilities. XGB performed better at predicting rabies cases than LR. Oversampling strategies enhanced the model sensitivity making them the preferred technique to predict rare events like rabies in a biting animal. XGB-ROS classified most of the confirmed rabies cases and only a small proportion of non-cases as either high (confirmed cases = 85.2%, non-cases = 0.01%) or moderate (confirmed cases = 8.4%, non-cases = 4.0%) risk. Model-based risk stratification led to a 3.2-fold increase in epidemiologically useful data compared to a routine surveillance strategy using IBCM case definitions. Our study demonstrates the application of machine learning to strengthen zoonotic disease surveillance under resource-limited settings.</t>
  </si>
  <si>
    <t xml:space="preserve">Rabies epidemiology; Prediction; Machine learning; Extreme gradient boosting; Risk stratification; Zoonotic disease surveillance</t>
  </si>
  <si>
    <t xml:space="preserve">[Keshavamurthy, Ravikiran; Boutelle, Cassandra; Nakazawa, Yoshinori; Wallace, Ryan M.] Ctr Dis Control &amp; Prevent, Natl Ctr Emerging &amp; Zoonot Infect Dis, Div High Consequence Pathogens &amp; Pathol, Poxvirus &amp; Rabies Branch, Atlanta, GA 30333 USA; [Joseph, Haim; Joseph, Dady W.; Dilius, Pierre] Minist Agr Ressources Nat &amp; Dev Rural, Port au Prince, Haiti; [Gibson, Andrew D.] Mission Rabies, Cranborne, Dorset, England</t>
  </si>
  <si>
    <t xml:space="preserve">Centers for Disease Control &amp; Prevention - USA</t>
  </si>
  <si>
    <t xml:space="preserve">Keshavamurthy, R (corresponding author), Ctr Dis Control &amp; Prevent, Natl Ctr Emerging &amp; Zoonot Infect Dis, Div High Consequence Pathogens &amp; Pathol, Poxvirus &amp; Rabies Branch, Atlanta, GA 30333 USA.</t>
  </si>
  <si>
    <t xml:space="preserve">mfl3@cdc.gov</t>
  </si>
  <si>
    <t xml:space="preserve">Haiti Animal Rabies Surveillance Program</t>
  </si>
  <si>
    <t xml:space="preserve">The authors wish to thank the late Mr. Christian Morange who played an integral role in establishing the Haiti Animal Rabies Surveillance Program, investigating nearly 2,000 suspected rabid animals, nearly 20% of the data used in this study.</t>
  </si>
  <si>
    <t xml:space="preserve">10.1038/s41598-024-76089-3</t>
  </si>
  <si>
    <t xml:space="preserve">K7N9V</t>
  </si>
  <si>
    <t xml:space="preserve">WOS:001345716800111</t>
  </si>
  <si>
    <t xml:space="preserve">Ansari, MS; Jain, D; Budhiraja, S</t>
  </si>
  <si>
    <t xml:space="preserve">Ansari, Md. Shahid; Jain, Dinesh; Budhiraja, Sandeep</t>
  </si>
  <si>
    <t xml:space="preserve">Machine-learning prediction models for any blood component transfusion in hospitalized dengue patients</t>
  </si>
  <si>
    <t xml:space="preserve">Background: Blood component transfusions are a common and often necessary medical practice during the epidemics of dengue. Transfusions are required for patients when they developed severe dengue fever or thrombocytopenia of 10 109 pound/L or less. This study therefore investigated the risk factors, performance and effectiveness of eight different machine-learning algorithms to predict blood component transfusion requirements in confirmed dengue cases admitted to hospital. The objective was to study the risk factors that can help to predict blood component transfusion needs. Methods: Eight predictive models were developed based on retrospective data from a private group of hospitals in India. A python package SHAP (SHapley Additive exPlanations) was used to explain the output of the XGBoost model. Results: Sixteen vital variables were finally selected as having the most significant effects on blood component transfusion prediction. The XGBoost model presented significantly better predictive performance (area under the curve: 0.793; 95 % confidence interval: 0.699-0.795) than the other models. Conclusion: Predictive modelling techniques can be utilized to streamline blood component preparation procedures and can help in the triage of high-risk patients and readiness of caregivers to provide blood component transfusions when required. This study demonstrates the potential of multilayer algorithms to reasonably predict any blood component transfusion needs which may help healthcare providers make more informed decisions regarding patient care. (c) 2023 Associa &amp; ccedil;&amp; atilde;o Brasileira de Hematologia, Hemoterapia e Terapia Celular. Published by Elsevier Espa &amp; ntilde;a, S.L.U. This is an open access article under the CC BY-NC-ND license (http://creativecommons.org/licenses/by-nc-nd/4.0/).</t>
  </si>
  <si>
    <t xml:space="preserve">HEMATOLOGY TRANSFUSION AND CELL THERAPY</t>
  </si>
  <si>
    <t xml:space="preserve">Blood component transfusion; prediction; Dengue; Supervised learning techniques; Healthcare; Feature selection</t>
  </si>
  <si>
    <t xml:space="preserve">PLATELET TRANSFUSION</t>
  </si>
  <si>
    <t xml:space="preserve">[Ansari, Md. Shahid; Jain, Dinesh] Max Super Special Hosp, Dept Clin Data Analyt, 1 Press Enclave Rd, New Delhi 110017, India; [Budhiraja, Sandeep] Max Super Special Hosp, Dept Internal Med, New Delhi, India</t>
  </si>
  <si>
    <t xml:space="preserve">Jain, D (corresponding author), Max Super Special Hosp, Dept Clin Data Analyt, 1 Press Enclave Rd, New Delhi 110017, India.</t>
  </si>
  <si>
    <t xml:space="preserve">Dinesh.Jain@maxhealthcare.com</t>
  </si>
  <si>
    <t xml:space="preserve">Jain, Dinesh/0000-0002-4015-5504</t>
  </si>
  <si>
    <t xml:space="preserve">Max Healthcare Institute Ltd</t>
  </si>
  <si>
    <t xml:space="preserve">This work was supported by Max Healthcare Institute Ltd: The authors would like to thank Dr Abhaya Indrayan for assis-tance in reviewing the draft and for feedback and Sandeepan Kashyap for data extraction.</t>
  </si>
  <si>
    <t xml:space="preserve">2531-1379</t>
  </si>
  <si>
    <t xml:space="preserve">HEMATOL TRANSF CELL</t>
  </si>
  <si>
    <t xml:space="preserve">Hematol. Transf. Cell Ther.</t>
  </si>
  <si>
    <t xml:space="preserve">S13</t>
  </si>
  <si>
    <t xml:space="preserve">S23</t>
  </si>
  <si>
    <t xml:space="preserve">10.1016/j.htct.2023.09.2365</t>
  </si>
  <si>
    <t xml:space="preserve">Oncology; Hematology</t>
  </si>
  <si>
    <t xml:space="preserve">P3W9X</t>
  </si>
  <si>
    <t xml:space="preserve">WOS:001377265500004</t>
  </si>
  <si>
    <t xml:space="preserve">Alonso-Ramírez, AA; Barranco-Gutiérrez, AI; Méndez-Gurrola, II; Gutiérrez-López, M; Prado-Olivarez, J; Pérez-Pinal, FJ; Villegas-Saucillo, JJ; García-Muñoz, JA; García-Capulín, CH</t>
  </si>
  <si>
    <t xml:space="preserve">Alonso-Ramirez, Adan-Antonio; Barranco-Gutierrez, Alejandro-Israel; Mendez-Gurrola, Iris-Iddaly; Gutierrez-Lopez, Marcos; Prado-Olivarez, Juan; Perez-Pinal, Francisco-Javier; Villegas-Saucillo, J. Jesus; Garcia-Munoz, Jorge-Alberto; Garcia-Capulin, Carlos-Hugo</t>
  </si>
  <si>
    <t xml:space="preserve">Malaria Cell Image Classification Using Compact Deep Learning Architectures on Jetson TX2</t>
  </si>
  <si>
    <t xml:space="preserve">Malaria is a significant global health issue, especially in tropical regions. Accurate and rapid diagnosis is critical for effective treatment and reducing mortality rates. Traditional diagnostic methods, like blood smear microscopy, are time-intensive and prone to error. This study introduces a deep learning approach for classifying malaria-infected cells in blood smear images using convolutional neural networks (CNNs); Six CNN models were designed and trained using a large labeled dataset of malaria cell images, both infected and uninfected, and were implemented on the Jetson TX2 board to evaluate them. The model was optimized for feature extraction and classification accuracy, achieving 97.72% accuracy, and evaluated using precision, recall, and F1-score metrics and execution time. Results indicate deep learning significantly improves diagnostic time efficiency on embedded systems. This scalable, automated solution is particularly useful in resource-limited areas without access to expert microscopic analysis. Future work will focus on clinical validation.</t>
  </si>
  <si>
    <t xml:space="preserve">TECHNOLOGIES</t>
  </si>
  <si>
    <t xml:space="preserve">malaria; images; convolutional neural network</t>
  </si>
  <si>
    <t xml:space="preserve">SCHEME</t>
  </si>
  <si>
    <t xml:space="preserve">[Alonso-Ramirez, Adan-Antonio; Barranco-Gutierrez, Alejandro-Israel; Prado-Olivarez, Juan; Perez-Pinal, Francisco-Javier; Villegas-Saucillo, J. Jesus; Garcia-Munoz, Jorge-Alberto] Tecnol Nacl Mexico Celaya, Dept Ingn Elect, Linea Invest, Celaya 38010, Mexico; [Mendez-Gurrola, Iris-Iddaly] Univ Autonoma Ciudad Juarez, Dept Diseno, Inst Arquitectura Diseno &amp; Arte, Ciudad Juarez 32310, Mexico; [Gutierrez-Lopez, Marcos] Tecnol Nacl Mexico Morelia, TecNM Morelia, Morelia 58120, Mexico; [Garcia-Capulin, Carlos-Hugo] Univ Guanajuato DICIS, Dept Elect, Salamanca 36885, Mexico</t>
  </si>
  <si>
    <t xml:space="preserve">Universidad Autonoma de Ciudad Juarez; Universidad de Guanajuato</t>
  </si>
  <si>
    <t xml:space="preserve">García-Capulín, CH (corresponding author), Univ Guanajuato DICIS, Dept Elect, Salamanca 36885, Mexico.</t>
  </si>
  <si>
    <t xml:space="preserve">d2203002@itcelaya.edu.mx; israel.barranco@itcelaya.edu.mx; iris.mendez@uacj.mx; marcos.gl@morelia.tecnm.mx; juan.prado@itcelaya.edu.mx; francisco.perez@itcelaya.edu.mx; jesus.villegas@itcelaya.edu.mx; jorge.garcia@itcelaya.edu.mx; carlosg@ugto.mx</t>
  </si>
  <si>
    <t xml:space="preserve">Garcia, Jorge/MBG-4313-2025; Gutiérrez, Alejandro/AAH-7831-2021; Perez-Pinal, Francisco/N-4299-2019; Barranco-Gutierrez, Alejandro-Israel/M-3673-2017</t>
  </si>
  <si>
    <t xml:space="preserve">Garcia Capulin, Carlos Hugo/0000-0002-1631-0738; Perez-Pinal, Francisco/0000-0002-6116-6464; Villegas-Saucillo, J. Jesus/0000-0002-2863-5302; Alonso Ramirez, Adan Antonio/0000-0002-9151-0465; Barranco-Gutierrez, Alejandro-Israel/0000-0002-5050-6208</t>
  </si>
  <si>
    <t xml:space="preserve">CONAHCyT, TecNM Celaya, and Universidad de Guanajuato [725022]; TecNM Celaya, and Universidad de Guanajuato grant number Becas Nacionales</t>
  </si>
  <si>
    <t xml:space="preserve">CONAHCyT, TecNM Celaya, and Universidad de Guanajuato; TecNM Celaya, and Universidad de Guanajuato grant number Becas Nacionales</t>
  </si>
  <si>
    <t xml:space="preserve">This research was funded by CONAHCyT, TecNM Celaya, and Universidad de Guanajuato grant number Becas Nacionales 725022.</t>
  </si>
  <si>
    <t xml:space="preserve">2227-7080</t>
  </si>
  <si>
    <t xml:space="preserve">Technologies</t>
  </si>
  <si>
    <t xml:space="preserve">10.3390/technologies12120247</t>
  </si>
  <si>
    <t xml:space="preserve">Engineering, Multidisciplinary</t>
  </si>
  <si>
    <t xml:space="preserve">Q3J9Y</t>
  </si>
  <si>
    <t xml:space="preserve">WOS:001383701200001</t>
  </si>
  <si>
    <t xml:space="preserve">Lin, MJ; Cai, JX; Wei, YC; Peng, XR; Luo, QH; Li, BS; Chen, YH; Wang, L</t>
  </si>
  <si>
    <t xml:space="preserve">Lin, Mujie; Cai, Junxi; Wei, Yuancheng; Peng, Xinru; Luo, Qianhui; Li, Biaoshun; Chen, Yihao; Wang, Ling</t>
  </si>
  <si>
    <t xml:space="preserve">MalariaFlow: A comprehensive deep learning platform for multistage phenotypic antimalarial drug discovery</t>
  </si>
  <si>
    <t xml:space="preserve">Malaria remains a significant global health challenge due to the growing drug resistance of Plasmodium parasites and the failure to block transmission within human host. While machine learning (ML) and deep learning (DL) methods have shown promise in accelerating antimalarial drug discovery, the performance of deep learning models based on molecular graph and other co-representation approaches warrants further exploration. Current research has overlooked mutant strains of the malaria parasite with varying degrees of sensitivity or resistance, and has not covered the prediction of inhibitory activities across the three major life cycle stages (liver, asexual blood, and gametocyte) within the human host, which is crucial for both treatment and transmission blocking. In this study, we manually curated a benchmark antimalarial activity dataset comprising 407,404 unique compounds and 410,654 bioactivity data points across ten Plasmodium phenotypes and three stages. The performance was systematically compared among two fingerprint-based ML models (RF::Morgan and XGBoost: Morgan), four graph-based DL models (GCN, GAT, MPNN, and Attentive FP), and three co-representations DL models (FP-GNN, HiGNN, and FG-BERT), which reveal that: 1) The FP-GNN model achieved the best predictive performance, outperforming the other methods in distinguishing active and inactive compounds across balanced, more positive, and more negative datasets, with an overall AUROC of 0.900; 2) Fingerprint-based ML models outperformed graph-based DL models on large datasets (&gt;1000 compounds), but the three co-representations DL models were able to incorporate domain-specific chemical knowledge to bridge this gap, achieving better predictive performance. These findings provide valuable guidance for selecting appropriate ML and DL methods for antimalarial activity prediction tasks. The interpretability analysis of the FP-GNN model revealed its ability to accurately capture the key structural features responsible for the liver- and blood-stage activities of the known antimalarial drug atovaquone. Finally, we developed a web server, MalariaFlow, incorporating these highquality models for antimalarial activity prediction, virtual screening, and similarity search, successfully predicting novel triple-stage antimalarial hits validated through experimental testing, demonstrating its effectiveness and value in discovering potential multistage antimalarial drug candidates.</t>
  </si>
  <si>
    <t xml:space="preserve">EUROPEAN JOURNAL OF MEDICINAL CHEMISTRY</t>
  </si>
  <si>
    <t xml:space="preserve">Antimalarial drug discovery; Machine learning (ML); Deep learning (DL); Plasmodium parasite life cycle; Multi-stage; Web server</t>
  </si>
  <si>
    <t xml:space="preserve">ATOVAQUONE-BINDING; PLASMODIUM; RESISTANCE; OPTIMIZATION; NORMALITY; PARASITES; CURATION; TARGETS; VERIFY; DOMAIN</t>
  </si>
  <si>
    <t xml:space="preserve">[Lin, Mujie; Luo, Qianhui; Li, Biaoshun; Chen, Yihao; Wang, Ling] South China Univ Technol, Sch Biol &amp; Biol Engn, Guangzhou 510006, Peoples R China; [Wei, Yuancheng; Peng, Xinru] South China Univ Technol, Sch Software Engn, Guangzhou 510006, Peoples R China; [Cai, Junxi] South China Univ Technol, Sch Civil Engn &amp; Transportat, Guangzhou 510006, Peoples R China</t>
  </si>
  <si>
    <t xml:space="preserve">South China University of Technology; South China University of Technology; South China University of Technology</t>
  </si>
  <si>
    <t xml:space="preserve">Wang, L (corresponding author), South China Univ Technol, Sch Biol &amp; Biol Engn, Guangzhou 510006, Peoples R China.</t>
  </si>
  <si>
    <t xml:space="preserve">lingwang@scut.edu.cn</t>
  </si>
  <si>
    <t xml:space="preserve">Wang, Ling/0000-0001-5116-7749</t>
  </si>
  <si>
    <t xml:space="preserve">Natural Science Foundation of Guangdong Province [2023B1515020042]; National Training Program of Innovation and Entrepreneurship for Undergraduates [202210561120]; Industry-University Cooperative Education Program of Ministry of Education, China [230907576023605]; South China University of Technology [j2tw202302011]</t>
  </si>
  <si>
    <t xml:space="preserve">Natural Science Foundation of Guangdong Province(National Natural Science Foundation of Guangdong Province); National Training Program of Innovation and Entrepreneurship for Undergraduates; Industry-University Cooperative Education Program of Ministry of Education, China; South China University of Technology</t>
  </si>
  <si>
    <t xml:space="preserve">This work was supported by the Natural Science Foundation of Guangdong Province [No. 2023B1515020042] , National Training Program of Innovation and Entrepreneurship for Undergraduates [No. 202210561120] , the Industry-University Cooperative Education Program of Ministry of Education, China [No. 230907576023605] , and the Century Staircase Climbing Program from South China University of Technology [No. j2tw202302011] . We thank all members of the iDrugLab for their valuable discussions. We acknowledge the allocation time from the SCUTGrid at South China University of Technology, and the computational resources provided by the Bohrium (R) (R) platform from DP Technology Co., Ltd. Additionally, some of the animal figures in the graphical abstract were created using the Generic Diagramming</t>
  </si>
  <si>
    <t xml:space="preserve">0223-5234</t>
  </si>
  <si>
    <t xml:space="preserve">1768-3254</t>
  </si>
  <si>
    <t xml:space="preserve">EUR J MED CHEM</t>
  </si>
  <si>
    <t xml:space="preserve">NOV 5</t>
  </si>
  <si>
    <t xml:space="preserve">10.1016/j.ejmech.2024.116776</t>
  </si>
  <si>
    <t xml:space="preserve">E3P2P</t>
  </si>
  <si>
    <t xml:space="preserve">WOS:001302153100001</t>
  </si>
  <si>
    <t xml:space="preserve">Balerdi-Sarasola, L; Fleitas, P; Bottieau, E; Genton, B; Petrone, P; Muñoz, J; Camprubi-Ferrer, D</t>
  </si>
  <si>
    <t xml:space="preserve">Balerdi-Sarasola, Leire; Fleitas, Pedro; Bottieau, Emmanuel; Genton, Blaise; Petrone, Paula; Munoz, Jose; Camprubi-Ferrer, Daniel</t>
  </si>
  <si>
    <t xml:space="preserve">MALrisk: a machine-learning-based tool to predict imported malaria in returned travellers with fever</t>
  </si>
  <si>
    <t xml:space="preserve">Background Early diagnosis is key to reducing the morbi-mortality associated with P. falciparum malaria among international travellers. However, access to microbiological tests can be challenging for some healthcare settings. Artificial Intelligence could improve the management of febrile travellers.Methods Data from a multicentric prospective study of febrile travellers were obtained to build a machine-learning model to predict malaria cases among travellers presenting with fever. Demographic characteristics, clinical and laboratory variables were leveraged as features. Eleven machine-learning classification models were evaluated by 50-fold cross-validation in a Training set. Then, the model with the best performance, defined by the Area Under the Curve (AUC), was chosen for parameter optimization and evaluation in the Test set. Finally, a reduced model was elaborated with those features that contributed most to the model.Results Out of 11 machine-learning models, XGBoost presented the best performance (mean AUC of 0.98 and a mean F1 score of 0.78). A reduced model (MALrisk) was developed using only six features: Africa as a travel destination, platelet count, rash, respiratory symptoms, hyperbilirubinemia and chemoprophylaxis intake. MALrisk predicted malaria cases with 100% (95%CI 96-100) sensitivity and 72% (95%CI 68-75) specificity.Conclusions The MALrisk can aid in the timely identification of malaria in non-endemic settings, allowing the initiation of empiric antimalarials and reinforcing the need for urgent transfer in healthcare facilities with no access to malaria diagnostic tests. This resource could be easily scalable to a digital application and could reduce the morbidity associated with late diagnosis.</t>
  </si>
  <si>
    <t xml:space="preserve">Malaria; travellers; machine-learning</t>
  </si>
  <si>
    <t xml:space="preserve">ARTESUNATE</t>
  </si>
  <si>
    <t xml:space="preserve">[Balerdi-Sarasola, Leire; Fleitas, Pedro; Petrone, Paula; Munoz, Jose; Camprubi-Ferrer, Daniel] Univ Barcelona, Hosp Clin, ISGlobal, Barcelona, Spain; [Bottieau, Emmanuel] Inst Trop Med, Dept Clin Sci, Antwerp, Belgium; [Genton, Blaise] Univ Lausanne, Ctr Primary Care &amp; Publ Hlth, Lausanne, Switzerland</t>
  </si>
  <si>
    <t xml:space="preserve">University of Barcelona; Hospital Clinic de Barcelona; ISGlobal; Institute of Tropical Medicine (ITM); University of Lausanne</t>
  </si>
  <si>
    <t xml:space="preserve">Balerdi-Sarasola, L (corresponding author), Univ Barcelona, Hosp Clin, ISGlobal, Barcelona, Spain.</t>
  </si>
  <si>
    <t xml:space="preserve">leire.balerdi@isglobal.org; pedro.fleitas@isglobal.org; paula.petrone@isglobal.org; daniel.camprubi@isglobal.org</t>
  </si>
  <si>
    <t xml:space="preserve">Fleitas, Pedro/ACQ-3039-2022; Munoz Gutierrez, Jose/X-5917-2018; Camprubi, Daniel/AFQ-6435-2022</t>
  </si>
  <si>
    <t xml:space="preserve">Fleitas, Pedro/0000-0001-6574-4586; BALERDI-SARASOLA, LEIRE/0000-0002-0194-7736; Munoz Gutierrez, Jose/0000-0002-0945-1735; Camprubi, Daniel/0000-0003-4215-6030</t>
  </si>
  <si>
    <t xml:space="preserve">Spanish Ministry of Science and Innovation and State Research Agency [CEX2018-000806-S]; CIBER-Consorcio Centrode Investigacion Biomedica en Red-(CB 2021); Generalitat de Catalunya through the CERCA Program; AGAURprogram [2021 SGR 01558]</t>
  </si>
  <si>
    <t xml:space="preserve">Spanish Ministry of Science and Innovation and State Research Agency; CIBER-Consorcio Centrode Investigacion Biomedica en Red-(CB 2021); Generalitat de Catalunya through the CERCA Program; AGAURprogram</t>
  </si>
  <si>
    <t xml:space="preserve">The ISGlobal authors acknowledge support from the Spanish Ministry of Science and Innovation and State Research Agency through the 'Centro de Excelencia Severo Ochoa 2019-2023'Program (CEX2018-000806-S), the CIBER-Consorcio Centrode Investigacion Biomedica en Red-(CB 2021) and the Generalitat de Catalunya through the CERCA Program and AGAURprogram (2021 SGR 01558)</t>
  </si>
  <si>
    <t xml:space="preserve">MAY 8</t>
  </si>
  <si>
    <t xml:space="preserve">10.1093/jtm/taae054</t>
  </si>
  <si>
    <t xml:space="preserve">P3P7M</t>
  </si>
  <si>
    <t xml:space="preserve">WOS:001216226400001</t>
  </si>
  <si>
    <t xml:space="preserve">Josyula, JVN; Jeanpierre, AR; Jorvekar, SB; Adla, D; Mariappan, V; Pulimamidi, SS; Green, SR; Pillai, AB; Borkar, RM; Mutheneni, SR</t>
  </si>
  <si>
    <t xml:space="preserve">Josyula, Jhansi Venkata Nagamani; Jeanpierre, Aashika Raagavi; Jorvekar, Sachin B.; Adla, Deepthi; Mariappan, Vignesh; Pulimamidi, Sai Sharanya; Green, Siva Ranganathan; Pillai, Agieshkumar Balakrishna; Borkar, Roshan M.; Mutheneni, Srinivasa Rao</t>
  </si>
  <si>
    <t xml:space="preserve">Metabolomic profiling of dengue infection: unraveling molecular signatures by LC-MS/MS and machine learning models</t>
  </si>
  <si>
    <t xml:space="preserve">Background &amp; objectiveThe progression of dengue fever to severe dengue (SD) is a major public health concern that impairs the capacity of the medical system to predict and treat dengue patients. Hence, the present study used a metabolomic approach integrated with machine models to identify differentially expressed metabolites in patients with SD compared to nonsevere patients and healthy controls.MethodsComprehensively, the plasma was collected at different clinical phases during dengue without warning signs (DWOW, N = 10), dengue with warning signs (DWW, N = 10), and SD (N = 10) at different stages [i.e., day of admission (DOA), day of defervescence (DOD), and day of convalescent (DOC)] in comparison to healthy control (HC). The samples were subjected to LC-ESI-MS/MS to identify metabolites. Statistical and machine learning analyses were performed using R and Python language. Further, biomarker, pathway and correlation analysis was performed to identify potential predictors of dengue.Results &amp; conclusionA total of 423 metabolites were identified in all the study groups. Paired and unpaired t-tests revealed 14 highly differentially expressed metabolites between and across the dengue groups, with four metabolites (shikimic acid, ureidosuccinic acid, propionyl carnitine, and alpha-tocopherol) showing significant differences compared to HC. Furthermore, biomarker (ROC) analysis revealed 11 potential molecules with a significant AUC value of 1 that could serve as potential biomarkers for identifying different dengue clinical stages that are beneficial for predicting dengue disease outcomes. The logistic regression model revealed that S-adenosylhomocysteine, hypotaurine, and shikimic acid metabolites could be beneficial indicators for predicting severe dengue, with an accuracy and AUC of 0.75. The data showed that dengue infection is related to lipid metabolism, oxidative stress, inflammation, metabolomic adaptation, and virus manipulation. Moreover, the biomarkers had a significant correlation with biochemical parameters like platelet count, and hematocrit. These results shed some light on host-derived small-molecule biomarkers that are associated with dengue severity and novel insights into metabolomics mechanisms interlinked with disease severity.</t>
  </si>
  <si>
    <t xml:space="preserve">METABOLOMICS</t>
  </si>
  <si>
    <t xml:space="preserve">Dengue; LC-ESI-MS/MS; Metabolomics; Biomarkers; Machine learning</t>
  </si>
  <si>
    <t xml:space="preserve">VIRUS; INHIBITION; ACTIVATION; CELLS</t>
  </si>
  <si>
    <t xml:space="preserve">[Josyula, Jhansi Venkata Nagamani; Adla, Deepthi; Mutheneni, Srinivasa Rao] CSIR Indian Inst Chem Technol, Dept Appl Biol, Uppal Rd,Tarnaka, Hyderabad 500007, Telangana, India; [Josyula, Jhansi Venkata Nagamani; Adla, Deepthi; Mutheneni, Srinivasa Rao] Acad Sci &amp; Innovat Res AcSIR, Ghaziabad 201002, India; [Jeanpierre, Aashika Raagavi; Mariappan, Vignesh; Pillai, Agieshkumar Balakrishna] Sri Balaji Vidyapeeth, Mahatma Gandhi Med Adv Res Inst MGMARI, Pondicherry 607402, India; [Jorvekar, Sachin B.; Pulimamidi, Sai Sharanya; Borkar, Roshan M.] Natl Inst Pharmaceut Educ &amp; Res, Dept Pharmaceut Anal, Kamrup 781101, Assam, India; [Green, Siva Ranganathan] Sri Balaji Vidyapeeth, Mahatma Gandhi Med Coll &amp; Res Inst MGMCRI, Pondicherry 607402, India</t>
  </si>
  <si>
    <t xml:space="preserve">Council of Scientific &amp; Industrial Research (CSIR) - India; CSIR - Indian Institute of Chemical Technology (IICT); Academy of Scientific &amp; Innovative Research (AcSIR); National Institute of Pharmaceutical Education &amp; Research, S.A.S. Nagar (Mohali); Mahatma Gandhi Medical College &amp; Research Institute</t>
  </si>
  <si>
    <t xml:space="preserve">Mutheneni, SR (corresponding author), CSIR Indian Inst Chem Technol, Dept Appl Biol, Uppal Rd,Tarnaka, Hyderabad 500007, Telangana, India.;Mutheneni, SR (corresponding author), Acad Sci &amp; Innovat Res AcSIR, Ghaziabad 201002, India.;Pillai, AB (corresponding author), Sri Balaji Vidyapeeth, Mahatma Gandhi Med Adv Res Inst MGMARI, Pondicherry 607402, India.</t>
  </si>
  <si>
    <t xml:space="preserve">agiesh.b@gmail.com; msrinivas@iict.res.in</t>
  </si>
  <si>
    <t xml:space="preserve">BORKAR, ROSHAN/J-6995-2019; Mariappan, Vignesh/GOE-4744-2022; Green, Siva/AAY-2516-2021; Mutheneni, Srinivasa Rao/AAI-2262-2020</t>
  </si>
  <si>
    <t xml:space="preserve">Mutheneni, Srinivasa Rao/0000-0003-3263-3905; Balakrishna Pillai, Agieshkumar/0000-0002-6543-2977</t>
  </si>
  <si>
    <t xml:space="preserve">CSIR, Govt of India [60(0118)/19/EMR-II]; Indian Council of Medical Research (ICMR) Government of India [2020-8756/GEN-BMS]</t>
  </si>
  <si>
    <t xml:space="preserve">CSIR, Govt of India(Council of Scientific &amp; Industrial Research (CSIR) - India); Indian Council of Medical Research (ICMR) Government of India(Indian Council of Medical Research (ICMR))</t>
  </si>
  <si>
    <t xml:space="preserve">Authors acknowledge the funding support received from CSIR, Govt of India (60(0118)/19/EMR-II). The authors also acknowledge the support of the Indian Council of Medical Research (ICMR) Government of India by the awarding ICMR-Senior Research Fellowship (F.No. 2020-8756/GEN-BMS) to Jhansi Venkata Nagamani Josyula.</t>
  </si>
  <si>
    <t xml:space="preserve">1573-3882</t>
  </si>
  <si>
    <t xml:space="preserve">1573-3890</t>
  </si>
  <si>
    <t xml:space="preserve">Metabolomics</t>
  </si>
  <si>
    <t xml:space="preserve">SEP 21</t>
  </si>
  <si>
    <t xml:space="preserve">10.1007/s11306-024-02169-0</t>
  </si>
  <si>
    <t xml:space="preserve">Endocrinology &amp; Metabolism</t>
  </si>
  <si>
    <t xml:space="preserve">G6Y7D</t>
  </si>
  <si>
    <t xml:space="preserve">WOS:001318074800004</t>
  </si>
  <si>
    <t xml:space="preserve">Arrubla-Hoyos, W; Gomez, JG; De-La-Hoz-Franco, E</t>
  </si>
  <si>
    <t xml:space="preserve">Methodology for the Differential Classification of Dengue and Chikungunya According to the PAHO 2022 Diagnostic Guide</t>
  </si>
  <si>
    <t xml:space="preserve">Arboviruses such as dengue, Zika, and chikungunya present similar symptoms in the early stages, which complicates their differential and timely diagnosis. In 2022, the PAHO published a guide to address this challenge. This study proposes a methodological framework that transforms qualitative information into quantitative information, establishing differential weights in relation to symptoms according to the medical evidence and the GRADE scale based on recommendation 1 of the said guide. To achieve this, common variables from the dataset were identified using the PAHO guide, and quality rules were established. A linear interpolation function was then parameterised to assign weights to the symptoms according to the evidence. Machine learning was used to compare the different models, achieving 99% accuracy compared with 79% without the methodology. This proposal represents a significant advancement, allowing the direct application of the PAHO recommendations to the dataset and improving the differential classification of arboviruses.</t>
  </si>
  <si>
    <t xml:space="preserve">VIRUSES-BASEL</t>
  </si>
  <si>
    <t xml:space="preserve">PAHO; dengue; Zika; chikungunya; linear interpolation; machine learning; sets; medical evidence synthesis</t>
  </si>
  <si>
    <t xml:space="preserve">PREDICTION</t>
  </si>
  <si>
    <t xml:space="preserve">[Arrubla-Hoyos, Wilson] Univ Nacl Abierta &amp; Distancia, Fac Ingn, Sincelejo 700002, Colombia; [Gomez, Jorge Gomez] Univ Cordoba, Dept Ingn Sistemas &amp; Telecomunicac, Grp SOCRATES, Fac Ingn, Monteria 230001, Colombia; [De-La-Hoz-Franco, Emiro] Univ Costa, Fac Engn, Dept Comp Sci &amp; Elect, Barranquilla 080002, Colombia</t>
  </si>
  <si>
    <t xml:space="preserve">Gomez, JG (corresponding author), Univ Cordoba, Dept Ingn Sistemas &amp; Telecomunicac, Grp SOCRATES, Fac Ingn, Monteria 230001, Colombia.</t>
  </si>
  <si>
    <t xml:space="preserve">ARRUBLA HOYOS, WILSON DE JESUS/0000-0001-7119-7603; Gomez, Jorge/0000-0001-8746-9386; De-La-Hoz-Franco, Emiro/0000-0002-4926-7414</t>
  </si>
  <si>
    <t xml:space="preserve">Universidad de Cordoba - Colombia [FI-05-19]</t>
  </si>
  <si>
    <t xml:space="preserve">Universidad de Cordoba - Colombia</t>
  </si>
  <si>
    <t xml:space="preserve">This project was funded by the Universidad de Cordoba - Colombia, with project code FI-05-19</t>
  </si>
  <si>
    <t xml:space="preserve">1999-4915</t>
  </si>
  <si>
    <t xml:space="preserve">Viruses-Basel</t>
  </si>
  <si>
    <t xml:space="preserve">JUL</t>
  </si>
  <si>
    <t xml:space="preserve">10.3390/v16071088</t>
  </si>
  <si>
    <t xml:space="preserve">ZS1O3</t>
  </si>
  <si>
    <t xml:space="preserve">WOS:001277192300001</t>
  </si>
  <si>
    <t xml:space="preserve">Kumar, S; Srivastava, A; Maity, R</t>
  </si>
  <si>
    <t xml:space="preserve">Kumar, Shubham; Srivastava, Aman; Maity, Rajib</t>
  </si>
  <si>
    <t xml:space="preserve">Modeling climate change impacts on vector-borne disease using machine learning models: Case study of Visceral leishmaniasis (Kala-azar) from Indian state of Bihar</t>
  </si>
  <si>
    <t xml:space="preserve">Visceral leishmaniasis or Kala-azar (KA) is a Vector-Borne Disease (VBD) that remains the second-largest parasitic killer across the globe (mortality rate: 75-95%). More than 60% of KA cases originate in South Asia, wherein India accounts for 2/3rd of the cases, and Bihar, a state in India, alone accounts for more than 50% of the Indian cases. Past studies suspected climate change vulnerabilities as a driving cause of KA outbreaks. The VBDs-based epidemic prediction systems have been developed to mitigate recurrent outbreaks; however, Machine Learning (ML) based approaches still need to be explored for modeling changing climate impacts on KA cases. This study, for the first time, develops a Radial Basis Function (RBF) kernel-based Support Vector Regression (SVR), hereinafter RBF-kernel-based-SVR model for the most-affected endemic districts of Bihar (northern-India), using the data from 2016 and 2021. Forward selection, backward elimination, and stepwise regression procedures were adopted while selecting influential climatic variables, followed by the k-fold cross-validation technique and, then, the RBF-kernel-based-SVR algorithm for classification. Results suggested that temperature, wind speed, rainfall, and population density significantly contributed to the KA outbreaks. This study also developed Multiple Linear Regression (MLR) and Multilayer Perceptron (MLP) models to compare SVR with other classification models. Findings indicated that the proposed RBF-kernel-based-SVR model [Correlation Coefficient (CC) = 0.82, Root-Mean-Square Error (RMSE) = 12.20, and Nash-Sutcliffe Efficiency (NSE) = 0.66] outperformed MLR (0.81, 14.20, 0.48) and MLP (0.81, 12.95, 0.61). Study recommends using the RBF-kernel-based-SVR model as a quick and efficient model capable of detecting KA cases with high predictability even under limited data availability. Such models can assist public health authorities, given monitoring KA spread, learning the climate impacts of outbreaks, and ensuring timelier health services.</t>
  </si>
  <si>
    <t xml:space="preserve">EXPERT SYSTEMS WITH APPLICATIONS</t>
  </si>
  <si>
    <t xml:space="preserve">Endemic; Sandfly; Neglected Tropical Diseases; World Health Organization; Data mining; Disease mapping; Artificial Neural Networks; Vector control strategy; Healthcare</t>
  </si>
  <si>
    <t xml:space="preserve">VARIABLE SELECTION; PREDICTION; REGRESSION</t>
  </si>
  <si>
    <t xml:space="preserve">[Kumar, Shubham; Srivastava, Aman; Maity, Rajib] Indian Inst Technol IIT Kharagpur, Dept Civil Engn, Kharagpur 721302, West Bengal, India</t>
  </si>
  <si>
    <t xml:space="preserve">Indian Institute of Technology System (IIT System); Indian Institute of Technology (IIT) - Kharagpur</t>
  </si>
  <si>
    <t xml:space="preserve">Maity, R (corresponding author), Indian Inst Technol IIT Kharagpur, Dept Civil Engn, Kharagpur 721302, West Bengal, India.</t>
  </si>
  <si>
    <t xml:space="preserve">amansrivastava1397@kgpian.iitkgp.ac.in; rajib@civil.iitkgp.ac.in</t>
  </si>
  <si>
    <t xml:space="preserve">Maity, Rajib/AAP-9797-2020; Srivastava, Aman/HPH-0177-2023; Kumar, Shubham/HKO-2143-2023</t>
  </si>
  <si>
    <t xml:space="preserve">Srivastava, Aman/0000-0001-9253-3485; Maity, Rajib/0000-0001-5631-9553</t>
  </si>
  <si>
    <t xml:space="preserve">Space Application Center (SAC), Indian Space Research Organisation (ISRO), Ahmedabad [IIT/KCSTC/Chair/NEW/P/19-20/09]; European Centre for Medium-Range Weather Forecasts (ECMWF); National Vector Borne Disease Control Programme (NVBDCP), Patna, Bihar; Prime Minister's Research Fellowship under Ministry of Education, Government of India [PMRF/2401746/21CE91R03]</t>
  </si>
  <si>
    <t xml:space="preserve">Space Application Center (SAC), Indian Space Research Organisation (ISRO), Ahmedabad; European Centre for Medium-Range Weather Forecasts (ECMWF); National Vector Borne Disease Control Programme (NVBDCP), Patna, Bihar; Prime Minister's Research Fellowship under Ministry of Education, Government of India</t>
  </si>
  <si>
    <t xml:space="preserve">The study was partially supported by a project sponsored by Space Application Center (SAC), Indian Space Research Organisation (ISRO), Ahmedabad (Ref. No. IIT/KCSTC/Chair/NEW/P/19-20/09). The authors also acknowledge the European Centre for Medium-Range Weather Forecasts (ECMWF) and the National Vector Borne Disease Control Programme (NVBDCP), Patna, Bihar, for providing datasets to accomplish this research. The funding for the Research Scholar (Aman Srivastava) was supported by the Prime Minister's Research Fellowship (PMRF/2401746/21CE91R03) under the Ministry of Education, Government of India. Thanks are due to the Department of Civil Engineering, Indian Institute of Technology (IIT) Kharagpur, for providing laboratory-based support to facilitate modeling.</t>
  </si>
  <si>
    <t xml:space="preserve">0957-4174</t>
  </si>
  <si>
    <t xml:space="preserve">1873-6793</t>
  </si>
  <si>
    <t xml:space="preserve">EXPERT SYST APPL</t>
  </si>
  <si>
    <t xml:space="preserve">Expert Syst. Appl.</t>
  </si>
  <si>
    <t xml:space="preserve">MAR 1</t>
  </si>
  <si>
    <t xml:space="preserve">10.1016/j.eswa.2023.121490</t>
  </si>
  <si>
    <t xml:space="preserve">Computer Science, Artificial Intelligence; Engineering, Electrical &amp; Electronic; Operations Research &amp; Management Science</t>
  </si>
  <si>
    <t xml:space="preserve">Computer Science; Engineering; Operations Research &amp; Management Science</t>
  </si>
  <si>
    <t xml:space="preserve">U0PI5</t>
  </si>
  <si>
    <t xml:space="preserve">WOS:001081908500001</t>
  </si>
  <si>
    <t xml:space="preserve">B</t>
  </si>
  <si>
    <t xml:space="preserve">Altassan, KK; Morin, CW; Hess, JJ</t>
  </si>
  <si>
    <t xml:space="preserve">Altassan, Kholood K.; Morin, Cory W.; Hess, Jeremy J.</t>
  </si>
  <si>
    <t xml:space="preserve">Modeling the Role of Weather and Pilgrimage Variables on Dengue Fever Incidence in Saudi Arabia</t>
  </si>
  <si>
    <t xml:space="preserve">The first case of dengue fever (DF) in Saudi Arabia appeared in 1993 but by 2022, DF incidence was 11 per 100,000 people. Climatologic and population factors, such as the annual Hajj, likely contribute to DF's epidemiology in Saudi Arabia. In this study, we assess the impact of these variables on the DF burden of disease in Saudi Arabia and we attempt to create robust DF predictive models. Using 10 years of DF, weather, and pilgrimage data, we conducted a bivariate analysis investigating the role of weather and pilgrimage variables on DF incidence. We also compared the abilities of three different predictive models. Amongst weather variables, temperature and humidity had the strongest associations with DF incidence, while rainfall showed little to no significant relationship. Pilgrimage variables did not have strong associations with DF incidence. The random forest model had the highest predictive ability (R2 = 0.62) when previous DF data were withheld, and the ARIMA model was the best (R2 = 0.78) when previous DF data were incorporated. We found that a nonlinear machine-learning model incorporating temperature and humidity variables had the best prediction accuracy for DF, regardless of the availability of previous DF data. This finding can inform DF early warning systems and preparedness in Saudi Arabia.</t>
  </si>
  <si>
    <t xml:space="preserve">PATHOGENS</t>
  </si>
  <si>
    <t xml:space="preserve">dengue fever; Saudi Arabia; vector-borne disease; predictive models; machine learning</t>
  </si>
  <si>
    <t xml:space="preserve">JEDDAH; TRANSMISSION; TEMPERATURE; GUANGZHOU; CLIMATE</t>
  </si>
  <si>
    <t xml:space="preserve">[Altassan, Kholood K.] King Saud Univ, Dept Family &amp; Community Med, Riyadh 11421, Saudi Arabia; [Morin, Cory W.] Univ Washington, Dept Environm &amp; Occupat Hlth, Seattle, WA 98195 USA; [Hess, Jeremy J.] Univ Washington, Dept Emergency Med, Seattle, WA 98195 USA</t>
  </si>
  <si>
    <t xml:space="preserve">King Saud University; University of Washington; University of Washington Seattle; University of Washington; University of Washington Seattle</t>
  </si>
  <si>
    <t xml:space="preserve">Altassan, KK (corresponding author), King Saud Univ, Dept Family &amp; Community Med, Riyadh 11421, Saudi Arabia.</t>
  </si>
  <si>
    <t xml:space="preserve">akholood@ksu.edu.sa; cwmorin@uw.edu; jjhess@uw.edu</t>
  </si>
  <si>
    <t xml:space="preserve">altassan, Kholood/JMQ-0450-2023</t>
  </si>
  <si>
    <t xml:space="preserve">Altassan, Kholood/0009-0007-0520-3260; Hess, Jeremy/0000-0002-0440-2459</t>
  </si>
  <si>
    <t xml:space="preserve">Saudi Ministry of Health</t>
  </si>
  <si>
    <t xml:space="preserve">Saudi Ministry of Health(Ministry of Health - Saudi Arabia)</t>
  </si>
  <si>
    <t xml:space="preserve">We would like to acknowledge the support of the Saudi Ministry of Health for their cooperation in providing 10 years of electronic surveillance data for dengue fever.</t>
  </si>
  <si>
    <t xml:space="preserve">2076-0817</t>
  </si>
  <si>
    <t xml:space="preserve">10.3390/pathogens13030214</t>
  </si>
  <si>
    <t xml:space="preserve">MG5J9</t>
  </si>
  <si>
    <t xml:space="preserve">WOS:001192483400001</t>
  </si>
  <si>
    <t xml:space="preserve">Asif, S; Khan, SUR; Zheng, XL; Zhao, M</t>
  </si>
  <si>
    <t xml:space="preserve">Asif, Sohaib; Khan, Saif Ur Rehman; Zheng, Xiaolong; Zhao, Ming</t>
  </si>
  <si>
    <t xml:space="preserve">MozzieNet: A deep learning approach to efficiently detect malaria parasites in blood smear images</t>
  </si>
  <si>
    <t xml:space="preserve">Our study presents MozzieNet, a customized CNN model aimed at improving the identification of malaria parasites in blood smear microscopic images. By optimizing hyperparameters and incorporating techniques like data augmentation, batch normalization, and dropout, our model enhances robustness and generalization, addressing overfitting issues. Using the open-source NIH malaria dataset with 27,558 images, we achieve a classification accuracy of 96.73%, recall rate of 97.90%, precision of 95.67%, area under the curve (AUC) of 99.35%, and F1 score of 96.77%. We performed feature maps and Grad-CAM analysis on our proposed MozzieNet model to visualize and examine the targeted regions that are crucial for accurate predictions. Statistical analysis shows that the proposed architecture achieves promising performance and is superior to pre-trained models and existing methods for malaria detection. MozzieNet is designed for cloud and low-end smartphones, enabling malaria diagnosis in remote areas, thereby assisting physicians in informed malaria diagnosis and decision-making.</t>
  </si>
  <si>
    <t xml:space="preserve">computer-aided diagnosis; convolutional neural networks; deep learning; Grad-CAM; malaria detection; MozzieNet</t>
  </si>
  <si>
    <t xml:space="preserve">UPDATE</t>
  </si>
  <si>
    <t xml:space="preserve">[Asif, Sohaib; Khan, Saif Ur Rehman; Zhao, Ming] Cent South Univ, Sch Comp Sci &amp; Engn, Changsha, Peoples R China; [Zheng, Xiaolong] Xian Res Inst High Tech, Dept Comp Sci, Xian, Peoples R China</t>
  </si>
  <si>
    <t xml:space="preserve">Central South University; Rocket Force University of Engineering</t>
  </si>
  <si>
    <t xml:space="preserve">Asif, S (corresponding author), Cent South Univ, Sch Comp Sci &amp; Engn, Changsha, Peoples R China.</t>
  </si>
  <si>
    <t xml:space="preserve">punjabians1592@gmail.com</t>
  </si>
  <si>
    <t xml:space="preserve">Khan, Saif ur Rehman/JXM-3525-2024; Asif, Sohaib/JFB-3402-2023; Zhao, Xiaoli/KHU-6790-2024</t>
  </si>
  <si>
    <t xml:space="preserve">, Sohaib Asif/0000-0003-0526-3910; Asif, Dr. Sohaib/0000-0003-0707-470X</t>
  </si>
  <si>
    <t xml:space="preserve">10.1002/ima.22953</t>
  </si>
  <si>
    <t xml:space="preserve">AUG 2023</t>
  </si>
  <si>
    <t xml:space="preserve">KD0F6</t>
  </si>
  <si>
    <t xml:space="preserve">WOS:001050890500001</t>
  </si>
  <si>
    <t xml:space="preserve">Xiong, Z; Wu, J</t>
  </si>
  <si>
    <t xml:space="preserve">Xiong, Zhao; Wu, Jiang</t>
  </si>
  <si>
    <t xml:space="preserve">Multi-Level Attention Split Network: A Novel Malaria Cell Detection Algorithm</t>
  </si>
  <si>
    <t xml:space="preserve">Malaria is one of the major global health threats. Microscopic examination has been designated as the gold standard for malaria detection by the World Health Organization. However, it heavily relies on the experience of doctors, resulting in long diagnosis time, low efficiency, and a high risk of missed or misdiagnosed cases. To alleviate the pressure on healthcare workers and achieve automated malaria detection, numerous target detection models have been applied to the blood smear examination for malaria cells. This paper introduces the multi-level attention split network (MAS-Net) that improves the overall detection performance by addressing the issues of information loss for small targets and mismatch between the detection receptive field and target size. Therefore, we propose the split contextual attention structure (SPCot), which fully utilizes contextual information and avoids excessive channel compression operations, reducing information loss and improving the overall detection performance of malaria cells. In the shallow detection layer, we introduce the multi-scale receptive field detection head (MRFH), which better matches targets of different scales and provides a better detection receptive field, thus enhancing the performance of malaria cell detection. On the NLM-Malaria Dataset provided by the National Institutes of Health, the improved model achieves an average accuracy of 75.9% in the public dataset of Plasmodium vivax (malaria)-infected human blood smear. Considering the practical application of the model, we introduce the Performance-aware Approximation of Global Channel Pruning (PAGCP) to compress the model size while sacrificing a small amount of accuracy. Compared to other state-of-the-art (SOTA) methods, the proposed MAS-Net achieves competitive results.</t>
  </si>
  <si>
    <t xml:space="preserve">INFORMATION</t>
  </si>
  <si>
    <t xml:space="preserve">deep learning; YOLOv5; malaria detection; self-attention mechanism; detection head</t>
  </si>
  <si>
    <t xml:space="preserve">[Xiong, Zhao; Wu, Jiang] Zhejiang Sci Tech Univ, Sch Informat Sci &amp; Engn, Hangzhou 310018, Peoples R China</t>
  </si>
  <si>
    <t xml:space="preserve">Zhejiang Sci-Tech University</t>
  </si>
  <si>
    <t xml:space="preserve">Xiong, Z (corresponding author), Zhejiang Sci Tech Univ, Sch Informat Sci &amp; Engn, Hangzhou 310018, Peoples R China.</t>
  </si>
  <si>
    <t xml:space="preserve">202130504186@mails.zstu.edu.cn; wujiang@zstu.edu.cn</t>
  </si>
  <si>
    <t xml:space="preserve">Wu, Jiang/0000-0002-9079-6887</t>
  </si>
  <si>
    <t xml:space="preserve">Zhejiang 14th five-year graduate education reform project</t>
  </si>
  <si>
    <t xml:space="preserve">2078-2489</t>
  </si>
  <si>
    <t xml:space="preserve">Information</t>
  </si>
  <si>
    <t xml:space="preserve">10.3390/info15030166</t>
  </si>
  <si>
    <t xml:space="preserve">MG8D0</t>
  </si>
  <si>
    <t xml:space="preserve">WOS:001192554600001</t>
  </si>
  <si>
    <t xml:space="preserve">Zheng, JX; Zhu, HH; Xia, S; Qian, MB; Nguyen, HM; Sripa, B; Sayasone, S; Khieu, V; Bergquist, R; Zhou, XN</t>
  </si>
  <si>
    <t xml:space="preserve">Zheng, Jin-Xin; Zhu, Hui-Hui; Xia, Shang; Qian, Men-Bao; Nguyen, Hung Manh; Sripa, Banchob; Sayasone, Somphou; Khieu, Virak; Bergquist, Robert; Zhou, Xiao-Nong</t>
  </si>
  <si>
    <t xml:space="preserve">Natural variables separate the endemic areas of Clonorchis sinensis and Opisthorchis viverrini along a continuous, straight zone in Southeast Asia</t>
  </si>
  <si>
    <t xml:space="preserve">Background Clonorchiasis and opisthorchiasis, caused by the liver flukes Clonorchis sinensis and Opisthorchis viverrini respectively, represent significant neglected tropical diseases (NTDs) in Asia. The co-existence of these pathogens in overlapping regions complicates effective disease control strategies. This study aimed to clarify the distribution and interaction of these diseases within Southeast Asia. Methods We systematically collated occurrence records of human clonorchiasis (n = 1809) and opisthorchiasis (n = 731) across the Southeast Asia countries. Utilizing species distribution models incorporating environmental and climatic data, coupled machine learning algorithms with boosted regression trees, we predicted and distinguished endemic areas for each fluke species. Machine learning techniques, including geospatial analysis, were employed to delineate the boundaries between these flukes. Results Our analysis revealed that the endemic range of C. sinensis and O. viverrini in Southeast Asia primarily spans across part of China, Vietnam, Thailand, Laos, and Cambodia. During the period from 2000 to 2018, we identified C. sinensis infections in 84 distinct locations, predominantly in southern China (Guangxi Zhuang Autonomous Region) and northern Vietnam. In a stark contrast, O. viverrini was more widely distributed, with infections documented in 721 locations across Thailand, Laos, Cambodia, and Vietnam. Critical environmental determinants were quantitatively analyzed, revealing annual mean temperatures ranging between 14 and 20 C-degrees in clonorchiasis-endemic areas and 24-30 C-degrees in opisthorchiasis regions (P &lt; 0.05). The machine learning model effectively mapped a distinct demarcation zone, demonstrating a clear separation between the endemic areas of these two liver flukes with AUC from 0.9 to1. The study in Vietnam delineates the coexistence and geographical boundaries of C. sinensis and O. viverrini, revealing distinct endemic zones and a transitional area where both liver fluke species overlap. Conclusions Our findings highlight the critical role of specific climatic and environmental factors in influencing the geographical distribution of C. sinensis and O. viverrini. This spatial delineation offers valuable insights for integrated surveillance and control strategies, particularly in regions with sympatric transmission. The results underscore the need for tailored interventions, considering regional epidemiological variations. Future collaborations integrating eco-epidemiology, molecular epidemiology, and parasitology are essential to further elucidate the complex interplay of liver fluke distributions in Asia.</t>
  </si>
  <si>
    <t xml:space="preserve">INFECTIOUS DISEASES OF POVERTY</t>
  </si>
  <si>
    <t xml:space="preserve">Liver fluke; Clonorchiasis; Opisthorchiasis; Clonorchis sinensis; Opisthorchis viverrine; Southeast Asia; Machine learning; Ecological study</t>
  </si>
  <si>
    <t xml:space="preserve">LIVER FLUKES; PREVALENCE; INFECTION; VIETNAM; HOSTS</t>
  </si>
  <si>
    <t xml:space="preserve">[Zheng, Jin-Xin; Zhou, Xiao-Nong] Shanghai Jiao Tong Univ, Sch Med, Chinese Ctr Trop Dis Res, Sch Global Hlth, Shanghai 20025, Peoples R China; [Zheng, Jin-Xin; Zhou, Xiao-Nong] Shanghai Jiao Tong Univ, Univ Edinburgh, One Hlth Ctr, Shanghai 20025, Peoples R China; [Zheng, Jin-Xin; Zhu, Hui-Hui; Xia, Shang; Qian, Men-Bao; Zhou, Xiao-Nong] Chinese Ctr Dis Control &amp; Prevent, Natl Ctr Int Res Trop Dis, Chinese Ctr Trop Dis Res, WHO Collaborating Ctr Trop Dis,NHC Key Lab Parasi, Shanghai 200025, Peoples R China; [Nguyen, Hung Manh] Vietnam Acad Sci &amp; Technol, Grad Univ Sci &amp; Technol, Inst Ecol &amp; Biol Resources, 18 Hoang Quoc Viet St, Hanoi, Vietnam; [Sripa, Banchob] Khon Kaen Univ, Fac Med, WHO Collaborating Ctr Res &amp; Control Opisthorchias, Dept Trop Med,Trop Dis Res Lab, 123 Mittraparb Rd, Khon Kaen 40002, Thailand; [Sayasone, Somphou] Minist Hlth, Lao Trop &amp; Publ Hlth Inst, Viangchan, Laos; [Khieu, Virak] Minist Hlth, Natl Ctr Parasitol Entomol &amp; Malaria Control, Phnom Penh, Cambodia; [Bergquist, Robert] Ingerod, Brastad, Sweden; [Bergquist, Robert] WHO, UNICEF, UNDP, World Bank,WHO Special Programme Res &amp; Training, Geneva, Switzerland</t>
  </si>
  <si>
    <t xml:space="preserve">Shanghai Jiao Tong University; Shanghai Jiao Tong University; World Health Organization; Chinese Center for Disease Control &amp; Prevention; Shanghai Center for Disease Control &amp; Prevention; Vietnam Academy of Science &amp; Technology (VAST); Khon Kaen University; National Center Parasitology, Entomology &amp; Malaria Control; World Health Organization; The World Bank</t>
  </si>
  <si>
    <t xml:space="preserve">Zhou, XN (corresponding author), Shanghai Jiao Tong Univ, Sch Med, Chinese Ctr Trop Dis Res, Sch Global Hlth, Shanghai 20025, Peoples R China.;Zhou, XN (corresponding author), Shanghai Jiao Tong Univ, Univ Edinburgh, One Hlth Ctr, Shanghai 20025, Peoples R China.;Zhou, XN (corresponding author), Chinese Ctr Dis Control &amp; Prevent, Natl Ctr Int Res Trop Dis, Chinese Ctr Trop Dis Res, WHO Collaborating Ctr Trop Dis,NHC Key Lab Parasi, Shanghai 200025, Peoples R China.</t>
  </si>
  <si>
    <t xml:space="preserve">zhouxn1@chinacdc.cn</t>
  </si>
  <si>
    <t xml:space="preserve">Zhou, Xiao-Nong/0000-0003-1417-8427</t>
  </si>
  <si>
    <t xml:space="preserve">National Key Research and Development Program of China; Western Pacific Office of the World Health Organization</t>
  </si>
  <si>
    <t xml:space="preserve">National Key Research and Development Program of China(National Key Research &amp; Development Program of China); Western Pacific Office of the World Health Organization</t>
  </si>
  <si>
    <t xml:space="preserve">We are grateful to experts from the National Institute of Parasitic Diseases at the Chinese Center for Disease Control and Prevention for their valuable insights and resources. Additionally, we would like to acknowledge the Western Pacific Office of the World Health Organization, particularly the NTD department, for their support and guidance throughout this project. The collaboration and assistance provided by all these individuals and institutions have been instrumental in the successful completion of our research.</t>
  </si>
  <si>
    <t xml:space="preserve">2095-5162</t>
  </si>
  <si>
    <t xml:space="preserve">2049-9957</t>
  </si>
  <si>
    <t xml:space="preserve">INFECT DIS POVERTY</t>
  </si>
  <si>
    <t xml:space="preserve">Infect. Dis. Poverty</t>
  </si>
  <si>
    <t xml:space="preserve">MAR 12</t>
  </si>
  <si>
    <t xml:space="preserve">10.1186/s40249-024-01191-7</t>
  </si>
  <si>
    <t xml:space="preserve">LA1R7</t>
  </si>
  <si>
    <t xml:space="preserve">WOS:001183967000001</t>
  </si>
  <si>
    <t xml:space="preserve">Dorsey, MA; Dsouza, K; Ranganath, D; Harris, JS; Lane, TR; Urbina, F; Ekins, S</t>
  </si>
  <si>
    <t xml:space="preserve">Dorsey, Matthew A.; Dsouza, Kelvin; Ranganath, Dhruv; Harris, Joshua S.; Lane, Thomas R.; Urbina, Fabio; Ekins, Sean</t>
  </si>
  <si>
    <t xml:space="preserve">Near-Term Quantum Classification Algorithms Applied to Antimalarial Drug Discovery</t>
  </si>
  <si>
    <t xml:space="preserve">Computational approaches are widely applied in drug discovery to explore properties related to bioactivity, physiochemistry, and toxicology. Over at least the last 20 years, the exploitation of machine learning on molecular data sets has been used to understand the structure-activity relationships that exist between biomolecules and druggable targets. More recently, these methods have also seen application for phenotypic screening data for neglected diseases such as tuberculosis and malaria. Herein, we apply machine learning to build quantum Quantitative Structure Activity Relationship models from antimalarial data sets. There is a continual need for new antimalarials to address drug resistance, and the readily available in vitro data sets could be utilized with newer machine learning approaches as these develop. Furthermore, quantum machine learning is a relatively new method that uses a quantum computer to perform the calculations. First, we present a classical-quantum hybrid computational approach by building a Latent Bernoulli Autoencoder machine learning model for compressing bit-vector descriptors to a size that can be adapted to quantum computers for classification tasks with limited loss of embedded information. Second, we apply our method for feature map compression to quantum classification algorithms, including a completely novel machine learning algorithm with no analogy in classical computers: the Quantum Fourier Transform Classifier. We apply both these approaches to build quantum machine learning models for small-molecule antimalarials with quantum simulation software and then benchmark these quantum models against classical machine learning approaches. While there are many challenges currently facing the development of reliable quantum computers, our results demonstrate that there is potential for the use of this technology in the field of drug discovery.</t>
  </si>
  <si>
    <t xml:space="preserve">JOURNAL OF CHEMICAL INFORMATION AND MODELING</t>
  </si>
  <si>
    <t xml:space="preserve">MACHINE; MALARIA</t>
  </si>
  <si>
    <t xml:space="preserve">[Dorsey, Matthew A.] North Carolina State Univ, Chem &amp; Biomol Engn, Raleigh, NC 27606 USA; [Dsouza, Kelvin] North Carolina State Univ, Elect &amp; Comp Engn, Raleigh, NC 27606 USA; [Ranganath, Dhruv] Univ North Carolina Chapel Hill, Biomed Engn, Chapel Hill, NC 27514 USA; [Harris, Joshua S.; Lane, Thomas R.; Urbina, Fabio; Ekins, Sean] Collaborat Pharmaceut Inc, Raleigh, NC 27606 USA</t>
  </si>
  <si>
    <t xml:space="preserve">North Carolina State University; North Carolina State University; University of North Carolina School of Medicine; University of North Carolina; University of North Carolina Chapel Hill</t>
  </si>
  <si>
    <t xml:space="preserve">Ekins, S (corresponding author), Collaborat Pharmaceut Inc, Raleigh, NC 27606 USA.</t>
  </si>
  <si>
    <t xml:space="preserve">sean@collaborationspharma.com</t>
  </si>
  <si>
    <t xml:space="preserve">Dorsey, Matthew/0000-0002-5540-3590; Lane, Thomas/0000-0001-9240-4763</t>
  </si>
  <si>
    <t xml:space="preserve">NIH from NIGMS [2R44GM122196-04A1]; NIH from NIEHS [2R44ES031038-02A1]</t>
  </si>
  <si>
    <t xml:space="preserve">NIH from NIGMS; NIH from NIEHS</t>
  </si>
  <si>
    <t xml:space="preserve">We kindly acknowledge NIH funding: 2R44GM122196-04A1 from NIGMS and 2R44ES031038-02A1 from NIEHS. We kindly acknowledge the computing resources provided by North Carolina State University High Performance Computing Services Core Facility (RRID:SCR_022168).</t>
  </si>
  <si>
    <t xml:space="preserve">1549-9596</t>
  </si>
  <si>
    <t xml:space="preserve">1549-960X</t>
  </si>
  <si>
    <t xml:space="preserve">J CHEM INF MODEL</t>
  </si>
  <si>
    <t xml:space="preserve">J. Chem Inf. Model.</t>
  </si>
  <si>
    <t xml:space="preserve">JUL 16</t>
  </si>
  <si>
    <t xml:space="preserve">10.1021/acs.jcim.4c00953</t>
  </si>
  <si>
    <t xml:space="preserve">Chemistry, Medicinal; Chemistry, Multidisciplinary; Computer Science, Information Systems; Computer Science, Interdisciplinary Applications</t>
  </si>
  <si>
    <t xml:space="preserve">Pharmacology &amp; Pharmacy; Chemistry; Computer Science</t>
  </si>
  <si>
    <t xml:space="preserve">C4P7V</t>
  </si>
  <si>
    <t xml:space="preserve">WOS:001271981100001</t>
  </si>
  <si>
    <t xml:space="preserve">Neto, RRD; Dorilêo, GB; Mendonça, ACDF; Damazo, AS</t>
  </si>
  <si>
    <t xml:space="preserve">Neto, Roque Rafael de Oliveira; Dorileo, Gabriela Belmonte; Mendonca, Ana Carolina da Silva Ferreira; Damazo, Amilcar Sabino</t>
  </si>
  <si>
    <t xml:space="preserve">Neural leprosy investigation using electroneuromyography and the ML Flow rapid test: a case report</t>
  </si>
  <si>
    <t xml:space="preserve">Neural leprosy, which is characterized by nerve involvement without visible skin lesions, presents a diagnostic challenge. This case report examined the significance of diverse diagnostic modalities in the identification of pure neural leprosy. A 28-year-old patient with symptoms of edema, pain, paresthesia, and diminished sensitivity in the lower limbs underwent various tests. A stilt skin smear yielded negative results on bacilloscopy, whereas a Fast ML Flow leprosy test and electroneuromyography supported the diagnosis. This discussion highlights the importance of accessible methods for early investigation. This study emphasizes the multidisciplinary approach and value of the Fast ML Flow leprosy test and electroneuromyography for diagnosing neural leprosy.</t>
  </si>
  <si>
    <t xml:space="preserve">REVISTA DA SOCIEDADE BRASILEIRA DE MEDICINA TROPICAL</t>
  </si>
  <si>
    <t xml:space="preserve">SOC BRASILEIRA MEDICINA TROPICAL</t>
  </si>
  <si>
    <t xml:space="preserve">Bacilloscopy; Electroneuromyography; Serology</t>
  </si>
  <si>
    <t xml:space="preserve">[Neto, Roque Rafael de Oliveira; Damazo, Amilcar Sabino] Univ Fed Mato Grosso, Fac Med, Programa Posgrad Ciencias Saude, Cuiaba, MT, Brazil; [Neto, Roque Rafael de Oliveira] Inst Dermatol, Clin Idea, Cuiaba, MT, Brazil; [Dorileo, Gabriela Belmonte] Secretaria Municipal Saude Nova Mutum, Nova Mutum, MT, Brazil; [Mendonca, Ana Carolina da Silva Ferreira] Clin Neurofisiol &amp; Reabilitacao Ltda, Cuiaba, MT, Brazil; [Damazo, Amilcar Sabino] Univ Fed Mato Grosso, Fac Med, Dept Ciencias Basicas Saude, Cuiaba, MT, Brazil</t>
  </si>
  <si>
    <t xml:space="preserve">Universidade Federal de Mato Grosso; Universidade Federal de Mato Grosso</t>
  </si>
  <si>
    <t xml:space="preserve">Damazo, AS (corresponding author), Univ Fed Mato Grosso, Fac Med, Programa Posgrad Ciencias Saude, Cuiaba, MT, Brazil.;Damazo, AS (corresponding author), Univ Fed Mato Grosso, Fac Med, Dept Ciencias Basicas Saude, Cuiaba, MT, Brazil.</t>
  </si>
  <si>
    <t xml:space="preserve">amilcar.damazo@ufmt.br</t>
  </si>
  <si>
    <t xml:space="preserve">Damazo, Amilcar Sabino/B-6659-2014</t>
  </si>
  <si>
    <t xml:space="preserve">Damazo, Amilcar Sabino/0000-0003-2323-008X</t>
  </si>
  <si>
    <t xml:space="preserve">BRASILIA</t>
  </si>
  <si>
    <t xml:space="preserve">UNIV BRASILIA, NUCLEO MEDICINA TROPICAL E NUTRICAO, CAIXA POSTAL 4356, BRASILIA, DF 70919-970, BRAZIL</t>
  </si>
  <si>
    <t xml:space="preserve">0037-8682</t>
  </si>
  <si>
    <t xml:space="preserve">REV SOC BRAS MED TRO</t>
  </si>
  <si>
    <t xml:space="preserve">e008022024</t>
  </si>
  <si>
    <t xml:space="preserve">10.1590/0037-8682-0586-2023</t>
  </si>
  <si>
    <t xml:space="preserve">JJ9X4</t>
  </si>
  <si>
    <t xml:space="preserve">WOS:001172928600001</t>
  </si>
  <si>
    <t xml:space="preserve">Turon, G; Tse, E; Qiu, X; Todd, M; Duran-Frigola, M</t>
  </si>
  <si>
    <t xml:space="preserve">Turon, Gemma; Tse, Edwin; Qiu, Xin; Todd, Matthew; Duran-Frigola, Miquel</t>
  </si>
  <si>
    <t xml:space="preserve">Open Source Code Contributions to Global Health: The Case of Antimalarial Drug Discovery</t>
  </si>
  <si>
    <t xml:space="preserve">The discovery of treatments for infectious diseases that affect the poorest countries has been stagnant for decades. As long as expected returns on investment remain low, pharmaceutical companies' lack of interest in this disease area must be compensated for with collaborative efforts from the public sector. New approaches to drug discovery, inspired by the open source philosophy prevalent in software development, offer a platform for experts from diverse backgrounds to contribute their skills, enhancing reproducibility, progress tracking, and public discussion. Here, we present the first efforts of Ersilia, an initiative focused on attracting data scientists into contributing to global health, toward meeting the goals of Open Source Malaria, a consortium of medicinal chemists investigating antimalarial compounds using a purely open science approach. We showcase the chemical space exploration of a set of triazolopyrazine compounds with potent antiplasmodial activity and discuss how open source practices can serve as a common ground to make drug discovery more inclusive and participative.</t>
  </si>
  <si>
    <t xml:space="preserve">Open Source; Drug Discovery; Malaria; Artificial Intelligence; Machine Learning</t>
  </si>
  <si>
    <t xml:space="preserve">[Turon, Gemma; Duran-Frigola, Miquel] Ersilia Open Source Initiat, Barcelona 08039, Spain; [Tse, Edwin; Qiu, Xin; Todd, Matthew] UCL, Sch Pharm, London WC1N 1AX, England</t>
  </si>
  <si>
    <t xml:space="preserve">University of London; University College London; University of London School of Pharmacy</t>
  </si>
  <si>
    <t xml:space="preserve">Duran-Frigola, M (corresponding author), Ersilia Open Source Initiat, Barcelona 08039, Spain.</t>
  </si>
  <si>
    <t xml:space="preserve">miquel@ersilia.io</t>
  </si>
  <si>
    <t xml:space="preserve">; Todd, Matthew/S-2678-2018</t>
  </si>
  <si>
    <t xml:space="preserve">qiu, xin/0000-0002-2559-9780; Todd, Matthew/0000-0001-7096-4751</t>
  </si>
  <si>
    <t xml:space="preserve">Rosetrees Seedcorn Award [Seedcorn2021/100263]</t>
  </si>
  <si>
    <t xml:space="preserve">Rosetrees Seedcorn Award</t>
  </si>
  <si>
    <t xml:space="preserve">This work has been supported by the Rosetrees Seedcorn Award (Seedcorn2021/100263). We thank Joan Garriga and the CBLab at CEAB (Blanes, Spain) for contributing to the chemical space visualisation of our S4 compounds. G.T. is thankful to the Software Sustainability Institute Fellowship for the community discussions around research software engineering. The authors are grateful to the Ersilia and OSM communities for their enthusiasm and contributions.</t>
  </si>
  <si>
    <t xml:space="preserve">AUG 1</t>
  </si>
  <si>
    <t xml:space="preserve">10.1021/acsmedchemlett.4c00131</t>
  </si>
  <si>
    <t xml:space="preserve">F6E2I</t>
  </si>
  <si>
    <t xml:space="preserve">WOS:001282970200001</t>
  </si>
  <si>
    <t xml:space="preserve">Li, YT; Cardoso-Silva, J; Kelly, JM; Delves, MJ; Furnham, N; Papageorgiou, LG; Tsoka, S</t>
  </si>
  <si>
    <t xml:space="preserve">Li, Yutong; Cardoso-Silva, Jonathan; Kelly, John M.; Delves, Michael J.; Furnham, Nicholas; Papageorgiou, Lazaros G.; Tsoka, Sophia</t>
  </si>
  <si>
    <t xml:space="preserve">Optimisation-based modelling for explainable lead discovery in malaria</t>
  </si>
  <si>
    <t xml:space="preserve">Background: The search for new antimalarial treatments is urgent due to growing resistance to existing therapies. The Open Source Malaria (OSM) project offers a promising starting point, having extensively screened various compounds for their effectiveness. Further analysis of the chemical space surrounding these compounds could provide the means for innovative drugs.Methods: We report an optimisation-based method for quantitative structure-activity relationship (QSAR) modelling that provides explainable modelling of ligand activity through a mathematical programming formulation. The methodology is based on piecewise regression principles and offers optimal detection of breakpoint features, efficient allocation of samples into distinct sub-groups based on breakpoint feature values, and insightful regression coefficients. Analysis of OSM antimalarial compounds yields interpretable results through rules generated by the model that reflect the contribution of individual fingerprint fragments in ligand activity prediction. Using knowledge of fragment prioritisation and screening of commercially available compound libraries, potential lead compounds for antimalarials are identified and evaluated experimentally via a Plasmodium falciparum asexual growth inhibition assay (PfGIA) and a human cell cytotoxicity assay.Conclusions: Three compounds are identified as potential leads for antimalarials using the methodology described above. This work illustrates how explainable predictive models based on mathematical optimisation can pave the way towards more efficient fragment-based lead discovery as applied in malaria</t>
  </si>
  <si>
    <t xml:space="preserve">ARTIFICIAL INTELLIGENCE IN MEDICINE</t>
  </si>
  <si>
    <t xml:space="preserve">Quantitative Structure-Activity Relationship (QSAR); Mathematical optimisation; Piecewise linear regression; Drug discovery; Malaria; Machine learning</t>
  </si>
  <si>
    <t xml:space="preserve">COMMUNITY STRUCTURE; DRUG DISCOVERY; ANTIMALARIAL; VALIDATION; MODULARITY; FALCIPARUM</t>
  </si>
  <si>
    <t xml:space="preserve">[Li, Yutong; Tsoka, Sophia] Kings Coll London, Dept Informat, Bush House, London WC2B 4BG, England; [Cardoso-Silva, Jonathan] London Sch Econ &amp; Polit Sci, Data Sci Inst, Houghton St, London WC2A 2AE, England; [Kelly, John M.; Delves, Michael J.; Furnham, Nicholas] London Sch Hyg &amp; Trop Med, Dept Infect Biol, Keppel St, London WC1E 7HT, England; [Papageorgiou, Lazaros G.] UCL, Sargent Ctr Proc Syst Engn, Dept Chem Engn, Torrington Pl, London WC1E 7JE, England</t>
  </si>
  <si>
    <t xml:space="preserve">University of London; King's College London; University of London; London School Economics &amp; Political Science; University of London; London School of Hygiene &amp; Tropical Medicine; University of London; University College London</t>
  </si>
  <si>
    <t xml:space="preserve">Tsoka, S (corresponding author), Kings Coll London, Dept Informat, Bush House, London WC2B 4BG, England.</t>
  </si>
  <si>
    <t xml:space="preserve">sophia.tsoka@kcl.ac.uk</t>
  </si>
  <si>
    <t xml:space="preserve">Cardoso Silva, Jonathan/ADG-0339-2022; Papageorgiou, Lazaros/L-2122-2013</t>
  </si>
  <si>
    <t xml:space="preserve">Delves, Michael/0000-0001-8526-4782; Papageorgiou, Lazaros/0000-0003-4652-6086; Tsoka, Sophia/0000-0001-8403-1282; Furnham, Nicholas/0000-0002-7532-1269; Cardoso Silva, Jonathan/0000-0002-9566-7400; Li, Yutong/0000-0003-4420-4518</t>
  </si>
  <si>
    <t xml:space="preserve">China Scholarship Council; EPSRC, United Kingdom [EP/V01479X/1, EP/V051008/1]; Medical Research Council UK [MR/T000171/1]; Medical Research Council Career Development Award [MR/V010034/1]; COVID [EP/V01479X/1] Funding Source: UKRI; EPSRC [EP/V051008/1] Funding Source: UKRI; MRC [MR/T000171/1, MR/V010034/1] Funding Source: UKRI</t>
  </si>
  <si>
    <t xml:space="preserve">China Scholarship Council(China Scholarship Council); EPSRC, United Kingdom(UK Research &amp; Innovation (UKRI)Engineering &amp; Physical Sciences Research Council (EPSRC)); Medical Research Council UK(UK Research &amp; Innovation (UKRI)Medical Research Council UK (MRC)); Medical Research Council Career Development Award(UK Research &amp; Innovation (UKRI)Medical Research Council UK (MRC)); COVID(UK Research &amp; Innovation (UKRI)); EPSRC(UK Research &amp; Innovation (UKRI)Engineering &amp; Physical Sciences Research Council (EPSRC)); MRC(UK Research &amp; Innovation (UKRI)Medical Research Council UK (MRC))</t>
  </si>
  <si>
    <t xml:space="preserve">We acknowledge the open and collaborative research effort of Open Source Malaria without which this study would not have been possible. Yutong Li is supported by the China Scholarship Council. Lazaros G. Papageorgiou acknowledges funding from EPSRC, United Kingdom (EP/V01479X/1, EP/V051008/1). Nicholas Furnham is funded by the Medical Research Council UK (Grant no. MR/T000171/1). Michael J. Delves is supported by a Medical Research Council Career Development Award (MR/V010034/1).</t>
  </si>
  <si>
    <t xml:space="preserve">0933-3657</t>
  </si>
  <si>
    <t xml:space="preserve">1873-2860</t>
  </si>
  <si>
    <t xml:space="preserve">ARTIF INTELL MED</t>
  </si>
  <si>
    <t xml:space="preserve">10.1016/j.artmed.2023.102700</t>
  </si>
  <si>
    <t xml:space="preserve">Computer Science, Artificial Intelligence; Engineering, Biomedical; Medical Informatics</t>
  </si>
  <si>
    <t xml:space="preserve">Computer Science; Engineering; Medical Informatics</t>
  </si>
  <si>
    <t xml:space="preserve">CW7Q0</t>
  </si>
  <si>
    <t xml:space="preserve">Green Published, Green Accepted, Green Submitted, hybrid</t>
  </si>
  <si>
    <t xml:space="preserve">WOS:001128340400001</t>
  </si>
  <si>
    <t xml:space="preserve">Luo, Z; Huang, C; Chen, JL; Chen, YH; Yang, HY; Wu, QF; Lu, FT; Zhang, TE</t>
  </si>
  <si>
    <t xml:space="preserve">Luo, Zheng; Huang, Cong; Chen, Jilan; Chen, Yunhui; Yang, Hongya; Wu, Qiaofeng; Lu, Fating; Zhang, Tian E.</t>
  </si>
  <si>
    <t xml:space="preserve">Potential diagnostic markers and therapeutic targets for non-alcoholic fatty liver disease and ulcerative colitis based on bioinformatics analysis and machine learning</t>
  </si>
  <si>
    <t xml:space="preserve">Background Non-alcoholic fatty liver disease (NAFLD) and ulcerative colitis (UC) are two common health issues that have gained significant global attention. Previous studies have suggested a possible connection between NAFLD and UC, but the underlying pathophysiology remains unclear. This study investigates common genes, underlying pathogenesis mechanisms, identification of diagnostic markers applicable to both conditions, and exploration of potential therapeutic targets shared by NAFLD and UC.Methods We obtained datasets for NAFLD and UC from the GEO database. The DEGs in the GSE89632 dataset of the NAFLD and GSE87466 of the UC dataset were analyzed. WGCNA, a powerful tool for identifying modules of highly correlated genes, was employed for both datasets. The DEGs of NAFLD and UC and the modular genes were then intersected to obtain shared genes. Functional enrichment analysis was conducted on these shared genes. Next, we utilize the STRING database to establish a PPI network. To enhance visualization, we employ Cytoscape software. Subsequently, the Cytohubba algorithm within Cytoscape was used to identify central genes. Diagnostic biomarkers were initially screened using LASSO regression and SVM methods. The diagnostic value of ROC curve analysis was assessed to detect diagnostic genes in both training and validation sets for NAFLD and UC. A nomogram was also developed to evaluate diagnostic efficacy. Additionally, we used the CIBERSORT algorithm to explore immune infiltration patterns in both NAFLD and UC samples. Finally, we investigated the correlation between hub gene expression, diagnostic gene expression, and immune infiltration levels.Results We identified 34 shared genes that were found to be associated with both NAFLD and UC. These genes were subjected to enrichment analysis, which revealed significant enrichment in several pathways, including the IL-17 signaling pathway, Rheumatoid arthritis, and Chagas disease. One optimal candidate gene was selected through LASSO regression and SVM: CCL2. The ROC curve confirmed the presence of CCL2 in both the NAFLD and UC training sets and other validation sets. This finding was further validated using a nomogram in the validation set. Additionally, the expression levels of CCL2 for NAFLD and UC showed a significant correlation with immune cell infiltration.Conclusion This study identified a gene (CCL2) as a biomarker for NAFLD and UC, which may actively participate in the progression of NAFLD and UC. This discovery holds significant implications for understanding the progression of these diseases and potentially developing more effective diagnostic and treatment strategies.</t>
  </si>
  <si>
    <t xml:space="preserve">bioinformatics; non-alcoholic fatty liver disease; ulcerative colitis; machine learning; diagnosis; immune infiltration</t>
  </si>
  <si>
    <t xml:space="preserve">MACROPHAGE INFILTRATION; MCP-1; INHIBITION; PREVALENCE; EXPRESSION; CCL2</t>
  </si>
  <si>
    <t xml:space="preserve">[Luo, Zheng; Huang, Cong; Chen, Jilan; Chen, Yunhui; Yang, Hongya; Wu, Qiaofeng; Lu, Fating; Zhang, Tian E.] Chengdu Univ Tradit Chinese Med, Chengdu, Peoples R China; [Huang, Cong; Chen, Jilan; Zhang, Tian E.] Sichuan Univ, Chengdu Univ TCM, Key Biol Lab TCM Viscera Manifestat Res, Chinese Med Ctr, Chengdu, Peoples R China</t>
  </si>
  <si>
    <t xml:space="preserve">Chengdu University of Traditional Chinese Medicine; Chengdu University of Traditional Chinese Medicine; Sichuan University</t>
  </si>
  <si>
    <t xml:space="preserve">Lu, FT; Zhang, TE (corresponding author), Chengdu Univ Tradit Chinese Med, Chengdu, Peoples R China.;Zhang, TE (corresponding author), Sichuan Univ, Chengdu Univ TCM, Key Biol Lab TCM Viscera Manifestat Res, Chinese Med Ctr, Chengdu, Peoples R China.</t>
  </si>
  <si>
    <t xml:space="preserve">lft922@hotmail.com; zhte2003@cdutcm.edu.cn</t>
  </si>
  <si>
    <t xml:space="preserve">WU, QIAOFENG/AAE-5945-2019</t>
  </si>
  <si>
    <t xml:space="preserve">Key Research and Development Program of Science and Technology Department of Sichuan Province [2023YFS0333]; Innovative Research Team Project on kidney brain related of Zang in TCM in biology from Chengdu University of TCM [2023]</t>
  </si>
  <si>
    <t xml:space="preserve">Key Research and Development Program of Science and Technology Department of Sichuan Province; Innovative Research Team Project on kidney brain related of Zang in TCM in biology from Chengdu University of TCM</t>
  </si>
  <si>
    <t xml:space="preserve">The author(s) declare that financial support was received for the research, authorship, and/or publication of this article. This study was supported by the Key Research and Development Program of Science and Technology Department of Sichuan Province (grant number 2023YFS0333) and the Innovative Research Team Project on kidney brain related of Zang in TCM in biology from Chengdu University of TCM (2023).</t>
  </si>
  <si>
    <t xml:space="preserve">NOV 6</t>
  </si>
  <si>
    <t xml:space="preserve">10.3389/fmed.2024.1323859</t>
  </si>
  <si>
    <t xml:space="preserve">M5O4F</t>
  </si>
  <si>
    <t xml:space="preserve">WOS:001358026000001</t>
  </si>
  <si>
    <t xml:space="preserve">Zhang, XD; Lv, ZL; Dai, JJ; Ke, YW; Chen, XY; Hu, Y</t>
  </si>
  <si>
    <t xml:space="preserve">Zhang, Xuedong; Lv, Zelan; Dai, Jianjun; Ke, Yongwen; Chen, Xinyue; Hu, Yi</t>
  </si>
  <si>
    <t xml:space="preserve">Precision mapping of snail habitat in lake and marshland areas: Integrating environmental and textural indicators using Random Forest modeling</t>
  </si>
  <si>
    <t xml:space="preserve">Schistosomiasis japonica continues to pose a significant public health challenge in China, primarily due to the widespread distribution of Oncomelania hupensis, the sole intermediate host of Schistosoma. This study aims to address the constraints of existing remote sensing analyses for identifying snail habitats, which frequently neglect spatial scale and seasonal variations. To this end, we adopt a multi-source data-driven Random Forest approach that integrates bottomland and ground-surface texture data with traditional environmental variables, enhancing the accuracy of snail habitat assessments. We developed four distinct models for the lake and marshland areas of Guichi, China: a baseline model incorporating ground-surface texture, bottomland variables, and environmental variables; Model 1 with only environmental variables; Model 2 adding ground-surface texture and environmental variables; and Model 3 integrating bottomland with environmental variables. The baseline model outperformed the others, achieving a true skill statistic of 0.93, an accuracy of 0.97, a kappa statistic of 0.94, and an area under the curve of 0.99. Our analysis pinpointed critical high-risk snail habitats distributed in a belt-like pattern along major water bodies, near the Yangtze River, QiuPu River, and around Shengjin Lake, Jiuhua River, and Qingtong River. These insights can aid local health authorities in more efficiently allocating limited resources, developing effective snail surveillance and control strategies to combat schistosomiasis. Additionally, this approach can be adapted to localize other endemic hosts with similar ecological characteristics.</t>
  </si>
  <si>
    <t xml:space="preserve">Multi-source data; Schistosomiasis; Potential risk area; Machine learning; Recognition</t>
  </si>
  <si>
    <t xml:space="preserve">ONCOMELANIA-HUPENSIS; CHINA; RISK; SURVEILLANCE; SPREAD; KAPPA</t>
  </si>
  <si>
    <t xml:space="preserve">[Zhang, Xuedong; Lv, Zelan] Beijing Univ Civil Engn &amp; Architecture, Sch Geomat &amp; Urban Spatial Informat, Beijing 102627, Peoples R China; [Zhang, Xuedong] Beijing Key Lab Urban Spatial Informat Engn, Beijing 100038, Peoples R China; [Dai, Jianjun; Ke, Yongwen] Schistosomiasis Stn Prevent &amp; Control Guichi Dist, Hefei 247100, Anhui, Peoples R China; [Chen, Xinyue; Hu, Yi] Fudan Univ, Sch Publ Hlth, Dept Epidemiol, Shanghai 200032, Peoples R China; [Chen, Xinyue; Hu, Yi] Fudan Univ, Minist Educ, Key Lab Publ Hlth &amp; Safety, Shanghai 200032, Peoples R China; [Chen, Xinyue; Hu, Yi] Fudan Univ, Sch Publ Hlth, Lab Spatial Anal &amp; Modeling, Shanghai 200032, Peoples R China</t>
  </si>
  <si>
    <t xml:space="preserve">Beijing University of Civil Engineering &amp; Architecture; Fudan University; Fudan University; Fudan University</t>
  </si>
  <si>
    <t xml:space="preserve">Hu, Y (corresponding author), Fudan Univ, Sch Publ Hlth, Dept Epidemiol, Shanghai 200032, Peoples R China.;Hu, Y (corresponding author), Fudan Univ, Minist Educ, Key Lab Publ Hlth &amp; Safety, Shanghai 200032, Peoples R China.;Hu, Y (corresponding author), Fudan Univ, Sch Publ Hlth, Lab Spatial Anal &amp; Modeling, Shanghai 200032, Peoples R China.</t>
  </si>
  <si>
    <t xml:space="preserve">huyi@fudan.edu.cn</t>
  </si>
  <si>
    <t xml:space="preserve">Zhang, Xuedong/ABB-6243-2020</t>
  </si>
  <si>
    <t xml:space="preserve">Beijing Key Laboratory of Urban Spatial Information Engineering [20230101]; National Natural Science Foundation of China [81773487]</t>
  </si>
  <si>
    <t xml:space="preserve">Beijing Key Laboratory of Urban Spatial Information Engineering; National Natural Science Foundation of China(National Natural Science Foundation of China (NSFC))</t>
  </si>
  <si>
    <t xml:space="preserve">This work is primarily being funded by Beijing Key Laboratory of Urban Spatial Information Engineering (NO. 20230101) and National Natural Science Foundation of China (NO. 81773487) .</t>
  </si>
  <si>
    <t xml:space="preserve">AUG 30</t>
  </si>
  <si>
    <t xml:space="preserve">e36300</t>
  </si>
  <si>
    <t xml:space="preserve">10.1016/j.heliyon.2024.e36300</t>
  </si>
  <si>
    <t xml:space="preserve">E0X9W</t>
  </si>
  <si>
    <t xml:space="preserve">WOS:001300333900001</t>
  </si>
  <si>
    <t xml:space="preserve">Tian, N; Zheng, JX; Li, LH; Xue, JB; Xia, S; Lv, S; Zhou, XN</t>
  </si>
  <si>
    <t xml:space="preserve">Tian, Na; Zheng, Jin-Xin; Li, Lan-Hua; Xue, Jing-Bo; Xia, Shang; Lv, Shan; Zhou, Xiao-Nong</t>
  </si>
  <si>
    <t xml:space="preserve">Precision Prediction for Dengue Fever in Singapore: A Machine Learning Approach Incorporating Meteorological Data</t>
  </si>
  <si>
    <t xml:space="preserve">Objective: This study aimed to improve dengue fever predictions in Singapore using a machine learning model that incorporates meteorological data, addressing the current methodological limitations by examining the intricate relationships between weather changes and dengue transmission. Method: Using weekly dengue case and meteorological data from 2012 to 2022, the data was preprocessed and analyzed using various machine learning algorithms, including General Linear Model (GLM), Support Vector Machine (SVM), Gradient Boosting Machine (GBM), Decision Tree (DT), Random Forest (RF), and eXtreme Gradient Boosting (XGBoost) algorithms. Performance metrics such as Mean Absolute Error (MAE), Root Mean Square Error (RMSE), and R-squared (R2) were employed. Results: From 2012 to 2022, there was a total of 164,333 cases of dengue fever. Singapore witnessed a fluctuating number of dengue cases, peaking notably in 2020 and revealing a strong seasonality between March and July. An analysis of meteorological data points highlighted connections between certain climate variables and dengue fever outbreaks. The correlation analyses suggested significant associations between dengue cases and specific weather factors such as solar radiation, solar energy, and UV index. For disease predictions, the XGBoost model showed the best performance with an MAE = 89.12, RMSE = 156.07, and R2 = 0.83, identifying time as the primary factor, while 19 key predictors showed non-linear associations with dengue transmission. This underscores the significant role of environmental conditions, including cloud cover and rainfall, in dengue propagation. Conclusion: In the last decade, meteorological factors have significantly influenced dengue transmission in Singapore. This research, using the XGBoost model, highlights the key predictors like time and cloud cover in understanding dengue's complex dynamics. By employing advanced algorithms, our study offers insights into dengue predictive models and the importance of careful model selection. These results can inform public health strategies, aiming to improve dengue control in Singapore and comparable regions.</t>
  </si>
  <si>
    <t xml:space="preserve">prediction; dengue fever; machine learning; meteorological data</t>
  </si>
  <si>
    <t xml:space="preserve">[Tian, Na; Xue, Jing-Bo; Xia, Shang; Lv, Shan; Zhou, Xiao-Nong] Chinese Ctr Dis Control &amp; Prevent, Natl Inst Parasit Dis, Chinese Ctr Trop Dis Res, Shanghai 200025, Peoples R China; [Tian, Na; Li, Lan-Hua] Shandong Second Med Univ, Sch Publ Hlth, Weifang 261000, Peoples R China; [Tian, Na; Zheng, Jin-Xin; Xue, Jing-Bo; Xia, Shang; Lv, Shan; Zhou, Xiao-Nong] Shanghai Jiao Tong Univ, Chinese Ctr Trop Dis Res, Sch Global Hlth, Sch Med, Shanghai 200025, Peoples R China</t>
  </si>
  <si>
    <t xml:space="preserve">Chinese Center for Disease Control &amp; Prevention; National Institute of Parasitic Diseases, Chinese Center for Disease Control &amp; Prevention; Shandong Second Medical University; Shanghai Jiao Tong University</t>
  </si>
  <si>
    <t xml:space="preserve">Zhou, XN (corresponding author), Chinese Ctr Dis Control &amp; Prevent, Natl Inst Parasit Dis, Chinese Ctr Trop Dis Res, Shanghai 200025, Peoples R China.;Zhou, XN (corresponding author), Shanghai Jiao Tong Univ, Chinese Ctr Trop Dis Res, Sch Global Hlth, Sch Med, Shanghai 200025, Peoples R China.</t>
  </si>
  <si>
    <t xml:space="preserve">tina_t123@163.com; jamesjin63@163.com; orchid8@sina.com; xuejb@nipd.chinacdc.cn; sxia@nipd.chinacdc.cn; lvshan@nipd.chinacdc.cn; zhouxn1@chinacdc.cn</t>
  </si>
  <si>
    <t xml:space="preserve">Zhou, Xiao-Nong/MCJ-7560-2025; Li, Lanhua/ACB-4846-2022; yang, qin/GVR-9226-2022; james, jin/JGM-2841-2023</t>
  </si>
  <si>
    <t xml:space="preserve">Jinxin, zheng/0000-0003-1476-1903; Zhou, Xiao-Nong/0000-0003-1417-8427</t>
  </si>
  <si>
    <t xml:space="preserve">National Natural Science Foundation of China [81973108]; Health Commission of Shandong Province [202112050556]; Weifang Science and Technology Bureau [2021YX038]</t>
  </si>
  <si>
    <t xml:space="preserve">National Natural Science Foundation of China(National Natural Science Foundation of China (NSFC)); Health Commission of Shandong Province; Weifang Science and Technology Bureau</t>
  </si>
  <si>
    <t xml:space="preserve">This study was supported by the National Natural Science Foundation of China (81973108); Health Commission of Shandong Province (202112050556); and Weifang Science and Technology Bureau (2021YX038). The funders had no role in the study design, data collection and analysis, decision to publish, or preparation of the manuscript.</t>
  </si>
  <si>
    <t xml:space="preserve">10.3390/tropicalmed9040072</t>
  </si>
  <si>
    <t xml:space="preserve">OX6H3</t>
  </si>
  <si>
    <t xml:space="preserve">WOS:001210610600001</t>
  </si>
  <si>
    <t xml:space="preserve">Khan, O; Ajadi, JO; Hossain, MP</t>
  </si>
  <si>
    <t xml:space="preserve">Khan, Ousman; Ajadi, Jimoh Olawale; Hossain, M. Pear</t>
  </si>
  <si>
    <t xml:space="preserve">Predicting malaria outbreak in The Gambia using machine learning techniques</t>
  </si>
  <si>
    <t xml:space="preserve">Malaria is the most common cause of death among the parasitic diseases. Malaria continues to pose a growing threat to the public health and economic growth of nations in the tropical and subtropical parts of the world. This study aims to address this challenge by developing a predictive model for malaria outbreaks in each district of The Gambia, leveraging historical meteorological data. To achieve this objective, we employ and compare the performance of eight machine learning algorithms, including C5.0 decision trees, artificial neural networks, k-nearest neighbors, support vector machines with linear and radial kernels, logistic regression, extreme gradient boosting, and random forests. The models are evaluated using 10-fold cross-validation during the training phase, repeated five times to ensure robust validation. Our findings reveal that extreme gradient boosting and decision trees exhibit the highest prediction accuracy on the testing set, achieving 93.3% accuracy, followed closely by random forests with 91.5% accuracy. In contrast, the support vector machine with a linear kernel performs less favorably, showing a prediction accuracy of 84.8% and underperforming in specificity analysis. Notably, the integration of both climatic and non-climatic features proves to be a crucial factor in accurately predicting malaria outbreaks in The Gambia.</t>
  </si>
  <si>
    <t xml:space="preserve">SELECTION</t>
  </si>
  <si>
    <t xml:space="preserve">[Khan, Ousman; Ajadi, Jimoh Olawale] King Fahd Univ Petr &amp; Minerals, Coll Comp &amp; Math, Dept Math, Dhahran, Saudi Arabia; [Ajadi, Jimoh Olawale] King Fahd Univ Petr &amp; Minerals, Interdisciplinary Res Ctr Refining &amp; Adv Chem, Dhahran, Saudi Arabia; [Hossain, M. Pear] Univ Hong Kong, Li Ka Shing Fac Med, WHO Collaborating Ctr Infect Dis Epidemiol &amp; Contr, Sch Publ Hlth, Hong Kong, Peoples R China; [Hossain, M. Pear] Hong Kong Sci &amp; Technol Pk, Lab Data Discovery Hlth Ltd D24H, Hong Kong, Peoples R China</t>
  </si>
  <si>
    <t xml:space="preserve">King Fahd University of Petroleum &amp; Minerals; King Fahd University of Petroleum &amp; Minerals; University of Hong Kong</t>
  </si>
  <si>
    <t xml:space="preserve">Ajadi, JO (corresponding author), King Fahd Univ Petr &amp; Minerals, Coll Comp &amp; Math, Dept Math, Dhahran, Saudi Arabia.;Ajadi, JO (corresponding author), King Fahd Univ Petr &amp; Minerals, Interdisciplinary Res Ctr Refining &amp; Adv Chem, Dhahran, Saudi Arabia.</t>
  </si>
  <si>
    <t xml:space="preserve">jimoh.ajadi@kfupm.edu.sa</t>
  </si>
  <si>
    <t xml:space="preserve">Ajadi, Jimoh/ADA-7412-2022; Hossain, Md. Pear/E-1314-2017</t>
  </si>
  <si>
    <t xml:space="preserve">AJADI, JIMOH/0000-0001-8445-8155; Hossain, Md. Pear/0000-0001-5247-4820</t>
  </si>
  <si>
    <t xml:space="preserve">King Fahd University of Petroleum and Minerals; Deanship of Research Oversight and Coordination at King Fahd University of Petroleum Minerals</t>
  </si>
  <si>
    <t xml:space="preserve">King Fahd University of Petroleum and Minerals(King Fahd University of Petroleum &amp; Minerals); Deanship of Research Oversight and Coordination at King Fahd University of Petroleum Minerals</t>
  </si>
  <si>
    <t xml:space="preserve">The authors would like to acknowledge the support provided by Deanship of Research Oversight and Coordination at King Fahd University of Petroleum &amp; Minerals. We also thank the Health Management Information System (HMIS) office under the ministry of health in The Gambia for providing us with the clinical data. We also thank the Department of Water Resources, the meteorological division under the Ministry of Fisheries, Water Resources and National Assembly Matters in The Gambia for providing us with the climatic data. O. Khan expresses gratitude to Fatoumata Jallow and Omar Ceesay for their tireless efforts in assisting with the dataset acquisition.</t>
  </si>
  <si>
    <t xml:space="preserve">MAY 16</t>
  </si>
  <si>
    <t xml:space="preserve">e0299386</t>
  </si>
  <si>
    <t xml:space="preserve">10.1371/journal.pone.0299386</t>
  </si>
  <si>
    <t xml:space="preserve">RI9F1</t>
  </si>
  <si>
    <t xml:space="preserve">WOS:001227144600053</t>
  </si>
  <si>
    <t xml:space="preserve">Chen, XY; Le, JX; Hu, Y</t>
  </si>
  <si>
    <t xml:space="preserve">Chen, Xinyue; Le, Jiaxu; Hu, Yi</t>
  </si>
  <si>
    <t xml:space="preserve">Predicting Schistosomiasis Intensity in Africa: A Machine Learning Approach to Evaluate the Progress of WHO Roadmap 2030</t>
  </si>
  <si>
    <t xml:space="preserve">The World Health Organization (WHO) 2030 Roadmap aims to eliminate schistosomiasis as a public health issue, targeting reductions in the heavy intensity of infections. Previous studies, however, have predominantly used prevalence as the primary indicator of schistosomiasis. We introduce several machine learning (ML) algorithms to predict infection intensity categories, using morbidity prevalence, with the aim of assessing the elimination of schistosomiasis in Africa, as outlined by the WHO. We obtained morbidity prevalence and infection intensity data from the Expanded Special Project to Eliminate Neglected Tropical Diseases, which spans 12 countries in sub-Saharan Africa. We then used a series of ML algorithms to predict the prevalence of infection intensity categories for Schistosoma haematobium and Schistosoma mansoni, , with morbidity prevalence and several relevant environmental and demographic covariates from remote-sensing sources. The optimal model had high accuracy and stability; it achieved a mean absolute error (MAE) of 0.02, a root mean square error (RMSE) of 0.05, and a coefficient of determination (R2) R 2 ) of 0.84 in predicting heavy- intensity prevalence for S. mansoni; ; and an MAE of 0.02, an RMSE of 0.04, and an R 2 value of 0.81 for S. haematobium. . Based on this optimal model, we found that most areas in the surveyed countries have not achieved the target of the WHO road map for 2030. The ML algorithms used in our analysis showed a high overall predictive power in estimating infection intensity for each species, and our methods provided a low-cost, effective approach to evaluating the disease target in Africa set in the WHO road map for 2030.</t>
  </si>
  <si>
    <t xml:space="preserve">SUB-SAHARAN AFRICA; INFECTION; MORBIDITY; REGION</t>
  </si>
  <si>
    <t xml:space="preserve">Fudan Univ, Sch Publ Hlth, Dept Epidemiol &amp; Biostat, Shanghai, Peoples R China; Minist Educ, Key Lab Publ Hlth Safety, Shanghai, Peoples R China; Fudan Univ, Sch Publ Hlth, Lab Spatial Anal &amp; Modeling, Shanghai, Peoples R China</t>
  </si>
  <si>
    <t xml:space="preserve">Fudan University; Fudan University</t>
  </si>
  <si>
    <t xml:space="preserve">Hu, Y (corresponding author), Fudan Univ, Sch Publ Hlth, 130 Dongan Rd, Shanghai 200032, Peoples R China.</t>
  </si>
  <si>
    <t xml:space="preserve">Hu, Yi/0000-0001-9150-8392</t>
  </si>
  <si>
    <t xml:space="preserve">Shang-hai New Three-year Action Plan for Public Health [GWVI-11.1-03]; National Natural Science Foundation of China [81773487]</t>
  </si>
  <si>
    <t xml:space="preserve">Shang-hai New Three-year Action Plan for Public Health; National Natural Science Foundation of China(National Natural Science Foundation of China (NSFC))</t>
  </si>
  <si>
    <t xml:space="preserve">Financial support: This work is primarily being funded by the Shang-hai New Three-year Action Plan for Public Health [GWVI-11.1-03] and the National Natural Science Foundation of China (81773487) .</t>
  </si>
  <si>
    <t xml:space="preserve">10.4269/ajtmh.23-0751</t>
  </si>
  <si>
    <t xml:space="preserve">YY8B8</t>
  </si>
  <si>
    <t xml:space="preserve">WOS:001272128900012</t>
  </si>
  <si>
    <t xml:space="preserve">Xu, N; Cai, Y; Tong, YX; Tang, L; Zhou, Y; Gong, YF; Huang, JH; Wang, JM; Chen, Y; Jiang, QW; Zheng, M; Zhou, YB</t>
  </si>
  <si>
    <t xml:space="preserve">Xu, Ning; Cai, Yu; Tong, Yixin; Tang, Ling; Zhou, Yu; Gong, Yanfeng; Huang, Junhui; Wang, Jiamin; Chen, Yue; Jiang, Qingwu; Zheng, Mao; Zhou, Yibiao</t>
  </si>
  <si>
    <t xml:space="preserve">Prediction on the spatial distribution of the seropositive rate of schistosomiasis in Hunan Province, China: a machine learning model integrated with the Kriging method</t>
  </si>
  <si>
    <t xml:space="preserve">Schistosomiasis remains a formidable challenge to global public health. This study aims to predict the spatial distribution of schistosomiasis seropositive rates in Hunan Province, pinpointing high-risk transmission areas and advocating for tailored control measures in low-endemic regions. Six machine learning models and their corresponding hybrid machine learning-Kriging models were employed to predict the seropositive rate. The optimal model was selected through internal and external validations to simulate the spatial distribution of seropositive rates. Our results showed that the hybrid machine learning-Kriging model demonstrated superior predictive performance compared to basic machine learning model and the Cubist-Kriging model emerged as the most optimal model for this study. The predictive map revealed elevated seropositive rates around Dongting Lake and its waterways with significant clustering, notably in the central and northern regions of Yiyang City and the northeastern areas of Changde City. The model identified gross domestic product, annual average wind speed and the nearest distance from the river as the top three predictors of seropositive rates, with annual average daytime surface temperature contributing the least. In conclusion, our research has revealed that integrating the Kriging method significantly enhances the predictive performance of machine learning models. We developed a Cubist-Kriging model with high predictive performance to forecast the spatial distribution of schistosomiasis seropositive rates. These findings provide valuable guidance for the precise prevention and control of schistosomiasis.</t>
  </si>
  <si>
    <t xml:space="preserve">PARASITOLOGY RESEARCH</t>
  </si>
  <si>
    <t xml:space="preserve">Schistosomiasis; Machine Learning; Geostatistical method; Seropositive Rate; Spatial Distribution</t>
  </si>
  <si>
    <t xml:space="preserve">SOIL ORGANIC-MATTER; DONGTING LAKE; JAPONICUM; INFECTION; TRANSMISSION; CERCARIAE; CUBIST</t>
  </si>
  <si>
    <t xml:space="preserve">[Xu, Ning; Tong, Yixin; Zhou, Yu; Gong, Yanfeng; Huang, Junhui; Wang, Jiamin; Jiang, Qingwu; Zhou, Yibiao] Fudan Univ, Sch Publ Hlth, Bldg 8,130 Dongan Rd, Shanghai 200032, Peoples R China; [Xu, Ning; Tong, Yixin; Zhou, Yu; Gong, Yanfeng; Huang, Junhui; Wang, Jiamin; Jiang, Qingwu; Zhou, Yibiao] Fudan Univ, Minist Educ, Key Lab Publ Hlth Safety, Bldg 8,130 Dongan Rd, Shanghai 200032, Peoples R China; [Xu, Ning; Tong, Yixin; Zhou, Yu; Gong, Yanfeng; Huang, Junhui; Wang, Jiamin; Jiang, Qingwu; Zhou, Yibiao] Fudan Univ, Ctr Trop Dis Res, Bldg 8,130 Dongan Rd, Shanghai 200032, Peoples R China; [Cai, Yu; Tang, Ling; Zheng, Mao] Hunan Inst Schistosomiasis Control, Jine Middle Rd, Yueyang 414021, Hunan, Peoples R China; [Chen, Yue] Univ Ottawa, Fac Med, Sch Epidemiol &amp; Publ Hlth, 600 Peter Morand Crescent, Ottawa, ON K1G 5Z3, Canada</t>
  </si>
  <si>
    <t xml:space="preserve">Fudan University; Fudan University; Fudan University; University of Ottawa</t>
  </si>
  <si>
    <t xml:space="preserve">Zhou, YB (corresponding author), Fudan Univ, Sch Publ Hlth, Bldg 8,130 Dongan Rd, Shanghai 200032, Peoples R China.;Zhou, YB (corresponding author), Fudan Univ, Minist Educ, Key Lab Publ Hlth Safety, Bldg 8,130 Dongan Rd, Shanghai 200032, Peoples R China.;Zhou, YB (corresponding author), Fudan Univ, Ctr Trop Dis Res, Bldg 8,130 Dongan Rd, Shanghai 200032, Peoples R China.;Zheng, M (corresponding author), Hunan Inst Schistosomiasis Control, Jine Middle Rd, Yueyang 414021, Hunan, Peoples R China.</t>
  </si>
  <si>
    <t xml:space="preserve">zhengmao496@126.com; z_yibiao@hotmail.com</t>
  </si>
  <si>
    <t xml:space="preserve">huang, junhui/HKO-6659-2023; Gong, Yanfeng/IST-9034-2023</t>
  </si>
  <si>
    <t xml:space="preserve">Gong, Yan-Feng/0000-0003-2540-6560</t>
  </si>
  <si>
    <t xml:space="preserve">0932-0113</t>
  </si>
  <si>
    <t xml:space="preserve">1432-1955</t>
  </si>
  <si>
    <t xml:space="preserve">PARASITOL RES</t>
  </si>
  <si>
    <t xml:space="preserve">Parasitol. Res.</t>
  </si>
  <si>
    <t xml:space="preserve">10.1007/s00436-024-08331-w</t>
  </si>
  <si>
    <t xml:space="preserve">Parasitology</t>
  </si>
  <si>
    <t xml:space="preserve">E7A1K</t>
  </si>
  <si>
    <t xml:space="preserve">WOS:001304485900001</t>
  </si>
  <si>
    <t xml:space="preserve">Pezanowski, S; Koua, EL; Okeibunor, JC; Gueye, AS</t>
  </si>
  <si>
    <t xml:space="preserve">Pezanowski, Scott; Koua, Etien Luc; Okeibunor, Joseph C.; Gueye, Abdou Salam</t>
  </si>
  <si>
    <t xml:space="preserve">Predictors of disease outbreaks at continental-scale in the African region: Insights and predictions with geospatial artificial intelligence using earth observations and routine disease surveillance data</t>
  </si>
  <si>
    <t xml:space="preserve">Objectives Our research adopts computational techniques to analyze disease outbreaks weekly over a large geographic area while maintaining local-level analysis by incorporating relevant high-spatial resolution cultural and environmental datasets. The abundance of data about disease outbreaks gives scientists an excellent opportunity to uncover patterns in disease spread and make future predictions. However, data over a sizeable geographic area quickly outpace human cognition. Our study area covers a significant portion of the African continent (about 17,885,000 km2). The data size makes computational analysis vital to assist human decision-makers.Methods We first applied global and local spatial autocorrelation for malaria, cholera, meningitis, and yellow fever case counts. We then used machine learning to predict the weekly presence of these diseases in the second-level administrative district. Lastly, we used machine learning feature importance methods on the variables that affect spread.Results Our spatial autocorrelation results show that geographic nearness is critical but varies in effect and space. Moreover, we identified many interesting hot and cold spots and spatial outliers. The machine learning model infers a binary class of cases or none with the best F1 score of 0.96 for malaria. Machine learning feature importance uncovered critical cultural and environmental factors affecting outbreaks and variations between diseases.Conclusions Our study shows that data analytics and machine learning are vital to understanding and monitoring disease outbreaks locally across vast areas. The speed at which these methods produce insights can be critical during epidemics and emergencies.</t>
  </si>
  <si>
    <t xml:space="preserve">DIGITAL HEALTH</t>
  </si>
  <si>
    <t xml:space="preserve">SAGE PUBLICATIONS LTD</t>
  </si>
  <si>
    <t xml:space="preserve">Public health; epidemic; computational modeling; disease prediction; artificial intelligence; machine learning; geospatial technologies; remote sensing; earth observation; environmental data</t>
  </si>
  <si>
    <t xml:space="preserve">ENVIRONMENTAL RISK-FACTORS</t>
  </si>
  <si>
    <t xml:space="preserve">[Pezanowski, Scott] BrightWorld Labs, 618 Wayland Pl, State Coll, PA 16803 USA; [Koua, Etien Luc; Okeibunor, Joseph C.; Gueye, Abdou Salam] WHO Reg Off Africa, Emergency Preparedness &amp; Response, Brazzaville, Rep Congo</t>
  </si>
  <si>
    <t xml:space="preserve">Pezanowski, S (corresponding author), BrightWorld Labs, 618 Wayland Pl, State Coll, PA 16803 USA.</t>
  </si>
  <si>
    <t xml:space="preserve">scottpez@brightworldlabs.com</t>
  </si>
  <si>
    <t xml:space="preserve">Pezanowski, Scott/AAF-4546-2019</t>
  </si>
  <si>
    <t xml:space="preserve">Pezanowski, Scott/0000-0001-5470-4925</t>
  </si>
  <si>
    <t xml:space="preserve">1 OLIVERS YARD, 55 CITY ROAD, LONDON EC1Y 1SP, ENGLAND</t>
  </si>
  <si>
    <t xml:space="preserve">2055-2076</t>
  </si>
  <si>
    <t xml:space="preserve">DIGIT HEALTH</t>
  </si>
  <si>
    <t xml:space="preserve">Digit. Health</t>
  </si>
  <si>
    <t xml:space="preserve">10.1177/20552076241278939</t>
  </si>
  <si>
    <t xml:space="preserve">Health Care Sciences &amp; Services; Health Policy &amp; Services; Public, Environmental &amp; Occupational Health; Medical Informatics</t>
  </si>
  <si>
    <t xml:space="preserve">Health Care Sciences &amp; Services; Public, Environmental &amp; Occupational Health; Medical Informatics</t>
  </si>
  <si>
    <t xml:space="preserve">L2I9E</t>
  </si>
  <si>
    <t xml:space="preserve">Green Accepted, gold</t>
  </si>
  <si>
    <t xml:space="preserve">WOS:001349019500001</t>
  </si>
  <si>
    <t xml:space="preserve">Ozsahin, DU; Duwa, BB; Ozsahin, I; Uzun, B</t>
  </si>
  <si>
    <t xml:space="preserve">Ozsahin, Dilber Uzun; Duwa, Basil Barth; Ozsahin, Ilker; Uzun, Berna</t>
  </si>
  <si>
    <t xml:space="preserve">Quantitative Forecasting of Malaria Parasite Using Machine Learning Models: MLR, ANN, ANFIS and Random Forest</t>
  </si>
  <si>
    <t xml:space="preserve">Malaria continues to be a major barrier to socioeconomic development in Africa, where its death rate is over 90%. The predictive power of many machine learning models-such as multi-linear regression (MLR), artificial neural networks (ANN), adaptive neuro-fuzzy inference systems (ANFISs) and Random Forest classifier-is investigated in this study using data from 2207 patients. The dataset was reduced from the initial dataset of thirty-two criteria samples to fifteen. Assessment measures such as the root mean square error (RMSE), mean square error (MSE), coefficient of determination (R2), and adjusted correlation coefficient R were used. ANFIS, Random Forest, MLR, and ANN are among the models. After training, ANN outperforms ANFIS (97%), MLR (92%), and Random Forest (68%) with the greatest R (99%) and R2 (99%), respectively. The testing stage confirms the superiority of ANN. The paper also presents a statistical forecasting sheet with few errors and excellent accuracy for MLR models. When the models are assessed with Random Forest, the latter shows the least results, thus broadening the modeling techniques and offering significant insights into the prediction of malaria and healthcare decision making. The outcomes of using machine learning models for precise and efficient illness prediction add to an expanding body of knowledge, assisting healthcare systems in making better decisions and allocating resources more effectively.</t>
  </si>
  <si>
    <t xml:space="preserve">adaptive neuro-fuzzy inference system (ANFIS); artificial neural network (ANN); statistical prediction; malaria parasite; machine learning models; multiple linear regression (MLR)</t>
  </si>
  <si>
    <t xml:space="preserve">[Ozsahin, Dilber Uzun] Univ Sharjah, Coll Hlth Sci, Dept Med Diagnost Imaging, Sharjah 27272, U Arab Emirates; [Ozsahin, Dilber Uzun] Univ Sharjah, Res Inst Med &amp; Hlth Sci, Sharjah 27272, U Arab Emirates; [Ozsahin, Dilber Uzun; Duwa, Basil Barth; Ozsahin, Ilker; Uzun, Berna] Near East Univ, Operat Res Ctr Healthcare, TR-99138 Mersin 10, Turkiye; [Ozsahin, Ilker] Brain Hlth Imaging Inst, Dept Radiol, Weill Cornell Med, New York, NY 10065 USA; [Uzun, Berna] Near East Univ, Dept Math, TR-99138 Mersin 10, Turkiye</t>
  </si>
  <si>
    <t xml:space="preserve">University of Sharjah; University of Sharjah; Near East University; Cornell University; Weill Cornell Medicine; Near East University</t>
  </si>
  <si>
    <t xml:space="preserve">Ozsahin, DU (corresponding author), Univ Sharjah, Coll Hlth Sci, Dept Med Diagnost Imaging, Sharjah 27272, U Arab Emirates.;Ozsahin, DU (corresponding author), Univ Sharjah, Res Inst Med &amp; Hlth Sci, Sharjah 27272, U Arab Emirates.;Ozsahin, DU; Uzun, B (corresponding author), Near East Univ, Operat Res Ctr Healthcare, TR-99138 Mersin 10, Turkiye.;Uzun, B (corresponding author), Near East Univ, Dept Math, TR-99138 Mersin 10, Turkiye.</t>
  </si>
  <si>
    <t xml:space="preserve">dozsahin@sharjah.ac.ae; basil.barthduwa@neu.edu.tr; ilker.ozsahin@neu.edu.tr; berna.uzun@neu.edu.tr</t>
  </si>
  <si>
    <t xml:space="preserve">Ozsahin, Ilker/AAR-6410-2020; Duwa, Basil/KXS-1450-2024; UZUN, BERNA/GXN-1283-2022</t>
  </si>
  <si>
    <t xml:space="preserve">Ozsahin, Ilker/0000-0002-3141-6805; uzun, berna/0000-0002-6828-2185</t>
  </si>
  <si>
    <t xml:space="preserve">10.3390/diagnostics14040385</t>
  </si>
  <si>
    <t xml:space="preserve">IZ9S0</t>
  </si>
  <si>
    <t xml:space="preserve">WOS:001170290400001</t>
  </si>
  <si>
    <t xml:space="preserve">Nisar, KS; Anjum, MW; Raja, MAZ; Shoaib, M</t>
  </si>
  <si>
    <t xml:space="preserve">Nisar, Kottakkaran Sooppy; Anjum, Muhammad Wajahat; Raja, Muhammad Asif Zahoor; Shoaib, Muhammad</t>
  </si>
  <si>
    <t xml:space="preserve">Recurrent neural network for the dynamics of Zika virus spreading</t>
  </si>
  <si>
    <t xml:space="preserve">Recurrent Neural Networks (RNNs), a type of machine learning technique, have recently drawn a lot of interest in numerous fields, including epidemiology. Implementing public health interventions in the field of epidemiology depends on efficient modeling and outbreak prediction. Because RNNs can capture sequential dependencies in data, they have become highly effective tools in this field. In this paper, the use of RNNs in epidemic modeling is examined, with a focus on the extent to which they can handle the inherent temporal dynamics in the spread of diseases. The mathematical representation of epidemics requires taking time -dependent variables into account, such as the rate at which infections spread and the long-term effects of interventions. The goal of this study is to use an intelligent computing solution based on RNNs to provide numerical performances and interpretations for the SEIR nonlinear system based on the propagation of the Zika virus (SEIRS-PZV) model. The four patient dynamics, namely susceptible patients S(y), exposed patients admitted in a hospital E(y), the fraction of infective individuals I(y), and recovered patients R(y), are represented by the epidemic version of the nonlinear system, or the SEIR model. SEIRS-PZV is represented by ordinary differential equations (ODEs), which are then solved by the Adams method using the Mathematica software to generate a dataset. The dataset was used as an output for the RNN to train the model and examine results such as regressions, correlations, error histograms, etc. For RNN, we used 100% to train the model with 15 hidden layers and a delay of 2 seconds. The input for the RNN is a time series sequence from 0 to 5, with a step size of 0.05. In the end, we compared the approximated solution with the exact solution by plotting them on the same graph and generating the absolute error plot for each of the 4 cases of SEIRS-PZV. Predictions made by the model appeared to be become more accurate when the mean squared error (MSE) decreased. An increased fit to the observed data was suggested by this decrease in the MSE, which suggested that the variance between the model's predicted values and the actual values was dropping. A minimal absolute error almost equal to zero was obtained, which further supports the usefulness of the suggested strategy. A small absolute error shows the degree to which the model's predictions matches the ground truth values, thus indicating the level of accuracy and precision for the model's output.</t>
  </si>
  <si>
    <t xml:space="preserve">AIMS PUBLIC HEALTH</t>
  </si>
  <si>
    <t xml:space="preserve">recurrent neural networks; SEIR nonlinear system; Zika virus; regression; Adam's method</t>
  </si>
  <si>
    <t xml:space="preserve">BIOLOGY</t>
  </si>
  <si>
    <t xml:space="preserve">[Nisar, Kottakkaran Sooppy] Prince Sattam bin Abdulaziz Univ, Coll Sci &amp; Humanities Al Kharj, Dept Math, Al Kharj 11942, Saudi Arabia; [Nisar, Kottakkaran Sooppy] SIMATS, Saveetha Sch Engn, Chennai, India; [Anjum, Muhammad Wajahat] COMSATS Univ Islamabad, Dept Math, Attock Campus, Attock, Pakistan; [Raja, Muhammad Asif Zahoor] Natl Yunlin Univ Sci &amp; Technol, Future Technol Res Ctr, 123 Univ Rd,Sect 3, Touliu 64002, Yunlin, Taiwan; [Shoaib, Muhammad] Yuan Ze Univ, AI Ctr, Taoyuan 320, Taiwan</t>
  </si>
  <si>
    <t xml:space="preserve">Prince Sattam Bin Abdulaziz University; Saveetha Institute of Medical &amp; Technical Science; Saveetha School of Engineering; COMSATS University Islamabad (CUI); National Yunlin University Science &amp; Technology; Yuan Ze University</t>
  </si>
  <si>
    <t xml:space="preserve">Raja, MAZ (corresponding author), Natl Yunlin Univ Sci &amp; Technol, Future Technol Res Ctr, 123 Univ Rd,Sect 3, Touliu 64002, Yunlin, Taiwan.</t>
  </si>
  <si>
    <t xml:space="preserve">rajamaz@yuntech.edu.tw</t>
  </si>
  <si>
    <t xml:space="preserve">Shoaib, Muhammad/LZH-6798-2025; Nisar, Kottakkaran/F-7559-2015; Raja, Muhammad Asif Zahoor/D-7325-2013</t>
  </si>
  <si>
    <t xml:space="preserve">Raja, Muhammad Asif Zahoor/0000-0001-9953-822X</t>
  </si>
  <si>
    <t xml:space="preserve">Prince Sattam bin Abdulaziz University [PSAU/2024/01/78916]</t>
  </si>
  <si>
    <t xml:space="preserve">Prince Sattam bin Abdulaziz University(Prince Sattam Bin Abdulaziz University)</t>
  </si>
  <si>
    <t xml:space="preserve">Use of AI tools declaration The authors declare no Artificial Intelligence (AI) tools have been used in the creation of this article. Acknowledgement The authors extend their appreciation to Prince Sattam bin Abdulaziz University for funding this research work through the project number (PSAU/2024/01/78916) .</t>
  </si>
  <si>
    <t xml:space="preserve">2327-8994</t>
  </si>
  <si>
    <t xml:space="preserve">AIMS Public Health</t>
  </si>
  <si>
    <t xml:space="preserve">10.3934/publichealth.2024022</t>
  </si>
  <si>
    <t xml:space="preserve">NB4M1</t>
  </si>
  <si>
    <t xml:space="preserve">WOS:001197968300001</t>
  </si>
  <si>
    <t xml:space="preserve">Guevara-Vega, M; Rosa, RB; Caixeta, DC; Costa, MA; de Souza, RC; Ferreira, GM; Mundim, AC; Carneiro, MG; Jardim, ACG; Sabino-Silva, R</t>
  </si>
  <si>
    <t xml:space="preserve">Guevara-Vega, Marco; Rosa, Rafael Borges; Caixeta, Douglas Carvalho; Costa, Mariana Araujo; de Souza, Rayany Cristina; Ferreira, Giulia Magalhaes; Mundim Filho, Anage Calixto; Carneiro, Murillo Guimaraes; Jardim, Ana Carolina Gomes; Sabino-Silva, Robinson</t>
  </si>
  <si>
    <t xml:space="preserve">Salivary detection of Chikungunya virus infection using a portable and sustainable biophotonic platform coupled with artificial intelligence algorithms</t>
  </si>
  <si>
    <t xml:space="preserve">The current detection method for Chikungunya Virus (CHIKV) involves an invasive and costly molecular biology procedure as the gold standard diagnostic method. Consequently, the search for a non-invasive, more cost-effective, reagent-free, and sustainable method for the detection of CHIKV infection is imperative for public health. The portable Fourier-transform infrared coupled with Attenuated Total Reflection (ATR-FTIR) platform was applied to discriminate systemic diseases using saliva, however, the salivary diagnostic application in viral diseases is less explored. The study aimed to identify unique vibrational modes of salivary infrared profiles to detect CHIKV infection using chemometrics and artificial intelligence algorithms. Thus, we intradermally challenged interferon-gamma gene knockout C57/BL6 mice with CHIKV (20 mu l, 1 X 105 PFU/ml, n = 6) or vehicle (20 mu l, n = 7). Saliva and serum samples were collected on day 3 (due to the peak of viremia). CHIKV infection was confirmed by Real-time PCR in the serum of CHIKV-infected mice. The best pattern classification showed a sensitivity of 83%, specificity of 86%, and accuracy of 85% using support vector machine (SVM) algorithms. Our results suggest that the salivary ATR-FTIR platform can discriminate CHIKV infection with the potential to be applied as a non-invasive, sustainable, and cost-effective detection tool for this emerging disease.</t>
  </si>
  <si>
    <t xml:space="preserve">ATR-FTIR; Chikungunya virus; Salivary diagnosis; Machine learning algorithms</t>
  </si>
  <si>
    <t xml:space="preserve">ATR-FTIR SPECTROSCOPY; IR SPECTROSCOPY; DIAGNOSIS; IDENTIFICATION; PROTEIN; BLOOD</t>
  </si>
  <si>
    <t xml:space="preserve">[Guevara-Vega, Marco; Caixeta, Douglas Carvalho; Costa, Mariana Araujo; de Souza, Rayany Cristina; Sabino-Silva, Robinson] Univ Fed Uberlandia, Inst Biomed Sci, Innovat Ctr Salivary Diagnost &amp; Nanobiotechnol, Dept Physiol, Ave Para,1720,Campus Umuarama, BR-38400902 Uberlandia, MG, Brazil; [Rosa, Rafael Borges] Univ Fed Uberlandia, Rodents Anim Facil Complex, Uberlandia, MG, Brazil; [Rosa, Rafael Borges] Oswaldo Cruz Fdn Fiocruz, Aggeu Magalhaes Inst IAM, Dept Virol, Recife, Brazil; [Ferreira, Giulia Magalhaes; Jardim, Ana Carolina Gomes] Univ Fed Uberlandia, Inst Biomed Sci, Lab Antiviral Res, Uberlandia, MG, Brazil; [Mundim Filho, Anage Calixto; Carneiro, Murillo Guimaraes] Univ Fed Uberlandia, Fac Comp, Uberlandia, MG, Brazil</t>
  </si>
  <si>
    <t xml:space="preserve">Universidade Federal de Uberlandia; Universidade Federal de Uberlandia; Fundacao Oswaldo Cruz; Universidade Federal de Uberlandia; Universidade Federal de Uberlandia</t>
  </si>
  <si>
    <t xml:space="preserve">Sabino-Silva, R (corresponding author), Univ Fed Uberlandia, Inst Biomed Sci, Innovat Ctr Salivary Diagnost &amp; Nanobiotechnol, Dept Physiol, Ave Para,1720,Campus Umuarama, BR-38400902 Uberlandia, MG, Brazil.</t>
  </si>
  <si>
    <t xml:space="preserve">robinsonsabino@gmail.com</t>
  </si>
  <si>
    <t xml:space="preserve">Jardim, Ana Carolina/H-3615-2012; Carneiro, Murillo/AID-8281-2022; de Souza, Rayany Cristina/IVH-6684-2023; Sabino-Silva, Robinson/I-2264-2012</t>
  </si>
  <si>
    <t xml:space="preserve">Carneiro, Murillo/0000-0002-2915-8990; de Souza, Rayany Cristina/0000-0002-4396-9167; Guevara Vega, Marco/0000-0003-2332-0886; Sabino-Silva, Robinson/0000-0002-2104-5780</t>
  </si>
  <si>
    <t xml:space="preserve">CNPq productivity fellowship</t>
  </si>
  <si>
    <t xml:space="preserve">CNPq productivity fellowship(Conselho Nacional de Desenvolvimento Cientifico e Tecnologico (CNPQ))</t>
  </si>
  <si>
    <t xml:space="preserve">We would like to thank our collaborators at the Rodent Vivarium Network (REBIR-UFU). The funders had no role in study design, data collection, and analysis, decision to publish, or preparation of the manuscript.</t>
  </si>
  <si>
    <t xml:space="preserve">SEP 16</t>
  </si>
  <si>
    <t xml:space="preserve">10.1038/s41598-024-71889-z</t>
  </si>
  <si>
    <t xml:space="preserve">F9B6J</t>
  </si>
  <si>
    <t xml:space="preserve">WOS:001312686700002</t>
  </si>
  <si>
    <t xml:space="preserve">Ayalew, AM; Admass, WS; Abuhayi, BM; Negashe, GS; Bezabh, YA</t>
  </si>
  <si>
    <t xml:space="preserve">Ayalew, Aleka Melese; Admass, Wasyihun Sema; Abuhayi, Biniyam Mulugeta; Negashe, Girma Sisay; Bezabh, Yohannes Agegnehu</t>
  </si>
  <si>
    <t xml:space="preserve">Smart Malaria Classification: A Novel Machine Learning Algorithms for Early Malaria Monitoring and Detecting Using IoT-Based Healthcare Environment</t>
  </si>
  <si>
    <t xml:space="preserve">Malaria, caused by the Plasmodium parasite and transmitted by female Anopheles mosquitoes, poses a significant risk to nearly half of the global population, with sub-Saharan Africa being the most affected. A rapid and accurate detection method is crucial due to its high mortality rate and swift transmission. This study proposes a real-time malaria monitoring and detection system using an Internet of Things (IoT) framework. The system collects real-time symptom data via wearable sensors, employs edge computing for processing, utilizes cloud infrastructure for data storage, and applies machine learning models for data analysis. The five key components of the framework are wearable sensor-based symptom data collection and uploading, edge (fog) computing, cloud infrastructure, machine learning models for data analysis, and doctors (physicians). The study compares four machine learning techniques: Support Vector Machine (SVM), Artificial Neural Network (ANN), K-Nearest Neighbor (KNN), and Na &amp; iuml;ve Bayes. SVM outperformed the other algorithms, achieving 98% training accuracy, 96% test accuracy, and a 95% AUC score. Based on the findings, we anticipate that real-time symptom data would enable the proposed system can effectively and accurately diagnose malaria, classifying cases as either Parasitized or Normal.</t>
  </si>
  <si>
    <t xml:space="preserve">SENSING AND IMAGING</t>
  </si>
  <si>
    <t xml:space="preserve">Malaria; Internet of Things; Machine learning; Early identification; Real-time monitoring</t>
  </si>
  <si>
    <t xml:space="preserve">INTERNET; SYSTEM; THINGS; DIAGNOSIS; CLOUD</t>
  </si>
  <si>
    <t xml:space="preserve">[Ayalew, Aleka Melese; Abuhayi, Biniyam Mulugeta; Bezabh, Yohannes Agegnehu] Univ Gondar, Dept Informat Technol, Gondar, Ethiopia; [Admass, Wasyihun Sema] Mekdela Amba Univ, Dept Informat Technol, Mekdela Amba, Ethiopia; [Negashe, Girma Sisay] Univ Gondar, Dept Informat Syst, Gondar, Ethiopia</t>
  </si>
  <si>
    <t xml:space="preserve">University of Gondar; University of Gondar</t>
  </si>
  <si>
    <t xml:space="preserve">Ayalew, AM (corresponding author), Univ Gondar, Dept Informat Technol, Gondar, Ethiopia.</t>
  </si>
  <si>
    <t xml:space="preserve">melese1820@gmail.com; wasyihun.sema@gmail.com; biniyam.mulugeta123@gmail.com; sisaygirma97@gmail.com; yohannes242005@gmail.com</t>
  </si>
  <si>
    <t xml:space="preserve">Abuhayi, Biniyam/IAP-3712-2023; , Aleka Melese Ayalew/ITT-3051-2023</t>
  </si>
  <si>
    <t xml:space="preserve">, Aleka Melese Ayalew/0000-0001-5869-6029</t>
  </si>
  <si>
    <t xml:space="preserve">1557-2064</t>
  </si>
  <si>
    <t xml:space="preserve">1557-2072</t>
  </si>
  <si>
    <t xml:space="preserve">SENS IMAGING</t>
  </si>
  <si>
    <t xml:space="preserve">Sens. Imaging</t>
  </si>
  <si>
    <t xml:space="preserve">SEP 9</t>
  </si>
  <si>
    <t xml:space="preserve">10.1007/s11220-024-00503-3</t>
  </si>
  <si>
    <t xml:space="preserve">Instruments &amp; Instrumentation</t>
  </si>
  <si>
    <t xml:space="preserve">F2Y2V</t>
  </si>
  <si>
    <t xml:space="preserve">WOS:001308524100001</t>
  </si>
  <si>
    <t xml:space="preserve">Manocha, A; Bhatia, M; Kumar, G</t>
  </si>
  <si>
    <t xml:space="preserve">Manocha, Ankush; Bhatia, Munish; Kumar, Gulshan</t>
  </si>
  <si>
    <t xml:space="preserve">Smart monitoring solution for dengue infection control: A digital twin-inspired approach</t>
  </si>
  <si>
    <t xml:space="preserve">Background and Objective: In the realm of smart healthcare, precise monitoring and prediction services are crucial for mitigating the impact of infectious diseases. This study introduces an innovative digital twin technology-inspired monitoring architecture that employs a similarity-based hybrid modeling scheme to significantly enhance accuracy in the smart healthcare domain. The research also delves into the potential of IoT technology in delivering advanced technological healthcare solutions, with a specific focus on the rapid expansion of dengue fever. Methods: The proposed digital twin-inspired healthcare system is designed to proactively combat the spread of dengue virus by enabling ubiquitous monitoring and forecasting of individuals' susceptibility to dengue infection. The system utilizes digital twin technology to observe the status of healthcare and generate likely predictions about the vulnerability to the virus by employing k-means Clustering and Artificial Neural Networks. Results: The proposed system has been validated and its effectiveness has been demonstrated through experimental evaluation using carefully defined methods. The results of the experimental assessment confirm that the system performs optimally in terms of Temporal Delay (14.15 s), Classification Accuracy (92.86%), Sensitivity (92.43%), Specificity (91.52%),F-measure (90.86%), and Prediction Effectiveness. Moreover, by integrating a hybrid model that corrects errors in physics-based predictions employing a model for error correction driven by data, this approach has demonstrated a noteworthy 48% reduction in prediction errors, particularly in health monitoring scenarios. Conclusions: The digital twin-inspired healthcare system proposed in this study can assist healthcare providers in assessing the health vulnerability of the dengue virus, thereby reducing the likelihood of long-term or catastrophic health consequences. The integration of a hybrid modeling approach and the utilization of IoT technology has shown promising results in enhancing the accuracy and effectiveness of smart health monitoring and prediction services.</t>
  </si>
  <si>
    <t xml:space="preserve">COMPUTER METHODS AND PROGRAMS IN BIOMEDICINE</t>
  </si>
  <si>
    <t xml:space="preserve">ELSEVIER IRELAND LTD</t>
  </si>
  <si>
    <t xml:space="preserve">Digital twin; Internet of Things; Artificial Neural Network; Smart healthcare</t>
  </si>
  <si>
    <t xml:space="preserve">IOT</t>
  </si>
  <si>
    <t xml:space="preserve">[Manocha, Ankush; Bhatia, Munish] Natl Inst Technol, Kurukshetra 136119, Haryana, India; [Manocha, Ankush; Kumar, Gulshan] Lovely Profess Univ, Jalandhar 144001, Punjab, India</t>
  </si>
  <si>
    <t xml:space="preserve">National Institute of Technology (NIT System); National Institute of Technology Kurukshetra; Lovely Professional University</t>
  </si>
  <si>
    <t xml:space="preserve">Manocha, A (corresponding author), Lovely Profess Univ, Jalandhar 144001, Punjab, India.</t>
  </si>
  <si>
    <t xml:space="preserve">ankushmanocha31@gmail.com; munishbhatia90@gmail.com; gulshan3971@gmail.com</t>
  </si>
  <si>
    <t xml:space="preserve">Bhatia, Munish/Y-4267-2018; Manocha, Ankush/AEH-9532-2022</t>
  </si>
  <si>
    <t xml:space="preserve">CLARE</t>
  </si>
  <si>
    <t xml:space="preserve">ELSEVIER HOUSE, BROOKVALE PLAZA, EAST PARK SHANNON, CO, CLARE, 00000, IRELAND</t>
  </si>
  <si>
    <t xml:space="preserve">0169-2607</t>
  </si>
  <si>
    <t xml:space="preserve">1872-7565</t>
  </si>
  <si>
    <t xml:space="preserve">COMPUT METH PROG BIO</t>
  </si>
  <si>
    <t xml:space="preserve">Comput. Meth. Programs Biomed.</t>
  </si>
  <si>
    <t xml:space="preserve">10.1016/j.cmpb.2024.108459</t>
  </si>
  <si>
    <t xml:space="preserve">Computer Science, Interdisciplinary Applications; Computer Science, Theory &amp; Methods; Engineering, Biomedical; Medical Informatics</t>
  </si>
  <si>
    <t xml:space="preserve">J7L6R</t>
  </si>
  <si>
    <t xml:space="preserve">WOS:001338844700001</t>
  </si>
  <si>
    <t xml:space="preserve">Xu, T; Theera-Umpon, N; Auephanwiriyakul, S</t>
  </si>
  <si>
    <t xml:space="preserve">Xu, Tong; Theera-Umpon, Nipon; Auephanwiriyakul, Sansanee</t>
  </si>
  <si>
    <t xml:space="preserve">Staining-Independent Malaria Parasite Detection and Life Stage Classification in Blood Smear Images</t>
  </si>
  <si>
    <t xml:space="preserve">Malaria is a leading cause of morbidity and mortality in tropical and sub-tropical regions. This research proposed a malaria diagnosis system based on the you only look once algorithm for malaria parasite detection and the convolutional neural network algorithm for malaria parasite life stage classification. Two public datasets are utilized: MBB and MP-IDB. The MBB dataset includes human blood smears infected with Plasmodium vivax (P. vivax). While the MP-IDB dataset comprises 4 species of malaria parasites: P. vivax, P. ovale, P. malariae, and P. falciparum. Four distinct stages of life exist in every species, including ring, trophozoite, schizont, and gametocyte. For the MBB dataset, detection and classification accuracies of 0.92 and 0.93, respectively, were achieved. For the MP-IDB dataset, the proposed algorithms yielded the accuracies for detection and classification as follows: 0.84 and 0.94 for P. vivax; 0.82 and 0.93 for P. ovale; 0.79 and 0.93 for P. malariae; and 0.92 and 0.96 for P. falciparum. The detection results showed the models trained by P. vivax alone provide good detection capabilities also for other species of malaria parasites. The classification performance showed the proposed algorithms yielded good malaria parasite life stage classification performance. The future directions include collecting more data and exploring more sophisticated algorithms.</t>
  </si>
  <si>
    <t xml:space="preserve">malaria parasite detection; malaria parasite stage of life; plasmodium parasites; deep learning; you only look once (YOLO); convolutional neural network (CNN)</t>
  </si>
  <si>
    <t xml:space="preserve">CELL</t>
  </si>
  <si>
    <t xml:space="preserve">[Xu, Tong; Theera-Umpon, Nipon; Auephanwiriyakul, Sansanee] Chiang Mai Univ, Biomed Engn Inst, Biomed Engn &amp; Innovat Res Ctr, Chiang Mai 50200, Thailand; [Theera-Umpon, Nipon] Chiang Mai Univ, Fac Engn, Dept Elect Engn, Chiang Mai 50200, Thailand; [Auephanwiriyakul, Sansanee] Chiang Mai Univ, Fac Engn, Dept Comp Engn, Chiang Mai 50200, Thailand</t>
  </si>
  <si>
    <t xml:space="preserve">Chiang Mai University; Chiang Mai University; Chiang Mai University</t>
  </si>
  <si>
    <t xml:space="preserve">Theera-Umpon, N (corresponding author), Chiang Mai Univ, Biomed Engn Inst, Biomed Engn &amp; Innovat Res Ctr, Chiang Mai 50200, Thailand.;Theera-Umpon, N (corresponding author), Chiang Mai Univ, Fac Engn, Dept Elect Engn, Chiang Mai 50200, Thailand.</t>
  </si>
  <si>
    <t xml:space="preserve">tong_x@cmu.ac.th; nipon.t@cmu.ac.th; sansanee.a@cmu.ac.th</t>
  </si>
  <si>
    <t xml:space="preserve">Auephanwiriyakul, Sansanee/AAP-1918-2020; Theera-Umpon, Nipon/E-3714-2017</t>
  </si>
  <si>
    <t xml:space="preserve">Auephanwiriyakul, Sansanee/0000-0002-6639-7165; Theera-Umpon, Nipon/0000-0002-2951-9610</t>
  </si>
  <si>
    <t xml:space="preserve">Chiang Mai University; [RG31/2566]</t>
  </si>
  <si>
    <t xml:space="preserve">Chiang Mai University;</t>
  </si>
  <si>
    <t xml:space="preserve">This research has received funding support from Chiang Mai University (RG31/2566).</t>
  </si>
  <si>
    <t xml:space="preserve">10.3390/app14188402</t>
  </si>
  <si>
    <t xml:space="preserve">H5D2M</t>
  </si>
  <si>
    <t xml:space="preserve">WOS:001323638300001</t>
  </si>
  <si>
    <t xml:space="preserve">Hoyos, K; Hoyos, W</t>
  </si>
  <si>
    <t xml:space="preserve">Hoyos, Kenia; Hoyos, William</t>
  </si>
  <si>
    <t xml:space="preserve">Supporting Malaria Diagnosis Using Deep Learning and Data Augmentation</t>
  </si>
  <si>
    <t xml:space="preserve">Malaria is an infection caused by the Plasmodium parasite that has a major epidemiological, social, and economic impact worldwide. Conventional diagnosis of the disease is based on microscopic examination of thick blood smears. This analysis can be time-consuming, which is key to generate prevention strategies and adequate treatment to avoid the complications associated with the disease. To address this problem, we propose a deep learning-based approach to detect not only malaria parasites but also leukocytes to perform parasite/mu L blood count. We used positive and negative images with parasites and leukocytes. We performed data augmentation to increase the size of the dataset. The YOLOv8 algorithm was used for model training and using the counting formula the parasites were counted. The results showed the ability of the model to detect parasites and leukocytes with 95% and 98% accuracy, respectively. The time spent by the model to report parasitemia is significantly less than the time spent by malaria experts. This type of system would be supportive for areas with poor access to health care. We recommend validation of such approaches on a large scale in health institutions.</t>
  </si>
  <si>
    <t xml:space="preserve">malaria; deep learning; artificial intelligence; Plasmodium; diagnosis</t>
  </si>
  <si>
    <t xml:space="preserve">THICK BLOOD SMEARS</t>
  </si>
  <si>
    <t xml:space="preserve">[Hoyos, Kenia] Social Hlth Clin, Human Clin Lab, Sincelejo 700001, Colombia; [Hoyos, William] Cooperat Univ Colombia, Sustainable &amp; Intelligent Engn Res Grp, Monteria 230002, Colombia; [Hoyos, William] EAFIT Univ, R&amp;D&amp;I ICT, Medellin 050022, Colombia; [Hoyos, William] Univ Cordoba, Microbiol &amp; Biomed Res Grp Cordoba, Monteria 230002, Colombia</t>
  </si>
  <si>
    <t xml:space="preserve">Universidad Cooperativa de Colombia; Universidad EAFIT</t>
  </si>
  <si>
    <t xml:space="preserve">Hoyos, W (corresponding author), Cooperat Univ Colombia, Sustainable &amp; Intelligent Engn Res Grp, Monteria 230002, Colombia.;Hoyos, W (corresponding author), EAFIT Univ, R&amp;D&amp;I ICT, Medellin 050022, Colombia.;Hoyos, W (corresponding author), Univ Cordoba, Microbiol &amp; Biomed Res Grp Cordoba, Monteria 230002, Colombia.</t>
  </si>
  <si>
    <t xml:space="preserve">kmhoyosgonzalez@gmail.com; william.hoyos@campusucc.edu.co</t>
  </si>
  <si>
    <t xml:space="preserve">Hoyos, Kenia/0000-0003-0203-2367; Hoyos, William/0000-0002-9165-8208</t>
  </si>
  <si>
    <t xml:space="preserve">10.3390/diagnostics14070690</t>
  </si>
  <si>
    <t xml:space="preserve">NM4O2</t>
  </si>
  <si>
    <t xml:space="preserve">WOS:001200858700001</t>
  </si>
  <si>
    <t xml:space="preserve">Athni, TS; Childs, ML; Glidden, CK; Mordecai, EA</t>
  </si>
  <si>
    <t xml:space="preserve">Athni, Tejas S.; Childs, Marissa L.; Glidden, Caroline K.; Mordecai, Erin A.</t>
  </si>
  <si>
    <t xml:space="preserve">Temperature dependence of mosquitoes: Comparing mechanistic and machine learning approaches</t>
  </si>
  <si>
    <t xml:space="preserve">Mosquito vectors of pathogens (e.g., Aedes, Anopheles, and Culex spp. which transmit dengue, Zika, chikungunya, West Nile, malaria, and others) are of increasing concern for global public health. These vectors are geographically shifting under climate and other anthropogenic changes. As small-bodied ectotherms, mosquitoes are strongly affected by temperature, which causes unimodal responses in mosquito life history traits (e.g., biting rate, adult mortality rate, mosquito development rate, and probability of egg-to-adult survival) that exhibit upper and lower thermal limits and intermediate thermal optima in laboratory studies. However, it remains unknown how mosquito thermal responses measured in laboratory experiments relate to the realized thermal responses of mosquitoes in the field. To address this gap, we leverage thousands of global mosquito occurrences and geospatial satellite data at high spatial resolution to construct machine-learning based species distribution models, from which vector thermal responses are estimated. We apply methods to restrict models to the relevant mosquito activity season and to conduct ecologically plausible spatial background sampling centered around ecoregions for comparison to mosquito occurrence records. We found that thermal minima estimated from laboratory studies were highly correlated with those from the species distributions (r = 0.87). The thermal optima were less strongly correlated (r = 0.69). For most species, we did not detect thermal maxima from their observed distributions so were unable to compare to laboratory-based estimates. The results suggest that laboratory studies have the potential to be highly transportable to predicting lower thermal limits and thermal optima of mosquitoes in the field. At the same time, lab-based models likely capture physiological limits on mosquito persistence at high temperatures that are not apparent from field-based observational studies but may critically determine mosquito responses to climate warming. Our results indicate that lab-based and field-based studies are highly complementary; performing the analyses in concert can help to more comprehensively understand vector response to climate change. Mosquito vectors are strongly affected by temperature, and their distributions are likely to shift under climate change. Lab studies show that mosquito abundance has a unimodal response to temperature with thermal optima, upper and lower thermal limits. However, it remains unknown how mosquito laboratory-derived thermal responses relate to the thermal responses of mosquitoes in nature. We used a global database of field-collected mosquito occurrences, geospatial environmental covariates, and species distribution models to estimate the relationship between temperature and probability of mosquito occurrence. We found that thermal minima (r = 0.87) and, to a lesser degree, thermal optima (r = 0.69) estimated from laboratory studies were correlated with those from the species distribution models. For most species, we did not detect thermal maxima. These results suggest that laboratory studies and field-based machine learning studies are complementary. Together, they can help to better understand vector response to climate change.</t>
  </si>
  <si>
    <t xml:space="preserve">AEDES-AEGYPTI DIPTERA; SPECIES DISTRIBUTION; MALARIA TRANSMISSION; ECOLOGICAL NICHE; CULEX-PIPIENS; BIOTIC INTERACTIONS; GLOBAL DISTRIBUTION; ANOPHELES-GAMBIAE; CLIMATE-CHANGE; DIAPAUSE</t>
  </si>
  <si>
    <t xml:space="preserve">[Athni, Tejas S.] Harvard Med Sch, Boston, MA 02115 USA; [Athni, Tejas S.; Glidden, Caroline K.; Mordecai, Erin A.] Stanford Univ, Dept Biol, Stanford, CA 94305 USA; [Childs, Marissa L.] Stanford Univ, Emmett Interdisciplinary Program Environm &amp; Resour, Stanford, CA USA; [Childs, Marissa L.] Harvard Univ, Ctr Environm, Cambridge, MA USA; [Glidden, Caroline K.] Stanford Univ, Stanford Inst Human Ctr Artificial Intelligence, Stanford, CA USA</t>
  </si>
  <si>
    <t xml:space="preserve">Harvard University; Harvard Medical School; Stanford University; Stanford University; Harvard University; Stanford University</t>
  </si>
  <si>
    <t xml:space="preserve">Athni, TS (corresponding author), Harvard Med Sch, Boston, MA 02115 USA.;Athni, TS (corresponding author), Stanford Univ, Dept Biol, Stanford, CA 94305 USA.</t>
  </si>
  <si>
    <t xml:space="preserve">tathni@hms.harvard.edu</t>
  </si>
  <si>
    <t xml:space="preserve">Athni, Tejas/0000-0002-6336-0826; Mordecai, Erin/0000-0002-4402-5547; Childs, Marissa/0000-0002-8597-2161</t>
  </si>
  <si>
    <t xml:space="preserve">National Institute of General Medical Sciences [T32GM144273]; Illich-Sadowsky Interdisciplinary Graduate Fellowship program at Stanford University; Environmental Fellowship at the Harvard University Center for the Environment; National Science Foundation; Fogarty International Center [DEB-2011147]; National Institute of Allergy and Infectious Diseases [R01AI168097, R01AI102918]; National Institutes of Health [R35GM133439]; Stanford Institute for Human-centered Artificial Intelligence Postdoctoral Fellowship</t>
  </si>
  <si>
    <t xml:space="preserve">National Institute of General Medical Sciences(United States Department of Health &amp; Human ServicesNational Institutes of Health (NIH) - USANIH National Institute of General Medical Sciences (NIGMS)); Illich-Sadowsky Interdisciplinary Graduate Fellowship program at Stanford University; Environmental Fellowship at the Harvard University Center for the Environment; National Science Foundation(National Science Foundation (NSF)); Fogarty International Center(United States Department of Health &amp; Human ServicesNational Institutes of Health (NIH) - USANIH Fogarty International Center (FIC)); National Institute of Allergy and Infectious Diseases(United States Department of Health &amp; Human ServicesNational Institutes of Health (NIH) - USANIH National Institute of Allergy &amp; Infectious Diseases (NIAID)); National Institutes of Health(United States Department of Health &amp; Human ServicesNational Institutes of Health (NIH) - USA); Stanford Institute for Human-centered Artificial Intelligence Postdoctoral Fellowship</t>
  </si>
  <si>
    <t xml:space="preserve">TSA is supported by the National Institute of General Medical Sciences (grant no. T32GM144273). MLC was supported by the through the Illich-Sadowsky Interdisciplinary Graduate Fellowship program at Stanford University and an Environmental Fellowship at the Harvard University Center for the Environment. EAM and CKG were supported by the National Science Foundation and the Fogarty International Center (grant no. DEB-2011147). EAM was additionally supported by the National Institute of Allergy and Infectious Diseases (grant nos R01AI168097 and R01AI102918), the National Institutes of Health (grant no. R35GM133439), and by seed grants from the Stanford Woods Institute for the Environment, King Center on Global Development, Center for Innovation in Global Health and Terman Award. CKG was additionally supported by a Stanford Institute for Human-centered Artificial Intelligence Postdoctoral Fellowship. The funders did not play a role in study design, data collection and analysis, decision to publish, or preparation of the manuscript. Funder websites in include: https://www.nigms.nih.gov/ https://vpge.stanford.edu/fellowships-funding/sigf/sigf-named-fellowships https://environment.harvard.edu/environmental-fellows-program https://www.nih.gov/about-nih/what-we-do/nih-almanac/fogarty-international-center-fic https://www.niaid.nih.gov/ https://www.nih.gov/ https://kingcenter.stanford.edu/ https://globalhealth.stanford.edu/ https://biology.stanford.edu/news/erin-mordecai-receives-terman-award https://hai.stanford.edu/research/fellowship-programs https://woods.stanford.edu/.</t>
  </si>
  <si>
    <t xml:space="preserve">e0012488</t>
  </si>
  <si>
    <t xml:space="preserve">10.1371/journal.pntd.0012488</t>
  </si>
  <si>
    <t xml:space="preserve">G0Y9J</t>
  </si>
  <si>
    <t xml:space="preserve">WOS:001313989100003</t>
  </si>
  <si>
    <t xml:space="preserve">Braimah, JO; Edike, N; Okhaiomoje, AI; Correa, FM</t>
  </si>
  <si>
    <t xml:space="preserve">Braimah, Joseph Odunayo; Edike, Nnamdi; Okhaiomoje, Augustine Ijeameran; Correa, Fabio Mathias</t>
  </si>
  <si>
    <t xml:space="preserve">The fight against malaria in Edo-North, Edo State, Nigeria: identifying risk factors for effective control</t>
  </si>
  <si>
    <t xml:space="preserve">Background: This study investigated malaria epidemiology in Edo-North, Nigeria; a region within the equatorial rainforest belt that has lacked prior research on malaria prevalence. This research sought to investigate the prevalence of malaria and identify potential risk factors in Edo-North, Nigeria. Additionally, the study aimed to analyze trends in malaria cases to inform the development of effective malaria control measures. Methodology: A cross-sectional study was conducted in six local government areas of Edo-North, Nigeria, between June and August 2023. Using systematic sampling, study zones, local governments, towns, villages, and households were selected. Data on sociodemographics and environmental risk factors were collected from 605 participants through questionnaires and blood samples. Blood smears were microscopically examined, binary and multivariate logistic regression was used for data analysis. Malaria disease rate trends were also analyzed from health records. Statistical analyses were performed using R software, with p-values less than 0.05 considered statistically significant. Results: The overall malaria prevalence in the study area was 15.54%, with males more likely to be infected than females. Prevalence varied across localities, with Akoko-Edo having the highest rate. Children had the highest prevalence. Rural residents were more likely to have malaria than urban residents. Binary logistic regression identified several risk factors, including age, location, local government area, education, occupation, marital status, housing type, household size, water source, sanitation, surrounding environment, window net use, ceiling type, water storage, and parasite density. The multivariate logistic regression analysis identified several significant risk factors for malaria in the study population. Children, residents of Owan-East, individuals using pit latrines, and those not sleeping under LLINs were at significantly increased risk. Environmental factors such as proximity to bushes, streams/rivers, and storing water in open containers were also associated with higher malaria prevalence. History of malaria treatment at pharmacies and use of Chloroquine/Quinine medication were linked to recurrent infections. The study found a high average parasite density (5,146 parasites/mL) and low consistent LLIN use despite widespread ownership. Trend analysis from malaria records revealed a decline in malaria prevalence from 2020 to 2023. Conclusions: The study identified several demographic, environmental and behavioural factors associated with malaria risk in Edo North. Males, children, urban dwellers, those living in mud houses and those in large households, proximity to natural features such as bushes, rivers and streams and low LLIN were more likely to contract malaria. These fi ndings highlight the importance of implementing targeted interventions to address these risk factors and reduce the burden of malaria.</t>
  </si>
  <si>
    <t xml:space="preserve">PEERJ</t>
  </si>
  <si>
    <t xml:space="preserve">PEERJ INC</t>
  </si>
  <si>
    <t xml:space="preserve">Malaria; Epidemiology; Malarial-control; Long-lasting insecticidal net; Rain-forest; Odd-ratio</t>
  </si>
  <si>
    <t xml:space="preserve">PREVALENCE</t>
  </si>
  <si>
    <t xml:space="preserve">[Braimah, Joseph Odunayo; Correa, Fabio Mathias] Univ Free State, Dept Math Stat &amp; Actuarial Sci, Bloemfontein, Free State, South Africa; [Braimah, Joseph Odunayo; Edike, Nnamdi] Ambrose Alli Univ, Dept Math &amp; Stat, Ekpoma, Edo, Nigeria; [Okhaiomoje, Augustine Ijeameran] Ambrose Alli Univ, Dept Lab Sci, Ekpoma, Edo, Nigeria</t>
  </si>
  <si>
    <t xml:space="preserve">University of the Free State</t>
  </si>
  <si>
    <t xml:space="preserve">Braimah, JO (corresponding author), Univ Free State, Dept Math Stat &amp; Actuarial Sci, Bloemfontein, Free State, South Africa.;Braimah, JO (corresponding author), Ambrose Alli Univ, Dept Math &amp; Stat, Ekpoma, Edo, Nigeria.</t>
  </si>
  <si>
    <t xml:space="preserve">braimahjosephodunayo@aauekpoma.edu.ng</t>
  </si>
  <si>
    <t xml:space="preserve">Corrêa, Fábio/N-7094-2019</t>
  </si>
  <si>
    <t xml:space="preserve">Correa, Fabio/0000-0002-6708-9316</t>
  </si>
  <si>
    <t xml:space="preserve">341-345 OLD ST, THIRD FLR, LONDON, EC1V 9LL, ENGLAND</t>
  </si>
  <si>
    <t xml:space="preserve">2167-8359</t>
  </si>
  <si>
    <t xml:space="preserve">NOV 27</t>
  </si>
  <si>
    <t xml:space="preserve">e18301</t>
  </si>
  <si>
    <t xml:space="preserve">10.7717/peerj.18301</t>
  </si>
  <si>
    <t xml:space="preserve">P0Q2X</t>
  </si>
  <si>
    <t xml:space="preserve">WOS:001375059100006</t>
  </si>
  <si>
    <t xml:space="preserve">Gachoki, S; Groen, TA; Vrieling, A; Skidmore, A; Masiga, D</t>
  </si>
  <si>
    <t xml:space="preserve">Gachoki, Stella; Groen, Thomas A.; Vrieling, Anton; Skidmore, Andrew; Masiga, Daniel</t>
  </si>
  <si>
    <t xml:space="preserve">Towards accurate spatial prediction of Glossina pallidipes relative densities at country-scale in Kenya</t>
  </si>
  <si>
    <t xml:space="preserve">Vector-borne diseases, like those transmitted by tsetse flies, pose a significant global public health threat. Reducing vector populations is a promising strategy for disease control, especially in the case of tsetsetransmitted African trypanosomiasis. However, the cost-effective implementation of large-scale vector surveillance and control measures face challenges due to the lack of spatially explicit and reliable maps identifying vector hotspots. In this study, we assessed the accuracy of predicting Glossina pallidipes relative densities across Kenya by linking constrained in-situ tsetse catch data from 660 traps across three Kenyan regions with readily available gridded satellite information (human population, land cover, soil properties, elevation, precipitation, and land surface temperature) using a classical random forest algorithm. To enhance predictive performance, we employed two feature elimination techniques specifically designed for machine learning algorithms, i.e., Recursive Feature Elimination (RFE) and Variable Selection Using Random Forests (VSURF). For each set of retained variables, we trained a Random Forest model using a spatial cross-validation technique. Our findings showed that tsetse fly relative densities decreased with mean annual precipitation, and soil moisture, and conversely increased with higher tree cover. Based on the cross-validated R2, 41% of the spatial variability in relative densities of tsetse flies could be explained. For spatial extrapolation, only the set of predictors retained by VSURF closely matched known tsetse fly distributions in Kenya. This more accurate performance of VSURF may be attributed to its approach of assessing variables for both importance and their contribution to reducing prediction error. Our study demonstrates the potential of using a random forest method to upscale tsetse relative abundance predictions to the national level. However, the reliability of the current extrapolated map remains uncertain. We recommend: 1) increasing tsetse fly sampling efforts, particularly in the data-limited northern and eastern regions of Kenya, and 2) developing a more precise and accurate land cover map with classes that directly associate with known habitat characteristics of the target tsetse species.</t>
  </si>
  <si>
    <t xml:space="preserve">Tsetse abundance; Machine learning; Vector borne diseases; Spatial extrapolations; Satellite data; Random forest</t>
  </si>
  <si>
    <t xml:space="preserve">TSETSE-FLIES; MECHANICAL TRANSMISSION; DIPTERA; POPULATION; SURVEILLANCE; TRYPANOSOMA; ABUNDANCE; NGURUMAN; TRAP</t>
  </si>
  <si>
    <t xml:space="preserve">[Gachoki, Stella; Masiga, Daniel] Int Ctr Insect Physiol &amp; Ecol icipe, POB 30772-00100, Nairobi 00100, Kenya; [Gachoki, Stella; Vrieling, Anton; Skidmore, Andrew] Univ Twente, Fac Geoinformat Sci &amp; Earth Observat ITC, POB 217, NL-7500 AE Enschede, Netherlands</t>
  </si>
  <si>
    <t xml:space="preserve">International Centre of Insect Physiology &amp; Ecology (ICIPE); University of Twente</t>
  </si>
  <si>
    <t xml:space="preserve">Gachoki, S (corresponding author), Int Ctr Insect Physiol &amp; Ecol icipe, POB 30772-00100, Nairobi 00100, Kenya.</t>
  </si>
  <si>
    <t xml:space="preserve">s.m.gachoki@utwente.nl</t>
  </si>
  <si>
    <t xml:space="preserve">Vrieling, Anton/B-2639-2012</t>
  </si>
  <si>
    <t xml:space="preserve">Gachoki, Stella/0000-0002-2096-8540</t>
  </si>
  <si>
    <t xml:space="preserve">German Federal Ministry for Economic Cooperation and Development (BMZ) through the Deutsche Gesellschaft fur Internationale Zusammenarbeit (GIZ) Fund for International Agricultural Research (FIA) [81235250]; Royal Netherlands Academy of Arts and Sciences (KNAW) Ecology Fund [KNAWWF/747/ECO2021-7]; Schlumberger Foundation; Swedish International Development Cooperation Agency (Sida); Swiss Agency for Development and Cooperation (SDC); Australian Centre for International Agricultural Research (ACIAR); Federal Democratic Republic of Ethiopia; Government of the Republic of Kenya</t>
  </si>
  <si>
    <t xml:space="preserve">German Federal Ministry for Economic Cooperation and Development (BMZ) through the Deutsche Gesellschaft fur Internationale Zusammenarbeit (GIZ) Fund for International Agricultural Research (FIA); Royal Netherlands Academy of Arts and Sciences (KNAW) Ecology Fund; Schlumberger Foundation(Schlumberger); Swedish International Development Cooperation Agency (Sida)(Norwegian Agency for Development Cooperation - NORAD); Swiss Agency for Development and Cooperation (SDC)(Norwegian Agency for Development Cooperation - NORAD); Australian Centre for International Agricultural Research (ACIAR)(Australian Centre for International Agricultural Research); Federal Democratic Republic of Ethiopia; Government of the Republic of Kenya</t>
  </si>
  <si>
    <t xml:space="preserve">The authors gratefully acknowledge the financial support for this research by the following organizations and agencies: the German Federal Ministry for Economic Cooperation and Development (BMZ) commissioned and administered through the Deutsche Gesellschaft fur Internationale Zusammenarbeit (GIZ) Fund for International Agricultural Research (FIA), grant number 81235250; the Royal Netherlands Academy of Arts and Sciences (KNAW) Ecology Fund, grant number KNAWWF/747/ECO2021-7; the Schlumberger Foundation (Faculty for the Future fellowship; 2023-2024); the Swedish International Development Cooperation Agency (Sida); the Swiss Agency for Development and Cooperation (SDC); the Australian Centre for International Agricultural Research (ACIAR); the Federal Democratic Republic of Ethiopia; and the Government of the Republic of Kenya. The views expressed herein do not necessarily reflect the official opinion of the donors.</t>
  </si>
  <si>
    <t xml:space="preserve">10.1016/j.ecoinf.2024.102610</t>
  </si>
  <si>
    <t xml:space="preserve">SO3A2</t>
  </si>
  <si>
    <t xml:space="preserve">WOS:001235341200001</t>
  </si>
  <si>
    <t xml:space="preserve">Li, DM; Hegde, S; Kumar, AS; Zacharias, A; Mehta, P; Mukthineni, V; Srimath, S; Patel, S; Suin, M; Chellappa, R; Acharya, S</t>
  </si>
  <si>
    <t xml:space="preserve">Li, Deming; Hegde, Shruti; Kumar, Aravind Sunil; Zacharias, Atul; Mehta, Parthvi; Mukthineni, Venkat; Srimath, Satwik; Patel, Sunny; Suin, Maitreya; Chellappa, Rama; Acharya, Soumyadipta</t>
  </si>
  <si>
    <t xml:space="preserve">Towards transforming malaria vector surveillance using VectorBrain: a novel convolutional neural network for mosquito species, sex, and abdomen status identifications</t>
  </si>
  <si>
    <t xml:space="preserve">Malaria is a major public health concern, causing significant morbidity and mortality globally. Monitoring the local population density and diversity of the vectors transmitting malaria is critical to implementing targeted control strategies. However, the current manual identification of mosquitoes is a time-consuming and intensive task, posing challenges in low-resource areas like sub-Saharan Africa; in addition, existing automated identification methods lack scalability, mobile deployability, and field-test validity. To address these bottlenecks, a mosquito image database with fresh wild-caught specimens using basic smartphones is introduced, and we present a novel CNN-based architecture, VectorBrain, designed for identifying the species, sex, and abdomen status of a mosquito concurrently while being efficient and lightweight in computation and size. Overall, our proposed approach achieves 94.44 +/- 2% accuracy with a macro-averaged F1 score of 94.10 +/- 2% for the species classification, 97.66 +/- 1% accuracy with a macro-averaged F1 score of 96.17 +/- 1% for the sex classification, and 82.20 +/- 3.1% accuracy with a macro-averaged F1 score of 81.17 +/- 3% for the abdominal status classification. VectorBrain running on local mobile devices, paired with a low-cost handheld imaging tool, is promising in transforming the mosquito vector surveillance programs by reducing the burden of expertise required and facilitating timely response based on accurate monitoring.</t>
  </si>
  <si>
    <t xml:space="preserve">CNN; Deep learning; Malaria surveillance</t>
  </si>
  <si>
    <t xml:space="preserve">[Li, Deming; Patel, Sunny; Acharya, Soumyadipta] Johns Hopkins Univ, Ctr Bioengn Innovat &amp; Design, Whiting Sch Engn, Dept Biomed Engn, Baltimore, MD 21218 USA; [Li, Deming; Srimath, Satwik; Suin, Maitreya; Chellappa, Rama] Johns Hopkins Univ, Whiting Sch Engn, Dept Elect &amp; Comp Engn, Baltimore, MD 21218 USA; [Hegde, Shruti; Kumar, Aravind Sunil; Zacharias, Atul; Mehta, Parthvi; Mukthineni, Venkat] Johns Hopkins Univ, Whiting Sch Engn, Dept Comp Sci, Baltimore, MD 21218 USA</t>
  </si>
  <si>
    <t xml:space="preserve">Johns Hopkins University; Johns Hopkins University; Johns Hopkins University</t>
  </si>
  <si>
    <t xml:space="preserve">Acharya, S (corresponding author), Johns Hopkins Univ, Ctr Bioengn Innovat &amp; Design, Whiting Sch Engn, Dept Biomed Engn, Baltimore, MD 21218 USA.</t>
  </si>
  <si>
    <t xml:space="preserve">acharya@jhu.edu</t>
  </si>
  <si>
    <t xml:space="preserve">Li, Deming/JXM-2465-2024; Suin, Maitreya/AAZ-3139-2020</t>
  </si>
  <si>
    <t xml:space="preserve">Bill &amp; Melinda Gates Foundation; Johns Hopkins Center for Bioengineering Innovation and Design (CBID); Innovative Vector Control Consortium (IVCC); National Malaria Control Division, Ministry of Health, Makerere University School of Public Health, Uganda</t>
  </si>
  <si>
    <t xml:space="preserve">Bill &amp; Melinda Gates Foundation(Bill &amp; Melinda Gates FoundationBill &amp; Melinda Gates Foundation Grand Challenges Explorations InitiativeCGIAR); Johns Hopkins Center for Bioengineering Innovation and Design (CBID); Innovative Vector Control Consortium (IVCC); National Malaria Control Division, Ministry of Health, Makerere University School of Public Health, Uganda</t>
  </si>
  <si>
    <t xml:space="preserve">The authors would like to thank the Johns Hopkins Center for Bioengineering Innovation and Design (CBID) for its support in this project and Saisamhitha Dasari, Bhavya Gopinath, Carter Gaulke, Rebecca Rosenberg, Janis Iourovitski, Summer Duffy, Christina Hummel at CBID for their effort in this project and data collection. We also would like to appreciate our funders, Innovative Vector Control Consortium (IVCC) and Bill &amp; Melinda Gates Foundation who supported this work. We also thank Vector Borne and Neglected Tropical Diseases Control Division, National Malaria Control Division, Ministry of Health, Makerere University School of Public Health, Uganda for their support and Vector Control Officers Onanyang David, Kaweesa James, Kigongo Siriman, and Batte Derrick Jovan for their contribution and morphological identification of mosquitoes in the field. We also thank Marina Torroella and Radha Taralekar for the field operation and management.</t>
  </si>
  <si>
    <t xml:space="preserve">OCT 10</t>
  </si>
  <si>
    <t xml:space="preserve">10.1038/s41598-024-71856-8</t>
  </si>
  <si>
    <t xml:space="preserve">J3W0D</t>
  </si>
  <si>
    <t xml:space="preserve">WOS:001336386800007</t>
  </si>
  <si>
    <t xml:space="preserve">Su, Q; Bauer, CXC; Bergquist, R; Cao, ZG; Gao, FH; Hu, Y; Zhang, ZJ</t>
  </si>
  <si>
    <t xml:space="preserve">Su, Qing; Bauer, Cici Xi Chen; Bergquist, Robert; Cao, Zhiguo; Gao, Fenghua; Hu, Yi; Zhang, Zhijie</t>
  </si>
  <si>
    <t xml:space="preserve">Unraveling trends in schistosomiasis: deep learning insights into national control programs in China</t>
  </si>
  <si>
    <t xml:space="preserve">OBJECTIVES: To achieve the ambitious goal of eliminating schistosome infections, the Chinese government has implemented diverse control strategies. This study explored the progress of the 2 most recent national schistosomiasis control programs in an endemic area along the Yangtze River in China. METHODS: We obtained village-level parasitological data from cross-sectional surveys combined with environmental data in Anhui Province, China from 1997 to 2015. A convolutional neural network (CNN) based on a hierarchical integro-difference equation (IDE) framework (i.e., CNN-IDE) was used to model spatio-temporal variations in schistosomiasis. Two traditional models were also constructed for comparison with 2 evaluation indicators: the mean-squared prediction error (MSPE) and continuous ranked probability score (CRPS). RESULTS: The CNN-IDE model was the optimal model, with the lowest overall average MSPE of 0.04 and the CRPS of 0.19. From 1997 to 2011, the prevalence exhibited a notable trend: it increased steadily until peaking at 1.6 per 1,000 in 2005, then gradually declined, stabilizing at a lower rate of approximately 0.6 per 1,000 in 2006, and approaching zero by 2011. During this period, noticeable geographic disparities in schistosomiasis prevalence were observed; high-risk areas were initially dispersed, followed by contraction. Predictions for the period 2012 to 2015 demonstrated a consistent and uniform decrease. CONCLUSIONS: The proposed CNN-IDE model captured the intricate and evolving dynamics of schistosomiasis prevalence, offering a promising alternative for future risk modeling of the disease. The comprehensive strategy is expected to help diminish schistosomiasis infection, emphasizing the necessity to continue implementing this strategy.</t>
  </si>
  <si>
    <t xml:space="preserve">EPIDEMIOLOGY AND HEALTH</t>
  </si>
  <si>
    <t xml:space="preserve">KOREAN SOC EPIDEMIOLOGY</t>
  </si>
  <si>
    <t xml:space="preserve">Schistosomiasis; Deep learning; Spatio-temporal analysis; China</t>
  </si>
  <si>
    <t xml:space="preserve">REPUBLIC-OF-CHINA; JAPONICUM; TRANSMISSION; INFECTION; STRATEGY; EPIDEMIOLOGY; EXPERIENCES; IMPACT; LAKE</t>
  </si>
  <si>
    <t xml:space="preserve">[Su, Qing; Hu, Yi; Zhang, Zhijie] Fudan Univ, Sch Publ Hlth, Dept Epidemiol &amp; Biostat, 130 Dongan Rd, Shanghai 200032, Peoples R China; [Su, Qing; Zhang, Zhijie] Fudan Univ, Minist Educ, Key Lab Publ Hlth Safety, Shanghai, Peoples R China; [Su, Qing] Xuhui Dist Ctr Dis Control &amp; Prevent, Shanghai, Peoples R China; [Bauer, Cici Xi Chen] Univ Texas Hlth Sci Ctr Houston, Dept Biostat &amp; Data Sci, Houston, TX USA; [Bergquist, Robert] Ingerod, Brastad, Sweden; [Cao, Zhiguo] Anhui Inst Parasit Dis, Wuhu, Peoples R China; [Cao, Zhiguo; Hu, Yi; Zhang, Zhijie] Fudan Univ, Sch Publ Hlth, Lab Spatial Anal &amp; Modeling, Shanghai, Peoples R China</t>
  </si>
  <si>
    <t xml:space="preserve">Fudan University; Fudan University; Shanghai Center for Disease Control &amp; Prevention; University of Texas System; University of Texas Health Science Center Houston; Fudan University</t>
  </si>
  <si>
    <t xml:space="preserve">Hu, Y; Zhang, ZJ (corresponding author), Fudan Univ, Sch Publ Hlth, Dept Epidemiol &amp; Biostat, 130 Dongan Rd, Shanghai 200032, Peoples R China.</t>
  </si>
  <si>
    <t xml:space="preserve">huyi@fudan.edu; epistat@gmail.com</t>
  </si>
  <si>
    <t xml:space="preserve">Bauer, Cici/0000-0002-2337-7965; zhang, zhijie/0000-0002-1276-787X; Hu, Yi/0000-0001-9150-8392; Bergquist, Robert/0000-0002-0190-1084</t>
  </si>
  <si>
    <t xml:space="preserve">National Natural Science Foundation of China [81773487, 81973102]</t>
  </si>
  <si>
    <t xml:space="preserve">National Natural Science Foundation of China(National Natural Science Foundation of China (NSFC))</t>
  </si>
  <si>
    <t xml:space="preserve">This work is primarily being funded by the National Natural Science Foundation of China (81773487, 81973102).</t>
  </si>
  <si>
    <t xml:space="preserve">SUWON</t>
  </si>
  <si>
    <t xml:space="preserve">DEPT SOCIAL &amp; PREVENTIVE MEDICINE, SUNGKYUNKWAN UNIV SCH MEDICINE, SUWON, 16419, SOUTH KOREA</t>
  </si>
  <si>
    <t xml:space="preserve">2092-7193</t>
  </si>
  <si>
    <t xml:space="preserve">EPIDEMIOL HEALTH</t>
  </si>
  <si>
    <t xml:space="preserve">Epidemiol. Health</t>
  </si>
  <si>
    <t xml:space="preserve">e2024039</t>
  </si>
  <si>
    <t xml:space="preserve">10.4178/epih.e2024039</t>
  </si>
  <si>
    <t xml:space="preserve">D9Z3I</t>
  </si>
  <si>
    <t xml:space="preserve">WOS:001299685200011</t>
  </si>
  <si>
    <t xml:space="preserve">Lara-Ramírez, EE; Rivera, G; Oliva-Hernández, AA; Bocanegra-Garcia, V; López, JA; Guo, XW</t>
  </si>
  <si>
    <t xml:space="preserve">Lara-Ramirez, Edgar E.; Rivera, Gildardo; Oliva-Hernandez, Amanda Alejandra; Bocanegra-Garcia, Virgilio; Lopez, Jesus Adrian; Guo, Xianwu</t>
  </si>
  <si>
    <t xml:space="preserve">Unsupervised learning analysis on the proteomes of Zika virus</t>
  </si>
  <si>
    <t xml:space="preserve">Background. The Zika virus (ZIKV), which is transmitted by mosquito vectors to nonhuman primates and humans, causes devastating outbreaks in the poorest tropical regions of the world. Molecular epidemiology, supported by clustering phylogenetic gold standard studies using sequence data, has provided valuable information for tracking and controlling the spread of ZIKV. Unsupervised learning (UL), a form of machine learning algorithm, can be applied on the datasets without the need of known information for training. Methods. In this work, unsupervised Random Forest (URF), followed by the application of dimensional reduction algorithms such as principal component analysis (PCA), Uniform Manifold Approximation and Projection (UMAP), t-distributed stochastic neighbor embedding (t-SNE), and autoencoders were used to uncover hidden patterns from polymorphic amino acid sites extracted on the proteome ZIKV multi-alignments, without the need of an underlying evolutionary model. Results. The four UL algorithms revealed specific host and geographical clustering patterns for ZIKV. Among the four dimensionality reduction (DR) algorithms, the performance was better for UMAP. The four algorithms allowed the identification of imported viruses for specific geographical clusters. The UL dimension coordinates showed a significant correlation with phylogenetic tree branch lengths and significant phylogenetic dependence in Abouheif's Cmean and Pagel's Lambda tests (p value &lt; 0.01) that showed comparable performance with the phylogenetic method. This analytical strategy was generalizable to an external large dengue type 2 dataset. Conclusion. These UL algorithms could be practical evolutionary analytical techniques to track the dispersal of viral pathogens.</t>
  </si>
  <si>
    <t xml:space="preserve">PEERJ COMPUTER SCIENCE</t>
  </si>
  <si>
    <t xml:space="preserve">Machine learning; Unsupervised Learning; Zika virus; Phylogenetics; Phylogenetic dependence</t>
  </si>
  <si>
    <t xml:space="preserve">RANDOM FOREST</t>
  </si>
  <si>
    <t xml:space="preserve">[Lara-Ramirez, Edgar E.; Rivera, Gildardo] Inst Politecn Nacl, Lab Biotecnol Farmaceut, Ctr Biotecnol Genom, Reynosa, Tamaulipas, Mexico; [Oliva-Hernandez, Amanda Alejandra] Inst Politecn Nacl, Ctr Biotecnol Genom, Lab Biotecnol Expt, Reynosa, Tamaulipas, Mexico; [Bocanegra-Garcia, Virgilio] Inst Politecn Nacl, Ctr Biotecnol Genom, Lab Interacc Ambiente Microorganismo, Reynosa, Tamaulipas, Mexico; [Lopez, Jesus Adrian] Univ Autonoma Zacatecas, Unidad Acad Ciencias Biol, Lab MicroRNAs &amp; Canc, Zacatecas, Zacatecas, Mexico; [Guo, Xianwu] Inst Politecn Nacl, Lab Biotecnol Farmaceut, Ctr Biotecnol Genom, Reynosa, Tamaulipas, Mexico</t>
  </si>
  <si>
    <t xml:space="preserve">Instituto Politecnico Nacional - Mexico; Instituto Politecnico Nacional - Mexico; Instituto Politecnico Nacional - Mexico; Universidad Autonoma de Zacatecas; Instituto Politecnico Nacional - Mexico</t>
  </si>
  <si>
    <t xml:space="preserve">Lara-Ramírez, EE (corresponding author), Inst Politecn Nacl, Lab Biotecnol Farmaceut, Ctr Biotecnol Genom, Reynosa, Tamaulipas, Mexico.;Guo, XW (corresponding author), Inst Politecn Nacl, Lab Biotecnol Farmaceut, Ctr Biotecnol Genom, Reynosa, Tamaulipas, Mexico.</t>
  </si>
  <si>
    <t xml:space="preserve">doc_lara_ram@hotmail.com; xguo@ipn.mx</t>
  </si>
  <si>
    <t xml:space="preserve">Guo, Xianwu/D-6709-2018</t>
  </si>
  <si>
    <t xml:space="preserve">Programa de Estimulos al Desempeno de los Investigadores (EDI-IPN); Secretaria de Investigacion y Posgrado del Instituto Politecnico NacionalPRORED-2024</t>
  </si>
  <si>
    <t xml:space="preserve">This work was supported by Secretaria de Investigacion y Posgrado del Instituto Politecnico NacionalPRORED-2024. Edgar E. Lara-Ramirez holds a scholarship from the Programa de Estimulos al Desempeno de los Investigadores (EDI-IPN) . The funders had no role in study design, data collection and analysis, decision to publish, or preparation of the manuscript. Grant Disclosures The following grant information was disclosed by the authors: Secretaria de Investigacion y Posgrado del Instituto Politecnico Nacional: PRORED-2024. Programa de Estimulos al Desempeno de los Investigadores: PRORED-2024.</t>
  </si>
  <si>
    <t xml:space="preserve">2376-5992</t>
  </si>
  <si>
    <t xml:space="preserve">PEERJ COMPUT SCI</t>
  </si>
  <si>
    <t xml:space="preserve">NOV 11</t>
  </si>
  <si>
    <t xml:space="preserve">e2443</t>
  </si>
  <si>
    <t xml:space="preserve">10.7717/peerj-cs.2443</t>
  </si>
  <si>
    <t xml:space="preserve">M3Q7S</t>
  </si>
  <si>
    <t xml:space="preserve">WOS:001356730500002</t>
  </si>
  <si>
    <t xml:space="preserve">Kannan, A; Chen, R; Akhtar, Z; Sutton, B; Quigley, A; Morris, MJ; MacIntyre, CR</t>
  </si>
  <si>
    <t xml:space="preserve">Kannan, Anjali; Chen, Rosalie; Akhtar, Zubair; Sutton, Braidy; Quigley, Ashley; Morris, Margaret J.; MacIntyre, C. Raina</t>
  </si>
  <si>
    <t xml:space="preserve">Use of Open-Source Epidemic Intelligence for Infectious Disease Outbreaks, Ukraine, 2022</t>
  </si>
  <si>
    <t xml:space="preserve">Formal infectious disease surveillance in Ukraine has been disrupted by Russia's 2022 invasion, leading to challenges with tracking and containing epidemics. To analyze the effects of the war on infectious disease epidemiology, we used open-source data from EPIWATCH, an artificial intelligence early-warning system. We analyzed patterns of infectious diseases and syndromes before (November 1, 2021-February 23, 2022) and during (February 24-July 31, 2022) the conflict. We compared case numbers for the most frequently reported diseases with numbers from formal sources and found increases in overall infectious disease reports and in case numbers of cholera, botulism, tuberculosis, HIV/AIDS, rabies, and salmonellosis during compared with before the invasion. During the conflict, although open-source intelligence captured case numbers for epidemics, such data (except for diphtheria) were unavailable/underestimated by formal surveillance. In the absence of formal surveillance during military conflicts, open-source data provide epidemic intelligence useful for infectious disease control.</t>
  </si>
  <si>
    <t xml:space="preserve">EMERGING INFECTIOUS DISEASES</t>
  </si>
  <si>
    <t xml:space="preserve">CENTERS DISEASE CONTROL &amp; PREVENTION</t>
  </si>
  <si>
    <t xml:space="preserve">[Kannan, Anjali; Chen, Rosalie; Akhtar, Zubair; Sutton, Braidy; Quigley, Ashley; Morris, Margaret J.; MacIntyre, C. Raina] Univ New South Wales, Sydney, NSW, Australia</t>
  </si>
  <si>
    <t xml:space="preserve">University of New South Wales Sydney</t>
  </si>
  <si>
    <t xml:space="preserve">Quigley, A (corresponding author), Univ New South Wales, Kirby Inst, Fac Med, Biosecur Program, Level 6 Wallace Wurth Bldg,High St, Kensington, NSW 2052, Australia.</t>
  </si>
  <si>
    <t xml:space="preserve">ashley.quigley@unsw.edu.au</t>
  </si>
  <si>
    <t xml:space="preserve">MacIntyre, Chandini/D-4182-2011</t>
  </si>
  <si>
    <t xml:space="preserve">Morris, Margaret/0000-0003-2285-5117</t>
  </si>
  <si>
    <t xml:space="preserve">National Health and Medical Research Council Investigator grant [2016907]; Balvi Filantropik. Fund</t>
  </si>
  <si>
    <t xml:space="preserve">National Health and Medical Research Council Investigator grant(National Health &amp; Medical Research Council (NHMRC) of Australia); Balvi Filantropik. Fund</t>
  </si>
  <si>
    <t xml:space="preserve">Funding for EPIWATCH comes from the Balvi Filantropik. Fund, which supports A.K., R.C., Z.A., B.S., and A.Q. C.R.M. is supported by a National Health and Medical Research Council Investigator grant (no. 2016907) .</t>
  </si>
  <si>
    <t xml:space="preserve">ATLANTA</t>
  </si>
  <si>
    <t xml:space="preserve">1600 CLIFTON RD, ATLANTA, GA 30333 USA</t>
  </si>
  <si>
    <t xml:space="preserve">1080-6040</t>
  </si>
  <si>
    <t xml:space="preserve">1080-6059</t>
  </si>
  <si>
    <t xml:space="preserve">EMERG INFECT DIS</t>
  </si>
  <si>
    <t xml:space="preserve">Emerg. Infect. Dis</t>
  </si>
  <si>
    <t xml:space="preserve">10.3201/eid3009.240082</t>
  </si>
  <si>
    <t xml:space="preserve">Immunology; Infectious Diseases</t>
  </si>
  <si>
    <t xml:space="preserve">G7U3H</t>
  </si>
  <si>
    <t xml:space="preserve">WOS:001318637500014</t>
  </si>
  <si>
    <t xml:space="preserve">Liu, Y; Xie, SD; Zhou, J; Cai, Y; Zhang, PP; Li, JH; Ming, YZ</t>
  </si>
  <si>
    <t xml:space="preserve">Liu, Yang; Xie, Shudong; Zhou, Jie; Cai, Yu; Zhang, Pengpeng; Li, Junhui; Ming, Yingzi</t>
  </si>
  <si>
    <t xml:space="preserve">Using blood routine indicators to establish a machine learning model for predicting liver fibrosis in patients with Schistosoma japonicum</t>
  </si>
  <si>
    <t xml:space="preserve">This study intends to use the basic information and blood routine of schistosomiasis patients to establish a machine learning model for predicting liver fibrosis. We collected medical records of Schistosoma japonicum patients admitted to a hospital in China from June 2019 to June 2022. The method was to screen out the key variables and six different machine learning algorithms were used to establish prediction models. Finally, the optimal model was compared based on AUC, specificity, sensitivity and other indicators for further modeling. The interpretation of the model was shown by using the SHAP package. A total of 1049 patients' medical records were collected, and 10 key variables were screened for modeling using lasso method, including red cell distribution width-standard deviation (RDW-SD), Mean corpuscular hemoglobin concentration (MCHC), Mean corpuscular volume (MCV), hematocrit (HCT), Red blood cells, Eosinophils, Monocytes, Lymphocytes, Neutrophils, Age. Among the 6 different machine learning algorithms, LightGBM performed the best, and its AUCs in the training set and validation set were 1 and 0.818, respectively. This study established a machine learning model for predicting liver fibrosis in patients with Schistosoma japonicum. The model could help improve the early diagnosis and provide early intervention for schistosomiasis patients with liver fibrosis.</t>
  </si>
  <si>
    <t xml:space="preserve">MAGNONIC CRYSTALS; SPIN-WAVES; SKYRMIONS</t>
  </si>
  <si>
    <t xml:space="preserve">[Liu, Yang; Xie, Shudong; Zhang, Pengpeng; Li, Junhui; Ming, Yingzi] Cent South Univ, Xiangya Hosp 3, Transplantat Ctr, 138 Tongzipo Rd, Changsha 410013, Hunan, Peoples R China; [Liu, Yang; Xie, Shudong; Zhang, Pengpeng; Li, Junhui; Ming, Yingzi] Natl Hlth Comiss, Engn &amp; Technol Res Ctr Transplantat Med, Changsha, Hunan, Peoples R China; [Liu, Yang; Xie, Shudong; Zhang, Pengpeng; Li, Junhui; Ming, Yingzi] Hunan Prov Clin Res Ctr Infect Dis, Changsha, Hunan, Peoples R China; [Zhou, Jie; Cai, Yu] Hunan Inst Schistosomiasis Control, Yueyang, Hunan, Peoples R China</t>
  </si>
  <si>
    <t xml:space="preserve">Central South University</t>
  </si>
  <si>
    <t xml:space="preserve">Ming, YZ (corresponding author), Cent South Univ, Xiangya Hosp 3, Transplantat Ctr, 138 Tongzipo Rd, Changsha 410013, Hunan, Peoples R China.;Ming, YZ (corresponding author), Natl Hlth Comiss, Engn &amp; Technol Res Ctr Transplantat Med, Changsha, Hunan, Peoples R China.;Ming, YZ (corresponding author), Hunan Prov Clin Res Ctr Infect Dis, Changsha, Hunan, Peoples R China.</t>
  </si>
  <si>
    <t xml:space="preserve">600941@csu.edu.cn</t>
  </si>
  <si>
    <t xml:space="preserve">Zhang, Pengpeng/HOH-7100-2023</t>
  </si>
  <si>
    <t xml:space="preserve">National Natural Science Foundation of China</t>
  </si>
  <si>
    <t xml:space="preserve">The authors thank all the staf of Xiangyue Hospital for their valuable contributions to this research. The authors also thank Jie Zhou and Yu Cai (Hunan Institute of Schistosomiasis Control) for their technical assistance.</t>
  </si>
  <si>
    <t xml:space="preserve">MAY 20</t>
  </si>
  <si>
    <t xml:space="preserve">10.1038/s41598-024-62521-1</t>
  </si>
  <si>
    <t xml:space="preserve">RN1Q0</t>
  </si>
  <si>
    <t xml:space="preserve">WOS:001228252900053</t>
  </si>
  <si>
    <t xml:space="preserve">Meulah, B; Oyibo, P; Hoekstra, PT; Moure, PAN; Maloum, MN; Laclong-Lontchi, RA; Honkpehedji, YJ; Bengtson, M; Hokke, C; Corstjens, PLAM; Agbana, T; Diehl, JC; Adegnika, AA; van Lieshout, L</t>
  </si>
  <si>
    <t xml:space="preserve">Meulah, Brice; Oyibo, Prosper; Hoekstra, Pytsje T.; Moure, Paul Alvyn Nguema; Maloum, Moustapha Nzamba; Laclong-Lontchi, Romeo Aime; Honkpehedji, Yabo Josiane; Bengtson, Michel; Hokke, Cornelis; Corstjens, Paul L. A. M.; Agbana, Temitope; Diehl, Jan Carel; Adegnika, Ayola Akim; van Lieshout, Lisette</t>
  </si>
  <si>
    <t xml:space="preserve">Validation of artificial intelligence-based digital microscopy for automated detection of Schistosoma haematobium eggs in urine in Gabon</t>
  </si>
  <si>
    <t xml:space="preserve">Introduction Schistosomiasis is a significant public health concern, especially in Sub-Saharan Africa. Conventional microscopy is the standard diagnostic method in resource-limited settings, but with limitations, such as the need for expert microscopists. An automated digital microscope with artificial intelligence (Schistoscope), offers a potential solution. This field study aimed to validate the diagnostic performance of the Schistoscope for detecting and quantifying Schistosoma haematobium eggs in urine compared to conventional microscopy and to a composite reference standard (CRS) consisting of real-time PCR and the up-converting particle (UCP) lateral flow (LF) test for the detection of schistosome circulating anodic antigen (CAA). Methods Based on a non-inferiority concept, the Schistoscope was evaluated in two parts: study A, consisting of 339 freshly collected urine samples and study B, consisting of 798 fresh urine samples that were also banked as slides for analysis with the Schistoscope. In both studies, the Schistoscope, conventional microscopy, real-time PCR and UCP-LF CAA were performed and samples with all the diagnostic test results were included in the analysis. All diagnostic procedures were performed in a laboratory located in a rural area of Gabon, endemic for S. haematobium. Results In study A and B, the Schistoscope demonstrated a sensitivity of 83.1% and 96.3% compared to conventional microscopy, and 62.9% and 78.0% compared to the CRS. The sensitivity of conventional microscopy in study A and B compared to the CRS was 61.9% and 75.2%, respectively, comparable to the Schistoscope. The specificity of the Schistoscope in study A (78.8%) was significantly lower than that of conventional microscopy (96.4%) based on the CRS but comparable in study B (90.9% and 98.0%, respectively). Conclusion Overall, the performance of the Schistoscope was non-inferior to conventional microscopy with a comparable sensitivity, although the specificity varied. The Schistoscope shows promising diagnostic accuracy, particularly for samples with moderate to higher infection intensities as well as for banked sample slides, highlighting the potential for retrospective analysis in resource-limited settings.</t>
  </si>
  <si>
    <t xml:space="preserve">REAL-TIME PCR; SENSITIVITY; IMPACT</t>
  </si>
  <si>
    <t xml:space="preserve">[Meulah, Brice; Hoekstra, Pytsje T.; Honkpehedji, Yabo Josiane; Bengtson, Michel; Hokke, Cornelis; Adegnika, Ayola Akim; van Lieshout, Lisette] Leiden Univ, Leiden Univ Ctr Infect Dis LUCID, Med Ctr, Leiden, Netherlands; [Meulah, Brice; Moure, Paul Alvyn Nguema; Maloum, Moustapha Nzamba; Laclong-Lontchi, Romeo Aime; Honkpehedji, Yabo Josiane; Adegnika, Ayola Akim] Ctr Rech Med Lambarene, CERMEL, Lambarene, Gabon; [Oyibo, Prosper; Agbana, Temitope] Delft Univ Technol, Mech Maritime &amp; Mat Engn, Delft, Netherlands; [Moure, Paul Alvyn Nguema; Adegnika, Ayola Akim] Ecole Doctorale Reg Afrique Cent Infect Trop Franc, Franceville, Gabon; [Honkpehedji, Yabo Josiane; Adegnika, Ayola Akim] Fdn Pour Rech Sci, Cotonou, Benin; [Corstjens, Paul L. A. M.] Leiden Univ, Med Ctr, Dept Cell &amp; Chem Biol, Leiden, Netherlands; [Diehl, Jan Carel] Delft Univ Technol, Ind Design Engn, Delft, Netherlands; [Adegnika, Ayola Akim] Univ Tubingen, Inst Tropenmed, Tubingen, Germany</t>
  </si>
  <si>
    <t xml:space="preserve">Leiden University - Excl LUMC; Leiden University; Leiden University Medical Center (LUMC); Delft University of Technology; Leiden University; Leiden University Medical Center (LUMC); Leiden University - Excl LUMC; Delft University of Technology; Eberhard Karls University of Tubingen</t>
  </si>
  <si>
    <t xml:space="preserve">Meulah, B (corresponding author), Leiden Univ, Leiden Univ Ctr Infect Dis LUCID, Med Ctr, Leiden, Netherlands.;Meulah, B (corresponding author), Ctr Rech Med Lambarene, CERMEL, Lambarene, Gabon.</t>
  </si>
  <si>
    <t xml:space="preserve">b.meulah_tcheubousou@lumc.nl</t>
  </si>
  <si>
    <t xml:space="preserve">ADEGNIKA, Ayola/AAK-7307-2020; Honkpehedji, Yabo/LDF-3191-2024; Diehl, Jan Carel/L-6621-2013; Hokke, Cornelis/AAQ-4712-2021</t>
  </si>
  <si>
    <t xml:space="preserve">Adegnika, Ayola Akim/0000-0003-3197-5946; Meulah, Brice/0000-0003-2068-1563; NGUEMA-MOURE, Paul Alvyn/0000-0002-9703-4893; Nzamba Maloum, Moustapha/0000-0001-8213-8465; Oyibo, Prosper/0000-0003-4316-0883; Diehl, Jan Carel/0000-0002-4007-2282; Hokke, Cornelis/0000-0003-3545-7804</t>
  </si>
  <si>
    <t xml:space="preserve">NWO-WOTRO Science for Global Development program [W 07.30318.009]</t>
  </si>
  <si>
    <t xml:space="preserve">NWO-WOTRO Science for Global Development program</t>
  </si>
  <si>
    <t xml:space="preserve">This work was funded by NWO-WOTRO Science for Global Development program, grant no. W 07.30318.009 (INSPiRED-INclusive diagnoStics for Poverty REIated parasitic Diseases in Nigeria and Gabon) to LvL. The funders had no role in study design, data collection and analysis, decision to publish, or preparation of the manuscript.</t>
  </si>
  <si>
    <t xml:space="preserve">e0011967</t>
  </si>
  <si>
    <t xml:space="preserve">10.1371/journal.pntd.0011967</t>
  </si>
  <si>
    <t xml:space="preserve">KA3H3</t>
  </si>
  <si>
    <t xml:space="preserve">WOS:001177196300002</t>
  </si>
  <si>
    <t xml:space="preserve">Dsilva, LR; Tantri, SH; Sampathila, N; Mayrose, H; Bairy, GM; Belurkar, S; Saravu, K; Chadaga, K; Hafeez-Baig, A</t>
  </si>
  <si>
    <t xml:space="preserve">Dsilva, Liora Rosvin; Tantri, Shivani Harish; Sampathila, Niranjana; Mayrose, Hilda; Bairy, G. Muralidhar; Belurkar, Sushma; Saravu, Kavitha; Chadaga, Krishnaraj; Hafeez-Baig, Abdul</t>
  </si>
  <si>
    <t xml:space="preserve">Wavelet scattering- and object detection-based computer vision for identifying dengue from peripheral blood microscopy</t>
  </si>
  <si>
    <t xml:space="preserve">Dengue fever infection is a global health concern. Early disease detection is crucial for averting complications and fatality. Characteristic morphological changes in lymphocytes can be observed on a peripheral blood smear (PBS) in cases of dengue infection. In this research, we have developed automated computer vision models for dengue detection on PBS images using two approaches: wavelet scattering transform (WST)-based feature engineering and classification and You Only Look Once (YOLO)-based deep transfer learning for object detection. In the former, Morlet wavelet scattering features extracted from lymphocytes were used as input for five shallow classifiers for image classification. Among these, the support vector machine achieved the best results of 98.7% accuracy using 10-fold cross-validation. In the latter, computer vision-enabled object detection was implemented using five YOLOv8 scaled variants. Among these, YOLOv8s and YOLOv8l attained identical best mean accuracy of 99.3% +/- 1.4% across five independent experiments. Our results confirmed the feasibility and excellent diagnostic accuracy for both WST- and YOLOv8-enabled computer vision approaches for diagnosing dengue infection in PBS images. This research incorporates deep machine learning along with AI technology to enhance understanding and capabilities in automated Dengue diagnosis. The significance of this research extends to the broader domain of mosquito-borne illnesses. However, it is important to note that the findings are limited to the dataset used by the researchers.</t>
  </si>
  <si>
    <t xml:space="preserve">computer vision; dengue; lymphocytes; WST; YOLOv8</t>
  </si>
  <si>
    <t xml:space="preserve">[Dsilva, Liora Rosvin; Tantri, Shivani Harish; Sampathila, Niranjana; Mayrose, Hilda; Bairy, G. Muralidhar] Manipal Acad Higher Educ MAHE, Manipal Inst Technol, Dept Biomed Engn, Manipal, India; [Belurkar, Sushma] Manipal Acad Higher Educ MAHE, Kasturba Med Coll, Dept Pathol, Manipal, India; [Saravu, Kavitha] Manipal Acad Higher Educ MAHE, Kasturba Med Coll, Dept Infect Dis, Manipal, India; [Chadaga, Krishnaraj] Manipal Acad Higher Educ MAHE, Manipal Inst Technol, Dept Comp Sci &amp; Engn, Manipal, India; [Hafeez-Baig, Abdul] Univ Southern Queensland, Fac Business Educ Law &amp; Arts, Toowoomba, Qld, Australia</t>
  </si>
  <si>
    <t xml:space="preserve">Manipal Academy of Higher Education (MAHE); Manipal Academy of Higher Education (MAHE); Kasturba Medical College, Manipal; Manipal Academy of Higher Education (MAHE); Kasturba Medical College, Manipal; Manipal Academy of Higher Education (MAHE); University of Southern Queensland</t>
  </si>
  <si>
    <t xml:space="preserve">Sampathila, N; Mayrose, H (corresponding author), Manipal Acad Higher Educ MAHE, Manipal Inst Technol, Dept Biomed Engn, Manipal, India.</t>
  </si>
  <si>
    <t xml:space="preserve">niranjana.s@manipal.edu; hilda.mayrose@manipal.edu</t>
  </si>
  <si>
    <t xml:space="preserve">Saravu, Kavitha/H-4634-2019; Hafeez-Baig, Abdul/AFM-8105-2022; MAYROSE, HILDA/IXE-0220-2023; S/AAQ-8318-2020; Chadaga, Krishnaraj/AAX-7126-2021</t>
  </si>
  <si>
    <t xml:space="preserve">Dsilva, Liora/0009-0009-6872-0841; Sampathila, Dr. Niranjana/0000-0002-3345-360X; Hafeez-Baig, Abdul/0000-0003-3848-8008</t>
  </si>
  <si>
    <t xml:space="preserve">e23020</t>
  </si>
  <si>
    <t xml:space="preserve">10.1002/ima.23020</t>
  </si>
  <si>
    <t xml:space="preserve">EH3H6</t>
  </si>
  <si>
    <t xml:space="preserve">WOS:001137986700001</t>
  </si>
  <si>
    <t xml:space="preserve">D'Amato, DL; Bessa, IAA; Souza, ABC; Mendes-Monteiro, L; Mohana-Borges, R; Allonso, D; Ligiero, CBP; Ronconi, CM</t>
  </si>
  <si>
    <t xml:space="preserve">D'Amato, Dayenny L.; Bessa, Isabela A. A.; Souza, Ana Beatriz C.; Mendes-Monteiro, Lucas; Mohana-Borges, Ronaldo; Allonso, Diego; Ligiero, Carolina B. P.; Ronconi, Celia M.</t>
  </si>
  <si>
    <t xml:space="preserve">Zika Virus NS1 Protein Detection Using Gold Nanoparticle-Assisted Dynamic Light Scattering</t>
  </si>
  <si>
    <t xml:space="preserve">The Zika virus (ZIKV) is a global health threat due to its rapid spread and severe health implications, including congenital abnormalities and neurological complications. Differentiating ZIKV from other arboviruses such as dengue virus (DENV) is crucial for effective diagnosis and treatment. This study presents the development of a biosensor for detecting the ZIKV non-structural protein 1 (NS1) using gold nanoparticles (AuNPs) functionalized with monoclonal antibodies employing dynamic light scattering (DLS). The biosensor named ZINS1-mAb-AuNP exhibited specific binding to the ZIKV NS1 protein, demonstrating high colloidal stability indicated by a hydrodynamic diameter (DH) of 140 nm, detectable via DLS. In the absence of the protein, the high ionic strength medium caused particle aggregation. This detection method showed good sensitivity and specificity, with a limit of detection (LOD) of 0.96 mu g mL-1, and avoided cross-reactivity with DENV2 NS1 and SARS-CoV-2 spike proteins. The ZINS1-mAb-AuNP biosensor represents a promising tool for the early and accurate detection of ZIKV, facilitating diagnostic and treatment capabilities for arboviral infections.</t>
  </si>
  <si>
    <t xml:space="preserve">CHEMISTRY-AN ASIAN JOURNAL</t>
  </si>
  <si>
    <t xml:space="preserve">Zika virus detection; NS1 protein; Dynamic light scattering; Gold nanoparticles; Hydrodynamic diameter</t>
  </si>
  <si>
    <t xml:space="preserve">IN-VITRO; ASSAY; ANTIGEN; INFECTION; DIAGNOSIS; SIZE; REPLICATION; IMMUNOASSAY; INHIBITION; ACCURATE</t>
  </si>
  <si>
    <t xml:space="preserve">[D'Amato, Dayenny L.; Bessa, Isabela A. A.; Souza, Ana Beatriz C.; Ligiero, Carolina B. P.; Ronconi, Celia M.] Univ Fed Fluminense, Dept Inorgan Chem, Outeiro Sao Joao Batista S N, BR-24020150 Niteroi, RJ, Brazil; [Mendes-Monteiro, Lucas; Mohana-Borges, Ronaldo] Univ Fed Rio De Janeiro, Inst Biofis Carlos Chagas Filho, Ave Carlos Chagas Filho,373,Cidade Univ, BR-21941170 Rio De Janeiro, RJ, Brazil; [Allonso, Diego] Univ Fed Rio De Janeiro, Dept Biotecnol Farmaceut, Ave Carlos Chagas Filho,373,Cidade Univ, BR-21941170 Rio De Janeiro, RJ, Brazil</t>
  </si>
  <si>
    <t xml:space="preserve">Universidade Federal Fluminense; Universidade Federal do Rio de Janeiro; Universidade Federal do Rio de Janeiro</t>
  </si>
  <si>
    <t xml:space="preserve">Ronconi, CM (corresponding author), Univ Fed Fluminense, Dept Inorgan Chem, Outeiro Sao Joao Batista S N, BR-24020150 Niteroi, RJ, Brazil.</t>
  </si>
  <si>
    <t xml:space="preserve">cmronconi@id.uff.br</t>
  </si>
  <si>
    <t xml:space="preserve">de Souza, Ana Beatriz/ISS-1037-2023; Bastos Pereira Ligiero, Carolina/GWQ-4674-2022; Borges, Ronaldo/C-5575-2013; Bessa, Isabela/IQS-4979-2023; Machado Ronconi, Celia/H-5704-2016; Allonso, Diego/Y-3446-2018</t>
  </si>
  <si>
    <t xml:space="preserve">Mohana Borges, Ronaldo/0000-0002-1796-475X; Ligiero, Carolina/0000-0002-1944-9030; Bessa, Isabela/0000-0001-6444-9219; Mendes Monteiro, Lucas/0000-0003-1111-2027; Machado Ronconi, Celia/0000-0001-9736-9661; Louise D'Amato Leite, Dayenny/0000-0002-4885-7009; Allonso, Diego/0000-0002-1410-480X; Costa Souza, Ana Beatriz/0009-0007-8344-8044</t>
  </si>
  <si>
    <t xml:space="preserve">National Council for Scientific and Technological Development (CNPq) [315401/2023-0]; Coordination for the Improvement of Higher Education Personnel (CAPES) [001, 88881.657699/2021-01]; Rio de Janeiro Research Foundation (FAPERJ) [E-26/200.418/2023, E-26/010.000981/2019, E-26/211.392/2021, E-26/206.071/2022]</t>
  </si>
  <si>
    <t xml:space="preserve">National Council for Scientific and Technological Development (CNPq)(Conselho Nacional de Desenvolvimento Cientifico e Tecnologico (CNPQ)); Coordination for the Improvement of Higher Education Personnel (CAPES)(Coordenacao de Aperfeicoamento de Pessoal de Nivel Superior (CAPES)); Rio de Janeiro Research Foundation (FAPERJ)(Fundacao Carlos Chagas Filho de Amparo a Pesquisa do Estado do Rio De Janeiro (FAPERJ))</t>
  </si>
  <si>
    <t xml:space="preserve">C.M.R. is grateful for the financial support of the National Council for Scientific and Technological Development (CNPq) grant number 315401/2023-0 and Coordination for the Improvement of Higher Education Personnel (CAPES, financial code 001, D.L.D. fellowship) grant number 88881.657699/2021-01. The support from Rio de Janeiro Research Foundation (FAPERJ, Cientistas do Nosso Estado grant number E-26/200.418/2023, Redes de Pesquisa em Nanotecnologia no Estado do Rio de Janeiro grant number E-26/010.000981/2019, Projeto Tematico grant number E-26/211.392/2021, C.B.P.L. fellowship grant number E-26/206.071/2022) is also acknowledged. The authors are grateful to the facilities for molecular spectroscopy (http://www.uff.br/lame/), material characterization (http://www.uff.br/lamate/) of Multiuser Laboratories from Universidade Federal Fluminense (UFF) and Nulam/Inmetro for SEM facilities.</t>
  </si>
  <si>
    <t xml:space="preserve">1861-4728</t>
  </si>
  <si>
    <t xml:space="preserve">1861-471X</t>
  </si>
  <si>
    <t xml:space="preserve">CHEM-ASIAN J</t>
  </si>
  <si>
    <t xml:space="preserve">Chem.-Asian J.</t>
  </si>
  <si>
    <t xml:space="preserve">DEC 2</t>
  </si>
  <si>
    <t xml:space="preserve">10.1002/asia.202400826</t>
  </si>
  <si>
    <t xml:space="preserve">O2C2N</t>
  </si>
  <si>
    <t xml:space="preserve">WOS:001341482900001</t>
  </si>
  <si>
    <t xml:space="preserve">Manyazewal, T; Davey, G; Hanlon, C; Newport, MJ; Hopkins, M; Wilburn, J; Bakhiet, S; Mutesa, L; Semahegn, A; Assefa, E; Fekadu, A</t>
  </si>
  <si>
    <t xml:space="preserve">Manyazewal, Tsegahun; Davey, Gail; Hanlon, Charlotte; Newport, Melanie J.; Hopkins, Michael; Wilburn, Jenni; Bakhiet, Sahar; Mutesa, Leon; Semahegn, Agumasie; Assefa, Esubalew; Fekadu, Abebaw</t>
  </si>
  <si>
    <t xml:space="preserve">Innovative technologies to address neglected tropical diseases in African settings with persistent sociopolitical instability</t>
  </si>
  <si>
    <t xml:space="preserve">The health, economic, and social burden of neglected tropical diseases (NTDs) in Africa remains substantial, with elimination efforts hindered by persistent sociopolitical instability, including ongoing conflicts among political and ethnic groups that lead to internal displacement and migration. Here, we explore how innovative technologies can support Africa in addressing NTDs amidst such instability, through analysis of WHO and UNHCR data and a systematic literature review. Countries in Africa facing sociopolitical instability also bear a high burden of NTDs, with the continent ranking second globally in NTD burden (33%, 578 million people) and first in internal displacement (50%, 31.6 million people) in 2023. Studies have investigated technologies for their potential in NTD prevention, surveillance, diagnosis, treatment and management. Integrating the evidence, we discuss nine promising technologies-artificial intelligence, drones, mobile clinics, nanotechnology, telemedicine, augmented reality, advanced point-of-care diagnostics, mobile health Apps, and wearable sensors-that could enhance Africa's response to NTDs in the face of persistent sociopolitical instability. As stability returns, these technologies will evolve to support more comprehensive and sustainable health development. The global health community should facilitate deployment of health technologies to those in greatest need to help achieve the NTD 2030 Roadmap and other global health targets. Countries in Africa facing sociopolitical instability also bear a high burden of neglected tropical diseases (NTDs). Here, the authors explore the potential of health technologies to address NTDs through a systematic literature review.</t>
  </si>
  <si>
    <t xml:space="preserve">Article, systematic review</t>
  </si>
  <si>
    <t xml:space="preserve">NATURE COMMUNICATIONS</t>
  </si>
  <si>
    <t xml:space="preserve">ARTIFICIAL-INTELLIGENCE; GLOBAL HEALTH; LARGE-SCALE; CARE; CONFLICT; IMPACT; DELIVERY; SYSTEM</t>
  </si>
  <si>
    <t xml:space="preserve">[Manyazewal, Tsegahun; Hanlon, Charlotte; Semahegn, Agumasie; Assefa, Esubalew; Fekadu, Abebaw] Addis Ababa Univ, Coll Hlth Sci, Ctr Innovat Drug Dev &amp; Therapeut Trials Africa CDT, Addis Ababa, Ethiopia; [Davey, Gail; Newport, Melanie J.; Wilburn, Jenni; Fekadu, Abebaw] Brighton &amp; Sussex Med Sch, Ctr Global Hlth Res, Brighton, England; [Davey, Gail] Addis Ababa Univ, Coll Hlth Sci, Sch Publ Hlth, Addis Ababa, Ethiopia; [Hanlon, Charlotte] Kings Coll London, Ctr Global Mental Hlth, Hlth Serv &amp; Populat Res Dept, London, England; [Hanlon, Charlotte; Fekadu, Abebaw] Addis Ababa Univ, WHO Collaborating Ctr Mental Hlth Res &amp; Capac Bldg, Coll Hlth Sci, Sch Med,Dept Psychiat, Addis Ababa, Ethiopia; [Hopkins, Michael] Univ Sussex, Sci Policy Res Unit, Brighton, England; [Bakhiet, Sahar] Univ Khartoum, Inst Endem Dis, Khartoum, Sudan; [Mutesa, Leon] Univ Rwanda, Coll Med &amp; Hlth Sci, Ctr Human Genet, Kigali, Rwanda; [Semahegn, Agumasie] Haramaya Univ, Coll Hlth &amp; Med Sci, Harar, Ethiopia; [Assefa, Esubalew] Queen Mary Univ London, Wolfson Inst Populat Hlth, Hlth Econ &amp; Policy Res Unit, London, England</t>
  </si>
  <si>
    <t xml:space="preserve">Addis Ababa University; University of Brighton; University of Sussex; Addis Ababa University; University of London; King's College London; Addis Ababa University; University of Sussex; University of Khartoum; University of Rwanda; Haramaya University; University of London; Queen Mary University London</t>
  </si>
  <si>
    <t xml:space="preserve">Manyazewal, T (corresponding author), Addis Ababa Univ, Coll Hlth Sci, Ctr Innovat Drug Dev &amp; Therapeut Trials Africa CDT, Addis Ababa, Ethiopia.</t>
  </si>
  <si>
    <t xml:space="preserve">tsegahun.manyazewal@aau.edu.et</t>
  </si>
  <si>
    <t xml:space="preserve">Hanlon, Charlotte/AAH-7769-2020</t>
  </si>
  <si>
    <t xml:space="preserve">Manyazewal, Tsegahun/0000-0002-8360-7574; Demisie, Agumasie Semahegn/0000-0001-6625-8184; Mutesa, Leon/0000-0002-5308-3706</t>
  </si>
  <si>
    <t xml:space="preserve">DH | National Institute for Health Research (NIHR) [131996]; UK National Institute for Health and Care Research (Global Health Research); World Bank; Centre for Innovative Drug Development and Therapeutic Trials for Africa</t>
  </si>
  <si>
    <t xml:space="preserve">DH | National Institute for Health Research (NIHR); UK National Institute for Health and Care Research (Global Health Research); World Bank(The World Bank India); Centre for Innovative Drug Development and Therapeutic Trials for Africa</t>
  </si>
  <si>
    <t xml:space="preserve">The work was supported by the UK National Institute for Health and Care Research (Global Health Research 131996). The content is solely the responsibility of the authors and does not necessarily represent the official views of the UK National Institute for Health Research. For the purposes of open access, the author has applied a Creative Commons Attribution (CC BY) license to any Accepted Author Manuscript version arising from this submission. The World Bank financially supports the Centre for Innovative Drug Development and Therapeutic Trials for Africa (CDT-Africa).</t>
  </si>
  <si>
    <t xml:space="preserve">2041-1723</t>
  </si>
  <si>
    <t xml:space="preserve">NAT COMMUN</t>
  </si>
  <si>
    <t xml:space="preserve">10.1038/s41467-024-54496-4</t>
  </si>
  <si>
    <t xml:space="preserve">N7P7N</t>
  </si>
  <si>
    <t xml:space="preserve">WOS:001366217500012</t>
  </si>
  <si>
    <t xml:space="preserve">Adeleke, OT; Aworinde, HO; Oboh, M; Oladosu, O; Ayenigba, AB; Atobatele, B; Adeleke, O; Oladipo, TS; Adebayo, S</t>
  </si>
  <si>
    <t xml:space="preserve">Adeleke, Olumide T.; Aworinde, Halleluyah O.; Oboh, Mary; Oladosu, Oladipo; Ayenigba, Alaba B.; Atobatele, Bukola; Adeleke, Oludamola, V; Oladipo, Tunde S.; Adebayo, Segun</t>
  </si>
  <si>
    <t xml:space="preserve">Dataset for a novel AI-powered diagnostic tool for Plasmodium parasite detection authors</t>
  </si>
  <si>
    <t xml:space="preserve">Malaria remains a serious public health problem in many developing countries, particularly in Sub-Saharan Africa. Early detection and treatment of malaria are crucial in the fight against malaria in order to reduce morbidity and mortality, especially in the endemic regions. We set out to develop a simple, accurate, and efficient innovative diagnostic tool for malaria parasite identification that uses automated image processing to provide shorter diagnosis times while improving accuracy, efficiency, and standardization. Our primary goal in this study is to collect, curate, annotate and achieve blood smear images containing Plasmodium species for effective malaria diagnosis using Artificial Intelligent based system. The study curated 881 blood smear images which are categorized as positive and negative images.</t>
  </si>
  <si>
    <t xml:space="preserve">Malaria; Dataset; Signals; Machine learning; Disease</t>
  </si>
  <si>
    <t xml:space="preserve">[Adeleke, Olumide T.; Ayenigba, Alaba B.; Adeleke, Oludamola, V] Bowen Univ, Directorate Hlth Serv, Iwo, Nigeria; [Adeleke, Olumide T.; Oladipo, Tunde S.] Bowen Univ, Family Med Dept, Teaching Hosp, Ogbomosho, Nigeria; [Aworinde, Halleluyah O.] Bowen Univ, Coll Comp &amp; Commun Studies, Comp Sci Dept, Iwo, Nigeria; [Oboh, Mary; Atobatele, Bukola] Bowen Univ, Coll Agr Engn &amp; Sci, Microbiol Dept, Iwo, Nigeria; [Oladosu, Oladipo] Bowen Univ, Coll Agr Engn &amp; Sci, Pure &amp; Appl Biol Dept, Iwo, Nigeria; [Adebayo, Segun] Bowen Univ, Coll Agr Engn &amp; Sci, Mechatron Engn Programme, Iwo, Nigeria; [Aworinde, Halleluyah O.; Adebayo, Segun] Bowen Univ, Coll Agr Engn &amp; Sci, Comp &amp; Analyt Res Lab, Iwo, Nigeria</t>
  </si>
  <si>
    <t xml:space="preserve">Adebayo, S (corresponding author), Bowen Univ, Coll Agr Engn &amp; Sci, Mechatron Engn Programme, Iwo, Nigeria.</t>
  </si>
  <si>
    <t xml:space="preserve">segun.adebayo@bowen.edu.ng</t>
  </si>
  <si>
    <t xml:space="preserve">Adebayo, Segun/GLS-0600-2022; Aworinde, Halleluyah/ADU-7733-2022</t>
  </si>
  <si>
    <t xml:space="preserve">Aworinde, Halleluyah/0000-0002-2833-0007; ADELEKE, Oludamola Victoria/0009-0003-7471-2924; Adeleke, Olumide Thomas/0000-0001-6503-6416; Adebayo, Segun/0000-0001-8688-4780</t>
  </si>
  <si>
    <t xml:space="preserve">Bowen University, Iwo [BURG/2024/03]</t>
  </si>
  <si>
    <t xml:space="preserve">Bowen University, Iwo</t>
  </si>
  <si>
    <t xml:space="preserve">We gratefully appreciate the management of Bowen University, Iwo (BURG/2024/03) for fund-ing this study. We also acknowledge and appreciate all our patients who participated in this study. Many thanks to all the staff of the hospitals where data collection procedures were car-ried out.</t>
  </si>
  <si>
    <t xml:space="preserve">10.1016/j.dib.2024.110950</t>
  </si>
  <si>
    <t xml:space="preserve">J7F0W</t>
  </si>
  <si>
    <t xml:space="preserve">WOS:001338673100001</t>
  </si>
  <si>
    <t xml:space="preserve">Wekalao, J; Mandela, N; Obed, A; Bouhenna, A</t>
  </si>
  <si>
    <t xml:space="preserve">Wekalao, Jacob; Mandela, Ngaira; Obed, Apochi; Bouhenna, Abdessalem</t>
  </si>
  <si>
    <t xml:space="preserve">Design and Evaluation of Tunable Terahertz Metasurface Biosensor for Malaria Detection with Machine learning Optimization Using Artificial Intelligence</t>
  </si>
  <si>
    <t xml:space="preserve">Malaria continues to be a major global health issue, impacting millions each year and leading to hundreds of thousands of deaths, especially in less developed areas. Timely and precise diagnosis is essential for effective treatment and management of this parasitic illness. This study presents the design and evaluation of a tunable terahertz (THz) metasurface biosensor tailored for malaria detection, integrating plasmonic materials with artificial intelligence. The biosensor employs a multi-layer structure comprising graphene, gold, and silver to leverage surface plasmon resonance effects. Comprehensive electromagnetic simulations and parameter optimization demonstrate the sensor's ability to detect minute changes in malaria parasite concentrations, achieving a peak sensitivity of 429 GHzRIU-1, detection accuracy of 25.6 and a figure of merit of 10.989 RIU-1. The sensor features tunable elements that allow dynamic performance adjustments. Additionally, the XGBoost machine learning algorithm is harnessed to predict sensor performance across various design parameters, consistently demonstrating maximum R2 ranging up to 100%. This fusion of advanced materials, precise engineering, and predictive analytics represents a significant advancement in biosensing technology for malaria detection, offering substantial potential for early and accurate diagnosis.</t>
  </si>
  <si>
    <t xml:space="preserve">PLASMONICS</t>
  </si>
  <si>
    <t xml:space="preserve">Metasurfaces; Graphene; Machine learning; XGBoost; Quality factor; Biosensor</t>
  </si>
  <si>
    <t xml:space="preserve">DELAUNAY REFINEMENT ALGORITHMS; PLASMODIUM-FALCIPARUM; SENSOR</t>
  </si>
  <si>
    <t xml:space="preserve">[Wekalao, Jacob] Natl Forens Sci Univ, Sch Engn &amp; Technol, Gandhinagar 382007, Gujarat, India; [Mandela, Ngaira] Natl Forens Sci Univ, Sch Digital Forens &amp; Cyber Secur, Gandhinagar 382007, Gujarat, India; [Obed, Apochi] Natl Forens Sci Univ, Sch Behav Sci, Gandhinagar 382007, Gujarat, India; [Bouhenna, Abdessalem] Hassiba Benbouali Univ Chlef, Dept theoret Phys &amp; Mat Sci, Ouled Fares, Algeria</t>
  </si>
  <si>
    <t xml:space="preserve">National Forensic Sciences University; National Forensic Sciences University; National Forensic Sciences University; Universite Hassiba Ben Bouali de Chlef</t>
  </si>
  <si>
    <t xml:space="preserve">Wekalao, J (corresponding author), Natl Forens Sci Univ, Sch Engn &amp; Technol, Gandhinagar 382007, Gujarat, India.</t>
  </si>
  <si>
    <t xml:space="preserve">jacob.phdfs2303@nfsu.ac.in</t>
  </si>
  <si>
    <t xml:space="preserve">Apochi, Obed/HZL-0552-2023; Wekalao, Jacob/KCX-9930-2024; Apochi, Obed/JSK-0932-2023</t>
  </si>
  <si>
    <t xml:space="preserve">Mandela, Ngaira/0009-0007-9927-6443; Apochi, Obed/0000-0002-4144-3137</t>
  </si>
  <si>
    <t xml:space="preserve">ICCR</t>
  </si>
  <si>
    <t xml:space="preserve">The authors extend their gratitude to the National Forensic Sciences University for permitting them to use the digital computer laboratory for this research and ICCR for the scholarship sponsorship.</t>
  </si>
  <si>
    <t xml:space="preserve">1557-1955</t>
  </si>
  <si>
    <t xml:space="preserve">1557-1963</t>
  </si>
  <si>
    <t xml:space="preserve">Plasmonics</t>
  </si>
  <si>
    <t xml:space="preserve">2024 AUG 19</t>
  </si>
  <si>
    <t xml:space="preserve">10.1007/s11468-024-02491-2</t>
  </si>
  <si>
    <t xml:space="preserve">Chemistry, Physical; Nanoscience &amp; Nanotechnology; Materials Science, Multidisciplinary</t>
  </si>
  <si>
    <t xml:space="preserve">Chemistry; Science &amp; Technology - Other Topics; Materials Science</t>
  </si>
  <si>
    <t xml:space="preserve">D0Y0F</t>
  </si>
  <si>
    <t xml:space="preserve">WOS:001293514100002</t>
  </si>
  <si>
    <t xml:space="preserve">Murmu, A; Kumar, P</t>
  </si>
  <si>
    <t xml:space="preserve">Murmu, Anita; Kumar, Piyush</t>
  </si>
  <si>
    <t xml:space="preserve">DLRFNet: deep learning with random forest network for classification and detection of malaria parasite in blood smear</t>
  </si>
  <si>
    <t xml:space="preserve">In healthcare, observing the features and areas of malaria in microscopic images is crucial for the diagnosis and treatment of plasmodium malaria parasites for automated detection. The classification of malaria parasites can be challenging due to factors such as limited training data, class imbalance, and variability in parasite stages. Moreover, the parasites often belong to similar classes, and the quality of malaria blood cell smears is often poor. To address this issue, a Deep Convolutional Neural Network (Deep-CNN) model is combined with Random Forest (RF) for the detection of plasmodium malaria parasites. The Deep-CNN-RF approach leverages domain-specific expertise for improved learning. Moreover, a novel modification is applied to the pooling layer by incorporating the Global Average-Pooling layer (GAP) without an additional flattening layer, enhancing parasite area visualization. Additionally, Canny edge detection is employed for precise parasite boundary edge detection. The experimental performance of the Deep-CNN-RF model is evaluated using a malaria cell dataset from the National Library of Medicine (NLM), Kaggle, and the National Institutes of Health (NIH). The proposed scheme effectiveness is assessed through performance metrics, including accuracy, precision, recall, Mean Square Error (MSE), and F1-Score. The results demonstrate that the proposed technique outperforms state-of-the-art classification models on malaria parasite datasets.</t>
  </si>
  <si>
    <t xml:space="preserve">MULTIMEDIA TOOLS AND APPLICATIONS</t>
  </si>
  <si>
    <t xml:space="preserve">Deep convolutional neural networks; Random forest; Feature extraction; Classification; Malaria parasite; Global average pooling</t>
  </si>
  <si>
    <t xml:space="preserve">IMAGE-ANALYSIS; QUANTIFICATION; MECHANISM; STRATEGY</t>
  </si>
  <si>
    <t xml:space="preserve">[Murmu, Anita; Kumar, Piyush] Natl Inst Technol Patna, Comp Sci &amp; Engn Dept, Ashok Rajpath, Patna 800005, Bihar, India</t>
  </si>
  <si>
    <t xml:space="preserve">National Institute of Technology (NIT System); National Institute of Technology Patna</t>
  </si>
  <si>
    <t xml:space="preserve">Murmu, A (corresponding author), Natl Inst Technol Patna, Comp Sci &amp; Engn Dept, Ashok Rajpath, Patna 800005, Bihar, India.</t>
  </si>
  <si>
    <t xml:space="preserve">anitamurmu.cs@gmail.com; piyush.cs@nitp.ac.in</t>
  </si>
  <si>
    <t xml:space="preserve">Murmu, Anita/JZC-6817-2024</t>
  </si>
  <si>
    <t xml:space="preserve">MURMU, ANITA/0000-0002-2085-1131</t>
  </si>
  <si>
    <t xml:space="preserve">1380-7501</t>
  </si>
  <si>
    <t xml:space="preserve">1573-7721</t>
  </si>
  <si>
    <t xml:space="preserve">MULTIMED TOOLS APPL</t>
  </si>
  <si>
    <t xml:space="preserve">Multimed. Tools Appl.</t>
  </si>
  <si>
    <t xml:space="preserve">2024 JAN 10</t>
  </si>
  <si>
    <t xml:space="preserve">10.1007/s11042-023-17866-6</t>
  </si>
  <si>
    <t xml:space="preserve">Computer Science, Information Systems; Computer Science, Software Engineering; Computer Science, Theory &amp; Methods; Engineering, Electrical &amp; Electronic</t>
  </si>
  <si>
    <t xml:space="preserve">EL1X5</t>
  </si>
  <si>
    <t xml:space="preserve">WOS:001139001200006</t>
  </si>
  <si>
    <t xml:space="preserve">da Silva, AM; Carvalho, KSS; Januário, CAB; Caldas, RGDC; Paulino, BLD; Braz, DC; Costa, DL; Wallau, GD; da Silva, WJ Jr; Costa, CHN</t>
  </si>
  <si>
    <t xml:space="preserve">da Silva, Amanda Miranda; Carvalho, Katia Silene Sousa; Januario, Caio Andrey Bezerra; Caldas, Raquel Gomes de Sena Carneiro; Paulino, Bianka Lopes da Silva; Braz, Debora Cavalcante; Costa, Dorcas Lamounier; Wallau, Gabriel da Luz; da Silva Junior, Wilson Jose; Costa, Carlos Henrique Nery</t>
  </si>
  <si>
    <t xml:space="preserve">Genome-wide association study analysis of single nucleotide variants in L. infantum associated with IL-6 inflammatory response in visceral leishmaniasis</t>
  </si>
  <si>
    <t xml:space="preserve">Elevated levels of IL-6 in plasma are associated with the severity of visceral leishmaniasis (VL). The clinical manifestations of VL vary among patients, influenced by host factors and the virulence of the Leishmania infantum parasite. Considering that severe VL may result from an exaggerated inflammatory response, this study investigated whether IL-6 could serve as a biomarker to identify pro-inflammatory virulence factors. We conducted a genome-wide association study (GWAS) analysis on L. infantum isolates from patients with VL, whose IL-6 concentrations were measured. The analysis revealed that the relationship between IL-6 levels and clinical outcomes (survival vs mortality) had an area under the curve (AUC) of 0.67 (95% CI 0.52-0.81). A cut-off of 391.7 pg mL-1 for IL-6 was established to conduct a logistic regression analysis. We identified 10 029 single nucleotide variants (SNVs) across 62 genomes, resulting in 6,948 SNVs after filtering, of which 6,341 are located in protein-coding regions. The association analysis with PLINK identified 722 variants, of which 35 showed significant associations, with odds ratios &gt;= 3.3, primarily in coding regions. These findings demonstrate that IL-6 levels tended to be associated with the fatal outcome of VL and highlight 35 novel genetic variants that could serve as potential biomarkers for prognosis. Further research into the biological role of these variants may lead to new therapeutic targets and improve the clinical management of VL, especially in identifying high-risk patients.</t>
  </si>
  <si>
    <t xml:space="preserve">PARASITOLOGY</t>
  </si>
  <si>
    <t xml:space="preserve">genome-wide association study; genomics; interleukin-6; Leishmania infantum; visceral leishmaniasis</t>
  </si>
  <si>
    <t xml:space="preserve">SURFACE-PROTEINS; CYTOKINE PROFILE; IMMUNE-RESPONSE; GENE FAMILY; PLASMA; ALPHA</t>
  </si>
  <si>
    <t xml:space="preserve">[da Silva, Amanda Miranda; Costa, Dorcas Lamounier; Costa, Carlos Henrique Nery] Univ Fed Piaui, Postgrad Program Biotechnol, Northeast Network Biotechnol, Teresina, Piaui, Brazil; [da Silva, Amanda Miranda; Carvalho, Katia Silene Sousa; Paulino, Bianka Lopes da Silva; Costa, Dorcas Lamounier; Costa, Carlos Henrique Nery] Leishmaniasis Res Lab LabLeish, Teresina, Piaui, Brazil; [Januario, Caio Andrey Bezerra] Fed Univ Pernambuco UFPE, Postgrad Program Genet &amp; Mol Biol, Recife, PE, Brazil; [Caldas, Raquel Gomes de Sena Carneiro] Fed Univ Pernambuco UFPE, Postgrad Program Biol Sci, Recife, PE, Brazil; [Braz, Debora Cavalcante] Univ Fed Piaui, Pharm Course, Teresina, Piaui, Brazil; [Costa, Dorcas Lamounier; Costa, Carlos Henrique Nery] Natan Portella Inst Trop Dis, Teresina, Piaui, Brazil; [Costa, Dorcas Lamounier; Costa, Carlos Henrique Nery] Ctr Intelligence Emerging &amp; Neglected Trop Dis CIA, Teresina, Piaui, Brazil; [Wallau, Gabriel da Luz; da Silva Junior, Wilson Jose] Fundacao Oswaldo Cruz Fiocruz, Dept Entomol, Inst Aggeu Magalhaes, Rio De Janeiro, PE, Brazil</t>
  </si>
  <si>
    <t xml:space="preserve">Universidade Federal do Piaui; Universidade Federal de Pernambuco; Universidade Federal de Pernambuco; Universidade Federal do Piaui; Fundacao Oswaldo Cruz</t>
  </si>
  <si>
    <t xml:space="preserve">da Silva, AM (corresponding author), Univ Fed Piaui, Postgrad Program Biotechnol, Northeast Network Biotechnol, Teresina, Piaui, Brazil.;da Silva, AM (corresponding author), Leishmaniasis Res Lab LabLeish, Teresina, Piaui, Brazil.</t>
  </si>
  <si>
    <t xml:space="preserve">miraanda.sa@gmail.com</t>
  </si>
  <si>
    <t xml:space="preserve">SILVA, AMANDA/0000-0001-6476-4809</t>
  </si>
  <si>
    <t xml:space="preserve">Conselho Nacional de Desenvolvimento Cientfico e Tecnolgico; CAPES studentship</t>
  </si>
  <si>
    <t xml:space="preserve">Conselho Nacional de Desenvolvimento Cientfico e Tecnolgico; CAPES studentship(Coordenacao de Aperfeicoamento de Pessoal de Nivel Superior (CAPES))</t>
  </si>
  <si>
    <t xml:space="preserve">AMS was supported by a CAPES studentship. CABJ and RGSCC were supported by a scholarship. We would like to thank the Graduate Program in Biotechnology of the Northeast Network of Biotechnology, represented by Professor Daniel Dias Rufino and Professor Paulo Michel Pinheiro Ferreira, for their assistance.</t>
  </si>
  <si>
    <t xml:space="preserve">EDINBURGH BLDG, SHAFTESBURY RD, CB2 8RU CAMBRIDGE, ENGLAND</t>
  </si>
  <si>
    <t xml:space="preserve">0031-1820</t>
  </si>
  <si>
    <t xml:space="preserve">1469-8161</t>
  </si>
  <si>
    <t xml:space="preserve">2024 DEC 13</t>
  </si>
  <si>
    <t xml:space="preserve">10.1017/S0031182024001598</t>
  </si>
  <si>
    <t xml:space="preserve">T0A5O</t>
  </si>
  <si>
    <t xml:space="preserve">WOS:001401741700001</t>
  </si>
  <si>
    <t xml:space="preserve">Nugroho, HA; Nurfauzi, R</t>
  </si>
  <si>
    <t xml:space="preserve">Nugroho, Hanung Adi; Nurfauzi, Rizki</t>
  </si>
  <si>
    <t xml:space="preserve">A combination of optimized threshold and deep learning-based approach to improve malaria detection and segmentation on PlasmoID dataset</t>
  </si>
  <si>
    <t xml:space="preserve">Malaria is a life-threatening parasitic disease transmitted to humans by infected female Anopheles mosquitoes. Early and accurate diagnosis is crucial to reduce the high mortality rate of the disease, especially in eastern Indonesia, where limited health facilities and resources contribute to the effortless spread of the disease. In rural areas, the lack of trained parasitologists presents a significant challenge. To address this issue, a computer-aided detection (CAD) system for malaria is needed to support parasitologists in evaluating hundreds of blood smear slides every month. This study proposes a hybrid automated malaria parasite detection and segmentation method using image processing and deep learning techniques. First, an optimized double-Otsu method is proposed to generate malaria parasite patch candidates. Then, deep learning approaches are applied to recognize and segment the parasites. The proposed method is evaluated on the PlasmoID dataset, which consists of 468 malaria-infected microscopic images containing 691 malaria parasites from Indonesia. The results demonstrate that our proposed approach achieved an F1-score of 0.91 in parasite detection. Additionally, it achieved better performance in terms of sensitivity, specificity, and F1-score for parasite segmentation compared to original semantic segmentation methods. These findings highlight the potential of this study to be implemented in CAD malaria detection, which could significantly improve malaria diagnosis in resource-limited areas.</t>
  </si>
  <si>
    <t xml:space="preserve">Indonesia</t>
  </si>
  <si>
    <t xml:space="preserve">- GoogleNet
- DenseNet121
- MobileNet V2
- MnasNet
- ShuffleNet v2
- Resnet</t>
  </si>
  <si>
    <t xml:space="preserve">- F1-score = 0.91</t>
  </si>
  <si>
    <t xml:space="preserve">- Handling luminance noises
- Data specificity: Model trained on PlasmoID dataset, limiting generalizability </t>
  </si>
  <si>
    <t xml:space="preserve">FACETS</t>
  </si>
  <si>
    <t xml:space="preserve">CANADIAN SCIENCE PUBLISHING</t>
  </si>
  <si>
    <t xml:space="preserve">malaria; parasite detection; image segmentation; deep learning; image dataset</t>
  </si>
  <si>
    <t xml:space="preserve">BLOOD SMEARS; LOCALIZATION</t>
  </si>
  <si>
    <t xml:space="preserve">[Nugroho, Hanung Adi; Nurfauzi, Rizki] Univ Gadjah Mada, Fac Engn, Dept Elect &amp; Informat Engn, Jl Grafika 2 Kampus UGM, Yogyakarta 55281, Indonesia</t>
  </si>
  <si>
    <t xml:space="preserve">Gadjah Mada University</t>
  </si>
  <si>
    <t xml:space="preserve">Nugroho, HA (corresponding author), Univ Gadjah Mada, Fac Engn, Dept Elect &amp; Informat Engn, Jl Grafika 2 Kampus UGM, Yogyakarta 55281, Indonesia.</t>
  </si>
  <si>
    <t xml:space="preserve">adinugroho@ugm.ac.id</t>
  </si>
  <si>
    <t xml:space="preserve">Nugroho, Hanung/J-4205-2019; Nurfauzi, Rizki/JZC-9923-2024</t>
  </si>
  <si>
    <t xml:space="preserve">Nugroho, Hanung Adi/0000-0001-7749-8044; Nurfauzi, Rizki/0009-0001-4264-773X</t>
  </si>
  <si>
    <t xml:space="preserve">Deputy of Research and Development at the National Research and~Innovation Agency Republic of Indonesia</t>
  </si>
  <si>
    <t xml:space="preserve">The authors express their gratitude to the Department of Electrical and Information Engineering at Universitas Gadjah Mada for providing valuable research facilities and to the Research Grant of World Class Research from The Deputy of Research and Development at the National Research and &amp; nbsp;Innovation Agency Republic of Indonesia for their generous funding support.</t>
  </si>
  <si>
    <t xml:space="preserve">OTTAWA</t>
  </si>
  <si>
    <t xml:space="preserve">123 Slater Street, Suite 610, OTTAWA, ON K1P 5H2, CANADA</t>
  </si>
  <si>
    <t xml:space="preserve">2371-1671</t>
  </si>
  <si>
    <t xml:space="preserve">Facets</t>
  </si>
  <si>
    <t xml:space="preserve">JUL 17</t>
  </si>
  <si>
    <t xml:space="preserve">10.1139/facets-2022-0206</t>
  </si>
  <si>
    <t xml:space="preserve">O8CT3</t>
  </si>
  <si>
    <t xml:space="preserve">WOS:001046039200001</t>
  </si>
  <si>
    <t xml:space="preserve">Yin, MS; Haddawy, P; Ziemer, T; Wetjen, F; Supratak, A; Chiamsakul, K; Siritanakorn, W; Chantanalertvilai, T; Sriwichai, P; Sa-ngamuang, C</t>
  </si>
  <si>
    <t xml:space="preserve">Yin, Myat Su; Haddawy, Peter; Ziemer, Tim; Wetjen, Fabian; Supratak, Akara; Chiamsakul, Kanrawee; Siritanakorn, Worameth; Chantanalertvilai, Tharit; Sriwichai, Patchara; Sa-ngamuang, Chaitawat</t>
  </si>
  <si>
    <t xml:space="preserve">A deep learning-based pipeline for mosquito detection and classification from wingbeat sounds</t>
  </si>
  <si>
    <t xml:space="preserve">Mosquito vector-borne diseases such as malaria and dengue constitute some of the most serious public health burdens in tropical and sub-tropical countries. Effective targeting of disease control efforts requires accurate estimates of mosquito vector population density. The traditional, and still most common, approach to this involves the use of traps along with manual counting and classification of mosquito species. This process is costly and labor-intensive, which hinders its widespread use. In this paper we present a software pipeline for detection and classification of mosquito wingbeat sounds. Since our target platform is low-cost IoT devices, we explore the tradeoff between accuracy and efficiency. When a fast binary mosquito detector precedes the classifier, we can reduce the computational demand compared with use of the classifier alone by a factor of 10. While the accuracy of traditional machine learning model drops from 90% to 64% when reducing the sample rate from 96 kHz to 8 kHz, our deep-learning models maintain an accuracy of almost 83%, even when additionally reducing the bit depth from 24 to 16 bits. We conclude that the combination of an efficient mosquito detector with a convolutional neural network provides for an excellent trade-off between accuracy and efficiency to detect, classify and count mosquitoes.</t>
  </si>
  <si>
    <t xml:space="preserve">Thailand, Germany</t>
  </si>
  <si>
    <t xml:space="preserve">Mosquito wingbeat sounds</t>
  </si>
  <si>
    <t xml:space="preserve">Malaria, dengue</t>
  </si>
  <si>
    <t xml:space="preserve">- 1D-CNN
- 1D-CNN + LSTM</t>
  </si>
  <si>
    <t xml:space="preserve">- Accuracy of almost 93%</t>
  </si>
  <si>
    <t xml:space="preserve">- Detection precision and recall limit.
Need for detector improvement and deployment</t>
  </si>
  <si>
    <t xml:space="preserve">Mosquitoes; Vector-borne disease; Deep learning; Audio event detection</t>
  </si>
  <si>
    <t xml:space="preserve">[Yin, Myat Su; Haddawy, Peter; Supratak, Akara; Chiamsakul, Kanrawee; Siritanakorn, Worameth; Chantanalertvilai, Tharit; Sa-ngamuang, Chaitawat] Mahidol Univ, Fac ICT, 999 Phuttamonthon 4 Rd, Salaya, Nakhon Pathom, Thailand; [Yin, Myat Su; Haddawy, Peter; Ziemer, Tim; Wetjen, Fabian] Univ Bremen, Bremen Spatial Cognit Ctr, Enrique Schmidt Str 5, Bremen, Germany; [Sriwichai, Patchara] Mahidol Univ, Fac Trop Med, Bangkok, Thailand</t>
  </si>
  <si>
    <t xml:space="preserve">Mahidol University; University of Bremen; Mahidol University</t>
  </si>
  <si>
    <t xml:space="preserve">Haddawy, P (corresponding author), Mahidol Univ, Fac ICT, 999 Phuttamonthon 4 Rd, Salaya, Nakhon Pathom, Thailand.</t>
  </si>
  <si>
    <t xml:space="preserve">myatsu.yin@mahidol.ac.th; peter.had@mahidol.ac.th; ziemer@uni-bremen.de; fwetjen@uni-bremen.de; akara.sup@mahidol.ac.th; kanrawee.chi@student.mahidol.ac.th; worameth.sir@student.mahidol.ac.th; tharit.cha@student.mahidol.ac.th; patchara.sri@mahidol.ac.th; chaitawat.chat@gmail.com</t>
  </si>
  <si>
    <t xml:space="preserve">Sriwichai, Patchara/HGA-8991-2022; Supratak, Akara/J-8916-2019; Ziemer, Tim/A-9356-2017</t>
  </si>
  <si>
    <t xml:space="preserve">Haddawy, Peter/0000-0003-2203-006X; Ziemer, Tim/0000-0001-6821-7327</t>
  </si>
  <si>
    <t xml:space="preserve">Mahidol University Office of International Relations; Hanse-Wissenschaftskolleg Institute for Advanced Study; Mahidol University</t>
  </si>
  <si>
    <t xml:space="preserve">Mahidol University Office of International Relations; Hanse-Wissenschaftskolleg Institute for Advanced Study(Institute for Advanced Study); Mahidol University</t>
  </si>
  <si>
    <t xml:space="preserve">This work was partially supported by a grant from the Mahidol University Office of International Relations to Haddawy in support of the Mahidol-Bremen Medical Informatics Research Unit (MIRU), by a fellowship from the Hanse-Wissenschaftskolleg Institute for Advanced Study to Su Yin, and by a Young Researcher grant from Mahidol University to Su Yin.</t>
  </si>
  <si>
    <t xml:space="preserve">10.1007/s11042-022-13367-0</t>
  </si>
  <si>
    <t xml:space="preserve">JUN 2022</t>
  </si>
  <si>
    <t xml:space="preserve">8K2ER</t>
  </si>
  <si>
    <t xml:space="preserve">WOS:000814042800003</t>
  </si>
  <si>
    <t xml:space="preserve">Phumkuea, T; Nilvisut, P; Wongsirichot, T; Damkliang, K</t>
  </si>
  <si>
    <t xml:space="preserve">Phumkuea, Thanakorn; Nilvisut, Phurich; Wongsirichot, Thakerng; Damkliang, Kasikrit</t>
  </si>
  <si>
    <t xml:space="preserve">A NEW COMPUTER-AIDED DIAGNOSIS OF PRECISE MALARIA PARASITE DETECTION IN MICROSCOPIC IMAGES USING A DECISION TREE MODEL WITH SELECTIVE OPTIMAL FEATURES</t>
  </si>
  <si>
    <t xml:space="preserve">Malaria is a life-threatening mosquito-borne disease. Recently, the number of malaria cases has increased worldwide, threatening vulnerable populations. Malaria is responsible for a high rate of morbidity and mortality in people all around the world. Each year, many people, die from this disease, according to the World Health Organization (WHO). Thick and thin blood smears are used to determine parasite habitation and computer-aided diagnosis (CADx) techniques using machine learning (ML) are being used to assist. CADx reduces traditional diagnosis time, lessens socio-economic impact, and improves quality of life. This study develops a simplified model with selective features to reduce processing power and further shorten diagnostic time, which is important to resource-constrained areas. To improve overall classification results, we use a decision tree (DT)-based approach with image pre-processing called optimal features to identify optimal features. Various feature selection and extraction techniques are used, including information gain (IG). Our proposed model is compared to a benchmark state-of-art classification model. For an unseen dataset, our proposed model achieves accuracy, precision, recall, F-score, and processing time of 0.956, 0.949, 0.964, 0.956, and 9.877 s, respectively. Furthermore, our proposed model's training time is less than those of the state-of-the-art classification model, while the performance metrics are comparable.</t>
  </si>
  <si>
    <t xml:space="preserve">Decision tree</t>
  </si>
  <si>
    <t xml:space="preserve">- Accuracy = 0.956
- Precision = 0.949
- Recall = 0.964
- F-score = 0.956</t>
  </si>
  <si>
    <t xml:space="preserve">- Traditional ML less powerful than advanced methods</t>
  </si>
  <si>
    <t xml:space="preserve">BIOMEDICAL ENGINEERING-APPLICATIONS BASIS COMMUNICATIONS</t>
  </si>
  <si>
    <t xml:space="preserve">Decision tree; Image processing; Information gain; Machine learning; Malaria</t>
  </si>
  <si>
    <t xml:space="preserve">BLOOD; INFECTION</t>
  </si>
  <si>
    <t xml:space="preserve">[Phumkuea, Thanakorn] Prince Songkla Univ Songkhla, Coll Digital Sci, Hat Yai, Thailand; [Nilvisut, Phurich; Wongsirichot, Thakerng; Damkliang, Kasikrit] Prince Songkla Univ Songkhla, Div Computat Sci Fac Sci, Hat Yai, Thailand</t>
  </si>
  <si>
    <t xml:space="preserve">Wongsirichot, T (corresponding author), Prince Songkla Univ Songkhla, Div Computat Sci Fac Sci, Hat Yai, Thailand.</t>
  </si>
  <si>
    <t xml:space="preserve">thakerng.w@psu.ac.th</t>
  </si>
  <si>
    <t xml:space="preserve">Wongsirichot, Thakerng/Q-3298-2019; Damkliang, Kasikrit/F-2592-2015</t>
  </si>
  <si>
    <t xml:space="preserve">PHUMKUEA, THANAKORN/0000-0001-9078-5689</t>
  </si>
  <si>
    <t xml:space="preserve">National Science, Research, and Innovation Fund (NSRF); Prince of Songkla University [SCI6505041S]</t>
  </si>
  <si>
    <t xml:space="preserve">National Science, Research, and Innovation Fund (NSRF); Prince of Songkla University</t>
  </si>
  <si>
    <t xml:space="preserve">This research was supported by the National Science, Research, and Innovation Fund (NSRF) and Prince of Songkla University (Grant No. SCI6505041S).</t>
  </si>
  <si>
    <t xml:space="preserve">1016-2372</t>
  </si>
  <si>
    <t xml:space="preserve">1793-7132</t>
  </si>
  <si>
    <t xml:space="preserve">BIOMED ENG-APP BAS C</t>
  </si>
  <si>
    <t xml:space="preserve">Biomed. Eng.-Appl. Basis Commun.</t>
  </si>
  <si>
    <t xml:space="preserve">10.4015/S1016237223500047</t>
  </si>
  <si>
    <t xml:space="preserve">APR 2023</t>
  </si>
  <si>
    <t xml:space="preserve">S6GO7</t>
  </si>
  <si>
    <t xml:space="preserve">WOS:000980032900001</t>
  </si>
  <si>
    <t xml:space="preserve">Byndur, AH; Kota, B; Shiravanthe, N; Sadananda, S; Sadananda, S</t>
  </si>
  <si>
    <t xml:space="preserve">Byndur, Ananyaa Holla; Kota, Bhargavi; Shiravanthe, Nidhi; Sadananda, Sapna; Sadananda, Sandhya</t>
  </si>
  <si>
    <t xml:space="preserve">A SURVEY ON VARIOUS APPROACHES FOR SEGMENTATION AND CLASSIFICATION OF WHITE BLOOD CELLS</t>
  </si>
  <si>
    <t xml:space="preserve">Traditionally, White Blood Cell identification is performed by experienced pathologists manually. Peripheral blood smear analysis is a laboratory procedure that helps in diagnosis of various pathological disorders such as malaria, anemia, leukemia, etc. This process is performed at a microscopic level and therefore is required to be precise. Manually performing microscopic evaluation is a challenging task. This task can be automated with the help of computer-aided systems. This work discusses various methods being used in a variety of cellular image segmentation and classification tasks with the field of the survey being concentrated on leukocyte segmentation and classification.</t>
  </si>
  <si>
    <t xml:space="preserve">Imaging dataset</t>
  </si>
  <si>
    <t xml:space="preserve">SURANAREE JOURNAL OF SCIENCE AND TECHNOLOGY</t>
  </si>
  <si>
    <t xml:space="preserve">SURANAREE UNIV TECHNOLOGY</t>
  </si>
  <si>
    <t xml:space="preserve">Segmentation; Classification; Leukocytes; White Blood Cells; Deep Learning</t>
  </si>
  <si>
    <t xml:space="preserve">LEUKOCYTES; IMAGES</t>
  </si>
  <si>
    <t xml:space="preserve">[Byndur, Ananyaa Holla; Kota, Bhargavi; Shiravanthe, Nidhi; Sadananda, Sapna; Sadananda, Sandhya] NMAM Inst Technol, Dept Informat Sci &amp; Engn, Karnataka 574110, India</t>
  </si>
  <si>
    <t xml:space="preserve">NITTE (Deemed to be University); NMAM Institute of Technology</t>
  </si>
  <si>
    <t xml:space="preserve">Sadananda, S (corresponding author), NMAM Inst Technol, Dept Informat Sci &amp; Engn, Karnataka 574110, India.</t>
  </si>
  <si>
    <t xml:space="preserve">sapna_s@nitte.edu.in</t>
  </si>
  <si>
    <t xml:space="preserve">NAKHON RATCHASIMA</t>
  </si>
  <si>
    <t xml:space="preserve">111, THANON MAHA WITTHAYALAI, SURANARI, MUEANG NAKHON RATCHASIMA DIST, NAKHON RATCHASIMA, 30000, THAILAND</t>
  </si>
  <si>
    <t xml:space="preserve">0858-849X</t>
  </si>
  <si>
    <t xml:space="preserve">SURANAREE J SCI TECH</t>
  </si>
  <si>
    <t xml:space="preserve">Suranaree J. Sci. Technol.</t>
  </si>
  <si>
    <t xml:space="preserve">A8NV8</t>
  </si>
  <si>
    <t xml:space="preserve">WOS:000957639000017</t>
  </si>
  <si>
    <t xml:space="preserve">Liu, RC; Liu, TY; Dan, TT; Yang, S; Li, YB; Luo, BY; Zhuang, YT; Fan, XY; Zhang, XC; Cai, HM; Teng, Y</t>
  </si>
  <si>
    <t xml:space="preserve">Liu, Ruicun; Liu, Tuoyu; Dan, Tingting; Yang, Shan; Li, Yanbing; Luo, Boyu; Zhuang, Yingtan; Fan, Xinyue; Zhang, Xianchao; Cai, Hongmin; Teng, Yue</t>
  </si>
  <si>
    <t xml:space="preserve">AIDMAN: An AI-based object detection system for malaria diagnosis from smartphone thin-blood-smear images</t>
  </si>
  <si>
    <t xml:space="preserve">Malaria is a significant public health concern, with -95% of cases occurring in Africa, but accurate and timely diagnosis is problematic in remote and low-income areas. Here, we developed an artificial intelligence-based object detection system for malaria diagnosis (AIDMAN). In this system, the YOLOv5 model is used to detect cells in a thin blood smear. An attentional aligner model (AAM) is then applied for cellular classification that consists of multi-scale features, a local context aligner, and multi-scale attention. Finally, a convolutional neural network classifier is applied for diagnosis using blood-smear images, reducing interference caused by false positive cells. The results demonstrate that AIDMAN handles interference well, with a diagnostic ac-curacy of 98.62% for cells and 97% for blood-smear images. The prospective clinical validation accuracy of 98.44% is comparable to that of microscopists. AIDMAN shows clinically acceptable detection of malaria parasites and could aid malaria diagnosis, especially in areas lacking experienced parasitologists and equipment.</t>
  </si>
  <si>
    <t xml:space="preserve">West Africa</t>
  </si>
  <si>
    <t xml:space="preserve">Microscopy images</t>
  </si>
  <si>
    <t xml:space="preserve">- YOLOv5 combined with Transformer model</t>
  </si>
  <si>
    <t xml:space="preserve">- Accuracy = 98.62%
- Precision = 98.62%
- Sensitivity = 98.62%
- Specitivity = 98.62%
- F1-score = 98.62%
- AUC = 99.92%</t>
  </si>
  <si>
    <t xml:space="preserve">- Limited dataset and generalizability.
- Image type restriction
- Limited Clinical Validation &amp; Applicability</t>
  </si>
  <si>
    <t xml:space="preserve">PATTERNS</t>
  </si>
  <si>
    <t xml:space="preserve">POLYMERASE-CHAIN-REACTION; PREVENTION</t>
  </si>
  <si>
    <t xml:space="preserve">[Liu, Ruicun; Liu, Tuoyu; Yang, Shan; Li, Yanbing; Luo, Boyu; Zhuang, Yingtan; Fan, Xinyue; Teng, Yue] Beijing Inst Microbiol &amp; Epidemiol, State Key Lab Pathogen &amp; Biosecur, Beijing 100071, Peoples R China; [Dan, Tingting; Cai, Hongmin] South China Univ Technol, Sch Comp Sci &amp; Engn, Guangzhou 510600, Peoples R China; [Zhang, Xianchao] Jiaxing Univ, Key Lab Med Elect &amp; Digital Hlth Zhejiang Prov, Jiaxing 314001, Peoples R China; [Zhang, Xianchao] Jiaxing Univ, Engn Res Ctr Intelligent Human Hlth Situat Awarene, Jiaxing 314001, Peoples R China</t>
  </si>
  <si>
    <t xml:space="preserve">Beijing Institute of Microbiology &amp; Epidemiology; South China University of Technology; Jiaxing University; Jiaxing University</t>
  </si>
  <si>
    <t xml:space="preserve">Teng, Y (corresponding author), Beijing Inst Microbiol &amp; Epidemiol, State Key Lab Pathogen &amp; Biosecur, Beijing 100071, Peoples R China.;Cai, HM (corresponding author), South China Univ Technol, Sch Comp Sci &amp; Engn, Guangzhou 510600, Peoples R China.;Zhang, XC (corresponding author), Jiaxing Univ, Key Lab Med Elect &amp; Digital Hlth Zhejiang Prov, Jiaxing 314001, Peoples R China.;Zhang, XC (corresponding author), Jiaxing Univ, Engn Res Ctr Intelligent Human Hlth Situat Awarene, Jiaxing 314001, Peoples R China.</t>
  </si>
  <si>
    <t xml:space="preserve">zhangxianchao@zjxu.edu.cn; hmcai@scut.edu.cn; yueteng@sklpb.org</t>
  </si>
  <si>
    <t xml:space="preserve">fan, xinyue/ISA-0230-2023; li, yanbing/IXN-7588-2023; Dan, Tingting/LZI-3952-2025; Liu, Tuoyu/GOV-3855-2022</t>
  </si>
  <si>
    <t xml:space="preserve">Liu, Tuoyu/0000-0002-3376-0044</t>
  </si>
  <si>
    <t xml:space="preserve">2666-3899</t>
  </si>
  <si>
    <t xml:space="preserve">Patterns</t>
  </si>
  <si>
    <t xml:space="preserve">SEP 8</t>
  </si>
  <si>
    <t xml:space="preserve">10.1016/j.patter.2023.100806</t>
  </si>
  <si>
    <t xml:space="preserve">Computer Science, Artificial Intelligence; Computer Science, Information Systems; Computer Science, Interdisciplinary Applications</t>
  </si>
  <si>
    <t xml:space="preserve">T0RP8</t>
  </si>
  <si>
    <t xml:space="preserve">WOS:001075150800001</t>
  </si>
  <si>
    <t xml:space="preserve">Sukumarran, D; Hasikin, K; Khairuddin, M; Ngui, R; Sulaiman, W; Vythilingam, I; Divis, PCS</t>
  </si>
  <si>
    <t xml:space="preserve">Sukumarran, D.; Hasikin, K.; Khairuddin, Mohd; Ngui, R.; Sulaiman, Wan; Vythilingam, I.; Divis, P. C. S.</t>
  </si>
  <si>
    <t xml:space="preserve">An automated malaria cells detection from thin blood smear images using deep learning</t>
  </si>
  <si>
    <t xml:space="preserve">Timely and rapid diagnosis is crucial for faster and proper malaria treatment planning. Microscopic examination is the gold standard for malaria diagnosis, where hundreds of millions of blood films are examined annually. However, this method's effectiveness depends on the trained microscopist's skills. With the increasing interest in applying deep learning in malaria diagnosis, this study aims to determine the most suitable deep-learning object detection architecture and their applicability to detect and distinguish red blood cells as either malaria-infected or non-infected cells. The object detectors Yolov4, Faster R-CNN, and SSD 300 are trained with images infected by all five malaria parasites and from four stages of infection with 80/20 train and test data partition. The performance of object detectors is evaluated, and hyperparameters are optimized to select the best-performing model. The best-performing model was also assessed with an independent dataset to verify the models' ability to generalize in different domains. The results show that upon training, the Yolov4 model achieves a precision of 83%, recall of 95%, F1-score of 89%, and mean average precision of 93.87% at a threshold of 0.5. Conclusively, Yolov4 can act as an alternative in detecting the infected cells from whole thin blood smear images. Object detectors can complement a deep learning classification model in detecting infected cells since they eliminate the need to train on single-cell images and have been demonstrated to be more feasible for a different target domain.</t>
  </si>
  <si>
    <t xml:space="preserve">- YOLOv4
- Faster R-CNN
- SSD 300</t>
  </si>
  <si>
    <t xml:space="preserve">- YOLOv4: 
Precision = 83%
Recalll = 95%
F1-score = 89%
Mean average precision = 93.87%</t>
  </si>
  <si>
    <t xml:space="preserve">- Annotation and Data Preparation Limitations
- False Positives and Detection Challenges
- Stage Distribution in Dataset</t>
  </si>
  <si>
    <t xml:space="preserve">TROPICAL BIOMEDICINE</t>
  </si>
  <si>
    <t xml:space="preserve">MALAYSIAN SOC PARASITOLOGY TROPICAL MEDICINE</t>
  </si>
  <si>
    <t xml:space="preserve">Malaria; Yolov4; Faster R-CNN; SSD300; deep learning</t>
  </si>
  <si>
    <t xml:space="preserve">[Sukumarran, D.; Hasikin, K.] Univ Malaya, Fac Engn, Dept Biomed Engn, Kuala Lumpur, Malaysia; [Khairuddin, Mohd] Univ Malaya, Fac Engn, Dept Elect Engn, Kuala Lumpur, Malaysia; [Ngui, R.; Sulaiman, Wan; Vythilingam, I.] Univ Malaysia Sarawak, Fac Med &amp; Hlth Sci, Dept Para Clin Sci, Kota Samarahan, Malaysia; [Divis, P. C. S.] Univ Malaysia Sarawak, Fac Med &amp; Hlth Sci, Malaria Res Ctr, Sarawak, Malaysia; [Hasikin, K.; Khairuddin, Mohd] Univ Malaya, Fac Engn, Ctr Intelligent Syst Emerging Technol CISET, Kuala Lumpur 50603, Malaysia</t>
  </si>
  <si>
    <t xml:space="preserve">Universiti Malaya; Universiti Malaya; University of Malaysia Sarawak; University of Malaysia Sarawak; Universiti Malaya</t>
  </si>
  <si>
    <t xml:space="preserve">Hasikin, K (corresponding author), Univ Malaya, Fac Engn, Dept Biomed Engn, Kuala Lumpur, Malaysia.;Ngui, R (corresponding author), Univ Malaysia Sarawak, Fac Med &amp; Hlth Sci, Dept Para Clin Sci, Kota Samarahan, Malaysia.;Hasikin, K (corresponding author), Univ Malaya, Fac Engn, Ctr Intelligent Syst Emerging Technol CISET, Kuala Lumpur 50603, Malaysia.</t>
  </si>
  <si>
    <t xml:space="preserve">Ngui, Romano/H-9645-2015; MOHD KHAIRUDDIN, ANIS SALWA/B-5340-2010; Hasikin, Khairunnisa/B-8780-2010</t>
  </si>
  <si>
    <t xml:space="preserve">KUALA LUMPUR</t>
  </si>
  <si>
    <t xml:space="preserve">21-5-2, BLOCK, E, DIAMOND SQUARE, JALAN 3-50, OFF JALAN GOMBAK, KUALA LUMPUR, MALAYSIA</t>
  </si>
  <si>
    <t xml:space="preserve">0127-5720</t>
  </si>
  <si>
    <t xml:space="preserve">TROP BIOMED</t>
  </si>
  <si>
    <t xml:space="preserve">Trop. Biomed.</t>
  </si>
  <si>
    <t xml:space="preserve">10.47665/tb.40.2.013</t>
  </si>
  <si>
    <t xml:space="preserve">P4VM1</t>
  </si>
  <si>
    <t xml:space="preserve">WOS:001050653700001</t>
  </si>
  <si>
    <t xml:space="preserve">Katharina, P; István, K; János, T</t>
  </si>
  <si>
    <t xml:space="preserve">Katharina, Preissinger; Istvan, Kezsmarki; Janos, Torok</t>
  </si>
  <si>
    <t xml:space="preserve">An automated neural network-based stage-specific malaria detection software using dimension reduction: The malaria microscopy classifier</t>
  </si>
  <si>
    <t xml:space="preserve">Due to climate change and the COVID-19 pandemic, the number of malaria cases and deaths, caused by the Plasmodium genus, of which P. falciparum is the most common and lethal to hu-mans, increased between 2019 and 2020. Reversing this trend and eliminating malaria worldwide requires improvements in malaria diagnosis, in which artificial intelligence (AI) has recently been demonstrated to have a great potential. One of the main reasons for the use of neural networks (NNs) is the time saving through automatising the process and the elimination of human error. When classifying with two-dimensional images of red blood cells (RBCs), the number of parameters fitted by the NN for the classification of RBCs is extremely high, which strongly influences the performance of the network, especially for training sets of moderate size. The complicated handling of malaria culturing and sample preparation does not only limit the efficiency of NNs due to small training sets, but also because of the uneven distribution of red blood cell (RBC) categories. To boost the performance of microscopy techniques in malaria diagnosis, our approach aims at resolving these drawbacks by reducing the dimension of the input data and by data augmentation, respectively. We assess the performance of our approach on images recorded by light (LM), atomic force (AFM), and fluorescence microscopy (FM). Our tool, the Malaria Stage Classifier, provides a fast, high-accuracy recognition by (1) identifying individual RBCs in multi-cell microscopy images, (2) extracting characteristic one-dimensional cross-sections from individual RBC images. These cross-sections are selected by a simple algorithm to contain key information about the status of the RBCs and are used to (3) classify the malaria blood stages. We demonstrate that our method is applicable to images recorded by various microscopy techniques and available as a software package.center dot Identifying individual RBCs in multi-cell microscopy images.center dot Extracting characteristic one-dimensional cross-sections from individual RBC images. These cross-sections are selected by a simple algorithm to contain key information about the status of the RBCs and are used to.center dot Classify the malaria blood stages. We demonstrate that our method is applicable to images recorded by various microscopy techniques and available as a software package.</t>
  </si>
  <si>
    <t xml:space="preserve">Hungary, Germany</t>
  </si>
  <si>
    <t xml:space="preserve">Neural network (NN)</t>
  </si>
  <si>
    <t xml:space="preserve">- Accuracy more than 98%</t>
  </si>
  <si>
    <t xml:space="preserve">- Low contrast image challenge</t>
  </si>
  <si>
    <t xml:space="preserve">METHODSX</t>
  </si>
  <si>
    <t xml:space="preserve">Malaria; Red blood cells; Malaria diagnosis; Artificial intelligence; Cell detection; Software</t>
  </si>
  <si>
    <t xml:space="preserve">[Katharina, Preissinger] BME, Dept Appl Biotechnol &amp; Food Sci, H-1111 Budapest, Hungary; [Katharina, Preissinger] Inst Enzymol, Res Ctr Nat Sci, H-1111 Budapest, Hungary; [Katharina, Preissinger; Istvan, Kezsmarki] BME, Dept Phys, H-1111 Budapest, Hungary; [Katharina, Preissinger; Istvan, Kezsmarki] Univ Augsburg, Dept Expt Phys 5, D-86159 Augsburg, Germany; [Janos, Torok] Inst Phys, Dept Theoret Phys, BME, Muegyetem Rkp 3, H-1111 Budapest, Hungary; [Janos, Torok] MTA BME Morphodynam Res Grp, BME, H-1111 Budapest, Hungary</t>
  </si>
  <si>
    <t xml:space="preserve">Budapest University of Technology &amp; Economics; Hungarian Research Network; HUN-REN Research Centre for Natural Sciences; Institute of Enzymology - HAS; Budapest University of Technology &amp; Economics; University of Augsburg; Budapest University of Technology &amp; Economics; Budapest University of Technology &amp; Economics</t>
  </si>
  <si>
    <t xml:space="preserve">Katharina, P (corresponding author), Univ Augsburg, Dept Expt Phys 5, D-86159 Augsburg, Germany.</t>
  </si>
  <si>
    <t xml:space="preserve">katharina.preissinger@physik.uni-augsburg.de</t>
  </si>
  <si>
    <t xml:space="preserve">National Research, Development and Innovation Office of Hungary [K119493, VEKOP-2.3.2-16-2017-00013, NKP-2018-1.2.1-NKP-2018-00005]; BME-Biotechnology FIKP grant of EMMI; BME-Nanotechnology and Materials Science FIKP grant of EMMI; National Heart Programme [NVKP-16-1-2016- 0017, K124966, K135360]; National Bionics Programme [ED_17-1-2017-0009]; SE FIKP-Therapy Grant</t>
  </si>
  <si>
    <t xml:space="preserve">National Research, Development and Innovation Office of Hungary(National Research, Development &amp; Innovation Office (NRDIO) - Hungary); BME-Biotechnology FIKP grant of EMMI; BME-Nanotechnology and Materials Science FIKP grant of EMMI; National Heart Programme; National Bionics Programme; SE FIKP-Therapy Grant</t>
  </si>
  <si>
    <t xml:space="preserve">This research was supported by the National Research, Development and Innovation Office of Hungary (K119493, VEKOP-2.3.2-16-2017-00013, NKP-2018-1.2.1-NKP-2018-00005) , the BME-Biotechnology FIKP grant of EMMI (BME FIKP-BIO) , the BME-Nanotechnology and Materials Science FIKP grant of EMMI (BME FIKP-NAT) , the National Heart Programme (NVKP-16-1-2016- 0017) , K124966 and K135360, National Bionics Programme ED_17-1-2017-0009 and SE FIKP-Therapy Grant.</t>
  </si>
  <si>
    <t xml:space="preserve">2215-0161</t>
  </si>
  <si>
    <t xml:space="preserve">10.1016/j.mex.2023.102189</t>
  </si>
  <si>
    <t xml:space="preserve">FF4M0</t>
  </si>
  <si>
    <t xml:space="preserve">WOS:001144334400001</t>
  </si>
  <si>
    <t xml:space="preserve">Panja, M; Chakraborty, T; Nadim, SS; Ghosh, I; Kumar, U; Liu, N</t>
  </si>
  <si>
    <t xml:space="preserve">Panja, Madhurima; Chakraborty, Tanujit; Nadim, Sk Shahid; Ghosh, Indrajit; Kumar, Uttam; Liu, Nan</t>
  </si>
  <si>
    <t xml:space="preserve">An ensemble neural network approach to forecast Dengue outbreak based on climatic condition</t>
  </si>
  <si>
    <t xml:space="preserve">Dengue fever is a virulent disease spreading over 100 tropical and subtropical countries in Africa, the Americas, and Asia. This arboviral disease affects around 400 million people globally, severely distressing the healthcare systems. The unavailability of a specific drug and ready-to-use vaccine makes the situation worse. Hence, policymakers must rely on early warning systems to control intervention-related decisions. Forecasts routinely provide critical information for dangerous epidemic events. However, the available forecasting models (e.g., weather-driven mechanistic, statistical time series, and machine learning models) lack a clear understanding of different components to improve prediction accuracy and often provide unstable and unreliable forecasts. This study proposes an ensemble wavelet neural network with exogenous factor(s) (XEWNet) model that can produce reliable estimates for dengue outbreak prediction for three geographical regions, namely San Juan, Iquitos, and Ahmedabad. The proposed XEWNet model is flexible and can easily incorporate exogenous climate variable(s) confirmed by statistical causality tests in its scalable framework. The proposed model is an integrated approach that uses wavelet transformation into an ensemble neural network framework that helps in generating more reliable long-term forecasts. The proposed XEWNet allows complex non-linear relationships between the dengue incidence cases and rainfall; however, mathematically interpretable, fast in execution, and easily comprehensible. The proposal's competitiveness is measured using computational experiments based on various statistical metrics and several statistical comparison tests. In comparison with statistical, machine learning, and deep learning methods, our proposed XEWNet performs better in 75% of the cases for short-term and long-term forecasting of dengue incidence.</t>
  </si>
  <si>
    <t xml:space="preserve">India, United Arab Emirates, USA, Singapore</t>
  </si>
  <si>
    <t xml:space="preserve">- Puerto Rico
- Peru
- India</t>
  </si>
  <si>
    <t xml:space="preserve">Laboratory-confirmed dengue incidence cases and Climatic data</t>
  </si>
  <si>
    <t xml:space="preserve">Ensemble wavelet neural network (XEWNet)</t>
  </si>
  <si>
    <t xml:space="preserve">52 weeks forecast
- RMSE = 09.98
- MAE = 06.55
- SMAPE = 78.34
- MASE = 01.28
26 weeks forecast
- RMSE = 02.04
- MAE = 02.36
- SMAPE = 128.5
- MASE = 01.79</t>
  </si>
  <si>
    <t xml:space="preserve">- Limted dataset size for deep learning models
- Limited geographic diversity</t>
  </si>
  <si>
    <t xml:space="preserve">CHAOS SOLITONS &amp; FRACTALS</t>
  </si>
  <si>
    <t xml:space="preserve">Dengue; Wavelet transform; Forecasting; MODWT; Neural networks; Ensemble</t>
  </si>
  <si>
    <t xml:space="preserve">TIME-SERIES; AEDES-AEGYPTI; MODEL; DECOMPOSITION; TEMPERATURE; VECTOR</t>
  </si>
  <si>
    <t xml:space="preserve">[Panja, Madhurima; Chakraborty, Tanujit; Kumar, Uttam] Int Inst Informat Technol Bangalore, Ctr Data Sci, Spatial Comp Lab, Bangalore, India; [Chakraborty, Tanujit] Sorbonne Univ, Dept Sci &amp; Engn, Abu Dhabi, U Arab Emirates; [Chakraborty, Tanujit] Sorbonne Ctr Artificial Intelligence, Abu Dhabi, U Arab Emirates; [Nadim, Sk Shahid] Univ Georgia, Odum Sch Ecol, Athens, GA USA; [Ghosh, Indrajit] Univ Georgia, Dept Epidemiol &amp; Biostat, Athens, GA USA; [Liu, Nan] Natl Univ Singapore, Duke NUS Med Sch, Singapore, Singapore</t>
  </si>
  <si>
    <t xml:space="preserve">International Institute of Information Technology Bangalore (IIIT Bangalore); University System of Georgia; University of Georgia; University System of Georgia; University of Georgia; National University of Singapore</t>
  </si>
  <si>
    <t xml:space="preserve">Chakraborty, T (corresponding author), Int Inst Informat Technol Bangalore, Ctr Data Sci, Spatial Comp Lab, Bangalore, India.;Chakraborty, T (corresponding author), Sorbonne Univ, Dept Sci &amp; Engn, Abu Dhabi, U Arab Emirates.;Chakraborty, T (corresponding author), Sorbonne Ctr Artificial Intelligence, Abu Dhabi, U Arab Emirates.</t>
  </si>
  <si>
    <t xml:space="preserve">tanujit.chakraborty@sorbonne.ae</t>
  </si>
  <si>
    <t xml:space="preserve">Chakraborty, Tanujit/ABE-1484-2020; Nadim, Sk/AAE-1853-2021; Ghosh, Indrajit/ABH-3370-2020; Panja, Madhurima/KGK-4752-2024; Liu, Nan/HCS-2632-2022</t>
  </si>
  <si>
    <t xml:space="preserve">Liu, Nan/0000-0003-3610-4883; Panja, Madhurima/0009-0004-7467-2456; CHAKRABORTY, TANUJIT/0000-0002-3479-2187</t>
  </si>
  <si>
    <t xml:space="preserve">0960-0779</t>
  </si>
  <si>
    <t xml:space="preserve">1873-2887</t>
  </si>
  <si>
    <t xml:space="preserve">CHAOS SOLITON FRACT</t>
  </si>
  <si>
    <t xml:space="preserve">Chaos Solitons Fractals</t>
  </si>
  <si>
    <t xml:space="preserve">10.1016/j.chaos.2023.113124</t>
  </si>
  <si>
    <t xml:space="preserve">JAN 2023</t>
  </si>
  <si>
    <t xml:space="preserve">Mathematics, Interdisciplinary Applications; Physics, Multidisciplinary; Physics, Mathematical</t>
  </si>
  <si>
    <t xml:space="preserve">Mathematics; Physics</t>
  </si>
  <si>
    <t xml:space="preserve">E8FE6</t>
  </si>
  <si>
    <t xml:space="preserve">WOS:000977828500001</t>
  </si>
  <si>
    <t xml:space="preserve">Fu, M; Wu, K; Li, YX; Luo, LK; Huang, W; Zhang, Q</t>
  </si>
  <si>
    <t xml:space="preserve">Fu, Min; Wu, Kai; Li, Yuxuan; Luo, Linkai; Huang, Wei; Zhang, Qi</t>
  </si>
  <si>
    <t xml:space="preserve">An intelligent detection method for plasmodium based on self-supervised learning and attention mechanism</t>
  </si>
  <si>
    <t xml:space="preserve">BackgroundMalaria remains a severe life-threatening disease caused by plasmodium parasites. Microscopy is widely used for malaria diagnosis. However, it relies heavily on the skills and experience of inspectors. Due to low-level medical services and the lack of skilled inspectors, misdiagnoses are frequently made in some areas. MethodsIn recent years, many successful applications of CNN models have been reported. Unlike images in the ImageNet, the image of plasmodium only has a tiny defect area with a large amount of information. In addition, the dataset is extremely unbalanced: the number of positive samples is much less than that of negative samples. This paper proposes a classification network by combining attention mechanism and ResNeSt for plasmodium detection and using self-supervised learning to pre-train the network. First, the positive samples were adopted to pre-train the network. Then, attention modules were taken to highlight the feature area. To support current and future research, we also constructed a plasmodium dataset with Plasmodium falciparum, Plasmodium vivax, Plasmodium ovale, and Plasmodium malaria and non-Plasmodium. Through self-supervised learning, a large amount of unlabeled data is used to mine the representational features, thus improving the feature extraction capability of the model and achieving higher accuracy, while saving the physician's labeling time and improving the classification accuracy. ResultsThe experiments show that our model exhibits an excellent performance and that the test accuracy, sensitivity, and specificity attain 97.8%, 96.5%, and 98.9%, respectively. ConclusionThe AI classification method proposed in this paper can effectively assist clinicians in the diagnosis and provide a basis for the automatic detection of malaria parasites in the future.</t>
  </si>
  <si>
    <t xml:space="preserve">Microscopy image dataset</t>
  </si>
  <si>
    <t xml:space="preserve">Semi-supervised learning</t>
  </si>
  <si>
    <t xml:space="preserve">Attention mechanism and ResNeSt</t>
  </si>
  <si>
    <t xml:space="preserve">- Accuracy = 97.8%
- Sensitivity = 96.5%
- Specificity = 98.9%</t>
  </si>
  <si>
    <t xml:space="preserve">deep learning; plasmodium parasites; self-supervised learning; attention mechanism; automatic detecting system</t>
  </si>
  <si>
    <t xml:space="preserve">[Fu, Min; Luo, Linkai] Xiamen Univ, Sch Aerosp Engn, Xiamen, Peoples R China; [Wu, Kai] Wuhan Ctr Dis Control &amp; Prevent, Dept Schistosomiasis &amp; Endem Dis, Wuhan, Peoples R China; [Li, Yuxuan] Wuhan Univ Technol, Sch Art &amp; Design, Wuhan, Peoples R China; [Huang, Wei] Huazhong Univ Sci &amp; Technol, Union Hosp, Tongji Med Coll, Dept Orthopaed, Wuhan, Peoples R China; [Zhang, Qi] Huazhong Univ Sci &amp; Technol, Wuhan Jinyintan Hosp, Tongji Med Coll, Wuhan, Peoples R China</t>
  </si>
  <si>
    <t xml:space="preserve">Xiamen University; Wuhan University of Technology; Huazhong University of Science &amp; Technology; Wuhan Jinyintan Hospital; Huazhong University of Science &amp; Technology</t>
  </si>
  <si>
    <t xml:space="preserve">Luo, LK (corresponding author), Xiamen Univ, Sch Aerosp Engn, Xiamen, Peoples R China.;Huang, W (corresponding author), Huazhong Univ Sci &amp; Technol, Union Hosp, Tongji Med Coll, Dept Orthopaed, Wuhan, Peoples R China.;Zhang, Q (corresponding author), Huazhong Univ Sci &amp; Technol, Wuhan Jinyintan Hosp, Tongji Med Coll, Wuhan, Peoples R China.</t>
  </si>
  <si>
    <t xml:space="preserve">luolk@xmu.edu.cn; hz884698@gmail.com; 524042405@qq.com</t>
  </si>
  <si>
    <t xml:space="preserve">Li, Yuxuan/GZL-4388-2022</t>
  </si>
  <si>
    <t xml:space="preserve">Li, Yuxuan/0000-0002-7941-5887</t>
  </si>
  <si>
    <t xml:space="preserve">JUN 29</t>
  </si>
  <si>
    <t xml:space="preserve">10.3389/fmed.2023.1117192</t>
  </si>
  <si>
    <t xml:space="preserve">L6YG2</t>
  </si>
  <si>
    <t xml:space="preserve">gold, Green Submitted, Green Published</t>
  </si>
  <si>
    <t xml:space="preserve">WOS:001024690200001</t>
  </si>
  <si>
    <t xml:space="preserve">Eze, PU; Geard, N; Mueller, I; Chades, I</t>
  </si>
  <si>
    <t xml:space="preserve">Eze, Peter U.; Geard, Nicholas; Mueller, Ivo; Chades, Iadine</t>
  </si>
  <si>
    <t xml:space="preserve">Anomaly Detection in Endemic Disease Surveillance Data Using Machine Learning Techniques</t>
  </si>
  <si>
    <t xml:space="preserve">Disease surveillance is used to monitor ongoing control activities, detect early outbreaks, and inform intervention priorities and policies. However, data from disease surveillance that could be used to support real-time decisionmaking remain largely underutilised. Using the Brazilian Amazon malaria surveillance dataset as a case study, in this paper we explore the potential for unsupervised anomaly detection machine learning techniques to discover signals of epidemiological interest. We found that our models were able to provide an early indication of outbreak onset, outbreak peaks, and change points in the proportion of positive malaria cases. Specifically, the sustained rise in malaria in the Brazilian Amazon in 2016 was flagged by several models. We found that no single model detected all anomalies across all health regions. Because of this, we provide the minimum number of machine learning models top-k models) to maximise the number of anomalies detected across different health regions. We discovered that the top three models that maximise the coverage of the number and types of anomalies detected across the thirteen health regions are principal component analysis, stochastic outlier selection, and the minimum covariance determinant. Anomaly detection is a potentially valuable approach to discovering patterns of epidemiological importance when confronted with a large volume of data across space and time. Our exploratory approach can be replicated for other diseases and locations to inform monitoring, timely interventions, and actions towards the goal of controlling endemic disease.</t>
  </si>
  <si>
    <t xml:space="preserve">Endemic disease surveillance data</t>
  </si>
  <si>
    <t xml:space="preserve">Unsupervised learning</t>
  </si>
  <si>
    <t xml:space="preserve">Clustering-based local outlier, Connectivity-based local outlier, Isolation Forest, Histogram-based anomaly detection, KNN, One-class SVM detector, PCA, Minimum Covariance Determinant, Stochastic outlier selection</t>
  </si>
  <si>
    <t xml:space="preserve">HEALTHCARE</t>
  </si>
  <si>
    <t xml:space="preserve">anomaly detection; malaria; machine learning; big data</t>
  </si>
  <si>
    <t xml:space="preserve">ALGORITHM</t>
  </si>
  <si>
    <t xml:space="preserve">[Eze, Peter U.; Geard, Nicholas] Univ Melbourne, Sch Comp &amp; Informat Syst, Parkville, Vic 3010, Australia; [Mueller, Ivo] Walter &amp; Eliza Hall Inst Med Res, Parkville, Vic 3052, Australia; [Chades, Iadine] CSIRO, Ecosci Precinct, Dutton Pk, Qld 4102, Australia</t>
  </si>
  <si>
    <t xml:space="preserve">University of Melbourne; Walter &amp; Eliza Hall Institute; Commonwealth Scientific &amp; Industrial Research Organisation (CSIRO)</t>
  </si>
  <si>
    <t xml:space="preserve">Eze, PU (corresponding author), Univ Melbourne, Sch Comp &amp; Informat Syst, Parkville, Vic 3010, Australia.</t>
  </si>
  <si>
    <t xml:space="preserve">peter.eze@unimelb.edu.au; nicholas.geard@unimelb.edu.au; mueller@wehi.edu.au; iadine.chades@csiro.au</t>
  </si>
  <si>
    <t xml:space="preserve">Chades, iadine/A-4052-2011; Geard, Nicholas/H-9803-2019</t>
  </si>
  <si>
    <t xml:space="preserve">NHMRC Centre of Research Excellence [APP1170960]; Department of Foreign Affairs and Trade Australia; ASEAN Pacific Infectious Disease Detection and Response Program 2019 through the project Strengthening Preparedness in the Asia-Pacific Region through Knowledge (SPARK)</t>
  </si>
  <si>
    <t xml:space="preserve">NHMRC Centre of Research Excellence(National Health &amp; Medical Research Council (NHMRC) of AustraliaUK Research &amp; Innovation (UKRI)Medical Research Council UK (MRC)); Department of Foreign Affairs and Trade Australia; ASEAN Pacific Infectious Disease Detection and Response Program 2019 through the project Strengthening Preparedness in the Asia-Pacific Region through Knowledge (SPARK)</t>
  </si>
  <si>
    <t xml:space="preserve">This research was funded by the NHMRC Centre of Research Excellence, grant number APP1170960, under the scheme Supporting Participatory Evidence generation to Control Transmissible diseases in our Region Using Modelling (SPECTRUM). This work was additionally supported by the Department of Foreign Affairs and Trade Australia, ASEAN Pacific Infectious Disease Detection and Response Program 2019 through the project Strengthening Preparedness in the Asia-Pacific Region through Knowledge (SPARK).</t>
  </si>
  <si>
    <t xml:space="preserve">2227-9032</t>
  </si>
  <si>
    <t xml:space="preserve">HEALTHCARE-BASEL</t>
  </si>
  <si>
    <t xml:space="preserve">Healthcare</t>
  </si>
  <si>
    <t xml:space="preserve">10.3390/healthcare11131896</t>
  </si>
  <si>
    <t xml:space="preserve">Health Care Sciences &amp; Services; Health Policy &amp; Services</t>
  </si>
  <si>
    <t xml:space="preserve">M6BM2</t>
  </si>
  <si>
    <t xml:space="preserve">WOS:001031049500001</t>
  </si>
  <si>
    <t xml:space="preserve">Cho, YS; Hong, PC</t>
  </si>
  <si>
    <t xml:space="preserve">Cho, Young Sik; Hong, Paul C.</t>
  </si>
  <si>
    <t xml:space="preserve">Applying Machine Learning to Healthcare Operations Management: CNN-Based Model for Malaria Diagnosis</t>
  </si>
  <si>
    <t xml:space="preserve">The purpose of this study is to explore how machine learning technologies can improve healthcare operations management. A machine learning-based model to solve a specific medical problem is developed to achieve this research purpose. Specifically, this study presents an AI solution for malaria infection diagnosis by applying the CNN (convolutional neural network) algorithm. Based on malaria microscopy image data from the NIH National Library of Medicine, a total of 24,958 images were used for deep learning training, and 2600 images were selected for final testing of the proposed diagnostic architecture. The empirical results indicate that the CNN diagnostic model correctly classified most malaria-infected and non-infected cases with minimal misclassification, with performance metrics of precision (0.97), recall (0.99), and f1-score (0.98) for uninfected cells, and precision (0.99), recall (0.97), and f1-score (0.98) for parasite cells. The CNN diagnostic solution rapidly processed a large number of cases with a high reliable accuracy of 97.81%. The performance of this CNN model was further validated through the k-fold cross-validation test. These results suggest the advantage of machine learning-based diagnostic methods over conventional manual diagnostic methods in improving healthcare operational capabilities in terms of diagnostic quality, processing costs, lead time, and productivity. In addition, a machine learning diagnosis system is more likely to enhance the financial profitability of healthcare operations by reducing the risk of unnecessary medical disputes related to diagnostic errors. As an extension for future research, propositions with a research framework are presented to examine the impacts of machine learning on healthcare operations management for safety and quality of life in global communities.</t>
  </si>
  <si>
    <t xml:space="preserve">For uninfected cells
- Precision = 0.97
- Recall = 0.99
- F1-score = 0.98
For parasite cells
- Precision = 0.99
- Recall = 0.97
- F1-score = 0.98
Accuracy = 97.81%</t>
  </si>
  <si>
    <t xml:space="preserve">- Susceptibility to small image perturbations
- Requirement for large-scale, high-quality image data</t>
  </si>
  <si>
    <t xml:space="preserve">machine learning; convolutional neural networks; healthcare operations management; epidemic diagnosis; malaria; global supply chain disruption; operational capabilities; healthcare performance; k-fold cross-validation test; artificial intelligence</t>
  </si>
  <si>
    <t xml:space="preserve">ARTIFICIAL-INTELLIGENCE</t>
  </si>
  <si>
    <t xml:space="preserve">[Cho, Young Sik] Jackson State Univ, Coll Business, Jackson, MS 39217 USA; [Hong, Paul C.] Univ Toledo, John B &amp; Lillian E Neff Coll Business &amp; Innovat, Toledo, OH 43606 USA</t>
  </si>
  <si>
    <t xml:space="preserve">Jackson State University; University System of Ohio; University of Toledo</t>
  </si>
  <si>
    <t xml:space="preserve">Cho, YS (corresponding author), Jackson State Univ, Coll Business, Jackson, MS 39217 USA.;Hong, PC (corresponding author), Univ Toledo, John B &amp; Lillian E Neff Coll Business &amp; Innovat, Toledo, OH 43606 USA.</t>
  </si>
  <si>
    <t xml:space="preserve">laismylove@gmail.com; paul.hong@utoledo.edu</t>
  </si>
  <si>
    <t xml:space="preserve">Cho, Young Sik/JLM-5201-2023; Hong, Paul/C-2591-2013</t>
  </si>
  <si>
    <t xml:space="preserve">Cho, Young Sik/0000-0002-0173-3981; Hong, Paul/0000-0002-3293-3660</t>
  </si>
  <si>
    <t xml:space="preserve">10.3390/healthcare11121779</t>
  </si>
  <si>
    <t xml:space="preserve">K2TK5</t>
  </si>
  <si>
    <t xml:space="preserve">WOS:001015013500001</t>
  </si>
  <si>
    <t xml:space="preserve">Moreira, JT; Neves, B Jr; Cajas, RA; de Moraes, J; Andrade, CH</t>
  </si>
  <si>
    <t xml:space="preserve">Moreira-Filho, Jose Teofilo; Junior Neves, Bruno; Cajas, Rayssa Araujo; de Moraes, Josue; Andrade, Carolina Horta</t>
  </si>
  <si>
    <t xml:space="preserve">Artificial intelligence-guided approach for efficient virtual screening of hits against Schistosoma mansoni</t>
  </si>
  <si>
    <t xml:space="preserve">Background: The impact of schistosomiasis, which affects over 230 million people, emphasizes the urgency of developing new antischistosomal drugs. Artificial intelligence is vital in accelerating the drug discovery process. Methodology &amp; results: We developed classification and regression machine learning models to predict the schistosomicidal activity of compounds not experimentally tested. The prioritized compounds were tested on schistosomula and adult stages of Schistosoma mansoni. Four compounds demonstrated significant activity against schistosomula, with 50% effective concentration values ranging from 9.8 to 32.5 mu M, while exhibiting no toxicity in animal and human cell lines. Conclusion: These findings represent a significant step forward in the discovery of antischistosomal drugs. Further optimization of these active compounds can pave the way for their progression into preclinical studies.</t>
  </si>
  <si>
    <t xml:space="preserve">FUTURE MEDICINAL CHEMISTRY</t>
  </si>
  <si>
    <t xml:space="preserve">Newlands Press Ltd</t>
  </si>
  <si>
    <t xml:space="preserve">antischistosomal hits; artificial intelligence; computational chemistry and molecular modeling; drug design; hit discovery; neglected diseases; QSAR models; schistosomiasis; virtual screening</t>
  </si>
  <si>
    <t xml:space="preserve">SUPPORT VECTOR MACHINE; IN-VITRO; DRUG DISCOVERY; BRIDGED 1,2,4,5-TETRAOXANES; PRAZIQUANTEL; VIVO; IDENTIFICATION; METAANALYSIS; VALIDATION; GENERATION</t>
  </si>
  <si>
    <t xml:space="preserve">[Moreira-Filho, Jose Teofilo; Junior Neves, Bruno; Andrade, Carolina Horta] Univ Fed Goias, Fac Farm, Lab Mol Modeling &amp; Drug Design LabMol, BR-74605170 Goiania, Go, Brazil; [Cajas, Rayssa Araujo; de Moraes, Josue] Univ Guarulhos UNG, Res Ctr Neglected Dis NPDN, BR-07023070 Guarulhos, Brazil; [Andrade, Carolina Horta] Univ Sao Paulo, Ctr Res &amp; Advancement Fragments &amp; Mol Targets CRAF, Sch Pharmaceut Sci Ribeirao Preto, Ribeirao Preto, SP, Brazil</t>
  </si>
  <si>
    <t xml:space="preserve">Universidade Federal de Goias; Universidade Guarulhos; Universidade de Sao Paulo</t>
  </si>
  <si>
    <t xml:space="preserve">Andrade, CH (corresponding author), Univ Fed Goias, Fac Farm, Lab Mol Modeling &amp; Drug Design LabMol, BR-74605170 Goiania, Go, Brazil.;Andrade, CH (corresponding author), Univ Sao Paulo, Ctr Res &amp; Advancement Fragments &amp; Mol Targets CRAF, Sch Pharmaceut Sci Ribeirao Preto, Ribeirao Preto, SP, Brazil.</t>
  </si>
  <si>
    <t xml:space="preserve">carolina@ufg.br</t>
  </si>
  <si>
    <t xml:space="preserve">Neves, Bruno/R-7068-2019; de Moraes, Josue/F-4762-2014; Andrade, Carolina/C-3960-2014</t>
  </si>
  <si>
    <t xml:space="preserve">de Moraes, Josue/0000-0003-1766-7031; Andrade, Carolina/0000-0003-0101-1492; Neves, Bruno/0000-0002-1309-8743</t>
  </si>
  <si>
    <t xml:space="preserve">All experiments using animals were conducted under approval by the Committee for the Ethical Use of Animals in Experimentation at the Guarulhos University (Guarulhos, Brazil; protocol ID 47/20) in conformity with the Brazilian law for Guidelines for Care a [47/20]; Guarulhos University (Guarulhos, Brazil)</t>
  </si>
  <si>
    <t xml:space="preserve">All experiments using animals were conducted under approval by the Committee for the Ethical Use of Animals in Experimentation at the Guarulhos University (Guarulhos, Brazil; protocol ID 47/20) in conformity with the Brazilian law for Guidelines for Care a; Guarulhos University (Guarulhos, Brazil)</t>
  </si>
  <si>
    <t xml:space="preserve">This study was supported by Conselho Nacional de Desenvolvimento Cientifico e Tecnologico (CNPq, grant no. 441038/2020-4), Fundacao de Amparo a Pesquisa do Estado de Goias (grant no. 202010267000272) and Fundacao de Amparo a Pesquisa do Estado de Sao Paulo (grant no. 2020/01441-4). JT Moreira-Filho and RA Cajas were supported by a fellowship from Coordenacao de Aperfeicoamento de Pessoal de Nivel Superior, Brasil (finance code 001). J de Moraes and CH Andrade acknowledge the CNPq for research fellowships. The authors have no other relevant affiliations or financial involvement with any organization or entitywith a financial interest in or financial conflict with the subject matter or materials discussed in the manuscript apart from thosedisclosed.r We gratefully acknowledge ChemAxon Inc. and OpenEye Inc. for providing us with an academic license for their software. The authors are also grateful to MBA Silva for technical assistance.r This study was supported by Conselho Nacional de Desenvolvimento Cientifico e Tecnologico (CNPq, grant no. 441038/2020-4), Fundac &amp; atilde;o de Amparo a Pesquisa do Estado de Goias (grant no. 202010267000272) and Fundac &amp; atilde;o de Amparo a Pesquisa do Estado de S &amp; atilde;o Paulo (grant no. 2020/01441-4). JT Moreira-Filho and RA Cajas were supported by a fellowship from Coordenac &amp; atilde;o de Aperfeicoamento de Pessoal de Nivel Superior, Brasil (finance code 001). J de Moraes and CH Andrade acknowledge the CNPq for research fellowships. The authors have no other relevant affiliations or financial involvement with any organization or entity with a financial interest in or financial conflict with the subject matter or materials discussed in the manuscript apart from those disclosed.r The authors have no competing interests or relevant affiliations with any organization or entity with the subject matter or materials discussed in the manuscript. This includes employment, consultancies, honoraria, stock ownership or options, expert testimony, grants or patents received or pending, or royalties.r No writing assistance was utilized in the production of this manuscript.r All experiments using animals were conducted under approval by the Committee for the Ethical Use of Animals in Experimentation at the Guarulhos University (Guarulhos, Brazil; protocol ID 47/20) in conformity with the Brazilian law for Guidelines for Care and Use of Laboratory Animals.</t>
  </si>
  <si>
    <t xml:space="preserve">2 Albert Pl, London, UNITED KINGDOM</t>
  </si>
  <si>
    <t xml:space="preserve">1756-8919</t>
  </si>
  <si>
    <t xml:space="preserve">1756-8927</t>
  </si>
  <si>
    <t xml:space="preserve">FUTURE MED CHEM</t>
  </si>
  <si>
    <t xml:space="preserve">Future Med. Chem.</t>
  </si>
  <si>
    <t xml:space="preserve">10.4155/fmc-2023-0152</t>
  </si>
  <si>
    <t xml:space="preserve">CS2G1</t>
  </si>
  <si>
    <t xml:space="preserve">WOS:001101243500001</t>
  </si>
  <si>
    <t xml:space="preserve">Barboza, LA; Chou-Chen, SW; Vásquez, P; García, YE; Calvo, JG; Hidalgo, HG; Sanchez, F</t>
  </si>
  <si>
    <t xml:space="preserve">Barboza, Luis A.; Chou-Chen, Shu-Wei; Vasquez, Paola; Garcia, Yury E.; Calvo, Juan G.; Hidalgo, Hugo G.; Sanchez, Fabio</t>
  </si>
  <si>
    <t xml:space="preserve">Assessing dengue fever risk in Costa Rica by using climate variables and machine learning techniques</t>
  </si>
  <si>
    <t xml:space="preserve">Dengue fever is a vector-borne disease affecting millions yearly, mostly in tropical and subtropical countries. Driven mainly by social and environmental factors, dengue incidence and geographical expansion have increased in recent decades. Therefore, understanding how climate variables drive dengue outbreaks is challenging and a problem of interest for decision-makers that could aid in improving surveillance and resource allocation. Here, we explore the effect of climate variables on relative dengue risk in 32 cantons of interest for public health authorities in Costa Rica. Relative dengue risk is forecast using a Generalized Additive Model for location, scale, and shape and a Random Forest approach. Models use a training period from 2000 to 2020 and predicted climatic variables obtained with a vector auto-regressive model. Results show reliable projections, and climate variables predictions allow for a prospective instead of a retrospective study. Author summaryDengue fever is a vector-borne viral disease endemic to tropical and subtropical countries. The virus is transmitted by female Aedes mosquitoes and affects approximately 100 million people every year. Although most infections are mild or asymptomatic, some may cause severe symptoms, leading to a higher risk of death. In the affected countries, the challenges associated with preventing and controlling dengue outbreaks have highlighted the need for novel tools. In this context, using statistical tools with climate and epidemiological information makes it possible to provide timely information to public health officials about the risk of dengue outbreaks, allowing the optimization of resources and preventive and non-reactive decision-making.</t>
  </si>
  <si>
    <t xml:space="preserve">Costa Rica, United States of America</t>
  </si>
  <si>
    <t xml:space="preserve">Costa Rica</t>
  </si>
  <si>
    <t xml:space="preserve">Clinical data</t>
  </si>
  <si>
    <t xml:space="preserve">-Generalized Additive Model, for location, scale and shape (GAMLSS)
- Random Forest (RF)</t>
  </si>
  <si>
    <t xml:space="preserve">EARLY WARNING SYSTEM; PREDICTION; MODELS</t>
  </si>
  <si>
    <t xml:space="preserve">[Barboza, Luis A.; Calvo, Juan G.; Sanchez, Fabio] Univ Costa Rica, Escuela Matemat, Ctr Invest Matemat Pura &amp; Aplicada, San Jose, Costa Rica; [Chou-Chen, Shu-Wei] Univ Costa Rica, Escuela Estadist, Ctr Invest Matemat Pura &amp; Aplicada, San Jose, Costa Rica; [Vasquez, Paola; Garcia, Yury E.] Univ Costa Rica, Ctr Invest Matemat Pura &amp; Aplicada, San Jose, Costa Rica; [Garcia, Yury E.] Univ Calif Davis, Dept Publ Hlth Sci, Davis, CA 95616 USA; [Hidalgo, Hugo G.] Univ Costa Rica, Ctr Invest Geofis, San Jose, Costa Rica; [Hidalgo, Hugo G.] Univ Costa Rica, Escuela Fis, San Jose, Costa Rica</t>
  </si>
  <si>
    <t xml:space="preserve">Universidad Costa Rica; Universidad Costa Rica; Universidad Costa Rica; University of California System; University of California Davis; Universidad Costa Rica; Universidad Costa Rica</t>
  </si>
  <si>
    <t xml:space="preserve">García, YE (corresponding author), Univ Costa Rica, Ctr Invest Matemat Pura &amp; Aplicada, San Jose, Costa Rica.;García, YE (corresponding author), Univ Calif Davis, Dept Publ Hlth Sci, Davis, CA 95616 USA.</t>
  </si>
  <si>
    <t xml:space="preserve">Barboza, Luis Alberto/GWV-7500-2022; GUO, JUAN/HIK-2220-2022; Hidalgo, Hugo/I-7170-2019; Sanchez, Fabio/HDM-8440-2022</t>
  </si>
  <si>
    <t xml:space="preserve">Sanchez, Fabio/0000-0002-5552-3672; Barboza Chinchilla, Luis Alberto/0000-0002-7009-5207; Chou-Chen, Shu Wei/0000-0001-5495-2486; Calvo, Juan/0000-0001-9948-9966; Garcia, Yury E./0000-0003-1990-9110</t>
  </si>
  <si>
    <t xml:space="preserve">e0011047</t>
  </si>
  <si>
    <t xml:space="preserve">10.1371/journal.pntd.0011047</t>
  </si>
  <si>
    <t xml:space="preserve">9E9MG</t>
  </si>
  <si>
    <t xml:space="preserve">WOS:000937101600001</t>
  </si>
  <si>
    <t xml:space="preserve">Alaiad, A; Migdady, A; Al-Khatib, RM; Alzoubi, O; Zitar, RA; Abualigah, L</t>
  </si>
  <si>
    <t xml:space="preserve">Alaiad, Ahmad; Migdady, Aya; Al-Khatib, Ra'ed M.; Alzoubi, Omar; Zitar, Raed Abu; Abualigah, Laith</t>
  </si>
  <si>
    <t xml:space="preserve">Autokeras Approach: A Robust Automated Deep Learning Network for Diagnosis Disease Cases in Medical Images</t>
  </si>
  <si>
    <t xml:space="preserve">Automated deep learning is promising in artificial intelligence (AI). However, a few applications of automated deep learning networks have been made in the clinical medical fields. Therefore, we studied the application of an open-source automated deep learning framework, Autokeras, for detecting smear blood images infected with malaria parasites. Autokeras is able to identify the optimal neural network to perform the classification task. Hence, the robustness of the adopted model is due to it not needing any prior knowledge from deep learning. In contrast, the traditional deep neural network methods still require more construction to identify the best convolutional neural network (CNN). The dataset used in this study consisted of 27,558 blood smear images. A comparative process proved the superiority of our proposed approach over other traditional neural networks. The evaluation results of our proposed model achieved high efficiency with impressive accuracy, reaching 95.6% when compared with previous competitive models.</t>
  </si>
  <si>
    <t xml:space="preserve">Jordan, United Arab Emirates, Taiwan, Malaysia</t>
  </si>
  <si>
    <t xml:space="preserve">Blood smear images</t>
  </si>
  <si>
    <t xml:space="preserve">- AutoKeras (AutoML)
- CNN</t>
  </si>
  <si>
    <t xml:space="preserve">- Accuracy = 95.6%</t>
  </si>
  <si>
    <t xml:space="preserve">JOURNAL OF IMAGING</t>
  </si>
  <si>
    <t xml:space="preserve">artificial intelligence (AI); convolutional neural network (CNN); deep learning (DL); malaria parasites</t>
  </si>
  <si>
    <t xml:space="preserve">[Alaiad, Ahmad; Migdady, Aya] Jordan Univ Sci &amp; Technol, Dept Comp Informat Syst, Irbid 22110, Jordan; [Al-Khatib, Ra'ed M.] Yarmouk Univ, Dept Comp Sci, Irbid 21163, Jordan; [Alzoubi, Omar] Jordan Univ Sci &amp; Technol, Dept Comp Sci, Irbid 22110, Jordan; [Zitar, Raed Abu] Sorbonne Univ Abu Dhabi, Sorbonne Ctr Artificial Intelligence, POB 32092, Abu Dhabi, U Arab Emirates; [Abualigah, Laith] Al al Bayt Univ, Prince Hussein Bin Abdullah Fac Informat Technol, Comp Sci Dept, Mafraq 25113, Jordan; [Abualigah, Laith] Yuan Ze Univ, Coll Engn, Taoyuan, Taiwan; [Abualigah, Laith] Al Ahliyya Amman Univ, Hourani Ctr Appl Sci Res, Amman 19328, Jordan; [Abualigah, Laith] Middle East Univ, Fac Informat Technol, Amman 11831, Jordan; [Abualigah, Laith] Appl Sci Private Univ, Appl Sci Res Ctr, Amman 11931, Jordan; [Abualigah, Laith] Univ Sains Malaysia, Sch Comp Sci, George Town 11800, Pulau Pinang, Malaysia</t>
  </si>
  <si>
    <t xml:space="preserve">Jordan University of Science &amp; Technology; Yarmouk University; Jordan University of Science &amp; Technology; Al al-Bayt University; Yuan Ze University; Al-Ahliyya Amman University; Middle East University; Universiti Sains Malaysia</t>
  </si>
  <si>
    <t xml:space="preserve">Abualigah, L (corresponding author), Al al Bayt Univ, Prince Hussein Bin Abdullah Fac Informat Technol, Comp Sci Dept, Mafraq 25113, Jordan.;Abualigah, L (corresponding author), Yuan Ze Univ, Coll Engn, Taoyuan, Taiwan.;Abualigah, L (corresponding author), Al Ahliyya Amman Univ, Hourani Ctr Appl Sci Res, Amman 19328, Jordan.;Abualigah, L (corresponding author), Middle East Univ, Fac Informat Technol, Amman 11831, Jordan.;Abualigah, L (corresponding author), Appl Sci Private Univ, Appl Sci Res Ctr, Amman 11931, Jordan.;Abualigah, L (corresponding author), Univ Sains Malaysia, Sch Comp Sci, George Town 11800, Pulau Pinang, Malaysia.</t>
  </si>
  <si>
    <t xml:space="preserve">aligah.2020@gmail.com</t>
  </si>
  <si>
    <t xml:space="preserve">Al-Khatib, Ra'ed/ABF-1905-2022; Abualigah, Laith/ABC-9695-2020; AL-Zoubi, Omar/GLT-4323-2022; Abualigah, Laith/Q-2185-2016; , Raed/AAA-6120-2022</t>
  </si>
  <si>
    <t xml:space="preserve">Al-Khatib, Ra'ed M./0000-0002-0439-9210; AL-Zoubi, Omar/0000-0002-9942-7383; Abualigah, Laith/0000-0002-2203-4549; , Raed/0000-0003-2693-2132</t>
  </si>
  <si>
    <t xml:space="preserve">2313-433X</t>
  </si>
  <si>
    <t xml:space="preserve">J IMAGING</t>
  </si>
  <si>
    <t xml:space="preserve">J. Imaging</t>
  </si>
  <si>
    <t xml:space="preserve">10.3390/jimaging9030064</t>
  </si>
  <si>
    <t xml:space="preserve">Imaging Science &amp; Photographic Technology</t>
  </si>
  <si>
    <t xml:space="preserve">A7DZ4</t>
  </si>
  <si>
    <t xml:space="preserve">WOS:000956700300001</t>
  </si>
  <si>
    <t xml:space="preserve">Gonçalves, C; Andrade, N; Borges, A; Rodrigues, A; Veras, R; Aguiar, B; Silva, R</t>
  </si>
  <si>
    <t xml:space="preserve">Goncalves, Clesio; Andrade, Nathalia; Borges, Armando; Rodrigues, Anderson; Veras, Rodrigo; Aguiar, Bruno; Silva, Romuere</t>
  </si>
  <si>
    <t xml:space="preserve">Automatic detection of Visceral Leishmaniasis in humans using Deep Learning</t>
  </si>
  <si>
    <t xml:space="preserve">Leishmaniasis is a commonly neglected disease present in tropical and subtropical countries, affecting 1 billion people. Visceral Leishmaniasis (VL) is the most severe form and can lead to death if left untreated. In this work, we apply deep learning techniques to detect VL in humans through images of slides from the parasitological examination (microscopy) of the bone marrow, aiding in an automatic and accurate diagnosis. This work investigates five deep learning architectures combined with preprocessing, data augmentation, and fine-tuning techniques to detect this disease in images. We compared our results with five related state-of-the-art works, which showed that the proposed classification method surpassed them in all metrics. We achieve an Accuracy of 98.7%, an F1-Score of 98.7%, and a Kappa of 98.7%. Therefore, we demonstrated that trained deep learning models with microscopic slide imaging of bone marrow biological material could precisely help the specialist detect VL in humans.</t>
  </si>
  <si>
    <t xml:space="preserve">Visceral Leishmaniasis</t>
  </si>
  <si>
    <t xml:space="preserve">- InceptionResNetV2 (IRNV2)
- InceptionV3 (IV3)
- NASNEtLarge (NASNL)
- ResNet152V2 (RN152V2)
- Xception (XC)</t>
  </si>
  <si>
    <t xml:space="preserve">- Accuracy = 98.7%
- F1-Score = 98.7
- Kappa = 98.7</t>
  </si>
  <si>
    <t xml:space="preserve">SIGNAL IMAGE AND VIDEO PROCESSING</t>
  </si>
  <si>
    <t xml:space="preserve">Deep learning; Fine-tuning; Visceral Leishmaniasis; Microscopy</t>
  </si>
  <si>
    <t xml:space="preserve">CELLS</t>
  </si>
  <si>
    <t xml:space="preserve">[Goncalves, Clesio; Silva, Romuere] Univ Fed Piaui UFPI, Engn Elect, BR-64049 Teresina, Piaui, Brazil; [Andrade, Nathalia; Aguiar, Bruno; Silva, Romuere] Ctr Inteligencia Agravos Tropicais Emergentes &amp; N, BR-64000 Teresina, Piaui, Brazil; [Borges, Armando; Rodrigues, Anderson; Silva, Romuere] UFPI, Sistemas Informacao, BR-64604 Picos, Brazil; [Veras, Rodrigo; Silva, Romuere] Univ Fed Piaui, Ciencia Computacao, BR-64049 Teresina, Piaui, Brazil; [Aguiar, Bruno] Univ Fed Piaui, Dept Med Comunitaria, BR-64000 Teresina, Piaui, Brazil</t>
  </si>
  <si>
    <t xml:space="preserve">Universidade Federal do Piaui; Universidade Federal do Piaui; Universidade Federal do Piaui</t>
  </si>
  <si>
    <t xml:space="preserve">Silva, R (corresponding author), Univ Fed Piaui UFPI, Engn Elect, BR-64049 Teresina, Piaui, Brazil.;Silva, R (corresponding author), Ctr Inteligencia Agravos Tropicais Emergentes &amp; N, BR-64000 Teresina, Piaui, Brazil.;Silva, R (corresponding author), UFPI, Sistemas Informacao, BR-64604 Picos, Brazil.;Silva, R (corresponding author), Univ Fed Piaui, Ciencia Computacao, BR-64049 Teresina, Piaui, Brazil.</t>
  </si>
  <si>
    <t xml:space="preserve">romuere@ufpi.edu.br</t>
  </si>
  <si>
    <t xml:space="preserve">Veras, Rodrigo/D-7358-2015; Silva, Romuere/AFW-0349-2022</t>
  </si>
  <si>
    <t xml:space="preserve">Guedes Alcoforado Aguiar, Bruno/0000-0001-7986-1759; de Araujo Goncalves, Clesio/0000-0002-4773-8032</t>
  </si>
  <si>
    <t xml:space="preserve">1863-1703</t>
  </si>
  <si>
    <t xml:space="preserve">1863-1711</t>
  </si>
  <si>
    <t xml:space="preserve">SIGNAL IMAGE VIDEO P</t>
  </si>
  <si>
    <t xml:space="preserve">Signal Image Video Process.</t>
  </si>
  <si>
    <t xml:space="preserve">10.1007/s11760-023-02585-0</t>
  </si>
  <si>
    <t xml:space="preserve">Engineering, Electrical &amp; Electronic; Imaging Science &amp; Photographic Technology</t>
  </si>
  <si>
    <t xml:space="preserve">Engineering; Imaging Science &amp; Photographic Technology</t>
  </si>
  <si>
    <t xml:space="preserve">P3AK1</t>
  </si>
  <si>
    <t xml:space="preserve">WOS:000974770200002</t>
  </si>
  <si>
    <t xml:space="preserve">Alabbasy, FM; Abohamama, AS; Alabbasy, M</t>
  </si>
  <si>
    <t xml:space="preserve">Alabbasy, F. MohiEldeen; Abohamama, A. S.; Alabbasy, Mohieldeen</t>
  </si>
  <si>
    <t xml:space="preserve">Compressing medical deep neural network models for edge devices using knowledge distillation</t>
  </si>
  <si>
    <t xml:space="preserve">Recently, deep neural networks (DNNs) have been used successfully in many fields, particularly, in medical diagnosis. However, deep learning (DL) models are expensive in terms of memory and computing resources, which hinders their implementation in limited-resources devices or for delay-sensitive systems. Therefore, these deep models need to be accelerated and compressed to smaller sizes to be deployed on edge devices without noticeably affecting their performance. In this paper, recent accelerating and compression approaches of DNN are analyzed and compared regarding their performance, applications, benefits, and limitations with a more focus on the knowledge distillation approach as a successful emergent approach in this field. In addition, a framework is proposed to develop knowledge distilled DNN models that can be deployed on fog/edge devices for automatic disease diagnosis. To evaluate the proposed framework, two compressed medical diagnosis systems are proposed based on knowledge distillation deep neural models for both COVID-19 and Malaria. The experimental results show that these knowledge distilled models have been compressed by 18.4% and 15% of the original model and their responses accelerated by 6.14x and 5.86%, respectively, while there were no significant drop in their performance (dropped by 0.9% and 1.2%, respectively). Furthermore, the distilled models are compared with other pruned and quantized models. The obtained results revealed the superiority of the distilled models in terms of compression rates and response time. (c) 2023 The Authors. Published by Elsevier B.V. on behalf of King Saud University. This is an open access article under the CC BY license (http://creativecommons.org/licenses/by/4.0/).</t>
  </si>
  <si>
    <t xml:space="preserve">Egypt, Saudi Arabia</t>
  </si>
  <si>
    <t xml:space="preserve">Medical images</t>
  </si>
  <si>
    <t xml:space="preserve">Malaria, COVID-19</t>
  </si>
  <si>
    <t xml:space="preserve">- Deepp neural networks</t>
  </si>
  <si>
    <t xml:space="preserve">JOURNAL OF KING SAUD UNIVERSITY-COMPUTER AND INFORMATION SCIENCES</t>
  </si>
  <si>
    <t xml:space="preserve">Knowledge distillation; Deep models; Edge devices; Deep models' compressing techniques</t>
  </si>
  <si>
    <t xml:space="preserve">[Alabbasy, F. MohiEldeen; Abohamama, A. S.; Alabbasy, Mohieldeen] Mansoura Univ, Fac Comp &amp; Informat, Dept Comp Sci, Mansoura, Egypt; [Abohamama, A. S.] Arab East Coll, Dept Comp Sci, Riyadh, Saudi Arabia</t>
  </si>
  <si>
    <t xml:space="preserve">Egyptian Knowledge Bank (EKB); Mansoura University; Arab East Colleges</t>
  </si>
  <si>
    <t xml:space="preserve">Alabbasy, FM (corresponding author), Mansoura Univ, Fac Comp &amp; Informat, Dept Comp Sci, Mansoura, Egypt.</t>
  </si>
  <si>
    <t xml:space="preserve">Fatimaalabbasy145@gmail.com; Abohamama@mans.edu.eg; Mrahmawy@mans.edu.eg</t>
  </si>
  <si>
    <t xml:space="preserve">Abohamama, A/M-6602-2018</t>
  </si>
  <si>
    <t xml:space="preserve">Alrahmawy, Mohammed/0000-0001-8978-8268; Al-rahmawy, M./0009-0009-2719-3096</t>
  </si>
  <si>
    <t xml:space="preserve">Academy of Scientific Research and Technology</t>
  </si>
  <si>
    <t xml:space="preserve">Academy of Scientific Research and Technology(Egyptian Academy of Scientific Research &amp; Technology (ASRT))</t>
  </si>
  <si>
    <t xml:space="preserve">The authors would like to thank the Academy of Scientific Research and Technology for its support.</t>
  </si>
  <si>
    <t xml:space="preserve">1319-1578</t>
  </si>
  <si>
    <t xml:space="preserve">2213-1248</t>
  </si>
  <si>
    <t xml:space="preserve">J KING SAUD UNIV-COM</t>
  </si>
  <si>
    <t xml:space="preserve">J. King Saud Univ.-Comput. Inf. Sci.</t>
  </si>
  <si>
    <t xml:space="preserve">10.1016/j.jksuci.2023.101616</t>
  </si>
  <si>
    <t xml:space="preserve">JUN 2023</t>
  </si>
  <si>
    <t xml:space="preserve">W2XT6</t>
  </si>
  <si>
    <t xml:space="preserve">WOS:001090317300001</t>
  </si>
  <si>
    <t xml:space="preserve">Gonçalves, CD; Borges, AL; Rodrigues, AL; Andrade, NB; Lemos, MVD; Aguiar, BGA; Silva, RRVE</t>
  </si>
  <si>
    <t xml:space="preserve">Goncalves, Clesio de A.; Borges, Armando L.; Rodrigues, Anderson L.; Andrade, Nathalia B.; Lemos, Marcos V. de S.; Aguiar, Bruno G. A.; e Silva, Romuere R., V</t>
  </si>
  <si>
    <t xml:space="preserve">Computer Vision in Automatic Visceral Leishmaniasis Diagnosis: a Survey</t>
  </si>
  <si>
    <t xml:space="preserve">Visceral Leishmaniasis (VL) is a neglected disease that affects 1 billion people in tropical and subtropical countries. In Brazil, VL causes about 3,500 cases/year. Although this disease is lethal when left untreated, the number of cases is increasing. Thus, it is necessary to study current and safety technologies for VL diagnosis, treatment, and control. Specialized laboratories carry out the LV diagnosis, and this step has great automation power through automatic methods based on computer vision to aid in diagnosis. This work aims to present state-of-the-art research on computer vision techniques to detect VL in humans and provide a theoretical basis for developing computational systems to aid in diagnosing VL. This work's contributions are finding the methodologies and algorithms used in VL automatic detection and listing the gaps in developing those systems. As a result, we find out the lack of image databases and the use of deep learning techniques is still scarce. We conclude that methodologies that use the segmentation procedure perform better in terms of accuracy and that it is possible to develop a CAD system to help diagnose VL in humans.</t>
  </si>
  <si>
    <t xml:space="preserve">IEEE LATIN AMERICA TRANSACTIONS</t>
  </si>
  <si>
    <t xml:space="preserve">Computer vision; Microscopy; Image segmentation; Diseases; IEEE transactions; Electrical engineering; Deep learning; Visceral Leishmaniasis; Computer Vision; Automatic Detection</t>
  </si>
  <si>
    <t xml:space="preserve">LABORATORY DIAGNOSIS; IMMUNOLOGICAL TESTS; KALA-AZAR; ANTIGEN; DAT</t>
  </si>
  <si>
    <t xml:space="preserve">[Goncalves, Clesio de A.] Fed Inst Sertao Pernambucano, Informat Dept, Picos, Piaui, Brazil; [Goncalves, Clesio de A.; e Silva, Romuere R., V] UFPI, Elect Engn, PPGEE, Picos, Piaui, Brazil; [Borges, Armando L.; Rodrigues, Anderson L.; e Silva, Romuere R., V] UFPI, Informat Syst, CSHNB, Picos, Piaui, Brazil; [Andrade, Nathalia B.; Aguiar, Bruno G. A.] Ctr Intelligence Emerging &amp; Neglected Trop Dis CI, Teresina, Piaui, Brazil; [Lemos, Marcos V. de S.] Univ Estadual Piaui, Comp Sci Dept, Teresina, Piaui, Brazil; [Aguiar, Bruno G. A.] Univ Fed Piaui, Dept Community Med, Teresina, Piaui, Brazil; [e Silva, Romuere R., V] Ctr Intelligence Emerging &amp; Neglected Trop Dis CI, Picos, Piaui, Brazil</t>
  </si>
  <si>
    <t xml:space="preserve">Instituto Federal do Sertao Pernambucano; Universidade Federal do Piaui; Universidade Federal do Piaui; Universidade Estadual do Piaui (UESPI); Universidade Federal do Piaui</t>
  </si>
  <si>
    <t xml:space="preserve">Silva, RRVE (corresponding author), UFPI, Informat Syst, CSHNB, Picos, Piaui, Brazil.</t>
  </si>
  <si>
    <t xml:space="preserve">clesiodearaujo@gmail.com; armandoari.288@gmail.com; anderson.lourenco.r@gmail.com; veterinarianba@gmail.com; marvinlemos@gmail.com; guedesaguiar@ufpi.edu.br; romuere@ufpi.edu.br</t>
  </si>
  <si>
    <t xml:space="preserve">Silva, Romuere/AFW-0349-2022; Silva, Romuere/D-2421-2015</t>
  </si>
  <si>
    <t xml:space="preserve">de Araujo Goncalves, Clesio/0000-0002-4773-8032; Batista de Andrade, Nathalia/0000-0002-9338-6613; Silva, Romuere/0000-0002-7163-7469; Guedes Alcoforado Aguiar, Bruno/0000-0001-7986-1759; Borges, Armando Luz/0000-0002-9955-7401</t>
  </si>
  <si>
    <t xml:space="preserve">1548-0992</t>
  </si>
  <si>
    <t xml:space="preserve">IEEE LAT AM T</t>
  </si>
  <si>
    <t xml:space="preserve">IEEE Latin Am. Trans.</t>
  </si>
  <si>
    <t xml:space="preserve">10.1109/TLA.2023.10015224</t>
  </si>
  <si>
    <t xml:space="preserve">Computer Science, Information Systems; Engineering, Electrical &amp; Electronic</t>
  </si>
  <si>
    <t xml:space="preserve">7U9MA</t>
  </si>
  <si>
    <t xml:space="preserve">WOS:000912447500016</t>
  </si>
  <si>
    <t xml:space="preserve">Abd El-Ghany, S; Elmogy, M; El-Aziz, A</t>
  </si>
  <si>
    <t xml:space="preserve">Abd El-Ghany, Sameh; Elmogy, Mohammed; El-Aziz, Abd</t>
  </si>
  <si>
    <t xml:space="preserve">Computer-Aided Diagnosis System for Blood Diseases Using EfficientNet-B3 Based on a Dynamic Learning Algorithm</t>
  </si>
  <si>
    <t xml:space="preserve">The immune system's overproduction of white blood cells (WBCs) results in the most common blood cancer, leukemia. It accounts for about 25% of childhood cancers and is one of the primary causes of death worldwide. The most well-known type of leukemia found in the human bone marrow is acute lymphoblastic leukemia (ALL). It is a disease that affects the bone marrow and kills white blood cells. Better treatment and a higher likelihood of survival can be helped by early and precise cancer detection. As a result, doctors can use computer-aided diagnostic (CAD) models to detect early leukemia effectively. In this research, we proposed a classification model based on the EfficientNet-B3 convolutional neural network (CNN) model to distinguish ALL as an automated model that automatically changes the learning rate (LR). We set up a custom LR that compared the loss value and training accuracy at the beginning of each epoch. We evaluated the proposed model on the C-NMC_Leukemia dataset. The dataset was pre-processed with normalization and balancing. The proposed model was evaluated and compared with recent classifiers. The proposed model's average precision, recall, specificity, accuracy, and Disc similarity coefficient (DSC) were 98.29%, 97.83%, 97.82%, 98.31%, and 98.05%, respectively. Moreover, the proposed model was used to examine microscopic images of the blood to identify the malaria parasite. Our proposed model's average precision, recall, specificity, accuracy, and DSC were 97.69%, 97.68%, 97.67%, 97.68%, and 97.68%, respectively. Therefore, the evaluation of the proposed model showed that it is an unrivaled perceptive outcome with tuning as opposed to other ongoing existing models.</t>
  </si>
  <si>
    <t xml:space="preserve">Saudi Arabia, Egypt</t>
  </si>
  <si>
    <t xml:space="preserve">- EfficientNet-B3 CNN</t>
  </si>
  <si>
    <t xml:space="preserve">For Acute Lymphoblastic Leukemia (ALL):
Precision: 98.29%
Recall: 97.83%
Specificity: 97.82%
Accuracy: 98.31%
DSC: 98.05%
For Malaria Parasite Detection:
Precision: 97.69%
Recall: 97.68%
Specificity: 97.67%
Accuracy: 97.68%
DSC: 97.68%</t>
  </si>
  <si>
    <t xml:space="preserve">Prediction time</t>
  </si>
  <si>
    <t xml:space="preserve">acute lymphoblastic leukemia (ALL); malaria parasite; EfficientNet-B3; learning rate (LR); deep learning; computer-aided diagnostic (CAD)</t>
  </si>
  <si>
    <t xml:space="preserve">[Abd El-Ghany, Sameh; El-Aziz, Abd] Jouf Univ, Coll Comp &amp; Informat Sci, Dept Informat Syst, Sakakah 42421, Saudi Arabia; [Elmogy, Mohammed] Mansoura Univ, Fac Comp &amp; Informat, Informat Technol Dept, Mansoura 35516, Egypt</t>
  </si>
  <si>
    <t xml:space="preserve">Al Jouf University; Egyptian Knowledge Bank (EKB); Mansoura University</t>
  </si>
  <si>
    <t xml:space="preserve">Abd El-Ghany, S (corresponding author), Jouf Univ, Coll Comp &amp; Informat Sci, Dept Informat Syst, Sakakah 42421, Saudi Arabia.</t>
  </si>
  <si>
    <t xml:space="preserve">saabdelwahab@ju.edu.sa</t>
  </si>
  <si>
    <t xml:space="preserve">Abdelaziz, Zizoah2003@gmail.com/GRO-3883-2022; Elmogy, Mohammed/E-3428-2018; Abd El-Ghany, Dr. Sameh/HIR-7192-2022</t>
  </si>
  <si>
    <t xml:space="preserve">Abdelaziz, Zizoah2003@gmail.com/0000-0003-4846-101X; Elmogy, Mohammed/0000-0002-2504-6051; Abd El-Ghany, Dr. Sameh/0000-0001-6888-5114</t>
  </si>
  <si>
    <t xml:space="preserve">Deanship of Scientific Research at Jouf University [DSR-2021-02-0206]</t>
  </si>
  <si>
    <t xml:space="preserve">Deanship of Scientific Research at Jouf University(Al Jouf University)</t>
  </si>
  <si>
    <t xml:space="preserve">This work is funded through research grant No. (DSR-2021-02-0206).</t>
  </si>
  <si>
    <t xml:space="preserve">10.3390/diagnostics13030404</t>
  </si>
  <si>
    <t xml:space="preserve">8T7DF</t>
  </si>
  <si>
    <t xml:space="preserve">WOS:000929417000001</t>
  </si>
  <si>
    <t xml:space="preserve">Gupta, G; Khan, S; Guleria, V; Almjally, A; Alabduallah, BI; Siddiqui, T; Albahlal, BM; Alajlan, SA; AL-Subaie, M</t>
  </si>
  <si>
    <t xml:space="preserve">Gupta, Gaurav; Khan, Shakir; Guleria, Vandana; Almjally, Abrar; Alabduallah, Bayan Ibrahimm; Siddiqui, Tamanna; Albahlal, Bader M.; Alajlan, Saad Abdullah; AL-Subaie, Mashael</t>
  </si>
  <si>
    <t xml:space="preserve">DDPM: A Dengue Disease Prediction and Diagnosis Model Using Sentiment Analysis and Machine Learning Algorithms</t>
  </si>
  <si>
    <t xml:space="preserve">The aedes mosquito-borne dengue viruses cause dengue fever, an arboviral disease (DENVs). In 2019, the World Health Organization forecasts a yearly occurrence of infections from 100 million to 400 million, the maximum number of dengue cases ever testified worldwide, prompting WHO to label the virus one of the world's top ten public health risks. Dengue hemorrhagic fever can progress into dengue shock syndrome, which can be fatal. Dengue hemorrhagic fever can also advance into dengue shock syndrome. To provide accessible and timely supportive care and therapy, it is necessary to have indispensable practical instruments that accurately differentiate Dengue and its subcategories in the early stages of illness development. Dengue fever can be predicted in advance, saving one's life by warning them to seek proper diagnosis and treatment. Predicting infectious diseases such as dengue is difficult, and most forecast systems are still in their primary stages. In developing dengue predictive models, data from microarrays and RNA-Seq have been used significantly. Bayesian inferences and support vector machine algorithms are two examples of statistical methods that can mine opinions and analyze sentiment from text. In general, these methods are not very strong semantically, and they only work effectively when the text passage inputs are at the level of the page or the paragraph; they are poor miners of sentiment at the level of the sentence or the phrase. In this research, we propose to construct a machine learning method to forecast dengue fever.</t>
  </si>
  <si>
    <t xml:space="preserve">India, Saudi Arabia, </t>
  </si>
  <si>
    <t xml:space="preserve">Puerto Rico, Peru</t>
  </si>
  <si>
    <t xml:space="preserve">- KNN
- Decision trees
- Random Forests
- Gaussian neighbor boundaries
- Support vector classifier</t>
  </si>
  <si>
    <t xml:space="preserve">dengue fever; machine learning; prediction; classification; SVM; decision tree; random forest; ANN; GNB; opinion mining; sentiment analysis</t>
  </si>
  <si>
    <t xml:space="preserve">HEMORRHAGIC-FEVER; EPIDEMIOLOGY</t>
  </si>
  <si>
    <t xml:space="preserve">[Gupta, Gaurav] Shoolini Univ, Yogananda Sch AI, Comp &amp; Data Sci, Solan 173229, India; [Khan, Shakir; Almjally, Abrar; Albahlal, Bader M.; Alajlan, Saad Abdullah; AL-Subaie, Mashael] Imam Mohammad Ibn Saud Islamic Univ IMSIU, Coll Comp &amp; Informat Sci, Riyadh 11564, Saudi Arabia; [Khan, Shakir] Chandigarh Univ, Univ Ctr Res &amp; Dev, Dept Comp Sci &amp; Engn, Mohali 140413, India; [Guleria, Vandana] Shoolini Univ, Sch Bioengn &amp; Food Technol, Solan 173229, India; [Alabduallah, Bayan Ibrahimm] Princess Nourah bint Abdulrahman Univ, Coll Comp &amp; Informat Sci, Dept Informat Syst, Riyadh 11564, Saudi Arabia; [Siddiqui, Tamanna] Aligarh Muslim Univ, Dept Comp Sci, Aligarh 202001, India</t>
  </si>
  <si>
    <t xml:space="preserve">Shoolini University; Imam Mohammad Ibn Saud Islamic University (IMSIU); Chandigarh University; Shoolini University; Princess Nourah bint Abdulrahman University; Aligarh Muslim University</t>
  </si>
  <si>
    <t xml:space="preserve">Khan, S (corresponding author), Imam Mohammad Ibn Saud Islamic Univ IMSIU, Coll Comp &amp; Informat Sci, Riyadh 11564, Saudi Arabia.;Khan, S (corresponding author), Chandigarh Univ, Univ Ctr Res &amp; Dev, Dept Comp Sci &amp; Engn, Mohali 140413, India.;Alabduallah, BI (corresponding author), Princess Nourah bint Abdulrahman Univ, Coll Comp &amp; Informat Sci, Dept Informat Syst, Riyadh 11564, Saudi Arabia.</t>
  </si>
  <si>
    <t xml:space="preserve">sgkhan@imamu.edu.sa; bialabdullah@pnu.edu.sa</t>
  </si>
  <si>
    <t xml:space="preserve">Almjally, Abrar/HKE-0168-2023; Alabdullah, Bayan/AFP-4143-2022; Khan, Dr Shakir/O-8721-2014; gupta, gaurav/B-3566-2012</t>
  </si>
  <si>
    <t xml:space="preserve">Almjally, Abrar/0000-0002-5709-2140; Khan, Shakir/0000-0002-7925-9191; gupta, gaurav/0000-0002-5192-4428; Siddiqui, Dr. Tamanna/0000-0002-0068-4241</t>
  </si>
  <si>
    <t xml:space="preserve">Deanship of Scientific Research at Imam Mohammad Ibn Saud Islamic University (IMSIU) [RP-21-07-06]; Princess Nourah Bint Abdulrahman University Researchers Supporting Project [PNURSP2023R440]; Princess Nourah Bint Abdulrahman University, Riyadh, Saudi Arabia</t>
  </si>
  <si>
    <t xml:space="preserve">Deanship of Scientific Research at Imam Mohammad Ibn Saud Islamic University (IMSIU)(Imam Abdulrahman Bin Faisal University); Princess Nourah Bint Abdulrahman University Researchers Supporting Project(Princess Nourah bint Abdulrahman University); Princess Nourah Bint Abdulrahman University, Riyadh, Saudi Arabia(Princess Nourah bint Abdulrahman University)</t>
  </si>
  <si>
    <t xml:space="preserve">The authors extend their appreciation to the Deanship of Scientific Research at Imam Mohammad Ibn Saud Islamic University (IMSIU) for funding and supporting this work through Research Partnership Program no. RP-21-07-06 and Princess Nourah Bint Abdulrahman University Researchers Supporting Project number (PNURSP2023R440), Princess Nourah Bint Abdulrahman University, Riyadh, Saudi Arabia.</t>
  </si>
  <si>
    <t xml:space="preserve">10.3390/diagnostics13061093</t>
  </si>
  <si>
    <t xml:space="preserve">C0UN7</t>
  </si>
  <si>
    <t xml:space="preserve">WOS:000959175300001</t>
  </si>
  <si>
    <t xml:space="preserve">Yotsu, RR; Ding, ZM; Hamm, J; Blanton, RE</t>
  </si>
  <si>
    <t xml:space="preserve">Yotsu, Rie R. R.; Ding, Zhengming; Hamm, Jihun; Blanton, Ronald E. E.</t>
  </si>
  <si>
    <t xml:space="preserve">Deep learning for AI-based diagnosis of skin-related neglected tropical diseases: A pilot study</t>
  </si>
  <si>
    <t xml:space="preserve">Author summaryThe diagnosis of skin diseases depends in large part, though not exclusively on visual inspection. The diagnosis and management of these diseases is thus particularly amenable to teledermatology approaches. The widespread availability of cell phone technology and electronic information transfer provides new potential for access to health care in low-income countries, yet there are limited efforts targeting these neglected populations with dark skin and consequently limited availability of tools. In this study, we leveraged a collection of skin images gathered through a system of teledermatology in the West African countries of Cote d'Ivoire and Ghana, and applied deep learning, a form of artificial intelligence (AI)-to see if deep learning models can distinguish between different diseases and support their diagnosis. Skin-related neglected tropical diseases, or skin NTDs, prevail in these regions and were our target conditions: Buruli ulcer, leprosy, mycetoma, scabies, and yaws. The accuracy of prediction depended on the number of images that were fed into the model for training with marginal improvement using laboratory confirmed cases in training. Using more images and greater efforts in this area, it is possible that AI can help address the unmet needs where access to medical care is limited. BackgroundDeep learning, which is a part of a broader concept of artificial intelligence (AI) and/or machine learning has achieved remarkable success in vision tasks. While there is growing interest in the use of this technology in diagnostic support for skin-related neglected tropical diseases (skin NTDs), there have been limited studies in this area and fewer focused on dark skin. In this study, we aimed to develop deep learning based AI models with clinical images we collected for five skin NTDs, namely, Buruli ulcer, leprosy, mycetoma, scabies, and yaws, to understand how diagnostic accuracy can or cannot be improved using different models and training patterns. MethodologyThis study used photographs collected prospectively in Cote d'Ivoire and Ghana through our ongoing studies with use of digital health tools for clinical data documentation and for teledermatology. Our dataset included a total of 1,709 images from 506 patients. Two convolutional neural networks, ResNet-50 and VGG-16 models were adopted to examine the performance of different deep learning architectures and validate their feasibility in diagnosis of the targeted skin NTDs. Principal findingsThe two models were able to correctly predict over 70% of the diagnoses, and there was a consistent performance improvement with more training samples. The ResNet-50 model performed better than the VGG-16 model. Model trained with PCR confirmed cases of Buruli ulcer yielded 1-3% increase in prediction accuracy across all diseases besides for mycetoma, over a model which training sets included unconfirmed cases. ConclusionsOur approach was to have the deep learning model distinguish between multiple pathologies simultaneously-which is close to real-world practice. The more images used for training, the more accurate the diagnosis became. The percentages of correct diagnosis increased with PCR-positive cases of Buruli ulcer. This demonstrated that it may be better to input images from the more accurately diagnosed cases in the training models also for achieving better accuracy in the generated AI models. However, the increase was marginal which may be an indication that the accuracy of clinical diagnosis alone is reliable to an extent for Buruli ulcer. Diagnostic tests also have their flaws, and they are not always reliable. One hope for AI is that it will objectively resolve this gap between diagnostic tests and clinical diagnoses with the addition of another tool. While there are still challenges to be overcome, there is a potential for AI to address the unmet needs where access to medical care is limited, like for those affected by skin NTDs.</t>
  </si>
  <si>
    <t xml:space="preserve">United States of America</t>
  </si>
  <si>
    <t xml:space="preserve">Cote d'Ivoire and Ghana</t>
  </si>
  <si>
    <t xml:space="preserve">Clinical image dataset</t>
  </si>
  <si>
    <t xml:space="preserve">Skin-related neglected tropical diseases (Buruli ulcer, leprosy, mycetoma, scabies and yaws)</t>
  </si>
  <si>
    <t xml:space="preserve">ResNet-50 and VGG-16</t>
  </si>
  <si>
    <t xml:space="preserve">ARTIFICIAL-INTELLIGENCE; DERMATOLOGY; CANCER; COLOR</t>
  </si>
  <si>
    <t xml:space="preserve">[Yotsu, Rie R. R.; Blanton, Ronald E. E.] Tulane Univ, Dept Trop Med, Sch Publ Hlth &amp; Trop Med, 1440 Canal St, New Orleans, LA 70118 USA; [Ding, Zhengming; Hamm, Jihun] Tulane Univ, Dept Comp Sci, Sch Sci &amp; Engn, 201 Lindy Claiborne Boggs Ctr ,6823 St Charles Ave, New Orleans, LA USA</t>
  </si>
  <si>
    <t xml:space="preserve">Tulane University; Tulane University</t>
  </si>
  <si>
    <t xml:space="preserve">Yotsu, RR (corresponding author), Tulane Univ, Dept Trop Med, Sch Publ Hlth &amp; Trop Med, 1440 Canal St, New Orleans, LA 70118 USA.</t>
  </si>
  <si>
    <t xml:space="preserve">ryotsu@tulane.edu</t>
  </si>
  <si>
    <t xml:space="preserve">Yotsu, Rie R./0000-0001-9102-1912</t>
  </si>
  <si>
    <t xml:space="preserve">Fogarty International Center of the National Institutes of Health [R21TW011860]; International Collaborative Research Program for Tackling the NTDs (Neglected Tropical Diseases) Challenges in African countries by the Japan Agency for Medical Research and Development (AMED) [21jm0510004h0204]; Leprosy Research Initiative (LRI) [707.19.62]; Global Health Innovative Technology (GHIT) [G2020-202]</t>
  </si>
  <si>
    <t xml:space="preserve">Fogarty International Center of the National Institutes of Health(United States Department of Health &amp; Human ServicesNational Institutes of Health (NIH) - USANIH Fogarty International Center (FIC)); International Collaborative Research Program for Tackling the NTDs (Neglected Tropical Diseases) Challenges in African countries by the Japan Agency for Medical Research and Development (AMED); Leprosy Research Initiative (LRI); Global Health Innovative Technology (GHIT)</t>
  </si>
  <si>
    <t xml:space="preserve">This study was supported by the following: 1) Fogarty International Center of the National Institutes of Health, award number R21TW011860; 2) International Collaborative Research Program for Tackling the NTDs (Neglected Tropical Diseases) Challenges in African countries by the Japan Agency for Medical Research and Development (AMED), award number 21jm0510004h0204; 3) Leprosy Research Initiative (LRI), award number 707.19.62; and 4) the Global Health Innovative Technology (GHIT), award number G2020-202. Fund 1) was received by RRY and REB, and funds 2) - 4) were received by RRY. The content is solely the responsibility of the authors, and the funders had no role in study design, data collection and analysis, decision to publish, or preparation of the manuscript.</t>
  </si>
  <si>
    <t xml:space="preserve">e0011230</t>
  </si>
  <si>
    <t xml:space="preserve">10.1371/journal.pntd.0011230</t>
  </si>
  <si>
    <t xml:space="preserve">P5BQ7</t>
  </si>
  <si>
    <t xml:space="preserve">WOS:001050824300004</t>
  </si>
  <si>
    <t xml:space="preserve">Yang, JL; Al Mosabbir, A; Raheem, E; Hu, WB; Hossain, MS</t>
  </si>
  <si>
    <t xml:space="preserve">Yang, Jingli M.; Al Mosabbir, Abdullah; Raheem, Enayetur M.; Hu, Wenbiao; Hossain, Mohammad Sorowar M.</t>
  </si>
  <si>
    <t xml:space="preserve">Demographic characteristics, clinical symptoms, biochemical markers and probability of occurrence of severe dengue: A multicenter hospital-based study in Bangladesh</t>
  </si>
  <si>
    <t xml:space="preserve">Establishing reliable early warning models for severe dengue cases is a high priority to facilitate triage in dengue-endemic areas and optimal use of limited resources. However, few studies have identified the complex interactive relationship between potential risk factors and severe dengue. This research aimed to assess the potential risk factors and detect their high-order combinative effects on severe dengue. A structured questionnaire was used to collect detailed dengue outbreak data from eight representative hospitals in Dhaka, Bangladesh, in 2019. Logistic regression and machine learning models were used to examine the complex effects of demographic characteristics, clinical symptoms, and biochemical markers on severe dengue. A total of 1,090 dengue cases (158 severe and 932 non-severe) were included in this study. Dyspnoea (Odds Ratio [OR] = 2.87, 95% Confidence Interval [CI]: 1.72 to 4.77), plasma leakage (OR = 3.61, 95% CI: 2.12 to 6.15), and hemorrhage (OR = 2.33, 95% CI: 1.46 to 3.73) were positively and significantly associated with the occurrence of severe dengue. Classification and regression tree models showed that the probability of occurrence of severe dengue cases ranged from 7% (age &gt;12.5 years without plasma leakage) to 92.9% (age &lt;= 12.5 years with dyspnoea and plasma leakage). The random forest model indicated that age was the most important factor in predicting severe dengue, followed by education, plasma leakage, platelet, and dyspnoea. The research provides new evidence to identify key risk factors contributing to severe dengue cases, which could be beneficial to clinical doctors to identify and predict the severity of dengue early. Author summaryDengue is a mosquito-borne viral infection mostly in warm and tropical regions, which has been listed as one of the top ten global health threats by the WHO. Among neglected tropical diseases, the mortality of dengue is on the rise. Severe dengue (typically manifested by bleeding, organ dysfunction, and plasma leakage) has become a leading cause of hospitalization for children and adults. There is a higher risk of death if severe dengue cases are not appropriately managed. Therefore, finding biomarkers that can reliably predict the development of severe dengue in symptomatic individuals is one of the main focuses of current research efforts. We found that dyspnoea, plasma leakage, and hemorrhage were the independent risk factors of severe dengue. The predictive probability of occurrence of severe dengue achieved 92.9% among people aged &lt;= 12.5 years with dyspnoea and plasma leakage. Establishing an early warning system for severe dengue based on these factors is essential for triaging in endemic areas. The findings of this study identified possible combinations of severe dengue, which would provide enhanced insight into clinical management and inform prevention programming for severe dengue.</t>
  </si>
  <si>
    <t xml:space="preserve">China, Bangladesh, Australia</t>
  </si>
  <si>
    <t xml:space="preserve">Demographic, clinical, biochemical</t>
  </si>
  <si>
    <t xml:space="preserve">- Classification and regression tree (CART)
- Logistic regression
- Random foreset</t>
  </si>
  <si>
    <t xml:space="preserve">- Cross-sectional design
- Single-time biomarker measurement
- Limited generalizability
- Recall bias
- Lack of data on secondary infections</t>
  </si>
  <si>
    <t xml:space="preserve">SHOCK SYNDROME; KNOWLEDGE; CHILDREN; ADULTS</t>
  </si>
  <si>
    <t xml:space="preserve">[Yang, Jingli M.; Hu, Wenbiao] Queensland Univ Technol, Sch Publ Hlth &amp; Social Work, Ecosyst Change &amp; Populat Hlth Res Grp, Brisbane, Australia; [Yang, Jingli M.] Lanzhou Univ, Coll Earth &amp; Environm Sci, Lanzhou, Peoples R China; [Al Mosabbir, Abdullah; Raheem, Enayetur M.; Hossain, Mohammad Sorowar M.] Biomed Res Fdn, Dept Emerging &amp; Neglected Dis, Dhaka, Bangladesh; [Hossain, Mohammad Sorowar M.] Independent Univ, Sch Environm &amp; Life Sci, Dhaka, Bangladesh</t>
  </si>
  <si>
    <t xml:space="preserve">Queensland University of Technology (QUT); Lanzhou University; Independent University Bangladesh (IUB)</t>
  </si>
  <si>
    <t xml:space="preserve">Hu, WB (corresponding author), Queensland Univ Technol, Sch Publ Hlth &amp; Social Work, Ecosyst Change &amp; Populat Hlth Res Grp, Brisbane, Australia.;Hossain, MS (corresponding author), Biomed Res Fdn, Dept Emerging &amp; Neglected Dis, Dhaka, Bangladesh.;Hossain, MS (corresponding author), Independent Univ, Sch Environm &amp; Life Sci, Dhaka, Bangladesh.</t>
  </si>
  <si>
    <t xml:space="preserve">w2.hu@qut.edu.au; sorowar.hossain@brfbd.org</t>
  </si>
  <si>
    <t xml:space="preserve">Hossain, Mohammad/AAX-2009-2020</t>
  </si>
  <si>
    <t xml:space="preserve">Mosabbir, Abdullah Al/0000-0002-8872-9423; Hossain, Mohammad Sorowar/0000-0001-7143-2909; Hu, Wenbiao/0000-0001-6422-9240</t>
  </si>
  <si>
    <t xml:space="preserve">Techno Drug Ltd, Bangladesh [Techno-2019-01]</t>
  </si>
  <si>
    <t xml:space="preserve">Techno Drug Ltd, Bangladesh</t>
  </si>
  <si>
    <t xml:space="preserve">Field-level data collection was partially funded by Techno Drug Ltd, Bangladesh to MSH, grant number Techno-2019-01. The funders had no role in study design, data collection and analysis, decision to publish, or preparation of the manuscript.</t>
  </si>
  <si>
    <t xml:space="preserve">e0011161</t>
  </si>
  <si>
    <t xml:space="preserve">10.1371/journal.pntd.0011161</t>
  </si>
  <si>
    <t xml:space="preserve">9Y0HZ</t>
  </si>
  <si>
    <t xml:space="preserve">WOS:000950147500002</t>
  </si>
  <si>
    <t xml:space="preserve">Hu, TY; Chow, JC; Chien, TW; Chou, W</t>
  </si>
  <si>
    <t xml:space="preserve">Hu, Ting-Yun; Chow, Julie Chi; Chien, Tsair-Wei; Chou, Willy</t>
  </si>
  <si>
    <t xml:space="preserve">Detecting dengue fever in children using online Rasch analysis to develop algorithms for parents: An APP development and usability study</t>
  </si>
  <si>
    <t xml:space="preserve">Background:Dengue fever (DF) is a significant public health concern in Asia. However, detecting the disease using traditional dichotomous criteria (i.e., absent vs present) can be extremely difficult. Convolutional neural networks (CNNs) and artificial neural networks (ANNs), due to their use of a large number of parameters for modeling, have shown the potential to improve prediction accuracy (ACC). To date, there has been no research conducted to understand item features and responses using online Rasch analysis. To verify the hypothesis that a combination of CNN, ANN, K-nearest-neighbor algorithm (KNN), and logistic regression (LR) can improve the ACC of DF prediction for children, further research is required. Methods:We extracted 19 feature variables related to DF symptoms from 177 pediatric patients, of whom 69 were diagnosed with DF. Using the RaschOnline technique for Rasch analysis, we examined 11 variables for their statistical significance in predicting the risk of DF. Based on 2 sets of data, 1 for training (80%) and the other for testing (20%), we calculated the prediction ACC by comparing the areas under the receiver operating characteristic curve (AUCs) between DF + and DF- in both sets. In the training set, we compared 2 scenarios: the combined scheme and individual algorithms. Results:Our findings indicate that visual displays of DF data are easily interpreted using Rasch analysis; the k-nearest neighbors algorithm has a lower AUC (&lt;0.50); LR has a relatively higher AUC (0.70); all 3 algorithms have an almost equal AUC (=0.68), which is smaller than the individual algorithms of Naive Bayes, LR in raw data, and Naive Bayes in normalized data; and we developed an app to assist parents in detecting DF in children during the dengue season. Conclusion:The development of an LR-based APP for the detection of DF in children has been completed. To help patients, family members, and clinicians differentiate DF from other febrile illnesses at an early stage, an 11-item model is proposed for developing the APP.</t>
  </si>
  <si>
    <t xml:space="preserve">Taiwan</t>
  </si>
  <si>
    <t xml:space="preserve">CNN, ANN, KNN, Naive Bayes and Logistic regression</t>
  </si>
  <si>
    <t xml:space="preserve">- KNN has lower AUC (&lt;50)
- LR has AUC = 0.70
- All 3 have an almost equal AUC = 0.68</t>
  </si>
  <si>
    <t xml:space="preserve">- Limited feature variables
- Software limitations for logistic regression
- Small dataset
- Limited applicability of the mobile app
- Need for future clinical trials
- Limited to one deep learning  and disease</t>
  </si>
  <si>
    <t xml:space="preserve">MEDICINE</t>
  </si>
  <si>
    <t xml:space="preserve">LIPPINCOTT WILLIAMS &amp; WILKINS</t>
  </si>
  <si>
    <t xml:space="preserve">artificial neural networks; dengue fever; logistic regression; Rasch analysis; receiver operating characteristic curve; WEKA</t>
  </si>
  <si>
    <t xml:space="preserve">RAPID IMMUNOCHROMATOGRAPHIC TEST; LOGISTIC-REGRESSION; VIRUS; DIAGNOSIS</t>
  </si>
  <si>
    <t xml:space="preserve">[Hu, Ting-Yun; Chow, Julie Chi] Chi Mei Med Ctr, Dept Pediat, Tainan, Taiwan; [Chow, Julie Chi] Taipei Med Univ, Coll Med, Sch Med, Dept Pediat, Taipei, Taiwan; [Chien, Tsair-Wei] Chi Mei Med Ctr, Dept Med Res, Tainan, Taiwan; [Chou, Willy] Chi Mei Med Ctr, Dept Phys Med &amp; Rehabil, Tainan, Taiwan; [Chou, Willy] Chung San Med Univ Hosp, Dept Phys Med &amp; Rehabil, Taichung, Taiwan; [Chou, Willy] Chi Mei Med Ctr, 901 Chung Hwa Rd, Tainan 710, Taiwan</t>
  </si>
  <si>
    <t xml:space="preserve">Chi Mei Hospital; Taipei Medical University; Chi Mei Hospital; Chi Mei Hospital; Chi Mei Hospital</t>
  </si>
  <si>
    <t xml:space="preserve">Chou, W (corresponding author), Chi Mei Med Ctr, 901 Chung Hwa Rd, Tainan 710, Taiwan.</t>
  </si>
  <si>
    <t xml:space="preserve">christinewu8312@gmail.com; jcchow2@yahoo.com.tw; smile@mail.chimei.org.tw; Willysmile@mail.chimei.org.tw</t>
  </si>
  <si>
    <t xml:space="preserve">TWO COMMERCE SQ, 2001 MARKET ST, PHILADELPHIA, PA 19103 USA</t>
  </si>
  <si>
    <t xml:space="preserve">0025-7974</t>
  </si>
  <si>
    <t xml:space="preserve">1536-5964</t>
  </si>
  <si>
    <t xml:space="preserve">Medicine (Baltimore)</t>
  </si>
  <si>
    <t xml:space="preserve">MAR 31</t>
  </si>
  <si>
    <t xml:space="preserve">10.1097/MD.0000000000033296</t>
  </si>
  <si>
    <t xml:space="preserve">I0KX3</t>
  </si>
  <si>
    <t xml:space="preserve">WOS:000999760800055</t>
  </si>
  <si>
    <t xml:space="preserve">Milad, D; Antaki, F; Robert, MC; Duval, R</t>
  </si>
  <si>
    <t xml:space="preserve">Milad, Daniel; Antaki, Fares; Robert, Marie-Claude; Duval, Renaud</t>
  </si>
  <si>
    <t xml:space="preserve">Development and deployment of a smartphone application for diagnosing trachoma: Leveraging code-free deep learning and edge artificial intelligence</t>
  </si>
  <si>
    <t xml:space="preserve">PURPOSE: Automated machine learning (AutoML) allows clinicians without coding experience to build their own deep learning (DL) models. This study assesses the performance of AutoML in diagnosing trachoma from field-collected conjunctival images and compares it to expert-designed DL models. METHODS: Two ophthalmology trainees without coding experience carried out AutoML model design using a publicly available image data set of field-collected conjunctival images (1656 labeled images). We designed two binary models to differentiate trachomatous inflammation-follicular (TF) and trachomatous inflammation-intense (TI) from normal. We then integrated an Edge model into an Android application using Google Firebase to make offline diagnoses. RESULTS: The AutoML models showed high diagnostic properties in the classification tasks that were comparable or better than the bespoke DL models. The TF model had an area under the precision-recall curve (AuPRC) of 0.945, sensitivity of 87%, specificity of 88%, and accuracy of 88%. The TI model had an AuPRC of 0.975, sensitivity of 95%, specificity of 92%, and accuracy of 93%. Through the Android app and using an external dataset, the AutoML model had an AuPRC of 0.875, sensitivity of 83%, specificity of 81%, and accuracy of 83%. CONCLUSION: AutoML models created by ophthalmologists without coding experience were comparable or better than bespoke models trained on the same dataset. Using AutoML to create models and edge computing to deploy them into smartphone-based apps, our approach brings the whole spectrum of DL model design into the hands of clinicians. This approach has the potential to democratize access to artificial intelligence.</t>
  </si>
  <si>
    <t xml:space="preserve">Niger, Ethiopia</t>
  </si>
  <si>
    <t xml:space="preserve">Trachoma</t>
  </si>
  <si>
    <t xml:space="preserve">AutoML
-Trachomatous inflammation-follicular (TF)
-Trachomatous inflammation-intense (TI)</t>
  </si>
  <si>
    <t xml:space="preserve">- TF, area under the precision (AuPRC) = 0.945, sensitivity = 87%, specificity = 88%, accuracy = 88%
- TI: area under the precision (AuPRC) = 0.975, sensitivity = 95%, specificity = 92%, accuracy = 93%
- AutoML (using external  dataset): AUPRC = 0.875, sensitivity = 83%, specificity = 92%, accuracy = 83%</t>
  </si>
  <si>
    <t xml:space="preserve">- External validation challenges
- Lack of training against differential diagnoses</t>
  </si>
  <si>
    <t xml:space="preserve">SAUDI JOURNAL OF OPHTHALMOLOGY</t>
  </si>
  <si>
    <t xml:space="preserve">WOLTERS KLUWER MEDKNOW PUBLICATIONS</t>
  </si>
  <si>
    <t xml:space="preserve">Artificial intelligence; deep learning; public health; screening; trachoma</t>
  </si>
  <si>
    <t xml:space="preserve">COST-EFFECTIVENESS; RANDOMIZED-TRIAL; AZITHROMYCIN; DESIGN; SYSTEM</t>
  </si>
  <si>
    <t xml:space="preserve">[Milad, Daniel; Antaki, Fares; Robert, Marie-Claude; Duval, Renaud] Univ Montreal, Dept Ophthalmol, Montreal, PQ, Canada; [Milad, Daniel; Antaki, Fares; Duval, Renaud] Maisonneuve Rosemont Hosp, Dept Ophthalmol, Montreal, PQ, Canada; [Milad, Daniel; Antaki, Fares; Robert, Marie-Claude] Univ Montreal Hosp, Dept Ophthalmol, Montreal, PQ, Canada</t>
  </si>
  <si>
    <t xml:space="preserve">Universite de Montreal; Universite de Montreal; Universite de Montreal</t>
  </si>
  <si>
    <t xml:space="preserve">Duval, R (corresponding author), Univ Ophthalmol Clin, Hop Maisonneuve Rosemont, Ctr Univ Ophtalmol, Ciusss Est De Lile De Montreal, 5415 Blvd Assomption, Montreal, PQ H1T 2M4, Canada.</t>
  </si>
  <si>
    <t xml:space="preserve">renaud.duval@gmail.com</t>
  </si>
  <si>
    <t xml:space="preserve">Antaki, Fares/GSI-6622-2022</t>
  </si>
  <si>
    <t xml:space="preserve">Milad, Daniel/0000-0002-0693-3421</t>
  </si>
  <si>
    <t xml:space="preserve">MUMBAI</t>
  </si>
  <si>
    <t xml:space="preserve">WOLTERS KLUWER INDIA PVT LTD , A-202, 2ND FLR, QUBE, C T S NO 1498A-2 VILLAGE MAROL, ANDHERI EAST, MUMBAI, Maharashtra, INDIA</t>
  </si>
  <si>
    <t xml:space="preserve">1319-4534</t>
  </si>
  <si>
    <t xml:space="preserve">2542-6680</t>
  </si>
  <si>
    <t xml:space="preserve">SAUDI J OPHTHALMOL</t>
  </si>
  <si>
    <t xml:space="preserve">Saudi J. Ophthalmol.</t>
  </si>
  <si>
    <t xml:space="preserve">JUL-SEP</t>
  </si>
  <si>
    <t xml:space="preserve">10.4103/sjopt.sjopt_106_22</t>
  </si>
  <si>
    <t xml:space="preserve">Ophthalmology</t>
  </si>
  <si>
    <t xml:space="preserve">ML0V3</t>
  </si>
  <si>
    <t xml:space="preserve">WOS:001193667700006</t>
  </si>
  <si>
    <t xml:space="preserve">Shaikh, SG; SureshKumar, B; Narang, G</t>
  </si>
  <si>
    <t xml:space="preserve">Shaikh, Salim G.; SureshKumar, B.; Narang, Geetika</t>
  </si>
  <si>
    <t xml:space="preserve">Development of optimized ensemble classifier for dengue fever prediction and recommendation system</t>
  </si>
  <si>
    <t xml:space="preserve">Dengue fever needs to be managed, which is considered as an important issue in health, nowadays. An efficient allocation of resources is mostly challenging owing to the external and internal components that have imposed non-linear fluctuations in the occurrence of dengue fever. Various machine learning and deep learning algo-rithms are developed for supporting the healthcare sector analysis, which has assured the efficiency and sig-nificance of the exact prediction of diseases and also ensured the minimal mortality rate. The core concept of this work is to implement an early-warning system for forecasting dengue fever and providing the proper recom-mendation system through intelligent techniques. Here, the enhanced prediction of dengue fever and recom-mendation is the main objective of this paper. In the data pre-processing stage, outlier removal and missing data filling are the main techniques to enhance the quality of data. Further, the optimal feature selection is performed using Neighbour Count-based Dragonfly Electric Fish Optimization (NC-DEFO). These acquired features are subjected to the Optimized Ensemble Classifier (OEC), in which Convolutional Neural Network, Artificial Neural Network, and Support Vector Machine are used according to the high ranking. Once the dengue fever in a particular area is predicted, the proper medical recommendation is provided in that area in terms of precaution steps, immunity-boosting remedies, drug prescription, spreading avoidance, etc. The evaluated results of the developed model with different comparative algorithms have shown efficient and superior outcomes from the implemented model, which seems to be accurate for the earlier diagnosis of dengue fever.</t>
  </si>
  <si>
    <t xml:space="preserve">CNN, ANN and Support Vector Machine</t>
  </si>
  <si>
    <t xml:space="preserve">Dengue Fever Prediction and Recommendation System; Optimal Feature Selection; Neighbor Count-based Dragonfly Electric Fish Optimization; Optimized Ensemble Classifier</t>
  </si>
  <si>
    <t xml:space="preserve">HEMORRHAGIC-FEVER; AMERICA</t>
  </si>
  <si>
    <t xml:space="preserve">[Shaikh, Salim G.] Amity Univ, Dept CSE, Jaipur, India; [Shaikh, Salim G.] AIKTC, Mumbai, India; [SureshKumar, B.] Ghodawat Univ Kolhapur, Dept CSE, Dept CSE Sanjay, Kolhapur, India; [Narang, Geetika] TCOER, Head Dept CSE, Pune, India</t>
  </si>
  <si>
    <t xml:space="preserve">Shaikh, SG (corresponding author), Amity Univ, Dept CSE, Jaipur, India.;Shaikh, SG (corresponding author), AIKTC, Mumbai, India.</t>
  </si>
  <si>
    <t xml:space="preserve">shaikhsg2@gmail.com</t>
  </si>
  <si>
    <t xml:space="preserve">Narang, Geetika/GRO-1436-2022; Shaikh, Dr. Salim/ACM-9200-2022</t>
  </si>
  <si>
    <t xml:space="preserve">kumar, suresh/0000-0001-5864-1634; Shaikh, Salim/0000-0002-0768-1158</t>
  </si>
  <si>
    <t xml:space="preserve">10.1016/j.bspc.2023.104809</t>
  </si>
  <si>
    <t xml:space="preserve">MAR 2023</t>
  </si>
  <si>
    <t xml:space="preserve">D8YL2</t>
  </si>
  <si>
    <t xml:space="preserve">WOS:000971528100001</t>
  </si>
  <si>
    <t xml:space="preserve">Habgood-Coote, D; Wilson, C; Shimizu, C; Barendregt, AM; Philipsen, R; Galassini, R; Calle, IR; Workman, L; Agyeman, PKA; Ferwerda, G; Anderson, ST; van den Berg, JM; Emonts, M; Carrol, ED; Fink, CG; de Groot, R; Hibberd, ML; Kanegaye, J; Nicol, MP; Paulus, S; Pollard, AJ; Salas, A; Secka, F; Schlapbach, LJ; Tremoulet, AH; Walther, M; Zenz, W; van der Flier, M; Zar, HJ; Kuijpers, T; Burns, JC; Martinón-Torres, F; Wright, VJ; Coin, LJM; Cunnington, AJ; Herberg, JA; Levin, M; Kaforou, M</t>
  </si>
  <si>
    <t xml:space="preserve">Habgood-Coote, Dominic; Wilson, Clare; Shimizu, Chisato; Barendregt, Anouk M.; Philipsen, Ria; Galassini, Rachel; Calle, Irene Rivero; Workman, Lesley; Agyeman, Philipp K. A.; Ferwerda, Gerben; Anderson, Suzanne T.; van den Berg, J. Merlijn; Emonts, Marieke; Carrol, Enitan D.; Fink, Colin G.; de Groot, Ronald; Hibberd, Martin L.; Kanegaye, John; Nicol, Mark P.; Paulus, Stephane; Pollard, Andrew J.; Salas, Antonio; Secka, Fatou; Schlapbach, Luregn J.; Tremoulet, Adriana H.; Walther, Michael; Zenz, Werner; van der Flier, Michiel; Zar, Heather J.; Kuijpers, Taco; Burns, Jane C.; Martinon-Torres, Federico; Wright, Victoria J.; Coin, Lachlan J. M.; Cunnington, Aubrey J.; Herberg, Jethro A.; Levin, Michael; Kaforou, Myrsini</t>
  </si>
  <si>
    <t xml:space="preserve">Diagnosis of childhood febrile illness using a multi-class blood RNA molecular signature</t>
  </si>
  <si>
    <t xml:space="preserve">Background: Appropriate treatment and management of children presenting with fever depend on accurate and timely diagnosis, but current diagnostic tests lack sensitivity and specificity and are frequently too slow to inform initial treatment. As an alternative to pathogen detection, host gene expression signatures in blood have shown promise in discriminating several infectious and inflammatory diseases in a dichotomous manner. However, differential diagnosis requires simultaneous consideration of multiple diseases. Here, we show that diverse infectious and inflammatory diseases can be discriminated by the expression levels of a single panel of genes in blood.Methods: A multi-class supervised machine-learning approach, incorporating clinical consequence of misdiagnosis as a costweighting, was applied to a whole-blood transcriptomic microarray dataset, incorporating 12 publicly available datasets, including 1,212 children with 18 infectious or inflammatory diseases. The transcriptional panel identified was further validated in a new RNA sequencing dataset comprising 411 febrile children.Findings: We identified 161 transcripts that classified patients into 18 disease categories, reflecting individual causative pathogen and specific disease, as well as reliable prediction of broad classes comprising bacterial infection, viral infection, malaria, tuberculosis, or inflammatory disease. The transcriptional panel was validated in an independent cohort and benchmarked against existing dichotomous RNA signatures.Conclusions: Our data suggest that classification of febrile illness can be achieved with a single blood sample and opens the way for a new approach for clinical diagnosis.Funding: European Union's Seventh Framework no. 279185; Horizon202 0 no. 668303 PERFORM; Wellcome Trust (206508/Z/17/Z); Medical Research Foundation (MRF-160-0008-ELP-KAFO-C08 01); NIHR Imperial BRC.</t>
  </si>
  <si>
    <t xml:space="preserve">UK, USA, Netherlands, Spain, South Africa, Switzerland, Gambia, Australia, Austria</t>
  </si>
  <si>
    <t xml:space="preserve">- Demographic data
- Clinical data</t>
  </si>
  <si>
    <t xml:space="preserve">- Malaria
- Tuberculosis
- Bacterial infection
- Viral infection 
- Inflammatory disease</t>
  </si>
  <si>
    <t xml:space="preserve">Multi-class supervised machine-learning</t>
  </si>
  <si>
    <t xml:space="preserve">- Limited availability of comprehensive whole-blood gene expression datasets
- Class imbalance and underrepresentation of certain diseases
- Exclusion of patients with multiple concurrent diagnoses
- Cross-platform and dataset differences
- Need for larger, prospectively collected patient cohort with detailed phenotyping
- Limited population scope</t>
  </si>
  <si>
    <t xml:space="preserve">MED</t>
  </si>
  <si>
    <t xml:space="preserve">KAWASAKI-DISEASE; BACTERIAL-INFECTIONS; EXPRESSION; CHILDREN; INFANTS; CLASSIFICATION; TUBERCULOSIS; MICROARRAY; GEO</t>
  </si>
  <si>
    <t xml:space="preserve">[Habgood-Coote, Dominic; Wilson, Clare; Galassini, Rachel; Wright, Victoria J.; Cunnington, Aubrey J.; Herberg, Jethro A.; Levin, Michael; Kaforou, Myrsini] Imperial Coll London, Sect Paediat Infect Dis, London, England; [Habgood-Coote, Dominic; Wilson, Clare; Galassini, Rachel; Wright, Victoria J.; Cunnington, Aubrey J.; Herberg, Jethro A.; Levin, Michael; Kaforou, Myrsini] Imperial Coll London, Ctr Paediat &amp; Child Hlth, Dept Infect Dis, London, England; [Shimizu, Chisato; Kanegaye, John; Tremoulet, Adriana H.; Burns, Jane C.] Univ Calif San Diego, Dept Pediat, Sch Med, Rady Childrens Hosp San Diego, La Jolla, CA USA; [Barendregt, Anouk M.; van den Berg, J. Merlijn; Kuijpers, Taco] Univ Amsterdam, AUMC, Emma Childrens Hosp, Dept Pediat Immunol Rheumatol &amp; Infect Dis, Amsterdam, Netherlands; [Philipsen, Ria; Ferwerda, Gerben; de Groot, Ronald] Radboud Univ Nijmegen, Radboud Inst Mol Life Sci, Dept Lab Med, Med Ctr, Nijmegen, Netherlands; [Calle, Irene Rivero; Salas, Antonio; Martinon-Torres, Federico] Hosp Clin Univ Santiago de Compostela, Pediat Dept, Translat Pediat &amp; Infect Dis Sect, Santiago De Compostela, Spain; [Calle, Irene Rivero; Salas, Antonio; Martinon-Torres, Federico] Inst Invest Sanitaria IDIS, Genet Vaccines Infect Dis &amp; Pediat Res Grp GENVIP, Santiago De Compostela, Spain; [Workman, Lesley] Univ Cape Town, Red Cross Childrens Hosp, Dept Paediat &amp; Child Hlth, Cape Town, South Africa; [Workman, Lesley] Univ Cape Town, SA MRC Unit Child &amp; Adolescent Hlth, Cape Town, South Africa; [Agyeman, Philipp K. A.] Univ Bern, Dept Pediat, Inselspital, Bern Univ Hosp, Bern, Switzerland; [Anderson, Suzanne T.; Secka, Fatou; Walther, Michael] LSHTM Fajara, London Sch Hyg &amp; Trop Med, Med Res Council Unit, Banjul, Gambia; [Emonts, Marieke] Newcastle Tyne Hosp NHS Fdn Trust, Great North Childrens Hosp, Dept Paediat Immunol Infect Dis &amp; Allergy, Newcastle Upon Tyne, England; [Emonts, Marieke] Newcastle Tyne Hosp NHS Fdn Trust, NIHR Newcastle Biomed Res Ctr, Newcastle Upon Tyne, England; [Emonts, Marieke] Newcastle Univ, Translat &amp; Clin Res Inst, Newcastle Upon Tyne, England; [Carrol, Enitan D.] Univ Liverpool, Dept Clin Infect Microbiol &amp; Immunol, Inst Infect Vet &amp; Ecol Sci, Liverpool, England; [Fink, Colin G.] Micropathol Ltd Res &amp; Diag, Coventry, England; [Fink, Colin G.] Univ Warwick, Coventry, England; [Hibberd, Martin L.] London Sch Hyg &amp; Trop Med, Fac Infect &amp; Trop Dis, Dept Infect Biol, London, England; [Paulus, Stephane; Pollard, Andrew J.] Univ Oxford, Dept Paediat, Oxford Vaccine Grp, Oxford, England; [Paulus, Stephane; Pollard, Andrew J.] NIHR Oxford Biomed Res Ctr, Oxford, England; [Salas, Antonio] Univ Santiago Compostela, Unidade Xenet, Inst Ciencias Forenses INCIFOR, Fac Med, Galicia 15706, Spain; [Salas, Antonio] Hosp Clin Univ Santiago SERGAS, GenPoB Res Grp, Inst Invest Sanitaria IDIS, Galicia 15706, Spain; [Schlapbach, Luregn J.] Univ Childrens Hosp Zurich, Pediat &amp; Neonatal Intens Care Unit, Zurich, Switzerland; [Schlapbach, Luregn J.] Univ Childrens Hosp Zurich, Childrens Res Ctr, Zurich, Switzerland; [Schlapbach, Luregn J.] Univ Queensland, Child Hlth Res Ctr, Brisbane, Qld, Australia; [Schlapbach, Luregn J.] Queensland Childrens Hosp, Paediat Intens Care Unit, Brisbane, Qld, Australia; [Zenz, Werner] Med Univ Graz, Univ Clin Paediat &amp; Adolescent Med, Dept Gen Paediat, Graz, Austria; [van der Flier, Michiel] Univ Med Ctr Utrecht, Wilhelmina Childrens Hosp, Paediat Infect Dis &amp; Immunol, Utrecht, Netherlands; [van der Flier, Michiel] Radboudumc, Paediat Infect Dis &amp; Immunol, Amalia Childrens Hosp, Nijmegen, Netherlands; [Kuijpers, Taco] Univ Amsterdam, Dept Blood Cell Res, Div Res, Sanquin Blood Supply,AUMC, Amsterdam, Netherlands; [Kuijpers, Taco] Univ Amsterdam, Landsteiner Lab, AUMC, Amsterdam, Netherlands; [Coin, Lachlan J. M.] Univ Melbourne, Dept Microbiol &amp; Immunol, Peter Doherty Inst Infect &amp; Immun, Melbourne, Vic, Australia; [Nicol, Mark P.] Univ Western Australia, Marshall Ctr, Sch Biomed Sci, Perth, Australia</t>
  </si>
  <si>
    <t xml:space="preserve">Imperial College London; Imperial College London; Rady Childrens Hospital San Diego; University of California System; University of California San Diego; Emma Children's Hospital; University of Amsterdam; Radboud University Nijmegen; Complexo Hospitalario Universitario de Santiago de Compostela; University of Cape Town; University of Cape Town; University of Bern; University Hospital of Bern; University of London; London School of Hygiene &amp; Tropical Medicine; Newcastle Upon Tyne Hospitals NHS Foundation Trust; Newcastle Upon Tyne Hospitals NHS Foundation Trust; Newcastle University - UK; University of Liverpool; University of Warwick; University of London; London School of Hygiene &amp; Tropical Medicine; University of Oxford; University of Oxford; Universidade de Santiago de Compostela; University Children's Hospital Zurich; University Children's Hospital Zurich; University of Queensland; Childrens Health Queensland Hospital &amp; Health Service; Queensland Childrens Hospital; Medical University of Graz; Wilhelmina Kinderziekenhuis; Utrecht University; Utrecht University Medical Center; Radboud University Nijmegen; University of Amsterdam; University of Amsterdam; University of Melbourne; Peter Doherty Institute; University of Western Australia</t>
  </si>
  <si>
    <t xml:space="preserve">Kaforou, M (corresponding author), Imperial Coll London, Sect Paediat Infect Dis, London, England.;Kaforou, M (corresponding author), Imperial Coll London, Ctr Paediat &amp; Child Hlth, Dept Infect Dis, London, England.</t>
  </si>
  <si>
    <t xml:space="preserve">m.kaforou@imperial.ac.uk</t>
  </si>
  <si>
    <t xml:space="preserve">Nicol, Mark/W-4149-2019; Faust, Saul/J-9779-2014; Martinon-Torres, Federico/E-4982-2016; rivero, irene/ABC-9006-2020; Salas, Antonio/U-2029-2019; Zar, Heather/GZL-5350-2022; Schlapbach, Luregn/IYS-3058-2023; Agyeman, Philipp/HRA-7859-2023; Kaforou, Myrsini/L-2470-2019; Carrol, Enitan/AFR-7125-2022; Schlapbach, Luregn/F-7465-2017; Coin, Lachlan/A-9001-2014; Nicol, Mark/J-4987-2014; O'Connor, Daniel/AAF-4903-2019; Salas, Antonio/E-3977-2012</t>
  </si>
  <si>
    <t xml:space="preserve">Carrol, Enitan/0000-0001-8357-7726; Schlapbach, Luregn/0000-0003-2281-2598; Levin, Michael/0000-0003-2767-6919; Coin, Lachlan/0000-0002-4300-455X; Concha-Torre, Andres/0000-0002-0698-1570; Austin-Page, Lukas/0000-0003-1764-1421; Rivero Calle, Irene/0000-0002-3678-9264; Habgood Coote, Dominic/0000-0001-5501-0335; Paulus, Stephane/0000-0002-0703-9114; Nicol, Mark/0000-0002-1366-4805; Cunnington, Aubrey/0000-0002-1305-3529; O'Connor, Daniel/0000-0002-6902-9886; Zar, Heather/0000-0002-9046-759X; Salas, Antonio/0000-0002-2336-702X; Wright, Victoria/0000-0001-7826-1516</t>
  </si>
  <si>
    <t xml:space="preserve">European Union [206508/Z/17/Z]; Wellcome Trust [MRF-160-0008-ELP-KAFO-C0801]; Medical Research Foundation [279185 EUCLIDS]; NIHR Imperial BRC; [668303 PERFORM]</t>
  </si>
  <si>
    <t xml:space="preserve">European Union(European Union (EU)); Wellcome Trust(Wellcome Trust); Medical Research Foundation(UK Research &amp; Innovation (UKRI)Medical Research Council UK (MRC)); NIHR Imperial BRC;</t>
  </si>
  <si>
    <t xml:space="preserve">The authors acknowledge funding from European Union's Seventh Framework programme and the Horizon 2020 research and innovation programme under GA no. 279185 EUCLIDS and no. 668303 PERFORM. M.K. is supported from the Wellcome Trust (206508/Z/17/Z) and the Medical Research Foundation (MRF-160-0008-ELP-KAFO-C0801) . D.H.-C., C.W., R.G., V.W., A.C., J.H., M.L., and M.K. have received support from the NIHR Imperial BRC.</t>
  </si>
  <si>
    <t xml:space="preserve">2666-6340</t>
  </si>
  <si>
    <t xml:space="preserve">MED-CAMBRIDGE</t>
  </si>
  <si>
    <t xml:space="preserve">Med</t>
  </si>
  <si>
    <t xml:space="preserve">+</t>
  </si>
  <si>
    <t xml:space="preserve">10.1016/j.medj.2023.06.007</t>
  </si>
  <si>
    <t xml:space="preserve">Medicine, Research &amp; Experimental</t>
  </si>
  <si>
    <t xml:space="preserve">Research &amp; Experimental Medicine</t>
  </si>
  <si>
    <t xml:space="preserve">T2XC5</t>
  </si>
  <si>
    <t xml:space="preserve">WOS:001076655200001</t>
  </si>
  <si>
    <t xml:space="preserve">Uk Kawasaki Genetics Consortium; GENDRES Consortium; EUCLIDS Consortium; PERFORM Consortium</t>
  </si>
  <si>
    <t xml:space="preserve">Caliskan, A</t>
  </si>
  <si>
    <t xml:space="preserve">caliskan, Abidin</t>
  </si>
  <si>
    <t xml:space="preserve">Diagnosis of malaria disease by integrating chi-square feature selection algorithm with convolutional neural networks and autoencoder network</t>
  </si>
  <si>
    <t xml:space="preserve">Malaria is a febrile illness caused by a parasite called plasmodium. This life-threatening disease is preventable and treatable if diagnosed early. The World Health Organization aims to reduce the global malaria incidence and death rates by at least 90% until 2030. This disease is diagnosed by visually analyzing red blood cells with a microscope by experienced radiologists. Therefore, this situation may be erroneous due to subjective interpretations. In this study, red blood cells were trained with deep learning-based convolutional neural networks to diagnose malaria, and thus, their deep features were obtained. These obtained features are also trained with autoencoder networks. Thus, the chi-square feature selection algorithm was used to obtain distinctive features. Finally, the unique feature set obtained is given as an introduction to machine learning algorithms, and then a unique diagnostic model is proposed. As a result, 100% accuracy rate was obtained. The results are promising for the diagnosis of malaria disease.</t>
  </si>
  <si>
    <t xml:space="preserve">Switzerland</t>
  </si>
  <si>
    <t xml:space="preserve">- CNN
- Autoencoder networks</t>
  </si>
  <si>
    <t xml:space="preserve">- Accuracy = 100%</t>
  </si>
  <si>
    <t xml:space="preserve">TRANSACTIONS OF THE INSTITUTE OF MEASUREMENT AND CONTROL</t>
  </si>
  <si>
    <t xml:space="preserve">Malaria; convolutional neural network; autoencoder; chi-square feature selection; machine learning classification</t>
  </si>
  <si>
    <t xml:space="preserve">DIMENSIONALITY</t>
  </si>
  <si>
    <t xml:space="preserve">[caliskan, Abidin] Batman Univ, Fac Engn &amp; Architecture, Dept Comp Engn, Batman, Turkiye; [caliskan, Abidin] Batman Univ, Fac Engn &amp; Architecture, Dept Comp Engn, TR-72060 Batman, Turkiye</t>
  </si>
  <si>
    <t xml:space="preserve">Batman University; Batman University</t>
  </si>
  <si>
    <t xml:space="preserve">Caliskan, A (corresponding author), Batman Univ, Fac Engn &amp; Architecture, Dept Comp Engn, TR-72060 Batman, Turkiye.</t>
  </si>
  <si>
    <t xml:space="preserve">abidin.caliskan@batman.edu.tr</t>
  </si>
  <si>
    <t xml:space="preserve">Caliskan, Abidin/AFG-2615-2022</t>
  </si>
  <si>
    <t xml:space="preserve">Caliskan, Abidin/0000-0001-5039-6400</t>
  </si>
  <si>
    <t xml:space="preserve">0142-3312</t>
  </si>
  <si>
    <t xml:space="preserve">1477-0369</t>
  </si>
  <si>
    <t xml:space="preserve">T I MEAS CONTROL</t>
  </si>
  <si>
    <t xml:space="preserve">Trans. Inst. Meas. Control</t>
  </si>
  <si>
    <t xml:space="preserve">10.1177/01423312221147335</t>
  </si>
  <si>
    <t xml:space="preserve">Automation &amp; Control Systems; Instruments &amp; Instrumentation</t>
  </si>
  <si>
    <t xml:space="preserve">9E2UF</t>
  </si>
  <si>
    <t xml:space="preserve">WOS:000916508900001</t>
  </si>
  <si>
    <t xml:space="preserve">Goni, MOF; Mondal, MNI; Islam, SMR; Nahiduzzaman, M; Islam, MR; Anower, MS; Kwak, KS</t>
  </si>
  <si>
    <t xml:space="preserve">Goni, Md. Omaer Faruq; Mondal, Md. Nazrul Islam; Islam, S. M. Riazul; Nahiduzzaman, Md.; Islam, Md. Robiul; Anower, Md. Shamim; Kwak, Kyung-Sup</t>
  </si>
  <si>
    <t xml:space="preserve">Diagnosis of Malaria Using Double Hidden Layer Extreme Learning Machine Algorithm With CNN Feature Extraction and Parasite Inflator</t>
  </si>
  <si>
    <t xml:space="preserve">Malaria, a life-threatening disease worldwide, can be diagnosed using antigen tests and microscopy tests. However, both of them are erroneous and time-consuming. Therefore, a trustworthy and fast early malaria prognosis infrastructure is required. In this age of machine learning (ML), there are several ML-based methods to do the task. This paper proposes an unorthodox method for malaria prognosis based on an extreme learning machine (ELM) algorithm. In this regard, Convolutional Neural Networks (CNN), ELM, and double hidden layer (DELM) have been used as classifiers. A CNN model has been used as a feature extractor and also as a classifier to perform a comparative study. The derived features have been used to train ELM and DELM. Two versions of the malaria image dataset have been used: one is the original dataset, and the other is a modified dataset where ambiguous samples have been removed. The parasite inflator acts as the shape increaser of the small, darker malaria parasites in the RBC images in order to detect malaria easily. CNN-DELM has achieved a sanguine result on every performance standard compared to CNN and CNN-ELM. The proposed CNN-DELM method has achieved 97.79% and 99.66% accuracy for the original version and the modified version, respectively. Hence, the proposed CNN-DELM model has also produced either comparable or better results when compared to other methods proposed in the literature, showing its robustness in detecting malaria.</t>
  </si>
  <si>
    <t xml:space="preserve">Bangladesh, UK, Qatar, South Korea</t>
  </si>
  <si>
    <t xml:space="preserve">CNN, CNN-ELM, CNN-DELM</t>
  </si>
  <si>
    <t xml:space="preserve">- CNN-DELM: accuracy = 97.79% (for the original version)
accuracy = 99.66% (for the modified version)</t>
  </si>
  <si>
    <t xml:space="preserve">Diseases; Feature extraction; Convolutional neural networks; Malaria; Support vector machines; Solid modeling; Extreme learning machines; Convolutional neural network (CNN); double hidden layer extreme learning machine (DELM); malaria; extreme learning machine (ELM)</t>
  </si>
  <si>
    <t xml:space="preserve">BLOOD; CLASSIFICATION</t>
  </si>
  <si>
    <t xml:space="preserve">[Goni, Md. Omaer Faruq; Nahiduzzaman, Md.; Islam, Md. Robiul] Rajshahi Univ Engn &amp; Technol, Dept Elect &amp; Comp Engn, Rajshahi 6204, Bangladesh; [Mondal, Md. Nazrul Islam] Rajshahi Univ Engn &amp; Technol, Dept Comp Sci &amp; Engn, Rajshahi 6204, Bangladesh; [Islam, S. M. Riazul] Univ Huddersfield, Dept Comp Sci, Huddersfield HD1 3DH, England; [Anower, Md. Shamim] Rajshahi Univ Engn &amp; Technol, Dept Elect &amp; Elect Engn, Rajshahi 6204, Bangladesh; [Nahiduzzaman, Md.] Qatar Univ, Dept Elect Engn, Doha, Qatar; [Kwak, Kyung-Sup] Inha Univ, Dept Informat &amp; Commun Engn, Incheon 22212, South Korea</t>
  </si>
  <si>
    <t xml:space="preserve">Rajshahi University of Engineering &amp; Technology (RUET); Rajshahi University of Engineering &amp; Technology (RUET); University of Huddersfield; Rajshahi University of Engineering &amp; Technology (RUET); Qatar University; Inha University</t>
  </si>
  <si>
    <t xml:space="preserve">Goni, MOF (corresponding author), Rajshahi Univ Engn &amp; Technol, Dept Elect &amp; Comp Engn, Rajshahi 6204, Bangladesh.;Kwak, KS (corresponding author), Inha Univ, Dept Informat &amp; Commun Engn, Incheon 22212, South Korea.</t>
  </si>
  <si>
    <t xml:space="preserve">omaerfaruq@ece.ruet.ac.bd; kskwak@inha.ac.kr</t>
  </si>
  <si>
    <t xml:space="preserve">Nahiduzzaman, Md/GWZ-7870-2022; Anower, Shamim/AAJ-7513-2021; Goni, Md. Omaer Faruq/AAA-3674-2022; Islam, S. M. Riazul/F-1471-2017</t>
  </si>
  <si>
    <t xml:space="preserve">Anower, Md. Shamim/0000-0001-6986-6847; Islam, S. M. Riazul/0000-0003-2968-9561; Goni, Md. Omaer Faruq/0000-0002-4491-4942; Kwak, Kyung Sup/0000-0002-9559-4352; Nahiduzzaman, Md./0000-0003-4126-0389</t>
  </si>
  <si>
    <t xml:space="preserve">National Research Foundation of Korea-Grant - Korean Government (Ministry of Science and ICT) [NRF-2020R1A2B5B02002478]</t>
  </si>
  <si>
    <t xml:space="preserve">National Research Foundation of Korea-Grant - Korean Government (Ministry of Science and ICT)(National Research Foundation of Korea)</t>
  </si>
  <si>
    <t xml:space="preserve">This work was supported by the National Research Foundation of Korea-Grant funded by the Korean Government (Ministry of Science and ICT) under Grant NRF-2020R1A2B5B02002478.</t>
  </si>
  <si>
    <t xml:space="preserve">10.1109/ACCESS.2023.3234279</t>
  </si>
  <si>
    <t xml:space="preserve">8C5XB</t>
  </si>
  <si>
    <t xml:space="preserve">WOS:000917680000001</t>
  </si>
  <si>
    <t xml:space="preserve">Suggala, RK; Krishna, MV; Swain, SK</t>
  </si>
  <si>
    <t xml:space="preserve">Suggala, Ravi Kumar; Krishna, M. Vamsi; Swain, Sangram Keshari</t>
  </si>
  <si>
    <t xml:space="preserve">Discover the New Factor for Dengue Fever Outbreaks and Predicted using Bayes Network-PSO (BN-PSO)</t>
  </si>
  <si>
    <t xml:space="preserve">Dengue fever is a mosquito-borne pathological infection that is the nation's most dangerous widespread human illness disorder, posing a critical threat to humankind. Moreover, accuracy is a major challenge during dengue epidemic prediction that must be addressed. A few research studies have looked into the factors influencing dengue outbreak prediction. Furthermore, only a tiny fraction of the infected population can be properly predicted using a forecasting approach for dengue infection disorders based solely on meteorological variables. This limitation is caused by a low mosquito population below infection transmission thresholds. Therefore, an Improved Deep Learning Model for Predicting Dengue Outbreaks is proposed, in which novel climatic parameters such as the TempWind factor are evaluated. Then to estimate the dengue risk incidence level, the Bayes network model combined with Particle Swarm Optimization (PSO) is introduced. As a result, the proposed model has proven that using the correct and relevant factor of putting aspects for epidemic forecasting yields improved and accurate findings.</t>
  </si>
  <si>
    <t xml:space="preserve">Public health records
Climatic and Meteorological data</t>
  </si>
  <si>
    <t xml:space="preserve">Bayes network model combined with Particle Swarm Optimization (PSO)</t>
  </si>
  <si>
    <t xml:space="preserve">Accuracy = 97.5%</t>
  </si>
  <si>
    <t xml:space="preserve">JOURNAL OF INFORMATION SCIENCE AND ENGINEERING</t>
  </si>
  <si>
    <t xml:space="preserve">INST INFORMATION SCIENCE</t>
  </si>
  <si>
    <t xml:space="preserve">dengue outbreak prediction; deep learning; particle swarm optimization (PSO); Bayes network mode; TempWindFactor (TWF)</t>
  </si>
  <si>
    <t xml:space="preserve">[Suggala, Ravi Kumar] Centurion Univ Technol &amp; Management, Dept Comp Sci &amp; Engn, Paralakhemundi 761200, Odisha, India; [Krishna, M. Vamsi] Aditya Engn Coll, Dept Comp Sci &amp; Engn, Surampalem 533437, Andhra Prades, India; [Swain, Sangram Keshari] Centurion Univ Technol &amp; Management, Dept Comp Sci &amp; Engn, Khurja 752050, Odisha, India</t>
  </si>
  <si>
    <t xml:space="preserve">Centurion University of Technology &amp; Management; Aditya Engineering College, Surampalem; Centurion University of Technology &amp; Management</t>
  </si>
  <si>
    <t xml:space="preserve">Suggala, RK (corresponding author), Centurion Univ Technol &amp; Management, Dept Comp Sci &amp; Engn, Paralakhemundi 761200, Odisha, India.</t>
  </si>
  <si>
    <t xml:space="preserve">ravi.suggala@gmail.com</t>
  </si>
  <si>
    <t xml:space="preserve">Swain, Sangram/IWD-4860-2023; Suggala, Ravi Kumar/AAR-2750-2020; MANGALAPALLI, VAMSI KRISHNA/AFM-7203-2022</t>
  </si>
  <si>
    <t xml:space="preserve">Swain, Sangram Keshari/0000-0002-6900-2851; Suggala, Ravi Kumar/0000-0003-0962-5261; MANGALAPALLI, VAMSI KRISHNA/0000-0001-5285-9990</t>
  </si>
  <si>
    <t xml:space="preserve">Department of Science and Technology (DST) [DST/SEED/SCSP/STI/2019/140]</t>
  </si>
  <si>
    <t xml:space="preserve">Department of Science and Technology (DST)(Department of Science &amp; Technology (India))</t>
  </si>
  <si>
    <t xml:space="preserve">We would like to express our sincere gratitude to the Department of Science and Technology (DST) for their generous support provided for this research project (Ref. No. DST/SEED/SCSP/STI/2019/140) . The valuable resources and infrastructure made availa-ble by Shri Vishnu Engineering College For women, Bhimavaram were instrumental in the successful completion of this study. We would also like to express our sincere grate-fulness to Primary Health Center, Palakoderu for providing the dataset used in this research project. Their valuable contribution has been instrumental in enabling us to conduct our study and draw meaningful conclusions. We are grateful for their willingness to share the dataset and for their efforts in collecting and organizing the data. This research would not have been possible without their generous support.</t>
  </si>
  <si>
    <t xml:space="preserve">TAIPEI</t>
  </si>
  <si>
    <t xml:space="preserve">ACADEMIA SINICA, TAIPEI 115, TAIWAN</t>
  </si>
  <si>
    <t xml:space="preserve">1016-2364</t>
  </si>
  <si>
    <t xml:space="preserve">J INF SCI ENG</t>
  </si>
  <si>
    <t xml:space="preserve">J. Inf. Sci. Eng.</t>
  </si>
  <si>
    <t xml:space="preserve">10.6688/JISE.202311_39(6).0009</t>
  </si>
  <si>
    <t xml:space="preserve">DQ5X7</t>
  </si>
  <si>
    <t xml:space="preserve">WOS:001133548500007</t>
  </si>
  <si>
    <t xml:space="preserve">Zhong, YM; Dan, Y; Cai, Y; Lin, JM; Huang, XY; Mahmoud, O; Hald, ES; Kumar, A; Fang, Q; Mahmoud, SS</t>
  </si>
  <si>
    <t xml:space="preserve">Zhong, Yuming; Dan, Ying; Cai, Yin; Lin, Jiamin; Huang, Xiaoyao; Mahmoud, Omnia; Hald, Eric S.; Kumar, Akshay; Fang, Qiang; Mahmoud, Seedahmed S.</t>
  </si>
  <si>
    <t xml:space="preserve">Efficient Malaria Parasite Detection From Diverse Images of Thick Blood Smears for Cross-Regional Model Accuracy</t>
  </si>
  <si>
    <t xml:space="preserve">Goal: The purpose of this work is to improve malaria diagnosis efficiency by integrating smartphones with microscopes. This integration involves image acquisition and algorithmic detection of malaria parasites in various thick blood smear (TBS) datasets sourced from different global regions, including low-quality images from Sub-Saharan Africa. Methods: This approach combines image segmentation and a convolutional neural network (CNN) to distinguish between white blood cells, artifacts, and malaria parasites. A portable system integrates a microscope with a graphical user interface to facilitate rapid malaria detection from smartphone images. We trained the CNN model using open-source data from the Chittagong Medical College Hospital, Bangladesh. Results: The validation process, using microscopic TBS from both the training dataset and an additional dataset from Sub-Saharan Africa, demonstrated that the proposed model achieved an accuracy of 97.74% +/- 0.05% and an F1-score of 97.75% +/- 0.04%. Remarkably, our proposed model with AlexNet surpasses the reported literature performance of 96.32%. Conclusions: This algorithm shows promise in aiding malaria-stricken regions, especially those with limited resources.</t>
  </si>
  <si>
    <t xml:space="preserve">China, Sudan</t>
  </si>
  <si>
    <t xml:space="preserve">- Bangladesh
- Sub-Saharan Africa</t>
  </si>
  <si>
    <t xml:space="preserve">- Proposed Model:
Accuracy = 97.74% +/- 0.05%
- With Alexnet
Accuracy = 96.32%</t>
  </si>
  <si>
    <t xml:space="preserve">IEEE OPEN JOURNAL OF ENGINEERING IN MEDICINE AND BIOLOGY</t>
  </si>
  <si>
    <t xml:space="preserve">Computer-aided diagnosis; image segmentation; malaria parasites; microscope; neural networks; smartphones</t>
  </si>
  <si>
    <t xml:space="preserve">SEGMENTATION; CELL</t>
  </si>
  <si>
    <t xml:space="preserve">[Zhong, Yuming; Dan, Ying; Cai, Yin; Lin, Jiamin; Hald, Eric S.; Kumar, Akshay; Fang, Qiang; Mahmoud, Seedahmed S.] Shantou Univ, Coll Engn, Dept Biomed Engn, Shantou 515063, Peoples R China; [Zhong, Yuming; Dan, Ying; Cai, Yin; Lin, Jiamin; Hald, Eric S.; Kumar, Akshay; Fang, Qiang; Mahmoud, Seedahmed S.] Shantou Univ, Frontier Technol Res Inst, Affiliated Hosp 1, Shantou 515063, Peoples R China; [Huang, Xiaoyao] Shantou Univ, Med Coll, Shantou 515063, Peoples R China; [Mahmoud, Omnia] Alkawa Hosp, Alkawa 28815, Sudan</t>
  </si>
  <si>
    <t xml:space="preserve">Shantou University; Shantou University; Shantou University</t>
  </si>
  <si>
    <t xml:space="preserve">Mahmoud, SS (corresponding author), Shantou Univ, Coll Engn, Dept Biomed Engn, Shantou 515063, Peoples R China.;Mahmoud, SS (corresponding author), Shantou Univ, Frontier Technol Res Inst, Affiliated Hosp 1, Shantou 515063, Peoples R China.</t>
  </si>
  <si>
    <t xml:space="preserve">20ymzhong@stu.edu.cn; yingdan223@gmail.com; 20ycai@stu.edu.cn; 20jmlin@stu.edu.cn; xiaoyaohuang3@gmail.com; mam0910408891@gmail.com; hald@stu.edu.cn; akksh@outlook.com; qiangfang@stu.edu.cn; mahmoud@stu.edu.cn</t>
  </si>
  <si>
    <t xml:space="preserve">Hald, Eric/LDE-6923-2024; Zhong, Yuming/LFU-4788-2024; fang, john/JMB-6264-2023</t>
  </si>
  <si>
    <t xml:space="preserve">Zhong, Yuming/0009-0005-8915-7040; Fang, Qiang/0000-0003-3209-6417; Dan, Ying/0009-0009-0391-7758</t>
  </si>
  <si>
    <t xml:space="preserve">Li Ka Shing Foundation Cross-Disciplinary Research</t>
  </si>
  <si>
    <t xml:space="preserve">2644-1276</t>
  </si>
  <si>
    <t xml:space="preserve">IEEE OPEN J ENG MED</t>
  </si>
  <si>
    <t xml:space="preserve">IEEE Open J. Eng. Med. Biol.</t>
  </si>
  <si>
    <t xml:space="preserve">10.1109/OJEMB.2023.3328435</t>
  </si>
  <si>
    <t xml:space="preserve">CD8Q8</t>
  </si>
  <si>
    <t xml:space="preserve">WOS:001123407400002</t>
  </si>
  <si>
    <t xml:space="preserve">Turon, G; Hlozek, J; Woodland, JG; Kumar, A; Chibale, K; Duran-Frigola, M</t>
  </si>
  <si>
    <t xml:space="preserve">Turon, Gemma; Hlozek, Jason; Woodland, John G.; Kumar, Ankur; Chibale, Kelly; Duran-Frigola, Miquel</t>
  </si>
  <si>
    <t xml:space="preserve">First fully-automated AI/ML virtual screening cascade implemented at a drug discovery centre in Africa</t>
  </si>
  <si>
    <t xml:space="preserve">Streamlined data-driven drug discovery remains challenging, especially in resource-limited settings. We present ZairaChem, an artificial intelligence (AI)- and machine learning (ML)-based tool for quantitative structure-activity/property relationship (QSAR/QSPR) modelling. ZairaChem is fully automated, requires low computational resources and works across a broad spectrum of datasets. We describe an end-to-end implementation at the H3D Centre, the leading integrated drug discovery unit in Africa, at which no prior AI/ML capabilities were available. By leveraging in-house data collected over a decade, we have developed a virtual screening cascade for malaria and tuberculosis drug discovery comprising 15 models for key decision-making assays ranging from whole-cell phenotypic screening and cytotoxicity to aqueous solubility, permeability, microsomal metabolic stability, cytochrome inhibition, and cardiotoxicity. We show how computational profiling of compounds, prior to synthesis and testing, can inform progression of frontrunner compounds at H3D. This project is a first-of-its-kind deployment at scale of AI/ML tools in a research centre operating in a low-resource setting. Streamlined data-driven drug discovery remains challenging, especially in resource-limited settings. Here, the authors present ZairaChem, an AI/ML tool that streamlines QSAR/QSPR modelling, implemented for the first time at the H3D Centre in South Africa.</t>
  </si>
  <si>
    <t xml:space="preserve">UK, South Africa</t>
  </si>
  <si>
    <t xml:space="preserve">Drug discovery screening</t>
  </si>
  <si>
    <t xml:space="preserve">Malaria and tuberculosis</t>
  </si>
  <si>
    <t xml:space="preserve">[Turon, Gemma; Kumar, Ankur; Duran-Frigola, Miquel] Ersilia Open Source Initiat, Cambridge, England; [Hlozek, Jason; Woodland, John G.; Chibale, Kelly] Univ Cape Town, Dept Chem, Cape Town, South Africa; [Hlozek, Jason; Woodland, John G.; Chibale, Kelly] Univ Cape Town, Holist Drug Discovery &amp; Dev Ctr H3D, Cape Town, South Africa; [Woodland, John G.; Chibale, Kelly] Univ Cape Town, Inst Infect Dis &amp; Mol Med, South African Med Res Council Drug Discovery &amp; Dev, Cape Town, South Africa</t>
  </si>
  <si>
    <t xml:space="preserve">University of Cape Town; University of Cape Town; University of Cape Town</t>
  </si>
  <si>
    <t xml:space="preserve">Duran-Frigola, M (corresponding author), Ersilia Open Source Initiat, Cambridge, England.;Chibale, K (corresponding author), Univ Cape Town, Dept Chem, Cape Town, South Africa.;Chibale, K (corresponding author), Univ Cape Town, Holist Drug Discovery &amp; Dev Ctr H3D, Cape Town, South Africa.;Chibale, K (corresponding author), Univ Cape Town, Inst Infect Dis &amp; Mol Med, South African Med Res Council Drug Discovery &amp; Dev, Cape Town, South Africa.</t>
  </si>
  <si>
    <t xml:space="preserve">kelly.chibale@uct.ac.za; miquel@ersilia.io</t>
  </si>
  <si>
    <t xml:space="preserve">Woodland, John/AAH-9423-2020; Duran-Frigola, Miquel/AAO-3505-2021</t>
  </si>
  <si>
    <t xml:space="preserve">Kumar, Ankur/0000-0002-7686-7335; Woodland, John/0000-0001-6273-5596; Turon Rodrigo, Gemma/0000-0001-6798-0275; Hlozek, Jason/0000-0002-8675-6954; Duran-Frigola, Miquel/0000-0002-9906-6936</t>
  </si>
  <si>
    <t xml:space="preserve">Merck KGaA; Harry Crossley Foundation Postdoctoral Fellowship; Code for Science amp; Society; Wellcome Trust; South African Medical Research Council; South African Research Chairs Initiative of the Department of Science and Innovation</t>
  </si>
  <si>
    <t xml:space="preserve">Merck KGaA; Harry Crossley Foundation Postdoctoral Fellowship; Code for Science amp; Society; Wellcome Trust(Wellcome Trust); South African Medical Research Council(South African Medical Research CouncilUK Research &amp; Innovation (UKRI)Medical Research Council UK (MRC)); South African Research Chairs Initiative of the Department of Science and Innovation</t>
  </si>
  <si>
    <t xml:space="preserve">EOSI is grateful to Merck KGaA for a Biopharma Speed Grant. J.H. is a recipient of the Harry Crossley Foundation Postdoctoral Fellowship. Capacity-building activities within the context of the H3D-EOSI collaboration were supported by an Event Fund grant from Code for Science &amp; Society and the Wellcome Trust; we thank Dr Susan Winks for her support in coordinating this event. K.C. is the Neville Isdell Chair in African-centric Drug Discovery and Development and thanks Neville Isdell for generously funding the Chair. The South African Medical Research Council and South African Research Chairs Initiative of the Department of Science and Innovation are gratefully acknowledged for their support (K.C.). The authors would like to thank Dr Jake M. Pry for providing feedback on the manuscript, Dr Andre Horatscheck and Dr Grant Boyle for kindly facilitating access to the central database at H3D, as well as Dr Preshendren Govender for sharing the M. tuberculosis screening data.</t>
  </si>
  <si>
    <t xml:space="preserve">SEP 15</t>
  </si>
  <si>
    <t xml:space="preserve">10.1038/s41467-023-41512-2</t>
  </si>
  <si>
    <t xml:space="preserve">S3TU1</t>
  </si>
  <si>
    <t xml:space="preserve">gold, Green Published, Green Submitted</t>
  </si>
  <si>
    <t xml:space="preserve">WOS:001070435900011</t>
  </si>
  <si>
    <t xml:space="preserve">Ming, ZY; Chen, XJ; Wang, SL; Liu, H; Yuan, ZM; Wu, MH; Xia, H</t>
  </si>
  <si>
    <t xml:space="preserve">Ming, Zhaoyan; Chen, Xiangjun; Wang, Shunlong; Liu, Hong; Yuan, Zhiming; Wu, Minghui; Xia, Han</t>
  </si>
  <si>
    <t xml:space="preserve">HostNet: improved sequence representation in deep neural networks for virus-host prediction</t>
  </si>
  <si>
    <t xml:space="preserve">BackgroundThe escalation of viruses over the past decade has highlighted the need to determine their respective hosts, particularly for emerging ones that pose a potential menace to the welfare of both human and animal life. Yet, the traditional means of ascertaining the host range of viruses, which involves field surveillance and laboratory experiments, is a laborious and demanding undertaking. A computational tool with the capability to reliably predict host ranges for novel viruses can provide timely responses in the prevention and control of emerging infectious diseases. The intricate nature of viral-host prediction involves issues such as data imbalance and deficiency. Therefore, developing highly accurate computational tools capable of predicting virus-host associations is a challenging and pressing demand.ResultsTo overcome the challenges of virus-host prediction, we present HostNet, a deep learning framework that utilizes a Transformer-CNN-BiGRU architecture and two enhanced sequence representation modules. The first module, k-mer to vector, pre-trains a background vector representation of k-mers from a broad range of virus sequences to address the issue of data deficiency. The second module, an adaptive sliding window, truncates virus sequences of various lengths to create a uniform number of informative and distinct samples for each sequence to address the issue of data imbalance. We assess HostNet's performance on a benchmark dataset of Rabies lyssavirus and an in-house dataset of Flavivirus. Our results show that HostNet surpasses the state-of-the-art deep learning-based method in host-prediction accuracies and F1 score. The enhanced sequence representation modules, significantly improve HostNet's training generalization, performance in challenging classes, and stability.ConclusionHostNet is a promising framework for predicting virus hosts from genomic sequences, addressing challenges posed by sparse and varying-length virus sequence data. Our results demonstrate its potential as a valuable tool for virus-host prediction in various biological contexts. Virus-host prediction based on genomic sequences using deep neural networks is a promising approach to identifying their potential hosts accurately and efficiently, with significant impacts on public health, disease prevention, and vaccine development.</t>
  </si>
  <si>
    <t xml:space="preserve">Viral genomic sequence data</t>
  </si>
  <si>
    <t xml:space="preserve">Rabies lyssavirus
Flavivirus</t>
  </si>
  <si>
    <t xml:space="preserve">HostNet</t>
  </si>
  <si>
    <t xml:space="preserve">
</t>
  </si>
  <si>
    <t xml:space="preserve">- Data Deficiency and Imbalance
- Sequence Length Distribution
- Limited Dataset Evaluation</t>
  </si>
  <si>
    <t xml:space="preserve">Virus-Host Prediction; Sequence Representation; Vectorization; Deep Learning-based Sequence Modeling</t>
  </si>
  <si>
    <t xml:space="preserve">[Ming, Zhaoyan; Wu, Minghui] Hangzhou City Univ, Sch Comp &amp; Comp Sci, Hangzhou 310015, Peoples R China; [Chen, Xiangjun] Zhejiang Univ, Polytech Inst, Hangzhou 310058, Peoples R China; [Wang, Shunlong; Yuan, Zhiming; Xia, Han] Wuhan Inst Virol, Key Lab Virol &amp; Biosafety, Wuhan 430071, Peoples R China; [Wang, Shunlong; Yuan, Zhiming; Xia, Han] Univ Chinese Acad Sci, Beijing 100190, Peoples R China; [Liu, Hong] Shandong Univ Technol, Inst Biomed, Zibo 255000, Peoples R China; [Xia, Han] Hubei Jiangxia Lab, Wuhan 430200, Peoples R China</t>
  </si>
  <si>
    <t xml:space="preserve">Hangzhou City University; Zhejiang University; Chinese Academy of Sciences; Wuhan Institute of Virology, CAS; Chinese Academy of Sciences; University of Chinese Academy of Sciences, CAS; Shandong University of Technology; Hubei Jiangxia Laboratory</t>
  </si>
  <si>
    <t xml:space="preserve">Wu, MH (corresponding author), Hangzhou City Univ, Sch Comp &amp; Comp Sci, Hangzhou 310015, Peoples R China.;Xia, H (corresponding author), Wuhan Inst Virol, Key Lab Virol &amp; Biosafety, Wuhan 430071, Peoples R China.;Xia, H (corresponding author), Univ Chinese Acad Sci, Beijing 100190, Peoples R China.;Xia, H (corresponding author), Hubei Jiangxia Lab, Wuhan 430200, Peoples R China.</t>
  </si>
  <si>
    <t xml:space="preserve">mhwu@zucc.edu.cn; hanxia@wh.iov.cn</t>
  </si>
  <si>
    <t xml:space="preserve">Yuan, Zhi-Ming/H-2059-2016; Xia, Han/AAT-7458-2020</t>
  </si>
  <si>
    <t xml:space="preserve">Xia, Han/0000-0001-9932-6040</t>
  </si>
  <si>
    <t xml:space="preserve">Zhejiang Provincial Natural Science Foundation of China under Grant; Supercomputing Center of Hangzhou City University</t>
  </si>
  <si>
    <t xml:space="preserve">We thanks for the advanced computing resources provided by the Supercomputing Center of Hangzhou City University.</t>
  </si>
  <si>
    <t xml:space="preserve">DEC 1</t>
  </si>
  <si>
    <t xml:space="preserve">10.1186/s12859-023-05582-9</t>
  </si>
  <si>
    <t xml:space="preserve">Z4VH5</t>
  </si>
  <si>
    <t xml:space="preserve">WOS:001112065000001</t>
  </si>
  <si>
    <t xml:space="preserve">Skinner, EB; Glidden, CK; MacDonald, AJ; Mordecai, EA</t>
  </si>
  <si>
    <t xml:space="preserve">Skinner, Eloise B.; Glidden, Caroline K.; MacDonald, Andrew J.; Mordecai, Erin A.</t>
  </si>
  <si>
    <t xml:space="preserve">Human footprint is associated with shifts in the assemblages of major vector-borne diseases</t>
  </si>
  <si>
    <t xml:space="preserve">Vector-borne diseases are highly responsive to environmental changes, but such responses are difficult to isolate. Using human footprint index and machine learning, this study shows how the occurrence of six diverse vector-borne diseases responds to the intricate effects of human pressure. Predicting how increasing intensity of human-environment interactions affects pathogen transmission is essential to anticipate changing disease risks and identify appropriate mitigation strategies. Vector-borne diseases (VBDs) are highly responsive to environmental changes, but such responses are notoriously difficult to isolate because pathogen transmission depends on a suite of ecological and social responses in vectors and hosts that may differ across species. Here we use the emerging tools of cumulative pressure mapping and machine learning to better understand how the occurrence of six medically important VBDs, differing in ecology from sylvatic to urban, respond to multidimensional effects of human pressure. We find that not only is human footprint-an index of human pressure, incorporating built environments, energy and transportation infrastructure, agricultural lands and human population density-an important predictor of VBD occurrence, but there are clear thresholds governing the occurrence of different VBDs. Across a spectrum of human pressure, diseases associated with lower human pressure, including malaria, cutaneous leishmaniasis and visceral leishmaniasis, give way to diseases associated with high human pressure, such as dengue, chikungunya and Zika. These heterogeneous responses of VBDs to human pressure highlight thresholds of land-use transitions that may lead to abrupt shifts in infectious disease burdens and public health needs.</t>
  </si>
  <si>
    <t xml:space="preserve">USA, Australia</t>
  </si>
  <si>
    <t xml:space="preserve">- Disease incidence data
- Climate data</t>
  </si>
  <si>
    <t xml:space="preserve">Vector-borne diseases</t>
  </si>
  <si>
    <t xml:space="preserve">NATURE SUSTAINABILITY</t>
  </si>
  <si>
    <t xml:space="preserve">ENVIRONMENTAL RISK-FACTORS; LEISHMANIASIS; STATE; CONSEQUENCES; BURDEN</t>
  </si>
  <si>
    <t xml:space="preserve">[Skinner, Eloise B.; Glidden, Caroline K.; Mordecai, Erin A.] Stanford Univ, Dept Biol, Stanford, CA 94305 USA; [Skinner, Eloise B.] Griffith Univ, Ctr Planetary Hlth &amp; Food Secur, Southport, Qld, Australia; [MacDonald, Andrew J.] Univ Calif Santa Barbara, Bren Sch Environm Sci &amp; Management, Santa Barbara, CA USA; [MacDonald, Andrew J.] Univ Calif Santa Barbara, Earth Res Inst, Santa Barbara, CA USA</t>
  </si>
  <si>
    <t xml:space="preserve">Stanford University; Griffith University; Griffith University - Gold Coast Campus; University of California System; University of California Santa Barbara; University of California System; University of California Santa Barbara</t>
  </si>
  <si>
    <t xml:space="preserve">Mordecai, Erin/0000-0002-4402-5547; MacDonald, Andrew/0000-0003-0172-7749</t>
  </si>
  <si>
    <t xml:space="preserve">National Institutes of Health [R35GM133439]; National Science Foundation; Fogarty International Center [DEB-2011147]; NSF [DEB-2032276]; National Institute of Allergy and Infectious Diseases [R01AI168097, R01AI102918]; Stanford Woods Institute for the Environment, King Center on Global Development, Center for Innovation in Global Health and Terman Award</t>
  </si>
  <si>
    <t xml:space="preserve">National Institutes of Health(United States Department of Health &amp; Human ServicesNational Institutes of Health (NIH) - USA); National Science Foundation(National Science Foundation (NSF)); Fogarty International Center(United States Department of Health &amp; Human ServicesNational Institutes of Health (NIH) - USANIH Fogarty International Center (FIC)); NSF(National Science Foundation (NSF)); National Institute of Allergy and Infectious Diseases(United States Department of Health &amp; Human ServicesNational Institutes of Health (NIH) - USANIH National Institute of Allergy &amp; Infectious Diseases (NIAID)); Stanford Woods Institute for the Environment, King Center on Global Development, Center for Innovation in Global Health and Terman Award</t>
  </si>
  <si>
    <t xml:space="preserve">E.A.M. and E.B.S. were supported by the National Institutes of Health (grant no. R35GM133439) and E.A.M., A.J.M. and C.K.G. were supported by the National Science Foundation and the Fogarty International Center (grant no. DEB-2011147). A.J.M. was additionally supported by NSF (grant no. DEB-2032276). E.A.M. was additionally supported by the National Institute of Allergy and Infectious Diseases (grant nos R01AI168097 and R01AI102918) and by seed grants from the Stanford Woods Institute for the Environment, King Center on Global Development, Center for Innovation in Global Health and Terman Award. We thank G. Vadmal for compiling the sandfly occurrence data from the Global Biodiversity Information Facility, and L. Mandle, A. Lescano, E. Lambin and the Mordecai and Hamish McCallum lab groups for constructive feedback throughout the development of this study. We also thank J. Watson and H. Beyer for early guidance on human pressure metrics.</t>
  </si>
  <si>
    <t xml:space="preserve">2398-9629</t>
  </si>
  <si>
    <t xml:space="preserve">NAT SUSTAIN</t>
  </si>
  <si>
    <t xml:space="preserve">Nat. Sustain.</t>
  </si>
  <si>
    <t xml:space="preserve">10.1038/s41893-023-01080-1</t>
  </si>
  <si>
    <t xml:space="preserve">Green &amp; Sustainable Science &amp; Technology; Environmental Sciences; Environmental Studies</t>
  </si>
  <si>
    <t xml:space="preserve">Science &amp; Technology - Other Topics; Environmental Sciences &amp; Ecology</t>
  </si>
  <si>
    <t xml:space="preserve">K7UX8</t>
  </si>
  <si>
    <t xml:space="preserve">hybrid, Green Accepted</t>
  </si>
  <si>
    <t xml:space="preserve">WOS:000948642200003</t>
  </si>
  <si>
    <t xml:space="preserve">Li, JX; Liao, WZ; Huang, ZM; Yin, X; Ouyang, S; Gu, B; Guo, XG</t>
  </si>
  <si>
    <t xml:space="preserve">Li, Jia-Xin; Liao, Wan-Zhe; Huang, Ze-Min; Yin, Xin; Ouyang, Shi; Gu, Bing; Guo, Xu-Guang</t>
  </si>
  <si>
    <t xml:space="preserve">Identifying effective diagnostic biomarkers for childhood cerebral malaria in Africa integrating coexpression analysis with machine learning algorithm</t>
  </si>
  <si>
    <t xml:space="preserve">BackgroundCerebral malaria (CM) is a manifestation of malaria caused by plasmodium infection. It has a high mortality rate and severe neurological sequelae, existing a significant research gap and requiring further study at the molecular level.MethodsWe downloaded the GSE117613 dataset from the Gene Expression Omnibus (GEO) database to determine the differentially expressed genes (DEGs) between the CM group and the control group. Weighted gene coexpression network analysis (WGCNA) was applied to select the module and hub genes most relevant to CM. The common genes of the key module and DEGs were selected to perform further analysis. The least absolute shrinkage and selection operator (LASSO) logistic regression and support vector machine recursive feature elimination (SVM-RFE) were applied to screen and verify the diagnostic markers of CM. Eventually, the hub genes were validated in the external dataset. Gene set enrichment analysis (GSEA) was applied to investigate the possible roles of the hub genes.ResultsThe GO and KEGG results showed that DEGs were enriched in some neutrophil-mediated pathways and associated with some lumen structures. Combining LASSO and the SVM-RFE algorithms, LEF1 and IRAK3 were identified as potential hub genes in CM. Through the GSEA enrichment results, we found that LEF1 and IRAK3 participated in maintaining the integrity of the blood-brain barrier (BBB), which contributed to improving the prognosis of CM.ConclusionsThis study may help illustrate the pathophysiology of CM at the molecular level. LEF1 and IRAK3 can be used as diagnostic biomarkers, providing new insight into the diagnosis and prognosis prediction in pediatric CM.</t>
  </si>
  <si>
    <t xml:space="preserve">Uganda</t>
  </si>
  <si>
    <t xml:space="preserve">Genomic dataset</t>
  </si>
  <si>
    <t xml:space="preserve">- Weighted Gene Coexpression Network Analysis (WGCNA)
- Support Vector Machine (SVM)
- Random Forest (RF)
- Least Absolute Shrinkage and Selection Operator (LASSO) regression</t>
  </si>
  <si>
    <t xml:space="preserve">- Small Sample Size
- Lack of Experimental Validation</t>
  </si>
  <si>
    <t xml:space="preserve">EUROPEAN JOURNAL OF MEDICAL RESEARCH</t>
  </si>
  <si>
    <t xml:space="preserve">Cerebral malaria; WGCNA; Machine learning; Neutrophil; Blood-brain barrier (BBB)</t>
  </si>
  <si>
    <t xml:space="preserve">WNT; DYSFUNCTION</t>
  </si>
  <si>
    <t xml:space="preserve">[Li, Jia-Xin; Liao, Wan-Zhe; Huang, Ze-Min; Yin, Xin; Guo, Xu-Guang] Guangzhou Med Univ, Affiliated Hosp 3, Dept Clin Lab Med, Guangzhou 510150, Peoples R China; [Li, Jia-Xin] Guangzhou Med Univ, Clin Sch 1, Dept Clin Med, Guangzhou 511436, Peoples R China; [Liao, Wan-Zhe] Guangzhou Med Univ, Nanshan Coll, Dept Clin Med, Guangzhou 511436, Peoples R China; [Huang, Ze-Min] Guangzhou Med Univ, Clin Sch 3, Dept Clin Med, Guangzhou 511436, Peoples R China; [Yin, Xin] Guangzhou Med Univ, Pediat Sch, Dept Pediat, Guangzhou 511436, Peoples R China; [Ouyang, Shi] Guangzhou Med Univ, Affiliated Hosp 5, Dept Infect Dis, Guangzhou 510150, Peoples R China; [Gu, Bing] Southern Med Univ, Guangdong Prov Peoples Hosp, Guangdong Acad Med Sci, Lab Med, Guangzhou 510000, Peoples R China; [Guo, Xu-Guang] Guangzhou Med Univ, Affiliated Hosp 3, Guangdong Prov Key Lab Major Obstet Dis, Guangzhou 510150, Peoples R China; [Guo, Xu-Guang] Guangzhou Med Univ, KingMed Sch Lab Med, Guangzhou Key Lab Clin Rapid Diag &amp; Early Warning, Guangzhou, Peoples R China</t>
  </si>
  <si>
    <t xml:space="preserve">Guangzhou Medical University; Guangzhou Medical University; Guangzhou Medical University; Guangzhou Medical University; Guangzhou Medical University; Guangzhou Medical University; Guangdong Academy of Medical Sciences &amp; Guangdong General Hospital; Southern Medical University - China; Guangzhou Medical University; Guangzhou Medical University</t>
  </si>
  <si>
    <t xml:space="preserve">Guo, XG (corresponding author), Guangzhou Med Univ, Affiliated Hosp 3, Dept Clin Lab Med, Guangzhou 510150, Peoples R China.;Gu, B (corresponding author), Southern Med Univ, Guangdong Prov Peoples Hosp, Guangdong Acad Med Sci, Lab Med, Guangzhou 510000, Peoples R China.;Guo, XG (corresponding author), Guangzhou Med Univ, Affiliated Hosp 3, Guangdong Prov Key Lab Major Obstet Dis, Guangzhou 510150, Peoples R China.;Guo, XG (corresponding author), Guangzhou Med Univ, KingMed Sch Lab Med, Guangzhou Key Lab Clin Rapid Diag &amp; Early Warning, Guangzhou, Peoples R China.</t>
  </si>
  <si>
    <t xml:space="preserve">gb20031129@163.com; gysygxg@gmail.com</t>
  </si>
  <si>
    <t xml:space="preserve">xuguang, guo/G-1500-2010; Li, Jiaxin/ABA-8425-2021</t>
  </si>
  <si>
    <t xml:space="preserve">Liao, Wanzhe/0000-0002-2865-8627; Yin, Xin/0000-0002-6200-2111; Guo, Xu-guang/0000-0003-1302-5234</t>
  </si>
  <si>
    <t xml:space="preserve">0949-2321</t>
  </si>
  <si>
    <t xml:space="preserve">2047-783X</t>
  </si>
  <si>
    <t xml:space="preserve">EUR J MED RES</t>
  </si>
  <si>
    <t xml:space="preserve">Eur. J. Med. Res.</t>
  </si>
  <si>
    <t xml:space="preserve">FEB 13</t>
  </si>
  <si>
    <t xml:space="preserve">10.1186/s40001-022-00980-w</t>
  </si>
  <si>
    <t xml:space="preserve">9A9GP</t>
  </si>
  <si>
    <t xml:space="preserve">WOS:000934357600003</t>
  </si>
  <si>
    <t xml:space="preserve">Maturana, CR; de Oliveira, AD; Nadal, S; Serrat, FZ; Sulleiro, E; Ruiz, E; Bilalli, B; Veiga, A; Espasa, M; Abelló, A; Suñe, TP; Segú, M; López-Codina, D; Clols, ES; Joseph-Munné, J</t>
  </si>
  <si>
    <t xml:space="preserve">Maturana, Carles Rubio; de Oliveira, Allisson Dantas; Nadal, Sergi; Serrat, Francesc Zarzuela; Sulleiro, Elena; Ruiz, Edurne; Bilalli, Besim; Veiga, Anna; Espasa, Mateu; Abello, Alberto; Sune, Tomas Pumarola; Segu, Marta; Lopez-Codina, Daniel; Clols, Elisa Sayrol; Joseph-Munne, Joan</t>
  </si>
  <si>
    <t xml:space="preserve">iMAGING: a novel automated system for malaria diagnosis by using artificial intelligence tools and a universal low-cost robotized microscope</t>
  </si>
  <si>
    <t xml:space="preserve">Introduction: Malaria is one of the most prevalent infectious diseases in sub-Saharan Africa, with 247 million cases reported worldwide in 2021 according to the World Health Organization. Optical microscopy remains the gold standard technique for malaria diagnosis, however, it requires expertise, is time-consuming and difficult to reproduce. Therefore, new diagnostic techniques based on digital image analysis using artificial intelligence tools can improve diagnosis and help automate it.Methods: In this study, a dataset of 2571 labeled thick blood smear images were created. YOLOv5x, Faster R-CNN, SSD, and RetinaNet object detection neural networks were trained on the same dataset to evaluate their performance in Plasmodium parasite detection. Attention modules were applied and compared with YOLOv5x results. To automate the entire diagnostic process, a prototype of 3D-printed pieces was designed for the robotization of conventional optical microscopy, capable of auto-focusing the sample and tracking the entire slide.Results: Comparative analysis yielded a performance for YOLOv5x on a test set of 92.10% precision, 93.50% recall, 92.79% F-score, and 94.40% mAP0.5 for leukocyte, early and mature Plasmodium trophozoites overall detection. F-score values of each category were 99.0% for leukocytes, 88.6% for early trophozoites and 87.3% for mature trophozoites detection. Attention modules performance show non-significant statistical differences when compared to YOLOv5x original trained model. The predictive models were integrated into a smartphone-computer application for the purpose of image-based diagnostics in the laboratory. The system can perform a fully automated diagnosis by the auto-focus and X-Y movements of the robotized microscope, the CNN models trained for digital image analysis, and the smartphone device. The new prototype would determine whether a Giemsa-stained thick blood smear sample is positive/negative for Plasmodium infection and its parasite levels. The whole system was integrated into the iMAGING smartphone application.Conclusion: The coalescence of the fully-automated system via auto-focus and slide movements and the autonomous detection of Plasmodium parasites in digital images with a smartphone software and AI algorithms confers the prototype the optimal features to join the global effort against malaria, neglected tropical diseases and other infectious diseases.</t>
  </si>
  <si>
    <t xml:space="preserve">- YOLOv5x
- Faster R-CNN
- SSD
- RetinaNet</t>
  </si>
  <si>
    <t xml:space="preserve"> YOLOv5x on a test set of 92.10% precision, 93.50% recall, 92.79% F-score, and 94.40% mAP0.5 (leukocyte)
 F-score values of each category were 99.0% for leukocytes, 88.6% (early trophozoites) and 87.3% (mature trophozoites detection)</t>
  </si>
  <si>
    <t xml:space="preserve">- Need of trained personnel to prepare the Giemsa stain
- Not able to differentiate between Plasmodium species
- Potential challenges in the field for its routinely implementation.</t>
  </si>
  <si>
    <t xml:space="preserve">FRONTIERS IN MICROBIOLOGY</t>
  </si>
  <si>
    <t xml:space="preserve">malaria; malaria diagnosis; convolutional neural networks; artificial intelligence; robotized microscope; smartphone application; YOLOv5; thick blood smears</t>
  </si>
  <si>
    <t xml:space="preserve">PERFORMANCE</t>
  </si>
  <si>
    <t xml:space="preserve">[Maturana, Carles Rubio; Serrat, Francesc Zarzuela; Sulleiro, Elena; Ruiz, Edurne; Sune, Tomas Pumarola; Joseph-Munne, Joan] Vall dHebron Univ Hosp, Vall dHebron Res Inst VHIR, Microbiol Dept, Barcelona, Spain; [Maturana, Carles Rubio; Sulleiro, Elena; Espasa, Mateu; Sune, Tomas Pumarola] Univ Autonoma Barcelona UAB, Dept Genet &amp; Microbiol, Barcelona, Spain; [de Oliveira, Allisson Dantas; Lopez-Codina, Daniel] Univ Politecn Catalunya UPC, Phys Dept, Computat Biol &amp; Complex Syst Grp, Castelldefels, Spain; [Nadal, Sergi; Bilalli, Besim; Abello, Alberto] Univ Politecn Cataluna UPC, Serv &amp; Informat Syst Engn Dept, Database Technol &amp; Informat Grp, Barcelona, Spain; [Sulleiro, Elena] Inst Salud Carlos III, CIBERINFEC, ISCIII CIBER Enfermedades Infecciosas, Madrid, Spain; [Veiga, Anna] Probitas Fdn, Barcelona, Spain; [Espasa, Mateu] Hosp Univ Parc Tauli, Microbiol Dept, Clin Labs, Sabadell, Spain; [Segu, Marta] Futbol Club Barcelona Fdn, Barcelona, Spain; [Clols, Elisa Sayrol] Univ Pompeu Fabra, TecnoCampus, Mataro, Spain</t>
  </si>
  <si>
    <t xml:space="preserve">Autonomous University of Barcelona; Hospital Universitari Vall d'Hebron; Vall d'Hebron Institut de Recerca (VHIR); Autonomous University of Barcelona; Hospital Universitari Vall d'Hebron; Universitat Politecnica de Catalunya; Universitat Politecnica de Catalunya; Instituto de Salud Carlos III; Autonomous University of Barcelona; Parc Tauli Hospital Universitari; Pompeu Fabra University</t>
  </si>
  <si>
    <t xml:space="preserve">Joseph-Munné, J (corresponding author), Vall dHebron Univ Hosp, Vall dHebron Res Inst VHIR, Microbiol Dept, Barcelona, Spain.;Clols, ES (corresponding author), Univ Pompeu Fabra, TecnoCampus, Mataro, Spain.</t>
  </si>
  <si>
    <t xml:space="preserve">esayrol@tecnocampus.cat</t>
  </si>
  <si>
    <t xml:space="preserve">Bilalli, Besim/AAC-4818-2022; ESPASA, MATEU/L-4587-2014; Nadal, Sergi/AAB-7223-2021; Lopez Codina, Daniel/L-5309-2014</t>
  </si>
  <si>
    <t xml:space="preserve">Sulleiro, Elena/0000-0002-9783-6060; Rubio Maturana, Carles/0000-0002-5615-9278; Lopez Codina, Daniel/0000-0002-0408-4526; Espasa, Mateu/0000-0003-4822-1024; DANTAS DE OLIVEIRA, ALLISSON/0000-0002-8267-9760</t>
  </si>
  <si>
    <t xml:space="preserve">Microbiology Department of Vall d'Hebron University Hospital; Cooperation Centre of the Universitat Politcnica de Catalunya (CCD-UPC)</t>
  </si>
  <si>
    <t xml:space="preserve">The project is funded by the Microbiology Department of Vall d'Hebron University Hospital, the Cooperation Centre of the Universitat Politecnica de Catalunya (CCD-UPC), and the Probitas Foundation.r The project is funded by the Microbiology Department of Vall d'Hebron University Hospital, the Cooperation Centre of the Universitat Politecnica de Catalunya (CCD-UPC), and the Probitas Foundation.</t>
  </si>
  <si>
    <t xml:space="preserve">1664-302X</t>
  </si>
  <si>
    <t xml:space="preserve">FRONT MICROBIOL</t>
  </si>
  <si>
    <t xml:space="preserve">Front. Microbiol.</t>
  </si>
  <si>
    <t xml:space="preserve">NOV 24</t>
  </si>
  <si>
    <t xml:space="preserve">10.3389/fmicb.2023.1240936</t>
  </si>
  <si>
    <t xml:space="preserve">AN0K8</t>
  </si>
  <si>
    <t xml:space="preserve">WOS:001119025300001</t>
  </si>
  <si>
    <t xml:space="preserve">Madhu, G; Mohamed, AW; Kautish, S; Shah, MA; Ali, I</t>
  </si>
  <si>
    <t xml:space="preserve">Madhu, Golla; Mohamed, Ali Wagdy; Kautish, Sandeep; Shah, Mohd Asif; Ali, Irfan</t>
  </si>
  <si>
    <t xml:space="preserve">Intelligent diagnostic model for malaria parasite detection and classification using imperative inception-based capsule neural networks</t>
  </si>
  <si>
    <t xml:space="preserve">Malaria is an acute fever sickness caused by the Plasmodium parasite and spread by infected Anopheles female mosquitoes. It causes catastrophic illness if left untreated for an extended period, and delaying exact treatment might result in the development of further complications. The most prevalent method now available for detecting malaria is the microscope. Under a microscope, blood smears are typically examined for malaria diagnosis. Despite its advantages, this method is time-consuming, subjective, and requires highly skilled personnel. Therefore, an automated malaria diagnosis system is imperative for ensuring accurate and efficient treatment. This research develops an innovative approach utilizing an urgent, inception-based capsule network to distinguish parasitized and uninfected cells from microscopic images. This diagnostic model incorporates neural networks based on Inception and Imperative Capsule networks. The inception block extracts rich characteristics from images of malaria cells using a pre-trained model, such as Inception V3, which facilitates efficient representation learning. Subsequently, the dynamic imperative capsule neural network detects malaria parasites in microscopic images by classifying them into parasitized and healthy cells, enabling the detection of malaria parasites. The experiment results demonstrate a significant improvement in malaria parasite recognition. Compared to traditional manual microscopy, the proposed system is more accurate and faster. Finally, this study demonstrates the need to provide robust and efficient diagnostic solutions by leveraging state-of-the-art technologies to combat malaria.</t>
  </si>
  <si>
    <t xml:space="preserve">India, Egypt, Jordan, Nepal, Ethiopia</t>
  </si>
  <si>
    <t xml:space="preserve">- Neural networks based on Inception and Imperative Capsule networks</t>
  </si>
  <si>
    <t xml:space="preserve">Accuracy of more than 99.35%, an AUC score of 99.73%, and an F1 score of 99.36%</t>
  </si>
  <si>
    <t xml:space="preserve">MICROSCOPIC IMAGES</t>
  </si>
  <si>
    <t xml:space="preserve">[Madhu, Golla] VNR Vignana Jyothi Inst Engn &amp; Technol, Dept Informat Technol, Hyderabad 500090, Telangana, India; [Mohamed, Ali Wagdy] Cairo Univ, Fac Grad Studies Stat Res, Dept Operat Res, Giza 12613, Egypt; [Mohamed, Ali Wagdy] Appl Sci Private Univ, Appl Sci Res Ctr, Amman, Jordan; [Kautish, Sandeep] LBEF Campus Asia Pacif Univ Technol Innovat, Kathmandu 44600, Nepal; [Shah, Mohd Asif] Kabridahar Univ, Coll Business &amp; Econ, POB 250, Kabridahar, Ethiopia; [Shah, Mohd Asif] Woxsen Univ, Sch Business, Hyderabad 502345, Telangana, India; [Shah, Mohd Asif] Lovely Profess Univ, Div Res &amp; Dev, Phagwara 144001, Punjab, India; [Ali, Irfan] Aligarh Muslim Univ, Dept Stat &amp; Operat Res, Aligarh 202002, Uttar Pradesh, India</t>
  </si>
  <si>
    <t xml:space="preserve">Vallurupalli Nageswara Rao Vignana Jyothi Institute of Engineering &amp;Technology (VNR VJIET); Egyptian Knowledge Bank (EKB); Cairo University; Woxsen University; Lovely Professional University; Aligarh Muslim University</t>
  </si>
  <si>
    <t xml:space="preserve">Shah, MA (corresponding author), Kabridahar Univ, Coll Business &amp; Econ, POB 250, Kabridahar, Ethiopia.;Shah, MA (corresponding author), Woxsen Univ, Sch Business, Hyderabad 502345, Telangana, India.;Shah, MA (corresponding author), Lovely Profess Univ, Div Res &amp; Dev, Phagwara 144001, Punjab, India.</t>
  </si>
  <si>
    <t xml:space="preserve">drmohdasifshah@kdu.edu.et</t>
  </si>
  <si>
    <t xml:space="preserve">Ali, Irfan/AAP-8440-2020; mohamed, ali/I-2034-2012; Kautish, Prof. Sandeep/Y-5555-2019; SHAH, MOHD ASIF/AAZ-4565-2021; Madhu, Golla/F-3654-2012</t>
  </si>
  <si>
    <t xml:space="preserve">mohamed, ali/0000-0002-5895-2632; Kautish, Prof. Sandeep/0000-0001-5120-5741; SHAH, MOHD ASIF/0000-0001-6164-0915; Madhu, Golla/0000-0002-4170-3146; Ali, Irfan/0000-0002-1790-5450</t>
  </si>
  <si>
    <t xml:space="preserve">AUG 17</t>
  </si>
  <si>
    <t xml:space="preserve">10.1038/s41598-023-40317-z</t>
  </si>
  <si>
    <t xml:space="preserve">R5JS1</t>
  </si>
  <si>
    <t xml:space="preserve">WOS:001064718300036</t>
  </si>
  <si>
    <t xml:space="preserve">Hassini, H; Dorizzi, B; Thellier, M; Klossa, J; Gottesman, Y</t>
  </si>
  <si>
    <t xml:space="preserve">Hassini, Houda; Dorizzi, Bernadette; Thellier, Marc; Klossa, Jacques; Gottesman, Yaneck</t>
  </si>
  <si>
    <t xml:space="preserve">Investigating the Joint Amplitude and Phase Imaging of Stained Samples in Automatic Diagnosis</t>
  </si>
  <si>
    <t xml:space="preserve">The diagnosis of many diseases relies, at least on first intention, on an analysis of blood smears acquired with a microscope. However, image quality is often insufficient for the automation of such processing. A promising improvement concerns the acquisition of enriched information on samples. In particular, Quantitative Phase Imaging (QPI) techniques, which allow the digitization of the phase in complement to the intensity, are attracting growing interest. Such imaging allows the exploration of transparent objects not visible in the intensity image using the phase image only. Another direction proposes using stained images to reveal some characteristics of the cells in the intensity image; in this case, the phase information is not exploited. In this paper, we question the interest of using the bi-modal information brought by intensity and phase in a QPI acquisition when the samples are stained. We consider the problem of detecting parasitized red blood cells for diagnosing malaria from stained blood smears using a Deep Neural Network (DNN). Fourier Ptychographic Microscopy (FPM) is used as the computational microscopy framework to produce QPI images. We show that the bi-modal information enhances the detection performance by 4% compared to the intensity image only when the convolution in the DNN is implemented through a complex-based formalism. This proves that the DNN can benefit from the bi-modal enhanced information. We conjecture that these results should extend to other applications processed through QPI acquisition.</t>
  </si>
  <si>
    <t xml:space="preserve">- Deep Neural Network</t>
  </si>
  <si>
    <t xml:space="preserve">TNG and a TPR varying between 93,33% to 97,15%</t>
  </si>
  <si>
    <t xml:space="preserve">Quantitative Phase Imaging; Fourier Ptychographic Microscopy; complex-valued neural networks; malaria detection; Plasmodium falciparum detection</t>
  </si>
  <si>
    <t xml:space="preserve">QUANTITATIVE PHASE; FOURIER PTYCHOGRAPHY; MICROSCOPY; RESOLUTION; FIELD; HOLOGRAPHY</t>
  </si>
  <si>
    <t xml:space="preserve">[Hassini, Houda; Dorizzi, Bernadette; Gottesman, Yaneck] Inst Polytech Paris, Samovar, Telecom SudParis, F-91120 Palaiseau, France; [Hassini, Houda; Klossa, Jacques] TRIBVN T Life, F-92800 Puteaux La Defense, France; [Thellier, Marc] AP HP, Ctr Natl Reference Paludisme, F-75013 Paris, France; [Thellier, Marc] Sorbonne Univ, Inst Pierre Louis Epidemiol &amp; Sante Publ, INSERM, F-75013 Paris, France</t>
  </si>
  <si>
    <t xml:space="preserve">IMT - Institut Mines-Telecom; Institut Polytechnique de Paris; Telecom SudParis; Assistance Publique Hopitaux Paris (APHP); Sorbonne Universite; Institut National de la Sante et de la Recherche Medicale (Inserm)</t>
  </si>
  <si>
    <t xml:space="preserve">Hassini, H (corresponding author), Inst Polytech Paris, Samovar, Telecom SudParis, F-91120 Palaiseau, France.;Hassini, H (corresponding author), TRIBVN T Life, F-92800 Puteaux La Defense, France.</t>
  </si>
  <si>
    <t xml:space="preserve">houda_hassini@telecom-sudparis.eu; bernadette.dorizzi@telecom-sudparis.eu; marc.thellier@aphp.fr; jklossa@tribvn.com; yaneck.gottesman@telecom-sudparis.eu</t>
  </si>
  <si>
    <t xml:space="preserve">Thellier, Marc/AAI-3311-2021</t>
  </si>
  <si>
    <t xml:space="preserve">KLOSSA, Jacques/0000-0002-7564-5415; Thellier, Marc/0000-0003-4867-2423; hassini, houda/0009-0002-6117-8446; gottesman, yaneck/0000-0002-0446-887X</t>
  </si>
  <si>
    <t xml:space="preserve">Region Ile de France; program DIM ELICIT; French National Research Agency (ANR)</t>
  </si>
  <si>
    <t xml:space="preserve">Region Ile de France(Region Ile-de-France); program DIM ELICIT; French National Research Agency (ANR)(Agence Nationale de la Recherche (ANR)Norwegian Agency for Development Cooperation - NORAD)</t>
  </si>
  <si>
    <t xml:space="preserve">This research was funded by the Region Ile de France, program DIM ELICIT. It was also supported by the French National Research Agency (ANR) though the project Optical Twin for Diagnosis (OT4D) that is dedicated to the development of innovative optical microscopy and artificial intelligence algorithms for medical diagnosis (2021-2025).</t>
  </si>
  <si>
    <t xml:space="preserve">10.3390/s23187932</t>
  </si>
  <si>
    <t xml:space="preserve">T7UL1</t>
  </si>
  <si>
    <t xml:space="preserve">WOS:001079995900001</t>
  </si>
  <si>
    <t xml:space="preserve">Lameiro, RF; Montanari, CA</t>
  </si>
  <si>
    <t xml:space="preserve">Lameiro, Rafael F.; Montanari, Carlos A.</t>
  </si>
  <si>
    <t xml:space="preserve">Investigating the Lack of Translation from Cruzain Inhibition to Trypanosoma cruzi Activity with Machine Learning and Chemical Space Analyses</t>
  </si>
  <si>
    <t xml:space="preserve">Chagas disease is a neglected tropical disease caused by the protozoa Trypanosoma cruzi. Cruzain, its main cysteine protease, is commonly targeted in drug discovery efforts to find new treatments for this disease. Even though the essentiality of this enzyme for the parasite has been established, many cruzain inhibitors fail as trypanocidal agents. This lack of translation from biochemical to biological assays can involve several factors, including suboptimal physicochemical properties. In this work, we aim to rationalize this phenomenon through chemical space analyses of calculated molecular descriptors. These include statistical tests, visualization of projections, scaffold analysis, and creation of machine learning models coupled with interpretability methods. Our results demonstrate a significant difference between the chemical spaces of cruzain and T. cruzi inhibitors, with compounds with more hydrogen bond donors and rotatable bonds being more likely to be good cruzain inhibitors, but less likely to be active on T. cruzi. In addition, cruzain inhibitors seem to occupy specific regions of the chemical space that cannot be easily correlated with T. cruzi activity, which means that using predictive modeling to determine whether cruzain inhibitors will be trypanocidal is not a straightforward task. We believe that the conclusions from this work might be of interest for future projects that aim to develop novel trypanocidal compounds.</t>
  </si>
  <si>
    <t xml:space="preserve">chemical space; cruzain; machine learning; Trypanosoma cruzi</t>
  </si>
  <si>
    <t xml:space="preserve">CYSTEINE PROTEASE INHIBITORS; CHAGAS-DISEASE; ORAL BIOAVAILABILITY; DRUG DISCOVERY</t>
  </si>
  <si>
    <t xml:space="preserve">[Lameiro, Rafael F.; Montanari, Carlos A.] Univ Sao Paulo, Sao Carlos Inst Chem, Med &amp; Biol Chem Grp, Trabalhador Sao Carlense Ave 400, Sao Carlos, Brazil</t>
  </si>
  <si>
    <t xml:space="preserve">Universidade de Sao Paulo</t>
  </si>
  <si>
    <t xml:space="preserve">Montanari, CA (corresponding author), Univ Sao Paulo, Sao Carlos Inst Chem, Med &amp; Biol Chem Grp, Trabalhador Sao Carlense Ave 400, Sao Carlos, Brazil.</t>
  </si>
  <si>
    <t xml:space="preserve">Carlos.Montanari@usp.br</t>
  </si>
  <si>
    <t xml:space="preserve">; Montanari, Carlos/C-2799-2012</t>
  </si>
  <si>
    <t xml:space="preserve">Lameiro, Rafael/0000-0003-4466-2682; Montanari, Carlos/0000-0002-4963-0316</t>
  </si>
  <si>
    <t xml:space="preserve">Sao Paulo Research Foundation (FAPESP) [2021/01633-3]; Coordenacao de Aperfeicoamento de Pessoal de Nivel Superior - Brasil (CAPES) [001]; FAPESP [2013/18009-4]; Formas [2021-01633] Funding Source: Formas; Forte [2021-01633] Funding Source: Forte</t>
  </si>
  <si>
    <t xml:space="preserve">Sao Paulo Research Foundation (FAPESP)(Fundacao de Amparo a Pesquisa do Estado de Sao Paulo (FAPESP)); Coordenacao de Aperfeicoamento de Pessoal de Nivel Superior - Brasil (CAPES)(Coordenacao de Aperfeicoamento de Pessoal de Nivel Superior (CAPES)); FAPESP(Fundacao de Amparo a Pesquisa do Estado de Sao Paulo (FAPESP)); Formas(Swedish Research Council Formas); Forte(Swedish Research Council for Health Working Life &amp; Welfare (Forte))</t>
  </si>
  <si>
    <t xml:space="preserve">R.F.L. receives a PhD Scholarship from the Sao Paulo Research Foundation (FAPESP) - grant #2021/01633-3. This study was financed in part by the Coordenacao de Aperfeicoamento de Pessoal de Nivel Superior - Brasil (CAPES) - Finance Code 001. FAPESP grant #2013/18009-4 is also acknowledged.</t>
  </si>
  <si>
    <t xml:space="preserve">MAR 14</t>
  </si>
  <si>
    <t xml:space="preserve">10.1002/cmdc.202200434</t>
  </si>
  <si>
    <t xml:space="preserve">FEB 2023</t>
  </si>
  <si>
    <t xml:space="preserve">D9ON3</t>
  </si>
  <si>
    <t xml:space="preserve">WOS:000924845300001</t>
  </si>
  <si>
    <t xml:space="preserve">Shafqat, S; Fayyaz, M; Khattak, HA; Bilal, M; Khan, S; Ishtiaq, O; Abbasi, A; Shafqat, F; Alnumay, WS; Chatterjee, P</t>
  </si>
  <si>
    <t xml:space="preserve">Shafqat, Sarah; Fayyaz, Maryyam; Khattak, Hasan Ali; Bilal, Muhammad; Khan, Shahid; Ishtiaq, Osama; Abbasi, Almas; Shafqat, Farzana; Alnumay, Waleed S.; Chatterjee, Pushpita</t>
  </si>
  <si>
    <t xml:space="preserve">Leveraging Deep Learning for Designing Healthcare Analytics Heuristic for Diagnostics</t>
  </si>
  <si>
    <t xml:space="preserve">Healthcare Informatics is a phenomenon being talked about from the early 21st century in the era in which we are living. With evolution of new computing technologies huge amount of data in healthcare is produced opening several research areas. Managing the massiveness of this data is required while extracting knowledge for decision making is the main concern of today. For this task researchers are doing explorations in big data analytics, deep learning (advanced form of machine learning known as deep neural nets), predictive analytics and various other algorithms to bring innovation in healthcare. Through all these innovations happening it is not wrong to establish that disease prediction with anticipation of its cure is no longer unrealistic. First, Dengue Fever (DF) and then Covid-19 likewise are new outbreak in infectious lethal diseases and diagnosing at all stages is crucial to decrease mortality rate. In case of Diabetes, clinicians and experts are finding challenging the timely diagnosis and analyzing the chances of developing underlying diseases. In this paper, Louvain Mani-Hierarchical Fold Learning healthcare analytics, a hybrid deep learning technique is proposed for medical diagnostics and is tested and validated using real-time dataset of 104 instances of patients with dengue fever made available by Holy Family Hospital, Pakistan and 810 instances found for infectious diseases including prognosis of; Covid-19, SARS, ARDS, Pneumocystis, Streptococcus, Chlamydophila, Klebsiella, Legionella, Lipoid, etc. on GitHub. Louvain Mani-Hierarchical Fold Learning healthcare analytics showed maximum 0.952 correlations between two clusters with Spearman when applied on 240 instances extracted from comorbidities diagnostic data model derived from 15696 endocrine records of multiple visits of 100 patients identified by a unique ID. Accuracy for induced rules is evaluated by Laplace (Fig. 8) as 0.727, 0.701 and 0.203 for 41, 18 and 24 rules, respectively. Endocrine diagnostic data is made available by Shifa International Hospital, Islamabad, Pakistan. Our results show that in future this algorithm may be tested for diagnostics on healthcare big data.</t>
  </si>
  <si>
    <t xml:space="preserve">Pakistan, Korea, Saudi Arabia, Vietman</t>
  </si>
  <si>
    <t xml:space="preserve">Medical records</t>
  </si>
  <si>
    <t xml:space="preserve">NEURAL PROCESSING LETTERS</t>
  </si>
  <si>
    <t xml:space="preserve">Learning healthcare system; Medical diagnostics; Healthcare analytics; Deep learning algorithm; Neural nets; Endocrine diseases; Infectious diseases; Big data</t>
  </si>
  <si>
    <t xml:space="preserve">[Shafqat, Sarah; Abbasi, Almas] Int Islamic Univ IIU, Dept Basic &amp; Appl Sci, Islamabad, Pakistan; [Shafqat, Sarah; Shafqat, Farzana] Smart E Hlth, Islamabad 44000, Pakistan; [Fayyaz, Maryyam] Allama Iqbal Mem Hosp, Sialkot, Pakistan; [Khattak, Hasan Ali] Natl Univ Sci &amp; Technol NUST, Islamabad 44000, Pakistan; [Bilal, Muhammad] Hankuk Univ Foreign Studies, Dept Comp Engn, Yongin 17035, Gyeonggi Do, South Korea; [Khan, Shahid; Ishtiaq, Osama; Shafqat, Farzana] Shifa Int Hosp, Islamabad, Pakistan; [Alnumay, Waleed S.] King Saud Univ, Comp Sci Dept, Riyadh, Saudi Arabia; [Chatterjee, Pushpita] Ton Duc Thang Univ, Future Networking Res Grp, Ho Chi Minh City, Vietnam; [Chatterjee, Pushpita] Ton Duc Thang Univ, Fac Elect &amp; Elect Engn, Ho Chi Minh City, Vietnam</t>
  </si>
  <si>
    <t xml:space="preserve">International Islamic University, Pakistan; National University of Sciences &amp; Technology - Pakistan; Hankuk University Foreign Studies; King Saud University; Ton Duc Thang University; Ton Duc Thang University</t>
  </si>
  <si>
    <t xml:space="preserve">Shafqat, S (corresponding author), Int Islamic Univ IIU, Dept Basic &amp; Appl Sci, Islamabad, Pakistan.;Shafqat, S (corresponding author), Smart E Hlth, Islamabad 44000, Pakistan.;Bilal, M (corresponding author), Hankuk Univ Foreign Studies, Dept Comp Engn, Yongin 17035, Gyeonggi Do, South Korea.</t>
  </si>
  <si>
    <t xml:space="preserve">sarah.shafqat@gmail.com; maryyamusman4@gmail.com; hasan.alikhattak@seecs.edu.pk; m.bilal@ieee.org; shahid.khan@shifa.com.pk; osama@pakmedinet.com; almas.abbasi@iiu.edu.pk; farzanashafqat@hotmail.com; wsnumay@ksu.edu.sa; puspitachatterjee@tdtu.edu.vn</t>
  </si>
  <si>
    <t xml:space="preserve">CHATTERJEE, PUSPITA/AAR-3862-2020; Bilal, Muhammad/F-5225-2019; Alnumay, Waleed/AAP-1781-2021; Shafqat, Sarah/J-1913-2019; Khattak, Hasan Ali/N-4656-2014; khan, shahid/KIJ-0931-2024</t>
  </si>
  <si>
    <t xml:space="preserve">Shafqat, Sarah/0000-0002-6080-6765; Khattak, Hasan Ali/0000-0002-8198-9265; Bilal, Muhammad/0000-0003-4221-0877; khan, shahid/0000-0003-4097-0928; Alnumay, Waleed/0000-0001-5076-2060</t>
  </si>
  <si>
    <t xml:space="preserve">Holy Family Hospital; Shifa International Hospital, Pakistan; King Saud University, Riyadh, Saudi Arabia [RSP2020/250]</t>
  </si>
  <si>
    <t xml:space="preserve">Holy Family Hospital; Shifa International Hospital, Pakistan; King Saud University, Riyadh, Saudi Arabia(King Saud University)</t>
  </si>
  <si>
    <t xml:space="preserve">This research is supported by Holy Family Hospital and Shifa International Hospital, Pakistan. In this work Dr. Waleed S Alnumay is supported by Researchers Supporting Project number (RSP2020/250), King Saud University, Riyadh, Saudi Arabia. The data contributed for diagnosis of Dengue Fever (Fig. 5 and 6), infectious diseases having Covid-19 (Fig. 8) or Diabetes and its comorbidities (as in Fig. 11, 13 and 14) holds a lot of worth to come up with these observations mentioned in Section 5 from experimental study.</t>
  </si>
  <si>
    <t xml:space="preserve">1370-4621</t>
  </si>
  <si>
    <t xml:space="preserve">1573-773X</t>
  </si>
  <si>
    <t xml:space="preserve">NEURAL PROCESS LETT</t>
  </si>
  <si>
    <t xml:space="preserve">Neural Process. Lett.</t>
  </si>
  <si>
    <t xml:space="preserve">10.1007/s11063-021-10425-w</t>
  </si>
  <si>
    <t xml:space="preserve">FEB 2021</t>
  </si>
  <si>
    <t xml:space="preserve">9P3AR</t>
  </si>
  <si>
    <t xml:space="preserve">Bronze, Green Published</t>
  </si>
  <si>
    <t xml:space="preserve">WOS:000613994700001</t>
  </si>
  <si>
    <t xml:space="preserve">Breslin, W; Pham, D</t>
  </si>
  <si>
    <t xml:space="preserve">Breslin, William; Pham, Doan</t>
  </si>
  <si>
    <t xml:space="preserve">Machine learning and drug discovery for neglected tropical diseases</t>
  </si>
  <si>
    <t xml:space="preserve">Neglected tropical diseases affect millions of individuals and cause loss of productivity worldwide. They are common in developing countries without the financial resources for research and drug development. With increased availability of data from high throughput screening, machine learning has been introduced into the drug discovery process. Models can be trained to predict biological activities of compounds before working in the lab. In this study, we use three publicly available, high-throughput screening datasets to train machine learning models to predict biological activities related to inhibition of species that cause leishmaniasis, American trypanosomiasis (Chagas disease), and African trypanosomiasis (sleeping sickness). We compare machine learning models (tree based models, naive Bayes classifiers, and neural networks), featurizing methods (circular fingerprints, MACCS fingerprints, and RDKit descriptors), and techniques to deal with the imbalanced data (oversampling, undersampling, class weight/sample weight).</t>
  </si>
  <si>
    <t xml:space="preserve">- Leishmaniasis
- African trypanosomiasis (sleeping sickness)
- American trypanosomiasis (Chagas disease)</t>
  </si>
  <si>
    <t xml:space="preserve">- Naive Bayes classifiers
- Gradient Boosted Decision Tree
- Artificial Neural Networks</t>
  </si>
  <si>
    <t xml:space="preserve">Machine learing; Drug discovery; Tropical disease</t>
  </si>
  <si>
    <t xml:space="preserve">[Breslin, William] Pacific Univ, Dept Math Comp Sci &amp; Data Sci, Forest Grove, OR 97116 USA; [Pham, Doan] Geisel Sch Med, Dartmouth Inst Hlth Policy &amp; Clin Practice, Hanover, NH USA</t>
  </si>
  <si>
    <t xml:space="preserve">Pacific University; Dartmouth College</t>
  </si>
  <si>
    <t xml:space="preserve">Breslin, W (corresponding author), Pacific Univ, Dept Math Comp Sci &amp; Data Sci, Forest Grove, OR 97116 USA.</t>
  </si>
  <si>
    <t xml:space="preserve">breslin@pacificu.edu</t>
  </si>
  <si>
    <t xml:space="preserve">APR 24</t>
  </si>
  <si>
    <t xml:space="preserve">10.1186/s12859-022-05076-0</t>
  </si>
  <si>
    <t xml:space="preserve">E9AC7</t>
  </si>
  <si>
    <t xml:space="preserve">WOS:000978374700002</t>
  </si>
  <si>
    <t xml:space="preserve">Richard-Bollans, A; Aitken, C; Antonelli, A; Bitencourt, C; Goyder, D; Lucas, E; Ondo, I; Perez-Escobar, OA; Pironon, S; Richardson, JE; Russell, D; Silvestro, D; Wright, CW; Howes, MJR</t>
  </si>
  <si>
    <t xml:space="preserve">Richard-Bollans, Adam; Aitken, Conal; Antonelli, Alexandre; Bitencourt, Cassia; Goyder, David; Lucas, Eve; Ondo, Ian; Perez-Escobar, Oscar A.; Pironon, Samuel; Richardson, James E.; Russell, David; Silvestro, Daniele; Wright, Colin W.; Howes, Melanie-Jayne R.</t>
  </si>
  <si>
    <t xml:space="preserve">Machine learning enhances prediction of plants as potential sources of antimalarials</t>
  </si>
  <si>
    <t xml:space="preserve">Plants are a rich source of bioactive compounds and a number of plant-derived antiplasmodial compounds have been developed into pharmaceutical drugs for the prevention and treatment of malaria, a major public health challenge. However, identifying plants with antiplasmodial potential can be time-consuming and costly. One approach for selecting plants to investigate is based on ethnobotanical knowledge which, though having provided some major successes, is restricted to a relatively small group of plant species. Machine learning, incorporating ethnobotanical and plant trait data, provides a promising approach to improve the identification of antiplasmodial plants and accelerate the search for new plant-derived antiplasmodial compounds. In this paper we present a novel dataset on antiplasmodial activity for three flowering plant families - Apocynaceae, Loganiaceae and Rubiaceae (together comprising c. 21,100 species) - and demonstrate the ability of machine learning algorithms to predict the antiplasmodial potential of plant species. We evaluate the predictive capability of a variety of algorithms - Support Vector Machines, Logistic Regression, Gradient Boosted Trees and Bayesian Neural Networks - and compare these to two ethnobotanical selection approaches - based on usage as an antimalarial and general usage as a medicine. We evaluate the approaches using the given data and when the given samples are reweighted to correct for sampling biases. In both evaluation settings each of the machine learning models have a higher precision than the ethnobotanical approaches. In the bias-corrected scenario, the Support Vector classifier performs best - attaining a mean precision of 0.67 compared to the best performing ethnobotanical approach with a mean precision of 0.46. We also use the bias correction method and the Support Vector classifier to estimate the potential of plants to provide novel antiplasmodial compounds. We estimate that 7677 species in Apocynaceae, Loganiaceae and Rubiaceae warrant further investigation and that at least 1300 active antiplasmodial species are highly unlikely to be investigated by conventional approaches. While traditional and Indigenous knowledge remains vital to our understanding of people-plant relationships and an invaluable source of information, these results indicate a vast and relatively untapped source in the search for new plant-derived antiplasmodial compounds.</t>
  </si>
  <si>
    <t xml:space="preserve">United Kingdom, Sweden, Ireland, Colombia, Switzerland</t>
  </si>
  <si>
    <t xml:space="preserve">Plant species data</t>
  </si>
  <si>
    <t xml:space="preserve">- Support Vector Machines
- Logistic Regression
- Gradient Boosted Trees
- Bayesian Neural Networks</t>
  </si>
  <si>
    <t xml:space="preserve">FRONTIERS IN PLANT SCIENCE</t>
  </si>
  <si>
    <t xml:space="preserve">malaria; traditional and indigenous knowledge; machine learning; botany; ethnobotany; sampling bias; antiplasmodial activity; ethnopharmacology</t>
  </si>
  <si>
    <t xml:space="preserve">ANTIPLASMODIAL ACTIVITY; MEDICINAL-PLANTS; CHEMICAL-COMPOSITION; BIOACTIVE COMPOUNDS; DRUG DISCOVERY; TREAT FEVER; ALKALOIDS; SEARCH; SELECTION; EXTRACTS</t>
  </si>
  <si>
    <t xml:space="preserve">[Richard-Bollans, Adam; Aitken, Conal; Antonelli, Alexandre; Bitencourt, Cassia; Goyder, David; Lucas, Eve; Ondo, Ian; Perez-Escobar, Oscar A.; Pironon, Samuel; Russell, David; Howes, Melanie-Jayne R.] Royal Bot Gardens, Richmond, England; [Aitken, Conal] Univ St Andrews, Sch Chem, EaStCHEM, St Andrews, Scotland; [Antonelli, Alexandre; Silvestro, Daniele] Univ Gothenburg, Gothenburg Global Biodivers Ctr, Dept Biol &amp; Environm Sci, Gothenburg, Sweden; [Antonelli, Alexandre] Univ Oxford, Dept Biol, Oxford, England; [Pironon, Samuel] UN Environm Programme World Conservat Monitoring C, Cambridge, England; [Richardson, James E.] Univ Coll Cork, Sch Biol Earth &amp; Environm Sci, Cork, Ireland; [Richardson, James E.] Royal Bot Garden, Trop Divers Sect, Edinburgh, Scotland; [Richardson, James E.] Univ Rosario, Fac Ciencias Nat, Dept Biol, Bogota, Colombia; [Richardson, James E.] Univ Coll Cork, Environm Res Inst, Cork, Ireland; [Silvestro, Daniele] Univ Fribourg, Dept Biol, Fribourg, Switzerland; [Silvestro, Daniele] Swiss Inst Bioinformat, Fribourg, Switzerland; [Wright, Colin W.] Univ Bradford, Sch Pharm &amp; Med Sci, Bradford, England; [Howes, Melanie-Jayne R.] Kings Coll London, Inst Pharmaceut Sci, Franklin Wilkins Bldg, London, England</t>
  </si>
  <si>
    <t xml:space="preserve">Royal Botanic Gardens, Kew; University of St Andrews; University of Gothenburg; University of Oxford; University College Cork; Universidad del Rosario; University College Cork; University of Fribourg; Swiss Institute of Bioinformatics; University of Bradford; University of London; King's College London</t>
  </si>
  <si>
    <t xml:space="preserve">Richard-Bollans, A (corresponding author), Royal Bot Gardens, Richmond, England.</t>
  </si>
  <si>
    <t xml:space="preserve">a.richard-bollans@kew.org</t>
  </si>
  <si>
    <t xml:space="preserve">Richard-Bollans, Adam/AAV-6047-2021; Silvestro, Daniele/AAC-1606-2022; Bitencourt, Cássia/AAO-2902-2020; Antonelli, Alexandre/A-5353-2011; Russell, David/IXN-3147-2023; Richardson, James-Edward/L-2768-2016; Pérez-Escobar, Oscar/G-6882-2012; Pironon, Samuel/AAE-4459-2021</t>
  </si>
  <si>
    <t xml:space="preserve">Allkin, Bob/0000-0003-2107-4036; Bitencourt, Cassia/0000-0001-9141-2323; Silvestro, Daniele/0000-0003-0100-0961; Perez-Escobar, Oscar Alejandro/0000-0001-9166-2410</t>
  </si>
  <si>
    <t xml:space="preserve">Swiss National Science Foundation [PCEFP3_187012]; Swedish Research Council [2019-04739, F 2022/1448]; Swedish Foundation for Strategic Environmental Research MISTRA [2019-05191]; Royal Botanic Gardens, Kew; Swedish Research Council [2019-04739] Funding Source: Swedish Research Council; Swiss National Science Foundation (SNF) [PCEFP3_187012] Funding Source: Swiss National Science Foundation (SNF); Vinnova [2019-05191] Funding Source: Vinnova</t>
  </si>
  <si>
    <t xml:space="preserve">Swiss National Science Foundation(Swiss National Science Foundation (SNSF)); Swedish Research Council(Swedish Research Council); Swedish Foundation for Strategic Environmental Research MISTRA(Swedish Foundation for Strategic Research); Royal Botanic Gardens, Kew; Swedish Research Council; Swiss National Science Foundation (SNF)(Swiss National Science Foundation (SNSF)); Vinnova</t>
  </si>
  <si>
    <t xml:space="preserve">The authors would like to thank the individuals who have generously funded this project. DS received funding from the Swiss National Science Foundation (PCEFP3_187012) and the Swedish Research Council (VR: 2019-04739). DS and AA acknowledge funding from the Swedish Foundation for Strategic Environmental Research MISTRA within the framework of the research programme BIOPATH (F 2022/1448). AA further acknowledges financial support from the Swedish Research Council (2019-05191) and the Royal Botanic Gardens, Kew.</t>
  </si>
  <si>
    <t xml:space="preserve">1664-462X</t>
  </si>
  <si>
    <t xml:space="preserve">FRONT PLANT SCI</t>
  </si>
  <si>
    <t xml:space="preserve">Front. Plant Sci.</t>
  </si>
  <si>
    <t xml:space="preserve">MAY 25</t>
  </si>
  <si>
    <t xml:space="preserve">10.3389/fpls.2023.1173328</t>
  </si>
  <si>
    <t xml:space="preserve">I5BT1</t>
  </si>
  <si>
    <t xml:space="preserve">WOS:001002938500001</t>
  </si>
  <si>
    <t xml:space="preserve">Mayrose, H; Bairy, GM; Sampathila, N; Belurkar, S; Saravu, K</t>
  </si>
  <si>
    <t xml:space="preserve">Mayrose, Hilda; Bairy, G. Muralidhar; Sampathila, Niranjana; Belurkar, Sushma; Saravu, Kavitha</t>
  </si>
  <si>
    <t xml:space="preserve">Machine Learning-Based Detection of Dengue from Blood Smear Images Utilizing Platelet and Lymphocyte Characteristics</t>
  </si>
  <si>
    <t xml:space="preserve">Dengue fever, also known as break-bone fever, can be life-threatening. Caused by DENV, an RNA virus from the Flaviviridae family, dengue is currently a globally important public health problem. The clinical methods available for dengue diagnosis require skilled supervision. They are manual, time-consuming, labor-intensive, and not affordable to common people. This paper describes a method that can support clinicians during dengue diagnosis. It is proposed to automate the peripheral blood smear (PBS) examination using Artificial Intelligence (AI) to aid dengue diagnosis. Nowadays, AI, especially Machine Learning (ML), is increasingly being explored for successful analyses in the biomedical field. Digital pathology coupled with AI holds great potential in developing healthcare services. The automation system developed incorporates a blob detection method to detect platelets and thrombocytopenia from the PBS images. The results achieved are clinically acceptable. Moreover, an ML-based technique is proposed to detect dengue from the images of PBS based on the lymphocyte nucleus. Ten features are extracted, including six morphological and four Gray Level Spatial Dependance Matrix (GLSDM) features, out of the lymphocyte nucleus of normal and dengue cases. Features are then subjected to various popular supervised classifiers built using a ten-fold cross-validation policy for automated dengue detection. Among all the classifiers, the best performance was achieved by Support Vector Machine (SVM) and Decision Tree (DT), each with an accuracy of 93.62%. Furthermore, 1000 deep features extracted using pre-trained MobileNetV2 and 177 textural features extracted using Local binary pattern (LBP) from the lymphocyte nucleus are subjected to feature selection. The ReliefF selected 100 most significant features are then fed to the classifiers. The best performance was attained using an SVM classifier with 95.74% accuracy. With the obtained results, it is evident that this proposed approach can efficiently contribute as an adjuvant tool for diagnosing dengue from the digital microscopic images of PBS.</t>
  </si>
  <si>
    <t xml:space="preserve">Support Vector Machines, Decision Tree</t>
  </si>
  <si>
    <t xml:space="preserve">digital pathology; dengue; machine learning; thrombocytopenia; lymphocyte; peripheral blood smear; Artificial Intelligence</t>
  </si>
  <si>
    <t xml:space="preserve">THYROID LESION CLASSIFICATION; ULTRASOUND; FEATURES; COMBINATION; DIAGNOSIS; TEXTURE; BENIGN</t>
  </si>
  <si>
    <t xml:space="preserve">[Mayrose, Hilda; Bairy, G. Muralidhar; Sampathila, Niranjana] Manipal Acad Higher Educ MAHE, Manipal Inst Technol, Dept Biomed Engn, Manipal 576104, India; [Belurkar, Sushma] Manipal Acad Higher Educ MAHE, Kasturba Med Coll, Dept Pathol, Manipal 576104, India; [Saravu, Kavitha] Manipal Acad Higher Educ MAHE, Kasturba Med Coll, Dept Infect Dis, Manipal 576104, India</t>
  </si>
  <si>
    <t xml:space="preserve">Bairy, GM; Sampathila, N (corresponding author), Manipal Acad Higher Educ MAHE, Manipal Inst Technol, Dept Biomed Engn, Manipal 576104, India.</t>
  </si>
  <si>
    <t xml:space="preserve">gm.bairy@manipal.edu; niranjana.s@manipal.edu</t>
  </si>
  <si>
    <t xml:space="preserve">Mayrose, Hilda/0000-0002-8655-4922; Sampathila, Dr. Niranjana/0000-0002-3345-360X; Saravu, Kavitha/0000-0001-6399-1129</t>
  </si>
  <si>
    <t xml:space="preserve">10.3390/diagnostics13020220</t>
  </si>
  <si>
    <t xml:space="preserve">7X9ZR</t>
  </si>
  <si>
    <t xml:space="preserve">WOS:000914551400001</t>
  </si>
  <si>
    <t xml:space="preserve">Laprade, W; Bartlett, KE; Christensen, CR; Kazandjian, TD; Patel, RN; Crittenden, E; Dawson, CA; Mansourvar, M; Wolff, DS; Fryer, T; Laustsen, AH; Casewell, NR; Gutiérrez, JM; Hall, SR; Jenkins, TP</t>
  </si>
  <si>
    <t xml:space="preserve">Laprade, William; Bartlett, Keirah E.; Christensen, Charlotte R.; Kazandjian, Taline D.; Patel, Rohit N.; Crittenden, Edouard; Dawson, Charlotte A.; Mansourvar, Marjan; Wolff, Darian S.; Fryer, Thomas; Laustsen, Andreas H.; Casewell, Nicholas R.; Gutierrez, Jose Maria; Hall, Steven R.; Jenkins, Timothy P.</t>
  </si>
  <si>
    <t xml:space="preserve">Machine-learning guided Venom Induced Dermonecrosis Analysis tooL: VIDAL</t>
  </si>
  <si>
    <t xml:space="preserve">Snakebite envenoming is a global public health issue that causes significant morbidity and mortality, particularly in low-income regions of the world. The clinical manifestations of envenomings vary depending on the snake's venom, with paralysis, haemorrhage, and necrosis being the most common and medically relevant effects. To assess the efficacy of antivenoms against dermonecrosis, a preclinical testing approach involves in vivo mouse models that mimic local tissue effects of cytotoxic snakebites in humans. However, current methods for assessing necrosis severity are time-consuming and susceptible to human error. To address this, we present the Venom Induced Dermonecrosis Analysis tooL (VIDAL), a machine-learning-guided image-based solution that can automatically identify dermonecrotic lesions in mice, adjust for lighting biases, scale the image, extract lesion area and discolouration, and calculate the severity of dermonecrosis. We also introduce a new unit, the dermonecrotic unit (DnU), to better capture the complexity of dermonecrosis severity. Our tool is comparable to the performance of state-of-the-art histopathological analysis, making it an accessible, accurate, and reproducible method for assessing dermonecrosis in mice. Given the urgent need to address the neglected tropical disease that is snakebite, high-throughput technologies such as VIDAL are crucial in developing and validating new and existing therapeutics for this debilitating disease.</t>
  </si>
  <si>
    <t xml:space="preserve">Denmark, UK, Costa Rica</t>
  </si>
  <si>
    <t xml:space="preserve">Photographic images</t>
  </si>
  <si>
    <t xml:space="preserve">Dermonecrosis</t>
  </si>
  <si>
    <t xml:space="preserve">- U-Net</t>
  </si>
  <si>
    <t xml:space="preserve">- MCC score = 07644
- F1 (Dice) score = 0.8738</t>
  </si>
  <si>
    <t xml:space="preserve">SNAKE BITE; ANTIVENOMS; ASSAY</t>
  </si>
  <si>
    <t xml:space="preserve">[Laprade, William] Tech Univ Denmark, Dept Appl Math &amp; Comp Sci, Kongens Lyngby, Denmark; [Bartlett, Keirah E.; Kazandjian, Taline D.; Patel, Rohit N.; Crittenden, Edouard; Dawson, Charlotte A.; Casewell, Nicholas R.; Hall, Steven R.] Univ Liverpool Liverpool Sch Trop Med, Ctr Snakebite Res &amp; Intervent, Liverpool, England; [Christensen, Charlotte R.; Mansourvar, Marjan; Wolff, Darian S.; Fryer, Thomas; Laustsen, Andreas H.; Jenkins, Timothy P.] Tech Univ Denmark, Dept Biotechnol &amp; Biomed, Kongens Lyngby, Denmark; [Gutierrez, Jose Maria] Univ Costa Rica, Fac Microbiol, Inst Clodomiro Picado, San Jose, Costa Rica; [Hall, Steven R.] Univ Lancaster, Lancaster Med Sch &amp; Biomed &amp; Life Sci, Lancaster, England</t>
  </si>
  <si>
    <t xml:space="preserve">Technical University of Denmark; Liverpool School of Tropical Medicine; Technical University of Denmark; Universidad Costa Rica; Lancaster University</t>
  </si>
  <si>
    <t xml:space="preserve">Hall, SR (corresponding author), Univ Liverpool Liverpool Sch Trop Med, Ctr Snakebite Res &amp; Intervent, Liverpool, England.;Jenkins, TP (corresponding author), Tech Univ Denmark, Dept Biotechnol &amp; Biomed, Kongens Lyngby, Denmark.;Hall, SR (corresponding author), Univ Lancaster, Lancaster Med Sch &amp; Biomed &amp; Life Sci, Lancaster, England.</t>
  </si>
  <si>
    <t xml:space="preserve">Steven.Hall@lstmed.ac.uk; tpaje@dtu.dk</t>
  </si>
  <si>
    <t xml:space="preserve">mansourvar, marjan/AAM-7846-2020; Gutiérrez, José/GSJ-1846-2022; Casewell, Nicholas/C-3187-2014; Laustsen, Andreas/AGI-7181-2022; Jenkins, Timothy P./B-4714-2019</t>
  </si>
  <si>
    <t xml:space="preserve">Laprade, William/0000-0002-4342-1046; Casewell, Nicholas/0000-0002-8035-4719; Mansourvar, Marjan/0000-0001-6492-7858; Christensen, Charlotte Risager/0009-0000-5303-2426; Patel, Rohit/0000-0003-4070-3256; Jenkins, Timothy P./0000-0003-2979-5663; Fryer, Thomas/0000-0003-4338-0405; Laustsen, Andreas Hougaard/0000-0001-6918-5574</t>
  </si>
  <si>
    <t xml:space="preserve">Medical Research Council; Liverpool Shared Research Facilities, Faculty of Health and Life Sciences, University of Liverpool [NIF\R1\192161]; Newton International Fellowship; Royal Society; Wellcome Trust [MC_PC_15040]; UK Medical Research Council</t>
  </si>
  <si>
    <t xml:space="preserve">Medical Research Council(UK Research &amp; Innovation (UKRI)Medical Research Council UK (MRC)); Liverpool Shared Research Facilities, Faculty of Health and Life Sciences, University of Liverpool; Newton International Fellowship; Royal Society(Royal Society); Wellcome Trust(Wellcome Trust); UK Medical Research Council(UK Research &amp; Innovation (UKRI)Medical Research Council UK (MRC))</t>
  </si>
  <si>
    <t xml:space="preserve">We would like to give our thanks to (i) Paul Rowley for maintaining the snakes at the LSTM herpetarium and for routine venom extractions, (ii) Dr. Laura-Oana Albulescu, Dr. Cassandra Modahl and Dr. Amy Marriott from LSTM for their help in planning and performing in vivo experiments, and (iii) Valerie Tilston and her team at the University of Liverpool for preparing the histopathology slides. The Authors acknowledge use of the Biomedical Services Unit provided by Liverpool Shared Research Facilities, Faculty of Health and Life Sciences, University of Liverpool. Funding was provided by a (i) Newton International Fellowship (NIF\R1\192161) from the Royal Society to SRH, (ii) a Wellcome Trust funded project grant (221712/Z/20/Z) to NRC, (iv) a UK Medical Research Council research grant (MR/S00016X/1) to NRC and (v) a UK Medical Research Council funded Confidence in Concept Award (MC_PC_15040) to NRC. This research was funded in part by the Wellcome Trust. For the purpose of open access, the authors have applied a CC BY public copyright licence to any Author Accepted Manuscript version arising from this submission.</t>
  </si>
  <si>
    <t xml:space="preserve">DEC 8</t>
  </si>
  <si>
    <t xml:space="preserve">10.1038/s41598-023-49011-6</t>
  </si>
  <si>
    <t xml:space="preserve">HB1Q1</t>
  </si>
  <si>
    <t xml:space="preserve">WOS:001156939700026</t>
  </si>
  <si>
    <t xml:space="preserve">Bosc, N; Felix, E; Gardner, JMF; Mills, J; Timmerman, M; Asveld, D; Rensen, K; Mukherjee, P; Das, R; Chenu, E; Besson, D; Burrows, JN; Duffy, J; Laleu, B; Guantai, EM; Leach, AR</t>
  </si>
  <si>
    <t xml:space="preserve">Bosc, Nicolas; Felix, Eloy; Gardner, J. Mark F.; Mills, James; Timmerman, Martijn; Asveld, Dennis; Rensen, Kim; Mukherjee, Partha; Das, Rishi; Chenu, Elodie; Besson, Dominique; Burrows, Jeremy N.; Duffy, James; Laleu, Benoit; Guantai, Eric M.; Leach, Andrew R.</t>
  </si>
  <si>
    <t xml:space="preserve">MAIP: An Open-Source Tool to Enrich High-Throughput Screening Output and Identify Novel, Druglike Molecules with Antimalarial Activity</t>
  </si>
  <si>
    <t xml:space="preserve">Efforts to tackle malaria must continue for a disease that threatens half of the global population. Parasite resistance to current therapies requires new chemotypes that are able to demonstrate effectiveness and safety. Previously, we developed a machine-learning-based approach to predict compound antimalarial activity, which was trained on the compound collections of several organizations. The resulting prediction platform, MAIP, was made freely available to the scientific community and offers a solution to prioritize molecules of interest in virtual screening and hit-to-lead optimization. Here, we experimentally validate MAIP and demonstrate how the approach was used in combination with a robust compound selection workflow and a recently introduced innovative high-throughput screening (HTS) cascade to select and purchase compounds from a public library for subsequent experimental screening. We observed a 12-fold enrichment compared with a randomly selected set of molecules, and the eight hits we ultimately selected exhibit good potency and absorption, distribution, metabolism, and excretion (ADME) profiles.</t>
  </si>
  <si>
    <t xml:space="preserve">United Kingdom, Netherlands, India, Switzerland, Kenya</t>
  </si>
  <si>
    <t xml:space="preserve">Malaria; Antimalarial Drug Discovery; QSAR; High-Throughput Screening; Screening Cascade</t>
  </si>
  <si>
    <t xml:space="preserve">MALARIA VACCINE; DISCOVERY; LIBRARIES; EFFICACY; CHILDREN</t>
  </si>
  <si>
    <t xml:space="preserve">[Bosc, Nicolas; Felix, Eloy; Leach, Andrew R.] European Bioinformat Inst EMBL EBI, European Mol Biol Lab, Hinxton CB10 1SD, Cambs, England; [Gardner, J. Mark F.] AMG Consultants Ltd, Sandwich CT13 9ND, Kent, England; [Mills, James] Sandexis Med Chem Ltd, Sandwich CT13 9FF, Kent, England; [Timmerman, Martijn; Asveld, Dennis; Rensen, Kim] Pivot Pk Screening Ctr, NL-5349 AB Oss, Netherlands; [Mukherjee, Partha; Das, Rishi] Bengal Intelligent Pk Ltd, TCG Life Sci, Kolkata 700091, W Bengal, India; [Chenu, Elodie; Besson, Dominique; Burrows, Jeremy N.; Duffy, James; Laleu, Benoit] Med Malaria Venture, CH-1215 Geneva, Switzerland; [Guantai, Eric M.] Univ Nairobi, Fac Hlth Sci, Dept Pharm, Nairobi 00202, Kenya</t>
  </si>
  <si>
    <t xml:space="preserve">European Molecular Biology Laboratory (EMBL); European Bioinformatics Institute; University of Nairobi</t>
  </si>
  <si>
    <t xml:space="preserve">Leach, AR (corresponding author), European Bioinformat Inst EMBL EBI, European Mol Biol Lab, Hinxton CB10 1SD, Cambs, England.;Duffy, J (corresponding author), Med Malaria Venture, CH-1215 Geneva, Switzerland.</t>
  </si>
  <si>
    <t xml:space="preserve">duffyj@mmv.org; arl@ebi.ac.uk</t>
  </si>
  <si>
    <t xml:space="preserve">Leach, Andrew/N-9949-2017</t>
  </si>
  <si>
    <t xml:space="preserve">Mills, James/0000-0002-2567-3872; Felix Manzanares, Eloy/0000-0002-5512-6810; Bosc, Nicolas/0000-0003-3562-1328; Guantai, Eric/0000-0002-6440-7876; Laleu, Benoit/0000-0002-7530-2113; Gardner, Mark/0000-0002-9322-1181</t>
  </si>
  <si>
    <t xml:space="preserve">Bill and Melinda Gates Foundation; Bill &amp; Melinda Gates Foundation; European Molecular Biology Laboratory</t>
  </si>
  <si>
    <t xml:space="preserve">Bill and Melinda Gates Foundation(Bill &amp; Melinda Gates Foundation); Bill &amp; Melinda Gates Foundation(Bill &amp; Melinda Gates FoundationBill &amp; Melinda Gates Foundation Grand Challenges Explorations InitiativeCGIAR); European Molecular Biology Laboratory</t>
  </si>
  <si>
    <t xml:space="preserve">We thank the Bill &amp; Melinda Gates Foundation and the Member States of the European Molecular Biology Laboratory for funding this research work, and the Bill &amp; Melinda Gates Foundation for making this work open access.</t>
  </si>
  <si>
    <t xml:space="preserve">NOV 20</t>
  </si>
  <si>
    <t xml:space="preserve">10.1021/acsmedchemlett.3c00369</t>
  </si>
  <si>
    <t xml:space="preserve">EZ9R9</t>
  </si>
  <si>
    <t xml:space="preserve">WOS:001142883800001</t>
  </si>
  <si>
    <t xml:space="preserve">Silka, W; Wieczorek, M; Silka, J; Wozniak, M</t>
  </si>
  <si>
    <t xml:space="preserve">Silka, Wojciech; Wieczorek, Michal; Silka, Jakub; Wozniak, Marcin</t>
  </si>
  <si>
    <t xml:space="preserve">Malaria Detection Using Advanced Deep Learning Architecture</t>
  </si>
  <si>
    <t xml:space="preserve">Malaria is a life-threatening disease caused by parasites that are transmitted to humans through the bites of infected mosquitoes. The early diagnosis and treatment of malaria are crucial for reducing morbidity and mortality rates, particularly in developing countries where the disease is prevalent. In this article, we present a novel convolutional neural network (CNN) architecture for detecting malaria from blood samples with a 99.68% accuracy. Our method outperforms the existing approaches in terms of both accuracy and speed, making it a promising tool for malaria diagnosis in resource-limited settings. The CNN was trained on a large dataset of blood smears and was able to accurately classify infected and uninfected samples with high sensitivity and specificity. Additionally, we present an analysis of model performance on different subtypes of malaria and discuss the implications of our findings for the use of deep learning in infectious disease diagnosis.</t>
  </si>
  <si>
    <t xml:space="preserve">Poland</t>
  </si>
  <si>
    <t xml:space="preserve">Brazil
Southeast Asia</t>
  </si>
  <si>
    <t xml:space="preserve">- Accuracy: 99.68%</t>
  </si>
  <si>
    <t xml:space="preserve">neural networks; malaria; CNN; semantic segmentation network; disease detection</t>
  </si>
  <si>
    <t xml:space="preserve">RESURGENCE; UPDATE</t>
  </si>
  <si>
    <t xml:space="preserve">[Silka, Wojciech] Jagiellonian Univ, Fac Med, Med Coll, PL-31008 Krakow, Poland; [Wieczorek, Michal; Silka, Jakub; Wozniak, Marcin] Silesian Tech Univ, Fac Appl Math, PL-44100 Gliwice, Poland; [Wieczorek, Michal; Silka, Jakub; Wozniak, Marcin] Geosolut Sp z o o, PL-02672 Warsaw, Poland</t>
  </si>
  <si>
    <t xml:space="preserve">Jagiellonian University; Collegium Medicum Jagiellonian University; Silesian University of Technology</t>
  </si>
  <si>
    <t xml:space="preserve">Wozniak, M (corresponding author), Silesian Tech Univ, Fac Appl Math, PL-44100 Gliwice, Poland.;Wozniak, M (corresponding author), Geosolut Sp z o o, PL-02672 Warsaw, Poland.</t>
  </si>
  <si>
    <t xml:space="preserve">marcin.wozniak@polsl.pl</t>
  </si>
  <si>
    <t xml:space="preserve">Siłka, Jakub/AAC-7904-2021; Wieczorek, Michał/AAC-7230-2021; Wozniak, Marcin/L-6640-2013</t>
  </si>
  <si>
    <t xml:space="preserve">Wozniak, Marcin/0000-0002-9073-5347; Wieczorek, Michal/0000-0002-5319-3366; Silka, Wojciech/0000-0002-3548-9024</t>
  </si>
  <si>
    <t xml:space="preserve">National Centre for Research and Development of Poland [POIR.01.01.01-00-0231/22]; Rector of the Silesian University of Technology [09/010/RGJ23/0068]</t>
  </si>
  <si>
    <t xml:space="preserve">National Centre for Research and Development of Poland(National Centre for Research &amp; Development, Poland); Rector of the Silesian University of Technology</t>
  </si>
  <si>
    <t xml:space="preserve">The authors would like to acknowledge contribution to this research from the SMOOTHLI.AI project financed by the National Centre for Research and Development of Poland under grant no. POIR.01.01.01-00-0231/22. The authors also acknowledge contributions to this project from the Rector of the Silesian University of Technology under a proquality grant no. 09/010/RGJ23/0068.</t>
  </si>
  <si>
    <t xml:space="preserve">10.3390/s23031501</t>
  </si>
  <si>
    <t xml:space="preserve">8U0DT</t>
  </si>
  <si>
    <t xml:space="preserve">WOS:000929622100001</t>
  </si>
  <si>
    <t xml:space="preserve">Wojtas, N; Wieczorek, M; Belkot, Z</t>
  </si>
  <si>
    <t xml:space="preserve">Wojtas, Natalia; Wieczorek, Michal; Belkot, Zbigniew</t>
  </si>
  <si>
    <t xml:space="preserve">Malaria detection using custom Semantic Segmentation Neural Network Architecture</t>
  </si>
  <si>
    <t xml:space="preserve">Malaria is a significant disease that affects both animals and humans. The four main Plasmodium species that cause human malaria are Plasmodium falciparum, Plasmodium vivax, Plasmodium malariae, and Plasmodium ovale. Plasmodium knowlesi, a parasite typically infecting forest macaque monkeys, was recently revealed to be able to be transmitted by anophelines and provoke malaria in humans. This provides an increasing risk of spreading the disease to areas previously unaffected with it and infecting people during the increasingly popular travels abroad. Microscopic examination remains one of the most often used methods for its laboratory confirmation. These tests, however, should be performed immediately after receiving samples from a first -contact doctor to allow immediate therapy. This research presents a novel, semantic segmentation neural network architecture designed to quickly create a classification mask, giving the doctor information about the position, shape, and possible affiliation of detected elements. The evaluation method is based on a light microscope imagery and was created to overcome problems resulting from the human diagnosis specifics. There are 3 abstract classes containing healthy cells, cells with malaria and background. The outputted mask can be later mapped to a more readable form with the inclusion of contrasting colors, next to an original image for quick validation. Such an approach allows for semi-automatic recognition of possible disease, nevertheless still giving the final verdict to the specialist. The developed solution has achieved a high recognition accuracy of 96.65%, while the computer power requirements are kept at a minimum. The proposed solution can help reduce misclassification rates by providing additional data for the doctor and speed up the entire process with the early diagnosis made by a deep learning model.</t>
  </si>
  <si>
    <t xml:space="preserve">- Accuracy: 96.65%</t>
  </si>
  <si>
    <t xml:space="preserve">MEDYCYNA WETERYNARYJNA-VETERINARY MEDICINE-SCIENCE AND PRACTICE</t>
  </si>
  <si>
    <t xml:space="preserve">POLISH SOC VETERINARY SCIENCES EDITORIAL OFFICE</t>
  </si>
  <si>
    <t xml:space="preserve">Malaria; diagnostic method; artificial intelligence; veterinary medicine; infectious diseases</t>
  </si>
  <si>
    <t xml:space="preserve">CLIMATE-CHANGE; PLASMODIUM; PARASITES; DEATHS</t>
  </si>
  <si>
    <t xml:space="preserve">[Wojtas, Natalia] Univ Life Sci Lublin, Fac Vet Med, Student Sci Club Dis Game &amp; Free Living Anim, Akad 12, PL-20950 Lublin, Poland; [Wieczorek, Michal] Silesian Tech Univ, Fac Appl Math, Akademicka 2, PL-44100 Gliwice, Poland; [Belkot, Zbigniew] Univ Life Sci Lublin, Fac Vet Med, Dept Food Hyg Anim Origin, Akad 12, PL-20950 Lublin, Poland; [Belkot, Zbigniew] Univ Life Sci Lublin, Fac Vet Med, Dept Food Hyg Anim Origin, Akad 12, PL-20033 Lublin, Poland</t>
  </si>
  <si>
    <t xml:space="preserve">University of Life Sciences in Lublin; Silesian University of Technology; University of Life Sciences in Lublin; University of Life Sciences in Lublin</t>
  </si>
  <si>
    <t xml:space="preserve">Belkot, Z (corresponding author), Univ Life Sci Lublin, Fac Vet Med, Dept Food Hyg Anim Origin, Akad 12, PL-20950 Lublin, Poland.;Belkot, Z (corresponding author), Univ Life Sci Lublin, Fac Vet Med, Dept Food Hyg Anim Origin, Akad 12, PL-20033 Lublin, Poland.</t>
  </si>
  <si>
    <t xml:space="preserve">zbigniew.belkot@up.lublin.pl</t>
  </si>
  <si>
    <t xml:space="preserve">Wieczorek, Michał/AAC-7230-2021</t>
  </si>
  <si>
    <t xml:space="preserve">Wieczorek, Michal/0000-0002-5319-3366</t>
  </si>
  <si>
    <t xml:space="preserve">LUBLIN</t>
  </si>
  <si>
    <t xml:space="preserve">AKADEMICKA 12, 20-950 LUBLIN, POLAND</t>
  </si>
  <si>
    <t xml:space="preserve">0025-8628</t>
  </si>
  <si>
    <t xml:space="preserve">MED WETER</t>
  </si>
  <si>
    <t xml:space="preserve">Med. Weter.</t>
  </si>
  <si>
    <t xml:space="preserve">10.21521/mw.6804</t>
  </si>
  <si>
    <t xml:space="preserve">Veterinary Sciences</t>
  </si>
  <si>
    <t xml:space="preserve">O2LH5</t>
  </si>
  <si>
    <t xml:space="preserve">WOS:001042181200005</t>
  </si>
  <si>
    <t xml:space="preserve">Yebasse, M; Cheoi, KJ; Ko, J</t>
  </si>
  <si>
    <t xml:space="preserve">Yebasse, Milkisa; Cheoi, Kyung Joo; Ko, Jaepil</t>
  </si>
  <si>
    <t xml:space="preserve">Malaria Disease Cell Classification With Highlighting Small Infected Regions</t>
  </si>
  <si>
    <t xml:space="preserve">Deep learning-based methods have become an active research area in medical imaging. Malaria is diagnosed by testing red blood cells. Deep learning methods can be used to distinguish malaria infected cell images from non-infected cell images. The small number of malaria dataset may limit the application of deep learning. Moreover, the infected area in the cell images is generally vague and small, requiring more complex models and a larger dataset to train on. Motivated by the tendency of humans to highlight important words when reading, we propose a simple neural network training strategy for highlighting the infected pixel regions that are mainly responsible for malaria cell classification. In our experiments on the NIH(National Institutes of Health) malaria dataset available in public domain, the proposed method significantly improved classification accuracy for our four different sized models, ranging from simple to complex including Resnet and Mobilenet. Our proposed method significantly improved classification accuracy. The result indicate that approach achieves a classification accuracy of 97.2%, compared to 94.49% for a baseline model. In addition, we show the superiority of the proposed strategy by providing an analysis on the magnitude of weight parameters in terms of regularization.</t>
  </si>
  <si>
    <t xml:space="preserve">- Accuracy = 97.2%</t>
  </si>
  <si>
    <t xml:space="preserve">Diseases; Neural networks; Computer architecture; Microprocessors; Deep learning; Convolutional neural networks; Image segmentation; Machine learning; Biomedical image processing; Image processing; convolutional neural network; biomedical imaging; image classification; machine learning; image segmentation</t>
  </si>
  <si>
    <t xml:space="preserve">NEURAL-NETWORKS</t>
  </si>
  <si>
    <t xml:space="preserve">[Yebasse, Milkisa; Ko, Jaepil] Kumoh Natl Inst Technol, Dept Comp Engn, Gumi Si 39177, Gyeongbuk, South Korea; [Cheoi, Kyung Joo] Chungbuk Natl Univ, Dept Comp Sci, Cheongju 28644, Chungbuk, South Korea</t>
  </si>
  <si>
    <t xml:space="preserve">Kumoh National University Technology; Chungbuk National University</t>
  </si>
  <si>
    <t xml:space="preserve">Ko, J (corresponding author), Kumoh Natl Inst Technol, Dept Comp Engn, Gumi Si 39177, Gyeongbuk, South Korea.</t>
  </si>
  <si>
    <t xml:space="preserve">nonezero@kumoh.ac.kr</t>
  </si>
  <si>
    <t xml:space="preserve">Yebasse, Milkisa/AAC-7204-2022</t>
  </si>
  <si>
    <t xml:space="preserve">Yebasse, Milkisa/0000-0002-9435-5026; Cheoi, Kyung Joo/0000-0003-2076-9119</t>
  </si>
  <si>
    <t xml:space="preserve">Kumoh National Institute of Technology [202001840001]</t>
  </si>
  <si>
    <t xml:space="preserve">Kumoh National Institute of Technology</t>
  </si>
  <si>
    <t xml:space="preserve">This work was supported by the Kumoh National Institute of Technology under Grant 202001840001.</t>
  </si>
  <si>
    <t xml:space="preserve">10.1109/ACCESS.2023.3245025</t>
  </si>
  <si>
    <t xml:space="preserve">9Q4LP</t>
  </si>
  <si>
    <t xml:space="preserve">WOS:000944938000001</t>
  </si>
  <si>
    <t xml:space="preserve">Rocha, M; Claro, M; Neto, L; Aires, K; Machado, V; Veras, R</t>
  </si>
  <si>
    <t xml:space="preserve">Rocha, Maura; Claro, Mafia; Neto, Laurindo; Aires, Kelson; Machado, Vinicius; Veras, Rodrigo</t>
  </si>
  <si>
    <t xml:space="preserve">Malaria parasites detection and identification using object detectors based on deep neural networks: a wide comparative analysis</t>
  </si>
  <si>
    <t xml:space="preserve">Malaria is an infectious disease transmitted by the bite of the female Anopheles mosquito, infected by Plasmodium spp. Early diagnosis and prompt and effective treatment are needed to avoid anaemia, organ failure, and death. Manual microscopy is the primary technique used for diagnosing malaria. However, this exam is labour-intensive and requires qualified personnel. In order to alleviate these difficulties, researchers are using computer vision concepts to detect and classify cells infected by the Plasmodium spp. This paper presents a comparative study of seven object detectors based on deep neural networks. We evaluated four versions of the You Only Look Once (YOLO), Single Shot MultiBox Detector, EfficientDet, and Faster R-CNN convolutional neural networks to detect and classify the malaria parasite in six different scenarios. We used four public image datasets, and the YOLOv5 model outperformed the other evaluated models. Their results had similar performance to the state-of-the-art works demonstrating the feasibility and effectiveness of YOLOv5 to detect and classify malaria parasites in thin blood smear images with high precision and sensitivity.</t>
  </si>
  <si>
    <t xml:space="preserve">Brasil</t>
  </si>
  <si>
    <t xml:space="preserve">Blood smear slide images</t>
  </si>
  <si>
    <t xml:space="preserve">YOLOv5, Single Shot MultiBox Detector, EfficientDet, R-CNN</t>
  </si>
  <si>
    <t xml:space="preserve">- YOLOv5: mAP = 90.03%
F1-Score = 84.56%
- Scaled-YOLOv4: recall = 90.60
mAP = 83.93%</t>
  </si>
  <si>
    <t xml:space="preserve">COMPUTER METHODS IN BIOMECHANICS AND BIOMEDICAL ENGINEERING-IMAGING AND VISUALIZATION</t>
  </si>
  <si>
    <t xml:space="preserve">Malaria; Plasmodium; YOLO; SSD; EfficientDet; Faster R-CNN</t>
  </si>
  <si>
    <t xml:space="preserve">CONVOLUTIONAL NETWORKS; SEGMENTATION</t>
  </si>
  <si>
    <t xml:space="preserve">[Rocha, Maura; Claro, Mafia; Neto, Laurindo; Aires, Kelson; Machado, Vinicius; Veras, Rodrigo] Univ Fed Piaui, Dept Comp, Teresina, Brazil</t>
  </si>
  <si>
    <t xml:space="preserve">Universidade Federal do Piaui</t>
  </si>
  <si>
    <t xml:space="preserve">Rocha, M (corresponding author), Univ Fed Piaui, Dept Comp, Teresina, Brazil.</t>
  </si>
  <si>
    <t xml:space="preserve">mauragessicah@hotmail.com</t>
  </si>
  <si>
    <t xml:space="preserve">Britto Neto, Laurindo/R-6819-2019; Veras, Rodrigo/D-7358-2015</t>
  </si>
  <si>
    <t xml:space="preserve">Britto Neto, Laurindo/0000-0002-1484-4111</t>
  </si>
  <si>
    <t xml:space="preserve">Coordenacao de Aperfeicoamento de Pessoal de Nivel Superior - Brasil (CAPES); Conselho Nacional de Desenvolvimento Cientifico e Tecnologico (CNPQ)</t>
  </si>
  <si>
    <t xml:space="preserve">Coordenacao de Aperfeicoamento de Pessoal de Nivel Superior - Brasil (CAPES)(Coordenacao de Aperfeicoamento de Pessoal de Nivel Superior (CAPES)); Conselho Nacional de Desenvolvimento Cientifico e Tecnologico (CNPQ)(Conselho Nacional de Desenvolvimento Cientifico e Tecnologico (CNPQ))</t>
  </si>
  <si>
    <t xml:space="preserve">This study was partially founded by the CoordenacAo de Aperfeicoamento de Pessoal de Nivel Superior - Brasil (CAPES) and Conselho Nacional de Desenvolvimento Cientifico e Tecnologico) (CNPQ)</t>
  </si>
  <si>
    <t xml:space="preserve">2168-1163</t>
  </si>
  <si>
    <t xml:space="preserve">2168-1171</t>
  </si>
  <si>
    <t xml:space="preserve">COMP M BIO BIO E-IV</t>
  </si>
  <si>
    <t xml:space="preserve">Comp. Meth. Biomech. Biomed. Eng.</t>
  </si>
  <si>
    <t xml:space="preserve">10.1080/21681163.2022.2111715</t>
  </si>
  <si>
    <t xml:space="preserve">AUG 2022</t>
  </si>
  <si>
    <t xml:space="preserve">H0YB7</t>
  </si>
  <si>
    <t xml:space="preserve">WOS:000842277300001</t>
  </si>
  <si>
    <t xml:space="preserve">Ebersbach, JC; Sato, MO; de Araújo, MP; Sato, M; Becker, SL; Sy, I</t>
  </si>
  <si>
    <t xml:space="preserve">Ebersbach, Jurena Christiane; Sato, Marcello Otake; de Araujo, Matheus Pereira; Sato, Megumi; Becker, Soeren L.; Sy, Issa</t>
  </si>
  <si>
    <t xml:space="preserve">Matrix-assisted laser desorption/ionization time-of-flight mass spectrometry for differential identification of adult Schistosoma worms</t>
  </si>
  <si>
    <t xml:space="preserve">Background Schistosomiasis is a major neglected tropical disease that affects up to 250 million individuals worldwide. The diagnosis of human schistosomiasis is mainly based on the microscopic detection of the parasite's eggs in the feces (i.e., for Schistosoma mansoni or Schistosoma japonicum) or urine (i.e., for Schistosoma haematobium) samples. However, these techniques have limited sensitivity, and microscopic expertise is waning outside endemic areas. Matrix-assisted laser desorption/ionization time-of-flight (MALDI-TOF) mass spectrometry (MS) has become the gold standard diagnostic method for the identification of bacteria and fungi in many microbiological laboratories. Preliminary studies have recently shown promising results for parasite identification using this method. The aims of this study were to develop and validate a species-specific database for adult Schistosoma identification, and to evaluate the effects of different storage solutions (ethanol and RNAlater) on spectra profiles. Methods Adult worms (males and females) of S. mansoni and S. japonicum were obtained from experimentally infected mice. Species identification was carried out morphologically and by cytochrome oxidase 1 gene sequencing. Reference protein spectra for the creation of an in-house MALDI-TOF MS database were generated, and the database evaluated using new samples. We employed unsupervised (principal component analysis) and supervised (support vector machine, k-nearest neighbor, Random Forest, and partial least squares discriminant analysis) machine learning algorithms for the identification and differentiation of the Schistosoma species. Results All the spectra were correctly identified by internal validation. For external validation, 58 new Schistosoma samples were analyzed, of which 100% (58/58) were correctly identified to genus level (log score values &gt;= 1.7) and 81% (47/58) were reliably identified to species level (log score values &gt;= 2). The spectra profiles showed some differences depending on the storage solution used. All the machine learning algorithms classified the samples correctly. Conclusions MALDI-TOF MS can reliably distinguish adult S. mansoni from S. japonicum.</t>
  </si>
  <si>
    <t xml:space="preserve">Germany, Japan, Switzerland</t>
  </si>
  <si>
    <t xml:space="preserve">Japan</t>
  </si>
  <si>
    <t xml:space="preserve">- Supervised learning
- Unsupervised learning</t>
  </si>
  <si>
    <t xml:space="preserve">- Principal component analysis
- Support vectoro machine
- k-nearest neighnor
- Random forest
- Partial least squares discriminant analysis</t>
  </si>
  <si>
    <t xml:space="preserve">Identification; Schistosoma mansoni; Schistosoma japonicum; Helminth; Matrix-assisted laser desorption; ionization-time of flight mass spectrometry; Trematode; Storage media; Machine learning</t>
  </si>
  <si>
    <t xml:space="preserve">TOOL</t>
  </si>
  <si>
    <t xml:space="preserve">[Ebersbach, Jurena Christiane; Becker, Soeren L.; Sy, Issa] Saarland Univ, Inst Med Microbiol &amp; Hyg, Homburg, Germany; [Sato, Marcello Otake; de Araujo, Matheus Pereira] Dokkyo Med Univ, Lab Trop Med &amp; Parasitol, Mibu, Tochigi, Japan; [Sato, Megumi] Niigata Univ, Grad Sch Hlth Sci, Niigata, Japan; [Becker, Soeren L.] Swiss Trop &amp; Publ Hlth Inst, Allschwil, Switzerland; [Becker, Soeren L.] Univ Basel, Basel, Switzerland</t>
  </si>
  <si>
    <t xml:space="preserve">Universitatsklinikum des Saarlandes; Dokkyo Medical University; Niigata University; University of Basel; Swiss Tropical &amp; Public Health Institute; University of Basel</t>
  </si>
  <si>
    <t xml:space="preserve">Sy, I (corresponding author), Saarland Univ, Inst Med Microbiol &amp; Hyg, Homburg, Germany.</t>
  </si>
  <si>
    <t xml:space="preserve">issa.sy@uks.eu</t>
  </si>
  <si>
    <t xml:space="preserve">SATO, MEGUMI/C-7384-2015; Sato, Marcello/F-7674-2014</t>
  </si>
  <si>
    <t xml:space="preserve">Sy, Issa/0000-0001-9103-8861; Sato, Marcello/0000-0002-9204-0602; Becker, Soeren/0000-0003-3634-8802</t>
  </si>
  <si>
    <t xml:space="preserve">Projekt DEAL; Deutsche Forschungsgemeinschaft (German Research Foundation); Saarland University</t>
  </si>
  <si>
    <t xml:space="preserve">Projekt DEAL; Deutsche Forschungsgemeinschaft (German Research Foundation)(German Research Foundation (DFG)); Saarland University</t>
  </si>
  <si>
    <t xml:space="preserve">Open Access funding enabled and organized by Projekt DEAL. We acknowledge support by the Deutsche Forschungsgemeinschaft (German Research Foundation) and Saarland University within the funding program Open Access Publishing.</t>
  </si>
  <si>
    <t xml:space="preserve">10.1186/s13071-022-05604-0</t>
  </si>
  <si>
    <t xml:space="preserve">8D2UA</t>
  </si>
  <si>
    <t xml:space="preserve">WOS:000918153300001</t>
  </si>
  <si>
    <t xml:space="preserve">Montanha, JOM; Nardi, SMT; Binhardi, FMT; Pedro, HDP; de Santi, MP; Paschoal, VD</t>
  </si>
  <si>
    <t xml:space="preserve">Montanha, Janaina Olher Martins; Nardi, Susilene Maria Tonelli; Binhardi, Fernanda Modesto Tolentino; Pedro, Heloisa da Silveira Paro; de Santi, Milena Polotto; Paschoal, Vania Del Arco</t>
  </si>
  <si>
    <t xml:space="preserve">ML Flow serological test: complementary tool in leprosy</t>
  </si>
  <si>
    <t xml:space="preserve">Background: The evaluation of household contacts of leprosy cases allows the early diagnosis of new cases. Objective: To associate the results of the ML Flow test with the clinical characteristics of leprosy cases and to verify their positivity in household contacts, in addition to describing the epidemiological profile of both. Methods: Prospective study with patients diagnosed over the course of one year (n = 26), without prior treatment, and their household contacts (n = 44) in six municipalities in northwestern Sao Paulo, Brazil. Results: There was a predominance of men among the leprosy cases, of 61.5% (16/26); 77% (20/26) were over 35 years old; 86.4% (22/26) were multibacillary; 61.5% (16/26) had a positive bacilloscopy; and 65.4% (17/26) had no physical disability. The ML Flow test was positive in 53.8% (14/26) of the leprosy cases and was associated with those who had a positive bacilloscopy and were diagnosed as multibacillary (p-value &lt;0.05). Among the household contacts, 52.3% (23/44) were women and aged over 35 years; 81.8% (36/44) had been vaccinated with BCG - Bacillus Calmette-Guerin. The ML Flow test was positive in 27.3% (12/44) of household contacts, all of whom lived with multibacillary cases; seven lived with positive bacilloscopy cases and six with consanguineous cases. Study limitations: Difficulty in convincing the contacts to undergo the evaluation and collection of the clinical sample. Conclusion: The ML Flow test, when positive in household contacts, can help the identification of cases that require more attention by the health team, as it indicates a predisposition to disease development, especially when they are household contacts of multibacillary cases, with positive bacilloscopy and consanguineous. The ML Flow test also helps in the correct clinical classification of the leprosy cases. (c) 2023 Sociedade Brasileira de Dermatologia. Published by Elsevier Espana, S.L.U. This is an open access article under the CC BY license (http://creativecommons.org/licenses/by/4.0/).</t>
  </si>
  <si>
    <t xml:space="preserve">Sociodemographic data
Clinical data</t>
  </si>
  <si>
    <t xml:space="preserve">Leprosy</t>
  </si>
  <si>
    <t xml:space="preserve">Difficulty in convincinig the contacts to undergo the evaluation and collaction of the clinical sample.</t>
  </si>
  <si>
    <t xml:space="preserve">ANAIS BRASILEIROS DE DERMATOLOGIA</t>
  </si>
  <si>
    <t xml:space="preserve">ELSEVIER SCIENCE INC</t>
  </si>
  <si>
    <t xml:space="preserve">Contact tracing; Leprosy; Public health; Serology; Surveillance</t>
  </si>
  <si>
    <t xml:space="preserve">CHALLENGES; CONTACTS</t>
  </si>
  <si>
    <t xml:space="preserve">[Montanha, Janaina Olher Martins; Nardi, Susilene Maria Tonelli; Binhardi, Fernanda Modesto Tolentino; Pedro, Heloisa da Silveira Paro; de Santi, Milena Polotto] Adolfo Lutz Inst, Ctr Lab Reg Sao Jose do Rio Preto, Sao Jose Do Rio Preto, SP, Brazil; [Paschoal, Vania Del Arco] Sao Jose do Rio Preto Fac Med, Dept Nursing Collect Hlth, Sao Jose Do Rio Preto, SP, Brazil</t>
  </si>
  <si>
    <t xml:space="preserve">Instituto Adolfo Lutz</t>
  </si>
  <si>
    <t xml:space="preserve">Montanha, JOM (corresponding author), Adolfo Lutz Inst, Ctr Lab Reg Sao Jose do Rio Preto, Sao Jose Do Rio Preto, SP, Brazil.</t>
  </si>
  <si>
    <t xml:space="preserve">janaina.montanha@ial.sp.gov.br</t>
  </si>
  <si>
    <t xml:space="preserve">Polotto, Milena/A-1441-2019; Tonelli Nardi, Susilene Maria/G-1880-2012; Tolentino, Fernanda Modesto/U-7657-2017</t>
  </si>
  <si>
    <t xml:space="preserve">Polotto, Milena/0000-0002-6419-7987; Tonelli Nardi, Susilene Maria/0000-0001-8793-8437; Olher Martins Montanha, Janaina/0000-0003-1710-2225; Tolentino, Fernanda Modesto/0000-0002-2172-6594; PASCHOAL, VANIA DEL ARCO/0000-0002-6047-5345</t>
  </si>
  <si>
    <t xml:space="preserve">Fundacao Paulista Contra Hanseniase [183]</t>
  </si>
  <si>
    <t xml:space="preserve">Fundacao Paulista Contra Hanseniase</t>
  </si>
  <si>
    <t xml:space="preserve">Fundacao Paulista Contra Hanseniase - Project number 183.</t>
  </si>
  <si>
    <t xml:space="preserve">STE 800, 230 PARK AVE, NEW YORK, NY 10169 USA</t>
  </si>
  <si>
    <t xml:space="preserve">0365-0596</t>
  </si>
  <si>
    <t xml:space="preserve">1806-4841</t>
  </si>
  <si>
    <t xml:space="preserve">AN BRAS DERMATOL</t>
  </si>
  <si>
    <t xml:space="preserve">An. Brasil. Dermatol.</t>
  </si>
  <si>
    <t xml:space="preserve">MAY-JUN</t>
  </si>
  <si>
    <t xml:space="preserve">10.1016/j.abd.2022.05.005</t>
  </si>
  <si>
    <t xml:space="preserve">Dermatology</t>
  </si>
  <si>
    <t xml:space="preserve">G4RG2</t>
  </si>
  <si>
    <t xml:space="preserve">WOS:000989039400001</t>
  </si>
  <si>
    <t xml:space="preserve">Aira, J; Olivares, T; Delicado, FM; Vezzani, D</t>
  </si>
  <si>
    <t xml:space="preserve">Aira, Javier; Olivares, Teresa; Delicado, Francisco M. M.; Vezzani, Dario</t>
  </si>
  <si>
    <t xml:space="preserve">MosquIoT: A System Based on IoT and Machine Learning for the Monitoring of Aedes aegypti (Diptera: Culicidae)</t>
  </si>
  <si>
    <t xml:space="preserve">Millions of people around the world are infected with mosquito-borne diseases each year. One of the most dangerous species is Aedes aegypti, the main vector of viruses such as dengue, yellow fever, chikungunya, and Zika, among others. Mosquito prevention and eradication campaigns are essential to avoid major public health consequences. In this respect, entomological surveillance is an important tool. At present, this traditional monitoring tool is executed manually and requires digital transformation to help authorities make better decisions, improve their planning efforts, speed up execution, and better manage available resources. Therefore, new technological tools based on proven techniques need to be designed and developed. However, such tools should also be cost-effective, autonomous, reliable, and easy to implement, and should be enabled by connectivity and multi-platform software applications. This article presents the design, development, and testing of an innovative system named MosquIoT.  It is based on traditional ovitraps with embedded Internet of Things (IoT) and tiny machine learning (TinyML) technologies, which enable the detection and quantification of Ae. aegypti eggs. This innovative and promising solution may help dynamically understand the behavior of Ae. aegypti populations in cities, shifting from the current reactive entomological monitoring model to a proactive and predictive digital one.</t>
  </si>
  <si>
    <t xml:space="preserve">Spain, Argentina</t>
  </si>
  <si>
    <t xml:space="preserve">Argentina</t>
  </si>
  <si>
    <t xml:space="preserve">IEEE TRANSACTIONS ON INSTRUMENTATION AND MEASUREMENT</t>
  </si>
  <si>
    <t xml:space="preserve">Aedes aegypti; entomological surveillance; Internet of Things (IoT); low-power wide-area network (LPWAN); machine learning; ovitraps; smart cities; tiny machine learning (TinyML)</t>
  </si>
  <si>
    <t xml:space="preserve">DENGUE-RISK AREAS; VECTOR; SURVEILLANCE</t>
  </si>
  <si>
    <t xml:space="preserve">[Aira, Javier] Univ Castilla La Mancha, Int Doctoral Sch, Albacete 02071, Spain; [Olivares, Teresa] Univ Castilla La Mancha, Dept Comp Syst, Albacete 02071, Spain; [Delicado, Francisco M. M.] Univ Castilla La Mancha, Dept Comp Engn, Albacete 02071, Spain; [Vezzani, Dario] Natl Sci &amp; Tech Res Council CONICET, Multidisciplinary Inst Ecosyst &amp; Sustainable Dev U, B-7000 Tandil, Buenos Aires, Argentina</t>
  </si>
  <si>
    <t xml:space="preserve">Universidad de Castilla-La Mancha; Universidad de Castilla-La Mancha; Universidad de Castilla-La Mancha; Centro Nacional Patagonico (CENPAT); Consejo Nacional de Investigaciones Cientificas y Tecnicas (CONICET)</t>
  </si>
  <si>
    <t xml:space="preserve">Aira, J (corresponding author), Univ Castilla La Mancha, Int Doctoral Sch, Albacete 02071, Spain.</t>
  </si>
  <si>
    <t xml:space="preserve">jorgejavier.aira@alu.uclm.es; teresa.olivares@uclm.es; francisco.delicado@uclm.es; dvezzani@gmail.com</t>
  </si>
  <si>
    <t xml:space="preserve">olivares, teresa/ABA-6455-2020; Aira, Javier/HSF-7977-2023; Delicado, Francisco M./H-1594-2015</t>
  </si>
  <si>
    <t xml:space="preserve">Aira, Javier/0000-0003-0879-1380; Delicado, Francisco M./0000-0002-2150-7797; Olivares Montes, Teresa/0000-0001-9512-2745</t>
  </si>
  <si>
    <t xml:space="preserve">MCIN/AEI [PID2021-123627OB-C52]; European Regional Development Fund (ERDF); EU (European Union)</t>
  </si>
  <si>
    <t xml:space="preserve">MCIN/AEI; European Regional Development Fund (ERDF)(European Union (EU)); EU (European Union)(European Union (EU))</t>
  </si>
  <si>
    <t xml:space="preserve">This work was supported under PID2021-123627OB-C52 project, which funded by MCIN/AEI/10.13039/501100011033 and by European Regional Development Fund (ERDF), A way to make Europe, EU (European Union).</t>
  </si>
  <si>
    <t xml:space="preserve">0018-9456</t>
  </si>
  <si>
    <t xml:space="preserve">1557-9662</t>
  </si>
  <si>
    <t xml:space="preserve">IEEE T INSTRUM MEAS</t>
  </si>
  <si>
    <t xml:space="preserve">IEEE Trans. Instrum. Meas.</t>
  </si>
  <si>
    <t xml:space="preserve">10.1109/TIM.2023.3265119</t>
  </si>
  <si>
    <t xml:space="preserve">Engineering, Electrical &amp; Electronic; Instruments &amp; Instrumentation</t>
  </si>
  <si>
    <t xml:space="preserve">Engineering; Instruments &amp; Instrumentation</t>
  </si>
  <si>
    <t xml:space="preserve">E4EV5</t>
  </si>
  <si>
    <t xml:space="preserve">WOS:000975100200016</t>
  </si>
  <si>
    <t xml:space="preserve">Grover, EN; Allshouse, WB; Lund, AJ; Liu, Y; Paull, SH; James, KA; Crooks, JL; Carlton, EJ</t>
  </si>
  <si>
    <t xml:space="preserve">Grover, Elise N.; Allshouse, William B.; Lund, Andrea J.; Liu, Yang; Paull, Sara H.; James, Katherine A.; Crooks, James L.; Carlton, Elizabeth J.</t>
  </si>
  <si>
    <t xml:space="preserve">Open-source environmental data as an alternative to snail surveys to assess schistosomiasis risk in areas approaching elimination</t>
  </si>
  <si>
    <t xml:space="preserve">BackgroundAlthough the presence of intermediate snails is a necessary condition for local schistosomiasis transmission to occur, using them as surveillance targets in areas approaching elimination is challenging because the patchy and dynamic quality of snail host habitats makes collecting and testing snails labor-intensive. Meanwhile, geospatial analyses that rely on remotely sensed data are becoming popular tools for identifying environmental conditions that contribute to pathogen emergence and persistence.MethodsIn this study, we assessed whether open-source environmental data can be used to predict the presence of human Schistosoma japonicum infections among households with a similar or improved degree of accuracy compared to prediction models developed using data from comprehensive snail surveys. To do this, we used infection data collected from rural communities in Southwestern China in 2016 to develop and compare the predictive performance of two Random Forest machine learning models: one built using snail survey data, and one using open-source environmental data.ResultsThe environmental data models outperformed the snail data models in predicting household S. japonicum infection with an estimated accuracy and Cohen's kappa value of 0.89 and 0.49, respectively, in the environmental model, compared to an accuracy and kappa of 0.86 and 0.37 for the snail model. The Normalized Difference in Water Index (an indicator of surface water presence) within half to one kilometer of the home and the distance from the home to the nearest road were among the top performing predictors in our final model. Homes were more likely to have infected residents if they were further from roads, or nearer to waterways.ConclusionOur results suggest that in low-transmission environments, leveraging open-source environmental data can yield more accurate identification of pockets of human infection than using snail surveys. Furthermore, the variable importance measures from our models point to aspects of the local environment that may indicate increased risk of schistosomiasis. For example, households were more likely to have infected residents if they were further from roads or were surrounded by more surface water, highlighting areas to target in future surveillance and control efforts.</t>
  </si>
  <si>
    <t xml:space="preserve">USA, China</t>
  </si>
  <si>
    <t xml:space="preserve">Open-source environmental data
Snail survey data</t>
  </si>
  <si>
    <t xml:space="preserve">Random forest</t>
  </si>
  <si>
    <t xml:space="preserve">INTERNATIONAL JOURNAL OF HEALTH GEOGRAPHICS</t>
  </si>
  <si>
    <t xml:space="preserve">Schistosomiasis; Geographic information systems; Remote sensing technology; Machine learning; Prevention and control; China; Infectious disease surveillance; Snails; Oncomelaniahupensis</t>
  </si>
  <si>
    <t xml:space="preserve">WATER INDEX NDWI; MANSONI; INFECTION; PREDICTION; HABITATS; SICHUAN; CHINA</t>
  </si>
  <si>
    <t xml:space="preserve">[Grover, Elise N.; Allshouse, William B.; Lund, Andrea J.; Paull, Sara H.; James, Katherine A.; Carlton, Elizabeth J.] Univ Colorado, Colorado Sch Publ Hlth, Dept Environm &amp; Occupat Hlth, Anschutz Med Campus, Aurora, CO 80045 USA; [Liu, Yang] Sichuan Ctr Dis Control &amp; Prevent, Inst Parasit Dis, Chengdu, Peoples R China; [James, Katherine A.; Crooks, James L.] Univ Colorado, Colorado Sch Publ Hlth, Dept Epidemiol, Anschutz Med Campus, Aurora, CO USA; [Crooks, James L.] Natl Jewish Hlth, Div Biostat &amp; Bioinformat, Denver, CO USA</t>
  </si>
  <si>
    <t xml:space="preserve">Colorado School of Public Health; University of Colorado System; University of Colorado Anschutz Medical Campus; University of Colorado System; University of Colorado Anschutz Medical Campus; Colorado School of Public Health; National Jewish Health</t>
  </si>
  <si>
    <t xml:space="preserve">Carlton, EJ (corresponding author), Univ Colorado, Colorado Sch Publ Hlth, Dept Environm &amp; Occupat Hlth, Anschutz Med Campus, Aurora, CO 80045 USA.;Liu, Y (corresponding author), Sichuan Ctr Dis Control &amp; Prevent, Inst Parasit Dis, Chengdu, Peoples R China.</t>
  </si>
  <si>
    <t xml:space="preserve">liuyangcdc@163.com; elizabeth.carlton@cuanschutz.edu</t>
  </si>
  <si>
    <t xml:space="preserve">Carlton, Elizabeth/HTR-9567-2023; Liu, Yang/JOP-7590-2023</t>
  </si>
  <si>
    <t xml:space="preserve">Paull, Sara/0000-0001-5589-9568; Grover, Elise/0000-0001-8845-1591</t>
  </si>
  <si>
    <t xml:space="preserve">1476-072X</t>
  </si>
  <si>
    <t xml:space="preserve">INT J HEALTH GEOGR</t>
  </si>
  <si>
    <t xml:space="preserve">JUN 2</t>
  </si>
  <si>
    <t xml:space="preserve">10.1186/s12942-023-00331-w</t>
  </si>
  <si>
    <t xml:space="preserve">H8VQ9</t>
  </si>
  <si>
    <t xml:space="preserve">WOS:000998677200001</t>
  </si>
  <si>
    <t xml:space="preserve">Kundu, TK; Anguraj, DK</t>
  </si>
  <si>
    <t xml:space="preserve">Kundu, Tamal Kumar; Anguraj, Dinesh Kumar</t>
  </si>
  <si>
    <t xml:space="preserve">Optimal Machine Learning Based Automated Malaria Parasite Detection and Classification Model Using Blood Smear Images</t>
  </si>
  <si>
    <t xml:space="preserve">Malaria is a deadly disease which can be spread by the Plasmodium parasites. The existence of malaria can be identified by professional microscopists who examine the microscopic blood smear images. But it remains a challenge owing to the unavailability of experts, poor resolution images, and insufficient diagnostic quality. Therefore, image processing and machine learning (ML) models can be employed to detection of malaria parasites using blood smear images. With this motivation, this study introduces an optimal machine learning based automated malaria parasite detection and classification (OML-AMPDC) model using blood smear images. The proposed OML-AMPDC technique primarily undergoes pre-processing in two stages namely adaptive filtering (AF) based noise removal and contrast enhancement using CLAHE technique. Besides, the feature extraction process was implemented using Local Derivative Radial Patterns (LDRP). In addition, random forest (RF) classifier is applied to allot proper class labels to the blood smear images. Finally, particle swarm optimization (PSO) algorithm was utilized for optimally choose two parameters of the RF model, named maximum number of levels in every decision tree (max_depth) and number of trees in the forest (n_estimators). The design of PSO algorithm helps for enhancing the classification performance of the RF method. A wide-ranging experimental analysis is performed using benchmark dataset and the results reported the betterment of the OML-AMPDC technique over the recent approaches.</t>
  </si>
  <si>
    <t xml:space="preserve">malaria parasites disease diagnosis blood; smear images machine learning; classification parameter tuning</t>
  </si>
  <si>
    <t xml:space="preserve">[Kundu, Tamal Kumar; Anguraj, Dinesh Kumar] Koneru Lakshmaiah Educ Fdn, Dept Comp Sci &amp; Engn, Guntur 522501, India</t>
  </si>
  <si>
    <t xml:space="preserve">KUNDU, TAMAL/GPK-1085-2022; Anguraj, Dinesh Kumar/S-3163-2018</t>
  </si>
  <si>
    <t xml:space="preserve">Anguraj, Dinesh Kumar/0000-0003-2008-6828; /0000-0003-2346-5241</t>
  </si>
  <si>
    <t xml:space="preserve">10.18280/ts.400108</t>
  </si>
  <si>
    <t xml:space="preserve">A8MV0</t>
  </si>
  <si>
    <t xml:space="preserve">WOS:000957612200008</t>
  </si>
  <si>
    <t xml:space="preserve">Yu, H; Mohammed, FO; Hamid, MA; Yang, F; Kassim, YM; Mohamed, AO; Maude, RJ; Ding, XC; Owusu, EDA; Yerlikaya, S; Dittrich, S; Jaeger, S</t>
  </si>
  <si>
    <t xml:space="preserve">Yu, Hang; Mohammed, Fayad O.; Abdel Hamid, Muzamil; Yang, Feng; Kassim, Yasmin M.; Mohamed, Abdelrahim O.; Maude, Richard J.; Ding, Xavier C.; Owusu, Ewurama D. A.; Yerlikaya, Seda; Dittrich, Sabine; Jaeger, Stefan</t>
  </si>
  <si>
    <t xml:space="preserve">Patient-level performance evaluation of a smartphone-based malaria diagnostic application</t>
  </si>
  <si>
    <t xml:space="preserve">BackgroundMicroscopic examination is commonly used for malaria diagnosis in the field. However, the lack of well-trained microscopists in malaria-endemic areas impacted the most by the disease is a severe problem. Besides, the examination process is time-consuming and prone to human error. Automated diagnostic systems based on machine learning offer great potential to overcome these problems. This study aims to evaluate Malaria Screener, a smartphone-based application for malaria diagnosis.MethodsA total of 190 patients were recruited at two sites in rural areas near Khartoum, Sudan. The Malaria Screener mobile application was deployed to screen Giemsa-stained blood smears. Both expert microscopy and nested PCR were performed to use as reference standards. First, Malaria Screener was evaluated using the two reference standards. Then, during post-study experiments, the evaluation was repeated for a newly developed algorithm, PlasmodiumVF-Net.ResultsMalaria Screener reached 74.1% (95% CI 63.5-83.0) accuracy in detecting Plasmodium falciparum malaria using expert microscopy as the reference after a threshold calibration. It reached 71.8% (95% CI 61.0-81.0) accuracy when compared with PCR. The achieved accuracies meet the WHO Level 3 requirement for parasite detection. The processing time for each smear varies from 5 to 15 min, depending on the concentration of white blood cells (WBCs). In the post-study experiment, Malaria Screener reached 91.8% (95% CI 83.8-96.6) accuracy when patient-level results were calculated with a different method. This accuracy meets the WHO Level 1 requirement for parasite detection. In addition, PlasmodiumVF-Net, a newly developed algorithm, reached 83.1% (95% CI 77.0-88.1) accuracy when compared with expert microscopy and 81.0% (95% CI 74.6-86.3) accuracy when compared with PCR, reaching the WHO Level 2 requirement for detecting both Plasmodium falciparum and Plasmodium vivax malaria, without using the testing sites data for training or calibration. Results reported for both Malaria Screener and PlasmodiumVF-Net used thick smears for diagnosis. In this paper, both systems were not assessed in species identification and parasite counting, which are still under development.ConclusionMalaria Screener showed the potential to be deployed in resource-limited areas to facilitate routine malaria screening. It is the first smartphone-based system for malaria diagnosis evaluated on the patient-level in a natural field environment. Thus, the results in the field reported here can serve as a reference for future studies.</t>
  </si>
  <si>
    <t xml:space="preserve">USA, Sudan, Thailand, UK, Switzerland, Ghana</t>
  </si>
  <si>
    <t xml:space="preserve">Sudan</t>
  </si>
  <si>
    <t xml:space="preserve">Clinical data
Smartphone-based diagnostic data</t>
  </si>
  <si>
    <t xml:space="preserve">Malaria microscopy; Computer-aided diagnosis; Automated screening; Machine learning; Field testing; Smartphone application</t>
  </si>
  <si>
    <t xml:space="preserve">THICK BLOOD SMEARS; PARASITES</t>
  </si>
  <si>
    <t xml:space="preserve">[Yu, Hang; Yang, Feng; Kassim, Yasmin M.; Jaeger, Stefan] NIH, Lister Hill Natl Ctr Biomed Commun, Natl Lib Med, Bldg 10, Bethesda, MD 20892 USA; [Mohammed, Fayad O.; Abdel Hamid, Muzamil; Mohamed, Abdelrahim O.] Univ Khartoum, Inst Endem Dis, Dept Parasitol &amp; Med Entomol, Med Campus, Khartoum, Sudan; [Mohamed, Abdelrahim O.] Univ Khartoum, Fac Med, Dept Biochem, Khartoum, Sudan; [Maude, Richard J.] Mahidol Univ, Fac Trop Med, Mahidol Oxford Trop Med Res Unit, Bangkok, Thailand; [Maude, Richard J.] Univ Oxford, Ctr Trop Med &amp; Global Hlth, Nuffield Dept Med, Oxford, England; [Maude, Richard J.] Harvard Univ, Harvard TH Chan Sch Publ Hlth, Boston, MA 02115 USA; [Ding, Xavier C.; Owusu, Ewurama D. A.; Yerlikaya, Seda; Dittrich, Sabine] FIND, Geneva, Switzerland; [Owusu, Ewurama D. A.] Univ Ghana, Coll Hlth Sci, Sch Biomed &amp; Allied Hlth Sci, Dept Med Lab Sci, Accra, Ghana</t>
  </si>
  <si>
    <t xml:space="preserve">National Institutes of Health (NIH) - USA; NIH National Library of Medicine (NLM); University of Khartoum; University of Khartoum; Mahidol Oxford Tropical Medicine Research Unit (MORU); Mahidol University; University of Oxford; Harvard University; Harvard T.H. Chan School of Public Health; Foundation For Innovative New Diagnostics; University of Ghana</t>
  </si>
  <si>
    <t xml:space="preserve">Jaeger, S (corresponding author), NIH, Lister Hill Natl Ctr Biomed Commun, Natl Lib Med, Bldg 10, Bethesda, MD 20892 USA.</t>
  </si>
  <si>
    <t xml:space="preserve">stefan.jaeger@nih.gov</t>
  </si>
  <si>
    <t xml:space="preserve">Owusu, Ewurama/AAW-1174-2020; Maude, Richard/AAV-3567-2020; Yang, Feng/HLQ-2152-2023; Abdel Hamid, Muzamil Mahdi/E-7234-2019</t>
  </si>
  <si>
    <t xml:space="preserve">Abdel Hamid, Muzamil Mahdi/0000-0002-6157-4388; Maude, Richard/0000-0002-5355-0562</t>
  </si>
  <si>
    <t xml:space="preserve">National Institutes of Health (NIH); Australian Government, Department for Foreign Affairs and Trade; Wellcome Trust [220211]</t>
  </si>
  <si>
    <t xml:space="preserve">National Institutes of Health (NIH)(United States Department of Health &amp; Human ServicesNational Institutes of Health (NIH) - USA); Australian Government, Department for Foreign Affairs and Trade(Australian Government); Wellcome Trust(Wellcome Trust)</t>
  </si>
  <si>
    <t xml:space="preserve">Open Access funding provided by the National Institutes of Health (NIH).This study was funded by the Australian Government, Department for Foreign Affairs and Trade, as part of the FIND Malaria Innovation Platform Project.This research was funded in part by the Wellcome Trust (220211). For the purpose of open access, the author has applied a CC BY public copyright license to any Author Accepted Manuscript version arising from this submission (RJM).</t>
  </si>
  <si>
    <t xml:space="preserve">JAN 27</t>
  </si>
  <si>
    <t xml:space="preserve">10.1186/s12936-023-04446-0</t>
  </si>
  <si>
    <t xml:space="preserve">8K6ZE</t>
  </si>
  <si>
    <t xml:space="preserve">WOS:000923246300004</t>
  </si>
  <si>
    <t xml:space="preserve">Hemachandran, K; Alasiry, A; Marzougui, M; Ganie, SM; Pise, AA; Alouane, MTH; Chola, C</t>
  </si>
  <si>
    <t xml:space="preserve">Hemachandran, K.; Alasiry, Areej; Marzougui, Mehrez; Ganie, Shahid Mohammad; Pise, Anil Audumbar; Alouane, M. Turki-Hadj; Chola, Channabasava</t>
  </si>
  <si>
    <t xml:space="preserve">Performance Analysis of Deep Learning Algorithms in Diagnosis of Malaria Disease</t>
  </si>
  <si>
    <t xml:space="preserve">Malaria is predominant in many subtropical nations with little health-monitoring infrastructure. To forecast malaria and condense the disease's impact on the population, time series prediction models are necessary. The conventional technique of detecting malaria disease is for certified technicians to examine blood smears visually for parasite-infected RBC (red blood cells) underneath a microscope. This procedure is ineffective, and the diagnosis depends on the individual performing the test and his/her experience. Automatic image identification systems based on machine learning have previously been used to diagnose malaria blood smears. However, so far, the practical performance has been insufficient. In this paper, we have made a performance analysis of deep learning algorithms in the diagnosis of malaria disease. We have used Neural Network models like CNN, MobileNetV2, and ResNet50 to perform this analysis. The dataset was extracted from the National Institutes of Health (NIH) website and consisted of 27,558 photos, including 13,780 parasitized cell images and 13,778 uninfected cell images. In conclusion, the MobileNetV2 model outperformed by achieving an accuracy rate of 97.06% for better disease detection. Also, other metrics like training and testing loss, precision, recall, fi-score, and ROC curve were calculated to validate the considered models.</t>
  </si>
  <si>
    <t xml:space="preserve">India, Saudi Arabia, South Africa </t>
  </si>
  <si>
    <t xml:space="preserve">- CNN
- MobileNetV2
- Resnet50</t>
  </si>
  <si>
    <t xml:space="preserve">- MobileNetV2: Accuracy = 97.06%</t>
  </si>
  <si>
    <t xml:space="preserve">deep learning techniques; convolution neural networks; ResNet-50; mobilenet; disease diagnosis; malaria; neural networks and RBC</t>
  </si>
  <si>
    <t xml:space="preserve">CONVOLUTIONAL NEURAL-NETWORKS; MICROSCOPY; PARASITES</t>
  </si>
  <si>
    <t xml:space="preserve">[Hemachandran, K.; Ganie, Shahid Mohammad] Woxsen Univ, Sch Business, Dept Analyt, Hyderabad 502345, Telangana, India; [Alasiry, Areej; Marzougui, Mehrez; Alouane, M. Turki-Hadj] King Khalid Univ, Coll Comp Sci, Abha 62529, Saudi Arabia; [Pise, Anil Audumbar] Siatik Premier Google Cloud Platform Partner, ZA-2000 Johannesburg, South Africa; [Pise, Anil Audumbar] Univ Witwatersrand, Sch Comp Sci &amp; Appl Math, ZA-2000 Johannesburg, South Africa; [Pise, Anil Audumbar] Sch Saveetha Sch Engn, Chennai 600124, Tamil Nadu, India; [Chola, Channabasava] Univ Mysore, Dept Studies Comp Sci, Mysore 570006, Karnataka, India</t>
  </si>
  <si>
    <t xml:space="preserve">Woxsen University; King Khalid University; University of Witwatersrand; University of Mysore</t>
  </si>
  <si>
    <t xml:space="preserve">Alouane, MTH (corresponding author), King Khalid Univ, Coll Comp Sci, Abha 62529, Saudi Arabia.</t>
  </si>
  <si>
    <t xml:space="preserve">malouane@kku.edu.sa</t>
  </si>
  <si>
    <t xml:space="preserve">k, Hemachandran/W-1710-2019; Pise, Anil/AAH-2558-2019; Alasiry, Areej/LIC-0911-2024; Monia, Turki-Hadj Alouane/HLV-7462-2023; Chola, Channabasava/AFC-6168-2022; Ganie, Shahid/HHC-1726-2022</t>
  </si>
  <si>
    <t xml:space="preserve">Monia, Turki-Hadj Alouane/0000-0002-6375-0824; Chola, Channabasava/0000-0002-7509-9354; Ganie, Shahid/0000-0001-9925-0402; Marzougui, Mehrez/0000-0003-0445-5371; Pise, Anil/0000-0002-2402-087X</t>
  </si>
  <si>
    <t xml:space="preserve">Deanship of Scientific Research at King Khalid University [1/257/43]</t>
  </si>
  <si>
    <t xml:space="preserve">Deanship of Scientific Research at King Khalid University(King Khalid UniversityKing Saud University)</t>
  </si>
  <si>
    <t xml:space="preserve">The authors extend their appreciation to the Deanship of Scientific Research at King Khalid University for funding this work through Small Groups. Project under grant number (R.G.P.1/257/43).</t>
  </si>
  <si>
    <t xml:space="preserve">10.3390/diagnostics13030534</t>
  </si>
  <si>
    <t xml:space="preserve">8T6DM</t>
  </si>
  <si>
    <t xml:space="preserve">WOS:000929350000001</t>
  </si>
  <si>
    <t xml:space="preserve">Bamorovat, M; Sharifi, I; Afshari, SAK; Karamoozian, A; Tahmouresi, A; Heshmatkhah, A; Salarkia, E; Khosravi, A; Parizi, MH; Barghi, M</t>
  </si>
  <si>
    <t xml:space="preserve">Bamorovat, Mehdi; Sharifi, Iraj; Afshari, Setareh Agha Kuchak; Karamoozian, Ali; Tahmouresi, Amirhossein; Heshmatkhah, Amireh; Salarkia, Ehsan; Khosravi, Ahmad; Parizi, Maryam Hakimi; Barghi, Maryam</t>
  </si>
  <si>
    <t xml:space="preserve">Poor adherence is a major barrier to the proper treatment of cutaneous leishmaniasis: A case-control field assessment in Iran</t>
  </si>
  <si>
    <t xml:space="preserve">Leishmaniasis is an overlooked, poverty-stricken, and complex disease with growing social and public health problems. In general, leishmaniasis is a curable disease; however, there is an expansion of unresponsive cases to treatment in cutaneous leishmaniasis (CL). One of the effective and ignored determinants in the treatment outcome of CL is poor treatment adherence (PTA). PTA is an overlooked and widespread phenomenon to proper Leishmania treatment. This study aimed to explore the effect of poor adherence in unresponsiveness to treatment in patients with anthroponotic CL (ACL) by comparing conventional statistical modalities and machine learning analyses in Iran. Overall, 190 cases consisting of 50 unresponsive patients (case group), and 140 responsive patients (control group) with ACL were randomly selected. The data collecting form that included 25 queries (Q) was recorded for each case and analyzed by R software and genetic algorithm (GA) approaches. Complex treatment regimens (Q11), cultural and lay views about the disease and therapy (Q8), life stress, hopelessness and negative feelings (Q22), adverse effects of treatment (Q13), and long duration of the lesion (Q12) were the most prevalent significant variables that inhibited effective treatment adherence by the two methods, in decreasing order of significance. In the inherent algorithm approach, similar to the statistical approach, the most significant feature was complex treatment regimens (Q11). Providing essential knowledge about ACL and treatment of patients with chronic diseases and patients with misconceptions about chemical drugs are important issues directly related to the disease's unresponsiveness. Furthermore, early detection of patients to prevent the long duration of the disease and the process of treatment, efforts to minimize side effects of treatment, induction of positive thinking, and giving hope to patients with stress and anxiety by medical staff, and family can help patients adhere to the treatment.</t>
  </si>
  <si>
    <t xml:space="preserve">Leishmaniasis</t>
  </si>
  <si>
    <t xml:space="preserve">INTERNATIONAL JOURNAL FOR PARASITOLOGY-DRUGS AND DRUG RESISTANCE</t>
  </si>
  <si>
    <t xml:space="preserve">Poor adherence; Cutaneous leishmaniasis; Major barrier; Treatment; Iran</t>
  </si>
  <si>
    <t xml:space="preserve">MALARIA TREATMENT; PATIENTS BELIEFS; CLINICAL-TRIALS; RESISTANCE</t>
  </si>
  <si>
    <t xml:space="preserve">[Afshari, Setareh Agha Kuchak] Kerman Univ Med Sci, Leishmaniasis Res Ctr, Kerman, Iran; [Karamoozian, Ali] Kerman Univ Med Sci, Med Mycol &amp; Bacteriol Res Ctr, Kerman, Iran; [Heshmatkhah, Amireh] Kerman Univ Med Sci, Inst Futures Studies Hlth, Res Ctr Modeling Hlth, Kerman, Iran; [Barghi, Maryam] Kerman Univ Med Sci, Dadbin Hlth Clin, Kerman, Iran; [Bamorovat, Mehdi; Sharifi, Iraj] Shiraz Univ, Fac Vet Med, Dept Biochem, Shiraz, Iran; [Bamorovat, Mehdi; Sharifi, Iraj] Kerman Univ Med Sci, Leishmaniasis Res Ctr, Sch Med, 22 Bahman Blvd, Kerman, Iran</t>
  </si>
  <si>
    <t xml:space="preserve">Kerman University of Medical Sciences; Kerman University of Medical Sciences; Kerman University of Medical Sciences; Kerman University of Medical Sciences; Shiraz University; Kerman University of Medical Sciences</t>
  </si>
  <si>
    <t xml:space="preserve">Bamorovat, M; Sharifi, I (corresponding author), Kerman Univ Med Sci, Leishmaniasis Res Ctr, Sch Med, 22 Bahman Blvd, Kerman, Iran.</t>
  </si>
  <si>
    <t xml:space="preserve">mehdimorovat@ymail.com; iraj.sharifi@yahoo.com</t>
  </si>
  <si>
    <t xml:space="preserve">Khosravi, Ahmad/AAA-5264-2019; Karamoozian, Ali/AAX-7523-2021; Bamorovat, Mehdi/AAD-3051-2021; afshari, setareh/AAE-1123-2019; Salarkia, Ehsan/ABH-1714-2021; Sharifi, Iraj/AAY-8267-2020</t>
  </si>
  <si>
    <t xml:space="preserve">Tahmouresi, Amirhossein/0000-0001-7052-4633; khosravi, ahmad/0000-0002-1182-0704; Sharifi, Iraj/0000-0002-6894-6834; Hakimi Parizi, Maraym/0000-0002-9565-1513</t>
  </si>
  <si>
    <t xml:space="preserve">2211-3207</t>
  </si>
  <si>
    <t xml:space="preserve">INT J PARASITOL-DRUG</t>
  </si>
  <si>
    <t xml:space="preserve">Int. J. Parasitol.-Drugs Drug Resist.</t>
  </si>
  <si>
    <t xml:space="preserve">10.1016/j.ijpddr.2022.11.006</t>
  </si>
  <si>
    <t xml:space="preserve">DEC 2022</t>
  </si>
  <si>
    <t xml:space="preserve">Parasitology; Pharmacology &amp; Pharmacy</t>
  </si>
  <si>
    <t xml:space="preserve">7F4HG</t>
  </si>
  <si>
    <t xml:space="preserve">WOS:000901810100002</t>
  </si>
  <si>
    <t xml:space="preserve">Phang, WK; Hamid, MHB; Jelip, J; Mudin, RNB; Chuang, TW; Lau, YL; Fong, MY</t>
  </si>
  <si>
    <t xml:space="preserve">Phang, Wei Kit; Hamid, Mohd Hafizi bin Abdul; Jelip, Jenarun; Mudin, Rose Nani binti; Chuang, Ting-Wu; Lau, Yee Ling; Fong, Mun Yik</t>
  </si>
  <si>
    <t xml:space="preserve">Predicting Plasmodium knowlesi transmission risk across Peninsular Malaysia using machine learning-based ecological niche modeling approaches</t>
  </si>
  <si>
    <t xml:space="preserve">The emergence of potentially life-threatening zoonotic malaria caused by Plasmodium knowlesi nearly two decades ago has continued to challenge Malaysia healthcare. With a total of 376 P. knowlesi infections notified in 2008, the number increased to 2,609 cases in 2020 nationwide. Numerous studies have been conducted in Malaysian Borneo to determine the association between environmental factors and knowlesi malaria transmission. However, there is still a lack of understanding of the environmental influence on knowlesi malaria transmission in Peninsular Malaysia. Therefore, our study aimed to investigate the ecological distribution of human P. knowlesi malaria in relation to environmental factors in Peninsular Malaysia. A total of 2,873 records of human P. knowlesi infections in Peninsular Malaysia from 1st January 2011 to 31st December 2019 were collated from the Ministry of Health Malaysia and geolocated. Three machine learning-based models, maximum entropy (MaxEnt), extreme gradient boosting (XGBoost), and ensemble modeling approach, were applied to predict the spatial variation of P. knowlesi disease risk. Multiple environmental parameters including climate factors, landscape characteristics, and anthropogenic factors were included as predictors in both predictive models. Subsequently, an ensemble model was developed based on the output of both MaxEnt and XGBoost. Comparison between models indicated that the XGBoost has higher performance as compared to MaxEnt and ensemble model, with AUC(ROC) values of 0.933 +/- 0.002 and 0.854 +/- 0.007 for train and test datasets, respectively. Key environmental covariates affecting human P. knowlesi occurrence were distance to the coastline, elevation, tree cover, annual precipitation, tree loss, and distance to the forest. Our models indicated that the disease risk areas were mainly distributed in low elevation (75-345 m above mean sea level) areas along the Titiwangsa mountain range and inland central-northern region of Peninsular Malaysia. The high-resolution risk map of human knowlesi malaria constructed in this study can be further utilized for multi-pronged interventions targeting community at-risk, macaque populations, and mosquito vectors.</t>
  </si>
  <si>
    <t xml:space="preserve">Malaysia, Taiwan</t>
  </si>
  <si>
    <t xml:space="preserve">- Maximum entropy (MaxEnt)
- Extreme gradient boosting (XGboost)
- Ensemble modeling approach</t>
  </si>
  <si>
    <t xml:space="preserve">Plasmodium knowlesi; Peninsular Malaysia; ecological niche modeling; XGBoost; ensemble modeling; maximum entropy</t>
  </si>
  <si>
    <t xml:space="preserve">MALARIA; SABAH; INFECTIONS; VECTORS</t>
  </si>
  <si>
    <t xml:space="preserve">[Phang, Wei Kit; Lau, Yee Ling; Fong, Mun Yik] Univ Malaya, Fac Med, Dept Parasitol, Kuala Lumpur, Malaysia; [Hamid, Mohd Hafizi bin Abdul; Jelip, Jenarun] Minist Hlth Malaysia, Dis Control Div, Putrajaya, Malaysia; [Mudin, Rose Nani binti] Minist Hlth Malaysia, Sabah State Hlth Dept, Kota Kinabalu, Sabah, Malaysia; [Chuang, Ting-Wu] Taipei Med Univ, Coll Med, Sch Med, Dept Mol Parasitol &amp; Trop Dis, Taipei, Taiwan</t>
  </si>
  <si>
    <t xml:space="preserve">Universiti Malaya; Kementerian Kesihatan Malaysia; Kementerian Kesihatan Malaysia; Taipei Medical University</t>
  </si>
  <si>
    <t xml:space="preserve">Chuang, TW (corresponding author), Taipei Med Univ, Coll Med, Sch Med, Dept Mol Parasitol &amp; Trop Dis, Taipei, Taiwan.</t>
  </si>
  <si>
    <t xml:space="preserve">chtingwu@tmu.edu.tw</t>
  </si>
  <si>
    <t xml:space="preserve">Lau, Yee Ling/C-6996-2009; FONG, MUN/B-5443-2010</t>
  </si>
  <si>
    <t xml:space="preserve">Ministry of Higher Education, Malaysia Long Term Research Grant Scheme [LRGS/1/2018/UM/01/1/1]; Ministry of Science and Technology, Taiwan [MOST108-2638-H-002-002-MY2]</t>
  </si>
  <si>
    <t xml:space="preserve">Ministry of Higher Education, Malaysia Long Term Research Grant Scheme; Ministry of Science and Technology, Taiwan(Ministry of Science and Technology, Taiwan)</t>
  </si>
  <si>
    <t xml:space="preserve">This study was supported by the Ministry of Higher Education, Malaysia Long Term Research Grant Scheme (LRGS/1/2018/UM/01/1/1) and the Ministry of Science and Technology, Taiwan (MOST108-2638-H-002-002-MY2).</t>
  </si>
  <si>
    <t xml:space="preserve">FEB 16</t>
  </si>
  <si>
    <t xml:space="preserve">10.3389/fmicb.2023.1126418</t>
  </si>
  <si>
    <t xml:space="preserve">9L8YV</t>
  </si>
  <si>
    <t xml:space="preserve">WOS:000941830800001</t>
  </si>
  <si>
    <t xml:space="preserve">Aris, TA; Nasir, ASA; Mustafa, WA; Mashor, MY; Haryanto, EV; Mohamed, Z</t>
  </si>
  <si>
    <t xml:space="preserve">Aris, Thaqifah Ahmad; Nasir, Aimi Salihah Abdul; Mustafa, Wan Azani; Mashor, Mohd Yusoff; Haryanto, Edy Victor; Mohamed, Zeehaida</t>
  </si>
  <si>
    <t xml:space="preserve">Robust Image Processing Framework for Intelligent Multi-Stage Malaria Parasite Recognition of Thick and Thin Smear Images</t>
  </si>
  <si>
    <t xml:space="preserve">Malaria is a pressing medical issue in tropical and subtropical regions. Currently, the manual microscopic examination remains the gold standard malaria diagnosis method. Nevertheless, this procedure required highly skilled lab technicians to prepare and examine the slides. Therefore, a framework encompassing image processing and machine learning is proposed due to inconsistencies in manual inspection, counting, and staging. Here, a standardized segmentation framework utilizing thresholding and clustering is developed to segment parasites' stages of P. falciparum and P. vivax species. Moreover, a multi-stage classifier is designed for recognizing parasite species and staging in both species. Experimental results indicate the effectiveness of segmenting thick smear images based on Phansalkar thresholding garnered an accuracy of 99.86%. The employment of variance and new transferring process for the clustered members, enhanced k-means (EKM) clustering has successfully segmented all malaria stages with accuracy and an F1-score of 99.20% and 0.9033, respectively. In addition, the accuracies of parasite detection, species recognition, and staging obtained through a random forest (RF) accounted for 86.89%, 98.82%, and 90.78%, respectively, simultaneously. The proposed framework enables versatile malaria parasite detection and staging with an interactive result, paving the path for future improvements by utilizing the proposed framework on all others malaria species.</t>
  </si>
  <si>
    <t xml:space="preserve">Malaysia, Indonesia</t>
  </si>
  <si>
    <t xml:space="preserve">Smear images</t>
  </si>
  <si>
    <t xml:space="preserve">plasmodium parasite; image segmentation; thresholding; clustering; species and staging; machine learning</t>
  </si>
  <si>
    <t xml:space="preserve">[Aris, Thaqifah Ahmad; Nasir, Aimi Salihah Abdul; Mustafa, Wan Azani] Univ Malaysia Perlis, Fac Elect Engn &amp; Technol, UniCITI Alam Campus, Sungai Chuchuh 02100, Padang Besar, Malaysia; [Mustafa, Wan Azani] Univ Malaysia Perlis, Ctr Excellence, Adv Comp AdvCOMP, Pauh Putra Campus, Arau 02600, Malaysia; [Mashor, Mohd Yusoff] Univ Malaysia Perlis, Fac Elect Engn &amp; Technol, Pauh Putra Campus, Arau 02600, Malaysia; [Haryanto, Edy Victor] Univ Potensi Utama, Fac Engn &amp; Comp Sci, Medan 20241, Indonesia; [Mohamed, Zeehaida] Univ Sains Malaysia, Sch Med Sci, Dept Med Microbiol &amp; Parasitol, Kubang Kerian 16150, Malaysia</t>
  </si>
  <si>
    <t xml:space="preserve">Universiti Malaysia Perlis; Universiti Malaysia Perlis; Universiti Malaysia Perlis; Universiti Sains Malaysia</t>
  </si>
  <si>
    <t xml:space="preserve">Mustafa, WA (corresponding author), Univ Malaysia Perlis, Fac Elect Engn &amp; Technol, UniCITI Alam Campus, Sungai Chuchuh 02100, Padang Besar, Malaysia.;Mustafa, WA (corresponding author), Univ Malaysia Perlis, Ctr Excellence, Adv Comp AdvCOMP, Pauh Putra Campus, Arau 02600, Malaysia.</t>
  </si>
  <si>
    <t xml:space="preserve">wanazani@unimap.edu.my</t>
  </si>
  <si>
    <t xml:space="preserve">NASIR, AIMI/AAG-1747-2021; Mustafa, Wan Azani/J-4603-2014; haryanto, edy victor/O-7884-2019</t>
  </si>
  <si>
    <t xml:space="preserve">Abdul Nasir, Aimi Salihah/0000-0001-9291-0228; Wan Mustafa, Wan Azani/0000-0001-7260-6085; haryanto, edy victor/0000-0001-8317-3545</t>
  </si>
  <si>
    <t xml:space="preserve">International Research Fund Grant Scheme (INTERES) [9008-00039]; Universiti Malaysia Perlis (UniMAP); Universitas Potensi Utama</t>
  </si>
  <si>
    <t xml:space="preserve">International Research Fund Grant Scheme (INTERES); Universiti Malaysia Perlis (UniMAP); Universitas Potensi Utama</t>
  </si>
  <si>
    <t xml:space="preserve">The author would like to acknowledge the support from the International Research Fund Grant Scheme (INTERES) under a grant number of 9008-00039 from the Universiti Malaysia Perlis (UniMAP) and Universitas Potensi Utama.</t>
  </si>
  <si>
    <t xml:space="preserve">10.3390/diagnostics13030511</t>
  </si>
  <si>
    <t xml:space="preserve">9A0WE</t>
  </si>
  <si>
    <t xml:space="preserve">WOS:000933786500001</t>
  </si>
  <si>
    <t xml:space="preserve">Jidling, C; Gedon, D; Schön, T; Oliveira, CD; Cardoso, CS; Ferreira, AM; Giatti, L; Barreto, SM; Sabino, EC; Ribeiro, ALP; Ribeiro, AH</t>
  </si>
  <si>
    <t xml:space="preserve">Jidling, Carl; Gedon, Daniel; Schon, Thomas; Oliveira, Claudia Di Lorenzo; Cardoso, Clareci Silva C.; Ferreira, Ariela Mota; Giatti, Luana; Barreto, Sandhi Maria; Sabino, Ester; Ribeiro, Antonio L. P.; Ribeiro, Antonio H.</t>
  </si>
  <si>
    <t xml:space="preserve">Screening for Chagas disease from the electrocardiogram using a deep neural network</t>
  </si>
  <si>
    <t xml:space="preserve">Author summaryChagas disease (ChD) is a neglected tropical disease, and the diagnosis relies on blood testing of patients from endemic areas. However, there is no clear recommendation on how to select patients for testing in endemic regions. Since most cases of Chronic ChD are asymptomatic, the diagnostic rates are low, preventing patients from receiving adequate treatment.The Electrocardiogram (ECG) is a widely available, low-cost exam, often available in primary care settings. We present an Artificial intelligence (AI) model for automatically detecting ChD from the ECG. AI algorithms have allowed the detection of hidden conditions on the ECG and, to the best of our knowledge, this is the first study that does it for ChD. We utilize large cohorts of patients from the relevant population of all-comers in affected regions in Brazil to develop a model for ChD detection that is then validated on datasets with ground truth labels obtained directly from the patients' serological status.Our findings demonstrate a promising AI-ECG-based model for discriminating patients with chronic Chagas cardiomyopathy (CCC). The capacity of detecting ChD patients without CCC is still limited. But we believe this can be improved with the addition of epidemiological questions, and that such models can become useful tools for pre-selecting patients for further testing. BackgroundWorldwide, it is estimated that over 6 million people are infected with Chagas disease (ChD). It is a neglected disease that can lead to severe heart conditions in its chronic phase. While early treatment can avoid complications, the early-stage detection rate is low. We explore the use of deep neural networks to detect ChD from electrocardiograms (ECGs) to aid in the early detection of the disease. MethodsWe employ a convolutional neural network model that uses 12-lead ECG data to compute the probability of a ChD diagnosis. Our model is developed using two datasets which jointly comprise over two million entries from Brazilian patients: The SaMi-Trop study focusing on ChD patients, enriched with data from the CODE study from the general population. The model's performance is evaluated on two external datasets: the REDS-II, a study focused on ChD with 631 patients, and the ELSA-Brasil study, with 13,739 civil servant patients. FindingsEvaluating our model, we obtain an AUC-ROC of 0.80 (CI 95% 0.79-0.82) for the validation set (samples from CODE and SaMi-Trop), and in external validation datasets: 0.68 (CI 95% 0.63-0.71) for REDS-II and 0.59 (CI 95% 0.56-0.63) for ELSA-Brasil. In the latter, we report a sensitivity of 0.52 (CI 95% 0.47-0.57) and 0.36 (CI 95% 0.30-0.42) and a specificity of 0.77 (CI 95% 0.72-0.81) and 0.76 (CI 95% 0.75-0.77), respectively. Additionally, when considering only patients with Chagas cardiomyopathy as positive, the model achieved an AUC-ROC of 0.82 (CI 95% 0.77-0.86) for REDS-II and 0.77 (CI 95% 0.68-0.85) for ELSA-Brasil. InterpretationThe neural network detects chronic Chagas cardiomyopathy (CCC) from ECG-with weaker performance for early-stage cases. Future work should focus on curating large higher-quality datasets. The CODE dataset, our largest development dataset includes self-reported and therefore less reliable labels, limiting performance for non-CCC patients. Our findings can improve ChD detection and treatment, particularly in high-prevalence areas.</t>
  </si>
  <si>
    <t xml:space="preserve">Sweden, Brazil, </t>
  </si>
  <si>
    <t xml:space="preserve">Convolutional neural network</t>
  </si>
  <si>
    <t xml:space="preserve">CARDIOMYOPATHY; ABNORMALITIES; BENZNIDAZOLE; DYSFUNCTION; RISK</t>
  </si>
  <si>
    <t xml:space="preserve">[Jidling, Carl; Gedon, Daniel; Schon, Thomas; Ribeiro, Antonio H.] Uppsala Univ, Dept Informat Technol, Uppsala, Sweden; [Oliveira, Claudia Di Lorenzo; Cardoso, Clareci Silva C.] Univ Fed Sao Joao Rei, Sch Med, Prevent Med, Divinopolis, Brazil; [Ferreira, Ariela Mota] Univ Estadual Montes Claros, Grad Program Hlth Sci, Montes Claros, Brazil; [Giatti, Luana; Barreto, Sandhi Maria] Univ Fed Minas Gerais, Clin Hosp, Sch Med, Prevent Med,EBSERH, Belo Horizonte, Brazil; [Sabino, Ester] Univ Sao Paulo, Inst Med Trop, Fac Med, Sao Paulo, Brazil; [Ribeiro, Antonio L. P.] Univ Fed Minas Gerais, Hosp Clin, Fac Med, Telehlth Ctr,Dept Internal Med, Belo Horizonte, Brazil</t>
  </si>
  <si>
    <t xml:space="preserve">Uppsala University; Universidade Federal de Sao Joao del-Rei; Universidade Estadual de Montes Claros; Universidade Federal de Minas Gerais; Universidade de Sao Paulo; Universidade Federal de Minas Gerais</t>
  </si>
  <si>
    <t xml:space="preserve">Ribeiro, AH (corresponding author), Uppsala Univ, Dept Informat Technol, Uppsala, Sweden.</t>
  </si>
  <si>
    <t xml:space="preserve">antonio.horta.ribeiro@it.uu.se</t>
  </si>
  <si>
    <t xml:space="preserve">Oliveira, Claudia/O-2326-2019; Barreto, Sandhi/A-5140-2012; Cardoso, Clareci/E-8549-2015; Ribeiro, Antonio/C-2707-2009; Schon, Thomas/D-4169-2009; Horta Ribeiro, Antonio/AAE-1948-2019; Barreto, Sandhi/D-2855-2014</t>
  </si>
  <si>
    <t xml:space="preserve">Ribeiro, Antonio/0000-0002-2740-0042; Silva Cardoso, Clareci/0000-0003-0689-1644; Schon, Thomas/0000-0001-5183-234X; Horta Ribeiro, Antonio/0000-0003-3632-8529; Barreto, Sandhi/0000-0001-7383-7811; Gedon, Daniel/0000-0003-4397-9952</t>
  </si>
  <si>
    <t xml:space="preserve">Wallenberg AI, Autonomous Systems and Software Program (WASP) - Knut and Alice Wallenberg Foundation; Kjell och Marta Beijer Foundation; CNPq [01060071.00RJ, P50 AI098461-02, U19AI098461-06]; FAPEMIG [1U01AI168383-01]; Brazilian Ministries of Health and of Science and Technology; National Institutes of Health; [465518/2014-1]; [310790/2021-2]; [409604/2022-4]; [PPM-00428-17]; [RED-00081-16]; [PPE-00030-21]; [01060010.00RS]; [01060212.00BA]; [01060300.00ES]; [01060278.00MG]; [01060115.00SP]</t>
  </si>
  <si>
    <t xml:space="preserve">Wallenberg AI, Autonomous Systems and Software Program (WASP) - Knut and Alice Wallenberg Foundation; Kjell och Marta Beijer Foundation; CNPq(Conselho Nacional de Desenvolvimento Cientifico e Tecnologico (CNPQ)); FAPEMIG(Fundacao de Amparo a Pesquisa do Estado de Minas Gerais (FAPEMIG)); Brazilian Ministries of Health and of Science and Technology; National Institutes of Health(United States Department of Health &amp; Human ServicesNational Institutes of Health (NIH) - USA); ; ; ; ; ; ; ; ; ; ;</t>
  </si>
  <si>
    <t xml:space="preserve">CJ, DG, TBS and AHR are financially supported by the Wallenberg AI, Autonomous Systems and Software Program (WASP) funded by Knut and Alice Wallenberg Foundation, and by the Kjell och Marta Beijer Foundation. ALPR is supported in part by CNPq (465518/2014-1, 310790/2021-2 and 409604/2022-4) and by FAPEMIG (PPM-00428-17, RED-00081-16 and PPE-00030-21). LG, SMB and the ELSA-Brasil study were supported by the Brazilian Ministries of Health and of Science and Technology (grants 01060010.00RS, 01060212.00BA, 01060300.00ES, 01060278.00MG, 01060115.00SP, and 01060071.00RJ). ECS, ALPR, CSC, CLO, AMF and the SaMi-Trop and REDS-II cohort studies were supported by the National Institutes of Health (P50 AI098461-02, U19AI098461-06, 1U01AI168383-01). LG, SMB, ECS and ALPR receive unrestricted research scholarships from CNPq; The funders had no role in the study design; collection, analysis, and interpretation of data; writing of the report; or decision to submit the paper for publication.</t>
  </si>
  <si>
    <t xml:space="preserve">e0011118</t>
  </si>
  <si>
    <t xml:space="preserve">10.1371/journal.pntd.0011118</t>
  </si>
  <si>
    <t xml:space="preserve">L7XP0</t>
  </si>
  <si>
    <t xml:space="preserve">WOS:001025356500002</t>
  </si>
  <si>
    <t xml:space="preserve">Asadgol, Z; Badirzadeh, A; Mirahmadi, H; Safari, H; Mohammadi, H; Gholami, M</t>
  </si>
  <si>
    <t xml:space="preserve">Asadgol, Zahra; Badirzadeh, Alireza; Mirahmadi, Hadi; Safari, Hossein; Mohammadi, Hamed; Gholami, Mitra</t>
  </si>
  <si>
    <t xml:space="preserve">Simulation of the potential impact of climate change on malaria incidence using artificial neural networks (ANNs)</t>
  </si>
  <si>
    <t xml:space="preserve">Climate change can increase the spread of infectious diseases and public health concerns. Malaria is one of the endemic infectious diseases of Iran, whose transmission is strongly influenced by climatic conditions. The effect of climate change on malaria in the southeastern Iran from 2021 to 2050 was simulated by using artificial neural networks (ANNs). Gamma test (GT) and general circulation models (GCMs) were used to determine the best delay time and to generate the future climate model under two distinct scenarios (RCP2.6 and RCP8.5). To simulate the various impacts of climate change on malaria infection, ANNs were applied using daily collected data for 12 years (from 2003 to 2014). The future climate of the study area will be hotter by 2050. The simulation of malaria cases elucidated that there is an intense increasing trend in malaria cases under the RCP8.5 scenario until 2050, with the highest number of infections occurring in the warmer months. Rainfall and maximum temperature were identified as the most influential input variables. Optimum temperatures and increased rainfall provide a suitable environment for the transmission of parasites and cause an intense increase in the number of infection cases with a delay of approximately 90 days. ANNs were introduced as a practical tool for simulating the impact of climate change on the prevalence, geographic distribution, and biological activity of malaria and for estimating the future trend of the disease in order to adopt protective measures in endemic areas.</t>
  </si>
  <si>
    <t xml:space="preserve">- Health records
- Mateorological data</t>
  </si>
  <si>
    <t xml:space="preserve">Artificial Neural Networks (ANNs)</t>
  </si>
  <si>
    <t xml:space="preserve">Climate change; Malaria; Simulation; ANNs; Iran; GCMs</t>
  </si>
  <si>
    <t xml:space="preserve">CHOLERA; PREDICTION; TRANSMISSION; EPIDEMIOLOGY; RAINFALL; BALUCHISTAN; SUITABILITY; RESURGENCE; HIGHLANDS; PROVINCE</t>
  </si>
  <si>
    <t xml:space="preserve">[Asadgol, Zahra] Iran Univ Med Sci, Hlth Deputy, Tehran, Iran; [Badirzadeh, Alireza] Iran Univ Med Sci, Sch Med, Dept Parasitol &amp; Mycol, Tehran, Iran; [Mirahmadi, Hadi] Zahedan Univ Med Sci, Clin Immunol Res Ctr, Zahedan, Iran; [Mirahmadi, Hadi] Zahedan Univ Med Sci, Fac Med, Dept Parasitol &amp; Mycol, Zahedan, Iran; [Safari, Hossein] Iran Univ Med Sci, Hlth Promot Res Ctr, Tehran, Iran; [Mohammadi, Hamed] Zanjan Univ Med Sci, Sch Publ Hlth, Dept Environm Hlth Engn, Zanjan, Iran; [Gholami, Mitra] Iran Univ Med Sci, Res Ctr Environm Hlth Technol, Tehran, Iran; [Gholami, Mitra] Iran Univ Med Sci, Sch Publ Hlth, Dept Environm Hlth Engn, Tehran, Iran</t>
  </si>
  <si>
    <t xml:space="preserve">Iran University of Medical Sciences; Iran University of Medical Sciences; Zahedan University of Medical Sciences; Zahedan University of Medical Sciences; Iran University of Medical Sciences; Iran University of Medical Sciences; Iran University of Medical Sciences</t>
  </si>
  <si>
    <t xml:space="preserve">Gholami, M (corresponding author), Iran Univ Med Sci, Res Ctr Environm Hlth Technol, Tehran, Iran.;Gholami, M (corresponding author), Iran Univ Med Sci, Sch Publ Hlth, Dept Environm Hlth Engn, Tehran, Iran.</t>
  </si>
  <si>
    <t xml:space="preserve">gholamim@iums.ac.ir</t>
  </si>
  <si>
    <t xml:space="preserve">Safari, Hossein/F-2755-2018; azari, ali/AAA-2177-2019; Mohammadi, Hemed/D-9669-2017</t>
  </si>
  <si>
    <t xml:space="preserve">azari, ali/0000-0002-6004-6954; Mohammadi, Hemed/0000-0002-6472-7167</t>
  </si>
  <si>
    <t xml:space="preserve">National Institute for Medical Research Development (NIMAD) in Iran [988150]</t>
  </si>
  <si>
    <t xml:space="preserve">National Institute for Medical Research Development (NIMAD) in Iran(Nimad National Institute for Medical Research Development)</t>
  </si>
  <si>
    <t xml:space="preserve">This research was financially supported by the National Institute for Medical Research Development (NIMAD) in Iran (grant number: 988150; ethical code: IR.NIMAD.REC.1398.365 to Prof. Mitra Gholami).</t>
  </si>
  <si>
    <t xml:space="preserve">10.1007/s11356-023-27374-7</t>
  </si>
  <si>
    <t xml:space="preserve">J9BC2</t>
  </si>
  <si>
    <t xml:space="preserve">WOS:000994162000004</t>
  </si>
  <si>
    <t xml:space="preserve">Kittichai, V; Kaewthamasorn, M; Thanee, S; Sasisaowapak, T; Naing, KM; Jomtarak, R; Tongloy, T; Chuwongin, S; Boonsang, S</t>
  </si>
  <si>
    <t xml:space="preserve">Kittichai, Veerayuth; Kaewthamasorn, Morakot; Thanee, Suchansa; Sasisaowapak, Thanyathep; Naing, Kaung Myat; Jomtarak, Rangsan; Tongloy, Teerawat; Chuwongin, Santhad; Boonsang, Siridech</t>
  </si>
  <si>
    <t xml:space="preserve">Superior Auto-Identification of Trypanosome Parasites by Using a Hybrid Deep-Learning Model</t>
  </si>
  <si>
    <t xml:space="preserve">Trypanosomiasis is a significant public health problem in several regions across the world, including South Asia and Southeast Asia. The identification of hotspot areas under active surveillance is a fundamental procedure for controlling disease transmission. Microscopic examination is a commonly used diagnostic method. It is, nevertheless, primarily reliant on skilled and experienced personnel. To address this issue, an artificial intelligence (AI) program was introduced that makes use of a hybrid deep learning technique of object identification and object classification neural network backbones on the in-house low-code AI platform (CiRA CORE). The program can identify and classify the protozoan trypanosome species, namely Trypanosoma cruzi, T. brucei, and T. evansi, from oil-immersion microscopic images. The AI program utilizes pattern recognition to observe and analyze multiple protozoa within a single blood sample and highlights the nucleus and kinetoplast of each parasite as specific characteristic features using an attention map. To assess the AI program's performance, two unique modules are created that provide a variety of statistical measures such as accuracy, recall, specificity, precision, F1 score, misclassification rate, receiver operating characteristics (ROC) curves, and precision versus recall (PR) curves. The assessment findings show that the AI algorithm is effective at identifying and categorizing parasites. By delivering a speedy, automated, and accurate screening tool, this technology has the potential to transform disease surveillance and control. It could also assist local officials in making more informed decisions on disease transmission-blocking strategies.</t>
  </si>
  <si>
    <t xml:space="preserve">Trypanosomiasis</t>
  </si>
  <si>
    <t xml:space="preserve">JOVE-JOURNAL OF VISUALIZED EXPERIMENTS</t>
  </si>
  <si>
    <t xml:space="preserve">JOURNAL OF VISUALIZED EXPERIMENTS</t>
  </si>
  <si>
    <t xml:space="preserve">EVANSI; INFECTION; INDIA</t>
  </si>
  <si>
    <t xml:space="preserve">[Kittichai, Veerayuth] King Mongkuts Inst Technol Ladkrabang, Fac Engn, Ladkrabang, Thailand; [Kaewthamasorn, Morakot; Thanee, Suchansa] Chulalongkorn Univ, Fac Vet Sci, Vet Parasitol Res Unit, Bangkok, Thailand; [Sasisaowapak, Thanyathep; Naing, Kaung Myat; Tongloy, Teerawat; Chuwongin, Santhad] King Mongkuts Inst Technol Ladkrabang, Coll Adv Mfg Innovat, Bangkok, Thailand; [Jomtarak, Rangsan] Suan Dusit Univ, Fac Sci &amp; Technol, Bangkok, Thailand; [Boonsang, Siridech] King Mongkuts Inst Technol Ladkrabang, Sch Engn, Dept Elect Engn, Bangkok, Thailand</t>
  </si>
  <si>
    <t xml:space="preserve">King Mongkuts Institute of Technology Ladkrabang; Chulalongkorn University; King Mongkuts Institute of Technology Ladkrabang; Suan Dusit University; King Mongkuts Institute of Technology Ladkrabang</t>
  </si>
  <si>
    <t xml:space="preserve">Kittichai, V (corresponding author), King Mongkuts Inst Technol Ladkrabang, Fac Engn, Ladkrabang, Thailand.;Boonsang, S (corresponding author), King Mongkuts Inst Technol Ladkrabang, Sch Engn, Dept Elect Engn, Bangkok, Thailand.</t>
  </si>
  <si>
    <t xml:space="preserve">Veerayuth.ki@kmitl.ac.th; siridech.bo@kmitl.ac.th</t>
  </si>
  <si>
    <t xml:space="preserve">Naing, Kaung Myat/HHN-3988-2022; Kaewthamasorn, Morakot/HMV-3460-2023; Kittichai, Veerayuth/ABD-4767-2021; Boonsang, Siridech/P-8809-2019</t>
  </si>
  <si>
    <t xml:space="preserve">Kaewthamasorn, Morakot/0000-0003-3072-8708; Boonsang, Siridech/0000-0003-2866-8902; Naing, Kaung Myat/0000-0002-8067-4114</t>
  </si>
  <si>
    <t xml:space="preserve">Office of the Permanent Secretary, Ministry of Higher Education, Science, Research and Innovation (OPS MHESI) , Thailand Science Research and Innovation (TSRI) [RGNS 65-212]; King Mongkut's Institute of Technology Ladkrabang; National Research Council of Thailand (NRCT) [NRCT5-RSA63001-10]; Thailand Science Research and Innovation Fund Chulalongkorn University; College of Advanced Manufacturing Innovation, King Mongkut's Institute of Technology, Ladkrabang</t>
  </si>
  <si>
    <t xml:space="preserve">Office of the Permanent Secretary, Ministry of Higher Education, Science, Research and Innovation (OPS MHESI) , Thailand Science Research and Innovation (TSRI); King Mongkut's Institute of Technology Ladkrabang; National Research Council of Thailand (NRCT)(National Research Council of Thailand (NRCT)); Thailand Science Research and Innovation Fund Chulalongkorn University; College of Advanced Manufacturing Innovation, King Mongkut's Institute of Technology, Ladkrabang</t>
  </si>
  <si>
    <t xml:space="preserve">This work (Research grant for New Scholar, Grant No. RGNS 65-212) was financially supported by the Office of the Permanent Secretary, Ministry of Higher Education, Science, Research and Innovation (OPS MHESI) , Thailand Science Research and Innovation (TSRI) and King Mongkut's Institute of Technology Ladkrabang. We are grateful to the National Research Council of Thailand (NRCT) [NRCT5-RSA63001-10] for funding the research project. M.K. was funded by Thailand Science Research and Innovation Fund Chulalongkorn University. We also thank the College of Advanced Manufacturing Innovation, King Mongkut's Institute of Technology, Ladkrabang who have provided the deep learning platform and software to support the research project.</t>
  </si>
  <si>
    <t xml:space="preserve">1 ALEWIFE CENTER, STE 200, CAMBRIDGE, MA 02140 USA</t>
  </si>
  <si>
    <t xml:space="preserve">1940-087X</t>
  </si>
  <si>
    <t xml:space="preserve">JOVE-J VIS EXP</t>
  </si>
  <si>
    <t xml:space="preserve">J. Vis. Exp.</t>
  </si>
  <si>
    <t xml:space="preserve">e65557</t>
  </si>
  <si>
    <t xml:space="preserve">10.3791/65557</t>
  </si>
  <si>
    <t xml:space="preserve">CL2T1</t>
  </si>
  <si>
    <t xml:space="preserve">WOS:001125348400015</t>
  </si>
  <si>
    <t xml:space="preserve">Veettil, TCP; Duffin, RN; Roy, S; Vongsvivut, J; Tobin, MJ; Martin, M; Adegoke, JA; Andrews, PC; Wood, BR</t>
  </si>
  <si>
    <t xml:space="preserve">Veettil, Thulya Chakkumpulakkal Puthan; Duffin, Rebekah N.; Roy, Supti; Vongsvivut, Jitraporn; Tobin, Mark J.; Martin, Miguela; Adegoke, John A.; Andrews, Philip C.; Wood, Bayden R.</t>
  </si>
  <si>
    <t xml:space="preserve">Synchrotron-Infrared Microspectroscopy of Live Leishmania major Infected Macrophages and Isolated Promastigotes and Amastigotes</t>
  </si>
  <si>
    <t xml:space="preserve">The prevalence of neglected tropical diseases (NTDs) is advancing at an alarming rate. The NTD leishmaniasis is now endemic in over 90 tropical and sub-tropical low socioeconomic countries. Current diagnosis for this disease involves serological assessment of infected tissue by either light microscopy, antibody tests, or culturing with in vitro or in vivo animal inoculation. Furthermore, co-infection by other pathogens can make it difficult to accurately determine Leishmania infection with light microscopy. Herein, for the first time, we demonstrate the potential of combining synchrotron Fourier transform infrared (FTIR) microspectroscopy with powerful discrimination tools, such as partial least squares-discriminant analysis (PLS-DA), support vector machine-discriminant analysis (SVM-DA), and k-nearest neighbors (KNN), to characterize the parasitic forms of Leishmania major both isolated and within infected macrophages. For measurements performed on functional infected and uninfected macrophages in physiological solutions, the sensitivities from PLS-DA, SVM-DA, and KNN classification methods were found to be 0.923, 0.981, and 0.989, while the specificities were 0.897, 1.00, and 0.975, respectively. Cross-validated PLS-DA models on live amastigotes and promastigotes showed a sensitivity and specificity of 0.98 in the lipid region, while a specificity and sensitivity of 1.00 was achieved in the fingerprint region. The study demonstrates the potential of the FTIR technique to identify unique diagnostic bands and utilize them to generate machine learning models to predict Leishmania infection. For the first time, we examine the potential of infrared spectroscopy to study the molecular structure of parasitic forms in their native aqueous functional state, laying the groundwork for future clinical studies using more portable devices.</t>
  </si>
  <si>
    <t xml:space="preserve">ANALYTICAL CHEMISTRY</t>
  </si>
  <si>
    <t xml:space="preserve">MALARIA PARASITEMIA; SPECTROSCOPY; DIAGNOSIS; QUANTIFICATION; IDENTIFICATION; ERYTHROCYTES</t>
  </si>
  <si>
    <t xml:space="preserve">[Duffin, Rebekah N.; Martin, Miguela; Adegoke, John A.; Andrews, Philip C.] Monash Univ, Fac Sci, Sch Chem, Clayton, VIC 3800, Australia; [Veettil, Thulya Chakkumpulakkal Puthan; Roy, Supti; Wood, Bayden R.] Monash Univ, Fac Sci, Ctr Biospect, Sch Chem, Clayton, VIC 3800, Australia; [Vongsvivut, Jitraporn; Tobin, Mark J.] Australian Synchrotron, Clayton, VIC 3168, Australia</t>
  </si>
  <si>
    <t xml:space="preserve">Monash University; Monash University; Australian Synchrotron</t>
  </si>
  <si>
    <t xml:space="preserve">Andrews, PC (corresponding author), Monash Univ, Fac Sci, Sch Chem, Clayton, VIC 3800, Australia.;Wood, BR (corresponding author), Monash Univ, Fac Sci, Ctr Biospect, Sch Chem, Clayton, VIC 3800, Australia.</t>
  </si>
  <si>
    <t xml:space="preserve">phil.andrews@monash.edu; bayden.wood@monash.edu</t>
  </si>
  <si>
    <t xml:space="preserve">Adegoke, John/LTD-9434-2024; Tobin, Mark/B-8208-2015; chakkunpulakkal puthan veettil, thulya/AAO-1910-2021; Wood, Bayden/E-4984-2011</t>
  </si>
  <si>
    <t xml:space="preserve">Vongsvivut, Jitraporn/0000-0003-0699-3464; Andrews, Phil/0000-0002-3971-7311; Wood, Bayden/0000-0003-3581-447X; chakkumpulakkal Puthanveettil, Thulya/0000-0002-6234-754X</t>
  </si>
  <si>
    <t xml:space="preserve">Australian Research Council (ARC) [DP180103484]; Monash University-University of Bat h global PhD programme; Australian Institute of Nuclear Science and Engineering (AINSE); ANSTO-Australian Government</t>
  </si>
  <si>
    <t xml:space="preserve">Australian Research Council (ARC)(Australian Research Council); Monash University-University of Bat h global PhD programme; Australian Institute of Nuclear Science and Engineering (AINSE); ANSTO-Australian Government</t>
  </si>
  <si>
    <t xml:space="preserve">We acknowledge the support of the beamtime provided by ANSTO, funded by the Australian Government. This work was funded by an Australian Research Council (ARC) Discovery Project Grant DP180103484. Thulya's research was supported by the Monash University-University of Bat h global PhD programme. Furthermore, Thulya would like to acknowledge the Australian Institute of Nuclear Science and Engineering (AINSE)'s postgraduate research award (PGRA) 2021.</t>
  </si>
  <si>
    <t xml:space="preserve">0003-2700</t>
  </si>
  <si>
    <t xml:space="preserve">1520-6882</t>
  </si>
  <si>
    <t xml:space="preserve">ANAL CHEM</t>
  </si>
  <si>
    <t xml:space="preserve">10.1021/acs.analchem.2c04004</t>
  </si>
  <si>
    <t xml:space="preserve">C5ZK3</t>
  </si>
  <si>
    <t xml:space="preserve">WOS:000933949200001</t>
  </si>
  <si>
    <t xml:space="preserve">Shewajo, FA; Fante, KA</t>
  </si>
  <si>
    <t xml:space="preserve">Shewajo, Fetulhak Abdurahman; Fante, Kinde Anlay</t>
  </si>
  <si>
    <t xml:space="preserve">Tile-based microscopic image processing for malaria screening using a deep learning approach</t>
  </si>
  <si>
    <t xml:space="preserve">BackgroundManual microscopic examination remains the golden standard for malaria diagnosis. But it is laborious, and pathologists with experience are needed for accurate diagnosis. The need for computer-aided diagnosis methods is driven by the enormous workload and difficulties associated with manual microscopy based examination. While the importance of computer-aided diagnosis is increasing at an enormous pace, fostered by the advancement of deep learning algorithms, there are still challenges in detecting small objects such as malaria parasites in microscopic images of blood films. The state-of-the-art (SOTA) deep learning-based object detection models are inefficient in detecting small objects accurately because they are underrepresented on benchmark datasets. The performance of these models is affected by the loss of detailed spatial information due to in-network feature map downscaling. This is due to the fact that the SOTA models cannot directly process high-resolution images due to their low-resolution network input layer.MethodsIn this study, an efficient and robust tile-based image processing method is proposed to enhance the performance of malaria parasites detection SOTA models. Three variants of YOLOV4-based object detectors are adopted considering their detection accuracy and speed. These models were trained using tiles generated from 1780 high-resolution P. falciparum-infected thick smear microscopic images. The tiling of high-resolution images improves the performance of the object detection models. The detection accuracy and the generalization capability of these models have been evaluated using three datasets acquired from different regions.ResultsThe best-performing model using the proposed tile-based approach outperforms the baseline method significantly (Recall, [95.3%] vs [57%] and Average Precision, [87.1%] vs [76%]). Furthermore, the proposed method has outperformed the existing approaches that used different machine learning techniques evaluated on similar datasets.ConclusionsThe experimental results show that the proposed method significantly improves P. falciparum detection from thick smear microscopic images while maintaining real-time detection speed. Furthermore, the proposed method has the potential to assist and reduce the workload of laboratory technicians in malaria-endemic remote areas of developing countries where there is a critical skill gap and a shortage of experts.</t>
  </si>
  <si>
    <t xml:space="preserve">- Bangladesh
- Uganda (External dataset)</t>
  </si>
  <si>
    <t xml:space="preserve">Microscopic images</t>
  </si>
  <si>
    <t xml:space="preserve">YOLOv4</t>
  </si>
  <si>
    <t xml:space="preserve">Deep learning; Malaria; Object detection; Plasmodium falciparum; Thick smear microscopic image; Tile-based image processing; YOLOV4</t>
  </si>
  <si>
    <t xml:space="preserve">[Shewajo, Fetulhak Abdurahman; Fante, Kinde Anlay] Jimma Univ, Fac Elect &amp; Comp Engn, Jimma 378, Ethiopia</t>
  </si>
  <si>
    <t xml:space="preserve">Jimma University</t>
  </si>
  <si>
    <t xml:space="preserve">Shewajo, FA (corresponding author), Jimma Univ, Fac Elect &amp; Comp Engn, Jimma 378, Ethiopia.</t>
  </si>
  <si>
    <t xml:space="preserve">afetulhak@yahoo.com</t>
  </si>
  <si>
    <t xml:space="preserve">Fante, Kinde/ABE-3463-2021</t>
  </si>
  <si>
    <t xml:space="preserve">Fante, Kinde Anlay/0000-0003-2029-8214</t>
  </si>
  <si>
    <t xml:space="preserve">MAR 22</t>
  </si>
  <si>
    <t xml:space="preserve">10.1186/s12880-023-00993-9</t>
  </si>
  <si>
    <t xml:space="preserve">9Z7ML</t>
  </si>
  <si>
    <t xml:space="preserve">WOS:000951321300001</t>
  </si>
  <si>
    <t xml:space="preserve">Liang, L; Sun, BL</t>
  </si>
  <si>
    <t xml:space="preserve">Liang, Liang; Sun, Bill</t>
  </si>
  <si>
    <t xml:space="preserve">Towards an adversarially robust convolutional neural network for automated diagnosis of malaria infection from microscopy images</t>
  </si>
  <si>
    <t xml:space="preserve">Malaria is a life-threatening mosquito-borne disease of global importance, and it is most prevalent in the lowincome countries of the developing world. The diagnosis of malaria infection is conventionally performed by laboratorians through visual examination of blood smear images under a microscope. However, the results of such diagnostic testing depend on the laboratory technicians' experience with staining and image interpretation, which can be severely lacking in low-resource settings. Convolutional neural networks (CNNs) have great potential for automated malaria diagnosis from images without the need of human expert interaction. However, studies have shown that current CNNs are not robust to adversarial noises which are small input perturbations that cause CNNs to incorrectly classify medical images. In this study, we developed a CNN for malaria parasite identification and evaluated it on a dataset of 27,558 cell images through patient-level cross validation. To improve robustness against adversarial noises for this application, the structure of the CNN was specially designed to limit the receptive field of the output, and adversarial training was applied with gradually increasing level of noises. Compared to three baseline networks (ResNet-18, MobileNet, and MnasNet) and two variants of the CNN, our custom-designed CNN achieved a substantially lower computation cost and better adversarial robustness against PGD-generated adversarial noises on the malaria image dataset. Our study holds the promise of developing a robust and affordable solution for automated diagnosis of malarial infection.</t>
  </si>
  <si>
    <t xml:space="preserve">Convolutional neural network; Adversarial attack; Malarial infection diagnosis</t>
  </si>
  <si>
    <t xml:space="preserve">[Liang, Liang] Univ Miami, Dept Comp Sci, Coral Gables, FL USA; [Sun, Bill] Columbia Univ, Dept Comp Sci, New York, NY USA; [Liang, Liang] Univ Miami, Dept Comp Sci, Coral Gables, FL 33146 USA</t>
  </si>
  <si>
    <t xml:space="preserve">University of Miami; Columbia University; University of Miami</t>
  </si>
  <si>
    <t xml:space="preserve">Liang, L (corresponding author), Univ Miami, Dept Comp Sci, Coral Gables, FL 33146 USA.</t>
  </si>
  <si>
    <t xml:space="preserve">liang@cs.miami.edu</t>
  </si>
  <si>
    <t xml:space="preserve">10.1016/j.bspc.2023.105362</t>
  </si>
  <si>
    <t xml:space="preserve">Q6WK5</t>
  </si>
  <si>
    <t xml:space="preserve">WOS:001058906200001</t>
  </si>
  <si>
    <t xml:space="preserve">C</t>
  </si>
  <si>
    <t xml:space="preserve">Yenegeta, B; Assabie, Y</t>
  </si>
  <si>
    <t xml:space="preserve">Yenegeta, Belesti; Assabie, Yaregal</t>
  </si>
  <si>
    <t xml:space="preserve">TrachomaNet: Detection and grading of trachoma using texture feature based deep convolutional neural network</t>
  </si>
  <si>
    <t xml:space="preserve">Trachoma is the leading bacterial infectious cause of blindness worldwide. Examination for clinical signs of trachoma involves careful inspection of the lashes, cornea, eversion of the upper lid, and the tarsal conjunctiva. In this paper, we present a system for automatic detection and grading of trachoma using deep convolutional network. Salient texture features that account for the symptom of the disease are extracted from the eye image using Gabor filters. Then, a texture feature based deep convolutional neural network is used for classification. A 4-way Softmax is used for grading into a specific class (normal, trachomatous scarring, trachomatous trichiasis, and corneal opacity). Although deep learning systems are known to extract and learn features from raw image, we also show that extracting characteristic features still improves the learning capability of deep learning systems. Our model is found to be faster to train and has smaller model size as compared to state-of-the-art models such as AlexNet and GoogLeNet. Furthermore, the model achieved a diagnosis accuracy of 97.9% for detecting and grading trachoma, which improves the accuracies obtained by AlexNet and GoogLeNet by 10% and 3%, respectively.</t>
  </si>
  <si>
    <t xml:space="preserve">Deep learning; Feature learning; Gabor filter; Segmentation; Trachoma</t>
  </si>
  <si>
    <t xml:space="preserve">[Yenegeta, Belesti] Debre Berhan Univ, Dept Software Engn, Debre Berhan, Ethiopia; [Assabie, Yaregal] Addis Ababa Univ, Dept Comp Sci, Addis Ababa, Ethiopia</t>
  </si>
  <si>
    <t xml:space="preserve">Yenegeta, B (corresponding author), Debre Berhan Univ, Dept Software Engn, Debre Berhan, Ethiopia.</t>
  </si>
  <si>
    <t xml:space="preserve">belestibdu@gmail.com; yaregal.assabie@aau.edu.et</t>
  </si>
  <si>
    <t xml:space="preserve">Assabie, Yaregal/AAN-2883-2020</t>
  </si>
  <si>
    <t xml:space="preserve">Assabie, Yaregal/0000-0001-7591-9298</t>
  </si>
  <si>
    <t xml:space="preserve">10.1007/s11042-022-13214-2</t>
  </si>
  <si>
    <t xml:space="preserve">7Q1QA</t>
  </si>
  <si>
    <t xml:space="preserve">WOS:000829140300003</t>
  </si>
  <si>
    <t xml:space="preserve">Amin, I; Hassan, S; Belhaouari, SB; Azam, MH</t>
  </si>
  <si>
    <t xml:space="preserve">Amin, Ibrar; Hassan, Saima; Belhaouari, Samir Brahim; Azam, Muhammad Hamza</t>
  </si>
  <si>
    <t xml:space="preserve">Transfer Learning-Based Semi-Supervised Generative Adversarial Network for Malaria Classification</t>
  </si>
  <si>
    <t xml:space="preserve">Malaria is a lethal disease responsible for thousands of deaths worldwide every year. Manual methods of malaria diagnosis are time-consuming that require a great deal of human expertise and efforts. Computer -based automated diagnosis of diseases is progressively becoming popular. Although deep learning models show high performance in the medical field, it demands a large volume of data for training which is hard to acquire for medical problems. Similarly, labeling of medical images can be done with the help of medical experts only. Several recent studies have utilized deep learning models to develop efficient malaria diagnostic system, which showed promising results. However, the most common problem with these models is that they need a large amount of data for training. This paper presents a computer-aided malaria diagnosis system that combines a semi-supervised generative adversarial network and transfer learning. The proposed model is trained in a semi-supervised manner and requires less training data than conventional deep learning models. Performance of the proposed model is evaluated on a publicly available dataset of blood smear images (with malaria -infected and normal class) and achieved a classification accuracy of 96.6%.</t>
  </si>
  <si>
    <t xml:space="preserve">Pakistan, Qatar, Malaysia</t>
  </si>
  <si>
    <t xml:space="preserve">Generative Adversarial Network</t>
  </si>
  <si>
    <t xml:space="preserve">- Accuracy: 96.6%</t>
  </si>
  <si>
    <t xml:space="preserve">CMC-COMPUTERS MATERIALS &amp; CONTINUA</t>
  </si>
  <si>
    <t xml:space="preserve">TECH SCIENCE PRESS</t>
  </si>
  <si>
    <t xml:space="preserve">Generative adversarial network; transfer learning; semi-supervised; malaria; VGG16</t>
  </si>
  <si>
    <t xml:space="preserve">[Amin, Ibrar; Hassan, Saima] Kohat Univ Sci &amp; Technol, Inst Comp, Kohat 26000, KPK, Pakistan; [Belhaouari, Samir Brahim] Hamad Bin Khalifa Univ, Coll Sci &amp; Engn, Doha, Qatar; [Azam, Muhammad Hamza] Univ Teknol PETRONAS, Ctr Res Data Sci, Comp &amp; Informat Sci Dept, Seri Iskandar 32610, Perak, Malaysia</t>
  </si>
  <si>
    <t xml:space="preserve">Kohat University of Science &amp; Technology; Qatar Foundation (QF); Hamad Bin Khalifa University-Qatar; Universiti Teknologi Petronas</t>
  </si>
  <si>
    <t xml:space="preserve">Belhaouari, SB (corresponding author), Hamad Bin Khalifa Univ, Coll Sci &amp; Engn, Doha, Qatar.</t>
  </si>
  <si>
    <t xml:space="preserve">sbelhaouari@hbku.edu.qa</t>
  </si>
  <si>
    <t xml:space="preserve">Hassan, Saima/AAC-2543-2019; belhaouari, samir/AAI-1248-2019</t>
  </si>
  <si>
    <t xml:space="preserve">Azam, Muhammad Hamza/0000-0002-2825-5377</t>
  </si>
  <si>
    <t xml:space="preserve">HENDERSON</t>
  </si>
  <si>
    <t xml:space="preserve">871 CORONADO CENTER DR, SUTE 200, HENDERSON, NV 89052 USA</t>
  </si>
  <si>
    <t xml:space="preserve">1546-2218</t>
  </si>
  <si>
    <t xml:space="preserve">1546-2226</t>
  </si>
  <si>
    <t xml:space="preserve">CMC-COMPUT MATER CON</t>
  </si>
  <si>
    <t xml:space="preserve">CMC-Comput. Mat. Contin.</t>
  </si>
  <si>
    <t xml:space="preserve">10.32604/cmc.2023.033860</t>
  </si>
  <si>
    <t xml:space="preserve">Computer Science, Information Systems; Materials Science, Multidisciplinary</t>
  </si>
  <si>
    <t xml:space="preserve">Computer Science; Materials Science</t>
  </si>
  <si>
    <t xml:space="preserve">G9UJ6</t>
  </si>
  <si>
    <t xml:space="preserve">WOS:000992517400011</t>
  </si>
  <si>
    <t xml:space="preserve">Oyibo, P; Meulah, B; Bengtson, M; van Lieshout, L; Oyibo, W; Diehl, JC; Vdovine, G; Agbana, T</t>
  </si>
  <si>
    <t xml:space="preserve">Oyibo, Prosper; Meulah, Brice; Bengtson, Michel; van Lieshout, Lisette; Oyibo, Wellington; Diehl, Jan-Carel; Vdovine, Gleb; Agbana, Tope</t>
  </si>
  <si>
    <t xml:space="preserve">Two-stage automated diagnosis framework for urogenital schistosomiasis in microscopy images from low-resource settings</t>
  </si>
  <si>
    <t xml:space="preserve">Purpose: Automated diagnosis of urogenital schistosomiasis using digital microscopy images of urine slides is an essential step toward the elimination of schistosomiasis as a disease of public health concern in Sub-Saharan African countries. We create a robust image dataset of urine samples obtained from field settings and develop a two-stage diagnosis framework for urogenital schistosomiasis. Approach: Urine samples obtained from field settings were captured using the Schistoscope device, and S. haematobium eggs present in the images were manually annotated by experts to create the SH dataset. Next, we develop a two-stage diagnosis framework, which consists of semantic segmentation of S. haematobium eggs using the DeepLabv3-MobileNetV3 deep convolutional neural network and a refined segmentation step using ellipse fitting approach to approximate the eggs with an automatically determined number of ellipses. We defined two linear inequality constraints as a function of the overlap coefficient and area of a fitted ellipses. False positive diagnosis resulting from over-segmentation was further minimized using these constraints. We evaluated the performance of our framework on 7605 images from 65 independent urine samples collected from field settings in Nigeria, by deploying our algorithm on an Edge AI system consisting of Raspberry Pi + Coral USB accelerator. Result: The SH dataset contains 12,051 images from 103 independent urine samples and the developed urogenital schistosomiasis diagnosis framework achieved clinical sensitivity, specificity, and precision of 93.8%, 93.9%, and 93.8%, respectively, using results from an experienced microscopist as reference. Conclusion: Our detection framework is a promising tool for the diagnosis of urogenital schistosomiasis as our results meet the World Health Organization target product profile requirements for monitoring and evaluation of schistosomiasis control programs. (c) The Authors. Published by SPIE under a Creative Commons Attribution 4.0 International License. Distribution or reproduction of this work in whole or in part requires full attribution of the original publication, including its DOI.</t>
  </si>
  <si>
    <t xml:space="preserve">Netherlands, Nigeria, Gabon</t>
  </si>
  <si>
    <t xml:space="preserve">DeepLabv3-MobileNetV3</t>
  </si>
  <si>
    <t xml:space="preserve">- Sensitivity = 93.8%
- Specificity = 93.9%
- Precision = 93.8%</t>
  </si>
  <si>
    <t xml:space="preserve">JOURNAL OF MEDICAL IMAGING</t>
  </si>
  <si>
    <t xml:space="preserve">SPIE-SOC PHOTO-OPTICAL INSTRUMENTATION ENGINEERS</t>
  </si>
  <si>
    <t xml:space="preserve">schistosomiasis diagnosis; deep learning; semantic segmentation; ellipse fitting; edge artificial intelligence</t>
  </si>
  <si>
    <t xml:space="preserve">CLASSIFICATION; EGGS</t>
  </si>
  <si>
    <t xml:space="preserve">[Oyibo, Prosper; Vdovine, Gleb; Agbana, Tope] Delft Univ Technol, Fac Mech Maritime &amp; Mat Engn, Delft Ctr Syst &amp; Control, Delft, Netherlands; [Oyibo, Prosper; Oyibo, Wellington] Univ Lagos, Coll Med, Ctr Malaria Diag, ANDI Ctr Excellence Malaria Diag,NTD Res, Lagos, Nigeria; [Meulah, Brice; Bengtson, Michel; van Lieshout, Lisette] Leiden Univ, Dept Parasitol, Med Ctr, Leiden, Netherlands; [Meulah, Brice] CERMEL, Ctr Rech Med Lambarene, Lambarene, Gabon; [Diehl, Jan-Carel] Delft Univ Technol, Dept Sustainable Design Engn, Delft, Netherlands</t>
  </si>
  <si>
    <t xml:space="preserve">Delft University of Technology; University of Lagos; Leiden University; Leiden University Medical Center (LUMC); Leiden University - Excl LUMC; Delft University of Technology</t>
  </si>
  <si>
    <t xml:space="preserve">Diehl, JC (corresponding author), Delft Univ Technol, Dept Sustainable Design Engn, Delft, Netherlands.</t>
  </si>
  <si>
    <t xml:space="preserve">j.c.diehl@tudelft.nl</t>
  </si>
  <si>
    <t xml:space="preserve">; Diehl, Jan Carel/L-6621-2013</t>
  </si>
  <si>
    <t xml:space="preserve">Meulah, Brice/0000-0003-2068-1563; Diehl, Jan Carel/0000-0002-4007-2282; Oyibo, Prosper/0000-0003-4316-0883</t>
  </si>
  <si>
    <t xml:space="preserve">WOTRO (the Science for Global Development department) of NWO (the Dutch Research Council); Neglected Tropical Disease Team from the Federal Ministry of Health Abuja; Federal Capital Territory Authority Public Health Laboratory, Abuja, Nigeria; Federal Capital Territory Health Research Ethics Committee in Abuja, Nigeria; [FHREC/2019/01/73/18-07-19]</t>
  </si>
  <si>
    <t xml:space="preserve">WOTRO (the Science for Global Development department) of NWO (the Dutch Research Council); Neglected Tropical Disease Team from the Federal Ministry of Health Abuja; Federal Capital Territory Authority Public Health Laboratory, Abuja, Nigeria; Federal Capital Territory Health Research Ethics Committee in Abuja, Nigeria;</t>
  </si>
  <si>
    <t xml:space="preserve">This work was funded under the INSPiRED (INclusive diagnoStics for Poverty REIated parasitic Diseases) Project (Grant No.~W 07.30318.009) by WOTRO (the Science for Global Development department) of NWO (the Dutch Research Council). We would like to acknowledge the Neglected Tropical Disease Team from the Federal Ministry of Health Abuja and Federal Capital Territory Authority Public Health Laboratory, Abuja, Nigeria, and Delft University of Technology Global Initiative for their support toward this study. The study was conducted in accordance with the declaration of Helsinki and approved by the Federal Capital Territory Health Research Ethics Committee in Abuja, Nigeria (Reference No.~FHREC/2019/01/73/18-07-19). Informed consent was obtained from all subjects involved in the study.</t>
  </si>
  <si>
    <t xml:space="preserve">BELLINGHAM</t>
  </si>
  <si>
    <t xml:space="preserve">1000 20TH ST, PO BOX 10, BELLINGHAM, WA 98225 USA</t>
  </si>
  <si>
    <t xml:space="preserve">2329-4302</t>
  </si>
  <si>
    <t xml:space="preserve">2329-4310</t>
  </si>
  <si>
    <t xml:space="preserve">J MED IMAGING</t>
  </si>
  <si>
    <t xml:space="preserve">J. Med. Imaging</t>
  </si>
  <si>
    <t xml:space="preserve">JUL 1</t>
  </si>
  <si>
    <t xml:space="preserve">10.1117/1.JMI.10.4.044005</t>
  </si>
  <si>
    <t xml:space="preserve">Q7LC9</t>
  </si>
  <si>
    <t xml:space="preserve">Green Published, Green Submitted, hybrid</t>
  </si>
  <si>
    <t xml:space="preserve">WOS:001059292800005</t>
  </si>
  <si>
    <t xml:space="preserve">Agniwo, P; Sidibé, B; Diakité, A; Niaré, SD; Guindo, H; Akplogan, A; Ibikounlé, M; Boissier, J; Dabo, A</t>
  </si>
  <si>
    <t xml:space="preserve">Agniwo, Privat; Sidibe, Bakary; Diakite, Assitan; Niare, Safiatou Doumbo; Guindo, Hassim; Akplogan, Ahristode; Ibikounle, Moudachirou; Boissier, Jerome; Dabo, Abdoulaye</t>
  </si>
  <si>
    <t xml:space="preserve">Ultrasound aspects and risk factors associated with urogenital schistosomiasis among primary school children in Mali</t>
  </si>
  <si>
    <t xml:space="preserve">BackgroundUrogenital schistosomiasis is endemic in Mali and is a major cause of serious morbidity in large parts of the world. This disease is responsible for many socio-economic and public health issues. The aim of this study was to investigate the impact of the disease on morbidity and to describe demographic and socioeconomic factors in relation to the status of children with urogenital schistosomiasis in Mali.MethodsWe conducted a cross-sectional study in November 2021 of 971 children aged 6 to 14 years selected at random from six schools in three districts in the Kayes Region of Mali. Demographic and socioeconomic data were collected on survey forms. Clinical data were collected following a medical consultation. Hematuria was systematically searched for through the use of strips. The search for Schistosoma haematobium eggs in urine was done via the filtration method. The urinary tract was examined by ultrasound. Associations between each of these variables and disease infection were tested using multivariate logistic regression.ResultsThe overall prevalence of urinary schistosomiasis detected was 50.2%. The average intensity of infection was 36 eggs/10 ml of urine. The associated risk factors for urogenital schistosomiasis showed that children who bathed, used the river/pond as a domestic water source, and who habitually urinated in the river/pond were more affected (P &lt; 0.05). Children with farming parents were most affected (P = 0.032). The collection of clinical signs revealed that boys had more pollakiuria (58.6%) and dysuria (46.4%) than girls. Ultrasound data showed that focal lesion rates were recorded in all villages with the lowest rate in Diakalel (56.1%). Ultrasound and parasitological findings showed that irregularity and thickening were strongly associated with urinary schistosomiasis (P &lt; 0.0001).ConclusionsSchistosoma haematobium infection was still endemic in the study site despite more than a decade of mass treatment with praziquantel. However, the high percentage of symptoms associated with high intensity reinforces the idea that further studies in terms of schistosomiasis-related morbidity are still needed.</t>
  </si>
  <si>
    <t xml:space="preserve">Mali, France, Benin</t>
  </si>
  <si>
    <t xml:space="preserve">Mali</t>
  </si>
  <si>
    <t xml:space="preserve">Demogaphic data
Socioeconomic data
Clinical data</t>
  </si>
  <si>
    <t xml:space="preserve">Schistosoma haematobium; Morbidity; Prevalence; Risk factor; Mali</t>
  </si>
  <si>
    <t xml:space="preserve">URINARY SCHISTOSOMIASIS; ULTRASONOGRAPHY; PREVALENCE; REGION</t>
  </si>
  <si>
    <t xml:space="preserve">[Agniwo, Privat; Sidibe, Bakary; Diakite, Assitan; Niare, Safiatou Doumbo; Guindo, Hassim; Akplogan, Ahristode; Dabo, Abdoulaye] Univ Sci Tech &amp; Technol Bamako, Fac Pharm, Dept Epidemiol Infect Dis, IRl USTTB UCAD UGB CNRST CNRS 3189, Bamako, Mali; [Agniwo, Privat; Boissier, Jerome] Univ Montpellier, Ifremer, Interact Hotes Pathogenes Environm IHPE, CNRS, Univ Perpignan Via Domitia, Perpignan, France; [Agniwo, Privat; Ibikounle, Moudachirou] Univ Abomey Calavi, Ctr Rech Lutte Malad Infect Trop CReMIT TIDRC, Abomey Calavi, Benin</t>
  </si>
  <si>
    <t xml:space="preserve">University of Science &amp; Technology of Bamako; Universite de Montpellier; Ifremer; Centre National de la Recherche Scientifique (CNRS); University of Abomey Calavi</t>
  </si>
  <si>
    <t xml:space="preserve">Agniwo, P (corresponding author), Univ Sci Tech &amp; Technol Bamako, Fac Pharm, Dept Epidemiol Infect Dis, IRl USTTB UCAD UGB CNRST CNRS 3189, Bamako, Mali.;Agniwo, P (corresponding author), Univ Montpellier, Ifremer, Interact Hotes Pathogenes Environm IHPE, CNRS, Univ Perpignan Via Domitia, Perpignan, France.;Agniwo, P (corresponding author), Univ Abomey Calavi, Ctr Rech Lutte Malad Infect Trop CReMIT TIDRC, Abomey Calavi, Benin.</t>
  </si>
  <si>
    <t xml:space="preserve">privatagniwo@yahoo.com</t>
  </si>
  <si>
    <t xml:space="preserve">Moudachirou, IBIKOUNLE/0000-0002-3517-1729</t>
  </si>
  <si>
    <t xml:space="preserve">Competitive Fund for Research and Technological Innovation (FCRIT)</t>
  </si>
  <si>
    <t xml:space="preserve">This research was funded by Competitive Fund for Research and Technological Innovation (FCRIT).</t>
  </si>
  <si>
    <t xml:space="preserve">APR 20</t>
  </si>
  <si>
    <t xml:space="preserve">10.1186/s40249-023-01071-6</t>
  </si>
  <si>
    <t xml:space="preserve">E4JL4</t>
  </si>
  <si>
    <t xml:space="preserve">WOS:000975220500002</t>
  </si>
  <si>
    <t xml:space="preserve">Andreazzi, CS; Martinez-Vaquero, LA; Winck, GR; Cardoso, TS; Teixeira, BR; Xavier, SCC; Gentile, R; Jansen, AM; D'Andrea, PS</t>
  </si>
  <si>
    <t xml:space="preserve">Andreazzi, Cecilia S.; Martinez-Vaquero, Luis A.; Winck, Gisele R.; Cardoso, Thiago S.; Teixeira, Bernardo R.; Xavier, Samanta C. C.; Gentile, Rosana; Jansen, Ana Maria; D'Andrea, Paulo S.</t>
  </si>
  <si>
    <t xml:space="preserve">Vegetation cover and biodiversity reduce parasite infection in wild hosts across ecological levels and scales</t>
  </si>
  <si>
    <t xml:space="preserve">Land use changes and biodiversity loss critically disrupts ecosystem functioning and are major drivers of infectious disease outbreaks. Trypanosoma cruzi, the agent of Chagas disease, is a multi-host parasite whose epidemiology has changed due to the expansion of anthropogenic activities over natural areas. We aimed to understand the ecological processes increasing parasite prevalence at the individual, the community and the landscape levels using the largest database on small mammal infection by T. cruzi in Brazil. We applied machine learning techniques and structural equation models to show that allometric traits and the relative abundance of rodents in the community were important predictors of infection risk, followed by variables associated with the landscape environmental quality. Natural vegetation cover change and the taxonomic and functional dimensions of biodiversity indirectly reduced infection through its effect on the abundance distribution and composition of host communities. According to our findings, approaches to biodiversity conservation and restoration based on the integration of social inclusion and human welfare would contribute to regulate the prevalence of T. cruzi in wild hosts, which may reduce overall transmission risk.</t>
  </si>
  <si>
    <t xml:space="preserve">Brazil, Spain</t>
  </si>
  <si>
    <t xml:space="preserve">ECOGRAPHY</t>
  </si>
  <si>
    <t xml:space="preserve">biodiversity-disease relationship; Didelphimorphia; land cover change; machine learning; neotropical forest; Rodentia; Trypanosoma cruzi</t>
  </si>
  <si>
    <t xml:space="preserve">FUNCTIONAL DIVERSITY; TERRESTRIAL MAMMALS; TRYPANOSOMA-CRUZI; FOREST; INDIVIDUALS; FRAMEWORK; INDEXES</t>
  </si>
  <si>
    <t xml:space="preserve">[Andreazzi, Cecilia S.; Winck, Gisele R.; Cardoso, Thiago S.; Teixeira, Bernardo R.; Gentile, Rosana; D'Andrea, Paulo S.] Fiocruz MS, Inst Oswaldo Cruz, Lab Biol &amp; Parasitol Mamiferos Silvestres Reservat, Rio De Janeiro, RJ, Brazil; [Andreazzi, Cecilia S.; Winck, Gisele R.; Cardoso, Thiago S.; Teixeira, Bernardo R.; Gentile, Rosana; D'Andrea, Paulo S.] Univ Complutense Madrid, Dept Biodivers Ecol &amp; Evoluc, Madrid, Spain; [Martinez-Vaquero, Luis A.] Univ Politecn Madrid, Escuela Tecn Super Arquitectura, Grp Sistemas Complejos, Madrid, Spain; [Martinez-Vaquero, Luis A.] Univ Politecn Madrid, Escuela Tecn Super Arquitectura, DEFE, Madrid, Spain; [Martinez-Vaquero, Luis A.] Univ Carlos III Madrid, Grp Interdisciplinar Sistemas Complejos, Madrid, Spain; [Xavier, Samanta C. C.; Jansen, Ana Maria] Fiocruz MS, Inst Oswaldo Cruz, Lab Biol Tripanossomatideos, Rio De Janeiro, RJ, Brazil</t>
  </si>
  <si>
    <t xml:space="preserve">Fundacao Oswaldo Cruz; Complutense University of Madrid; Universidad Politecnica de Madrid; Universidad Politecnica de Madrid; Universidad Carlos III de Madrid; Fundacao Oswaldo Cruz</t>
  </si>
  <si>
    <t xml:space="preserve">Andreazzi, CS (corresponding author), Fiocruz MS, Inst Oswaldo Cruz, Lab Biol &amp; Parasitol Mamiferos Silvestres Reservat, Rio De Janeiro, RJ, Brazil.;Andreazzi, CS (corresponding author), Univ Complutense Madrid, Dept Biodivers Ecol &amp; Evoluc, Madrid, Spain.</t>
  </si>
  <si>
    <t xml:space="preserve">cecilia.andreazzi@fiocruz.br</t>
  </si>
  <si>
    <t xml:space="preserve">D'Andrea, Paulo/G-6820-2011; Martinez-Vaquero, Luis/AAD-3883-2021; Gentile, Rosana/C-3101-2013; Teixeira, Bernardo/D-7664-2013; Winck, Gisele/A-4148-2012; Andreazzi, Cecilia/B-1317-2013</t>
  </si>
  <si>
    <t xml:space="preserve">Teixeira, Bernardo/0000-0001-9013-9492; das Chagas Xavier, Samanta Cristina/0000-0002-3475-0075; Martinez-Vaquero, Luis A./0000-0001-8194-8757; Andreazzi, Cecilia/0000-0002-9817-0635</t>
  </si>
  <si>
    <t xml:space="preserve">Brazilian Research Council (CNPq/MCTIC-Universal) [430408/2018-8]; Serrapilheira Institute [1912-32354]; European Union [847635]; Brazilian Research Council (CNPq/MCTIC-Sintese em Biodiversidade e Servicos Ecossiste&lt;&lt;^&gt;&gt;micos (SinBiose)) [442410/2019-0]; CNPq/Sinbiose [165330/2021-0]; Ministry of Science and Innovation (Spain) [PID2021-122711NB-C21]; Fundacao Carlos Chagas Filho de Amparo a Pesquisa do Estado do Rio de Janeiro [10-2021]; Marie Curie Actions (MSCA) [847635] Funding Source: Marie Curie Actions (MSCA)</t>
  </si>
  <si>
    <t xml:space="preserve">Brazilian Research Council (CNPq/MCTIC-Universal); Serrapilheira Institute; European Union(European Union (EU)); Brazilian Research Council (CNPq/MCTIC-Sintese em Biodiversidade e Servicos Ecossiste&lt;&lt;^&gt;&gt;micos (SinBiose)); CNPq/Sinbiose; Ministry of Science and Innovation (Spain)(Ministry of Science and Innovation, Spain (MICINN)Spanish Government); Fundacao Carlos Chagas Filho de Amparo a Pesquisa do Estado do Rio de Janeiro(Fundacao Carlos Chagas Filho de Amparo a Pesquisa do Estado do Rio De Janeiro (FAPERJ)); Marie Curie Actions (MSCA)(Marie Curie Actions)</t>
  </si>
  <si>
    <t xml:space="preserve">CSA was funded by the Brazilian Research Council grant (CNPq/MCTIC-Universal) no. 430408/2018-8; the Serrapilheira Institute grant no. 1912-32354; and the European Union's Horizon 2020 research and innovation programme under the Marie Sklodowska-Curie grant agreement no. 847635. CSA, GRW and PSA were funded by the Brazilian Research Council grant (CNPq/MCTIC-Sintese em Biodiversidade e Servicos Ecossiste&lt;&lt;^&gt;&gt;micos (SinBiose)) no. 442410/2019-0. CNPq/Sinbiose also granted a postdoctoral fellowship to GRW no. 165330/2021-0. LAM-V was supported by the Ministry of Science and Innovation (Spain) under the project no. PID2021-122711NB-C21. TSC received a postdoctoral fellowship from Fundacao Carlos Chagas Filho de Amparo a Pesquisa do Estado do Rio de Janeiro, Programa de Pos-Doutorado Nota 10 - 2021.</t>
  </si>
  <si>
    <t xml:space="preserve">0906-7590</t>
  </si>
  <si>
    <t xml:space="preserve">1600-0587</t>
  </si>
  <si>
    <t xml:space="preserve">Ecography</t>
  </si>
  <si>
    <t xml:space="preserve">10.1111/ecog.06579</t>
  </si>
  <si>
    <t xml:space="preserve">Biodiversity Conservation; Ecology</t>
  </si>
  <si>
    <t xml:space="preserve">Biodiversity &amp; Conservation; Environmental Sciences &amp; Ecology</t>
  </si>
  <si>
    <t xml:space="preserve">HA8C8</t>
  </si>
  <si>
    <t xml:space="preserve">WOS:000947055600001</t>
  </si>
  <si>
    <t xml:space="preserve">YOLO-PAM: Parasite-Attention-Based Model for Efficient Malaria Detection</t>
  </si>
  <si>
    <t xml:space="preserve">Malaria is a potentially fatal infectious disease caused by the Plasmodium parasite. The mortality rate can be significantly reduced if the condition is diagnosed and treated early. However, in many underdeveloped countries, the detection of malaria parasites from blood smears is still performed manually by experienced hematologists. This process is time-consuming and error-prone. In recent years, deep-learning-based object-detection methods have shown promising results in automating this task, which is critical to ensure diagnosis and treatment in the shortest possible time. In this paper, we propose a novel Transformer- and attention-based object-detection architecture designed to detect malaria parasites with high efficiency and precision, focusing on detecting several parasite sizes. The proposed method was tested on two public datasets, namely MP-IDB and IML. The evaluation results demonstrated a mean average precision exceeding 83.6% on distinct Plasmodium species within MP-IDB and reaching nearly 60% on IML. These findings underscore the effectiveness of our proposed architecture in automating malaria parasite detection, offering a potential breakthrough in expediting diagnosis and treatment processes.</t>
  </si>
  <si>
    <t xml:space="preserve">Italy</t>
  </si>
  <si>
    <t xml:space="preserve">Switzerland, Pakistan</t>
  </si>
  <si>
    <t xml:space="preserve">YOLO-PAM</t>
  </si>
  <si>
    <t xml:space="preserve">computer vision; deep learning; image processing; malaria parasite detection; early malaria diagnosis</t>
  </si>
  <si>
    <t xml:space="preserve">BLOOD; CLASSIFICATION; SEGMENTATION; MICROSCOPY; DIAGNOSIS; NETWORKS</t>
  </si>
  <si>
    <t xml:space="preserve">luca.zedda@unica.it; andrea.loddo@unica.it; dirubert@unica.it</t>
  </si>
  <si>
    <t xml:space="preserve">Di Ruberto, Cecilia/0000-0003-4641-0307; LODDO, ANDREA/0000-0002-6571-3816; Zedda, Luca/0009-0001-8488-1612</t>
  </si>
  <si>
    <t xml:space="preserve">National Recovery and Resilience Plan (NRRP) [3277]; Italian Ministry of University and Research (MUR) - European Union-NextGenerationEU [ECS0000038, CUP F53C22000430001, 1056]; Italian Ministry of University and Research (MUR)</t>
  </si>
  <si>
    <t xml:space="preserve">National Recovery and Resilience Plan (NRRP); Italian Ministry of University and Research (MUR) - European Union-NextGenerationEU; Italian Ministry of University and Research (MUR)(Ministry of Education, Universities and Research (MIUR))</t>
  </si>
  <si>
    <t xml:space="preserve">We acknowledge financial support under the National Recovery and Resilience Plan (NRRP), Mission 4 Component 2 Investment 1.5-Call for tender No. 3277 published on December 30, 2021, by the Italian Ministry of University and Research (MUR) funded by the European Union-NextGenerationEU. Project Code ECS0000038-Project Title eINS Ecosystem of Innovation for NextGeneration Sardinia-CUP F53C22000430001-Grant Assignment Decree No. 1056 adopted on June23, 2022, by the Italian Ministry of University and Research (MUR).</t>
  </si>
  <si>
    <t xml:space="preserve">10.3390/jimaging9120266</t>
  </si>
  <si>
    <t xml:space="preserve">DI2X7</t>
  </si>
  <si>
    <t xml:space="preserve">WOS:001131347500001</t>
  </si>
  <si>
    <t xml:space="preserve">Ditz, JC; Wistuba-Hamprecht, J; Maier, T; Fendel, R; Pfeifer, N; Reuter, B</t>
  </si>
  <si>
    <t xml:space="preserve">Ditz, Jonas C.; Wistuba-Hamprecht, Jacqueline; Maier, Timo; Fendel, Rolf; Pfeifer, Nico; Reuter, Bernhard</t>
  </si>
  <si>
    <t xml:space="preserve">PlasmoFAB: a benchmark to foster machine learning for Plasmodium falciparum protein antigen candidate prediction</t>
  </si>
  <si>
    <t xml:space="preserve">Motivation: Machine learning methods can be used to support scientific discovery in healthcare-related research fields. However, these methods can only be reliably used if they can be trained on high-quality and curated datasets. Currently, no such dataset for the exploration of Plasmodium falciparum protein antigen candidates exists. The parasite P.falciparum causes the infectious disease malaria. Thus, identifying potential antigens is of utmost importance for the development of antimalarial drugs and vaccines. Since exploring antigen candidates experimentally is an expensive and time-consuming process, applying machine learning methods to support this process has the potential to accelerate the development of drugs and vaccines, which are needed for fighting and controlling malaria. Results: We developed PlasmoFAB, a curated benchmark that can be used to train machine learning methods for the exploration of P.falciparum protein antigen candidates. We combined an extensive literature search with domain expertise to create high-quality labels for P.falciparum specific proteins that distinguish between antigen candidates and intracellular proteins. Additionally, we used our benchmark to compare different well-known prediction models and available protein localization prediction services on the task of identifying protein antigen candidates. We show that available general-purpose services are unable to provide sufficient performance on identifying protein antigen candidates and are outperformed by our models that were trained on this tailored data.</t>
  </si>
  <si>
    <t xml:space="preserve">HUMAN MALARIA; TOPOLOGY; EFFICACY; PATHOGEN; SEQUENCE; VACCINE; FAMILY; ROLES</t>
  </si>
  <si>
    <t xml:space="preserve">[Ditz, Jonas C.; Wistuba-Hamprecht, Jacqueline; Maier, Timo; Pfeifer, Nico; Reuter, Bernhard] Univ Tubingen, Dept Comp Sci, Methods Med Informat, Sand 14, D-72076 Tubingen, Germany; [Maier, Timo] Computom GmbH, D-72072 Tubingen, Germany; [Fendel, Rolf] Univ Hosp Tubingen, Inst Trop Med, D-72074 Tubingen, Germany; [Fendel, Rolf] German Ctr Infect Res DZIF, Partner Site Tubingen, Tubingen, Germany</t>
  </si>
  <si>
    <t xml:space="preserve">Eberhard Karls University of Tubingen; Eberhard Karls University of Tubingen; Eberhard Karls University Hospital; German Center for Infection Research</t>
  </si>
  <si>
    <t xml:space="preserve">Pfeifer, N; Reuter, B (corresponding author), Univ Tubingen, Dept Comp Sci, Methods Med Informat, Sand 14, D-72076 Tubingen, Germany.</t>
  </si>
  <si>
    <t xml:space="preserve">nico.pfeifer@uni-tuebingen.de; bernhard.reuter@uni-tuebingen.de</t>
  </si>
  <si>
    <t xml:space="preserve">Pfeifer, Nico/LFU-4141-2024; Fendel, Rolf/K-3985-2013; Reuter, Bernhard/ADI-6793-2022</t>
  </si>
  <si>
    <t xml:space="preserve">Pfeifer, Nico/0000-0002-4647-8566</t>
  </si>
  <si>
    <t xml:space="preserve">Deutsche Forschungsgemeinschaft (DFG, German Research Foundation) [2064/1, 390727645]; German Federal Ministry of Education and Research (BMBF) [01-S17054]; German Federal Ministry of Education and Research (BMBF): Tubingen AI Center [FKZ: 01IS18039A]</t>
  </si>
  <si>
    <t xml:space="preserve">Deutsche Forschungsgemeinschaft (DFG, German Research Foundation)(German Research Foundation (DFG)); German Federal Ministry of Education and Research (BMBF)(Federal Ministry of Education &amp; Research (BMBF)); German Federal Ministry of Education and Research (BMBF): Tubingen AI Center(Federal Ministry of Education &amp; Research (BMBF))</t>
  </si>
  <si>
    <t xml:space="preserve">This work was supported by the Deutsche Forschungsgemeinschaft (DFG, German Research Foundation) under Germany's Excellence Strategy-EXC number 2064/1-Project number 390727645. This research was supported by the German Federal Ministry of Education and Research (BMBF) project Training Center Machine Learning, Tubingen' with grant number 01-S17054. This work was supported by the German Federal Ministry of Education and Research (BMBF): Tubingen AI Center, FKZ: 01IS18039A.</t>
  </si>
  <si>
    <t xml:space="preserve">JUN 30</t>
  </si>
  <si>
    <t xml:space="preserve">i86</t>
  </si>
  <si>
    <t xml:space="preserve">i93</t>
  </si>
  <si>
    <t xml:space="preserve">10.1093/bioinformatics/btad206</t>
  </si>
  <si>
    <t xml:space="preserve">M0XJ8</t>
  </si>
  <si>
    <t xml:space="preserve">WOS:001027457000014</t>
  </si>
  <si>
    <t xml:space="preserve">S</t>
  </si>
  <si>
    <t xml:space="preserve">31st annual conference on Intelligent Systems for Molecular Biology (ISMB)/22nd European Conference on Computational Biology (ECCB) (ISMB/ECCB)</t>
  </si>
  <si>
    <t xml:space="preserve">JUL 23-27, 2023</t>
  </si>
  <si>
    <t xml:space="preserve">Lyon, FRANCE</t>
  </si>
  <si>
    <t xml:space="preserve">Gill, HK; Sehgal, VK; Verma, AK</t>
  </si>
  <si>
    <t xml:space="preserve">Gill, Harsuminder Kaur; Sehgal, Vivek Kumar; Verma, Anil Kumar</t>
  </si>
  <si>
    <t xml:space="preserve">A deep neural network based context-aware smart epidemic surveillance in smart cities</t>
  </si>
  <si>
    <t xml:space="preserve">Purpose Epidemics not only affect the public health but also are a threat to a nation's growth and economy as well. Early prediction of epidemic can be beneficial to take preventive measures and to reduce the impact of epidemic in an area. Design/methodology/approach A deep neural network (DNN) based context aware smart epidemic system has been proposed to prevent and monitor epidemic spread in a geographical area. Various neural networks (NNs) have been used: LSTM, RNN, BPNN to detect the level of disease, direction of spread of disease in a geographical area and marking the high-risk areas. Multiple DNNs collect and process various data points and these DNNs are decided based on type of data points. Output of one DNN is used by another DNN to reach to final prediction. Findings The experimental evaluation of the proposed framework achieved the accuracy of 87% for the synthetic dataset generated for Zika epidemic in Brazil in 2016. Originality/value The proposed framework is designed in a way that every data point is carefully processed and contributes to the final decision. These multiple DNNs will act as a single DNN for the end user.</t>
  </si>
  <si>
    <t xml:space="preserve">Zika</t>
  </si>
  <si>
    <t xml:space="preserve">- LSTM
- RNN
- BPNN</t>
  </si>
  <si>
    <t xml:space="preserve">Accuracy = 87%</t>
  </si>
  <si>
    <t xml:space="preserve">LIBRARY HI TECH</t>
  </si>
  <si>
    <t xml:space="preserve">EMERALD GROUP PUBLISHING LTD</t>
  </si>
  <si>
    <t xml:space="preserve">Epidemic control; Context-awareness; Recommender system; LSTM; RNN; BPNN; Neural network; deep learning</t>
  </si>
  <si>
    <t xml:space="preserve">CHALLENGES; FRAMEWORK; SYSTEM</t>
  </si>
  <si>
    <t xml:space="preserve">[Gill, Harsuminder Kaur; Sehgal, Vivek Kumar] Jaypee Univ Informat Technol, CSE IT, Solan, India; [Verma, Anil Kumar] Thapar Univ, CSE, Patiala, Punjab, India</t>
  </si>
  <si>
    <t xml:space="preserve">Jaypee University of Information Technology; Thapar Institute of Engineering &amp; Technology</t>
  </si>
  <si>
    <t xml:space="preserve">Gill, HK (corresponding author), Jaypee Univ Informat Technol, CSE IT, Solan, India.</t>
  </si>
  <si>
    <t xml:space="preserve">harsuminder@gmail.com; vivekseh@ieee.org; akverma@thapar.edu</t>
  </si>
  <si>
    <t xml:space="preserve">Verma, Anil Kumar/IYJ-8823-2023; Sehgal, Vivek Kumar/S-1937-2017</t>
  </si>
  <si>
    <t xml:space="preserve">Gill, Harsuminder/0000-0001-7810-799X; Sehgal, Vivek Kumar/0000-0002-0026-2284</t>
  </si>
  <si>
    <t xml:space="preserve">Leeds</t>
  </si>
  <si>
    <t xml:space="preserve">Floor 5, Northspring 21-23 Wellington Street, Leeds, W YORKSHIRE, ENGLAND</t>
  </si>
  <si>
    <t xml:space="preserve">0737-8831</t>
  </si>
  <si>
    <t xml:space="preserve">LIBR HI TECH</t>
  </si>
  <si>
    <t xml:space="preserve">Libr. Hi Tech</t>
  </si>
  <si>
    <t xml:space="preserve">NOV 22</t>
  </si>
  <si>
    <t xml:space="preserve">10.1108/LHT-02-2021-0063</t>
  </si>
  <si>
    <t xml:space="preserve">JUN 2021</t>
  </si>
  <si>
    <t xml:space="preserve">Information Science &amp; Library Science</t>
  </si>
  <si>
    <t xml:space="preserve">Social Science Citation Index (SSCI)</t>
  </si>
  <si>
    <t xml:space="preserve">6L2RG</t>
  </si>
  <si>
    <t xml:space="preserve">WOS:000669616200001</t>
  </si>
  <si>
    <t xml:space="preserve">Yang, ZH; Benhabiles, H; Hammoudi, K; Windal, F; He, RW; Collard, D</t>
  </si>
  <si>
    <t xml:space="preserve">Yang, Ziheng; Benhabiles, Halim; Hammoudi, Karim; Windal, Feryal; He, Ruiwen; Collard, Dominique</t>
  </si>
  <si>
    <t xml:space="preserve">A generalized deep learning-based framework for assistance to the human malaria diagnosis from microscopic images</t>
  </si>
  <si>
    <t xml:space="preserve">Malaria is an infectious disease caused by Plasmodium parasites and is potentially human life-threatening. Children under 5 years old are the most vulnerable group with approximately one death every two minutes, accounting for more than 65% of all malaria deaths. The World Health Organization (WHO) encourages the research of appropriate methods to treat malaria through rapid and economical diagnostic. In this paper, we present a deep learning-based framework for diagnosing human malaria infection from microscopic images of thin blood smears. The framework is based on a direct segmentation and classification approach which relies on the analysis of the parasite itself. The framework permits to segment the Plasmodium parasite in the images and to predict its species among four dominant classes: P. Falciparum, P. Malaria, P. Ovale, and P. Vivax. A high potential of generalization with a competitive performance of our framework on inter-class data is demonstrated through an experimental study considering several datasets. Our source code is publicly available on https://github.com/Benhabiles-JUNIA/MalariaNet.</t>
  </si>
  <si>
    <t xml:space="preserve">- U-Net_VGG19
- Light-Net</t>
  </si>
  <si>
    <t xml:space="preserve">Bio-MEMS; Malaria parasite; Microscopic blood sample; Generalized deep learning; Image classification and segmentation</t>
  </si>
  <si>
    <t xml:space="preserve">SEGMENTATION</t>
  </si>
  <si>
    <t xml:space="preserve">[Yang, Ziheng; Benhabiles, Halim; Windal, Feryal; He, Ruiwen] Univ Polytech Hauts de France, Univ Lille, UMR 8520,Cent Lille, IEMN Inst Elect Microelect &amp; Nanotechnol,CNRS, F-59000 Lille, France; [Yang, Ziheng; Benhabiles, Halim; Windal, Feryal; He, Ruiwen] IEMN BioMEMS Grp, Lille, France; [Hammoudi, Karim] Univ Haute Alsace, Dept Comp Sci, IRIMAS, F-68100 Mulhouse, France; [Hammoudi, Karim] Univ Strasbourg, Strasbourg, France; [Collard, Dominique] Univ Tokyo, LIMMS CNRS IIS, IRL 2820, Lille, France</t>
  </si>
  <si>
    <t xml:space="preserve">Universite de Lille; Centre National de la Recherche Scientifique (CNRS); Universite Polytechnique Hauts-de-France; CNRS - Institute for Engineering &amp; Systems Sciences (INSIS); Centrale Lille; Universites de Strasbourg Etablissements Associes; Universite de Haute-Alsace (UHA); Universites de Strasbourg Etablissements Associes; Universite de Strasbourg; University of Tokyo</t>
  </si>
  <si>
    <t xml:space="preserve">Yang, ZH (corresponding author), Univ Polytech Hauts de France, Univ Lille, UMR 8520,Cent Lille, IEMN Inst Elect Microelect &amp; Nanotechnol,CNRS, F-59000 Lille, France.;Yang, ZH (corresponding author), IEMN BioMEMS Grp, Lille, France.</t>
  </si>
  <si>
    <t xml:space="preserve">ziheng.yang@junia.com; halim.benhabiles@junia.com; karim.hammoudi@uha.fr; feryal.windal@junia.com; ruiwen.he@junia.com; dominique.collard@junia.com</t>
  </si>
  <si>
    <t xml:space="preserve">Collard, Dominique/A-6002-2013; Collard, Dominique/D-6686-2016</t>
  </si>
  <si>
    <t xml:space="preserve">Collard, Dominique/0000-0003-3244-1436; HE, ruiwen/0000-0002-5381-6068; YANG, Ziheng/0000-0002-4698-5154</t>
  </si>
  <si>
    <t xml:space="preserve">Interreg 2 Seas programme 2014-2020 - European Regional Development Fund [2S05-043 H4DC]</t>
  </si>
  <si>
    <t xml:space="preserve">Interreg 2 Seas programme 2014-2020 - European Regional Development Fund(Interreg Europe)</t>
  </si>
  <si>
    <t xml:space="preserve">This project has received funding from the Interreg 2 Seas programme 2014-2020 co-funded by the European Regional Development Fund under subsidy contract No. 2S05-043 H4DC.</t>
  </si>
  <si>
    <t xml:space="preserve">10.1007/s00521-021-06604-4</t>
  </si>
  <si>
    <t xml:space="preserve">OCT 2021</t>
  </si>
  <si>
    <t xml:space="preserve">3T5RN</t>
  </si>
  <si>
    <t xml:space="preserve">WOS:000712747600002</t>
  </si>
  <si>
    <t xml:space="preserve">Zare, M; Akbarialiabad, H; Parsaei, H; Asgari, Q; Alinejad, A; Bahreini, MS; Hosseini, SH; Ghofrani-Jahromi, M; Shahriarirad, R; Amirmoezzi, Y; Shahriarirad, S; Zeighami, A; Abdollahifard, G</t>
  </si>
  <si>
    <t xml:space="preserve">Zare, Mojtaba; Akbarialiabad, Hossein; Parsaei, Hossein; Asgari, Qasem; Alinejad, Ali; Bahreini, Mohammad Saleh; Hosseini, Seyed Hossein; Ghofrani-Jahromi, Mohsen; Shahriarirad, Reza; Amirmoezzi, Yalda; Shahriarirad, Sepehr; Zeighami, Ali; Abdollahifard, Gholamreza</t>
  </si>
  <si>
    <t xml:space="preserve">A machine learning-based system for detecting leishmaniasis in microscopic images</t>
  </si>
  <si>
    <t xml:space="preserve">Background Leishmaniasis, a disease caused by a protozoan, causes numerous deaths in humans each year. After malaria, leishmaniasis is known to be the deadliest parasitic disease globally. Direct visual detection of leishmania parasite through microscopy is the frequent method for diagnosis of this disease. However, this method is time-consuming and subject to errors. This study was aimed to develop an artificial intelligence-based algorithm for automatic diagnosis of leishmaniasis. Methods We used the Viola-Jones algorithm to develop a leishmania parasite detection system. The algorithm includes three procedures: feature extraction, integral image creation, and classification. Haar-like features are used as features. An integral image was used to represent an abstract of the image that significantly speeds up the algorithm. The adaBoost technique was used to select the discriminate features and to train the classifier. Results A 65% recall and 50% precision was concluded in the detection of macrophages infected with the leishmania parasite. Also, these numbers were 52% and 71%, respectively, related to amastigotes outside of macrophages. Conclusion The developed system is accurate, fast, easy to use, and cost-effective. Therefore, artificial intelligence might be used as an alternative for the current leishmanial diagnosis methods.</t>
  </si>
  <si>
    <t xml:space="preserve">AdaBoost</t>
  </si>
  <si>
    <t xml:space="preserve">Leishmania; Cutaneous leishmaniasis; Artificial intelligence; Image processing; Adaboost; Viola-Jones; Algorithm</t>
  </si>
  <si>
    <t xml:space="preserve">CUTANEOUS LEISHMANIASIS; DIAGNOSIS; INFECTION; INFANTUM; PCR</t>
  </si>
  <si>
    <t xml:space="preserve">[Zare, Mojtaba; Akbarialiabad, Hossein; Alinejad, Ali; Shahriarirad, Reza; Shahriarirad, Sepehr; Zeighami, Ali] Shiraz Univ Med Sci, Shiraz, Iran; [Parsaei, Hossein; Ghofrani-Jahromi, Mohsen; Amirmoezzi, Yalda] Shiraz Univ Med Sci, Sch Med, Dept Med Phys &amp; Engn, Shiraz, Iran; [Parsaei, Hossein; Amirmoezzi, Yalda] Shiraz Univ Med Sci, Shiraz Neurosci Res Ctr, Shiraz, Iran; [Asgari, Qasem] Shiraz Univ Med Sci, Sch Med, Dept Parasitol &amp; Mycol, Shiraz, Iran; [Bahreini, Mohammad Saleh] Shiraz Univ Med Sci, Sch Med, Dept Med Parasitol &amp; Mycol, Shiraz, Iran; [Hosseini, Seyed Hossein] Ilam Univ Med Sci, Dept Pediat, Ilam, Iran; [Shahriarirad, Reza] Shiraz Univ Med Sci, Thorac &amp; Vasc Surg Res Ctr, Shiraz, Iran; [Abdollahifard, Gholamreza] Shiraz Univ Med Sci, Sch Med, Dept Community Med, Shiraz, Iran; [Abdollahifard, Gholamreza] Shiraz Univ Med Sci, Subst Abuse &amp; Mental Hlth Res Ctr, Shiraz, Iran</t>
  </si>
  <si>
    <t xml:space="preserve">Shiraz University of Medical Science; Shiraz University of Medical Science; Shiraz University of Medical Science; Shiraz University of Medical Science; Shiraz University of Medical Science; Shiraz University of Medical Science; Shiraz University of Medical Science; Shiraz University of Medical Science</t>
  </si>
  <si>
    <t xml:space="preserve">Abdollahifard, G (corresponding author), Shiraz Univ Med Sci, Sch Med, Dept Community Med, Shiraz, Iran.;Abdollahifard, G (corresponding author), Shiraz Univ Med Sci, Subst Abuse &amp; Mental Hlth Res Ctr, Shiraz, Iran.</t>
  </si>
  <si>
    <t xml:space="preserve">abdolahigh@sums.ac.ir</t>
  </si>
  <si>
    <t xml:space="preserve">Parsaei, Hossein/D-1373-2018; Shahriarirad, Reza/ABC-9194-2020; aliabadi, hossein/ABB-6183-2020; Shahriarirad, Sepehr/HLX-7678-2023</t>
  </si>
  <si>
    <t xml:space="preserve">akbarialiabad, Hossein/0000-0003-2018-6378; Ghofrani-Jahromi, Mohsen/0000-0003-4084-5553; Bahreini, Mohammad saleh/0000-0001-9638-2522; Amirmoezzi, Yalda/0000-0001-7534-0446; Shahriarirad, Sepehr/0000-0002-9567-5996</t>
  </si>
  <si>
    <t xml:space="preserve">JAN 12</t>
  </si>
  <si>
    <t xml:space="preserve">10.1186/s12879-022-07029-7</t>
  </si>
  <si>
    <t xml:space="preserve">YF7RN</t>
  </si>
  <si>
    <t xml:space="preserve">WOS:000741999800002</t>
  </si>
  <si>
    <t xml:space="preserve">Oliveira, AD; Costa, MGF; Barbosa, MDV; Costa, CFFC</t>
  </si>
  <si>
    <t xml:space="preserve">Oliveira, Anne de Souza; Costa, Maria Guimaraes Fernandes; Barbosa, Maria das Gracas Vale; Costa Filho, Cicero Ferreira Fernandes Costa</t>
  </si>
  <si>
    <t xml:space="preserve">A new approach for malaria diagnosis in thick blood smear images</t>
  </si>
  <si>
    <t xml:space="preserve">This paper presents a new approach for detecting malaria parasites in full images of thick blood smear using pixel classifiers for obtaining foreground objects and delimiting parasite-stained objects. For both processes, the HSV components were used as input variables of the following pixel classifiers: multilayer perceptron and a decision tree. The obtained patches were classified using a deep neural network with 34 layers, trained from scratch. The image dataset used was divided into sets with different parasite sizes. This enables characterizing performance metrics (accuracy, sensitivity, specificity, precision, and F1-score) for parasite detection with varying parasite sizes. The best metric values were obtained in images with large parasite sizes. For image sets 1 and 2, with large parasite sizes, precision rates of 91.71% and 93.14% were obtained. For image sets 3 and 4, with small parasite sizes, precision rates of 76.58% and 71.58% were obtained. As shown by the literature review, these results are comparable to others previously published. Nevertheless, a rigorous comparison could not be done, as different works use different datasets.</t>
  </si>
  <si>
    <t xml:space="preserve">- Multilayer perceptron (MLP)
- Decision tree (DT)</t>
  </si>
  <si>
    <t xml:space="preserve">- Precision = 91.71% (For image 1)
- Precision = 93.14% (For image 2)
- Precision = 76.58% (For image 3)
- Precision = 71.58% (For image 4)</t>
  </si>
  <si>
    <t xml:space="preserve">Malaria; Convolutional neural networks; Thick blood smear image</t>
  </si>
  <si>
    <t xml:space="preserve">[Oliveira, Anne de Souza; Costa, Maria Guimaraes Fernandes; Costa Filho, Cicero Ferreira Fernandes Costa] Fed Univ Amazonas UFAM, Ctr Res &amp; Dev Elect Technol &amp; Informat CETELI, Manaus, AM, Brazil; [Barbosa, Maria das Gracas Vale] Amazonas State Univ, Manaus, AM, Brazil</t>
  </si>
  <si>
    <t xml:space="preserve">Universidade Federal de Amazonas; Universidade do Estado do Amazonas</t>
  </si>
  <si>
    <t xml:space="preserve">Costa, CFFC (corresponding author), Fed Univ Amazonas UFAM, Ctr Res &amp; Dev Elect Technol &amp; Informat CETELI, Manaus, AM, Brazil.</t>
  </si>
  <si>
    <t xml:space="preserve">ccosta@ufam.edu.br</t>
  </si>
  <si>
    <t xml:space="preserve">Barbosa Guerra, Maria das Graças/AGZ-7397-2022; Filho, Cicero/ACV-8812-2022</t>
  </si>
  <si>
    <t xml:space="preserve">Barbosa Guerra, Maria das Gracas/0000-0002-9579-0951</t>
  </si>
  <si>
    <t xml:space="preserve">THE BOULEVARD, LANGFORD LANE, KIDLINGTON, OXFORD OX5 1GB, OXON, ENGLAND</t>
  </si>
  <si>
    <t xml:space="preserve">10.1016/j.bspc.2022.103931</t>
  </si>
  <si>
    <t xml:space="preserve">3A4RL</t>
  </si>
  <si>
    <t xml:space="preserve">WOS:000827248900001</t>
  </si>
  <si>
    <t xml:space="preserve">Hassan, E; Shams, MY; Hikal, NA; Elmougy, S</t>
  </si>
  <si>
    <t xml:space="preserve">Hassan, Esraa; Shams, Mahmoud Y.; Hikal, Noha A.; Elmougy, Samir</t>
  </si>
  <si>
    <t xml:space="preserve">A Novel Convolutional Neural Network Model for Malaria Cell Images Classification</t>
  </si>
  <si>
    <t xml:space="preserve">Infectious diseases are an imminent danger that faces human beings around the world. Malaria is considered a highly contagious disease. The diagnosis of various diseases, including malaria, was performed manually, but it required a lot of time and had some human errors. Therefore, there is a need to investigate an efficient and fast automatic diagnosis system. Deploying deep learning algorithms can provide a solution in which they can learn complex image patterns and have a rapid improvement in medical image analysis. This study proposed a Convolutional Neural Network (CNN) model to detect malaria automatically. A Malaria Convolutional Neural Network (MCNN) model is proposed in this work to classify the infected cases. MCNN focuses on detecting infected cells, which aids in the computation of parasitemia, or infection measures. The proposed model achieved 0.9929, 0.9848, 0.9859, 0.9924, 0.0152, 0.0141, 0.0071, 0.9890, 0.9894, and 0.9780 in terms of specificity, sensitivity, precision, accuracy, F1-score, and Matthews Correlation Coefficient, respectively. A comparison was carried out between the proposed model and some recent works in the literature. This comparison demonstrates that the proposed model outperforms the compared works in terms of evaluation metrics.</t>
  </si>
  <si>
    <t xml:space="preserve">Egypt</t>
  </si>
  <si>
    <t xml:space="preserve">Convolutional Neural Network</t>
  </si>
  <si>
    <t xml:space="preserve">Deep learning; malaria dataset; diagnostic medical approach</t>
  </si>
  <si>
    <t xml:space="preserve">[Hassan, Esraa; Shams, Mahmoud Y.] Kafrelsheikh Univ, Fac Artificial Intelligence, Kafrelsheikh 33511, Egypt; [Hikal, Noha A.] Mansoura Univ, Fac Comp &amp; Informat, Dept Informat Technol, Mansoura 35516, Egypt; [Hassan, Esraa; Elmougy, Samir] Mansoura Univ, Fac Comp &amp; Informat, Dept Comp Sci, Mansoura 35516, Egypt</t>
  </si>
  <si>
    <t xml:space="preserve">Egyptian Knowledge Bank (EKB); Kafrelsheikh University; Egyptian Knowledge Bank (EKB); Mansoura University; Egyptian Knowledge Bank (EKB); Mansoura University</t>
  </si>
  <si>
    <t xml:space="preserve">Hassan, E (corresponding author), Kafrelsheikh Univ, Fac Artificial Intelligence, Kafrelsheikh 33511, Egypt.;Hassan, E (corresponding author), Mansoura Univ, Fac Comp &amp; Informat, Dept Comp Sci, Mansoura 35516, Egypt.</t>
  </si>
  <si>
    <t xml:space="preserve">esraa.hassan@ai.kfs.edu.eg</t>
  </si>
  <si>
    <t xml:space="preserve">Mougy, Samir/P-9783-2018; Hikal, Noha/F-4180-2019; Shams, Mahmoud Y./AAM-9251-2020</t>
  </si>
  <si>
    <t xml:space="preserve">Shams, Mahmoud Y./0000-0003-3021-5902</t>
  </si>
  <si>
    <t xml:space="preserve">10.32604/cmc.2022.025629</t>
  </si>
  <si>
    <t xml:space="preserve">2P6FU</t>
  </si>
  <si>
    <t xml:space="preserve">WOS:000819835200021</t>
  </si>
  <si>
    <t xml:space="preserve">Ali, Z; Hayat, MF; Shaukat, K; Alam, TM; Hameed, IA; Luo, SH; Basheer, S; Ayadi, M; Ksibi, A</t>
  </si>
  <si>
    <t xml:space="preserve">Ali, Zain; Hayat, Muhammad Faisal; Shaukat, Kamran; Alam, Talha Mahboob; Hameed, Ibrahim A.; Luo, Suhuai; Basheer, Shakila; Ayadi, Manel; Ksibi, Amel</t>
  </si>
  <si>
    <t xml:space="preserve">A Proposed Framework for Early Prediction of Schistosomiasis</t>
  </si>
  <si>
    <t xml:space="preserve">Schistosomiasis is a neglected tropical disease that continues to be a leading cause of illness and mortality around the globe. The causing parasites are affixed to the skin through defiled water and enter the human body. Failure to diagnose Schistosomiasis can result in various medical complications, such as ascites, portal hypertension, esophageal varices, splenomegaly, and growth retardation. Early prediction and identification of risk factors may aid in treating disease before it becomes incurable. We aimed to create a framework by incorporating the most significant features to predict Schistosomiasis using machine learning techniques. A dataset of advanced Schistosomiasis has been employed containing recovery and death cases. A total data of 4316 individuals containing recovery and death cases were included in this research. The dataset contains demographics, socioeconomic, and clinical factors with lab reports. Data preprocessing techniques (missing values imputation, outlier removal, data normalisation, and data transformation) have also been employed for better results. Feature selection techniques, including correlation-based feature selection, Information gain, gain ratio, ReliefF, and OneR, have been utilised to minimise a large number of features. Data resampling algorithms, including Random undersampling, Random oversampling, Cluster Centroid, Near miss, and SMOTE, are applied to address the data imbalance problem. We applied four machine learning algorithms to construct the model: Gradient Boosting, Light Gradient Boosting, Extreme Gradient Boosting and CatBoost. The performance of the proposed framework has been evaluated based on Accuracy, Precision, Recall and F1-Score. The results of our proposed framework stated that the CatBoost model showed the best performance with the highest accuracy of (87.1%) compared with Gradient Boosting (86%), Light Gradient Boosting (86.7%) and Extreme Gradient Boosting (86.9%). Our proposed framework will assist doctors and healthcare professionals in the early diagnosis of Schistosomiasis.</t>
  </si>
  <si>
    <t xml:space="preserve">Pakistan, Australia, Norway, Saudi Arabia</t>
  </si>
  <si>
    <t xml:space="preserve">Demographic data
Socioeconomic data
Clinical data</t>
  </si>
  <si>
    <t xml:space="preserve">- Gradient Boosting
- Light Gradient Boosting
- Extreme Gradient Boosting
- CatBoost</t>
  </si>
  <si>
    <t xml:space="preserve">- CatBoost: accuracy = 87.1%
- Gradient Boosting: accuracy = 86%
- Light Gradient Boosting: Accuracy = 86.7%
- Extreme Gradient Boosting: accuracy = 86.9%</t>
  </si>
  <si>
    <t xml:space="preserve">machine learning; Schistosomiasis; healthcare data; data imbalance; feature selection; data resampling; SMOTE; artificial intelligence</t>
  </si>
  <si>
    <t xml:space="preserve">SMOTE</t>
  </si>
  <si>
    <t xml:space="preserve">[Ali, Zain; Hayat, Muhammad Faisal] Univ Engn &amp; Technol, Dept Comp Engn, Lahore 54890, Pakistan; [Shaukat, Kamran; Luo, Suhuai] Univ Newcastle, Sch Informat &amp; Phys Sci, Newcastle, NSW 2308, Australia; [Shaukat, Kamran] Univ Punjab, Dept Data Sci, Lahore 54890, Pakistan; [Alam, Talha Mahboob] Virtual Univ Pakistan, Dept Comp Sci &amp; Informat Technol, Lahore 54000, Pakistan; [Hameed, Ibrahim A.] Norwegian Univ Sci &amp; Technol, Dept ICT &amp; Nat Sci, N-7034 Trondheim, Norway; [Basheer, Shakila; Ayadi, Manel; Ksibi, Amel] Princess Nourah bint Abdulrahman Univ, Coll Comp &amp; Informat Sci, Dept Informat Syst, POB 84428, Riyadh 11671, Saudi Arabia</t>
  </si>
  <si>
    <t xml:space="preserve">University of Engineering &amp; Technology Lahore; University of Newcastle; University of Punjab; Virtual University of Pakistan; Norwegian University of Science &amp; Technology (NTNU); Princess Nourah bint Abdulrahman University</t>
  </si>
  <si>
    <t xml:space="preserve">Shaukat, K (corresponding author), Univ Newcastle, Sch Informat &amp; Phys Sci, Newcastle, NSW 2308, Australia.;Shaukat, K (corresponding author), Univ Punjab, Dept Data Sci, Lahore 54890, Pakistan.;Hameed, IA (corresponding author), Norwegian Univ Sci &amp; Technol, Dept ICT &amp; Nat Sci, N-7034 Trondheim, Norway.</t>
  </si>
  <si>
    <t xml:space="preserve">kamran.shaukat@uon.edu.au; ibib@ntnu.no</t>
  </si>
  <si>
    <t xml:space="preserve">ayadi, Manel/GQA-3388-2022; Shaukat, Kamran/AAQ-6813-2020; Basheer, shakila/ABG-6755-2021; Alam, Talha/ABB-7024-2020; Ali, Zain/JQW-4616-2023; Ksibi, Amel/D-9495-2013; A. Hameed, Ibrahim/O-7761-2019</t>
  </si>
  <si>
    <t xml:space="preserve">Basheer, Shakila/0000-0001-9032-9560; Ksibi, Amel/0000-0001-6019-5960; A. Hameed, Ibrahim/0000-0003-1252-260X; AYADI, Manel/0000-0001-6786-5365; Shaukat, Kamran/0000-0003-2174-3383; Mahboob Alam, talha/0000-0001-7228-0046</t>
  </si>
  <si>
    <t xml:space="preserve">Princess Nourah bint Abdulrahman University, Riyadh, Saudi Arabia [PNURSP2023R195]</t>
  </si>
  <si>
    <t xml:space="preserve">This research was funded by Princess Nourah bint Abdulrahman University Researchers Supporting Project number (PNURSP2023R195), Princess Nourah bint Abdulrahman University, Riyadh, Saudi Arabia.</t>
  </si>
  <si>
    <t xml:space="preserve">10.3390/diagnostics12123138</t>
  </si>
  <si>
    <t xml:space="preserve">7G0WI</t>
  </si>
  <si>
    <t xml:space="preserve">WOS:000902255700001</t>
  </si>
  <si>
    <t xml:space="preserve">Sengar, N; Burget, R; Dutta, MK</t>
  </si>
  <si>
    <t xml:space="preserve">Sengar, Neha; Burget, Radim; Dutta, Malay Kishore</t>
  </si>
  <si>
    <t xml:space="preserve">A vision transformer based approach for analysis of plasmodium vivax life cycle for malaria prediction using thin blood smear microscopic images</t>
  </si>
  <si>
    <t xml:space="preserve">Background and objectives: Microscopic images are an important part for haematologists in diagnosing var-ious diseases in the blood cell. Changes in blood cells are caused by malaria disease, and early diagnosis can prevent the disease from entering its severe stage.Methods: In this paper, an automated non-invasive and efficient deep learning-based framework is de-veloped for multi-class plasmodium vivax life cycle classification and malaria diagnosis. A multi-class microscopic blood cell of different plasmodium vivax life cycle stage dataset is analysed, and a diagnostic framework is designed. Several stages of the disease are examined and augmented through various tech-niques to make the framework robust in real-time. Generative adversarial network is specially designed to generate extended training samples of various life cycle stages to increase robustness of the resulting model. A special transformer-based neural network vision transformer is designed to improve generalisa-tion capabilities. Microscopic images are classified into multi classes of plasmodium vivax life cycle stage, where the keystone transformer layers extract relevant disease features from microscopic colour images, and the extracted relevant features are used to make predictive diagnostic decisions.Results: The capabilities of the vision transformer are computed and analysed by statistical parameters, and the performance of the vision transformer model is compared with baseline architectures, where it was evident that the performance of the vision transformer was significantly better, reaching 90.03% accuracy.Conclusions: A comprehensive comparison of the proposed framework to the state-of-the-art methods proves its efficiency in the classification of plasmodium vivax life cycle for malaria disease identification through thin blood smear microscopic images.(c) 2022 Elsevier B.V. All rights reserved.</t>
  </si>
  <si>
    <t xml:space="preserve">India, Czech Republic</t>
  </si>
  <si>
    <t xml:space="preserve">- Accuracy = 90.03%</t>
  </si>
  <si>
    <t xml:space="preserve">Deep Learning; Malaria Disease; Microscopic Images; Image Classification; Medical Imaging; Neural Networks; Vision Transformer</t>
  </si>
  <si>
    <t xml:space="preserve">[Sengar, Neha; Dutta, Malay Kishore] Ctr Adv Studies, Lucknow, India; [Burget, Radim] Brno Univ Technol, Dept Telecommun, FEEC, Brno 61600, Czech Republic; [Dutta, Malay Kishore] Dr APJ Abdul Kalam Tech Univ, Ctr Adv Studies, Lucknow 226031, Uttar Pradesh, India</t>
  </si>
  <si>
    <t xml:space="preserve">Dr. A.P.J. Abdul Kalam Technical University (AKTU); Centre for Advanced Studies (CAS, AKTU); Brno University of Technology; Dr. A.P.J. Abdul Kalam Technical University (AKTU); Centre for Advanced Studies (CAS, AKTU)</t>
  </si>
  <si>
    <t xml:space="preserve">Dutta, MK (corresponding author), Dr APJ Abdul Kalam Tech Univ, Ctr Adv Studies, Lucknow 226031, Uttar Pradesh, India.</t>
  </si>
  <si>
    <t xml:space="preserve">malaykishoredutta@gmail.com</t>
  </si>
  <si>
    <t xml:space="preserve">Dutta, Malay Kishore/0000-0003-2462-737X</t>
  </si>
  <si>
    <t xml:space="preserve">10.1016/j.cmpb.2022.106996</t>
  </si>
  <si>
    <t xml:space="preserve">3R6LM</t>
  </si>
  <si>
    <t xml:space="preserve">WOS:000839021700010</t>
  </si>
  <si>
    <t xml:space="preserve">Marçal, PHF; de Souza, MLM; Gama, RS; de Oliveira, LBP; Gomes, MD; do Amaral, LR; Pinheiro, RO; Sarno, EN; Moraes, MO; Fairley, JK; Martins, OA; Fraga, LAD</t>
  </si>
  <si>
    <t xml:space="preserve">Ferreira Marcal, Pedro Henrique; Moreira de Souza, Marcio Luis; Gama, Rafael Silva; Pereira de Oliveira, Lorena Bruna; Gomes, Matheus de Souza; do Amaral, Laurence Rodrigues; Pinheiro, Roberta Olmo; Sarno, Euzenir Nunes; Moraes, Milton Ozorio; Fairley, Jessica K.; Martins-Filho, Olindo Assis; de Oliveira Fraga, Lucia Alves</t>
  </si>
  <si>
    <t xml:space="preserve">Algorithm Design for a Cytokine Release Assay of Antigen-Specific In Vitro Stimuli of Circulating Leukocytes to Classify Leprosy Patients and Household Contacts</t>
  </si>
  <si>
    <t xml:space="preserve">Background. Immunological biomarkers have often been used as a complementary approach to support clinical diagnosis in several infectious diseases. The lack of commercially available laboratory tests for conclusive early diagnosis of leprosy has motivated the search for novel methods for accurate diagnosis. In the present study, we describe an integrated analysis of a cytokine release assay using a machine learning approach to create a decision tree algorithm. This algorithm was used to classify leprosy clinical forms and monitor household contacts. Methods. A model of Mycobacterium leprae antigen-specific in vitro assay with subsequent cytokine measurements by enzyme-linked immunosorbent assay was employed to measure the levels of tumor necrosis factor (TNF), interferon-gamma, interleukin 4, and interleukin 10 (IL-10) in culture supernatants of peripheral blood mononuclear cells from patients with leprosy, healthy controls, and household contacts. Receiver operating characteristic curve analysis was carried out to define each cytokine's global accuracy and performance indices to identify clinical subgroups. Results. Data demonstrated that TNF (control culture [CC]: AUC = 0.72; antigen-stimulated culture [Ml]: AUC = 0.80) and IL-10 (CC: AUC = 0.77; Ml: AUC = 0.71) were the most accurate biomarkers to classify subgroups of household contacts and patients with leprosy, respectively. Decision tree classifier algorithms for TNF analysis categorized subgroups of household contacts according to the operational classification with moderate accuracy (CC: 79% [48/61]; Ml: 84% [51/61]). Additionally, IL-10 analysis categorized leprosy patients' subgroups with moderate accuracy (CC: 73% [22/30] and Ml: 70% [21/30]). Conclusions. Together, our findings demonstrated that a cytokine release assay is a promising method to complement clinical diagnosis, ultimately contributing to effective control of the disease.</t>
  </si>
  <si>
    <t xml:space="preserve">Immunological assay dataset</t>
  </si>
  <si>
    <t xml:space="preserve">TFN Analysis categorized subgroups
- Moderate accuracy (CC: 79% [48/61]; Ml: 84% [51/61])
L-10 analysis categorized subgroups
- Moderate accuracy (CC: 73% [22/30] and Ml: 70% [21/30])</t>
  </si>
  <si>
    <t xml:space="preserve">OPEN FORUM INFECTIOUS DISEASES</t>
  </si>
  <si>
    <t xml:space="preserve">algorithm design; cytokine assay; differential diagnosis; household contacts; leprosy</t>
  </si>
  <si>
    <t xml:space="preserve">[Ferreira Marcal, Pedro Henrique; Gama, Rafael Silva; Pereira de Oliveira, Lorena Bruna] Univ Vale Rio Doce Univale, Governador Valadares, MG, Brazil; [Moreira de Souza, Marcio Luis; de Oliveira Fraga, Lucia Alves] Univ Fed Juiz de Fora, Inst Ciencias Vida, Programa Multicentrio Bioquim Biol Mol Nucl Pesqu, Governador Valadares, MG, Brazil; [Gomes, Matheus de Souza; do Amaral, Laurence Rodrigues] Univ Fed Uberlandia, Inst Genet &amp; Biochem, Lab Bioinformat &amp; Analises Mol, Fac Comp Sci, Patos Minas, MG, Brazil; [Pinheiro, Roberta Olmo; Sarno, Euzenir Nunes; Moraes, Milton Ozorio] Fundacao Oswaldo Cruz, Inst Oswaldo Cruz, Lab Hanseniase, Rio De Janeiro, RJ, Brazil; [Fairley, Jessica K.] Emory Univ, Div Infect Dis, Dept Med, Sch Med, Atlanta, GA USA; [Martins-Filho, Olindo Assis] Fundacao Oswaldo Cruz, Inst Rene Rachou, Belo Horizonte, MG, Brazil</t>
  </si>
  <si>
    <t xml:space="preserve">University Vale Rio Doce; Universidade Federal de Juiz de Fora; Universidade Federal de Uberlandia; Fundacao Oswaldo Cruz; Emory University; Fundacao Oswaldo Cruz; Fiocruz - Research Center Rene Rachou</t>
  </si>
  <si>
    <t xml:space="preserve">Marçal, PHF (corresponding author), Univ Vale Rio Doce Univale, Lab Imunol, Nucleo Saude, Rua Israel Pinheiro 2000, BR-35020220 Governador Valadares, MG, Brazil.</t>
  </si>
  <si>
    <t xml:space="preserve">phfmarcal@gmail.com</t>
  </si>
  <si>
    <t xml:space="preserve">Silva Gama, Rafael/LUY-7428-2024; Martins-Filho, Olindo Assis/ABE-6278-2021; Ozorio Moraes, Milton/G-9753-2011; de Souza Gomes, Matheus/G-3480-2012; Pinheiro, Roberta/A-2525-2013</t>
  </si>
  <si>
    <t xml:space="preserve">Ozorio Moraes, Milton/0000-0003-2653-0037; Martins-Filho, Olindo Assis/0000-0002-5494-4889; MARCAL, PEDRO/0000-0001-5369-6310; de Souza Gomes, Matheus/0000-0001-7352-3089; Pinheiro, Roberta/0000-0001-8471-4227</t>
  </si>
  <si>
    <t xml:space="preserve">Conselho de Desenvolvimento Tecnologico e Cientifico, Brazilian National Council for Scientific and Technological Development (CNPq) [DECIT 2008, DECIT 2012, CNPQ/MS/NIH 404189/2019-9]; Fundacao de Amparo a Pesquisa de Minas Gerais [CBB-APQ-01379-15]; Fundacao Nacional de Saude - Ministerio da Saude, Brazil [TC 304/2013/FNS/MS]; Coordenacao de Aperfeicoamento de Pessoal de Nivel Superior; CNPq; Fundacao de Amparo a Pesquisa do Estado do Amazonas (PVN-II, PRO-ESTADO program) [005/2019]</t>
  </si>
  <si>
    <t xml:space="preserve">Conselho de Desenvolvimento Tecnologico e Cientifico, Brazilian National Council for Scientific and Technological Development (CNPq)(Conselho Nacional de Desenvolvimento Cientifico e Tecnologico (CNPQ)Fundacao de Apoio a Pesquisa do Distrito Federal (FAPDF)); Fundacao de Amparo a Pesquisa de Minas Gerais(Fundacao de Amparo a Pesquisa do Estado de Minas Gerais (FAPEMIG)); Fundacao Nacional de Saude - Ministerio da Saude, Brazil; Coordenacao de Aperfeicoamento de Pessoal de Nivel Superior(Coordenacao de Aperfeicoamento de Pessoal de Nivel Superior (CAPES)); CNPq(Conselho Nacional de Desenvolvimento Cientifico e Tecnologico (CNPQ)); Fundacao de Amparo a Pesquisa do Estado do Amazonas (PVN-II, PRO-ESTADO program)</t>
  </si>
  <si>
    <t xml:space="preserve">This work was supported by Conselho de Desenvolvimento Tecnologico e Cientifico, Brazilian National Council for Scientific and Technological Development (CNPq) (DECIT 2008, DECIT 2012 and CNPQ/MS/NIH 404189/2019-9); Fundacao de Amparo a Pesquisa de Minas Gerais (CBB-APQ-01379-15); Fundacao Nacional de Saude - Ministerio da Saude, Brazil (TC 304/2013/FNS/MS); and Coordenacao de Aperfeicoamento de Pessoal de Nivel Superior. O. A. M.-F. has received Productivity in Research fellowships from CNPq and is a research fellow for Fundacao de Amparo a Pesquisa do Estado do Amazonas (PVN-II, PRO-ESTADO program number 005/2019).</t>
  </si>
  <si>
    <t xml:space="preserve">2328-8957</t>
  </si>
  <si>
    <t xml:space="preserve">OPEN FORUM INFECT DI</t>
  </si>
  <si>
    <t xml:space="preserve">Open Forum Infect. Dis.</t>
  </si>
  <si>
    <t xml:space="preserve">10.1093/ofid/ofac036</t>
  </si>
  <si>
    <t xml:space="preserve">FEB 2022</t>
  </si>
  <si>
    <t xml:space="preserve">DF2A3</t>
  </si>
  <si>
    <t xml:space="preserve">WOS:001130537600006</t>
  </si>
  <si>
    <t xml:space="preserve">Bolon, I; Picek, L; Durso, AM; Alcoba, G; Chappuis, F; de Castañeda, RR</t>
  </si>
  <si>
    <t xml:space="preserve">Bolon, Isabelle; Picek, Lukas; Durso, Andrew M.; Alcoba, Gabriel; Chappuis, Francois; de Castaneda, Rafael Ruiz</t>
  </si>
  <si>
    <t xml:space="preserve">An artificial intelligence model to identify snakes from across the world: Opportunities and challenges for global health and herpetology</t>
  </si>
  <si>
    <t xml:space="preserve">Background Snakebite envenoming is a neglected tropical disease that kills an estimated 81,000 to 138,000 people and disables another 400,000 globally every year. The World Health Organization aims to halve this burden by 2030. To achieve this ambitious goal, we need to close the data gap in snake ecology and snakebite epidemiology and give healthcare providers up-to-date knowledge and access to better diagnostic tools. An essential first step is to improve the capacity to identify biting snakes taxonomically. The existence of AI-based identification tools for other animals offers an innovative opportunity to apply machine learning to snake identification and snakebite envenoming, a life-threatening situation. Methodology We developed an AI model based on Vision Transformer, a recent neural network architecture, and a comprehensive snake photo dataset of 386,006 training photos covering 198 venomous and 574 non-venomous snake species from 188 countries. We gathered photos from online biodiversity platforms (iNaturalist and HerpMapper) and a photo-sharing site (Flickr). Principal findings The model macro-averaged F1 score, which reflects the species-wise performance as averaging performance for each species, is 92.2%. The accuracy on a species and genus level is 96.0% and 99.0%, respectively. The average accuracy per country is 94.2%. The model accurately classifies selected venomous and non-venomous lookalike species from Southeast Asia and sub-Saharan Africa. Conclusions To our knowledge, this model's taxonomic and geographic coverage and performance are unprecedented. This model could provide high-speed and low-cost snake identification to support snakebite victims and healthcare providers in low-resource settings, as well as zoologists, conservationists, and nature lovers from across the world.</t>
  </si>
  <si>
    <t xml:space="preserve">Switzerland, Czechia, United States of America</t>
  </si>
  <si>
    <t xml:space="preserve">- Southeast Asia
- sub-Saharan Africa</t>
  </si>
  <si>
    <t xml:space="preserve">Snake photo dataset</t>
  </si>
  <si>
    <t xml:space="preserve">Snakebite envenoming</t>
  </si>
  <si>
    <t xml:space="preserve">AI model based on Vision Transformer</t>
  </si>
  <si>
    <t xml:space="preserve">- Macro-averaged F1 score = 92.2%
- Accuracy = 96.0% (on a species) and 99.0% (on genus leavel)</t>
  </si>
  <si>
    <t xml:space="preserve">- Incomplete species coverage in training dataset.
- Evaluation dataset may not reflect real world scenarios.
- Limited comparision of lookalike species.</t>
  </si>
  <si>
    <t xml:space="preserve">CARE PROVIDERS</t>
  </si>
  <si>
    <t xml:space="preserve">[Bolon, Isabelle; Alcoba, Gabriel; de Castaneda, Rafael Ruiz] Univ Geneva, Fac Med, Inst Global Hlth, Dept Community Hlth &amp; Med, Geneva, Switzerland; [Picek, Lukas] Univ West Bohemia, Fac Appl Sci, Dept Cybernet, Plzen, Czech Republic; [Picek, Lukas] PiVa Al Sro, Plzen, Czech Republic; [Durso, Andrew M.] Florida Gulf Coast Univ, Dept Biol Sci, Ft Myers, FL USA; [Alcoba, Gabriel; Chappuis, Francois; de Castaneda, Rafael Ruiz] Geneva Univ Hosp, Div Trop &amp; Humanitarian Med, Geneva, Switzerland; [Alcoba, Gabriel; Chappuis, Francois; de Castaneda, Rafael Ruiz] Univ Geneva, Geneva, Switzerland; [Alcoba, Gabriel] Med Sans Frontieres Doctors Borders, Geneva, Switzerland; [Chappuis, Francois] Univ Geneva, Fac Med, Dept Community Hlth &amp; Med, Geneva, Switzerland</t>
  </si>
  <si>
    <t xml:space="preserve">University of Geneva; University of West Bohemia Pilsen; State University System of Florida; Florida Gulf Coast University; University of Geneva; University of Geneva; Doctors Without Borders; University of Geneva</t>
  </si>
  <si>
    <t xml:space="preserve">Bolon, I (corresponding author), Univ Geneva, Fac Med, Inst Global Hlth, Dept Community Hlth &amp; Med, Geneva, Switzerland.</t>
  </si>
  <si>
    <t xml:space="preserve">Isabelle.Bolon@unige.ch</t>
  </si>
  <si>
    <t xml:space="preserve">Durso, Andrew/D-1657-2012; ALCOBA, Gabriel/AAQ-6918-2021; Bolon, Isabelle/O-8676-2019; Picek, Lukáš/HLX-8615-2023</t>
  </si>
  <si>
    <t xml:space="preserve">Picek, Lukas/0000-0002-6041-9722; Bolon, Isabelle/0000-0001-5940-2731</t>
  </si>
  <si>
    <t xml:space="preserve">Fondation privee des Hopitaux Universitaires de Geneve [QS04-20]; University of West Bohemia [SGS-2022-017]; Technology Agency of the Czech Republic [SS05010008]</t>
  </si>
  <si>
    <t xml:space="preserve">Fondation privee des Hopitaux Universitaires de Geneve; University of West Bohemia; Technology Agency of the Czech Republic</t>
  </si>
  <si>
    <t xml:space="preserve">This work was funded by the Fondation privee des Hopitaux Universitaires de Geneve (grant number QS04-20) https://www.fondationhug.org/.The grant was awarded to IB and RRdC. AMD was supported by this grant. LP was supported by the project No. SGS-2022-017 of the University of West Bohemia and by the Technology Agency of the Czech Republic, project No. SS05010008. The funders had no role in study design, data collection and analysis, decision to publish, or preparation of the manuscript.</t>
  </si>
  <si>
    <t xml:space="preserve">e0010647</t>
  </si>
  <si>
    <t xml:space="preserve">10.1371/journal.pntd.0010647</t>
  </si>
  <si>
    <t xml:space="preserve">8J6IH</t>
  </si>
  <si>
    <t xml:space="preserve">WOS:000922516300025</t>
  </si>
  <si>
    <t xml:space="preserve">Diker, A</t>
  </si>
  <si>
    <t xml:space="preserve">Diker, Aykut</t>
  </si>
  <si>
    <t xml:space="preserve">An efficient model of residual based convolutional neural network with Bayesian optimization for the classification of malarial cell images</t>
  </si>
  <si>
    <t xml:space="preserve">Background: Malaria is a disease caused by the Plasmodium parasite, which results in millions of deaths in the human population worldwide each year. It is therefore considered a major global health issue with a massive disease burden. Accurate and rapid diagnosis of malaria is important for treatment. Rapid diagnosis of this disease will be very valuable for patients, as traditional methods require tedious work for its detection. The aim of the study is to classify malaria cell images using machine learning and deep learning methods.Material &amp; methods: The National Institutes of Health (NIH) database was used for malaria cell images classifi-cation as infected and uninfected, with a total of 27,558 malaria cell images used in the experimental study. Additionally, the training option parameters (initial learning rate, L2 regularization, and momentum values) of the Residual Convolutional Neural Network (CNN) were optimized using the Bayesian method. In the study, Residual CNN, k-Nearest Neighbors (k-NN), and Support Vector Machine (SVM) classifiers were used to classify the malaria cell images. Neighborhood Components Analysis (NCA) were observed to increase the performance of classifiers used in the classification of malaria cell images.Results and conclusion: The Accuracy (Acc), Sensitivity (Se), Specificity (Spe), and F-score were used as the performance metrics for the classifier performances. The best classification results were achieved with SVM (Acc 99.90%, Se 99.98%, Spe 87.50%, and F-Score 99.90%). As a result, a high level of classification performance was achieved from creating a hybrid model with Bayesian optimization and Deep Residual CNN features.</t>
  </si>
  <si>
    <t xml:space="preserve">Cell images</t>
  </si>
  <si>
    <t xml:space="preserve">- CNN
- SVM
- KNN</t>
  </si>
  <si>
    <t xml:space="preserve">Best classification results with SVM
- Accuracy = 99.00%
- Sensitivity = 99.98%
- Specificity = 87.50%
- F-Score = 99.90%</t>
  </si>
  <si>
    <t xml:space="preserve">Malaria cells classification; Residual convolutional neural network; Bayesian optimization; SVM</t>
  </si>
  <si>
    <t xml:space="preserve">IDENTIFICATION</t>
  </si>
  <si>
    <t xml:space="preserve">[Diker, Aykut] Bandirma Onyedi Eylul Univ, Fac Engn &amp; Nat Sci, Dept Software Engn, TR-10200 Bandirma, Balikesir, Turkey</t>
  </si>
  <si>
    <t xml:space="preserve">Bandirma Onyedi Eylul University</t>
  </si>
  <si>
    <t xml:space="preserve">Diker, A (corresponding author), Bandirma Onyedi Eylul Univ, Fac Engn &amp; Nat Sci, Dept Software Engn, TR-10200 Bandirma, Balikesir, Turkey.</t>
  </si>
  <si>
    <t xml:space="preserve">aykutdiker@gmail.com</t>
  </si>
  <si>
    <t xml:space="preserve">DIKER, AYKUT/AAM-6054-2020</t>
  </si>
  <si>
    <t xml:space="preserve">DIKER, AYKUT/0000-0002-1207-8548</t>
  </si>
  <si>
    <t xml:space="preserve">10.1016/j.compbiomed.2022.105635</t>
  </si>
  <si>
    <t xml:space="preserve">4H7EK</t>
  </si>
  <si>
    <t xml:space="preserve">WOS:000850039100006</t>
  </si>
  <si>
    <t xml:space="preserve">Loddo, A; Fadda, C; Di Ruberto, C</t>
  </si>
  <si>
    <t xml:space="preserve">Loddo, Andrea; Fadda, Corrado; Di Ruberto, Cecilia</t>
  </si>
  <si>
    <t xml:space="preserve">An Empirical Evaluation of Convolutional Networks for Malaria Diagnosis</t>
  </si>
  <si>
    <t xml:space="preserve">Malaria is a globally widespread disease caused by parasitic protozoa transmitted to humans by infected female mosquitoes of Anopheles. It is caused in humans only by the parasite Plasmodium, further classified into four different species. Identifying malaria parasites is possible by analysing digital microscopic blood smears, which is tedious, time-consuming and error prone. So, automation of the process has assumed great importance as it helps the laborious manual process of review and diagnosis. This work focuses on deep learning-based models, by comparing off-the-shelf architectures for classifying healthy and parasite-affected cells, by investigating the four-class classification on the Plasmodium falciparum stages of life and, finally, by evaluating the robustness of the models with cross-dataset experiments on two different datasets. The main contributions to the research in this field can be resumed as follows: (i) comparing off-the-shelf architectures in the task of classifying healthy and parasite-affected cells, (ii) investigating the four-class classification on the P. falciparum stages of life and (iii) evaluating the robustness of the models with cross-dataset experiments. Eleven well-known convolutional neural networks on two public datasets have been exploited. The results show that the networks have great accuracy in binary classification, even though they lack few samples per class. Moreover, the cross-dataset experiments exhibit the need for some further regulations. In particular, ResNet-18 achieved up to 97.68% accuracy in the binary classification, while DenseNet-201 reached 99.40% accuracy on the multiclass classification. The cross-dataset experiments exhibit the limitations of deep learning approaches in such a scenario, even though combining the two datasets permitted DenseNet-201 to reach 97.45% accuracy. Naturally, this needs further investigation to improve the robustness. In general, DenseNet-201 seems to offer the most stable and robust performance, offering as a crucial candidate to further developments and modifications. Moreover, the mobile-oriented architectures showed promising and satisfactory performance in the classification of malaria parasites. The obtained results enable extensive improvements, specifically oriented to the application of object detectors for type and stage of life recognition, even in mobile environments.</t>
  </si>
  <si>
    <t xml:space="preserve">Bangladesh
Switzerland</t>
  </si>
  <si>
    <t xml:space="preserve">- ResNet achived accuracy up to 97.68% in the binary classification
- DenseNet-201 reached 99.40% accuracy on the multiclass classification
- DenseNet-201 reached 97.45 accuracy (combined dataset)</t>
  </si>
  <si>
    <t xml:space="preserve">computer vision; deep learning; image processing; malaria parasites detection; malaria parasites classification</t>
  </si>
  <si>
    <t xml:space="preserve">SEGMENTATION; CLASSIFICATION; ARCHITECTURES; EFFICIENT; PARASITE</t>
  </si>
  <si>
    <t xml:space="preserve">[Loddo, Andrea; Fadda, Corrado; Di Ruberto, Cecilia] Univ Cagliari, Dept Math &amp; Comp Sci, Via Osped 72, I-09124 Cagliari, Italy</t>
  </si>
  <si>
    <t xml:space="preserve">Loddo, A (corresponding author), Univ Cagliari, Dept Math &amp; Comp Sci, Via Osped 72, I-09124 Cagliari, Italy.</t>
  </si>
  <si>
    <t xml:space="preserve">andrea.loddo@unica.it; corradofadda1996@gmail.com; dirubert@unica.it</t>
  </si>
  <si>
    <t xml:space="preserve">Fadda, Corrado/0000-0002-7816-5943; Di Ruberto, Cecilia/0000-0003-4641-0307; LODDO, ANDREA/0000-0002-6571-3816</t>
  </si>
  <si>
    <t xml:space="preserve">10.3390/jimaging8030066</t>
  </si>
  <si>
    <t xml:space="preserve">0C0WT</t>
  </si>
  <si>
    <t xml:space="preserve">WOS:000775044300001</t>
  </si>
  <si>
    <t xml:space="preserve">Nayak, SR; Nayak, J; Vimal, S; Arora, V; Sinha, U</t>
  </si>
  <si>
    <t xml:space="preserve">Nayak, Soumya Ranjan; Nayak, Janmenjoy; Vimal, S.; Arora, Vaibhav; Sinha, Utkarsh</t>
  </si>
  <si>
    <t xml:space="preserve">An ensemble artificial intelligence-enabled MIoT for automated diagnosis of malaria parasite</t>
  </si>
  <si>
    <t xml:space="preserve">Rapid advancements in Information and Communication Technologies (ICT) and artificial intelligence (AI) applications permeating to all spheres of life, including medical prognosis, have led modern clinical systems to tread the path of advanced Internet of Medical Things (IoMT) by infusing advanced learning technologies, particularly deep learning. Automated diagnosis of malarial infection using AI-enabled IoMT holds the promise of sustainable prognosis by reducing diagnosis error significantly with improved recognition accuracy. Existing automated diagnostic systems usually employ classical deep learning models wherein setting parameter values such as automatic learning rate selection, weight management etc. are a major concern. To address these issues, this paper proposes a collaborative ensemble AI-enabled IoMT automated diagnosis model to classify malaria parasitized from microscopic images. The proposed model consists of two main stages. In the first stage, a Snapshot ensemble learning model is conjured upon by a combination of three distinct layers of Convolutional, Batch Normalization, and Relu networks; that alters the learning rate aggressively during training phase thus providing different network weights that gives multiple models by training a single model. In the second stage, an ensemble of three transfer learning models is constructed, and finally the average ensemble result is obtained. The learning rates at both these stages are empirically selected through Cosine Annealing. Experiment on the malaria parasite image dataset demonstrates the superiority of the proposed model with respect to a baseline algorithm.</t>
  </si>
  <si>
    <t xml:space="preserve">EXPERT SYSTEMS</t>
  </si>
  <si>
    <t xml:space="preserve">CNN; ensemble learning; IoTM; kappa score; malaria; Matthew's correlation; parasitized</t>
  </si>
  <si>
    <t xml:space="preserve">HEALTH-CARE; INTERNET; THINGS</t>
  </si>
  <si>
    <t xml:space="preserve">[Nayak, Soumya Ranjan; Arora, Vaibhav; Sinha, Utkarsh] Amity Univ Uttar Pradesh, Amity Sch Engn &amp; Technol, Noida, India; [Nayak, Janmenjoy] Aditya Inst Technol &amp; Management, Kotturu, Andhra Pradesh, India; [Vimal, S.] Ramco Inst Technol, Dept AI &amp; DS, Rajapalayam, Tamil Nadu, India</t>
  </si>
  <si>
    <t xml:space="preserve">Amity University Noida</t>
  </si>
  <si>
    <t xml:space="preserve">Nayak, J (corresponding author), Aditya Inst Technol &amp; Management, Kotturu, Andhra Pradesh, India.</t>
  </si>
  <si>
    <t xml:space="preserve">jnayak.cse@adityatekkali.edu.in</t>
  </si>
  <si>
    <t xml:space="preserve">SHANMUGANATHAN, VIMAL/E-9551-2016; Nayak, Dr. Soumya Ranjan/S-5908-2018; NAYAK, JANMENJOY/V-6663-2018</t>
  </si>
  <si>
    <t xml:space="preserve">shanmuganthan, vimal/0000-0002-1467-1206; Nayak, Dr. Soumya Ranjan/0000-0002-4155-884X; NAYAK, JANMENJOY/0000-0002-9746-6557</t>
  </si>
  <si>
    <t xml:space="preserve">0266-4720</t>
  </si>
  <si>
    <t xml:space="preserve">1468-0394</t>
  </si>
  <si>
    <t xml:space="preserve">EXPERT SYST</t>
  </si>
  <si>
    <t xml:space="preserve">Expert Syst.</t>
  </si>
  <si>
    <t xml:space="preserve">e12906</t>
  </si>
  <si>
    <t xml:space="preserve">10.1111/exsy.12906</t>
  </si>
  <si>
    <t xml:space="preserve">Computer Science, Artificial Intelligence; Computer Science, Theory &amp; Methods</t>
  </si>
  <si>
    <t xml:space="preserve">0F3NF</t>
  </si>
  <si>
    <t xml:space="preserve">WOS:000728419500001</t>
  </si>
  <si>
    <t xml:space="preserve">Marques, G; Ferreras, A; de la Torre-Diez, I</t>
  </si>
  <si>
    <t xml:space="preserve">Marques, Goncalo; Ferreras, Antonio; de la Torre-Diez, Isabel</t>
  </si>
  <si>
    <t xml:space="preserve">An ensemble-based approach for automated medical diagnosis of malaria using EfficientNet</t>
  </si>
  <si>
    <t xml:space="preserve">Each year, more than 400,000 people die of malaria. Malaria is a mosquito-borne transmissible infection that affects humans and other animals. According to World Health Organization (WHO), 1.5 billion malaria cases and 7.6 million related deaths have been prevented from 2000 to 2019. Malaria is a disease that can be treated if early detected. We propose a support decision system for detecting malaria from microscopic peripheral blood cells images through convolutional neural networks (CNN). The proposed model is based on EfficientNetB0 architecture. The results are validated with 10-fold stratified cross-validation. This paper presents the classification findings using images from malaria patients and normal patients. The proposed approach is compared and outperforms the related work. Furthermore, the proposed ensemble method shows a recall value of 98.82%, a precision value of 97.74%, an F1-score of 98.28% and a ROC value of 99.76%. This work suggests that EfficientNet is a reliable architecture for automatic medical diagnostics of malaria.</t>
  </si>
  <si>
    <t xml:space="preserve">CNN based on EfficientNetB0 architecture</t>
  </si>
  <si>
    <t xml:space="preserve">- Recall = 98.82%
- Precision = 97.74%
- F1-Score = 98.28%
- ROC = 99.76%</t>
  </si>
  <si>
    <t xml:space="preserve">Convolutional neural networks; EfficientNet; Health informatics; Machine learning; Malaria</t>
  </si>
  <si>
    <t xml:space="preserve">IMAGE-ANALYSIS; RECOGNITION; ERYTHROCYTES</t>
  </si>
  <si>
    <t xml:space="preserve">[Marques, Goncalo; Ferreras, Antonio; de la Torre-Diez, Isabel] Univ Valladolid, Dept Signal Theory &amp; Commun &amp; Telemat Engn, Paseo de Belen 15, Valladolid 47011, Spain</t>
  </si>
  <si>
    <t xml:space="preserve">Universidad de Valladolid</t>
  </si>
  <si>
    <t xml:space="preserve">Marques, G (corresponding author), Univ Valladolid, Dept Signal Theory &amp; Commun &amp; Telemat Engn, Paseo de Belen 15, Valladolid 47011, Spain.</t>
  </si>
  <si>
    <t xml:space="preserve">goncalosantosmanques@gmail.com; antonio.ferrerasextremo@gmail.com; isator@tel.uva.es</t>
  </si>
  <si>
    <t xml:space="preserve">de la Torre, Isabel/B-7064-2008; Marques, Goncalo/N-1805-2018</t>
  </si>
  <si>
    <t xml:space="preserve">Marques, Goncalo/0000-0001-5834-6571; De la Torre, Isabel/0000-0003-3134-7720</t>
  </si>
  <si>
    <t xml:space="preserve">10.1007/s11042-022-12624-6</t>
  </si>
  <si>
    <t xml:space="preserve">MAR 2022</t>
  </si>
  <si>
    <t xml:space="preserve">3B2OW</t>
  </si>
  <si>
    <t xml:space="preserve">WOS:000774644100012</t>
  </si>
  <si>
    <t xml:space="preserve">Sood, SK; Rawat, KS; Kumar, D</t>
  </si>
  <si>
    <t xml:space="preserve">Sood, Sandeep Kumar; Rawat, Keshav Singh; Kumar, Dheeraj</t>
  </si>
  <si>
    <t xml:space="preserve">Analytical mapping of information and communication technology in emerging infectious diseases using CiteSpace</t>
  </si>
  <si>
    <t xml:space="preserve">The prevalence of severe infectious diseases has become a major global health concern. Currently, the COVID-19 outbreak has spread across the world and has created an unprecedented humanitarian crisis. The proliferation of novel viruses has put traditional health systems under immense pressure and posed several serious issues. Henceforth, early detection, identification, rapid testing, and advanced surveillance systems are required to address public health emergencies. However, Information and Communication Technology (ICT) tackles several issues raised by this pandemic and significantly improves the quality of services in the health care sector. This paper presents an ICT-assisted scientometric analysis of infectious diseases, namely, airborne, food &amp; waterborne, fomite-borne, sexually transmitted illnesses, and vector-borne illnesses. It assesses the international research status of this field in terms of citation structure, prolific journals, and country contributions. It has used the CiteSpace tool to address the visualization needs and indepth insights of scientific literature to pinpoint core hotspots, research frontiers, emerging research areas, and ICT trends. The research finding reveals that mobile apps, telemedicine, and artificial intelligence technologies have greater scope to reduce the threats of infectious diseases. COVID-19, influenza, HIV, and malaria viruses have been identified as research hotspots whereas COVID-19, contact tracing applications, security and privacy concerns about users' data are the recent challenges in this field that need to address. The United States has produced higher research output in all domains of infectious diseases. Furthermore, it explores the co-occurrence network analysis and intellectual landscape of each domain of infectious diseases. It provides potential research directions and insightful clues to researchers and the academic fraternity for further research.</t>
  </si>
  <si>
    <t xml:space="preserve">TELEMATICS AND INFORMATICS</t>
  </si>
  <si>
    <t xml:space="preserve">3D Printing; Artificial Intelligence; Medical Imaging; Big Data Analytics; Information and Communication Technology; Social Media; Mobile Technology; COVID-19</t>
  </si>
  <si>
    <t xml:space="preserve">MEN; SEX</t>
  </si>
  <si>
    <t xml:space="preserve">[Sood, Sandeep Kumar] Natl Inst Technol, Dept Comp Aplicat, Kurukshetra 136119, Haryana, India; [Rawat, Keshav Singh; Kumar, Dheeraj] Cent Univ Himachal Pradesh, Dept Comp Sci &amp; Informat, Dharmashala 176215, Himachal Prades, India</t>
  </si>
  <si>
    <t xml:space="preserve">National Institute of Technology (NIT System); National Institute of Technology Kurukshetra; Central University of Himachal Pradesh</t>
  </si>
  <si>
    <t xml:space="preserve">Kumar, D (corresponding author), Cent Univ Himachal Pradesh, Dept Comp Sci &amp; Informat, Dharmashala 176215, Himachal Prades, India.</t>
  </si>
  <si>
    <t xml:space="preserve">cuhp20rdcs01@hpcu.ac.in</t>
  </si>
  <si>
    <t xml:space="preserve">Rawat, Dr. Keshav Singh/B-9072-2016</t>
  </si>
  <si>
    <t xml:space="preserve">Rawat, Dr. Keshav Singh/0000-0002-1497-985X; kumar, Dheeraj/0000-0002-6717-6030</t>
  </si>
  <si>
    <t xml:space="preserve">0736-5853</t>
  </si>
  <si>
    <t xml:space="preserve">TELEMAT INFORM</t>
  </si>
  <si>
    <t xml:space="preserve">Telemat. Inform.</t>
  </si>
  <si>
    <t xml:space="preserve">10.1016/j.tele.2022.101796</t>
  </si>
  <si>
    <t xml:space="preserve">0Z7GB</t>
  </si>
  <si>
    <t xml:space="preserve">WOS:000791241200002</t>
  </si>
  <si>
    <t xml:space="preserve">Khalighifar, A; Jiménez-García, D; Campbell, LP; Ahadji-Dabla, KM; Aboagye-Antwi, F; Ibarra-Juárez, LA; Peterson, AT</t>
  </si>
  <si>
    <t xml:space="preserve">Khalighifar, Ali; Jimenez-Garcia, Daniel; Campbell, Lindsay P.; Ahadji-Dabla, Koffi Mensah; Aboagye-Antwi, Fred; Arturo Ibarra-Juarez, Luis; Peterson, A. Townsend</t>
  </si>
  <si>
    <t xml:space="preserve">Application of Deep Learning to Community-Science-Based Mosquito Monitoring and Detection of Novel Species</t>
  </si>
  <si>
    <t xml:space="preserve">Mosquito-borne diseases account for human morbidity and mortality worldwide, caused by the parasites (e.g., malaria) or viruses (e.g., dengue, Zika) transmitted through bites of infected female mosquitoes. Globally, billions of people are at risk of infection, imposing significant economic and public health burdens. As such, efficient methods to monitor mosquito populations and prevent the spread of these diseases are at a premium. One proposed technique is to apply acoustic monitoring to the challenge of identifying wingbeats of individual mosquitoes. Although researchers have successfully used wingbeats to survey mosquito populations, implementation of these techniques in areas most affected by mosquito-borne diseases remains challenging. Here, methods utilizing easily accessible equipment and encouraging community-scientist participation are more likely to provide sufficient monitoring. We present a practical, community-science-based method of monitoring mosquito populations using smartphones. We applied deep-learning algorithms (TensorFlow Inception v3) to spectrogram images generated from smartphone recordings associated with six mosquito species to develop a multiclass mosquito identification system, and flag potential invasive vectors not present in our sound reference library. Though TensorFlow did not flag potential invasive species with high accuracy, it was able to identify species present in the reference library at an 85% correct identification rate, an identification rate markedly higher than similar studies employing expensive recording devices. Given that we used smartphone recordings with limited sample sizes, these results are promising. With further optimization, we propose this novel technique as a way to accurately and efficiently monitor mosquito populations in areas where doing so is most critical.</t>
  </si>
  <si>
    <t xml:space="preserve">USA, Mexico, Togo, Ghana</t>
  </si>
  <si>
    <t xml:space="preserve">- USA
- Ghana
- Mexico</t>
  </si>
  <si>
    <t xml:space="preserve">JOURNAL OF MEDICAL ENTOMOLOGY</t>
  </si>
  <si>
    <t xml:space="preserve">convolutional neural networks; bioacoustics; vector-borne diseases; transfer learning; smartphones</t>
  </si>
  <si>
    <t xml:space="preserve">FLIGHT TONE; AUTOMATED IDENTIFICATION; ANOPHELES-GAMBIAE; CLIMATE-CHANGE; DIPTERA; DENGUE</t>
  </si>
  <si>
    <t xml:space="preserve">[Khalighifar, Ali; Jimenez-Garcia, Daniel; Peterson, A. Townsend] Univ Kansas, Biodivers Inst, Lawrence, KS 66045 USA; [Khalighifar, Ali; Peterson, A. Townsend] Univ Kansas, Dept Ecol &amp; Evolutionary Biol, Lawrence, KS 66045 USA; [Jimenez-Garcia, Daniel] Benemerita Univ Autonoma Puebla, Ctr Agroecol &amp; Ambiente, Puebla 72960, Mexico; [Campbell, Lindsay P.] Univ Florida, Florida Med Entomol Lab, Vero Beach, FL 32962 USA; [Campbell, Lindsay P.] Univ Florida, Dept Entomol &amp; Nematol, Gainesville, FL 32608 USA; [Ahadji-Dabla, Koffi Mensah] Univ Lome, Fac Sci, Dept Zool &amp; Anim Biol, 01 BP 1515, Lome 01, Togo; [Aboagye-Antwi, Fred] Univ Ghana, Dept Anim Biol &amp; Conservat Sci, POB LG 80, Legon, Ghana; [Arturo Ibarra-Juarez, Luis] Inst Ecol AC, Red Estudios Mol Avanzados, Xalapa 91070, Veracruz, Mexico; [Arturo Ibarra-Juarez, Luis] Inst Ecol AC, Catedras CONACyT, Carretera Antigua Coatepec 351, Xalapa 91073, Veracruz, Mexico; [Khalighifar, Ali] Colorado State Univ, Colorado Cooperat Fish &amp; Wildlife Res Unit, Ft Collins, CO 80521 USA</t>
  </si>
  <si>
    <t xml:space="preserve">University of Kansas; University of Kansas; Benemerita Universidad Autonoma de Puebla; State University System of Florida; University of Florida; State University System of Florida; University of Florida; University of Lome; University of Ghana; Instituto de Ecologia - Mexico; Instituto de Ecologia - Mexico; Colorado State University</t>
  </si>
  <si>
    <t xml:space="preserve">Khalighifar, A (corresponding author), Univ Kansas, Biodivers Inst, Lawrence, KS 66045 USA.;Khalighifar, A (corresponding author), Univ Kansas, Dept Ecol &amp; Evolutionary Biol, Lawrence, KS 66045 USA.;Khalighifar, A (corresponding author), Colorado State Univ, Colorado Cooperat Fish &amp; Wildlife Res Unit, Ft Collins, CO 80521 USA.</t>
  </si>
  <si>
    <t xml:space="preserve">a.khalighifar@colostate.edu</t>
  </si>
  <si>
    <t xml:space="preserve">Ahadji-Dabla, Koffi Mensah/GPX-8078-2022; Campbell, Lindsay/KYR-3074-2024; Jiménez-García, Daniel/HTL-4808-2023; Peterson, A. Townsend/I-5697-2013; Khalighifar, Ali/AAF-3587-2020</t>
  </si>
  <si>
    <t xml:space="preserve">Campbell, Lindsay/0000-0001-6069-1198; Peterson, A. Townsend/0000-0003-0243-2379; AHADJI-DABLA, Koffi Mensah/0000-0002-1097-5325; Khalighifar, Ali/0000-0002-2949-8143; Jimenez-Garcia, Daniel/0000-0002-2237-3305</t>
  </si>
  <si>
    <t xml:space="preserve">0022-2585</t>
  </si>
  <si>
    <t xml:space="preserve">1938-2928</t>
  </si>
  <si>
    <t xml:space="preserve">J MED ENTOMOL</t>
  </si>
  <si>
    <t xml:space="preserve">J. Med. Entomol.</t>
  </si>
  <si>
    <t xml:space="preserve">10.1093/jme/tjab161</t>
  </si>
  <si>
    <t xml:space="preserve">SEP 2021</t>
  </si>
  <si>
    <t xml:space="preserve">Entomology; Veterinary Sciences</t>
  </si>
  <si>
    <t xml:space="preserve">YK1XT</t>
  </si>
  <si>
    <t xml:space="preserve">WOS:000745015200038</t>
  </si>
  <si>
    <t xml:space="preserve">Zhou, XR; Wang, H; Xu, C; Peng, L; Xu, F; Lian, LF; Deng, G; Ji, SQ; Hu, MY; Zhu, H; Xu, Y; Li, G</t>
  </si>
  <si>
    <t xml:space="preserve">Zhou, Xiaorong; Wang, He; Xu, Chuan; Peng, Li; Xu, Feng; Lian, Lifei; Deng, Gang; Ji, Suqiong; Hu, Mengyan; Zhu, Hong; Xu, Yi; Li, Guo</t>
  </si>
  <si>
    <t xml:space="preserve">Application of kNN and SVM to predict the prognosis of advanced schistosomiasis</t>
  </si>
  <si>
    <t xml:space="preserve">Predictive models for prognosis of small sample advanced schistosomiasis patients have not been well studied. We aimed to construct prognostic predictive models of small sample advanced schistosomiasis patients using two machine learning algorithms, k nearest neighbour (kNN) and support vector machine (SVM) utilising routinely available data under the government medical assistance programme The predictive models were derived from 229 patients from Xiantao and externally validated by 77 patients of Jiayu, two county-level cities in Hubei province, China. Candidate predictors were selected according to expert opinions and literature reports, including clinical features, sociodemographic characteristics, and medical examinations results. An area under the receiver operating characteristic curve (AUC), sensitivity, and specificity were used to evaluate the models' predictive performances. The AUC values were 0.879 for the kNN model and 0.890 for the SVM model in the training set, 0.852 for the kNN model, and 0.785 for the SVM model in the external validation set. The kNN and SVM models can be used to improve the health services provided by healthcare planners, clinicians, and policymakers.</t>
  </si>
  <si>
    <t xml:space="preserve">- Demographical data
- Clinical data
- Laboratory data</t>
  </si>
  <si>
    <t xml:space="preserve">- kNN
- SVM</t>
  </si>
  <si>
    <t xml:space="preserve">-  AUC = 0.879 for kNN
- AUC = 0.785 for SVM</t>
  </si>
  <si>
    <t xml:space="preserve">Advanced schistosomiasis; k nearest neighbour; Support vector machine; Predictive model</t>
  </si>
  <si>
    <t xml:space="preserve">BLADDER-CANCER; MACHINE</t>
  </si>
  <si>
    <t xml:space="preserve">[Zhou, Xiaorong; Zhu, Hong] Hubei Prov Ctr Dis Control &amp; Prevent, 6 Zhuodaoquan North Rd, Wuhan 430079, Hubei, Peoples R China; [Wang, He] Huazhong Univ Sci &amp; Technol, Tongji Hosp, Outpatient Dept, Tongji Med Coll, Wuhan 430030, Hubei, Peoples R China; [Xu, Chuan] Huazhong Univ Sci &amp; Technol, Tongji Hosp, Dept Hosp Infect Control, Tongji Med Coll, Wuhan 430030, Hubei, Peoples R China; [Peng, Li] Huazhong Univ Sci &amp; Technol, Tongji Hosp, Dept Radiol, Tongji Med Coll, 1095 Jiefang Ave, Wuhan 430030, Hubei, Peoples R China; [Xu, Feng; Lian, Lifei; Deng, Gang; Ji, Suqiong; Li, Guo] Huazhong Univ Sci &amp; Technol, Tongji Hosp, Dept Neurol, Tongji Med Coll, 1095 Jiefang Ave, Wuhan 430030, Hubei, Peoples R China; [Hu, Mengyan] Huazhong Univ Sci &amp; Technol, Publ Hlth Sch, Tongji Med Coll, 13 Hangkong Rd, Wuhan 430030, Hubei, Peoples R China; [Xu, Yi] Huazhong Univ Sci &amp; Technol, Tongji Hosp, Dept Plast Surg, Tongji Med Coll, Wuhan 430030, Hubei, Peoples R China</t>
  </si>
  <si>
    <t xml:space="preserve">Huazhong University of Science &amp; Technology; Huazhong University of Science &amp; Technology; Huazhong University of Science &amp; Technology; Huazhong University of Science &amp; Technology; Huazhong University of Science &amp; Technology; Huazhong University of Science &amp; Technology</t>
  </si>
  <si>
    <t xml:space="preserve">Zhu, H (corresponding author), Hubei Prov Ctr Dis Control &amp; Prevent, 6 Zhuodaoquan North Rd, Wuhan 430079, Hubei, Peoples R China.;Li, G (corresponding author), Huazhong Univ Sci &amp; Technol, Tongji Hosp, Dept Neurol, Tongji Med Coll, 1095 Jiefang Ave, Wuhan 430030, Hubei, Peoples R China.;Xu, Y (corresponding author), Huazhong Univ Sci &amp; Technol, Tongji Hosp, Dept Plast Surg, Tongji Med Coll, Wuhan 430030, Hubei, Peoples R China.</t>
  </si>
  <si>
    <t xml:space="preserve">zxrmed@sina.com; 3662766@qq.com; seesee1986@gmail.com; pennysky1018@126.com; 554833834@qq.com; 47009189@qq.com; gangdeng714@126.com; jisuqiong@163.com; 1249672957@qq.com; whzh2005@aliyun.com; xuyitj@hust.edu.cn; liguocat@126.com</t>
  </si>
  <si>
    <t xml:space="preserve">Zhu, Honghao/AAV-3470-2020</t>
  </si>
  <si>
    <t xml:space="preserve">Lian, Lifei/0000-0002-8760-0433</t>
  </si>
  <si>
    <t xml:space="preserve">National Natural Science Fund of China [82101605]; Natural Science Foundation of Hubei Province [2018CFC897]</t>
  </si>
  <si>
    <t xml:space="preserve">National Natural Science Fund of China(National Natural Science Foundation of China (NSFC)); Natural Science Foundation of Hubei Province(Natural Science Foundation of Hubei Province)</t>
  </si>
  <si>
    <t xml:space="preserve">Financial support was received from the National Natural Science Fund of China (grant number 82101605) and Natural Science Foundation of Hubei Province (grant number 2018CFC897).</t>
  </si>
  <si>
    <t xml:space="preserve">10.1007/s00436-022-07583-8</t>
  </si>
  <si>
    <t xml:space="preserve">2W7NW</t>
  </si>
  <si>
    <t xml:space="preserve">WOS:000818587400001</t>
  </si>
  <si>
    <t xml:space="preserve">Ikerionwu, C; Ugwuishiwu, C; Okpala, I; James, I; Okoronkwo, M; Nnadi, C; Orji, U; Ebem, D; Ike, A</t>
  </si>
  <si>
    <t xml:space="preserve">Ikerionwu, Charles; Ugwuishiwu, Chikodili; Okpala, Izunna; James, Idara; Okoronkwo, Matthew; Nnadi, Charles; Orji, Ugochukwu; Ebem, Deborah; Ike, Anthony</t>
  </si>
  <si>
    <t xml:space="preserve">Application of machine and deep learning algorithms in optical microscopic detection of Plasmodium: A malaria diagnostic tool for the future</t>
  </si>
  <si>
    <t xml:space="preserve">Machine and deep learning techniques are prevalent in the medical discipline due to their high level of accuracy in disease diagnosis. One such disease is malaria caused by Plasmodium falciparum and transmitted by the female anopheles mosquito. According to the World Health Organisation (WHO), millions of people are infected annually, leading to inevitable deaths in the infected population. Statistical records show that early detection of malaria parasites could prevent deaths and machine learning (ML) has proved helpful in the early detection of malarial parasites. Human error is identified to be a major cause of inaccurate diagnostics in the traditional microscopy malaria diagnosis method. Therefore, the method would be more reliable if human expert de-pendency is restricted or entirely removed, and thus, the motivation of this paper. This study presents a sys-tematic review to understand the prevalent machine learning algorithms applied to a low-cost, portable optical microscope in the automation of blood film interpretation for malaria parasite detection. Peer-reviewed papers were downloaded from selected reputable databases eg. Elsevier, IEEExplore, Pubmed, Scopus, Web of Science, etc. The extant literature suggests that convolutional neural network (CNN) and its variants (deep learning) account for 41.9% of the microscopy malaria diagnosis using machine learning with a prediction accuracy of 99.23%. Thus, the findings suggest that early detection of the malaria parasite has improved through the application of CNN and other ML algorithms on microscopic malaria parasite detection.</t>
  </si>
  <si>
    <t xml:space="preserve">Nigeria, USA</t>
  </si>
  <si>
    <t xml:space="preserve">PHOTODIAGNOSIS AND PHOTODYNAMIC THERAPY</t>
  </si>
  <si>
    <t xml:space="preserve">Machine learning; Plasmodium parasite; Diagnosis; Optical microscopy; Digital blood images</t>
  </si>
  <si>
    <t xml:space="preserve">COMPUTER-AIDED-DIAGNOSIS; CONVOLUTIONAL NEURAL-NETWORK; POLYMERASE-CHAIN-REACTION; RIBOSOMAL-RNA GENE; REAL-TIME PCR; LABORATORY DIAGNOSIS; BLOOD SMEAR; AUTOMATED DETECTION; PARASITE DETECTION; HEALTH-CARE</t>
  </si>
  <si>
    <t xml:space="preserve">[Ikerionwu, Charles; Ugwuishiwu, Chikodili; Okpala, Izunna; James, Idara; Okoronkwo, Matthew; Nnadi, Charles; Orji, Ugochukwu; Ebem, Deborah; Ike, Anthony] Machine Learning Dis Diag Res Grp, Nsukka, Nigeria; [Ikerionwu, Charles] Fed Univ Technol Owerri, Dept Software Engn, Owerri, Imo, Nigeria; [Okpala, Izunna] Univ Cincinnati, Dept Informat Technol, Cincinnati, OH USA; [James, Idara] Akwa Ibom State Univ, Dept Comp Sci, Ikot Akpaden, Nigeria; [Nnadi, Charles] Univ Nigeria, Fac Pharmaceut Sci, Deprtment Pharmaceut &amp; Med Chem, Nsukka, Nsukka, Enugu, Nigeria; [Ike, Anthony] Univ Nigeria, Dept Microbiol, Nsukka, Enugu, Nigeria; [Ugwuishiwu, Chikodili; Okoronkwo, Matthew; Orji, Ugochukwu; Ebem, Deborah] Univ Nigeria, Dept Comp Sci, Nsukka, Enugu, Nigeria</t>
  </si>
  <si>
    <t xml:space="preserve">University System of Ohio; University of Cincinnati; University of Nigeria; University of Nigeria; University of Nigeria</t>
  </si>
  <si>
    <t xml:space="preserve">Ugwuishiwu, C (corresponding author), Machine Learning Dis Diag Res Grp, Nsukka, Nigeria.</t>
  </si>
  <si>
    <t xml:space="preserve">chikodili.ugwuishiwu@unn.edu.ng</t>
  </si>
  <si>
    <t xml:space="preserve">Orji, Ugochukwu/HZK-8134-2023; Okpala, Izunna/ABC-2546-2022; Nnadi, Charles/AGE-7735-2022; Ikerionwu, Charles/T-5437-2019; , DEBORAH/ISS-3805-2023</t>
  </si>
  <si>
    <t xml:space="preserve">Ikerionwu, Charles/0000-0002-9946-6307; Okpala, Izunna/0000-0003-2502-3965; , DEBORAH/0000-0002-5857-8169; Orji, Ugochukwu/0000-0003-1538-912X; Orji, Ugochukwu/0009-0003-9973-8231; Nnadi, Charles/0000-0001-8749-3431</t>
  </si>
  <si>
    <t xml:space="preserve">1572-1000</t>
  </si>
  <si>
    <t xml:space="preserve">1873-1597</t>
  </si>
  <si>
    <t xml:space="preserve">PHOTODIAGN PHOTODYN</t>
  </si>
  <si>
    <t xml:space="preserve">Photodiagnosis Photodyn. Ther.</t>
  </si>
  <si>
    <t xml:space="preserve">10.1016/j.pdpdt.2022.103198</t>
  </si>
  <si>
    <t xml:space="preserve">NOV 2022</t>
  </si>
  <si>
    <t xml:space="preserve">Oncology</t>
  </si>
  <si>
    <t xml:space="preserve">9G9GV</t>
  </si>
  <si>
    <t xml:space="preserve">WOS:000938453500006</t>
  </si>
  <si>
    <t xml:space="preserve">Devarakonda, P; Sadasivuni, R; Nobrega, RAA; Wu, JH</t>
  </si>
  <si>
    <t xml:space="preserve">Devarakonda, Phani; Sadasivuni, Ravi; Nobrega, Rodrigo A. A.; Wu, Jianhong</t>
  </si>
  <si>
    <t xml:space="preserve">Application of spatial multicriteria decision analysis in healthcare: Identifying drivers and triggers of infectious disease outbreaks using ensemble learning</t>
  </si>
  <si>
    <t xml:space="preserve">Modelling infectious diseases is a complex and multi-disciplinary problem that necessitates the combined use of multicriteria decision analysis (MCDA) and machine learning (ML) in a spatial framework. This research attempts to demonstrate the extensive applications of MCDA in the field of public health and to illustrate its utility with the combined use of spatial models and machine learning. The study investigates the risk factors for communicable diseases with a focus on vector-borne infectious diseases, such as West Nile Virus (WNV), malaria, dengue, etc. It aims to quantify vector-borne disease risk by examining the geographic contextual effects of socio-economic, climatic, and environmental factors using the objective-weighting technique adopted from MCDA and machine learning in a geographic information systems (GIS) framework. The authors attempted to minimize subjective bias from the decision space by utilizing an objective-weighted technique to quantify the risk. The study adopted Shannon's entropy to derive weights for each factor and its classes. The derived weighted layers are fed to an artificial neural network to obtain a final map of risk susceptibility. This final risk map allows policymakers to examine vulnerable areas and identify the factors pivotal to the contribution of risk. Findings show the traffic volume as the most influential variable, and terrain slope as the least one in the disease spread for the study area. The risk appears to be concentrated and distributed along vegetation, wetlands, and around water bodies. The results produced by ensemble learning show great promise with more than 94% accuracy. The accuracy of the results was determined by the confusion matrix and the kappa index of agreement (KIA). The vector control programmes need to adapt to better manage the dynamic changes in patterns involving vector-borne infectious diseases.</t>
  </si>
  <si>
    <t xml:space="preserve">India, Brazil, Canada</t>
  </si>
  <si>
    <t xml:space="preserve">Public health records</t>
  </si>
  <si>
    <t xml:space="preserve">- Artificial neural network (ANN)
- Support vector machine (SVM)</t>
  </si>
  <si>
    <t xml:space="preserve">- Accuracy (Risk 1) = 85%
- Accuracy (Risk 1) = 94%
- Accuracy (Risk 1) = 95%
- Accuracy (Risk 1) = 94%
- Accuracy (Risk 1) = 92%</t>
  </si>
  <si>
    <t xml:space="preserve">JOURNAL OF MULTI-CRITERIA DECISION ANALYSIS</t>
  </si>
  <si>
    <t xml:space="preserve">1-2</t>
  </si>
  <si>
    <t xml:space="preserve">artificial neural networks; entropy; geographic information systems (GIS); infectious disease modelling; machine learning; multi-criteria decision analysis (MCDA)</t>
  </si>
  <si>
    <t xml:space="preserve">VECTOR-BORNE DISEASES; RISK; PREDICTION; REGION; MODEL; WATER; MCDM; AHP; GIS</t>
  </si>
  <si>
    <t xml:space="preserve">[Devarakonda, Phani; Sadasivuni, Ravi] KRIS Analyt Solut, Dept Predict Analyt &amp; Artificial Intelligence, Visakhapatnam 530041, Andhra Pradesh, India; [Nobrega, Rodrigo A. A.] Univ Fed Minas Gerais, Inst Geosci, Dept Cartog, Belo Horizonte, MG, Brazil; [Wu, Jianhong] York Univ, Dept Math &amp; Stat, Toronto, ON, Canada</t>
  </si>
  <si>
    <t xml:space="preserve">Universidade Federal de Minas Gerais; York University - Canada</t>
  </si>
  <si>
    <t xml:space="preserve">Devarakonda, P (corresponding author), KRIS Analyt Solut, Dept Predict Analyt &amp; Artificial Intelligence, Visakhapatnam 530041, Andhra Pradesh, India.</t>
  </si>
  <si>
    <t xml:space="preserve">dvps95@gmail.com</t>
  </si>
  <si>
    <t xml:space="preserve">Nobrega, Rodrigo/M-9668-2013</t>
  </si>
  <si>
    <t xml:space="preserve">Nobrega, Rodrigo/0000-0001-7058-5903; Devarakonda, Phani/0000-0002-2179-698X</t>
  </si>
  <si>
    <t xml:space="preserve">1057-9214</t>
  </si>
  <si>
    <t xml:space="preserve">1099-1360</t>
  </si>
  <si>
    <t xml:space="preserve">J MULTI-CRITERIA DEC</t>
  </si>
  <si>
    <t xml:space="preserve">J. Multi-Criteria Decis. Anal.</t>
  </si>
  <si>
    <t xml:space="preserve">10.1002/mcda.1732</t>
  </si>
  <si>
    <t xml:space="preserve">JAN 2021</t>
  </si>
  <si>
    <t xml:space="preserve">Management</t>
  </si>
  <si>
    <t xml:space="preserve">Business &amp; Economics</t>
  </si>
  <si>
    <t xml:space="preserve">0K0DP</t>
  </si>
  <si>
    <t xml:space="preserve">WOS:000604558400001</t>
  </si>
  <si>
    <t xml:space="preserve">Harigua-Souiai, E; Oualha, R; Souiai, O; Abdeljaoued-Tej, I; Guizani, I</t>
  </si>
  <si>
    <t xml:space="preserve">Harigua-Souiai, Emna; Oualha, Rafeh; Souiai, Oussama; Abdeljaoued-Tej, Ines; Guizani, Ikram</t>
  </si>
  <si>
    <t xml:space="preserve">Applied Machine Learning Toward Drug Discovery Enhancement: Leishmaniases as a Case Study</t>
  </si>
  <si>
    <t xml:space="preserve">Drug discovery (DD) research is a complex field with a high attrition rate. Machine learning (ML) approaches combined to chemoinformatics are of valuable input to this field. We, herein, focused on implementing multiple ML algorithms that shall learn from different molecular fingerprints (FPs) of 65057 molecules that have been identified as active or inactive against Leishmania major promastigotes. We sought to build a classifier able to predict whether a given molecule has the potential of being anti-leishmanial or not. Using the RDkit library. we calculated 5 molecular FPs of the molecules. Then, we implemented 4 ML algorithms that we trained and tested for their ability to classify the molecules into active/inactive classes based on their chemical structure, encoded by the molecular FPs. Best performers were random forest (RF) and support vector machine (SVM), while atom-pair and topology torsion FPs were the best embedding functions. Both models were further assessed on different stratification levels of the dataset and showed stable performances. At last, we used them to predict the potential of molecules within the Food and Drug Administration (FDA)-approved drugs collection to present anti-Leishmania effects. We ranked these drugs according to their anti-Leishmanial probability and obtained in total seven anti-Leishmania agents. previously described in the literature. within the top 10 of each model. This validates the robustness of the approach, the algorithms, and FPs choices as well as the importance of the dataset size and content. We further engaged these molecules into reverse docking experiments on 3D crystal structures of seven well-studied Leishmania drug targets and could predict the molecular targets for 4 drugs. The results bring novel insights into anti-Leishmania compounds.</t>
  </si>
  <si>
    <t xml:space="preserve">Proteomic data</t>
  </si>
  <si>
    <t xml:space="preserve">Leishmaniases</t>
  </si>
  <si>
    <t xml:space="preserve">- Linear regressor (LR)
- Gradient boosting (GB)
- Random forest (RF)
- Support vector machine</t>
  </si>
  <si>
    <t xml:space="preserve">BIOINFORMATICS AND BIOLOGY INSIGHTS</t>
  </si>
  <si>
    <t xml:space="preserve">Machine learning; molecular fingerprints; Leishmania; classification; drug repurposing; drug target</t>
  </si>
  <si>
    <t xml:space="preserve">CUTANEOUS LEISHMANIASIS; TUBERCULOSIS; DISEASES; DOCKING</t>
  </si>
  <si>
    <t xml:space="preserve">[Harigua-Souiai, Emna; Oualha, Rafeh; Guizani, Ikram] Univ Tunis El Manar, Inst Pasteur Tunis, Lab Mol Epidemiol &amp; Expt Pathol LR16IPT04, Tunis 1002, Tunisia; [Souiai, Oussama; Abdeljaoued-Tej, Ines] Univ Tunis El Manar, Inst Pasteur Tunis, Lab Bioinformat BioMath &amp; BioStat LR20IPT09, Tunis, Tunisia; [Abdeljaoued-Tej, Ines] Univ Carthage, Engn Sch Stat &amp; Informat Anal, Ariana, Tunisia</t>
  </si>
  <si>
    <t xml:space="preserve">Pasteur Network; Universite de Tunis-El-Manar; Institut Pasteur Tunis; Pasteur Network; Universite de Tunis-El-Manar; Institut Pasteur Tunis; Universite de Carthage</t>
  </si>
  <si>
    <t xml:space="preserve">Harigua-Souiai, E (corresponding author), Univ Tunis El Manar, Inst Pasteur Tunis, Lab Mol Epidemiol &amp; Expt Pathol LR16IPT04, Tunis 1002, Tunisia.</t>
  </si>
  <si>
    <t xml:space="preserve">harigua.emna@gmail.com</t>
  </si>
  <si>
    <t xml:space="preserve">Harigua, Emna/AAF-8886-2020; souiai, oussama/AAD-4314-2022; Abdeljaoued-Tej, Ines/JWA-1617-2024; Oualha, Rafeh/KYQ-9568-2024</t>
  </si>
  <si>
    <t xml:space="preserve">Guizani, Ikram/0000-0003-2763-8963; oussama, souiai/0000-0003-2443-114X; Harigua, Emna/0000-0003-2974-9157; Abdeljaoued, Ines/0000-0002-1796-7897</t>
  </si>
  <si>
    <t xml:space="preserve">NAS-USAID grant within the PEER Women Mentoring Programme [AID-OAA-A-11-00012]; ministry of Higher Education and Research, Tunisia [LR16IPT04]</t>
  </si>
  <si>
    <t xml:space="preserve">NAS-USAID grant within the PEER Women Mentoring Programme; ministry of Higher Education and Research, Tunisia</t>
  </si>
  <si>
    <t xml:space="preserve">The author(s) disclosed receipt of the following financial support for the research, authorship, and/or publication of this article: E.H.-S. is a recipient of a NAS-USAID grant within the PEER Women Mentoring Programme; Grant Award Number AID-OAA-A-11-00012. The study also received support from the ministry of Higher Education and Research, Tunisia (LR16IPT04 to I.G.).</t>
  </si>
  <si>
    <t xml:space="preserve">1177-9322</t>
  </si>
  <si>
    <t xml:space="preserve">BIOINFORM BIOL INSIG</t>
  </si>
  <si>
    <t xml:space="preserve">Bioinform. Biol. Insights</t>
  </si>
  <si>
    <t xml:space="preserve">10.1177/11779322221090349</t>
  </si>
  <si>
    <t xml:space="preserve">Biochemical Research Methods</t>
  </si>
  <si>
    <t xml:space="preserve">0T5HE</t>
  </si>
  <si>
    <t xml:space="preserve">WOS:000786998000001</t>
  </si>
  <si>
    <t xml:space="preserve">Shenoy, S; Rajan, AK; Rashid, M; Chandran, VP; Poojari, PG; Kunhikatta, V; Acharya, D; Nair, S; Varma, M; Thunga, G</t>
  </si>
  <si>
    <t xml:space="preserve">Shenoy, Shreelaxmi; Rajan, Asha K.; Rashid, Muhammed; Chandran, Viji Pulikkel; Poojari, Pooja Gopal; Kunhikatta, Vijayanarayana; Acharya, Dinesh; Nair, Sreedharan; Varma, Muralidhar; Thunga, Girish</t>
  </si>
  <si>
    <t xml:space="preserve">Artificial intelligence in differentiating tropical infections: A step ahead</t>
  </si>
  <si>
    <t xml:space="preserve">Background and objective Differentiating tropical infections are difficult due to its homogenous nature of clinical and laboratorial presentations among them. Sophisticated differential tests and prediction tools are better ways to tackle this issue. Here, we aimed to develop a clinician assisted decision making tool to differentiate the common tropical infections. Methodology A cross sectional study through 9 item self-administered questionnaire were performed to understand the need of developing a decision making tool and its parameters. The most significant differential parameters among the identified infections were measured through a retrospective study and decision tree was developed. Based on the parameters identified, a multinomial logistic regression model and a machine learning model were developed which could better differentiate the infection. Results A total of 40 physicians involved in the management of tropical infections were included for need analysis. Dengue, malaria, leptospirosis and scrub typhus were the common tropical infections in our settings. Sodium, total bilirubin, albumin, lymphocytes and platelets were the laboratory parameters; and abdominal pain, arthralgia, myalgia and urine output were the clinical presentation identified as better predictors. In multinomial logistic regression analysis with dengue as a reference revealed a predictability of 60.7%, 62.5% and 66% for dengue, malaria and leptospirosis, respectively, whereas, scrub typhus showed only 38% of predictability. The multi classification machine learning model observed to have an overall predictability of 55-60%, whereas a binary classification machine learning algorithms showed an average of 79-84% for one vs other and 69-88% for one vs one disease category. Conclusion This is a first of its kind study where both statistical and machine learning approaches were explored simultaneously for differentiating tropical infections. Machine learning techniques in healthcare sectors will aid in early detection and better patient care.</t>
  </si>
  <si>
    <t xml:space="preserve">- Dengue
- Malaria
- Leptospirosis
- Scrub typhus</t>
  </si>
  <si>
    <t xml:space="preserve">SCRUB TYPHUS; DENGUE; LEPTOSPIROSIS</t>
  </si>
  <si>
    <t xml:space="preserve">[Shenoy, Shreelaxmi; Rajan, Asha K.; Rashid, Muhammed; Chandran, Viji Pulikkel; Poojari, Pooja Gopal; Kunhikatta, Vijayanarayana; Nair, Sreedharan; Thunga, Girish] Manipal Acad Higher Educ, Dept Pharm Practice, Manipal Coll Pharmaceut Sci, Manipal, India; [Acharya, Dinesh] Manipal Acad Higher Educ, Manipal Inst Technol, Dept Comp Sci &amp; Engn, Manipal, India; [Varma, Muralidhar] Manipal Acad Higher Educ, Dept Infect Dis, Kasturba Med Coll, Manipal, India</t>
  </si>
  <si>
    <t xml:space="preserve">Manipal Academy of Higher Education (MAHE); Manipal Academy of Higher Education (MAHE); Manipal Academy of Higher Education (MAHE); Kasturba Medical College, Manipal</t>
  </si>
  <si>
    <t xml:space="preserve">Thunga, G (corresponding author), Manipal Acad Higher Educ, Dept Pharm Practice, Manipal Coll Pharmaceut Sci, Manipal, India.</t>
  </si>
  <si>
    <t xml:space="preserve">girish.thunga@manipal.edu</t>
  </si>
  <si>
    <t xml:space="preserve">Rashid, Muhammed/V-3897-2019; , Sreedharan/AGJ-7376-2022; Acharya, Dinesh/ABA-7724-2021</t>
  </si>
  <si>
    <t xml:space="preserve">Acharya, Dinesh/0000-0002-0304-4725</t>
  </si>
  <si>
    <t xml:space="preserve">e0010455</t>
  </si>
  <si>
    <t xml:space="preserve">10.1371/journal.pntd.0010455</t>
  </si>
  <si>
    <t xml:space="preserve">6R0QI</t>
  </si>
  <si>
    <t xml:space="preserve">WOS:000892012200001</t>
  </si>
  <si>
    <t xml:space="preserve">Singh, D; Kaur, M; Kumar, V; Jabarulla, MY; Lee, HN</t>
  </si>
  <si>
    <t xml:space="preserve">Singh, Dilbag; Kaur, Manjit; Kumar, Vijay; Jabarulla, Mohamed Yaseen; Lee, Heung-No</t>
  </si>
  <si>
    <t xml:space="preserve">Artificial Intelligence-Based Cyber-Physical System for Severity Classification of Chikungunya Disease</t>
  </si>
  <si>
    <t xml:space="preserve">Background: Artificial intelligence techniques are widely used in solving medical problems. Recently, researchers have used various deep learning techniques for the severity classification of Chikungunya disease. But these techniques suffer from overfitting and hyper-parameters tuning problems. Methods: In this paper, an artificial intelligence-based cyber-physical system (CPS) is proposed for the severity classification of Chikungunya disease. In CPS system, the physical components are integrated with computational algorithms to provide better results. Random forest (RF) is used to design the severity classification model for Chikungunya disease. However, RF suffers from overfitting and poor computational speed problems due to complex architectures and large amounts of connection weights. Therefore, an evolving RF model is proposed using the adaptive crossover-based genetic algorithm (ACGA). Results: ACGA can efficiently optimize the architecture of RF to achieve better results with better computational speed. Extensive experiments are performed by utilizing the Chikungunya disease dataset. Conclusion: Performance analysis demonstrates that ACGA-RF achieves higher performance as compared to the competitive models in terms of F-measure, accuracy, sensitivity, and specificity. The proposed CPS system can prevent users from visiting hospitals and can render services to patients living far away from hospitals.</t>
  </si>
  <si>
    <t xml:space="preserve">South Korea, India</t>
  </si>
  <si>
    <t xml:space="preserve">Chikungunya</t>
  </si>
  <si>
    <t xml:space="preserve">Random Forest (RF) using addaptive crossover-based genetic algorithm (ACGA)</t>
  </si>
  <si>
    <t xml:space="preserve">Accuracy = 99.43%</t>
  </si>
  <si>
    <t xml:space="preserve">IEEE JOURNAL OF TRANSLATIONAL ENGINEERING IN HEALTH AND MEDICINE</t>
  </si>
  <si>
    <t xml:space="preserve">Diseases; Pain; Adaptation models; Data models; Computational modeling; Temperature sensors; Radio frequency; Artificial intelligence; cyber-physical system; automated diagnosis; Chikungunya disease; random forest; adaptive crossover; genetic algorithm; severity classification</t>
  </si>
  <si>
    <t xml:space="preserve">VIRUS; ALGORITHM</t>
  </si>
  <si>
    <t xml:space="preserve">[Singh, Dilbag; Kaur, Manjit; Jabarulla, Mohamed Yaseen; Lee, Heung-No] Gwangju Inst Sci &amp; Technol, Sch Elect Engn &amp; Comp Sci, Gwangju 61005, South Korea; [Kumar, Vijay] NIT Hamirpur, Dept Comp Sci &amp; Engn, Hamirpur 177005, India</t>
  </si>
  <si>
    <t xml:space="preserve">Gwangju Institute of Science &amp; Technology (GIST); National Institute of Technology (NIT System); National Institute of Technology Hamirpur</t>
  </si>
  <si>
    <t xml:space="preserve">Lee, HN (corresponding author), Gwangju Inst Sci &amp; Technol, Sch Elect Engn &amp; Comp Sci, Gwangju 61005, South Korea.</t>
  </si>
  <si>
    <t xml:space="preserve">heungno@gist.ac.kr</t>
  </si>
  <si>
    <t xml:space="preserve">Lee, Heung-No/CSV-9346-2022; Jabarulla, Mohamed Yaseen/AAB-9662-2019; kaur, manjit/J-2846-2019; Chahar, Vijay Kumar/A-2782-2015; singh, Dilbag/AAQ-6339-2020</t>
  </si>
  <si>
    <t xml:space="preserve">Chahar, Vijay Kumar/0000-0002-3460-6989; Jabarulla, Mohamed Yaseen/0000-0001-6878-0224; singh, Dilbag/0000-0001-6475-4491</t>
  </si>
  <si>
    <t xml:space="preserve">National Research Foundation of Korea (NRF) - Korean Government (MSIP) [NRF-2021R1A2B5B03002118]; Ministry of Science and ICT (MSIT), South Korea, through the Information Technology Research Center (ITRC) support program [IITP-2021-0-01835]</t>
  </si>
  <si>
    <t xml:space="preserve">National Research Foundation of Korea (NRF) - Korean Government (MSIP)(National Research Foundation of Korea); Ministry of Science and ICT (MSIT), South Korea, through the Information Technology Research Center (ITRC) support program(Ministry of Science &amp; ICT (MSIT), Republic of Korea)</t>
  </si>
  <si>
    <t xml:space="preserve">This work was supported in part by the National Research Foundation of Korea (NRF) Grant funded by the Korean Government (MSIP) under Grant NRF-2021R1A2B5B03002118; and in part by the Ministry of Science and ICT (MSIT), South Korea, through the Information Technology Research Center (ITRC) support program supervised by the Institute of Information and Communications Technology Planning and Evaluation (IITP) under Grant IITP-2021-0-01835.</t>
  </si>
  <si>
    <t xml:space="preserve">2168-2372</t>
  </si>
  <si>
    <t xml:space="preserve">IEEE J TRANSL ENG HE</t>
  </si>
  <si>
    <t xml:space="preserve">IEEE J. Transl. Eng. Health Med.-JTEHM</t>
  </si>
  <si>
    <t xml:space="preserve">10.1109/JTEHM.2022.3171078</t>
  </si>
  <si>
    <t xml:space="preserve">1F3WU</t>
  </si>
  <si>
    <t xml:space="preserve">WOS:000795102000001</t>
  </si>
  <si>
    <t xml:space="preserve">Akcakir, O; Celebi, LK; Kamil, M; Aly, ASI</t>
  </si>
  <si>
    <t xml:space="preserve">Akcakir, Osman; Celebi, Lutfi Kadir; Kamil, Mohd; Aly, Ahmed S., I</t>
  </si>
  <si>
    <t xml:space="preserve">Automated wide-field malaria parasite infection detection using Fourier ptychography on stain-free thin-smears</t>
  </si>
  <si>
    <t xml:space="preserve">Diagnosis of malaria in endemic areas is hampered by the lack of a rapid, stain-free and sensitive method to directly identify parasites in peripheral blood. Herein, we report the use of Fourier ptychography to generate wide-field high-resolution quantitative phase images of erythrocytes infected with malaria parasites, from a whole blood sample. We are able to image thousands of erythrocytes (red blood cells) in a single field of view and make a determination of infection status of the quantitative phase image of each segmented cell based on machine learning (random forest) and deep learning (VGG16) models. Our random forest model makes use of morphology and texture based features of the quantitative phase images. In order to label the quantitative images of the cells as either infected or uninfected before training the models, we make use of a Plasmodium berghei strain expressing GFP (green fluorescent protein) in all life cycle stages. By overlaying the fluorescence image with the quantitative phase image we could identify the infected subpopulation of erythrocytes for labelling purposes. Our machine learning model (random forest) achieved 91% specificity and 72% sensitivity while our deep learning model (VGG16) achieved 98% specificity and 57% sensitivity. These results highlight the potential for quantitative phase imaging coupled with artificial intelligence to develop an easy to use platform for the rapid and sensitive diagnosis of malaria. (c) 2022 Optica Publishing Group under the terms of the Optica Open Access Publishing Agreement</t>
  </si>
  <si>
    <t xml:space="preserve">- Random forest
- VGG16</t>
  </si>
  <si>
    <t xml:space="preserve">- Random forest: Specificity = 91%, sensitivity = 72%
- VGG16: Specificity = 98%, sensitivity = 57%</t>
  </si>
  <si>
    <t xml:space="preserve">BIOMEDICAL OPTICS EXPRESS</t>
  </si>
  <si>
    <t xml:space="preserve">Optica Publishing Group</t>
  </si>
  <si>
    <t xml:space="preserve">RED-BLOOD-CELLS; MICROSCOPY; IDENTIFICATION; ILLUMINATION; DYNAMICS</t>
  </si>
  <si>
    <t xml:space="preserve">[Akcakir, Osman; Celebi, Lutfi Kadir; Kamil, Mohd; Aly, Ahmed S., I] Bezmialem Vakif Univ, Beykoz Inst Life Sci &amp; Biotechnol BILSAB, TR-34820 Istanbul, Turkey; [Celebi, Lutfi Kadir] Lstanbul Tech Univ ITU, Elect &amp; Commun Engn Dept, Biomed Engn Program, TR-34467 Istanbul, Turkey</t>
  </si>
  <si>
    <t xml:space="preserve">Bezmialem Vakif University</t>
  </si>
  <si>
    <t xml:space="preserve">Akcakir, O (corresponding author), Bezmialem Vakif Univ, Beykoz Inst Life Sci &amp; Biotechnol BILSAB, TR-34820 Istanbul, Turkey.</t>
  </si>
  <si>
    <t xml:space="preserve">oakcakir@bezmialem.edu.tr</t>
  </si>
  <si>
    <t xml:space="preserve">KAMIL, MOHD/ABE-9729-2021; Aly, Dr. Ahmed/HHC-7772-2022</t>
  </si>
  <si>
    <t xml:space="preserve">Aly, Dr. Ahmed/0000-0002-2049-6686</t>
  </si>
  <si>
    <t xml:space="preserve">National Institute of Allergy and Infectious Diseases [1R21AI111058-01A1]; Turkiye Bilimsel ve Teknolojik Arastirma Kurumu [119Z409]; Kalkinma Bakanligi [2015BSV036]</t>
  </si>
  <si>
    <t xml:space="preserve">National Institute of Allergy and Infectious Diseases(United States Department of Health &amp; Human ServicesNational Institutes of Health (NIH) - USANIH National Institute of Allergy &amp; Infectious Diseases (NIAID)); Turkiye Bilimsel ve Teknolojik Arastirma Kurumu(Turkiye Bilimsel ve Teknolojik Arastirma Kurumu (TUBITAK)); Kalkinma Bakanligi</t>
  </si>
  <si>
    <t xml:space="preserve">National Institute of Allergy and Infectious Diseases (1R21AI111058-01A1); Turkiye Bilimsel ve Teknolojik Arastirma Kurumu (119Z409); Kalkinma Bakanligi (2015BSV036).</t>
  </si>
  <si>
    <t xml:space="preserve">2010 MASSACHUSETTS AVE NW, WASHINGTON, DC 20036 USA</t>
  </si>
  <si>
    <t xml:space="preserve">2156-7085</t>
  </si>
  <si>
    <t xml:space="preserve">BIOMED OPT EXPRESS</t>
  </si>
  <si>
    <t xml:space="preserve">10.1364/BOE.448099</t>
  </si>
  <si>
    <t xml:space="preserve">Biochemical Research Methods; Optics; Radiology, Nuclear Medicine &amp; Medical Imaging</t>
  </si>
  <si>
    <t xml:space="preserve">Biochemistry &amp; Molecular Biology; Optics; Radiology, Nuclear Medicine &amp; Medical Imaging</t>
  </si>
  <si>
    <t xml:space="preserve">3A5BL</t>
  </si>
  <si>
    <t xml:space="preserve">WOS:000827275100002</t>
  </si>
  <si>
    <t xml:space="preserve">Morais, MCC; Silva, D; Milagre, MM; de Oliveira, MT; Pereira, T; Silva, JS; Costa, LD; Minoprio, P; Cesar, RM Jr; Gazzinelli, R; de Lana, M; Nakaya, H</t>
  </si>
  <si>
    <t xml:space="preserve">Cafundo Morais, Mauro Cesar; Silva, Diogo; Milagre, Matheus Marques; de Oliveira, Maykon Tavares; Pereira, Thais; Silva, Joao Santana; Costa, Luciano da F.; Minoprio, Paola; Cesar Junior, Roberto Marcondes; Gazzinelli, Ricardo; de Lana, Marta; Nakaya, Helder, I</t>
  </si>
  <si>
    <t xml:space="preserve">Automatic detection of the parasite Trypanosoma cruzi in blood smears using a machine learning approach applied to mobile phone images</t>
  </si>
  <si>
    <t xml:space="preserve">Chagas disease is a life-threatening illness caused by the parasite Trypanosoma cruzi. The diagnosis of the acute form of the disease is performed by trained microscopists who detect parasites in blood smear samples. Since this method requires a dedicated high resolution camera system attached to the microscope, the diagnostic method is more expensive and often prohibitive for low-income settings. Here, we present a machine learning approach based on a random forest (RF) algorithm for the detection and counting of T. cruzi trypomastigotes in mobile phone images. We analyzed micrographs of blood smear samples that were acquired using a mobile device camera capable of capturing images in a resolution of 12 megapixels. We extracted a set of features that describe morphometric parameters (geometry and curvature), as well as color, and texture measurements of 1,314 parasites. The features were divided into train and test sets (4:1) and classified using the RF algorithm. The values of precision, sensitivity, and area under the receiver operating characteristic (ROC) curve of the proposed method were 87.6%, 90.5%, and 0.942, respectively. Automating image analysis acquired with a mobile device is a viable alternative for reducing costs and gaining efficiency in the use of the optical microscope.</t>
  </si>
  <si>
    <t xml:space="preserve">- Random forest
</t>
  </si>
  <si>
    <t xml:space="preserve">- Precision = 87.6%
- Sensitivity = 90.5%
- Area under the reciever characteristic (ROC) curve = 0.942</t>
  </si>
  <si>
    <t xml:space="preserve">Trypanosoma cruzi; Blood trypomastigote; Parasitemia; Machine learning; SVM</t>
  </si>
  <si>
    <t xml:space="preserve">CHAGAS-DISEASE; CLASSIFICATION</t>
  </si>
  <si>
    <t xml:space="preserve">[Cafundo Morais, Mauro Cesar; Nakaya, Helder, I] Hosp Israelita Albert Einstein, Sao Paulo, Brazil; [Cafundo Morais, Mauro Cesar; Minoprio, Paola; Nakaya, Helder, I] Univ Sao Paulo, Sci Platform Pasteur Univ Sao Paulo SPPU, Sao Paulo, SP, Brazil; [Cafundo Morais, Mauro Cesar; Silva, Diogo; Nakaya, Helder, I] Univ Sao Paulo, Sch Pharmaceut Sci, Dept Clin &amp; Toxicol Anal, Sao Paulo, SP, Brazil; [Milagre, Matheus Marques; de Lana, Marta] Univ Fed Ouro Preto, Dept Anal Clin DEACL, Programa Posgrad Ciencias Farmaceut CiPHARMA, Ouro Preto, MG, Brazil; [de Oliveira, Maykon Tavares; Silva, Joao Santana] Univ Fed Minas Gerais, Inst Rene Rachou, Lab Imunopatol, Fundacao Oswaldo Cruz, Belo Horizonte, MG, Brazil; [Pereira, Thais; Gazzinelli, Ricardo] FIOCRUZ SP, Fiocruz Biinst Translat Med Project, Ribeirao Preto, SP, Brazil; [Costa, Luciano da F.] Univ Sao Paulo, Sao Carlos Inst Phys DFCM IFSC, Sao Carlos, SP, Brazil; [Cesar Junior, Roberto Marcondes] Univ Sao Paulo, Inst Matemat &amp; Estat IME, Sao Paulo, SP, Brazil; [de Lana, Marta] Univ Fed Ouro Preto, Nucleo Pesquisas Ciencias Biol NUPEB, Ouro Preto, MG, Brazil; [Nakaya, Helder, I] Univ Sao Paulo, Ctr Res Inflammatory Dis CRID, Ribeirao Preto, SP, Brazil</t>
  </si>
  <si>
    <t xml:space="preserve">Hospital Israelita Albert Einstein; Universidade de Sao Paulo; Universidade de Sao Paulo; Universidade Federal de Ouro Preto; Universidade Federal de Minas Gerais; Fundacao Oswaldo Cruz; Fiocruz - Research Center Rene Rachou; Universidade de Sao Paulo; Universidade de Sao Paulo; Universidade Federal de Ouro Preto; Universidade de Sao Paulo</t>
  </si>
  <si>
    <t xml:space="preserve">Morais, MCC; Nakaya, H (corresponding author), Hosp Israelita Albert Einstein, Sao Paulo, Brazil.;Morais, MCC; Nakaya, H (corresponding author), Univ Sao Paulo, Sci Platform Pasteur Univ Sao Paulo SPPU, Sao Paulo, SP, Brazil.;Morais, MCC; Nakaya, H (corresponding author), Univ Sao Paulo, Sch Pharmaceut Sci, Dept Clin &amp; Toxicol Anal, Sao Paulo, SP, Brazil.;Nakaya, H (corresponding author), Univ Sao Paulo, Ctr Res Inflammatory Dis CRID, Ribeirao Preto, SP, Brazil.</t>
  </si>
  <si>
    <t xml:space="preserve">mauro_morais@usp.br</t>
  </si>
  <si>
    <t xml:space="preserve">Nakaya, Helder/A-1397-2010; da F. Costa, Luciano/H-5475-2011; Silva, Joao Santana/A-4484-2008; Cafundo de Morais, Mauro Cesar/D-8671-2012</t>
  </si>
  <si>
    <t xml:space="preserve">Silva, Joao Santana/0000-0002-3410-3927; Cafundo de Morais, Mauro Cesar/0000-0003-4248-750X</t>
  </si>
  <si>
    <t xml:space="preserve">Sao Paulo Research Foundation (FAPESP) [2020/12017-9, 2018/14933-2, 2015/22308]; National Council for Research (CNPq) [307085/2018-0]</t>
  </si>
  <si>
    <t xml:space="preserve">Sao Paulo Research Foundation (FAPESP)(Fundacao de Amparo a Pesquisa do Estado de Sao Paulo (FAPESP)); National Council for Research (CNPq)(Conselho Nacional de Desenvolvimento Cientifico e Tecnologico (CNPQ))</t>
  </si>
  <si>
    <t xml:space="preserve">This work was supported by the S?o Paulo Research Foundation (FAPESP, grant numbers 2020/12017-9 to Mauro Cesar Cafund? Morais, 2018/14933-2 to Helder Nakaya, 2015/22308 to Luciano da F. Costa) and National Council for Research (CNPq grant n. 307085/2018-0) . The funders had no role in study design, data collection and analysis, decision to publish, or preparation of the manuscript.</t>
  </si>
  <si>
    <t xml:space="preserve">MAY 27</t>
  </si>
  <si>
    <t xml:space="preserve">e13470</t>
  </si>
  <si>
    <t xml:space="preserve">10.7717/peerj.13470</t>
  </si>
  <si>
    <t xml:space="preserve">2C5ZZ</t>
  </si>
  <si>
    <t xml:space="preserve">WOS:000810947600005</t>
  </si>
  <si>
    <t xml:space="preserve">Dutta, AK; Mageswari, RU; Gayathri, A; Bruxella, JMD; Ishak, MK; Mostafa, SM; Hamam, H</t>
  </si>
  <si>
    <t xml:space="preserve">Dutta, Ashit Kumar; Mageswari, R. Uma; Gayathri, A.; Dallfin Bruxella, J. Mary; Ishak, Mohamad Khairi; Mostafa, Samih M.; Hamam, Habib</t>
  </si>
  <si>
    <t xml:space="preserve">Barnacles Mating Optimizer with Deep Transfer Learning Enabled Biomedical Malaria Parasite Detection and Classification</t>
  </si>
  <si>
    <t xml:space="preserve">Biomedical engineering involves ideologies and problem-solving methods of engineering to biology and medicine. Malaria is a life-threatening illness, which has gained significant attention among researchers. Since the manual diagnosis of malaria in a clinical setting is tedious, automated tools based on computational intelligence (CI) tools have gained considerable interest. Though earlier studies were focused on the handcrafted features, the diagnostic accuracy can be boosted through deep learning (DL) methods. This study introduces a new Barnacles Mating Optimizer with Deep Transfer Learning Enabled Biomedical Malaria Parasite Detection and Classification (BMODTL-BMPC) model. The presented BMODTL-BMPC model involves the design of intelligent models for the recognition and classification of malaria parasites. Initially, the Gaussian filtering (GF) approach is employed to eradicate noise in blood smear images. Then, Graph cuts (GC) segmentation technique is applied to determine the affected regions in the blood smear images. Moreover, the barnacles mating optimizer (BMO) algorithm with the NasNetLarge model is employed for the feature extraction process. Furthermore, the extreme learning machine (ELM) classification model is employed for the identification and classification of malaria parasites. To assure the enhanced outcomes of the BMODTL-BMPC technique, a wide-ranging experimentation analysis is performed using a benchmark dataset. The experimental results show that the BMODTL-BMPC technique outperforms other recent approaches.</t>
  </si>
  <si>
    <t xml:space="preserve">Saudi Arabia, India, Malaysia, Egypt, Canada, South Africa </t>
  </si>
  <si>
    <t xml:space="preserve">[Dutta, Ashit Kumar] AlMaarefa Univ, Coll Appl Sci, Dept Comp Sci &amp; Informat Syst, Riyadh 11597, Saudi Arabia; [Mageswari, R. Uma] Vardhaman Coll Engn Autonomous, Dept Comp Sci &amp; Engn, Hyderabad, Telangana, India; [Gayathri, A.] Vellore Inst Technol, Sch Informat Technol &amp; Engn, Dept Informat Technol, Vellore, India; [Dallfin Bruxella, J. Mary] Kalasalingam Acad Res &amp; Educ, Dept Comp Sci &amp; Informat Technol, Krishnankoil, India; [Ishak, Mohamad Khairi] Univ Sains Malaysia, Sch Elect &amp; Elect Engn, Nibong Tebal 14300, Pulau Pinang, Malaysia; [Mostafa, Samih M.] South Valley Univ, Fac Comp &amp; Informat, Qena Governorate, Egypt; [Hamam, Habib] Univ Moncton, Fac Engn, Moncton, NB E1A 3E9, Canada; [Hamam, Habib] Univ Johannesburg, Sch Elect Engn, Dept Elect &amp; Elect Engn Sci, ZA-2006 Johannesburg, South Africa</t>
  </si>
  <si>
    <t xml:space="preserve">Almaarefa University; Vardhaman College of Engineering; Vellore Institute of Technology (VIT); VIT Vellore; Kalasalingam Academy of Research &amp; Education; Universiti Sains Malaysia; Egyptian Knowledge Bank (EKB); South Valley University Egypt; University of Moncton; University of Johannesburg</t>
  </si>
  <si>
    <t xml:space="preserve">Mostafa, SM (corresponding author), South Valley Univ, Fac Comp &amp; Informat, Qena Governorate, Egypt.</t>
  </si>
  <si>
    <t xml:space="preserve">adotta@mcst.edu.sa; umaphd71@gmail.com; gayathri.a@vit.ac.in; jdallfin@gmail.com; khairiishak@usm.my; samih_montser@sci.svu.edu.eg; habib.hamam@umoncton.ca</t>
  </si>
  <si>
    <t xml:space="preserve">ISHAK, MOHAMAD KHAIRI/F-5295-2019; Mageswari R, Uma/AAS-4411-2021; Mostafa, Samih/AAD-7686-2019; , Dr.Mary Dallfin Bruxella/GQB-0188-2022; Hamam, Habib/C-1761-2019</t>
  </si>
  <si>
    <t xml:space="preserve">DUTTA, ASHIT KUMAR/0000-0002-1208-2678; , Dr.Mary Dallfin Bruxella/0000-0002-1696-7692; Hamam, Habib/0000-0002-5320-1012; M. Mostafa, Samih/0000-0001-9234-5898; A, Gayathri/0000-0002-1671-2251</t>
  </si>
  <si>
    <t xml:space="preserve">10.1155/2022/7776319</t>
  </si>
  <si>
    <t xml:space="preserve">2D0YP</t>
  </si>
  <si>
    <t xml:space="preserve">WOS:000811283100009</t>
  </si>
  <si>
    <t xml:space="preserve">Alonso-Ramírez, AA; Mwata-Velu, T; García-Capulín, CH; Rostro-González, H; Prado-Olivarez, J; Gutiérrez-López, M; Barranco-Gutiérrez, AI</t>
  </si>
  <si>
    <t xml:space="preserve">Antonio Alonso-Ramirez, Adan; Mwata-Velu, Tat'y; Hugo Garcia-Capulin, Carlos; Rostro-Gonzalez, Horacio; Prado-Olivarez, Juan; Gutierrez-Lopez, Marcos; Israel Barranco-Gutierrez, Alejandro</t>
  </si>
  <si>
    <t xml:space="preserve">Classifying Parasitized and Uninfected Malaria Red Blood Cells Using Convolutional-Recurrent Neural Networks</t>
  </si>
  <si>
    <t xml:space="preserve">This work aims to classify malaria infected red blood cells from those uninfected using two deep learning approaches. Plasmodium parasite transmitted by a female anopheles's mosquitoes bite is the main cause of malaria. Commonly, Microbiological analyses by a microscope allows detecting cells infected from a blood sample, followed by a specialist interpretation of results to conclude the diagnosis process. Taking advantage of efficient deep learning approaches applied in computer vision field, the present framework proposes two deep learning architecture based on Convolutional-Recurrent neural Networks to detect accurately malaria infected cells. The first one implements a Convolutional Long Short-Term Memory while the second uses a Convolutional Bidirectional Long Short-Term Memory architecture. A malaria's public dataset consisting of parasitized and uninfected red blood cell images was used for training and testing the proposed models. The methods developed in this work achieved an accuracy of 99.89% in the detection of malaria-infected red blood cells, without preprocessing data.</t>
  </si>
  <si>
    <t xml:space="preserve">- CNN-LSTM
- CNN-BiLSTM</t>
  </si>
  <si>
    <t xml:space="preserve">Accuracy = 99.89%</t>
  </si>
  <si>
    <t xml:space="preserve">Diseases; Convolutional neural networks; Cells (biology); Deep learning; Microscopy; Data models; Support vector machines; Recurrent neural networks; Long short term memory; Bidirectional long short-term memory (BiLSTM); convolutional neural network (CNN); long short-term memory (LSTM); malaria dataset</t>
  </si>
  <si>
    <t xml:space="preserve">IMAGE-ANALYSIS; CLASSIFICATION; LSTM</t>
  </si>
  <si>
    <t xml:space="preserve">[Antonio Alonso-Ramirez, Adan; Prado-Olivarez, Juan; Israel Barranco-Gutierrez, Alejandro] Tecnol Nacl Mexico Celaya, TecNM Celaya, Guanajuato 38010, Celaya, Mexico; [Mwata-Velu, Tat'y; Hugo Garcia-Capulin, Carlos; Rostro-Gonzalez, Horacio] Univ Guanajuato, Dept Elect, Palo Blanco 36885, Salamanca, Mexico; [Gutierrez-Lopez, Marcos] Tecnol Nacl Mexico Morelia, TecNM Morelia, Morelia 58120, Michoacan, Mexico</t>
  </si>
  <si>
    <t xml:space="preserve">Universidad de Guanajuato</t>
  </si>
  <si>
    <t xml:space="preserve">Barranco-Gutiérrez, AI (corresponding author), Tecnol Nacl Mexico Celaya, TecNM Celaya, Guanajuato 38010, Celaya, Mexico.</t>
  </si>
  <si>
    <t xml:space="preserve">israel.barranco@itcelaya.edu.mx</t>
  </si>
  <si>
    <t xml:space="preserve">Gutiérrez, Alejandro/AAH-7831-2021; Barranco-Gutierrez, Alejandro-Israel/M-3673-2017; Mwata-Velu, Tat'y/AIE-9101-2022</t>
  </si>
  <si>
    <t xml:space="preserve">Alonso Ramirez, Adan Antonio/0000-0002-9151-0465; Barranco-Gutierrez, Alejandro-Israel/0000-0002-5050-6208; Garcia Capulin, Carlos Hugo/0000-0002-1631-0738; Rostro Gonzalez, Horacio/0000-0001-7530-9027; Mwata-Velu, Tat'y/0000-0002-4346-8055</t>
  </si>
  <si>
    <t xml:space="preserve">Mexican National Council of Science and Technology Consejo Nacional de Ciencia y Tecnologia (CONACYT), Spanish [725022]; Tecnologico Nacional de Mexico (TecNM) en Celaya [D2203002]; Engineering Division of the University of Guanajuato</t>
  </si>
  <si>
    <t xml:space="preserve">Mexican National Council of Science and Technology Consejo Nacional de Ciencia y Tecnologia (CONACYT), Spanish; Tecnologico Nacional de Mexico (TecNM) en Celaya; Engineering Division of the University of Guanajuato</t>
  </si>
  <si>
    <t xml:space="preserve">This work was supported in part by the Mexican National Council of Science and Technology Consejo Nacional de Ciencia y Tecnologia (CONACYT), Spanish, under Grant number 725022, and in part by the Tecnologico Nacional de Mexico (TecNM) en Celaya under Grant number D2203002. The work of Horacio Rostro-Gonzalez was supported by the Engineering Division of the University of Guanajuato.</t>
  </si>
  <si>
    <t xml:space="preserve">10.1109/ACCESS.2022.3206266</t>
  </si>
  <si>
    <t xml:space="preserve">4X4HN</t>
  </si>
  <si>
    <t xml:space="preserve">WOS:000860805200001</t>
  </si>
  <si>
    <t xml:space="preserve">Mariki, M; Mkoba, E; Mduma, N</t>
  </si>
  <si>
    <t xml:space="preserve">Mariki, Martina; Mkoba, Elizabeth; Mduma, Neema</t>
  </si>
  <si>
    <t xml:space="preserve">Combining Clinical Symptoms and Patient Features for Malaria Diagnosis: Machine Learning Approach</t>
  </si>
  <si>
    <t xml:space="preserve">Presumptive treatment and self-medication for malaria have been used in limited-resource countries. However, these approaches have been considered unreliable due to the unnecessary use of malaria medication. This study aims to demonstrate supervised machine learning models in diagnosing malaria using patient symptoms and demographic features. Malaria diagnosis dataset extracted in two regions of Tanzania: Morogoro and Kilimanjaro. Important features were selected to improve model performance and reduce processing time. Machine learning classifiers with the k-fold cross-validation method were used to train and validate the model. The dataset developed a machine learning model for malaria diagnosis using patient symptoms and demographic features. A malaria diagnosis dataset of 2556 patients' records with 36 features was used. It was observed that the ranking of features differs among regions and when combined dataset. Significant features were selected, residence area, fever, age, general body malaise, visit date, and headache. Random Forest was the best classifier with an accuracy of 95% in Kilimanjaro, 87% in Morogoro and 82% in the combined dataset. Based on clinical symptoms and demographic features, a regional-specific malaria predictive model was developed to demonstrate relevant machine learning classifiers. Important features are useful in making the disease prediction.</t>
  </si>
  <si>
    <t xml:space="preserve">Tanzania</t>
  </si>
  <si>
    <t xml:space="preserve">- Logistics Regression (LR)
- K-Nearest Neighbor (KNN)
- Support Vector Machine (SVM)
- Decision Tree (DT)
- Random Forest (RF)</t>
  </si>
  <si>
    <t xml:space="preserve">Random Forest:
- Accuracy of 95% in Kilimanjaro, 87% in Morogoro and 82% in the combined dataset.</t>
  </si>
  <si>
    <t xml:space="preserve">- Data source restriction
- Limited generalizability
</t>
  </si>
  <si>
    <t xml:space="preserve">APPLIED ARTIFICIAL INTELLIGENCE</t>
  </si>
  <si>
    <t xml:space="preserve">SELF-MEDICATION; CHALLENGES</t>
  </si>
  <si>
    <t xml:space="preserve">[Mariki, Martina; Mkoba, Elizabeth; Mduma, Neema] Nelson Mandela African Inst Sci &amp; Technol, Dept Informat Commun Sci &amp; Engn ICSE, Arusha, Tanzania</t>
  </si>
  <si>
    <t xml:space="preserve">Mariki, M (corresponding author), Nelson Mandela African Inst Sci &amp; Technol, Arusha, Tanzania.</t>
  </si>
  <si>
    <t xml:space="preserve">marikim@nm-aist.ac.tz</t>
  </si>
  <si>
    <t xml:space="preserve">Mduma, Neema/ACR-1863-2022</t>
  </si>
  <si>
    <t xml:space="preserve">Mkoba, Elizabeth/0000-0001-7316-6624; Mduma, Neema/0000-0002-4364-3124; Mariki, Martina/0000-0002-3819-0458</t>
  </si>
  <si>
    <t xml:space="preserve">0883-9514</t>
  </si>
  <si>
    <t xml:space="preserve">1087-6545</t>
  </si>
  <si>
    <t xml:space="preserve">APPL ARTIF INTELL</t>
  </si>
  <si>
    <t xml:space="preserve">Appl. Artif. Intell.</t>
  </si>
  <si>
    <t xml:space="preserve">10.1080/08839514.2022.2031826</t>
  </si>
  <si>
    <t xml:space="preserve">JAN 2022</t>
  </si>
  <si>
    <t xml:space="preserve">2H0FK</t>
  </si>
  <si>
    <t xml:space="preserve">WOS:000750165200001</t>
  </si>
  <si>
    <t xml:space="preserve">Alharbi, AH; Aravinda, CV; Shetty, J; Jabarulla, MY; Sudeepa, KB; Singh, SK</t>
  </si>
  <si>
    <t xml:space="preserve">Alharbi, Amal H.; Aravinda, C. V.; Shetty, Jyothi; Jabarulla, Mohamed Yaseen; Sudeepa, K. B.; Singh, Sitesh Kumar</t>
  </si>
  <si>
    <t xml:space="preserve">Computational Models-Based Detection of Peripheral Malarial Parasites in Blood Smears</t>
  </si>
  <si>
    <t xml:space="preserve">The most common human parasite as per the medical experts is the malarial disease, which is caused by a protozoan parasite, and Plasmodium falciparum, a common parasite in humans. A microscopist with expertise in malaria diagnosis must conduct this complex procedure to identify the stages of infection. This epidemic is an ongoing disease in some parts of the world, which is commonly found. A Kaggle repository was used to upload the data collected from the NIH portal. The dataset contains 27558 samples, of which 13779 samples carry parasites and 13779 samples do not. This paper focuses on two of the most common deep transfer learning methods. Unlike other feature extractors, VGG-19's fine-tuning and pretraining made it an ideal feature extractor. Several image classification models, including VGG-19, have been pretrained on larger datasets. Additionally, deep learning strategies based on pretrained models are proposed for detecting malarial parasite cases in the early stages, in addition to an accuracy rating of 98.34* 0.51%.</t>
  </si>
  <si>
    <t xml:space="preserve">Saudi Arabia, India, Republic of Korea, Ethiopia</t>
  </si>
  <si>
    <t xml:space="preserve">Testing-accuracy = 95.56
F1 Score = 96.45
A∪C score = 95.45
Sensitivity = 96.65
Specificity = 95.25</t>
  </si>
  <si>
    <t xml:space="preserve">CONTRAST MEDIA &amp; MOLECULAR IMAGING</t>
  </si>
  <si>
    <t xml:space="preserve">WILEY-HINDAWI</t>
  </si>
  <si>
    <t xml:space="preserve">[Alharbi, Amal H.] Princess Nourah bint Abdulrahman Univ, Coll Comp &amp; Informat Sci, Dept Comp Sci, POB 84428, Riyadh 11671, Saudi Arabia; [Aravinda, C. V.; Shetty, Jyothi; Sudeepa, K. B.] NITTE Deemed Univ, Mangalore, India; [Jabarulla, Mohamed Yaseen] Gwangju Inst Sci &amp; Technol GIST, Sch Elect Engn &amp; Comp Sci, Gwangju, South Korea; [Singh, Sitesh Kumar] Wollega Univ, Dept Civil Engn, Nekemte, Oromia, Ethiopia</t>
  </si>
  <si>
    <t xml:space="preserve">Princess Nourah bint Abdulrahman University; NITTE (Deemed to be University); Gwangju Institute of Science &amp; Technology (GIST)</t>
  </si>
  <si>
    <t xml:space="preserve">Singh, SK (corresponding author), Wollega Univ, Dept Civil Engn, Nekemte, Oromia, Ethiopia.</t>
  </si>
  <si>
    <t xml:space="preserve">ahlharbi@outlook.com; aravinda.cv@nitte.edu.in; jyothi_shetty@nitte.edu.in; yaseen@gm.gist.ac.kr; sudeepa@nitte.edu.in; sitesh@wollegauniversity.edu.et</t>
  </si>
  <si>
    <t xml:space="preserve">C.V, Aravinda/K-2502-2017; Alharbi, Amal/HJA-1507-2022; Shetty, Jyothi/AAZ-2182-2021; Jabarulla, Mohamed Yaseen/AAB-9662-2019; Singh, Sitesh/ACX-0612-2022; B, sudeepa/AAV-6608-2021; cv, aravinda/A-9118-2016</t>
  </si>
  <si>
    <t xml:space="preserve">cv, aravinda/0000-0003-4588-4105; SINGH, SITESH KUMAR/0000-0002-7108-0808; Jabarulla, Mohamed Yaseen/0000-0001-6878-0224; , Jyothi Shetty/0000-0002-6566-9050</t>
  </si>
  <si>
    <t xml:space="preserve">ADAM HOUSE, 3RD FL, 1 FITZROY SQ, LONDON, WIT 5HE, ENGLAND</t>
  </si>
  <si>
    <t xml:space="preserve">1555-4309</t>
  </si>
  <si>
    <t xml:space="preserve">1555-4317</t>
  </si>
  <si>
    <t xml:space="preserve">CONTRAST MEDIA MOL I</t>
  </si>
  <si>
    <t xml:space="preserve">Contrast Media Mol. Imaging</t>
  </si>
  <si>
    <t xml:space="preserve">JUN 8</t>
  </si>
  <si>
    <t xml:space="preserve">10.1155/2022/9171343</t>
  </si>
  <si>
    <t xml:space="preserve">2G9OP</t>
  </si>
  <si>
    <t xml:space="preserve">WOS:000813930700004</t>
  </si>
  <si>
    <t xml:space="preserve">Pereira, AS; Mazza, LO; Pinto, PCC; Gomes, JGRC; Nedjah, N; Vanzan, DF; Pyrrho, AS; Soares, JGM</t>
  </si>
  <si>
    <t xml:space="preserve">Pereira, Andre S.; Mazza, Leonardo O.; Pinto, Pedro C. C.; Gomes, Jose Gabriel R. C.; Nedjah, Nadia; Vanzan, Daniel F.; Pyrrho, Alexandre S.; Soares, Juliana G. M.</t>
  </si>
  <si>
    <t xml:space="preserve">Deep convolutional neural network applied to Trypanosoma cruzi detection in blood samples</t>
  </si>
  <si>
    <t xml:space="preserve">Standard diagnosis of Chagas disease, during its acute phase, is based on Trypanosoma cruzi visualisation through microscopy applied to peripheral blood slides. We apply MobileNet V2 convolutional layers to image tiles from acute-phase peripheral blood samples, and feed the resulting 1,280-dimensional feature vectors into a single-neuron classifier. Using sample image tiles from a reduced, 12-slide, dataset, we achieve accuracy equal to 96.4% on a balanced validation subset. On image tiles from a 13th blood smear slide, test accuracy is estimated at 72.0%. We extend the dataset with images from six additional slides, which include two thick blood samples, and then test accuracy on two extra slides improves to 95.4%. Examples of raster scans with overlapping windows illustrate the detection of all positive instances of Trypanosoma cruzi in blood smear and thick blood images, without any false alarm. Furthermore, we start an investigation of boosting algorithm effects on classifier performance.</t>
  </si>
  <si>
    <t xml:space="preserve">MobileNet V2</t>
  </si>
  <si>
    <t xml:space="preserve">- Accuracy = 96.4% (Validation dataset)
- Accuracy = 72.0% (test dataset)
- Accuracy = 95.4% (test dataset on two extra slides)</t>
  </si>
  <si>
    <t xml:space="preserve">INTERNATIONAL JOURNAL OF BIO-INSPIRED COMPUTATION</t>
  </si>
  <si>
    <t xml:space="preserve">INDERSCIENCE ENTERPRISES LTD</t>
  </si>
  <si>
    <t xml:space="preserve">Chagas disease; Trypanosoma cruzi; deep convolutional neural networks; CNNs</t>
  </si>
  <si>
    <t xml:space="preserve">MALARIA PARASITES; MACHINE; CLASSIFICATION; DISEASE; PROGRESSION; ALGORITHM; SYSTEM</t>
  </si>
  <si>
    <t xml:space="preserve">[Pereira, Andre S.] Univ Fed Rio de Janeiro UFRJ, IBCCF, Rio De Janeiro, Brazil; [Mazza, Leonardo O.; Pinto, Pedro C. C.; Gomes, Jose Gabriel R. C.] Univ Fed Rio de Janeiro, COPPE, Rio de Janeiro, Brazil; [Nedjah, Nadia] State Univ Rio de Janeiro UERJ, Engn Fac, Rio De Janeiro, Brazil; [Vanzan, Daniel F.; Pyrrho, Alexandre S.] Univ Fed Rio de Janeiro, Fac Pharm, Rio de Janeiro, Brazil; [Soares, Juliana G. M.] Univ Fed Rio de Janeiro, Lab Cognit Physiol, IBCCF, Rio de Janeiro, Brazil</t>
  </si>
  <si>
    <t xml:space="preserve">Universidade Federal do Rio de Janeiro; Universidade Federal do Rio de Janeiro; Universidade do Estado do Rio de Janeiro; Universidade Federal do Rio de Janeiro; Universidade Federal do Rio de Janeiro</t>
  </si>
  <si>
    <t xml:space="preserve">Nedjah, N (corresponding author), State Univ Rio de Janeiro UERJ, Engn Fac, Rio De Janeiro, Brazil.</t>
  </si>
  <si>
    <t xml:space="preserve">andresilper@peb.ufrj.br; leonardomazza@poli.ufrj.br; pedrocayres@poli.ufrj.br; gabriel@pads.ufrj.br; nadia@eng.uerj.br; danielfvanzan@gmail.com; pyrrho@pharma.ufrj.br; jrnsoares@biof.ufrj.br</t>
  </si>
  <si>
    <t xml:space="preserve">Soares, Juliana/A-7124-2013; Pinto, Pedro/AAW-6143-2021; Nedjah, Nadia/AAE-7320-2019</t>
  </si>
  <si>
    <t xml:space="preserve">da Silva Pereira, Andre/0000-0002-6676-8923</t>
  </si>
  <si>
    <t xml:space="preserve">Conselho Nacional de Desenvolvimento Cientifico e Tecnologico -CNPq, in Brazil [432997/2018-0, 310481/2019-4, 440074/2020-7]; Coordenacao de Aperfeicoamento de Pessoal de Nivel Superior -CAPES in Brazil [001]; CNPq</t>
  </si>
  <si>
    <t xml:space="preserve">Conselho Nacional de Desenvolvimento Cientifico e Tecnologico -CNPq, in Brazil(Conselho Nacional de Desenvolvimento Cientifico e Tecnologico (CNPQ)); Coordenacao de Aperfeicoamento de Pessoal de Nivel Superior -CAPES in Brazil(Coordenacao de Aperfeicoamento de Pessoal de Nivel Superior (CAPES)); CNPq(Conselho Nacional de Desenvolvimento Cientifico e Tecnologico (CNPQ))</t>
  </si>
  <si>
    <t xml:space="preserve">We are grateful to Professor Helena Keiko Toma as well as to the full team of the Parasitic Disease Laboratory at FIOCRUZ for their help. We are also thankful to the team of the Neurobiology II Laboratory, at the Biophysics Institute, and the Inflammation and Immunity Laboratory, at the Microbiology Institute. This work has been supported in part by Conselho Nacional de Desenvolvimento Cientifico e Tecnologico -CNPq, in Brazil, under projects 432997/2018-0, 310481/2019-4 and 440074/2020-7, and in part by Coordenacao de Aperfeicoamento de Pessoal de Nivel Superior -CAPES in Brazil Finance Code 001. The first author's work has been supported by CNPq.</t>
  </si>
  <si>
    <t xml:space="preserve">GENEVA</t>
  </si>
  <si>
    <t xml:space="preserve">WORLD TRADE CENTER BLDG, 29 ROUTE DE PRE-BOIS, CASE POSTALE 856, CH-1215 GENEVA, SWITZERLAND</t>
  </si>
  <si>
    <t xml:space="preserve">1758-0366</t>
  </si>
  <si>
    <t xml:space="preserve">1758-0374</t>
  </si>
  <si>
    <t xml:space="preserve">INT J BIO-INSPIR COM</t>
  </si>
  <si>
    <t xml:space="preserve">Int. J. Bio-Inspired Comput..</t>
  </si>
  <si>
    <t xml:space="preserve">10.1504/IJBIC.2022.120749</t>
  </si>
  <si>
    <t xml:space="preserve">YV0LP</t>
  </si>
  <si>
    <t xml:space="preserve">WOS:000752425400001</t>
  </si>
  <si>
    <t xml:space="preserve">Jameela, T; Athotha, K; Singh, N; Gunjan, VK; Kahali, S</t>
  </si>
  <si>
    <t xml:space="preserve">Jameela, Tayyaba; Athotha, Kavitha; Singh, Ninni; Gunjan, Vinit Kumar; Kahali, Sayan</t>
  </si>
  <si>
    <t xml:space="preserve">Deep Learning and Transfer Learning for Malaria Detection</t>
  </si>
  <si>
    <t xml:space="preserve">Infectious disease malaria is a devastating infectious disease that claims the lives of more than 500,000 people worldwide every year. Most of these deaths occur as a result of a delayed or incorrect diagnosis. At the moment, the manual microscope is considered to be the most effective equipment for diagnosing malaria. It is, on the other hand, time-consuming and prone to human error. Because it is such a serious global health issue, it is important that the evaluation process be automated. The objective of this article is to advocate for the automation of the diagnosis process in order to eliminate the need for human intervention in the process. Convolutional neural networks (CNNs) and other deep-learning technologies, such as image processing, are being utilized to evaluate parasitemia in microscopic blood slides in order to enhance diagnostic accuracy. The approach is based on the intensity characteristics of Plasmodium parasites and erythrocytes, which are both known to be variable. Images of infected and noninfected erythrocytes are gathered and fed into the CNN models ResNet50, ResNet34, VGG-16, and VGG-19, which are all trained on the same dataset. The techniques of transfer learning and fine-tuning are employed, and the outcomes are contrasted. The VGG-19 model obtained the best overall performance given the parameters and dataset that were evaluated.</t>
  </si>
  <si>
    <t xml:space="preserve">India, Bangladesh, USA</t>
  </si>
  <si>
    <t xml:space="preserve">- ResNet50
- ResNet34
- VGG-16
- VGG-19</t>
  </si>
  <si>
    <t xml:space="preserve">ResNet50
- Accuracy = 0.958265
- Sensitivity = 0.966476
- Specificity = 0.949759
- F1 Score = 1.919412
ResNet-34
- Accuracy = 0.963527
- Sensitivity = 0.9671889
- Specificity = 0.959734
- F1 Score = 1.917519
VGG-16
- Accuracy = 0.960806
- Sensitivity = 0.970042
- Specificity = 0.950868
- F1 Score = 1.926142
VGG-19
- Accuracy = 0.972055
- Sensitivity = 0.979671
- Specificity = 0.964166
- F1 Score = 1.939950
</t>
  </si>
  <si>
    <t xml:space="preserve">BRAIN-TISSUES; SEGMENTATION</t>
  </si>
  <si>
    <t xml:space="preserve">[Jameela, Tayyaba; Athotha, Kavitha] JNTUH Coll Engn, Dept Comp Sci &amp; Engn, Hyderabad, India; [Singh, Ninni; Gunjan, Vinit Kumar] CMR Inst Technol Hyderabad, Dept Comp Sci &amp; Engn, Hyderabad, India; [Singh, Ninni] Univ Sci &amp; Technol Chittagong, Dept Comp Sci &amp; Engn, Chittagong, Bangladesh; [Kahali, Sayan] Washington Univ, Dept Radiol, St Louis, MI USA</t>
  </si>
  <si>
    <t xml:space="preserve">Jawaharlal Nehru Technological University - Hyderabad; University of Science &amp; Technology Chittagong (USTC); Washington University (WUSTL)</t>
  </si>
  <si>
    <t xml:space="preserve">Singh, N (corresponding author), CMR Inst Technol Hyderabad, Dept Comp Sci &amp; Engn, Hyderabad, India.;Singh, N (corresponding author), Univ Sci &amp; Technol Chittagong, Dept Comp Sci &amp; Engn, Chittagong, Bangladesh.</t>
  </si>
  <si>
    <t xml:space="preserve">tayyabajameela@gmail.com; athotakavitha@gmail.com; ninni.singh@ustc.ac.bd; vinitkumargunjan@gmail.com; sayankahali@ieee.org</t>
  </si>
  <si>
    <t xml:space="preserve">Kahali, Sayan/J-5036-2019; Gunjan, Vinit Kumar/I-1449-2014</t>
  </si>
  <si>
    <t xml:space="preserve">Gunjan, Vinit Kumar/0000-0002-3222-4186</t>
  </si>
  <si>
    <t xml:space="preserve">10.1155/2022/2221728</t>
  </si>
  <si>
    <t xml:space="preserve">5A1PJ</t>
  </si>
  <si>
    <t xml:space="preserve">WOS:000862665900018</t>
  </si>
  <si>
    <t xml:space="preserve">Koirala, A; Jha, M; Bodapati, S; Mishra, A; Chetty, G; Sahu, PK; Mohanty, S; Padhan, TK; Mattoo, J; Hukkoo, A</t>
  </si>
  <si>
    <t xml:space="preserve">Koirala, Anand; Jha, Meena; Bodapati, Srinivas; Mishra, Animesh; Chetty, Girija; Sahu, Praveen Kishore; Mohanty, Sanjib; Padhan, Timir Kanta; Mattoo, Jyoti; Hukkoo, Ajat</t>
  </si>
  <si>
    <t xml:space="preserve">Deep Learning for Real-Time Malaria Parasite Detection and Counting Using YOLO-mp</t>
  </si>
  <si>
    <t xml:space="preserve">Malaria in the rural and remote regions of tropical countries remain a major public health challenge. Early diagnosis and prompt effective treatment are the basis for the management of malaria and for reducing malaria mortality and morbidity worldwide and the key to malaria elimination. While Rapid Diagnostic Test (RDT) remains the current mainstay testing malaria infections, it is usually used in conjunction with clinical findings and lab tests of blood films through Microscopy- the gold standard of malaria diagnosis. Recent reports suggest that the accuracy of RDTs could be compromised due to parasite antigen gene deletion(s), and the lack of expertise and high turnover time makes microscopy impractical to be used in rural and remote areas which impede the diagnosis and treatment of the disease. Delay in receiving treatment for uncomplicated malaria is reported to increase the risk of developing severe malaria and mortality. Thus, the need to develop advanced, faster, and smarter tools for malaria diagnosis is paramount, specially to reinforce the gold standard method, i.e., malaria microscopy which is a full-proof tool given the limitations be addressed. Deep learning-based methods have proven to provide human expert level performance on object detection/classification on image data. Such methods can be utilized for automation of repetitive task in assessing large number of microscope images of blood samples. In this paper, we propose a novel approach to improve the performance of deep learning models through consistent labelling of ground truth bounding box for the task of pathogen detection on microscope images of thick blood smears. Recommendations are made on the reliability and repeatability testing of the trained models. A custom deep learning architecture (YOLO-mp) is developed based on the design criteria of optimizing accuracy and speed of detection with minimal resources. The custom three-layered YOLO-mp-3l and four-layered YOLO-mp-4l models achieved the best mAP scores of 93.99 (@IoU=0.5) and 94.07 (@IoU=0.5), respectively outperforming standard YOLOv4 (mAP 92.56 @IoU=0.5) for detection of malaria pathogen on a public dataset of thick blood smear microscope images captured using phone camera. YOLO-mp-3l (BFLOPs =21.8, model size =24.5Mb) and YOLO-mp-4l (BFLOPs=24.477, model size =25.4Mb) outperformed standard YOLOv4 (BFLOPs=127.232, model size = 244Mb) in terms of computation and memory requirements proving them suitable to run on low resource devices.</t>
  </si>
  <si>
    <t xml:space="preserve">Australia, USA, India</t>
  </si>
  <si>
    <t xml:space="preserve">YOLO-mp</t>
  </si>
  <si>
    <t xml:space="preserve">YOLO-mp-31
- mAP score = 93.99
YOLO-mp-41
- mAP score = 94.07</t>
  </si>
  <si>
    <t xml:space="preserve">Microscopy; Biomedical imaging; Object detection; Deep learning; Pathogens; Task analysis; Blood; Custom YOLO; deep learning; medical imaging; microscope images; object detection; thick blood smear images</t>
  </si>
  <si>
    <t xml:space="preserve">[Koirala, Anand] Cent Queensland Univ, Sch Hlth Med &amp; Appl Sci, Ctr Intelligent Syst, Rockhampton, Qld 4701, Australia; [Jha, Meena] Cent Queensland Univ, Sch Engn &amp; Technol, Ctr Intelligent Syst, Sydney, NSW 2000, Australia; [Bodapati, Srinivas; Hukkoo, Ajat] Intel Corp, Santa Clara, CA 95052 USA; [Mishra, Animesh] NVIDIA Corp, Santa Clara, CA 95051 USA; [Chetty, Girija] Univ Canberra, Fac Sci &amp; Technol, Canberra, ACT 2617, Australia; [Sahu, Praveen Kishore; Mohanty, Sanjib; Padhan, Timir Kanta] Community Welf Soc Hosp, Rourkela 769042, Odisha, India; [Mattoo, Jyoti] Intel Technol India Pvt Ltd, Bengaluru 560103, Karnataka, India</t>
  </si>
  <si>
    <t xml:space="preserve">Central Queensland University; Central Queensland University; Intel Corporation; Intel USA; Nvidia Corporation; University of Canberra; Intel Corporation; Intel India</t>
  </si>
  <si>
    <t xml:space="preserve">Jha, M (corresponding author), Cent Queensland Univ, Sch Engn &amp; Technol, Ctr Intelligent Syst, Sydney, NSW 2000, Australia.</t>
  </si>
  <si>
    <t xml:space="preserve">m.jha@cqu.edu.au</t>
  </si>
  <si>
    <t xml:space="preserve">Chetty, Girija/C-2221-2008; Sahu, Praveen/J-1489-2015</t>
  </si>
  <si>
    <t xml:space="preserve">Chetty, Girija/0000-0001-6264-8644; Koirala, Anand/0000-0001-7376-2143; Mishra, Animesh/0000-0002-7237-7961; Sahu, Praveen/0000-0001-7855-7501</t>
  </si>
  <si>
    <t xml:space="preserve">Australia India Council Grant through Australian Government Department of Foreign Affairs and Trade [AIC-116-2021]; Center for Intelligent Systems, Central Queensland University, Australia</t>
  </si>
  <si>
    <t xml:space="preserve">Australia India Council Grant through Australian Government Department of Foreign Affairs and Trade; Center for Intelligent Systems, Central Queensland University, Australia</t>
  </si>
  <si>
    <t xml:space="preserve">This work was supported in part by the Australia India Council Grant through Australian Government Department of Foreign Affairs and Trade under Grant AIC-116-2021, and in part by the Center for Intelligent Systems, Central Queensland University, Australia.</t>
  </si>
  <si>
    <t xml:space="preserve">10.1109/ACCESS.2022.3208270</t>
  </si>
  <si>
    <t xml:space="preserve">5C3CM</t>
  </si>
  <si>
    <t xml:space="preserve">WOS:000864141200001</t>
  </si>
  <si>
    <t xml:space="preserve">Nguyen, V; Tuyet-Hanh, TT; Mulhall, J; Minh, HV; Duong, T; Chien, NV; Nhung, NTT; Lan, VH; Minh, HB; Cuong, D; Bich, NN; Quyen, NH; Linh, TNQV; Tho, NT; Nghia, NDV; Anh, L; Phan, DTMV; Hung, NQV; Son, MTV</t>
  </si>
  <si>
    <t xml:space="preserve">Nguyen, Van-Hau; Tuyet-Hanh, Tran Thi; Mulhall, James; Minh, Hoang Van; Duong, Trung; Chien, Nguyen Van; Nhung, Nguyen Thi Trang; Lan, Vu Hoang; Minh, Hoang Ba; Cuong, Do; Bich, Nguyen Ngoc; Quyen, Nguyen Huu; Linh, Tran Nu Quy V.; Tho, Nguyen Thi; Nghia, Ngu Duy V.; Anh, Le Van Quoc; Phan, Diep T. M. V.; Hung, Nguyen Quoc Viet; Son, Mai Thai V.</t>
  </si>
  <si>
    <t xml:space="preserve">Deep learning models for forecasting dengue fever based on climate data in Vietnam</t>
  </si>
  <si>
    <t xml:space="preserve">Background Dengue fever (DF) represents a significant health burden in Vietnam, which is forecast to worsen under climate change. The development of an early-warning system for DF has been selected as a prioritised health adaptation measure to climate change in Vietnam. Objective This study aimed to develop an accurate DF prediction model in Vietnam using a wide range of meteorological factors as inputs to inform public health responses for outbreak prevention in the context of future climate change. Methods Convolutional neural network (CNN), Transformer, long short-term memory (LSTM), and attention-enhanced LSTM (LSTM-ATT) models were compared with traditional machine learning models on weather-based DF forecasting. Models were developed using lagged DF incidence and meteorological variables (measures of temperature, humidity, rainfall, evaporation, and sunshine hours) as inputs for 20 provinces throughout Vietnam. Data from 1997-2013 were used to train models, which were then evaluated using data from 2014-2016 by Root Mean Square Error (RMSE) and Mean Absolute Error (MAE). Results and discussion LSTM-ATT displayed the highest performance, scoring average places of 1.60 for RMSE-based ranking and 1.95 for MAE-based ranking. Notably, it was able to forecast DF incidence better than LSTM in 13 or 14 out of 20 provinces for MAE or RMSE, respectively. Moreover, LSTM-ATT was able to accurately predict DF incidence and outbreak months up to 3 months ahead, though performance dropped slightly compared to short-term forecasts. To the best of our knowledge, this is the first time deep learning methods have been employed for the prediction of both long- and short-term DF incidence and outbreaks in Vietnam using unique, rich meteorological features. Conclusion This study demonstrates the usefulness of deep learning models for meteorological factor-based DF forecasting. LSTM-ATT should be further explored for mitigation strategies against DF and other climate-sensitive diseases in the coming years.</t>
  </si>
  <si>
    <t xml:space="preserve">Vietman, United Kingdom, United States of America, Australia</t>
  </si>
  <si>
    <t xml:space="preserve">Vietman</t>
  </si>
  <si>
    <t xml:space="preserve">- CNN
- Transformer
- LSTM
- Attention enhanced LSTM (LSTM-ATT)</t>
  </si>
  <si>
    <t xml:space="preserve">AEDES-AEGYPTI DIPTERA; METEOROLOGICAL FACTORS; HEMORRHAGIC-FEVER; PREDICTION MODEL; VARIABILITY; GUANGZHOU; CULICIDAE; THAILAND; CHINA</t>
  </si>
  <si>
    <t xml:space="preserve">[Nguyen, Van-Hau] Hungyen Univ Technol &amp; Educ, Hungyen, Vietnam; [Tuyet-Hanh, Tran Thi; Minh, Hoang Van; Nhung, Nguyen Thi Trang; Lan, Vu Hoang; Bich, Nguyen Ngoc] Hanoi Univ Publ Hlth, Hanoi, Vietnam; [Mulhall, James; Duong, Trung; Son, Mai Thai V.] Queens Univ Belfast, Belfast, North Ireland; [Chien, Nguyen Van] Hanoi Univ Sci &amp; Technol, Hanoi, Vietnam; [Minh, Hoang Ba] Bac Ha Int Univ, Hanoi, Vietnam; [Cuong, Do] Univ Connecticut, Storrs, CT USA; [Quyen, Nguyen Huu] Vietnam Inst Meteorol Hydrol &amp; Climate Change, Hanoi, Vietnam; [Linh, Tran Nu Quy V.; Hung, Nguyen Quoc Viet] Griffith Univ, Brisbane, Qld, Australia; [Tho, Nguyen Thi; Nghia, Ngu Duy V.] Natl Inst Hyg &amp; Epidemiol, Hanoi, Vietnam; [Anh, Le Van Quoc] Ho Chi Minh City Univ Transportat, Ho Chi Minh, Vietnam; [Phan, Diep T. M. V.] Univ Sci, Ho Chi Minh, Vietnam</t>
  </si>
  <si>
    <t xml:space="preserve">Hanoi University of Public Health; Queens University Belfast; Hanoi University of Science &amp; Technology (HUST); University of Connecticut; Griffith University; National Institute of Hygiene &amp; Epidemiology (NIHE)</t>
  </si>
  <si>
    <t xml:space="preserve">Tuyet-Hanh, TT (corresponding author), Hanoi Univ Publ Hlth, Hanoi, Vietnam.;Duong, T (corresponding author), Queens Univ Belfast, Belfast, North Ireland.</t>
  </si>
  <si>
    <t xml:space="preserve">tth2@huph.edu.vn; trung.q.duong@qub.ac.uk</t>
  </si>
  <si>
    <t xml:space="preserve">Nhung, Nguyen/ADR-1738-2022; Nguyen-Viet, Hung/AHH-2981-2022; Hoàng, Vân/ISS-6530-2023; Hoang, Minh/AET-0962-2022; Duong, Trung Q./AAI-6708-2020; Mulhall, James/JWP-3010-2024; Nguyen, Hoang/C-4845-2019; Nguyen, Huong/IXN-3671-2023; Le Van, Quoc Anh/ABE-1664-2021; Duong, Trung Q./I-1291-2013</t>
  </si>
  <si>
    <t xml:space="preserve">Hoang Van, Minh/0000-0002-4749-5536; Le Van, Quoc Anh/0000-0002-0204-6147; Nguyen, Van-Hau/0000-0002-3256-5626; Duong, Trung Q./0000-0002-4703-4836; Nguyen, Thi Trang Nhung/0000-0002-1248-1070; Nguyen, Van-Chien/0000-0003-0005-1855; Tran Thi, Tuyet-Hanh/0000-0002-9191-577X; Mulhall, James/0009-0008-5576-731X</t>
  </si>
  <si>
    <t xml:space="preserve">Newton Fund Vietnam: Research Environment Links, through British Council; UK Department for Business, Energy and Industrial Strategy [528154944]</t>
  </si>
  <si>
    <t xml:space="preserve">Newton Fund Vietnam: Research Environment Links, through British Council; UK Department for Business, Energy and Industrial Strategy</t>
  </si>
  <si>
    <t xml:space="preserve">TTTH, HVM, TQD, STM received funding from the Newton Fund Vietnam: Research Environment Links, through British Council for the period of 2020-2021. The Grant ID 528154944, titled Building Public Health Resilience in Vietnam: An Early Warning System using Artificial Intelligence was funded by the UK Department for Business, Energy and Industrial Strategy and delivered by the British Council. For further information visit the Newton Fund website (www.newtonfund.ac.uk) and follow via Twitter: @NewtonFund The funder had no role in study design, data collection and analysis, decision to publish, or preparation of the manuscript. No authors received a salary from the funder.</t>
  </si>
  <si>
    <t xml:space="preserve">e0010509</t>
  </si>
  <si>
    <t xml:space="preserve">10.1371/journal.pntd.0010509</t>
  </si>
  <si>
    <t xml:space="preserve">3E8YI</t>
  </si>
  <si>
    <t xml:space="preserve">WOS:000830263700018</t>
  </si>
  <si>
    <t xml:space="preserve">Socia, D; Brady, CJ; West, SK; Cockrell, RC</t>
  </si>
  <si>
    <t xml:space="preserve">Socia, Damien; Brady, Christopher J.; West, Sheila K.; Cockrell, R. Chase</t>
  </si>
  <si>
    <t xml:space="preserve">Detection of trachoma using machine learning approaches</t>
  </si>
  <si>
    <t xml:space="preserve">Background Though significant progress in disease elimination has been made over the past decades, trachoma is the leading infectious cause of blindness globally. Further efforts in trachoma elimination are paradoxically being limited by the relative rarity of the disease, which makes clinical training for monitoring surveys difficult. In this work, we evaluate the plausibility of an Artificial Intelligence model to augment or replace human image graders in the evaluation/diagnosis of trachomatous inflammation-follicular (TF). Methods We utilized a dataset consisting of 2300 images with a 5% positivity rate for TF. We developed classifiers by implementing two state-of-the-art Convolutional Neural Network architectures, ResNet101 and VGG16, and applying a suite of data augmentation/oversampling techniques to the positive images. We then augmented our data set with additional images from independent research groups and evaluated performance. Results Models performed well in minimizing the number of false negatives, given the constraint of the low numbers of images in which TF was present. The best performing models achieved a sensitivity of 95% and positive predictive value of 50-70% while reducing the number images requiring skilled grading by 66-75%. Basic oversampling and data augmentation techniques were most successful at improving model performance, while techniques that are grounded in clinical experience, such as highlighting follicles, were less successful. Discussion The developed models perform well and significantly reduce the burden on graders by minimizing the number of false negative identifications. Further improvements in model skill will benefit from data sets with more TF as well as a range in image quality and image capture techniques used. While these models approach/meet the community-accepted standard for skilled field graders (i.e., Cohen's Kappa &gt;0.7), they are insufficient to be deployed independently/clinically at this time; rather, they can be utilized to significantly reduce the burden on skilled image graders. Author summary Trachoma is an infectious disease, experienced primarily in the developing world, and is a leading cause of global blindness. As recent efforts to address the disease have led to a significant reduction in disease prevalence, it has become difficult to train health workers to detect trachoma, due to its rarity; this if often referred to as the last mile problem. To address this issue, we have implemented a convolutional neural network to detect the presence of TF in images of everted eyelids. The trained network has comparable performance to trained, but non-expert, human image graders. Further, we found that misclassified images were typically characterized by poor image quality (e.g., blurry, eyelid not in image, etc.), which could be addressed by a standardization of the image acquisition protocol.</t>
  </si>
  <si>
    <t xml:space="preserve">- ResNet101
- VGG16</t>
  </si>
  <si>
    <t xml:space="preserve">- Sensitivity = 95%
- Predictive value of 50-70%</t>
  </si>
  <si>
    <t xml:space="preserve">PHOTOGRAPHS</t>
  </si>
  <si>
    <t xml:space="preserve">[Socia, Damien; Brady, Christopher J.; Cockrell, R. Chase] Univ Vermont, Div Surg Res, Dept Surg, Larner Coll Med, Burlington, VT USA; [Brady, Christopher J.] Univ Vermont, Div Ophthalmol, Dept Surg, Larner Coll Med, Burlington, VT USA; [West, Sheila K.] Wilmer Eye Inst, Dana Ctr Prevent Ophthalmol, Baltimore, MD USA</t>
  </si>
  <si>
    <t xml:space="preserve">University of Vermont; University of Vermont; Johns Hopkins University; Johns Hopkins Medicine</t>
  </si>
  <si>
    <t xml:space="preserve">Cockrell, RC (corresponding author), Univ Vermont, Div Surg Res, Dept Surg, Larner Coll Med, Burlington, VT USA.</t>
  </si>
  <si>
    <t xml:space="preserve">robert.cockrell@med.uvm.edu</t>
  </si>
  <si>
    <t xml:space="preserve">National Institute of General Medical Sciences of the National Institutes of Health [P20GM125498]</t>
  </si>
  <si>
    <t xml:space="preserve">National Institute of General Medical Sciences of the National Institutes of Health(United States Department of Health &amp; Human ServicesNational Institutes of Health (NIH) - USANIH National Institute of General Medical Sciences (NIGMS))</t>
  </si>
  <si>
    <t xml:space="preserve">C.J.B. was supported by the National Institute of General Medical Sciences of the National Institutes of Health under Award Number P20GM125498. The content is solely the responsibility of the authors and does not necessarily represent the official views of the National Institutes of Health. The funders had no role in study design, data collection and analysis, decision to publish, or preparation of the manuscript.</t>
  </si>
  <si>
    <t xml:space="preserve">e0010943</t>
  </si>
  <si>
    <t xml:space="preserve">10.1371/journal.pntd.0010943</t>
  </si>
  <si>
    <t xml:space="preserve">8J7PP</t>
  </si>
  <si>
    <t xml:space="preserve">WOS:000922603900025</t>
  </si>
  <si>
    <t xml:space="preserve">Wani, MA; Roy, KK</t>
  </si>
  <si>
    <t xml:space="preserve">Wani, Mushtaq Ahmad; Roy, Kuldeep K.</t>
  </si>
  <si>
    <t xml:space="preserve">Development and validation of consensus machine learning-based models for the prediction of novel small molecules as potential anti-tubercular agents</t>
  </si>
  <si>
    <t xml:space="preserve">Tuberculosis (TB) is an infectious disease and the leading cause of death globally. The rapidly emerging cases of drug resistance among pathogenic mycobacteria have been a global threat urging the need of new drug discovery and development. However, considering the fact that the new drug discovery and development is commonly lengthy and costly processes, strategic use of the cutting-edge machine learning (ML) algorithms may be very supportive in reducing both the cost and time involved. Considering the urgency of new drugs for TB, herein, we have attempted to develop predictive ML algorithms-based models useful in the selection of novel potential small molecules for subsequent in vitro validation. For this purpose, we used the GlaxoSmithKline (GSK) TCAMS TB dataset comprising a total of 776 hits that were made publicly available to the wider scientific community through the ChEMBL Neglected Tropical Diseases (ChEMBL-NTD) database. After exploring the different ML classifiers, viz. decision trees (DT), support vector machine (SVM), random forest (RF), Bernoulli Naive Bayes (BNB), K-nearest neighbors (k-NN), and linear logistic regression (LLR), and ensemble learning models (bagging and Adaboost) for training the model using the GSK dataset, we concluded with three best models, viz. Adaboost decision tree (ABDT), RF classifier, and k-NN models that gave the top prediction results for both the training and test sets. However, during the prediction of the external set of known anti-tubercular compounds/drugs, it was realized that each of these models had some limitations. The ABDT model correctly predicted 22 molecules as actives, while both the RF and k-NN models predicted 18 molecules correctly as actives; a number of molecules were predicted as actives by two of these models, while the third model predicted these compounds as inactives. Therefore, we concluded that while deciding the anti-tubercular potential of a new molecule, one should rely on the use of consensus predictions using these three models; it may lessen the attrition rate during the in vitro validation. We believe that this study may assist the wider anti-tuberculosis research community by providing a platform for predicting small molecules with subsequent validation for drug discovery and development.</t>
  </si>
  <si>
    <t xml:space="preserve">Small molecule dataset</t>
  </si>
  <si>
    <t xml:space="preserve">Tuberculosis</t>
  </si>
  <si>
    <t xml:space="preserve">- Decision trees (DT)
- SVM
- Bernoulli Naive Bayes (BNB)
- K-NN
- Linear logistic regression
- Ensemblr learning models (bagging and Adaboost)
- Adaboost decision tree (ABDT)
- RF classifier</t>
  </si>
  <si>
    <t xml:space="preserve">ROC-AUC % (Imbalanced dataset)
- DT = 62.21%
- ABDT = 56.51%
- KNN = 59.56%
- LR = 59.96%
- NB = 59.84%
- SVM = 60.24%
- RF = 58.21
ROC-AUC % (balanced dataset)
- DT = 55.01% (Random under sampling) and 63.89% (SMOTE)
- ABDT = 61.57% (Random under sampling) and 82.92% (SMOTE)
- KNN = 59.04% (Random under sampling) and 71.73% (SMOTE)
- LR = 59.76% (Random under sampling) and 60.50% (SMOTE)
- NB = 58.52% (Random under sampling) and 60.91% (SMOTE)
- SVM = 59.48% (Random under sampling) and 60.98% (SMOTE)
- RF = 60.17% (Random under sampling) and 88.71% (SMOTE)</t>
  </si>
  <si>
    <t xml:space="preserve">MOLECULAR DIVERSITY</t>
  </si>
  <si>
    <t xml:space="preserve">Tuberculosis; Mycobacterium tuberculosis; Machine learning; ABDT; RF</t>
  </si>
  <si>
    <t xml:space="preserve">[Wani, Mushtaq Ahmad] Natl Inst Pharmaceut Educ &amp; Res, Dept Pharmacoinformat, Kolkata 700054, West Bengal, India; [Roy, Kuldeep K.] Adamas Univ, Sch Med Sci, Dept Pharmaceut Technol, Kolkata 700126, W Bengal, India</t>
  </si>
  <si>
    <t xml:space="preserve">National Institute of Pharmaceutical Education &amp; Research, S.A.S. Nagar (Mohali)</t>
  </si>
  <si>
    <t xml:space="preserve">Roy, KK (corresponding author), Adamas Univ, Sch Med Sci, Dept Pharmaceut Technol, Kolkata 700126, W Bengal, India.</t>
  </si>
  <si>
    <t xml:space="preserve">kuldeepkroy@gmail.com</t>
  </si>
  <si>
    <t xml:space="preserve">Roy, Kuldeep/R-1762-2016; Wani, Mushtaq/AAX-7171-2020; Wani, Mushtaq Ahmad/GSD-4748-2022</t>
  </si>
  <si>
    <t xml:space="preserve">Roy, Kuldeep/0000-0001-9623-0617; Wani, Mushtaq Ahmad/0000-0002-8590-7079</t>
  </si>
  <si>
    <t xml:space="preserve">Department of Pharmaceuticals; Ministry of Chemicals and Fertilizes; NIPER, Kolkata</t>
  </si>
  <si>
    <t xml:space="preserve">Department of Pharmaceuticals(Department of Pharmaceuticals, Government of India); Ministry of Chemicals and Fertilizes; NIPER, Kolkata</t>
  </si>
  <si>
    <t xml:space="preserve">The authors are thankful to the Director of NIPER, Kolkata, for providing the resources and support. The author M.A.W. is thankful to the Department of Pharmaceuticals and the Ministry of Chemicals and Fertilizes for providing a Ph.D. fellowship.</t>
  </si>
  <si>
    <t xml:space="preserve">1381-1991</t>
  </si>
  <si>
    <t xml:space="preserve">1573-501X</t>
  </si>
  <si>
    <t xml:space="preserve">MOL DIVERS</t>
  </si>
  <si>
    <t xml:space="preserve">Mol. Divers.</t>
  </si>
  <si>
    <t xml:space="preserve">10.1007/s11030-021-10238-y</t>
  </si>
  <si>
    <t xml:space="preserve">Biochemistry &amp; Molecular Biology; Chemistry, Applied; Chemistry, Medicinal; Chemistry, Multidisciplinary</t>
  </si>
  <si>
    <t xml:space="preserve">Biochemistry &amp; Molecular Biology; Chemistry; Pharmacology &amp; Pharmacy</t>
  </si>
  <si>
    <t xml:space="preserve">2G6ZP</t>
  </si>
  <si>
    <t xml:space="preserve">WOS:000659784300001</t>
  </si>
  <si>
    <t xml:space="preserve">Picot, S; Perpoint, T; Chidiac, C; Sigal, A; Javouhey, E; Gillet, Y; Jacquin, L; Douplat, M; Tazarourte, K; Argaud, L; Wallon, M; Miossec, C; Bonnot, G; Bienvenu, AL; Justine, JL</t>
  </si>
  <si>
    <t xml:space="preserve">Picot, Stephane; Perpoint, Thomas; Chidiac, Christian; Sigal, Alain; Javouhey, Etienne; Gillet, Yves; Jacquin, Laurent; Douplat, Marion; Tazarourte, Karim; Argaud, Laurent; Wallon, Martine; Miossec, Charline; Bonnot, Guillaume; Bienvenu, Anne-Lise; Justine, Jean-Lou</t>
  </si>
  <si>
    <t xml:space="preserve">Diagnostic accuracy of fluorescence flow-cytometry technology using Sysmex XN-31 for imported malaria in a non-endemic setting</t>
  </si>
  <si>
    <t xml:space="preserve">Malaria diagnosis based on microscopy is impaired by the gradual disappearance of experienced microscopists in non-endemic areas. Aside from the conventional diagnostic methods, fluorescence flow cytometry technology using Sysmex XN-31, an automated haematology analyser, has been registered to support malaria diagnosis. The aim of this prospective, monocentric, non-interventional study was to evaluate the diagnostic accuracy of the XN-31 for the initial diagnosis or follow-up of imported malaria cases compared to the reference malaria tests including microscopy, loop mediated isothermal amplification, and rapid diagnostic tests. Over a one-year period, 357 blood samples were analysed, including 248 negative and 109 positive malaria samples. Compared to microscopy, XN-31 showed sensitivity of 100% (95% CI: 97.13-100) and specificity of 98.39% (95% CI: 95.56-100) for the initial diagnosis of imported malaria cases. Moreover, it provided accurate species identification asfalciparumor non-falciparumand parasitaemia determination in a very short time compared to other methods. We also demonstrated that XN-31 was a reliable method for patient follow-up on days 3, 7, and 28. Malaria diagnosis can be improved in non-endemic areas by the use of dedicated haematology analysers coupled with standard microscopy or other methods in development, such as artificial intelligence for blood slide reading. Given that XN-31 provided an accurate diagnosis in 1 min, it may reduce the time interval before treatment and thus improve the outcome of patient who have malaria.</t>
  </si>
  <si>
    <t xml:space="preserve">Clinical laboratory data</t>
  </si>
  <si>
    <t xml:space="preserve">XN-31</t>
  </si>
  <si>
    <t xml:space="preserve">- Sensitivity = 100% (95% CI: 97.13-100)
- Specificity = 98.39% (95% CI: 95.56-100)</t>
  </si>
  <si>
    <t xml:space="preserve">PARASITE</t>
  </si>
  <si>
    <t xml:space="preserve">EDP SCIENCES S A</t>
  </si>
  <si>
    <t xml:space="preserve">Malaria; Plasmodium; Diagnostic accuracy; Sysmex XN-31; RDT; LAMP; Microscopy; PCR</t>
  </si>
  <si>
    <t xml:space="preserve">HEMATOLOGY ANALYZER; IDENTIFICATION; PERFORMANCE; XE-2100; DISEASE; BLOOD</t>
  </si>
  <si>
    <t xml:space="preserve">[Picot, Stephane; Wallon, Martine; Miossec, Charline] Hosp Civils Lyon, Grp Hosp Nord, Serv Parasitol &amp; Mycol Med, F-69004 Lyon, France; [Picot, Stephane; Bonnot, Guillaume; Bienvenu, Anne-Lise] Univ Lyon 1, Univ Lyon, CNRS, CPE Lyon,ICBMS,UMR 5246,INSA, F-69100 Villeurbanne, France; [Perpoint, Thomas; Chidiac, Christian] Hosp Civils Lyon, Hop Croix Rousse, Serv Malad Infect &amp; Trop, F-69004 Lyon, France; [Chidiac, Christian] ENS Lyon, CIRI Equipe PH3ID, INSERM,U1111,UCBL Lyon 1, CNRS,UMR5308, Lyon, France; [Sigal, Alain] Hosp Civils Lyon, Hop Croix Rousse, Serv Accueil Urgences, F-69004 Lyon, France; [Javouhey, Etienne; Gillet, Yves] Hosp Civils Lyon, Hop Femme Mere Enfant, Serv Reanimat &amp; Urgences Pediat, F-69500 Lyon, France; [Jacquin, Laurent; Tazarourte, Karim] Hosp Civils Lyon, Hop Edouard Herriot, Serv Accueil Urgences, F-69008 Lyon, France; [Douplat, Marion] Hosp Civils Lyon, Hop Lyon Sud, Serv Accueil Urgences, F-69310 Lyon, France; [Douplat, Marion; Tazarourte, Karim] Univ Claude Bernard Lyon 1, Univ Lyon, HESPER EA 7425, F-69008 Lyon, France; [Argaud, Laurent] Hosp Civils Lyon, Serv Med Intens Reanimat, Hop Edouard Herriot, F-69008 Lyon, France; [Bienvenu, Anne-Lise] Hosp Civils Lyon, Grp Hosp Nord, Serv Pharm, F-69004 Lyon, France</t>
  </si>
  <si>
    <t xml:space="preserve">CHU Lyon; Institut National des Sciences Appliquees de Lyon - INSA Lyon; Universite Claude Bernard Lyon 1; Centre National de la Recherche Scientifique (CNRS); CNRS - Institute of Chemistry (INC); CHU Lyon; Ecole Normale Superieure de Lyon (ENS de LYON); Universite Claude Bernard Lyon 1; Centre National de la Recherche Scientifique (CNRS); CNRS - National Institute for Biology (INSB); Institut National de la Sante et de la Recherche Medicale (Inserm); CHU Lyon; CHU Lyon; CHU Lyon; CHU Lyon; Universite Claude Bernard Lyon 1; CHU Lyon; CHU Lyon</t>
  </si>
  <si>
    <t xml:space="preserve">Picot, S (corresponding author), Hosp Civils Lyon, Grp Hosp Nord, Serv Parasitol &amp; Mycol Med, F-69004 Lyon, France.;Picot, S (corresponding author), Univ Lyon 1, Univ Lyon, CNRS, CPE Lyon,ICBMS,UMR 5246,INSA, F-69100 Villeurbanne, France.</t>
  </si>
  <si>
    <t xml:space="preserve">Stephane.picot@chu-lyon.fr</t>
  </si>
  <si>
    <t xml:space="preserve">Tazarourte, karim/GQZ-6054-2022; Douplat, Marion/AAJ-3338-2021; Bienvenu, Anne-Lise/J-5841-2012; JACQUIN, Laurent/AAE-9752-2020; Javouhey, Etienne/G-3651-2013; Justine, Jean-Lou/B-1298-2010; Wallon, martine/D-1340-2013; gillet, yves/C-6307-2012; Picot, Stephane/F-5973-2014</t>
  </si>
  <si>
    <t xml:space="preserve">Gillet, Yves/0000-0003-1791-1639; Carmen, Team3/0000-0002-3614-0924; Picot, Stephane/0000-0002-5735-6759; Lab, Carmen/0000-0002-5935-3236; Bienvenu, Anne-Lise/0000-0003-1502-1851</t>
  </si>
  <si>
    <t xml:space="preserve">Sysmex Corp., Japan</t>
  </si>
  <si>
    <t xml:space="preserve">This study was supported by a grant from Sysmex Corp., Japan.</t>
  </si>
  <si>
    <t xml:space="preserve">LES ULIS CEDEX A</t>
  </si>
  <si>
    <t xml:space="preserve">17, AVE DU HOGGAR, PA COURTABOEUF, BP 112, F-91944 LES ULIS CEDEX A, FRANCE</t>
  </si>
  <si>
    <t xml:space="preserve">1252-607X</t>
  </si>
  <si>
    <t xml:space="preserve">1776-1042</t>
  </si>
  <si>
    <t xml:space="preserve">Parasite</t>
  </si>
  <si>
    <t xml:space="preserve">MAY 31</t>
  </si>
  <si>
    <t xml:space="preserve">10.1051/parasite/2022031</t>
  </si>
  <si>
    <t xml:space="preserve">1R3XO</t>
  </si>
  <si>
    <t xml:space="preserve">WOS:000803306000002</t>
  </si>
  <si>
    <t xml:space="preserve">Ferreira, TS; Santana, EEC; Jacob, AFL Jr; Silva, PF Jr; Bastos, LS; Silva, ALA; Melo, SA; Cruz, CAM; Aquino, VS; Castro, LSO; Lima, GO; Freire, RCS</t>
  </si>
  <si>
    <t xml:space="preserve">Ferreira, Tiago S.; Santana, Ewaldo E. C.; Jacob Junior, Antonio F. L.; Silva Junior, Paulo F.; Bastos, Luciana S.; Silva, Ana L. A.; Melo, Solange A.; Cruz, Carlos A. M.; Aquino, Vivianne S.; Castro, Luis S. O.; Lima, Guilherme O.; Freire, Raimundo C. S.</t>
  </si>
  <si>
    <t xml:space="preserve">Diagnostic Classification of Cases of Canine Leishmaniasis Using Machine Learning</t>
  </si>
  <si>
    <t xml:space="preserve">Proposal techniques that reduce financial costs in the diagnosis and treatment of animal diseases are welcome. This work uses some machine learning techniques to classify whether or not cases of canine visceral leishmaniasis are present by physical examinations. For validation of the method, four machine learning models were chosen: K-nearest neighbor, Naive Bayes, support vector machine and logistic regression models. The tests were performed on three hundred and forty dogs, using eighteen characteristics of the animal and the ELISA (enzyme-linked immunosorbent assay) serological test as validation. Logistic regression achieved the best metrics: Accuracy of 75%, sensitivity of 84%, specificity of 67%, a positive likelihood ratio of 2.53 and a negative likelihood ratio of 0.23, showing a positive relationship in the evaluation between the true positives and rejecting the cases of false negatives.</t>
  </si>
  <si>
    <t xml:space="preserve">Clinical records</t>
  </si>
  <si>
    <t xml:space="preserve">- K-nearest neighbors
- Naive Bayes
- Support vector machine
- Logistic regression models</t>
  </si>
  <si>
    <t xml:space="preserve">Logistic regression:
- Accuracy = 75%
- Sensitivity = 84%
- Specificity = 67%</t>
  </si>
  <si>
    <t xml:space="preserve">machine learning; classification; logistic regression; canine visceral leishmaniasis</t>
  </si>
  <si>
    <t xml:space="preserve">PREDICTION; DOGS</t>
  </si>
  <si>
    <t xml:space="preserve">[Ferreira, Tiago S.; Santana, Ewaldo E. C.; Jacob Junior, Antonio F. L.; Silva Junior, Paulo F.] Univ Estadual Maranhao, Grad Program Computat Engn &amp; Syst, BR-65690000 Sao Luis, Maranhao, Brazil; [Bastos, Luciana S.; Silva, Ana L. A.] Univ Estadual Maranhao, Grad Program Anim Sci, BR-65690000 Sao Luis, Maranhao, Brazil; [Melo, Solange A.] Univ Estadual Maranhao, Grad Program Anim Hlth Def, BR-65690000 Sao Luis, Maranhao, Brazil; [Cruz, Carlos A. M.; Aquino, Vivianne S.; Castro, Luis S. O.] Univ Fed Amazonas, Grad Program Elect Engn, BR-69067005 Manaus, Amazonas, Brazil; [Lima, Guilherme O.] Univ Fed Maranhao, Grad Program Elect Engn, BR-65690000 Sao Luis, Maranhao, Brazil; [Freire, Raimundo C. S.] Univ Fed Campina Grande, Grad Program Elect Engn, BR-58428830 Campina Grande, Paraiba, Brazil</t>
  </si>
  <si>
    <t xml:space="preserve">Universidade Estadual do Maranhao; Universidade Estadual do Maranhao; Universidade Estadual do Maranhao; Universidade Federal de Amazonas; Universidade Federal do Maranhao; Universidade Federal de Campina Grande</t>
  </si>
  <si>
    <t xml:space="preserve">Silva, PF Jr (corresponding author), Univ Estadual Maranhao, Grad Program Computat Engn &amp; Syst, BR-65690000 Sao Luis, Maranhao, Brazil.</t>
  </si>
  <si>
    <t xml:space="preserve">tiagoferreira3@aluno.uema.br; ewaldosantana@professor.uema.br; antoniojunior@professor.uema.br; paulo.junior@ee.ufcg.edu.br; bastos.luciana@discente.ufma.br; anasilva1@professor.urma.br; solagemelo@professor.uema.br; carlosamcruz@ufam.edu.br; vivisaquino@gmail.com; luis.oliveira@sidia.com; guilhermeolima2010@gmail.com; rcsfreire@dee.ufcg.edu.br</t>
  </si>
  <si>
    <t xml:space="preserve">Cruz, Carlos/KIG-8993-2024; Silva, Ana/AAB-1117-2021; SANTANA, Ewaldo/ABE-4888-2021; Carlos, Raimundo/HFZ-9476-2022; Silverio Freire, Raimundo Carlos/J-7729-2018; de Moraes Cruz, Carlos Augusto/F-1865-2015; JACOB JUNIOR, ANTONIO FERNANDO LAVAREDA/AAT-2695-2020; Fernandes da Silva Junior, Paulo/A-3448-2016</t>
  </si>
  <si>
    <t xml:space="preserve">Silverio Freire, Raimundo Carlos/0000-0002-5395-7143; de Moraes Cruz, Carlos Augusto/0000-0002-0614-1379; JACOB JUNIOR, ANTONIO FERNANDO LAVAREDA/0000-0002-9415-7265; SANTANA, EWALDO/0000-0002-8894-5353; Fernandes da Silva Junior, Paulo/0000-0001-6088-6446</t>
  </si>
  <si>
    <t xml:space="preserve">FundacAo de Pesquisa do Estado do Amazonas-FAPEAM under POSGRAD program [EDITAL N 008/2021]; CAPES; CNPq; FAPEMA; UEMA; FAPEAM; FAPESQ-PB; UFMA; Department of Zoonosis Control of the State Department of Health-SES/MA; Central Public Health Laboratory through the Nucleus of Endemics, serology sector (IOC/LACEN-MA)</t>
  </si>
  <si>
    <t xml:space="preserve">FundacAo de Pesquisa do Estado do Amazonas-FAPEAM under POSGRAD program; CAPES(Coordenacao de Aperfeicoamento de Pessoal de Nivel Superior (CAPES)); CNPq(Conselho Nacional de Desenvolvimento Cientifico e Tecnologico (CNPQ)); FAPEMA(Fundacao de Amparo a Pesquisa e Desenvolvimento Cientifico do Maranhao (FAPEMA)); UEMA; FAPEAM; FAPESQ-PB(Fundacao de Apoio a Pesquisa do Estado da Paraiba (FAPESQPB)); UFMA; Department of Zoonosis Control of the State Department of Health-SES/MA; Central Public Health Laboratory through the Nucleus of Endemics, serology sector (IOC/LACEN-MA)</t>
  </si>
  <si>
    <t xml:space="preserve">This work was supported by FundacAo de Pesquisa do Estado do Amazonas-FAPEAM under POSGRAD program EDITAL N 008/2021. We greatly appreciate the CAPES, CNPq, FAPEMA, UEMA, FAPEAM, UFAM, FAPESQ-PB, UFCG, and UFMA, the Department of Zoonosis Control of the State Department of Health-SES/MA and the Central Public Health Laboratory through the Nucleus of Endemics, serology sector (IOC/LACEN-MA) by supporting and funding this project, without which this work would not be possible.</t>
  </si>
  <si>
    <t xml:space="preserve">10.3390/s22093128</t>
  </si>
  <si>
    <t xml:space="preserve">1F8HB</t>
  </si>
  <si>
    <t xml:space="preserve">WOS:000795402000001</t>
  </si>
  <si>
    <t xml:space="preserve">Mottin, M; Sousa, BKD; Mesquita, NCDR; de Oliveira, KIZ; Noske, GD; Sartori, GR; Albuquerque, AD; Urbina, F; Puhl, AC; Moreira, JT; Souza, GE; Guido, RVC; Muratov, E; Neves, BJ; Silva, JHM; Clark, AE; Siqueira-Neto, JL; Perryman, AL; Oliva, G; Ekins, S; Andrade, CH</t>
  </si>
  <si>
    <t xml:space="preserve">Mottin, Melina; Sousa, Bruna Katiele de Paula; Mesquita, Nathalya Cristina de Moraes Roso; de Oliveira, Ketllyn Irene Zagato; Noske, Gabriela Dias; Sartori, Geraldo Rodrigues; Albuquerque, Aline de Oliveira; Urbina, Fabio; Puhl, Ana C.; Moreira-Filho, Jose Teofilo; Souza, Guilherme E.; Guido, Rafael V. C.; Muratov, Eugene; Neves, Bruno Junior; Silva, Joao Herminio Martins; Clark, Alex E.; Siqueira-Neto, Jair L.; Perryman, Alexander L.; Oliva, Glaucius; Ekins, Sean; Andrade, Carolina Horta</t>
  </si>
  <si>
    <t xml:space="preserve">Discovery of New Zika Protease and Polymerase Inhibitors through the Open Science Collaboration Project OpenZika</t>
  </si>
  <si>
    <t xml:space="preserve">The Zika virus (ZIKV) is a neurotropic arbovirus considered a global threat to public health. Although there have been several efforts in drug discovery projects for ZIKV in recent years, there are still no antiviral drugs approved to date. Here, we describe the results of a global collaborative crowdsourced open science project, the OpenZika project, from IBM's World Community Grid (WCG), which integrates different computational and experimental strategies for advancing a drug candidate for ZIKV. Initially, molecular docking protocols were developed to identify potential inhibitors of ZIKV NS5 RNA-dependent RNA polymerase (NS5 RdRp), NS3 protease (NS2B-NS3pro), and NS3 helicase (NS3hel). Then, a machine learning (ML) model was built to distinguish active vs inactive compounds for the cytoprotective effect against ZIKV infection. We performed three independent target-based virtual screening campaigns (NS5 RdRp, NS2B-NS3pro, and NS3hel), followed by predictions by the ML model and other filters, and prioritized a total of 61 compounds for further testing in enzymatic and phenotypic assays. This yielded five non-nucleoside compounds which showed inhibitory activity against ZIKV NS5 RdRp in enzymatic assays (IC50 range from 0.61 to 17 mu M). Two compounds thermally destabilized NS3hel and showed binding affinity in the micromolar range (Kd range from 9 to 35 mu M). Moreover, the compounds LabMol-301 inhibited both NS5 RdRp and NS2B-NS3pro (IC50 of 0.8 and 7.4 mu M, respectively) and LabMol-212 thermally destabilized the ZIKV NS3hel (Kd of 35 mu M). Both also protected cells from death induced by ZIKV infection in in vitro cell-based assays. However, while eight compounds (including LabMol-301 and LabMol-212) showed a cytoprotective effect and prevented ZIKV-induced cell death, agreeing with our ML model for prediction of this cytoprotective effect, no compound showed a direct antiviral effect against ZIKV. Thus, the new scaffolds discovered here are promising hits for future structural optimization and for advancing the discovery of further drug candidates for ZIKV. Furthermore, this work has demonstrated the importance of the integration of computational and experimental approaches, as well as the potential of large-scale collaborative networks to advance drug discovery projects for neglected diseases and emerging viruses, despite the lack of available direct antiviral activity and cytoprotective effect data, that reflects on the assertiveness of the computational predictions. The importance of these efforts rests with the need to be prepared for future viral epidemic and pandemic outbreaks.</t>
  </si>
  <si>
    <t xml:space="preserve">Brazil, USA, Canada</t>
  </si>
  <si>
    <t xml:space="preserve">small molecule dataset</t>
  </si>
  <si>
    <t xml:space="preserve">Zika virus</t>
  </si>
  <si>
    <t xml:space="preserve">SMALL-MOLECULE INHIBITORS; DENGUE VIRUS; NS3 HELICASE; ANTIVIRAL ACTIVITY; CRYSTAL-STRUCTURE; WEST-NILE; DYNAMICS; REPLICATION; BINDING; ASSAY</t>
  </si>
  <si>
    <t xml:space="preserve">[Mottin, Melina; Sousa, Bruna Katiele de Paula; Moreira-Filho, Jose Teofilo; Neves, Bruno Junior; Andrade, Carolina Horta] Univ Fed Goias, Fac Farm, Lab Mol Modeling &amp; Drug Design LabMol, BR-74605170 Goiania, GO, Brazil; [Mesquita, Nathalya Cristina de Moraes Roso; de Oliveira, Ketllyn Irene Zagato] Univ Brasilia, Dept Cell Biol, Pathogen Host Interface Lab, BR-70910900 Brasilia, Brazil; [Mesquita, Nathalya Cristina de Moraes Roso; Noske, Gabriela Dias; Souza, Guilherme E.; Guido, Rafael V. C.; Silva, Joao Herminio Martins; Oliva, Glaucius] Univ Sao Paulo, Sao Carlos Inst Phys, BR-13563120 Sao Carlos, SP, Brazil; [Urbina, Fabio; Puhl, Ana C.; Ekins, Sean] Fundacao Oswaldo Cruz, BR-61773270 Ceara, Brazil; [Muratov, Eugene; Ekins, Sean] Collaborat Pharmaceut Inc, Raleigh, NC 27606 USA; [Muratov, Eugene] Univ North Carolina Chapel Hill, Chapel Hill, NC 27599 USA; [Clark, Alex E.; Siqueira-Neto, Jair L.] Univ Fed Paraiba, BR-58051900 Joao Pessoa, PB, Brazil; [Clark, Alex E.; Siqueira-Neto, Jair L.] Univ Calif San Diego, Skaggs Sch Pharm &amp; Pharmaceut Sci, La Jolla, CA 92093 USA; [Perryman, Alexander L.] Rutgers State Univ, New Jersey Med Sch, Dept Pharmacol, Physiol &amp; Neurosci, Newark, NJ 07103 USA; [Perryman, Alexander L.] Repare Therapeut, Montreal, PQ H4S 2A1, Canada</t>
  </si>
  <si>
    <t xml:space="preserve">Universidade Federal de Goias; Universidade de Brasilia; Universidade de Sao Paulo; Fundacao Oswaldo Cruz; University of North Carolina School of Medicine; University of North Carolina; University of North Carolina Chapel Hill; Universidade Federal da Paraiba; University of California System; University of California San Diego; Rutgers University System; Rutgers University New Brunswick; Rutgers University Biomedical &amp; Health Sciences; Rutgers University Newark</t>
  </si>
  <si>
    <t xml:space="preserve">Andrade, CH (corresponding author), Univ Fed Goias, Fac Farm, Lab Mol Modeling &amp; Drug Design LabMol, BR-74605170 Goiania, GO, Brazil.</t>
  </si>
  <si>
    <t xml:space="preserve">SiqueiraNeto, Jair/KGM-7987-2024; Sartori, Geraldo/ABS-4036-2022; Oliva, Glaucius/B-9059-2012; Souza, Guilherme/IZP-5831-2023; Neves, Bruno/E-6295-2016; Muratov, Eugene/C-4454-2014; Albuquerque, Aline/AAU-2795-2021; Martins, Joao/LKM-2514-2024; Mottin, Melina/D-8700-2016; Andrade, Carolina/C-3960-2014; Oliva, Glaucius/J-2382-2015; Rodrigues Sartori, Geraldo/G-8562-2017; Guido, Rafael/A-7450-2009; Fapesp, Biota/F-8655-2017</t>
  </si>
  <si>
    <t xml:space="preserve">De Paula Sousa, Bruna Katiele/0000-0002-3204-5591; Andrade, Carolina/0000-0003-0101-1492; Oliva, Glaucius/0000-0003-2719-0302; Rodrigues Sartori, Geraldo/0000-0001-5613-7194; Guido, Rafael/0000-0002-7187-0818; Souza, Guilherme/0000-0003-3278-6688; Neves, Bruno/0000-0002-1309-8743; Fapesp, Biota/0000-0002-9887-8449; Puhl, Ana/0000-0002-1456-8882</t>
  </si>
  <si>
    <t xml:space="preserve">CNPq [300508/2017-4, 150759/2017-7]; CNPq BRICS STI COVID-19 [441038/2020-4]; FAPEG [20171026700006, 202010267000272]; FAPESP [2013/07600-3, 2020/12904-5]; CAPES [001]; NIH from NIGMS [1R43GM122196-01, U19AI171292, R44GM122196-02A1]; L'Oreal-UNESCO-ABC Para Mulheres na Ciencia; L'Oreal-UNESCO International Rising Talents; National Institute of General Medical Sciences [R44GM122196] Funding Source: NIH RePORTER</t>
  </si>
  <si>
    <t xml:space="preserve">CNPq(Conselho Nacional de Desenvolvimento Cientifico e Tecnologico (CNPQ)); CNPq BRICS STI COVID-19; FAPEG(Fundacao de Amparo a Pesquisa do Estado do Goias (FAPEG)); FAPESP(Fundacao de Amparo a Pesquisa do Estado de Sao Paulo (FAPESP)); CAPES(Coordenacao de Aperfeicoamento de Pessoal de Nivel Superior (CAPES)); NIH from NIGMS; L'Oreal-UNESCO-ABC Para Mulheres na Ciencia(L'Oreal Group); L'Oreal-UNESCO International Rising Talents(L'Oreal Group); National Institute of General Medical Sciences(United States Department of Health &amp; Human ServicesNational Institutes of Health (NIH) - USANIH National Institute of General Medical Sciences (NIGMS))</t>
  </si>
  <si>
    <t xml:space="preserve">This work has been funded by CNPq (Grants 300508/2017-4 and 150759/2017-7), CNPq BRICS STI COVID-19 (Grant 441038/2020-4), FAPEG (Grants 20171026700006 and 202010267000272), FAPESP (CEPID CIBFar Grants 2013/07600-3 and 2020/12904-5), CAPES (Finance Code 001), and NIH 1R43GM122196-01, NIH U19AI171292, and R44GM122196-02A1 Centralized assay datasets for modelling support of small drug discovery organizations from NIGMS. C.H. A . also thanks the L'Oreal-UNESCO-ABC Para Mulheres na Cie&lt;^&gt;ncia and L'Oreal-UNESCO International Rising Talents for the awards and fellowships received, which partially funded this work . We also kindly acknowledge Rodolpho C. Braga, Cleber C. Melo-Filho, Kimberley M. Zorn, and Daniel Foil for their preliminary efforts on this project as well as the support and encouragement of the IBM World Community Grid team and the community of volunteers who donated their unused computational power for our massive docking calculations. We kindly acknowledge Dr. Mindy Davis and colleagues for assistance with antiviral testing services through NIAID. Collaborations Pharmaceuticals, Inc. has utilized the nonclinical and preclinical services program offered by the National Institute of Allergy and Infectious Diseases.</t>
  </si>
  <si>
    <t xml:space="preserve">DEC 26</t>
  </si>
  <si>
    <t xml:space="preserve">10.1021/acs.jcim.2c00596</t>
  </si>
  <si>
    <t xml:space="preserve">OCT 2022</t>
  </si>
  <si>
    <t xml:space="preserve">7S2AR</t>
  </si>
  <si>
    <t xml:space="preserve">WOS:000875537300001</t>
  </si>
  <si>
    <t xml:space="preserve">Madhu, G; Govardhan, A; Ravi, V; Kautish, S; Srinivas, BS; Chaudhary, T; Kumar, M</t>
  </si>
  <si>
    <t xml:space="preserve">Madhu, G.; Govardhan, A.; Ravi, Vinayakumar; Kautish, Sandeep; Srinivas, B. Sunil; Chaudhary, Tanupriya; Kumar, Manoj</t>
  </si>
  <si>
    <t xml:space="preserve">DSCN-net: a deep Siamese capsule neural network model for automatic diagnosis of malaria parasites detection</t>
  </si>
  <si>
    <t xml:space="preserve">The epidemic of malaria has caused many deaths for decades around the world. To shorten the morbidity of malaria, accurate and fast diagnostic tools are to be implied with Artificial Intelligence. In this research, an automated, fast, and accurate diagnostic model for one-shot detection and classification of malaria thin blood smears were developed using the Deep Siamese Capsule Network (D-SCN) and contributions for our research are threefold. Firstly, we proposed the D-SCN model which consists of two crucial phases which are feature extraction and feature discrimination. Secondly, we implied an end-to-end trained capsule network with an imperative routing (IR) mechanism for the feature extraction phase to capture feature invariances. Finally, at the feature discrimination phase, Lorentz, L-1 and L-2 similarity metrics were proposed for the dissimilation of features. During experimentation, it is observed that the Lorentz similarity metric provided more discriminative capability by acquiring the least MSE at most of the instances. Further, an algorithm is proposed to obtain faster convergence by cautiously tuning the hyperparameters, and this aided in decreasing the noise scale in training the D-SCN. The experimental outcomes proved that D-SCN outperformed with the highest detection accuracy of 97.24% for Lorentz as a similarity measure, and the Capsule network with IR mechanism outperformed with the highest classification accuracy of 98.89%. To our knowledge, the proposed research implications are the first applications of D-SCN for one-shot detection and classification of thin blood smears with state-of-the-art performance.</t>
  </si>
  <si>
    <t xml:space="preserve">India, Saudi Arabia, Nepal</t>
  </si>
  <si>
    <t xml:space="preserve">Deep Siamese Capsule Network (D-SCN)</t>
  </si>
  <si>
    <t xml:space="preserve">- Accuracy = 97.24% (for Lorentz as a similarity measure)
- Accuracy = 98.89% (with imperative routing (IR) mechanism)</t>
  </si>
  <si>
    <t xml:space="preserve">Deep Siamese capsule network; Neural network; Machine learning; Malaria parasites detection; Deep learning</t>
  </si>
  <si>
    <t xml:space="preserve">IMAGE-ANALYSIS; CLASSIFICATION; QUANTIFICATION</t>
  </si>
  <si>
    <t xml:space="preserve">[Madhu, G.] VNRVJIET, Dept Informat Technol, Hyderabad 500090, India; [Govardhan, A.] JNTUH Coll Engn, Dept Comp Sci &amp; Engn, Hyderabad 85, TS, India; [Ravi, Vinayakumar] Prince Mohammad Bin Fahd Univ, Ctr Artificial Intelligence, Khobar, Saudi Arabia; [Kautish, Sandeep] LBEF Campus, Kathmandu 44600, Nepal; [Srinivas, B. Sunil] TKR Coll Engn &amp; Technol, Dept Comp Sci &amp; Engn, Hyderabad 97, TS, India; [Chaudhary, Tanupriya; Kumar, Manoj] Univ Petr &amp; Energy Studies, Sch Comp Sci, Dehra Dun, Uttarakhand, India</t>
  </si>
  <si>
    <t xml:space="preserve">Vallurupalli Nageswara Rao Vignana Jyothi Institute of Engineering &amp;Technology (VNR VJIET); Jawaharlal Nehru Technological University - Hyderabad; Prince Mohammad Bin Fahd University; University of Petroleum &amp; Energy Studies (UPES)</t>
  </si>
  <si>
    <t xml:space="preserve">Kumar, M (corresponding author), Univ Petr &amp; Energy Studies, Sch Comp Sci, Dehra Dun, Uttarakhand, India.</t>
  </si>
  <si>
    <t xml:space="preserve">madhu_g@vnrvjiet.in; govardhan_cse@jntuh.ac.in; vravi@pmu.edu.sa; dr.skautish@gmail.com; sunilsrinivasb@tkrcet.com; tanupriya1986@gmail.com; wss.manojkumar@gmail.com</t>
  </si>
  <si>
    <t xml:space="preserve">Aliseri, Govardhan/N-4554-2019; Srinivas, Sunil/HRD-2111-2023; Ravi, Vinayakumar/L-4202-2018; Choudhury, Tanupriya/AAB-8947-2020; Kautish, Prof. Sandeep/Y-5555-2019; Madhu, Golla/F-3654-2012; Kumar, Manoj/AFS-0700-2022</t>
  </si>
  <si>
    <t xml:space="preserve">Kautish, Prof. Sandeep/0000-0001-5120-5741; Madhu, Golla/0000-0002-4170-3146; Kumar, Manoj/0000-0001-9598-0280; Kumar, Dr. Manoj/0000-0001-5113-0639; Choudhury, Tanupriya/0000-0002-9826-2759</t>
  </si>
  <si>
    <t xml:space="preserve">10.1007/s11042-022-13008-6</t>
  </si>
  <si>
    <t xml:space="preserve">3Y8HJ</t>
  </si>
  <si>
    <t xml:space="preserve">WOS:000784679300004</t>
  </si>
  <si>
    <t xml:space="preserve">Borda, A; Molnar, A; Neesham, C; Kostkova, P</t>
  </si>
  <si>
    <t xml:space="preserve">Borda, Ann; Molnar, Andreea; Neesham, Cristina; Kostkova, Patty</t>
  </si>
  <si>
    <t xml:space="preserve">Ethical Issues in AI-Enabled Disease Surveillance: Perspectives from Global Health</t>
  </si>
  <si>
    <t xml:space="preserve">Infectious diseases, as COVID-19 is proving, pose a global health threat in an interconnected world. In the last 20 years, resistant infectious diseases such as severe acute respiratory syndrome (SARS), Middle East respiratory syndrome (MERS), H1N1 influenza (swine flu), Ebola virus, Zika virus, and now COVID-19 have been impacting global health defences, and aggressively flourishing with the rise of global travel, urbanization, climate change, and ecological degradation. In parallel, this extraordinary episode in global human health highlights the potential for artificial intelligence (AI)-enabled disease surveillance to collect and analyse vast amounts of unstructured and real-time data to inform epidemiological and public health emergency responses. The uses of AI in these dynamic environments are increasingly complex, challenging the potential for human autonomous decisions. In this context, our study of qualitative perspectives will consider a responsible AI framework to explore its potential application to disease surveillance in a global health context. Thus far, there is a gap in the literature in considering these multiple and interconnected levels of disease surveillance and emergency health management through the lens of a responsible AI framework.</t>
  </si>
  <si>
    <t xml:space="preserve">Australia, UK</t>
  </si>
  <si>
    <t xml:space="preserve">AI; disease surveillance; pandemics; global public health; ethics</t>
  </si>
  <si>
    <t xml:space="preserve">ARTIFICIAL-INTELLIGENCE; SOCIAL MEDIA; COVID-19; ALGORITHMS; SYSTEMS; TIME</t>
  </si>
  <si>
    <t xml:space="preserve">[Borda, Ann] Univ Melbourne, Ctr Digital Transformat Hlth, Parkville, Vic 3010, Australia; [Borda, Ann] UCL, Dept Informat Studies, London WC1E 6BT, England; [Molnar, Andreea] Swinburne Univ Technol, Dept Comp Technol, Hawthorn, Vic 3122, Australia; [Neesham, Cristina] Newcastle Univ, Business Sch, Newcastle Upon Tyne NE1 7RU, Tyne &amp; Wear, England; [Kostkova, Patty] UCL, Inst Risk &amp; Disaster Reduct, London WC1E 6BT, England</t>
  </si>
  <si>
    <t xml:space="preserve">University of Melbourne; University of London; University College London; Swinburne University of Technology; Newcastle University - UK; University of London; University College London</t>
  </si>
  <si>
    <t xml:space="preserve">Borda, A (corresponding author), Univ Melbourne, Ctr Digital Transformat Hlth, Parkville, Vic 3010, Australia.;Borda, A (corresponding author), UCL, Dept Informat Studies, London WC1E 6BT, England.</t>
  </si>
  <si>
    <t xml:space="preserve">aborda@unimelb.edu.au; amolnar@swin.edu.au; cristina.neesham@newcastle.ac.uk; p.kostkova@ucl.ac.uk</t>
  </si>
  <si>
    <t xml:space="preserve">Neesham, Cristina/ABI-7191-2020</t>
  </si>
  <si>
    <t xml:space="preserve">Kostkova, Patty/0000-0002-2281-3972; Molnar, Andreea/0000-0001-6107-9881; Neesham, Cristina/0000-0002-8598-4365; Borda, Ann/0000-0003-3884-2978</t>
  </si>
  <si>
    <t xml:space="preserve">10.3390/app12083890</t>
  </si>
  <si>
    <t xml:space="preserve">0T1HS</t>
  </si>
  <si>
    <t xml:space="preserve">WOS:000786725600001</t>
  </si>
  <si>
    <t xml:space="preserve">Ozsahin, DU; Mustapha, MT; Duwa, BB; Ozsahin, I</t>
  </si>
  <si>
    <t xml:space="preserve">Ozsahin, Dilber Uzun; Mustapha, Mubarak Taiwo; Duwa, Basil Bartholomew; Ozsahin, Ilker</t>
  </si>
  <si>
    <t xml:space="preserve">Evaluating the Performance of Deep Learning Frameworks for Malaria Parasite Detection Using Microscopic Images of Peripheral Blood Smears</t>
  </si>
  <si>
    <t xml:space="preserve">Malaria is a significant health concern in many third-world countries, especially for pregnant women and young children. It accounted for about 229 million cases and 600,000 mortality globally in 2019. Hence, rapid and accurate detection is vital. This study is focused on achieving three goals. The first is to develop a deep learning framework capable of automating and accurately classifying malaria parasites using microscopic images of thin and thick peripheral blood smears. The second is to report which of the two peripheral blood smears is the most appropriate for use in accurately detecting malaria parasites in peripheral blood smears. Finally, we evaluate the performance of our proposed model with commonly used transfer learning models. We proposed a convolutional neural network capable of accurately predicting the presence of malaria parasites using microscopic images of thin and thick peripheral blood smears. Model evaluation was carried out using commonly used evaluation metrics, and the outcome proved satisfactory. The proposed model performed better when thick peripheral smears were used with accuracy, precision, and sensitivity of 96.97%, 97.00%, and 97.00%. Identifying the most appropriate peripheral blood smear is vital for improved accuracy, rapid smear preparation, and rapid diagnosis of patients, especially in regions where malaria is endemic.</t>
  </si>
  <si>
    <t xml:space="preserve">United Arab Emirates, Turkey, USA</t>
  </si>
  <si>
    <t xml:space="preserve">- Accuracy = 96.97%
- Precision = 97.00%
- Sensitivity = 97.00%</t>
  </si>
  <si>
    <t xml:space="preserve">blood smear; detection; malaria; parasite; transfer learning</t>
  </si>
  <si>
    <t xml:space="preserve">[Ozsahin, Dilber Uzun] Univ Sharjah, Coll Hlth Sci, Dept Med Diagnost Imaging, Sharjah 27272, U Arab Emirates; [Ozsahin, Dilber Uzun; Mustapha, Mubarak Taiwo; Duwa, Basil Bartholomew; Ozsahin, Ilker] Near East Univ, Operat Res Ctr Healthcare, TRNC Mersin 10, TR-99138 Nicosia, Turkey; [Mustapha, Mubarak Taiwo; Duwa, Basil Bartholomew] Near East Univ, Dept Biomed Engn, TRNC Mersin 10, TR-99138 Nicosia, Turkey; [Ozsahin, Ilker] Weill Cornell Med, Dept Radiol, Brain Hlth Imaging Inst, New York, NY 10065 USA</t>
  </si>
  <si>
    <t xml:space="preserve">University of Sharjah; Near East University; Near East University; Cornell University; Weill Cornell Medicine</t>
  </si>
  <si>
    <t xml:space="preserve">Ozsahin, DU (corresponding author), Univ Sharjah, Coll Hlth Sci, Dept Med Diagnost Imaging, Sharjah 27272, U Arab Emirates.;Ozsahin, DU; Ozsahin, I (corresponding author), Near East Univ, Operat Res Ctr Healthcare, TRNC Mersin 10, TR-99138 Nicosia, Turkey.;Ozsahin, I (corresponding author), Weill Cornell Med, Dept Radiol, Brain Hlth Imaging Inst, New York, NY 10065 USA.</t>
  </si>
  <si>
    <t xml:space="preserve">dozsahin@sharjah.ac.ae; ilker.ozsahin@neu.edu.tr</t>
  </si>
  <si>
    <t xml:space="preserve">Mustapha, Mubarak/HDL-7268-2022; Duwa, Basil/KXS-1450-2024; Uzun Ozsahin, Dilber/GLT-9806-2022; ozsahin, ilker/L-8474-2016</t>
  </si>
  <si>
    <t xml:space="preserve">Ozsahin, Ilker/0000-0002-3141-6805</t>
  </si>
  <si>
    <t xml:space="preserve">10.3390/diagnostics12112702</t>
  </si>
  <si>
    <t xml:space="preserve">6E5PO</t>
  </si>
  <si>
    <t xml:space="preserve">WOS:000883432000001</t>
  </si>
  <si>
    <t xml:space="preserve">Islam, MR; Nahiduzzaman, M; Goni, MOF; Sayeed, A; Anower, MS; Ahsan, M; Haider, J</t>
  </si>
  <si>
    <t xml:space="preserve">Islam, Md. Robiul; Nahiduzzaman, Md.; Goni, Md. Omaer Faruq; Sayeed, Abu; Anower, Md. Shamim; Ahsan, Mominul; Haider, Julfikar</t>
  </si>
  <si>
    <t xml:space="preserve">Explainable Transformer-Based Deep Learning Model for the Detection of Malaria Parasites from Blood Cell Images</t>
  </si>
  <si>
    <t xml:space="preserve">Malaria is a life-threatening disease caused by female anopheles mosquito bites. Various plasmodium parasites spread in the victim's blood cells and keep their life in a critical situation. If not treated at the early stage, malaria can cause even death. Microscopy is a familiar process for diagnosing malaria, collecting the victim's blood samples, and counting the parasite and red blood cells. However, the microscopy process is time-consuming and can produce an erroneous result in some cases. With the recent success of machine learning and deep learning in medical diagnosis, it is quite possible to minimize diagnosis costs and improve overall detection accuracy compared with the traditional microscopy method. This paper proposes a multiheaded attention-based transformer model to diagnose the malaria parasite from blood cell images. To demonstrate the effectiveness of the proposed model, the gradient-weighted class activation map (Grad-CAM) technique was implemented to identify which parts of an image the proposed model paid much more attention to compared with the remaining parts by generating a heatmap image. The proposed model achieved a testing accuracy, precision, recall, f1-score, and AUC score of 96.41%, 96.99%, 95.88%, 96.44%, and 99.11%, respectively, for the original malaria parasite dataset and 99.25%, 99.08%, 99.42%, 99.25%, and 99.99%, respectively, for the modified dataset. Various hyperparameters were also finetuned to obtain optimum results, which were also compared with state-of-the-art (SOTA) methods for malaria parasite detection, and the proposed method outperformed the existing methods.</t>
  </si>
  <si>
    <t xml:space="preserve">Bangladesh, UK</t>
  </si>
  <si>
    <t xml:space="preserve">Blood cell images</t>
  </si>
  <si>
    <t xml:space="preserve">malaria parasite; image analysis; deep learning; transformer-based model; grad-cam visualization</t>
  </si>
  <si>
    <t xml:space="preserve">[Islam, Md. Robiul; Nahiduzzaman, Md.; Goni, Md. Omaer Faruq] Rajshahi Univ Engn &amp; Technol, Dept Elect &amp; Comp Engn, Rajshahi 6204, Bangladesh; [Sayeed, Abu] Rajshahi Univ Engn &amp; Technol, Dept Comp Sci &amp; Engn, Rajshahi 6204, Bangladesh; [Anower, Md. Shamim] Rajshahi Univ Engn &amp; Technol, Dept Elect &amp; Elect Engn, Rajshahi 6204, Bangladesh; [Ahsan, Mominul] Univ York, Dept Comp Sci, Deramore Lane, York YO10 5GH, N Yorkshire, England; [Haider, Julfikar] Manchester Metropolitan Univ, Dept Engn, John Dalton Bldg,Chester St, Manchester M1 5GD, Lancs, England</t>
  </si>
  <si>
    <t xml:space="preserve">Rajshahi University of Engineering &amp; Technology (RUET); Rajshahi University of Engineering &amp; Technology (RUET); Rajshahi University of Engineering &amp; Technology (RUET); University of York - UK; Manchester Metropolitan University</t>
  </si>
  <si>
    <t xml:space="preserve">Islam, MR (corresponding author), Rajshahi Univ Engn &amp; Technol, Dept Elect &amp; Comp Engn, Rajshahi 6204, Bangladesh.;Ahsan, M (corresponding author), Univ York, Dept Comp Sci, Deramore Lane, York YO10 5GH, N Yorkshire, England.</t>
  </si>
  <si>
    <t xml:space="preserve">robiulruet00@gmail.com; mdnahiduzzaman320@gmail.com; omaerfaruq0@gmail.com; abusayeed.cse@gmail.com; md.shamimanower@yahoo.com; md.ahsan2@mail.dcu.ie; j.haider@mmu.ac.uk</t>
  </si>
  <si>
    <t xml:space="preserve">Ahsan, Mominul/JGM-7528-2023; Nahiduzzaman, Md/GWZ-7870-2022; Anower, Shamim/AAJ-7513-2021; Goni, Md. Omaer Faruq/AAA-3674-2022; Haider, Julfikar/AED-0037-2022</t>
  </si>
  <si>
    <t xml:space="preserve">Haider, Julfikar/0000-0001-7010-8285; Anower, Md. Shamim/0000-0001-6986-6847; Nahiduzzaman, Md./0000-0003-4126-0389; Goni, Md. Omaer Faruq/0000-0002-4491-4942; Ahsan, Mominul/0000-0002-7300-506X</t>
  </si>
  <si>
    <t xml:space="preserve">University of York</t>
  </si>
  <si>
    <t xml:space="preserve">The authors would like to thank the team at the Manchester Met. University and the University of York for supporting this research work and preparing the manuscript.</t>
  </si>
  <si>
    <t xml:space="preserve">10.3390/s22124358</t>
  </si>
  <si>
    <t xml:space="preserve">2N4NG</t>
  </si>
  <si>
    <t xml:space="preserve">WOS:000818357200001</t>
  </si>
  <si>
    <t xml:space="preserve">Vijayalakshmi, A; Kanna, BR; Vijayalakshmi, C</t>
  </si>
  <si>
    <t xml:space="preserve">Vijayalakshmi, A.; Kanna, Rajesh B.; Vijayalakshmi, C.</t>
  </si>
  <si>
    <t xml:space="preserve">Extrinsic parameter's adjustment and potential implications in Plasmodium falciparum malaria diagnosis</t>
  </si>
  <si>
    <t xml:space="preserve">Malaria is a major public health concern, affecting over 3.2 billion people in 91 countries. The advent of digital microscopy and Machine learning with the aim of automating Plasmodium falciparum diagnosis extensively depends on the extracted image features. The color of the cells, plasma, and stained artifacts influence the topological, geometrical, and statistical parameters being used to extract image features. During microscopic image acquisition, custom adjustments to the condenser and color temperature controls often have an influence on the extracted statistical features. But, our human visual system sub-consciously adjusts the color and retains the originality in a different lighting environment. Despite the use of appropriate image preprocessing, findings from the literature indicate that statistical feature variations exist, allowing the risk of P. falciparum misinterpretation. In order to eliminate this pervasive variation, the current work focuses on preprocessing the extracted statistical features rather than the prepossessing of the source image. It begins with the augmentation of series images for a microscopic field by inducing illumination variations during the microscopic image acquisition stage. A set of such image series is analyzed using a Nonlinear Regression Model to generalize the relationship between microscopic images acquired with variable ambient brightness and a specific feature. The projection point of the centroid feature onto the brightness parameter is identified in the model and it is denoted as the optimum brightness factor (OBF). Using the model, the feature correction factor (CF) is calculated from the rate of change of feature values over the interval OBF, and the brightness of the test image is processed. The present work has investigated OBF for selected image textural features, namely Contrast, Homogeneity, Entropy, Energy, and Correlation individually from its co-occurrence matrices. For performance analysis, the best state-of-the-art method uses selected texture as a subset feature to evaluate the effectiveness of P. falciparum malaria classification. Then, the impact of proposed feature processing is evaluated on 274 blood smear images with and without Feature Correction (FC). As a result, the p value is less than .05, which leads to the result that it is highly significant and the classification accuracy and F-score of P. falciparum malaria are increased.</t>
  </si>
  <si>
    <t xml:space="preserve">digital microscopy; feature correction; image brightness; malaria; texture</t>
  </si>
  <si>
    <t xml:space="preserve">IMAGE-ANALYSIS</t>
  </si>
  <si>
    <t xml:space="preserve">[Vijayalakshmi, A.; Kanna, Rajesh B.] Vellore Inst Technol, Sch Comp Sci &amp; Engn, Chennai, Tamil Nadu, India; [Vijayalakshmi, C.] Cent Univ Tamil Nadu, Dept Stat &amp; Appl Math, Thiruvarur, India</t>
  </si>
  <si>
    <t xml:space="preserve">Vellore Institute of Technology (VIT); VIT Chennai; Central University of Tamil Nadu</t>
  </si>
  <si>
    <t xml:space="preserve">Kanna, BR (corresponding author), Vellore Inst Technol, Sch Comp Sci &amp; Engn, Chennai, Tamil Nadu, India.</t>
  </si>
  <si>
    <t xml:space="preserve">rajeshkanna.b@vit.ac.in</t>
  </si>
  <si>
    <t xml:space="preserve">Baskaran, Rajesh Kanna/Y-6659-2019; , Vijayalakshmi.C/IZD-9290-2023</t>
  </si>
  <si>
    <t xml:space="preserve">, Vijayalakshmi.C/0000-0002-0848-1289; Arunagiri, vijayalakshmi/0000-0002-8969-8155; Baskaran, Rajesh Kanna/0000-0001-5970-3702</t>
  </si>
  <si>
    <t xml:space="preserve">10.1002/jemt.23940</t>
  </si>
  <si>
    <t xml:space="preserve">YH0PI</t>
  </si>
  <si>
    <t xml:space="preserve">WOS:000698189700001</t>
  </si>
  <si>
    <t xml:space="preserve">Zhang, J; Wang, Q; Shen, WF</t>
  </si>
  <si>
    <t xml:space="preserve">Zhang, Jun; Wang, Qin; Shen, Weifeng</t>
  </si>
  <si>
    <t xml:space="preserve">Hyper-parameter optimization of multiple machine learning algorithms for molecular property prediction using hyperopt library</t>
  </si>
  <si>
    <t xml:space="preserve">Due to outstanding performance in cheminformatics, machine learning algorithms have been increasingly used to mine molecular properties and biomedical big data. The performance of machine learning models is known to critically depend on the selection of the hyper-parameter configuration. However, many studies either explored the optimal hyper-parameters per the grid searching method or employed arbitrarily selected hyper-parameters, which can easily lead to achieving a suboptimal hyper-parameter configuration. In this study, Hyperopt library embedding with the Bayesian optimization is employed to find optimal hyper-parameters for different machine learning algorithms. Six drug discovery datasets, including solubility, probe-likeness, hERG, Chagas disease, tuberculosis, and malaria, are used to compare different machine learning algorithms with ECFP6 fingerprints. This contribution aims to evaluate whether the Bernoulli Naive Bayes, logistic linear regression, AdaBoost decision tree, random forest, support vector machine, and deep neural networks algorithms with optimized hyper-parameters can offer any improvement in testing as compared with the referenced models assessed by an array of metrics including AUC, F1-score, Cohen's kappa, Matthews correlation coefficient, recall, precision, and accuracy. Based on the rank normalized score approach, the Hyperopt models achieve better or comparable performance on 33 out 36 models for different drug discovery datasets, showing significant improvement achieved by employing the Hyperopt library. The open-source code of all the 6 machine learning frameworks employed in the Hyperopt python package is provided to make this approach accessible to more scientists, who are not familiar with writing code. (c) 2022 The Chemical Industry and Engineering Society of China, and Chemical Industry Press Co., Ltd. All rights reserved.</t>
  </si>
  <si>
    <t xml:space="preserve">BNBs, LLR, ABDT, RF, SVM</t>
  </si>
  <si>
    <t xml:space="preserve">CHINESE JOURNAL OF CHEMICAL ENGINEERING</t>
  </si>
  <si>
    <t xml:space="preserve">CHEMICAL INDUSTRY PRESS CO LTD</t>
  </si>
  <si>
    <t xml:space="preserve">Machine learning; Prediction; Optimal design; Hyper -parameter optimization; Hyperopt library; high throughput screening (HTS) assays; make data -driven analysis</t>
  </si>
  <si>
    <t xml:space="preserve">DRUG DISCOVERY; CLASSIFICATION; MODELS</t>
  </si>
  <si>
    <t xml:space="preserve">[Zhang, Jun; Shen, Weifeng] Chongqing Univ, Sch Chem &amp; Chem Engn, Chongqing 401331, Peoples R China; [Wang, Qin] Chongqing Univ Sci &amp; Technol, Sch Chem &amp; Chem Engn, Chongqing 401331, Peoples R China; [Shen, Weifeng] Chongqing Key Lab Theoret &amp; Computat Chem, Chongqing 400044, Peoples R China; [Wang, Qin; Shen, Weifeng] Chongqing Univ, Sch Chem &amp; Chem Engn, Chongqing, Peoples R China</t>
  </si>
  <si>
    <t xml:space="preserve">Chongqing University; Chongqing University of Science &amp; Technology; Chongqing University</t>
  </si>
  <si>
    <t xml:space="preserve">Wang, Q; Shen, WF (corresponding author), Chongqing Univ, Sch Chem &amp; Chem Engn, Chongqing, Peoples R China.</t>
  </si>
  <si>
    <t xml:space="preserve">wangq356@mail2.sysu.edu.cn; shenweifeng@cqu.edu.cn</t>
  </si>
  <si>
    <t xml:space="preserve">Zhang, Jun/GWC-7221-2022; Shen, Weifeng/AAE-2493-2022</t>
  </si>
  <si>
    <t xml:space="preserve">Shen, Weifeng/0000-0002-0418-6848</t>
  </si>
  <si>
    <t xml:space="preserve">National Key Research and Development Project; Chongqing Joint Chinese Medicine Scientific Research Project; [2019YFC0214403]; [2021ZY023984]</t>
  </si>
  <si>
    <t xml:space="preserve">National Key Research and Development Project(National Key Research &amp; Development Program of China); Chongqing Joint Chinese Medicine Scientific Research Project; ;</t>
  </si>
  <si>
    <t xml:space="preserve">Acknowledgements We acknowledge the financial support provided by the National Key Research and Development Project (2019YFC0214403) and Chongqing Joint Chinese Medicine Scientific Research Project (2021ZY023984) .</t>
  </si>
  <si>
    <t xml:space="preserve">BEIJING</t>
  </si>
  <si>
    <t xml:space="preserve">NO 13, QINGNIANHU SOUTH ST, DONGCHENG DIST, BEIJING 100011, PEOPLES R CHINA</t>
  </si>
  <si>
    <t xml:space="preserve">1004-9541</t>
  </si>
  <si>
    <t xml:space="preserve">2210-321X</t>
  </si>
  <si>
    <t xml:space="preserve">CHINESE J CHEM ENG</t>
  </si>
  <si>
    <t xml:space="preserve">Chin. J. Chem. Eng.</t>
  </si>
  <si>
    <t xml:space="preserve">10.1016/j.cjche.2022.04.004</t>
  </si>
  <si>
    <t xml:space="preserve">Engineering, Chemical</t>
  </si>
  <si>
    <t xml:space="preserve">7G0ND</t>
  </si>
  <si>
    <t xml:space="preserve">WOS:000902231800008</t>
  </si>
  <si>
    <t xml:space="preserve">Manning, K; Zhai, XJ; Yu, WY</t>
  </si>
  <si>
    <t xml:space="preserve">Manning, Kyle; Zhai, Xiaojun; Yu, Wangyang</t>
  </si>
  <si>
    <t xml:space="preserve">Image analysis and machine learning-based malaria assessment system</t>
  </si>
  <si>
    <t xml:space="preserve">Malaria is an important and worldwide fatal disease that has been widely reported by the World Health Organization (WHO), and it has about 219 million cases worldwide, with 435,000 of those mortal. The common malaria diagnosis approach is heavily reliant on highly trained experts, who use a microscope to examine the samples. Therefore, there is a need to create an automated solution for the diagnosis of malaria. One of the main objectives of this work is to create a design tool that could be used to diagnose malaria from the image of a blood sample. In this paper, we firstly developed a graphical user interface that could be used to help segment red blood cells and infected cells and allow the users to analyze the blood samples. Secondly, a Feed-forward Neural Network (FNN) is designed to classify the cells into two classes. The achieved results show that the proposed techniques can be used to detect malaria, as it has achieved 92% accuracy with a database that contains 27,560 benchmark images.</t>
  </si>
  <si>
    <t xml:space="preserve">UK, China</t>
  </si>
  <si>
    <t xml:space="preserve">UK (Blood smears in the second dataset)</t>
  </si>
  <si>
    <t xml:space="preserve">Accuracy = 92%</t>
  </si>
  <si>
    <t xml:space="preserve">DIGITAL COMMUNICATIONS AND NETWORKS</t>
  </si>
  <si>
    <t xml:space="preserve">KEAI PUBLISHING LTD</t>
  </si>
  <si>
    <t xml:space="preserve">Malaria assessment system; Image analysis; Image segmentation; Artificial intelligence</t>
  </si>
  <si>
    <t xml:space="preserve">SEGMENTATION; FIELD</t>
  </si>
  <si>
    <t xml:space="preserve">[Manning, Kyle; Zhai, Xiaojun] Univ Essex, Sch Comp Sci &amp; Elect Engn, Colchester CO4 3SQ, Essex, England; [Yu, Wangyang] Shaanxi Normal Univ, Sch Comp Sci, Minist Educ, Key Lab Modern Teaching Technol, Xian, Peoples R China</t>
  </si>
  <si>
    <t xml:space="preserve">University of Essex; Shaanxi Normal University</t>
  </si>
  <si>
    <t xml:space="preserve">Zhai, XJ (corresponding author), Univ Essex, Sch Comp Sci &amp; Elect Engn, Colchester CO4 3SQ, Essex, England.;Yu, WY (corresponding author), Shaanxi Normal Univ, Sch Comp Sci, Minist Educ, Key Lab Modern Teaching Technol, Xian, Peoples R China.</t>
  </si>
  <si>
    <t xml:space="preserve">k_manning@live.co.uk; xzhai@essex.ac.uk; ywy191@snnu.edu.cn</t>
  </si>
  <si>
    <t xml:space="preserve">yu, wangyang/ABE-7395-2021; Zhai, Xiaojun/U-2138-2019</t>
  </si>
  <si>
    <t xml:space="preserve">Fundamental Research Funds for the Central Universities of China [GK202003080]; Natural Science Foundation of Shaanxi Province [2021JM-205]; UK Engineering and Physical Sciences Research Council [EP/V034111/1]; EPSRC [EP/V034111/1] Funding Source: UKRI</t>
  </si>
  <si>
    <t xml:space="preserve">Fundamental Research Funds for the Central Universities of China(Fundamental Research Funds for the Central Universities); Natural Science Foundation of Shaanxi Province(Natural Science Foundation of Shaanxi Province); UK Engineering and Physical Sciences Research Council(UK Research &amp; Innovation (UKRI)Engineering &amp; Physical Sciences Research Council (EPSRC)); EPSRC(UK Research &amp; Innovation (UKRI)Engineering &amp; Physical Sciences Research Council (EPSRC))</t>
  </si>
  <si>
    <t xml:space="preserve">This work is partly supported by the Fundamental Research Funds for the Central Universities of China under grants GK202003080, by the Natural Science Foundation of Shaanxi Province under Grants 2021JM-205, and the UK Engineering and Physical Sciences Research Council through grants EP/V034111/1.</t>
  </si>
  <si>
    <t xml:space="preserve">16 DONGHUANGCHENGGEN NORTH ST, Building 5, Room 411, BEIJING, DONGCHENG DISTRICT 100009, PEOPLES R CHINA</t>
  </si>
  <si>
    <t xml:space="preserve">2468-5925</t>
  </si>
  <si>
    <t xml:space="preserve">2352-8648</t>
  </si>
  <si>
    <t xml:space="preserve">DIGIT COMMUN NETW</t>
  </si>
  <si>
    <t xml:space="preserve">Digit. Commun. Netw.</t>
  </si>
  <si>
    <t xml:space="preserve">10.1016/j.dcan.2021.07.011</t>
  </si>
  <si>
    <t xml:space="preserve">Telecommunications</t>
  </si>
  <si>
    <t xml:space="preserve">1X1VD</t>
  </si>
  <si>
    <t xml:space="preserve">WOS:000807248700004</t>
  </si>
  <si>
    <t xml:space="preserve">Ali, R; Hardie, RC; Narayanan, BN; Kebede, TM</t>
  </si>
  <si>
    <t xml:space="preserve">Ali, Redha; Hardie, Russell C.; Narayanan, Barath Narayanan; Kebede, Temesguen M.</t>
  </si>
  <si>
    <t xml:space="preserve">IMNets: Deep Learning Using an Incremental Modular Network Synthesis Approach for Medical Imaging Applications</t>
  </si>
  <si>
    <t xml:space="preserve">Deep learning approaches play a crucial role in computer-aided diagnosis systems to support clinical decision-making. However, developing such automated solutions is challenging due to the limited availability of annotated medical data. In this study, we proposed a novel and computationally efficient deep learning approach to leverage small data for learning generalizable and domain invariant representations in different medical imaging applications such as malaria, diabetic retinopathy, and tuberculosis. We refer to our approach as Incremental Modular Network Synthesis (IMNS), and the resulting CNNs as Incremental Modular Networks (IMNets). Our IMNS approach is to use small network modules that we call SubNets which are capable of generating salient features for a particular problem. Then, we build up ever larger and more powerful networks by combining these SubNets in different configurations. At each stage, only one new SubNet module undergoes learning updates. This reduces the computational resource requirements for training and aids in network optimization. We compare IMNets against classic and state-of-the-art deep learning architectures such as AlexNet, ResNet-50, Inception v3, DenseNet-201, and NasNet for the various experiments conducted in this study. Our proposed IMNS design leads to high average classification accuracies of 97.0%, 97.9%, and 88.6% for malaria, diabetic retinopathy, and tuberculosis, respectively. Our modular design for deep learning achieves the state-of-the-art performance in the scenarios tested. The IMNets produced here have a relatively low computational complexity compared to traditional deep learning architectures. The largest IMNet tested here has 0.95 M of the learnable parameters and 0.08 G of the floating-point multiply-add (MAdd) operations. The simpler IMNets train faster, have lower memory requirements, and process images faster than the benchmark methods tested.</t>
  </si>
  <si>
    <t xml:space="preserve">Bangladesh (Malaria dataset)
Australia (2019 blindness detection challenge dataset)
China (Shenzhen chest radiograph dataset</t>
  </si>
  <si>
    <t xml:space="preserve">medical imaging; deep learning; malaria detection; diabetic retinopathy; tuberculosis detection; modular networks</t>
  </si>
  <si>
    <t xml:space="preserve">[Ali, Redha; Hardie, Russell C.; Narayanan, Barath Narayanan; Kebede, Temesguen M.] Univ Dayton, Dept Elect &amp; Comp Engn, 300 Coll Pk, Dayton, OH 45469 USA; [Narayanan, Barath Narayanan] Univ Dayton, Sensors &amp; Software Syst Div, Res Inst, 1700 South Patterson Blvd, Dayton, OH 45409 USA</t>
  </si>
  <si>
    <t xml:space="preserve">University System of Ohio; University of Dayton; University System of Ohio; University of Dayton</t>
  </si>
  <si>
    <t xml:space="preserve">Ali, R (corresponding author), Univ Dayton, Dept Elect &amp; Comp Engn, 300 Coll Pk, Dayton, OH 45469 USA.</t>
  </si>
  <si>
    <t xml:space="preserve">almandir1@udayton.edu; rhardie@udayton.edu; narayananb1@udayton.edu; tmessay1@udayton.edu</t>
  </si>
  <si>
    <t xml:space="preserve">Narayanan, Barath/S-9444-2019; Ali, Redha/AAU-2317-2020</t>
  </si>
  <si>
    <t xml:space="preserve">Ali, Redha/0000-0002-0379-7313; Hardie, Russell/0000-0002-1216-3865; Narayanan, Barath Narayanan/0000-0001-9648-5695</t>
  </si>
  <si>
    <t xml:space="preserve">10.3390/app12115500</t>
  </si>
  <si>
    <t xml:space="preserve">2A4PR</t>
  </si>
  <si>
    <t xml:space="preserve">WOS:000809486500001</t>
  </si>
  <si>
    <t xml:space="preserve">Hcini, G; Jdey, I; Ltifi, H</t>
  </si>
  <si>
    <t xml:space="preserve">Hcini, Ghazala; Jdey, Imen; Ltifi, Hela</t>
  </si>
  <si>
    <t xml:space="preserve">Improving Malaria Detection Using L1 Regularization Neural Network</t>
  </si>
  <si>
    <t xml:space="preserve">Malaria is a huge public health concern around the world. The conventional method of diagnosing malaria is for qualified technicians to visually examine blood smears for parasite-infected red blood cells under a microscope. This procedure is ineffective. It takes time and requires the expertise of a skilled specialist. The diagnosis is dependent on the individual performing the examination's experience and understanding. This article offers a new and robust deep learning model for automatically classifying malaria cells as infected or uninfected. This approach is based on a convolutional neural network (CNN). It improved by the regularization method on a publicly available dataset which contains 27, 558 cell images with equal instances of parasitized and uninfected cells from the National Institute of health. The performance of our proposed model is 99.70% of accuracy and 0.0476 loss value.</t>
  </si>
  <si>
    <t xml:space="preserve">- Accuracy = 99.70
- Loss value = 0.0476</t>
  </si>
  <si>
    <t xml:space="preserve">JOURNAL OF UNIVERSAL COMPUTER SCIENCE</t>
  </si>
  <si>
    <t xml:space="preserve">GRAZ UNIV TECHNOLGOY, INST INFORMATION SYSTEMS COMPUTER MEDIA-IICM</t>
  </si>
  <si>
    <t xml:space="preserve">Malaria Parasite Detection; Deep Learning; Convolutional Neural Network; Binary classification; L1 Regularization; Overfitting; Accuracy; Loss</t>
  </si>
  <si>
    <t xml:space="preserve">[Hcini, Ghazala; Jdey, Imen; Ltifi, Hela] Univ Kairouan, Fac Sci &amp; Technol Sidi Bouzid, Kairouan, Tunisia</t>
  </si>
  <si>
    <t xml:space="preserve">Universite de Kairouan</t>
  </si>
  <si>
    <t xml:space="preserve">Hcini, G (corresponding author), Univ Kairouan, Fac Sci &amp; Technol Sidi Bouzid, Kairouan, Tunisia.</t>
  </si>
  <si>
    <t xml:space="preserve">hcinighazala@fstsbz.u-kairouan.tn; imen.jdey@fstsbz.u-kairouan.tn; hela.ltifi@fstsbz.u-kairouan.tn</t>
  </si>
  <si>
    <t xml:space="preserve">JDEY, imen/0000-0001-7937-941X; HCINI, Ghazala/0000-0003-3571-417X</t>
  </si>
  <si>
    <t xml:space="preserve">GRAZ</t>
  </si>
  <si>
    <t xml:space="preserve">INFFELDGASSE 16C, GRAZ, A-8010, AUSTRIA</t>
  </si>
  <si>
    <t xml:space="preserve">0948-695X</t>
  </si>
  <si>
    <t xml:space="preserve">0948-6968</t>
  </si>
  <si>
    <t xml:space="preserve">J UNIVERS COMPUT SCI</t>
  </si>
  <si>
    <t xml:space="preserve">J. Univers. Comput. Sci.</t>
  </si>
  <si>
    <t xml:space="preserve">10.3897/jucs.81681</t>
  </si>
  <si>
    <t xml:space="preserve">Computer Science, Software Engineering; Computer Science, Theory &amp; Methods</t>
  </si>
  <si>
    <t xml:space="preserve">8T1WI</t>
  </si>
  <si>
    <t xml:space="preserve">WOS:000929059000005</t>
  </si>
  <si>
    <t xml:space="preserve">Watson, JA; Uyoga, S; Wanjiku, P; Makale, J; Nyutu, GM; Mturi, N; George, EC; Woodrow, CJ; Day, NPJ; Bejon, P; Opoka, RO; Dondorp, AM; John, CC; Maitland, K; Williams, TN; White, NJ</t>
  </si>
  <si>
    <t xml:space="preserve">Watson, James A.; Uyoga, Sophie; Wanjiku, Perpetual; Makale, Johnstone; Nyutu, Gideon M.; Mturi, Neema; George, Elizabeth C.; Woodrow, Charles J.; Day, Nicholas P. J.; Bejon, Philip; Opoka, Robert O.; Dondorp, Arjen M.; John, Chandy C.; Maitland, Kathryn; Williams, Thomas N.; White, Nicholas J.</t>
  </si>
  <si>
    <t xml:space="preserve">Improving the diagnosis of severe malaria in African children using platelet counts and plasma PfHRP2 concentrations</t>
  </si>
  <si>
    <t xml:space="preserve">Severe malaria caused by Plasmodium falciparum is difficult to diagnose accurately in children in high-transmission settings. Using data from 2649 pediatric and adult patients enrolled in four studies of severe illness in three countries (Bangladesh, Kenya, and Uganda), we fitted Bayesian latent class models using two diagnostic markers: the platelet count and the plasma concentration of P. falciparum histidine-rich protein 2 (PfHRP2). In severely ill patients with clinical features consistent with severe malaria, the combination of a platelet count of &lt;= 150,000/.l and a plasma PfHRP2 concentration of &gt;= 1000 ng/ml had an estimated sensitivity of 74% and specificity of 93% in identifying severe falciparum malaria. Compared with misdiagnosed children, pediatric patients with true severe malaria had higher parasite densities, lower hematocrits, lower rates of invasive bacterial disease, and a lower prevalence of both sickle cell trait and sickle cell anemia. We estimate that one-third of the children enrolled into clinical studies of severe malaria in high-transmission settings in Africa had another cause of their severe illness.</t>
  </si>
  <si>
    <t xml:space="preserve">Thailand, UK, Kenya, Uganda, USA</t>
  </si>
  <si>
    <t xml:space="preserve">- Bangladesh
- Kenya
- Uganda</t>
  </si>
  <si>
    <t xml:space="preserve">- Sensitivity of 74%
- Specificity of 93%</t>
  </si>
  <si>
    <t xml:space="preserve">SEVERE FALCIPARUM-MALARIA; PLASMODIUM-FALCIPARUM; CEREBRAL MALARIA; THROMBOCYTOPENIA; MORTALITY; DISEASE</t>
  </si>
  <si>
    <t xml:space="preserve">[Watson, James A.; Woodrow, Charles J.; Day, Nicholas P. J.; Dondorp, Arjen M.; White, Nicholas J.] Mahidol Univ, Fac Trop Med, Mahidol Oxford Trop Med Res Unit, Bangkok, Thailand; [Watson, James A.; Woodrow, Charles J.; Day, Nicholas P. J.; Bejon, Philip; Dondorp, Arjen M.; White, Nicholas J.] Univ Oxford, Ctr Trop Med &amp; Global Hlth, Nuffield Dept Med, Oxford, England; [Uyoga, Sophie; Wanjiku, Perpetual; Makale, Johnstone; Nyutu, Gideon M.; Mturi, Neema; Bejon, Philip; Maitland, Kathryn; Williams, Thomas N.] Ctr Geog Med Res, KEMRI Wellcome Trust Res Programme, Coast 80108, Kilifi, Kenya; [George, Elizabeth C.] UCL, Med Res Council Clin Trials Unit, London, England; [Opoka, Robert O.] Makerere Univ, Dept Paediat &amp; Child Hlth, Kampala, Uganda; [John, Chandy C.] Indiana Univ, Dept Pediat, Indianapolis, IN USA; [Maitland, Kathryn; Williams, Thomas N.] Imperial Coll, Inst Global Hlth Innovat, Dept Surg &amp; Canc, London, England</t>
  </si>
  <si>
    <t xml:space="preserve">Mahidol Oxford Tropical Medicine Research Unit (MORU); Mahidol University; University of Oxford; Medical Research Council Clinical Trials Unit; University of London; University College London; Makerere University; Indiana University System; Indiana University Indianapolis; Imperial College London</t>
  </si>
  <si>
    <t xml:space="preserve">Watson, JA (corresponding author), Mahidol Univ, Fac Trop Med, Mahidol Oxford Trop Med Res Unit, Bangkok, Thailand.;Watson, JA (corresponding author), Univ Oxford, Ctr Trop Med &amp; Global Hlth, Nuffield Dept Med, Oxford, England.</t>
  </si>
  <si>
    <t xml:space="preserve">jwatowatson@gmail.com</t>
  </si>
  <si>
    <t xml:space="preserve">John, Chandy/HTM-6138-2023; White, Nick/AAC-6527-2019; George, Elizabeth C/V-3381-2017</t>
  </si>
  <si>
    <t xml:space="preserve">Woodrow, Charles/0000-0002-5134-7165; Nyutu, Gideon/0000-0002-5984-7690; Dondorp, Arjen M/0000-0001-5190-2395; Day, Nicholas/0000-0003-2309-1171; Bejon, Philip/0000-0002-2135-7549; Makale, Johnstone/0000-0002-3670-7521; Uyoga, Sophie/0000-0003-1746-7873; George, Elizabeth C/0000-0002-2928-3580</t>
  </si>
  <si>
    <t xml:space="preserve">Wellcome Collaborative Award in Science grant [209265/Z/17/Z]; Wellcome Trust [202800/Z/16/Z, 093956/Z/10/C]; Royal Society [223253/Z/21/Z]; Wellcome Intermediate Fellowship [221998/Z/20/Z]; Medical Research Council (MRC) CTU at UCL from the MRC [MC_UU_12023/26]; National Institute for Neurological Disorders and Stroke [R01 NS055349]; MRC, UK provided through the (MRC) DFID concordat [G0801439]; Wellcome Trust [223253/Z/21/Z, 221998/Z/20/Z, 209265/Z/17/Z] Funding Source: Wellcome Trust</t>
  </si>
  <si>
    <t xml:space="preserve">Wellcome Collaborative Award in Science grant; Wellcome Trust(Wellcome Trust); Royal Society(Royal Society); Wellcome Intermediate Fellowship(Wellcome Trust); Medical Research Council (MRC) CTU at UCL from the MRC(UK Research &amp; Innovation (UKRI)Medical Research Council UK (MRC)); National Institute for Neurological Disorders and Stroke(United States Department of Health &amp; Human ServicesNational Institutes of Health (NIH) - USANIH National Institute of Neurological Disorders &amp; Stroke (NINDS)); MRC, UK provided through the (MRC) DFID concordat; Wellcome Trust(Wellcome Trust)</t>
  </si>
  <si>
    <t xml:space="preserve">This research was funded by Wellcome. A CC BY or equivalent license is applied to the author-accepted manuscript arising from this submission, in accordance with the grant's open access conditions. This work was done as part of SMAART (Severe Malaria Africa-A consortium for Research and Trials) funded by a Wellcome Collaborative Award in Science grant (209265/Z/17/Z) held in part by K.M., N.P.J.D., and A.M.D. J.A.W. is a Sir Henry Dale Fellow jointly funded by the Wellcome Trust and the Royal Society (223253/Z/21/Z). T.N.W. and N.J.W. are senior and principal research fellows, respectively, funded by the Wellcome Trust (202800/Z/16/Z and 093956/Z/10/C, respectively). S.U. is funded by a Wellcome Intermediate Fellowship (221998/Z/20/Z). E.C.G. acknowledges funding from a core grant to the Medical Research Council (MRC) CTU at UCL from the MRC (MC_UU_12023/26). C.C.J. and R.O. O. acknowledge grant R01 NS055349 from the National Institute for Neurological Disorders and Stroke. The FEAST trial was supported by a grant (G0801439) from the MRC, UK provided through the (MRC) DFID concordat. K.M. and E.C.G. were supported by this grant. This paper is published with permission from the Director of the Kenya Medical Research Institute (KEMRI).</t>
  </si>
  <si>
    <t xml:space="preserve">JUL 20</t>
  </si>
  <si>
    <t xml:space="preserve">eabn5040</t>
  </si>
  <si>
    <t xml:space="preserve">10.1126/scitranslmed.abn5040</t>
  </si>
  <si>
    <t xml:space="preserve">3B7TZ</t>
  </si>
  <si>
    <t xml:space="preserve">Green Submitted, Green Accepted</t>
  </si>
  <si>
    <t xml:space="preserve">WOS:000828140600004</t>
  </si>
  <si>
    <t xml:space="preserve">Yao, X; Pathak, V; Xi, HR; Chaware, A; Cooke, C; Kim, K; Xu, SQ; Li, YT; Dunn, T; Konda, PC; Zhou, KC; Horstmeyer, R</t>
  </si>
  <si>
    <t xml:space="preserve">Yao, Xing; Pathak, Vinayak; Xi, Haoran; Chaware, Amey; Cooke, Colin; Kim, Kanghyun; Xu, Shiqi; Li, Yuting; Dunn, Timothy; Konda, Pavan Chandra; Zhou, Kevin C.; Horstmeyer, Roarke</t>
  </si>
  <si>
    <t xml:space="preserve">Increasing a microscope's effective field of view via overlapped imaging and machine learning</t>
  </si>
  <si>
    <t xml:space="preserve">This work demonstrates a multi-lens microscopic imaging system that overlaps multiple independent fields of view on a single sensor for high-efficiency automated specimen analysis. Automatic detection, classification and counting of various morphological features of interest is now a crucial component of both biomedical research and disease diagnosis. While convolutional neural networks (CNNs) have dramatically improved the accuracy of counting cells and sub-cellular features from acquired digital image data, the overall throughput is still typically hindered by the limited space-bandwidth product (SBP) of conventional microscopes. Here, we show both in simulation and experiment that overlapped imaging and co-designed analysis software can achieve accurate detection of diagnostically-relevant features for several applications, including counting of white blood cells and the malaria parasite, leading to multi-fold increase in detection and processing throughput with minimal reduction in accuracy. (C) 2022 Optica Publishing Group under the terms of the Optica Open Access Publishing Agreement</t>
  </si>
  <si>
    <t xml:space="preserve">OPTICS EXPRESS</t>
  </si>
  <si>
    <t xml:space="preserve">SEGMENTATION; ACQUISITION; MALARIA</t>
  </si>
  <si>
    <t xml:space="preserve">[Yao, Xing; Pathak, Vinayak; Chaware, Amey; Kim, Kanghyun; Xu, Shiqi; Li, Yuting; Dunn, Timothy; Konda, Pavan Chandra; Zhou, Kevin C.; Horstmeyer, Roarke] Duke Univ, Biomed Engn, Durham, NC 27708 USA; [Xi, Haoran] Duke Univ, Comp Sci, Durham, NC 27708 USA; [Cooke, Colin] Duke Univ, Elect &amp; Comp Engn, Durham, NC 27708 USA; [Dunn, Timothy] Duke Univ, Neurosurg, Durham, NC 27708 USA</t>
  </si>
  <si>
    <t xml:space="preserve">Duke University; Duke University; Duke University; Duke University</t>
  </si>
  <si>
    <t xml:space="preserve">Horstmeyer, R (corresponding author), Duke Univ, Biomed Engn, Durham, NC 27708 USA.</t>
  </si>
  <si>
    <t xml:space="preserve">roarke.w.horstmeyer@duke.edu</t>
  </si>
  <si>
    <t xml:space="preserve">xu, shiqi/KEH-9943-2024; Zhou, Kevin/ISS-0565-2023; Li, Yuting/IVH-4108-2023; Konda, Pavan/AAE-4353-2021</t>
  </si>
  <si>
    <t xml:space="preserve">Konda, Pavan Chandra/0000-0001-7119-1949; Kim, Kanghyun/0000-0002-4557-9525; Horstmeyer, Roarke/0000-0002-2480-9141; Zhou, Kevin/0000-0002-0351-8812</t>
  </si>
  <si>
    <t xml:space="preserve">Duke University; National Institutes of Health [1RF1NS113287-01]</t>
  </si>
  <si>
    <t xml:space="preserve">Duke University; National Institutes of Health(United States Department of Health &amp; Human ServicesNational Institutes of Health (NIH) - USA)</t>
  </si>
  <si>
    <t xml:space="preserve">Duke University; National Institutes of Health (1RF1NS113287-01).</t>
  </si>
  <si>
    <t xml:space="preserve">1094-4087</t>
  </si>
  <si>
    <t xml:space="preserve">OPT EXPRESS</t>
  </si>
  <si>
    <t xml:space="preserve">Opt. Express</t>
  </si>
  <si>
    <t xml:space="preserve">JAN 17</t>
  </si>
  <si>
    <t xml:space="preserve">10.1364/OE.445001</t>
  </si>
  <si>
    <t xml:space="preserve">Optics</t>
  </si>
  <si>
    <t xml:space="preserve">YK2GG</t>
  </si>
  <si>
    <t xml:space="preserve">WOS:000745037500086</t>
  </si>
  <si>
    <t xml:space="preserve">Alassaf, A; Sikkandar, MY</t>
  </si>
  <si>
    <t xml:space="preserve">Alassaf, Ahmad; Sikkandar, Mohamed Yacin</t>
  </si>
  <si>
    <t xml:space="preserve">Intelligent Deep Transfer Learning Based Malaria Parasite Detection and Classification Model Using Biomedical Image</t>
  </si>
  <si>
    <t xml:space="preserve">Malaria is a severe disease caused by Plasmodium parasites, which can be detected through blood smear images. The early identification of the disease can effectively reduce the severity rate. Deep learning (DL) models can be widely employed to analyze biomedical images, thereby minimizing the misclassification rate. With this objective, this study developed an intelligent deep-transfer-learning-based malaria parasite detection and classification (IDTL-MPDC) model on blood smear images. The proposed IDTL-MPDC technique aims to effectively determine the presence of malarial parasites in blood smear images. In addition, the IDTL-MPDC technique derives median filtering (MF) as a pre-processing step. In addition, a residual neural network (Res2Net) model was employed for the extraction of feature vectors, and its hyperparameters were optimally adjusted using the differential evolution (DE) algorithm. The k-nearest neighbor (KNN) classifier was used to assign appropriate classes to the blood smear images. The optimal selection of Res2Net hyperparameters by the DE model helps achieve enhanced classification outcomes. A wide range of simulation analyses of the IDTL-MPDC technique are carried out using a benchmark dataset, and its performance seems to be highly accurate (95.86%), highly sensitive (95.82%), highly specific (95.98%), with a high F1 score (95.69%), and high precision (95.86%), and it has been proven to be better than the other existing methods.</t>
  </si>
  <si>
    <t xml:space="preserve">- Accuracy = 95.86%
- Sensitivity = 95.82%
- Specificity = 95.98%
- F1 score = 95.69%
- Precision = 95.86%</t>
  </si>
  <si>
    <t xml:space="preserve">Computer-aided diagnosis; malaria parasites; biomedical images; blood smear images; deep learning</t>
  </si>
  <si>
    <t xml:space="preserve">[Alassaf, Ahmad; Sikkandar, Mohamed Yacin] Majmaah Univ, Dept Med Equipment Technol, Coll Appl Med Sci, Al Majmaah 11952, Saudi Arabia</t>
  </si>
  <si>
    <t xml:space="preserve">Majmaah University</t>
  </si>
  <si>
    <t xml:space="preserve">Sikkandar, MY (corresponding author), Majmaah Univ, Dept Med Equipment Technol, Coll Appl Med Sci, Al Majmaah 11952, Saudi Arabia.</t>
  </si>
  <si>
    <t xml:space="preserve">m.sikkandar@mu.edu.sa</t>
  </si>
  <si>
    <t xml:space="preserve">Alassaf, Ahmad/HPH-3879-2023; SIKKANDAR, MOHAMED/D-3954-2019</t>
  </si>
  <si>
    <t xml:space="preserve">Deanship of Scientific Research at Majmaah University [R-2022-76]</t>
  </si>
  <si>
    <t xml:space="preserve">Deanship of Scientific Research at Majmaah University(Majmaah University)</t>
  </si>
  <si>
    <t xml:space="preserve">The authors extend their appreciation to the Deanship of Scientific Research at Majmaah University for funding this study under project number R-2022-76.</t>
  </si>
  <si>
    <t xml:space="preserve">10.32604/cmc.2022.025577</t>
  </si>
  <si>
    <t xml:space="preserve">1L4AX</t>
  </si>
  <si>
    <t xml:space="preserve">WOS:000799234000026</t>
  </si>
  <si>
    <t xml:space="preserve">Ngai, M; Hawkes, MT; Erice, C; Weckman, AM; Wright, J; Stefanova, V; Opoka, RO; Namasopo, S; Conroy, AL; Kain, KC</t>
  </si>
  <si>
    <t xml:space="preserve">Ngai, Michelle; Hawkes, Michael T.; Erice, Clara; Weckman, Andrea M.; Wright, Julie; Stefanova, Veselina; Opoka, Robert O.; Namasopo, Sophie; Conroy, Andrea L.; Kain, Kevin C.</t>
  </si>
  <si>
    <t xml:space="preserve">Intestinal Injury in Ugandan Children Hospitalized With Malaria</t>
  </si>
  <si>
    <t xml:space="preserve">Background Severe malaria is associated with multiple organ dysfunction syndrome (MODS), which may involve the gastrointestinal tract. Methods In a prospective cohort study in Uganda, we measured markers of intestinal injury (intestinal fatty-acid binding protein [I-FABP] and zonula occludens-1 [ZO-1]) and microbial translocation (lipopolysaccharide binding protein [LBP] and soluble complement of differentiation 14 [sCD14]) among children admitted with malaria. We examined their association with biomarkers of inflammation, endothelial activation, clinical signs of hypoperfusion, organ injury, and mortality. Results We enrolled 523 children (median age 1.5 years, 46% female, 7.5% mortality). Intestinal FABP was above the normal range (&gt;= 400 pg/mL) in 415 of 523 patients (79%). Intestinal FABP correlated with ZO-1 (rho = 0.11, P = .014), sCD14 (rho = 0.12, P = .0046) as well as markers of inflammation and endothelial activation. Higher I-FABP levels were associated with lower systolic blood pressure (rho = -0.14, P = .0015), delayed capillary refill time (rho = 0.17, P = .00011), higher lactate level (rho = 0.40, P &lt; .0001), increasing stage of acute kidney injury (rho = 0.20, P = .0034), and coma (P &lt; .0001). Admission I-FABP levels &gt;= 5.6 ng/mL were associated with a 7.4-fold higher relative risk of in-hospital death (95% confidence interval, 1.4-11, P = .0016). Conclusions Intestinal injury occurs commonly in children hospitalized with malaria and is associated with microbial translocation, systemic inflammation, tissue hypoperfusion, MODS, and fatal outcome. Among Ugandan children hospitalized with severe malaria, markers of intestinal injury (intestinal fatty-acid binding protein and zonula occludens-1) and microbial translocation (lipopolysaccharide binding protein and soluble complement of differentiation-14) were elevated and associated with multiple organ dysfunction and fatal outcome.</t>
  </si>
  <si>
    <t xml:space="preserve">Canada, Uganda, USA</t>
  </si>
  <si>
    <t xml:space="preserve">JOURNAL OF INFECTIOUS DISEASES</t>
  </si>
  <si>
    <t xml:space="preserve">malaria; Uganda; intestinal injury; inflammation</t>
  </si>
  <si>
    <t xml:space="preserve">LIPOPOLYSACCHARIDE-BINDING PROTEIN; MICROBIAL TRANSLOCATION; PLASMODIUM-FALCIPARUM; BARRIER FUNCTION; I-FABP; PERMEABILITY; ZONULIN; BACTEREMIA; DISEASE; MARKER</t>
  </si>
  <si>
    <t xml:space="preserve">[Ngai, Michelle; Erice, Clara; Weckman, Andrea M.; Wright, Julie; Stefanova, Veselina; Kain, Kevin C.] Univ Toronto, Univ Hlth Network, Sandra Rotman Ctr Global Hlth, Dept Med,Toronto Gen Hosp, Toronto, ON, Canada; [Hawkes, Michael T.] Univ Alberta, Fac Med, Dept Paediat, Edmonton, AB, Canada; [Hawkes, Michael T.] Univ Alberta, Fac Med, Dept Med Microbiol &amp; Immunol, Edmonton, AB, Canada; [Hawkes, Michael T.] Univ Alberta, Sch Publ Hlth, Edmonton, AB, Canada; [Opoka, Robert O.] Mulago Hosp, Dept Paediat &amp; Child Hlth, Kampala, Uganda; [Opoka, Robert O.] Makerere Univ, Kampala, Uganda; [Namasopo, Sophie] Jinja Reg Referral Hosp, Dept Paediat, Jinja, Uganda; [Namasopo, Sophie] Kabale Dist Hosp, Dept Paediat, Kabale, Uganda; [Conroy, Andrea L.] Indiana Univ Sch Med, Ryan White Ctr Paediat Infect Dis &amp; Global Hlth, Indianapolis, IN 46202 USA; [Kain, Kevin C.] Univ Toronto, Dept Lab Med &amp; Pathobiol, Toronto, ON, Canada</t>
  </si>
  <si>
    <t xml:space="preserve">University of Toronto; University Health Network Toronto; Toronto General Hospital; University of Alberta; University of Alberta; University of Alberta; Mulago National Referral Hospital; Makerere University; Indiana University System; Indiana University Bloomington; University of Toronto</t>
  </si>
  <si>
    <t xml:space="preserve">Kain, KC (corresponding author), Univ Toronto, Univ Hlth Network, Sandra Rotman Ctr Global Hlth, MaRS Ctr,Toronto Gen Hosp, 101 Coll St TMDT 10-360A, Toronto, ON M5G 1L7, Canada.</t>
  </si>
  <si>
    <t xml:space="preserve">kkain8888@gmail.com</t>
  </si>
  <si>
    <t xml:space="preserve">, Michael/AAP-3049-2020; Conroy, Andrea/ABC-5715-2020; Erice, Clara/ABI-5816-2020</t>
  </si>
  <si>
    <t xml:space="preserve">Hawkes, Michael/0000-0002-4122-0937; Kain, Kevin/0000-0001-6068-1272</t>
  </si>
  <si>
    <t xml:space="preserve">Canadian Institutes of Health Research (CIHR) Foundation [FDN-148439]; Canada Research Chair; CIHR Clinician-Scientist Training Award; CIHR Postdoctoral Research Award; Women and Children's Health Research Institute and kind donations from Kim Kertland; Tesari Foundation, and Rotary International (K-W group)</t>
  </si>
  <si>
    <t xml:space="preserve">Canadian Institutes of Health Research (CIHR) Foundation(Canadian Institutes of Health Research (CIHR)); Canada Research Chair(Natural Resources CanadaCanadian Forest ServiceCanada Research Chairs); CIHR Clinician-Scientist Training Award(Canadian Institutes of Health Research (CIHR)); CIHR Postdoctoral Research Award(Canadian Institutes of Health Research (CIHR)); Women and Children's Health Research Institute and kind donations from Kim Kertland; Tesari Foundation, and Rotary International (K-W group)</t>
  </si>
  <si>
    <t xml:space="preserve">This study was funded by the Canadian Institutes of Health Research (CIHR) Foundation (Grant FDN-148439; to K.C. K.), Canada Research Chair (to K. C. K.), CIHR Clinician-Scientist Training Award (to M. T. H.), and CIHR Postdoctoral Research Award (to A. L. C.). This work was also supported by the Women and Children's Health Research Institute and kind donations from Kim Kertland, the Tesari Foundation, and Rotary International (K-W group).</t>
  </si>
  <si>
    <t xml:space="preserve">0022-1899</t>
  </si>
  <si>
    <t xml:space="preserve">1537-6613</t>
  </si>
  <si>
    <t xml:space="preserve">J INFECT DIS</t>
  </si>
  <si>
    <t xml:space="preserve">10.1093/infdis/jiac340</t>
  </si>
  <si>
    <t xml:space="preserve">7B2HV</t>
  </si>
  <si>
    <t xml:space="preserve">WOS:000846442500001</t>
  </si>
  <si>
    <t xml:space="preserve">Tai, KY; Dhaliwal, J</t>
  </si>
  <si>
    <t xml:space="preserve">Tai, Kah Yee; Dhaliwal, Jasbir</t>
  </si>
  <si>
    <t xml:space="preserve">Machine learning model for malaria risk prediction based on mutation location of large-scale genetic variation data</t>
  </si>
  <si>
    <t xml:space="preserve">In recent malaria research, the complexity of the disease has been explored using machine learning models via blood smear images, environmental, and even RNA-Seq data. However, a machine learning model based on genetic variation data is still required to fully explore individual malaria risk. Furthermore, many Genome-Wide Associations Studies (GWAS) have associated specific genetic markers, i.e., single nucleotide polymorphisms (SNPs), with malaria. Thus, the present study improves the current state-of-the-art genetic risk score by incorporating SNPs mutation location on large-scale genetic variation data obtained from GWAS. Nevertheless, it becomes computationally expensive for hyperparameter optimization on large-scale datasets. Therefore, this study proposes a machine learning model that incorporates mutation location as well as a Genetic Algorithm (GA) to optimize hyperparameters. Besides that, a deep learning model is also proposed to predict individual malaria risk as an alternative approach. The analysis is performed on the Malaria Genomic Epidemiology Network (MalariaGEN) dataset comprising 20,817 individuals from 11 populations. The findings of this study demonstrated that the proposed GA could overcome the curse of dimensionality and improve resource efficiency compared to commonly used methods. In addition, incorporating the mutation location significantly improved the machine learning models in predicting the individual malaria risk; a Mean Absolute Error (MAE) score of 8.00E-06. Moreover, the deep learning model obtained almost similar MAE scores to the machine learning models, indicating an alternative approach. Thus, this study provides relevant knowledge of genetic and technical deliberations that can improve the state-of-the-art methods for predicting individual malaria risk.</t>
  </si>
  <si>
    <t xml:space="preserve">Burkina Faso, Cameroon, Gambia, Ghana, Kenya, Malawi, Mali, Nigeria, Tanzania, Vietnam, Papua New Guinea</t>
  </si>
  <si>
    <t xml:space="preserve">JOURNAL OF BIG DATA</t>
  </si>
  <si>
    <t xml:space="preserve">Malaria; Machine learning prediction model; Hyperparameter optimization; Genetic algorithm; Genetic markers; Risk score; Deep learning model</t>
  </si>
  <si>
    <t xml:space="preserve">ASSOCIATION ANALYSIS; FALCIPARUM-MALARIA; POLYMORPHISMS; RESISTANCE; SUSCEPTIBILITY; GENOME; FAMILY; LOCI</t>
  </si>
  <si>
    <t xml:space="preserve">[Tai, Kah Yee; Dhaliwal, Jasbir] Monash Univ Malaysia, Sch Informat Technol, Subang Jaya, Selangor, Malaysia</t>
  </si>
  <si>
    <t xml:space="preserve">Monash University; Monash University Malaysia</t>
  </si>
  <si>
    <t xml:space="preserve">Dhaliwal, J (corresponding author), Monash Univ Malaysia, Sch Informat Technol, Subang Jaya, Selangor, Malaysia.</t>
  </si>
  <si>
    <t xml:space="preserve">jasbir.dhaliwal@monash.edu</t>
  </si>
  <si>
    <t xml:space="preserve">MalariaGEN; Wellcome Trust [WT077383/Z/05/Z]; Bill &amp; Melinda Gates Foundation through the Foundation of the National Institutes of Health, Grand Challenges in Global Health Initiative [566]</t>
  </si>
  <si>
    <t xml:space="preserve">MalariaGEN; Wellcome Trust(Wellcome Trust); Bill &amp; Melinda Gates Foundation through the Foundation of the National Institutes of Health, Grand Challenges in Global Health Initiative</t>
  </si>
  <si>
    <t xml:space="preserve">This study makes use of data generated by MalariaGEN. A full list of the investigators who contributed to the generation of the data is available from www.MalariaGEN.net.Funding for this project was provided by Wellcome Trust (WT077383/Z/05/Z) and the Bill &amp; Melinda Gates Foundation through the Foundation of the National Institutes of Health (566) as part of the Grand Challenges in Global Health Initiative.</t>
  </si>
  <si>
    <t xml:space="preserve">2196-1115</t>
  </si>
  <si>
    <t xml:space="preserve">J BIG DATA-GER</t>
  </si>
  <si>
    <t xml:space="preserve">J. Big Data</t>
  </si>
  <si>
    <t xml:space="preserve">JUN 25</t>
  </si>
  <si>
    <t xml:space="preserve">10.1186/s40537-022-00635-x</t>
  </si>
  <si>
    <t xml:space="preserve">2J4MO</t>
  </si>
  <si>
    <t xml:space="preserve">WOS:000815633400001</t>
  </si>
  <si>
    <t xml:space="preserve">Hevia-Montiel, N; Perez-Gonzalez, J; Neme, A; Haro, P</t>
  </si>
  <si>
    <t xml:space="preserve">Hevia-Montiel, Nidiyare; Perez-Gonzalez, Jorge; Neme, Antonio; Haro, Paulina</t>
  </si>
  <si>
    <t xml:space="preserve">Machine Learning-Based Feature Selection and Classification for the Experimental Diagnosis of Trypanosoma cruzi</t>
  </si>
  <si>
    <t xml:space="preserve">Chagas disease, caused by the Trypanosoma cruzi (T. cruzi) parasite, is the third most common parasitosis worldwide. Most of the infected subjects can remain asymptomatic without an opportune and early detection or an objective diagnostic is not conducted. Frequently, the disease manifests itself after a long time, accompanied by severe heart disease or by sudden death. Thus, the diagnosis is a complex and challenging process where several factors must be considered. In this paper, a novel pipeline is presented integrating temporal data from four modalities (electrocardiography signals, echocardiography images, Doppler spectrum, and ELISA antibody titers), multiple features selection analyses by a univariate analysis and a machine learning-based selection. The method includes an automatic dichotomous classification of animal status (control vs. infected) based on Random Forest, Extremely Randomized Trees, Decision Trees, and Support Vector Machine. The most relevant multimodal attributes found were ELISA (IgGT, IgG1, IgG2a), electrocardiography (SR mean, QT and ST intervals), ascending aorta Doppler signals, and echocardiography (left ventricle diameter during diastole). Concerning automatic classification from selected features, the best accuracy of control vs. acute infection groups was 93.3 +/- 13.3% for cross-validation and 100% in the final test; for control vs. chronic infection groups, it was 100% and 100%, respectively. We conclude that the proposed machine learning-based approach can be of help to obtain a robust and objective diagnosis in early T. cruzi infection stages.</t>
  </si>
  <si>
    <t xml:space="preserve">machine learning; feature selection; multivariate analysis; classification; Chagas disease; Trypanosoma cruzi; echocardiography; electrocardiography; doppler; ELISA</t>
  </si>
  <si>
    <t xml:space="preserve">HEART-RATE-VARIABILITY; CHAGAS-DISEASE; ECHOCARDIOGRAPHY; CARDIOMYOPATHY; DYSFUNCTION; TIME</t>
  </si>
  <si>
    <t xml:space="preserve">[Hevia-Montiel, Nidiyare; Perez-Gonzalez, Jorge; Neme, Antonio] Univ Nacl Autonoma Mexico, Unidad Acad Inst Invest Matemat Aplicadas &amp; Siste, Merida 97302, Yucatan, Mexico; [Haro, Paulina] Univ Autonoma Baja California, Inst Invest Ciencias Vet, Mexicali 21386, Baja California, Mexico</t>
  </si>
  <si>
    <t xml:space="preserve">Hevia-Montiel, N (corresponding author), Univ Nacl Autonoma Mexico, Unidad Acad Inst Invest Matemat Aplicadas &amp; Siste, Merida 97302, Yucatan, Mexico.</t>
  </si>
  <si>
    <t xml:space="preserve">nidiyare.hevia@iimas.unam.mx; jorge.perez@iimas.unam.mx; antonio.neme@iimas.unam.mx; paulina.haro@uabc.edu.mx</t>
  </si>
  <si>
    <t xml:space="preserve">Perez-Gonzalez, Jorge/AEZ-5186-2022; Hevia-Montiel, Nidiyare/R-6626-2016; Neme, Antonio/A-8999-2018</t>
  </si>
  <si>
    <t xml:space="preserve">Perez-Gonzalez, Jorge/0000-0002-4069-4268; Haro Alvarez, Ana Paulina/0000-0003-0101-8512; Hevia-Montiel, Nidiyare/0000-0003-4238-7496; Neme, Antonio/0000-0002-9952-1943</t>
  </si>
  <si>
    <t xml:space="preserve">10.3390/electronics11050785</t>
  </si>
  <si>
    <t xml:space="preserve">ZT5XE</t>
  </si>
  <si>
    <t xml:space="preserve">WOS:000769228100001</t>
  </si>
  <si>
    <t xml:space="preserve">Roster, K; Connaughton, C; Rodrigues, FA</t>
  </si>
  <si>
    <t xml:space="preserve">Roster, Kirstin; Connaughton, Colm; Rodrigues, Francisco A.</t>
  </si>
  <si>
    <t xml:space="preserve">Machine-Learning-Based Forecasting of Dengue Fever in Brazilian Cities Using Epidemiologic and Meteorological Variables</t>
  </si>
  <si>
    <t xml:space="preserve">Dengue is a serious public health concern in Brazil and globally. In the absence of a universal vaccine or specific treatments, prevention relies on vector control and disease surveillance. Accurate and early forecasts can help reduce the spread of the disease. In this study, we developed a model for predicting monthly dengue cases in Brazilian cities 1 month ahead, using data from 2007-2019. We compared different machine learning algorithms and feature selection methods using epidemiologic and meteorological variables. We found that different models worked best in different cities, and a random forests model trained on monthly dengue cases performed best overall. It produced lower errors than a seasonal naive baseline model, gradient boosting regression, a feed-forward neural network, or support vector regression. For each city, we computed the mean absolute error between predictions and true monthly numbers of dengue cases on the test data set. The median error across all cities was 12.2 cases. This error was reduced to 11.9 when selecting the optimal combination of algorithm and input features for each city individually. Machine learning and especially decision tree ensemble models may contribute to dengue surveillance in Brazil, as they produce low out-of-sample prediction errors for a geographically diverse set of cities.</t>
  </si>
  <si>
    <t xml:space="preserve">Epidemiologic and meteorological data</t>
  </si>
  <si>
    <t xml:space="preserve">AMERICAN JOURNAL OF EPIDEMIOLOGY</t>
  </si>
  <si>
    <t xml:space="preserve">dengue; epidemiologic methods; feature selection; machine learning; prediction</t>
  </si>
  <si>
    <t xml:space="preserve">FUNCTION APPROXIMATION; IMPACT; MODEL; RISK</t>
  </si>
  <si>
    <t xml:space="preserve">[Roster, Kirstin; Rodrigues, Francisco A.] Univ Sao Paulo, Inst Math &amp; Comp Sci, Sao Paulo, Brazil; [Connaughton, Colm] Univ Warwick, Math Inst, Coventry, W Midlands, England; [Connaughton, Colm] London Math Lab, London, England</t>
  </si>
  <si>
    <t xml:space="preserve">Universidade de Sao Paulo; University of Warwick</t>
  </si>
  <si>
    <t xml:space="preserve">Roster, K (corresponding author), Univ Sao Paulo, Inst Math &amp; Comp Sci, Ave Trabalhador Sao Carlense 400, BR-13566590 Sao Carlos, SP, Brazil.</t>
  </si>
  <si>
    <t xml:space="preserve">kirstin.roster@usp.br</t>
  </si>
  <si>
    <t xml:space="preserve">Rodrigues, Francisco/E-4418-2011; Connaughton, Colm/E-8796-2011</t>
  </si>
  <si>
    <t xml:space="preserve">SAo Paulo Research Foundation [2019/26595-7]</t>
  </si>
  <si>
    <t xml:space="preserve">SAo Paulo Research Foundation(Fundacao de Amparo a Pesquisa do Estado de Sao Paulo (FAPESP))</t>
  </si>
  <si>
    <t xml:space="preserve">This work was supported by grant 2019/26595-7 from the SAo Paulo Research Foundation. .</t>
  </si>
  <si>
    <t xml:space="preserve">0002-9262</t>
  </si>
  <si>
    <t xml:space="preserve">1476-6256</t>
  </si>
  <si>
    <t xml:space="preserve">AM J EPIDEMIOL</t>
  </si>
  <si>
    <t xml:space="preserve">Am. J. Epidemiol.</t>
  </si>
  <si>
    <t xml:space="preserve">SEP 28</t>
  </si>
  <si>
    <t xml:space="preserve">10.1093/aje/kwac090</t>
  </si>
  <si>
    <t xml:space="preserve">5C6JR</t>
  </si>
  <si>
    <t xml:space="preserve">WOS:000822051600001</t>
  </si>
  <si>
    <t xml:space="preserve">Imran, T; Khan, MA; Sharif, M; Tariq, U; Zhang, YD; Nam, Y; Nam, Y; Kang, BG</t>
  </si>
  <si>
    <t xml:space="preserve">Imran, Talha; Khan, Muhammad Attique; Sharif, Muhammad; Tariq, Usman; Zhang, Yu-Dong; Nam, Yunyoung; Nam, Yunja; Kang, Byeong-Gwon</t>
  </si>
  <si>
    <t xml:space="preserve">Malaria Blood Smear Classification Using Deep Learning and Best Features Selection</t>
  </si>
  <si>
    <t xml:space="preserve">Malaria is a critical health condition that affects both sultry and frigid region worldwide, giving rise to millions of cases of disease and thousands of deaths over the years. Malaria is caused by parasites that enter the human red blood cells, grow there, and damage them over time. Therefore, it is diagnosed by a detailed examination of blood cells under the microscope. This is the most extensively used malaria diagnosis technique, but it yields limited and unreliable results due to the manual human involvement. In this work, an automated malaria blood smear classification model is proposed, which takes images of both infected and healthy cells and preprocesses them in the L*a*b* color space by employing several contrast enhancement methods. Feature extraction is performed using two pretrained deep convolutional neural networks, DarkNet-53 and DenseNet-201. The features are subsequently agglutinated to be optimized through a nature-based feature reduction method called the whale optimization algorithm. Several classifiers are effectuated on the reduced features, and the achieved results excel in both accuracy and time compared to previously proposed methods.</t>
  </si>
  <si>
    <t xml:space="preserve">Pakistan, Saudi Arabia, UK, Korea</t>
  </si>
  <si>
    <t xml:space="preserve">Microscopic slide images</t>
  </si>
  <si>
    <t xml:space="preserve">- DarkNet-53
- DenseNet-201</t>
  </si>
  <si>
    <t xml:space="preserve">Malaria; preprocessing; deep learning; features optimization; classification</t>
  </si>
  <si>
    <t xml:space="preserve">[Imran, Talha; Sharif, Muhammad] COMSATS Univ Islamabad, Dept Comp Sci, Wah Campus, Wah Cantt, Pakistan; [Khan, Muhammad Attique] HITEC Univ Taxila, Dept Comp Sci, Taxila, Pakistan; [Tariq, Usman] Prince Sattam Bin Abdulaziz Univ, Coll Comp Engn &amp; Sci, Al Khraj, Saudi Arabia; [Zhang, Yu-Dong] Univ Leicester, Dept Informat, Leicester, Leics, England; [Nam, Yunyoung; Nam, Yunja; Kang, Byeong-Gwon] Soonchunhyang Univ, Dept ICT Convergence, Asan, South Korea</t>
  </si>
  <si>
    <t xml:space="preserve">COMSATS University Islamabad (CUI); Prince Sattam Bin Abdulaziz University; University of Leicester; Soonchunhyang University</t>
  </si>
  <si>
    <t xml:space="preserve">Nam, Y (corresponding author), Soonchunhyang Univ, Dept ICT Convergence, Asan, South Korea.</t>
  </si>
  <si>
    <t xml:space="preserve">ynam@sch.ac.kr</t>
  </si>
  <si>
    <t xml:space="preserve">Khan, Dr. Muhammad/AAX-2644-2021; Tariq, Usman/AAE-8037-2022; Nam, Yunyoung/AAI-4536-2020; Sharif, Muhammad/AAB-8376-2022; Zhang, Yudong/I-7633-2013</t>
  </si>
  <si>
    <t xml:space="preserve">Imran, Talha/0009-0002-0932-4194; Zhang, Yudong/0000-0002-4870-1493; Tariq, Usman/0000-0001-7672-1187; Attique Khan, Muhammad/0000-0002-6347-4890</t>
  </si>
  <si>
    <t xml:space="preserve">MSIT (Ministry of Science and ICT), Korea, under the ICAN (ICT Challenge and Advanced Network of HRD) program [IITP-2021-2020-0-01832]; Soonchunhyang University</t>
  </si>
  <si>
    <t xml:space="preserve">MSIT (Ministry of Science and ICT), Korea, under the ICAN (ICT Challenge and Advanced Network of HRD) program(Ministry of Science &amp; ICT (MSIT), Republic of KoreaMinistry of Science, ICT &amp; Future Planning, Republic of Korea); Soonchunhyang University</t>
  </si>
  <si>
    <t xml:space="preserve">This research was supported by the MSIT (Ministry of Science and ICT) , Korea, under the ICAN (ICT Challenge and Advanced Network of HRD) program (IITP-2021-2020-0-01832) supervised by the IITP (Institute of Information &amp; Communications Technology Planning &amp; Evaluation) and the Soonchunhyang University Research Fund.</t>
  </si>
  <si>
    <t xml:space="preserve">10.32604/cmc.2022.018946</t>
  </si>
  <si>
    <t xml:space="preserve">WJ5XN</t>
  </si>
  <si>
    <t xml:space="preserve">WOS:000709118000024</t>
  </si>
  <si>
    <t xml:space="preserve">Pattanaik, PA; Mittal, M; Khan, MZ; Panda, SN</t>
  </si>
  <si>
    <t xml:space="preserve">Pattanaik, P. A.; Mittal, Mohit; Khan, Mohammad Zubair; Panda, S. N.</t>
  </si>
  <si>
    <t xml:space="preserve">Malaria detection using deep residual networks with mobile microscopy</t>
  </si>
  <si>
    <t xml:space="preserve">Automatic segmentation of erythrocytes in microscopic blood smear phone images is a critical step to visualize and identify malaria using machine learning technologies. However, it still remains a challenging problem due to the scarcity of experts, low image qualities, slow manual and inefficient quality of diagnosis. To handle these issues to some extent, we proposed an effective multi-magnification deep residual neural network (MM-ResNet), where we fully automatically classify the microscopic blood smear images as either infected/ non-infected at multiple magnifications. We have experimentally evaluated our approach by using it to train more efficient variants of different compact deep convolutional neural networks (CNN), evaluated on phone datasets. The MM-ResNet end-to-end framework shows similar or superior accuracy than the baseline architectures, as measured by GPU timings on the publicly available microscopic blood smear phone images. This approach is the first application of a MM-ResNet for malaria-infected erythrocyte identification in microscopic blood smear images. (C) 2020 The Authors. Published by Elsevier B.V. on behalf of King Saud University.</t>
  </si>
  <si>
    <t xml:space="preserve">France, Japan, Saudi Arabia, India</t>
  </si>
  <si>
    <t xml:space="preserve">[Pattanaik, P. A.] Telecom SudParis, 9 Rue Charles Fourier, F-91011 Evry, France; [Mittal, Mohit] Kyoto Sangyo Univ, Informat Sci &amp; Engn, Kyoto, Kamigamo 6038555, Japan; [Khan, Mohammad Zubair] Taibah Univ, Coll Comp Sci &amp; Engn, Dept Comp Sci, Madinah 41477, Saudi Arabia; [Panda, S. N.] Chitkara Univ, Inst Engn &amp; Technol, Rajpura, Punjab, India</t>
  </si>
  <si>
    <t xml:space="preserve">IMT - Institut Mines-Telecom; Institut Polytechnique de Paris; Telecom SudParis; Kyoto Sangyo University; Taibah University; Chitkara University, Punjab</t>
  </si>
  <si>
    <t xml:space="preserve">Pattanaik, PA (corresponding author), Telecom SudParis, 9 Rue Charles Fourier, F-91011 Evry, France.</t>
  </si>
  <si>
    <t xml:space="preserve">ipriyadarshinipattanaik@gmail.com; mohitmittal@ieee.org; mkhanb@taibahu.edu.sa; snpanda@chitkara.edu.in</t>
  </si>
  <si>
    <t xml:space="preserve">Panda, Surya/AAZ-1681-2020; Pattanaik, P./AAY-6007-2020; Mittal, Mohit/A-6865-2013; KHAN, MOHAMMAD ZUBAIR/D-4478-2012</t>
  </si>
  <si>
    <t xml:space="preserve">Pattanaik, Priyadarshini A/0000-0001-5058-5471; KHAN, MOHAMMAD ZUBAIR/0000-0002-2409-7172</t>
  </si>
  <si>
    <t xml:space="preserve">10.1016/j.jksuci.2020.07.003</t>
  </si>
  <si>
    <t xml:space="preserve">1G9UM</t>
  </si>
  <si>
    <t xml:space="preserve">WOS:000796192500006</t>
  </si>
  <si>
    <t xml:space="preserve">Magotra, V; Rohil, MK</t>
  </si>
  <si>
    <t xml:space="preserve">Magotra, Varun; Rohil, Mukesh Kumar</t>
  </si>
  <si>
    <t xml:space="preserve">Malaria Diagnosis Using a Lightweight Deep Convolutional Neural Network</t>
  </si>
  <si>
    <t xml:space="preserve">The applications of AI in the healthcare sector are increasing day by day. The application of convolutional neural network (CNN) and mask-region-based CNN (Mask-RCCN) to the medical domain has really revolutionized medical image analysis. CNNs have been prominently used for identification, classification, and feature extraction tasks, and they have delivered a great performance at these tasks. In our study, we propose a lightweight CNN, which requires less time to train, for identifying malaria parasitic red blood cells and distinguishing them from healthy red blood cells. To compare the accuracy of our model, we used transfer learning on two models, namely, the VGG-19 and the Inception v3. We train our model in three different configurations depending on the proportion of data being fed to the model for training. For all three configurations, our proposed model is able to achieve an accuracy of around 96%, which is higher than both the other models that we trained for the same three configurations. It shows that our model is able to perform better along with low computational requirements. Therefore, it can be used more efficiently and can be easily deployed for detecting malaria cells.</t>
  </si>
  <si>
    <t xml:space="preserve">INTERNATIONAL JOURNAL OF TELEMEDICINE AND APPLICATIONS</t>
  </si>
  <si>
    <t xml:space="preserve">[Magotra, Varun] Sardar Patel Inst Technol, Dept Comp Engn, Mumbai 400053, Maharashtra, India; [Rohil, Mukesh Kumar] Birla Inst Technol &amp; Sci, Dept Comp Sci &amp; Informat Syst, Pilani 333031, Rajasthan, India</t>
  </si>
  <si>
    <t xml:space="preserve">Birla Institute of Technology &amp; Science Pilani (BITS Pilani)</t>
  </si>
  <si>
    <t xml:space="preserve">Rohil, MK (corresponding author), Birla Inst Technol &amp; Sci, Dept Comp Sci &amp; Informat Syst, Pilani 333031, Rajasthan, India.</t>
  </si>
  <si>
    <t xml:space="preserve">varun.magotra@spit.ac.in; rohil@pilani.bits-pilani.ac.in</t>
  </si>
  <si>
    <t xml:space="preserve">Rohil, Mukesh/X-7298-2019</t>
  </si>
  <si>
    <t xml:space="preserve">Magotra, Varun/0000-0001-6613-8633</t>
  </si>
  <si>
    <t xml:space="preserve">1687-6415</t>
  </si>
  <si>
    <t xml:space="preserve">1687-6423</t>
  </si>
  <si>
    <t xml:space="preserve">INT J TELEMED APPL</t>
  </si>
  <si>
    <t xml:space="preserve">Int. J. Telemed. Appl.</t>
  </si>
  <si>
    <t xml:space="preserve">APR 15</t>
  </si>
  <si>
    <t xml:space="preserve">10.1155/2022/4176982</t>
  </si>
  <si>
    <t xml:space="preserve">1V6DF</t>
  </si>
  <si>
    <t xml:space="preserve">WOS:000806177200001</t>
  </si>
  <si>
    <t xml:space="preserve">Alnussairi, MHD; Ibrahim, AA</t>
  </si>
  <si>
    <t xml:space="preserve">Alnussairi, Muqdad Hanoon Dawood; Ibrahim, Abdullahi Abdu</t>
  </si>
  <si>
    <t xml:space="preserve">Malaria parasite detection using deep learning algorithms based on (CNNs) technique</t>
  </si>
  <si>
    <t xml:space="preserve">Malaria is a life-threatening disease caused by female anopheles mosquito bites that are prevalent in many regions of the world. We introduce a deep convolutional neural network (CNN) to improve malaria diagnosis accuracy using patches segmented from microscopic images of red blood cell smears. We design the automatic parasite detection in blood from Giemsa-stained smears using three CNN pre-trained models such as VGG19, ResNet50, and MobileNetV2. As the CNNs are poorly performing for small datasets, we introduce the transfer learning technique. Transfer learning involves acquiring visual features from large general datasets and resolving issues using small datasets. We use a transfer learning approach to detect and classify malaria parasites with three CNN pre-trained models. We evaluated proposed CNN models experimentally using the National Institute of Health (NIH) Malaria Dataset. Our proposed model achieves an accuracy of almost 100%.</t>
  </si>
  <si>
    <t xml:space="preserve">Turkey, Iraq</t>
  </si>
  <si>
    <t xml:space="preserve">Medical datasets</t>
  </si>
  <si>
    <t xml:space="preserve">COMPUTERS &amp; ELECTRICAL ENGINEERING</t>
  </si>
  <si>
    <t xml:space="preserve">Deep learning; Convolutional neural network; Disease detection; Parasite detection; Pre -trained models; Malaria dataset</t>
  </si>
  <si>
    <t xml:space="preserve">[Alnussairi, Muqdad Hanoon Dawood; Ibrahim, Abdullahi Abdu] Altinbas Univ, Dept Elect &amp; Comp Engn, Istanbul, Turkey; [Alnussairi, Muqdad Hanoon Dawood] Southern Tech Univ, Amara Tech Inst, Basra, Iraq</t>
  </si>
  <si>
    <t xml:space="preserve">Altinbas University; Southern Technical University</t>
  </si>
  <si>
    <t xml:space="preserve">Alnussairi, MHD (corresponding author), Altinbas Univ, Dept Elect &amp; Comp Engn, Istanbul, Turkey.;Alnussairi, MHD (corresponding author), Southern Tech Univ, Amara Tech Inst, Basra, Iraq.</t>
  </si>
  <si>
    <t xml:space="preserve">muqdad.alnussairi@ogr.altinbas.edu; abdullahi.ibrahim@altinbas.edu.tr</t>
  </si>
  <si>
    <t xml:space="preserve">IBRAHIM, ABDULLAHI ABDU/ADB-8285-2022</t>
  </si>
  <si>
    <t xml:space="preserve">IBRAHIM, ABDULLAHI ABDU/0000-0001-9145-1939</t>
  </si>
  <si>
    <t xml:space="preserve">0045-7906</t>
  </si>
  <si>
    <t xml:space="preserve">1879-0755</t>
  </si>
  <si>
    <t xml:space="preserve">COMPUT ELECTR ENG</t>
  </si>
  <si>
    <t xml:space="preserve">Comput. Electr. Eng.</t>
  </si>
  <si>
    <t xml:space="preserve">10.1016/j.compeleceng.2022.108316</t>
  </si>
  <si>
    <t xml:space="preserve">SEP 2022</t>
  </si>
  <si>
    <t xml:space="preserve">Computer Science, Hardware &amp; Architecture; Computer Science, Interdisciplinary Applications; Engineering, Electrical &amp; Electronic</t>
  </si>
  <si>
    <t xml:space="preserve">5D0ZV</t>
  </si>
  <si>
    <t xml:space="preserve">WOS:000864680600006</t>
  </si>
  <si>
    <t xml:space="preserve">Thakur, N</t>
  </si>
  <si>
    <t xml:space="preserve">Thakur, Nirmalya</t>
  </si>
  <si>
    <t xml:space="preserve">MonkeyPox2022Tweets: A Large-Scale Twitter Dataset on the 2022 Monkeypox Outbreak, Findings from Analysis of Tweets, and Open Research Questions</t>
  </si>
  <si>
    <t xml:space="preserve">The mining of Tweets to develop datasets on recent issues, global challenges, pandemics, virus outbreaks, emerging technologies, and trending matters has been of significant interest to the scientific community in the recent past, as such datasets serve as a rich data resource for the investigation of different research questions. Furthermore, the virus outbreaks of the past, such as COVID-19, Ebola, Zika virus, and flu, just to name a few, were associated with various works related to the analysis of the multimodal components of Tweets to infer the different characteristics of conversations on Twitter related to these respective outbreaks. The ongoing outbreak of the monkeypox virus, declared a Global Public Health Emergency (GPHE) by the World Health Organization (WHO), has resulted in a surge of conversations about this outbreak on Twitter, which is resulting in the generation of tremendous amounts of Big Data. There has been no prior work in this field thus far that has focused on mining such conversations to develop a Twitter dataset. Furthermore, no prior work has focused on performing a comprehensive analysis of Tweets about this ongoing outbreak. To address these challenges, this work makes three scientific contributions to this field. First, it presents an open-access dataset of 556,427 Tweets about monkeypox that have been posted on Twitter since the first detected case of this outbreak. A comparative study is also presented that compares this dataset with 36 prior works in this field that focused on the development of Twitter datasets to further uphold the novelty, relevance, and usefulness of this dataset. Second, the paper reports the results of a comprehensive analysis of the Tweets of this dataset. This analysis presents several novel findings; for instance, out of all the 34 languages supported by Twitter, English has been the most used language to post Tweets about monkeypox, about 40,000 Tweets related to monkeypox were posted on the day WHO declared monkeypox as a GPHE, a total of 5470 distinct hashtags have been used on Twitter about this outbreak out of which #monkeypox is the most used hashtag, and Twitter for iPhone has been the leading source of Tweets about the outbreak. The sentiment analysis of the Tweets was also performed, and the results show that despite a lot of discussions, debate, opinions, information, and misinformation, on Twitter on various topics in this regard, such as monkeypox and the LGBTQI+ community, monkeypox and COVID-19, vaccines for monkeypox, etc., neutral sentiment was present in most of the Tweets. It was followed by negative and positive sentiments, respectively. Finally, to support research and development in this field, the paper presents a list of 50 open research questions related to the outbreak in the areas of Big Data, Data Mining, Natural Language Processing, and Machine Learning that may be investigated based on this dataset.</t>
  </si>
  <si>
    <t xml:space="preserve">Monkeypox</t>
  </si>
  <si>
    <t xml:space="preserve">INFECTIOUS DISEASE REPORTS</t>
  </si>
  <si>
    <t xml:space="preserve">monkeypox; twitter; dataset; tweets; social media; big data; data mining; data analysis; natural language processing; machine learning</t>
  </si>
  <si>
    <t xml:space="preserve">SENTIMENT ANALYSIS; CHATTER</t>
  </si>
  <si>
    <t xml:space="preserve">[Thakur, Nirmalya] Emory Univ, Dept Comp Sci, Atlanta, GA 30322 USA</t>
  </si>
  <si>
    <t xml:space="preserve">Emory University</t>
  </si>
  <si>
    <t xml:space="preserve">Thakur, N (corresponding author), Emory Univ, Dept Comp Sci, Atlanta, GA 30322 USA.</t>
  </si>
  <si>
    <t xml:space="preserve">nirmalya.thakur@emory.edu</t>
  </si>
  <si>
    <t xml:space="preserve">Thakur, Nirmalya/AAR-2748-2020</t>
  </si>
  <si>
    <t xml:space="preserve">Thakur, Nirmalya/0000-0002-3225-1870</t>
  </si>
  <si>
    <t xml:space="preserve">2036-7449</t>
  </si>
  <si>
    <t xml:space="preserve">INFECT DIS REP</t>
  </si>
  <si>
    <t xml:space="preserve">Infect. Dis. Rep.</t>
  </si>
  <si>
    <t xml:space="preserve">10.3390/idr14060087</t>
  </si>
  <si>
    <t xml:space="preserve">7E4WE</t>
  </si>
  <si>
    <t xml:space="preserve">WOS:000901169500001</t>
  </si>
  <si>
    <t xml:space="preserve">Kumar, A; Singh, SB; Satapathy, SC; Rout, M</t>
  </si>
  <si>
    <t xml:space="preserve">Kumar, Aayush; Singh, Sanat B.; Satapathy, Suresh Chandra; Rout, Minakhi</t>
  </si>
  <si>
    <t xml:space="preserve">MOSQUITO-NET: A deep learning based CADx system for malaria diagnosis along with model interpretation using GradCam and class activation maps</t>
  </si>
  <si>
    <t xml:space="preserve">Malaria is considered one of the deadliest diseases in today's world, which causes thousands of deaths per year. The parasites responsible for malaria are scientifically known as Plasmodium, which infects the red blood cells in human beings. Diagnosis of malaria requires identification and manual counting of parasitized cells in microscopic blood smears by medical practitioners. Its diagnostic accuracy is primarily affected by extensive scale screening due to the unavailability of resources. State of the art Computer-Aided Diagnostic techniques based on deep learning algorithms such as CNNs, which perform an end to end feature extraction and classification, have widely contributed to various image recognition tasks. In this paper, we evaluate the performance of Mosquito-Net, a custom made convnet to classify the infected and uninfected blood smears for malaria diagnosis. The CADx system can be deployed on IoT and mobile devices due to its fewer parameters and computation power, making it wildly preferable for diagnosis in remote and rural areas that lack medical facilities. Statistical analysis demonstrates that the proposed model achieves greater accuracy than the previous SOTA architectures for malaria diagnosis despite being 10 times lighter in parameters and inference time. Mosquito-Net achieves an AUC of 99.009% and an F-1 score of 96.7% on the validation set.</t>
  </si>
  <si>
    <t xml:space="preserve">- AUC = 99.00%
- F-1 score = 96.7%</t>
  </si>
  <si>
    <t xml:space="preserve">AUC; CNNs; computer‐ aided diagnostic techniques; F‐ 1 score; malaria; Mosquito‐ Net</t>
  </si>
  <si>
    <t xml:space="preserve">[Kumar, Aayush; Singh, Sanat B.; Satapathy, Suresh Chandra; Rout, Minakhi] Kalinga Inst Ind Technol, Sch Comp Engn, Bhubaneswar, Odisha, India</t>
  </si>
  <si>
    <t xml:space="preserve">Kalinga Institute of Industrial Technology (KIIT)</t>
  </si>
  <si>
    <t xml:space="preserve">Satapathy, SC (corresponding author), Kalinga Inst Ind Technol, Sch Comp Engn, Bhubaneswar, Odisha, India.</t>
  </si>
  <si>
    <t xml:space="preserve">sureshsatapathy@gmail.com</t>
  </si>
  <si>
    <t xml:space="preserve">Rout, Minakhi/AAD-1523-2020; Sataphaty, Suresh/AAW-9662-2020</t>
  </si>
  <si>
    <t xml:space="preserve">satapathy, suresh chandra/0000-0001-8236-4104; B Singh, Sanat/0000-0002-4573-8389; Kumar, Aayush/0000-0002-5597-5388</t>
  </si>
  <si>
    <t xml:space="preserve">e12695</t>
  </si>
  <si>
    <t xml:space="preserve">10.1111/exsy.12695</t>
  </si>
  <si>
    <t xml:space="preserve">MAR 2021</t>
  </si>
  <si>
    <t xml:space="preserve">2V1UZ</t>
  </si>
  <si>
    <t xml:space="preserve">WOS:000629643800001</t>
  </si>
  <si>
    <t xml:space="preserve">Meng, XJ; Ha, Y; Tian, JF</t>
  </si>
  <si>
    <t xml:space="preserve">Meng, Xiangjie; Ha, Yan; Tian, Junfeng</t>
  </si>
  <si>
    <t xml:space="preserve">Neighbor Correlated Graph Convolutional Network for multi-stage malaria parasite recognition</t>
  </si>
  <si>
    <t xml:space="preserve">Malaria is a serious and fatal infectious disease and early detection of the patient's infection severity can effectively curb the outbreak of this infectious disease. Deep learning has been verified to have excellent capability in image classification and disease diagnosis in many challenging tasks, such as cell detection and histological image classification. There exist many deep learning researches on malaria parasite recognition with successful applications, but they mainly focus on binary classification of single Ring stage and red blood cells. The most important disadvantage of them are ignoring other stages of malaria parasites, including Trophozoite, Gametocytes, and Schizont. In this paper, we are the first to study the multi-stage malaria parasite recognition problem, and propose a novel Neighbor Correlated Graph Convolutional Network (NCGCN) for this challenging task. Specifically, NCGCN consists of CNN (Convolutional Neural Network) feature learning, neighbor correlation mining, and graph representation modules. The method firstly extracts CNN representations from each parasite image and then establishes the neighbor correlations among CNN features by combining K-Nearest Neighbor (KNN) and epsilon-radius graph building algorithms, with operating Graph Convolutional Network (GCN) on CNN features and their correlations. To evaluate the performance of our NCGCN model, we compare it with several advanced existing methods, and our model can reach a high Accuracy of 94.17%, Precision of 94.84%, Recall of 94.17% and F1-score of 94.20%. The comparison with these outstanding methods verifies the NCGCN model has an excellent capability for recognizing multi-stage malaria parasites, which is higher than the compared methods at least 8.67% in Accuracy.</t>
  </si>
  <si>
    <t xml:space="preserve">- Neighbor Correlated Graph Convolutional Network (NCGNN)</t>
  </si>
  <si>
    <t xml:space="preserve">- Accuracy = 94.17%
- Precision = 94.84%
- Recall = 94.17%
- F1-Score = 94.20%</t>
  </si>
  <si>
    <t xml:space="preserve">Graph Convolutional Network; Malaria parasite recognition; Multi-stage; Neighbor correlation</t>
  </si>
  <si>
    <t xml:space="preserve">[Meng, Xiangjie; Ha, Yan] Hebei Univ, Sch Management, Baoding, Peoples R China; [Meng, Xiangjie] Hebei Univ, Coll Math &amp; Informat Sci, Baoding, Peoples R China; [Ha, Yan; Tian, Junfeng] Key Lab High Trusted Informat Syst Hebei Prov, Baoding, Peoples R China; [Tian, Junfeng] Hebei Univ, Sch Cyber Secur &amp; Comp, Baoding, Peoples R China</t>
  </si>
  <si>
    <t xml:space="preserve">Hebei University; Hebei University; Hebei University</t>
  </si>
  <si>
    <t xml:space="preserve">Ha, Y (corresponding author), Hebei Univ, Sch Management, Baoding, Peoples R China.;Ha, Y (corresponding author), Key Lab High Trusted Informat Syst Hebei Prov, Baoding, Peoples R China.</t>
  </si>
  <si>
    <t xml:space="preserve">hayanhbu@163.com</t>
  </si>
  <si>
    <t xml:space="preserve">Tian, Junfeng/AGY-1359-2022</t>
  </si>
  <si>
    <t xml:space="preserve">10.1007/s11042-022-12098-6</t>
  </si>
  <si>
    <t xml:space="preserve">0C2VW</t>
  </si>
  <si>
    <t xml:space="preserve">WOS:000757200200008</t>
  </si>
  <si>
    <t xml:space="preserve">Ergu, YA</t>
  </si>
  <si>
    <t xml:space="preserve">Ergu, Yared Abera</t>
  </si>
  <si>
    <t xml:space="preserve">Performance evaluation of artificial neural networks for feature extraction from dengue fever</t>
  </si>
  <si>
    <t xml:space="preserve">Dengue fever modelling in endemic locations is critical to reducing outbreaks and improving vector-borne illness control. Early projections of dengue are a crucial tool for disease control because of the unavailability of treatments and universal vaccination. Neural networks have made significant contributions to public health in a variety of ways. In this paper, we developed a deep learning modelling using random forest (RF) that helps to extract the features of the dengue fever from the text datasets. The proposed modelling involves the data collection, pre-processing of the input texts, and feature extraction. The extracted features are studied to test how well the feature extraction using RF is effective on dengue datasets. The simulation result shows that the proposed method achieves higher degree of accuracy that offers an improvement of more than 12% than the existing methods in extracting the features from the input datasets than the other feature extraction methods that have laid a foundation for Artificial Neural Network (ANN) model efficacy test. Further, the study reduces the errors associated with feature extraction that is 10% lesser than the other existing methods and this shows the efficacy of the model.</t>
  </si>
  <si>
    <t xml:space="preserve">COGENT ENGINEERING</t>
  </si>
  <si>
    <t xml:space="preserve">TAYLOR &amp; FRANCIS AS</t>
  </si>
  <si>
    <t xml:space="preserve">feature extraction; dengue fever; random forest; artificial neural networks</t>
  </si>
  <si>
    <t xml:space="preserve">[Ergu, Yared Abera] Ambo Univ, Dept Comp Sci, Woliso Campus, Oromia, Ethiopia</t>
  </si>
  <si>
    <t xml:space="preserve">Ambo University</t>
  </si>
  <si>
    <t xml:space="preserve">Ergu, YA (corresponding author), Ambo Univ, Dept Comp Sci, Woliso Campus, Oromia, Ethiopia.</t>
  </si>
  <si>
    <t xml:space="preserve">yared.abera@ambou.edu.et</t>
  </si>
  <si>
    <t xml:space="preserve">Ergu, Yared/LEM-9489-2024</t>
  </si>
  <si>
    <t xml:space="preserve">Abera Ergu, Yared/0000-0002-1807-7909</t>
  </si>
  <si>
    <t xml:space="preserve">Ambo University, Woliso Campus, Ethiopia; Ambo University Woliso Campus School of Technology</t>
  </si>
  <si>
    <t xml:space="preserve">The authors appreciate the supports from Ambo University, Woliso Campus, Ethiopia. The author thanks Ambo University Woliso Campus School of Technology and Informatics for providing assistance to complete this work.</t>
  </si>
  <si>
    <t xml:space="preserve">OSLO</t>
  </si>
  <si>
    <t xml:space="preserve">KARL JOHANS GATE 5, NO-0154 OSLO, NORWAY</t>
  </si>
  <si>
    <t xml:space="preserve">2331-1916</t>
  </si>
  <si>
    <t xml:space="preserve">COGENT ENG</t>
  </si>
  <si>
    <t xml:space="preserve">Cogent Eng.</t>
  </si>
  <si>
    <t xml:space="preserve">10.1080/23311916.2022.2129364</t>
  </si>
  <si>
    <t xml:space="preserve">5J8UO</t>
  </si>
  <si>
    <t xml:space="preserve">WOS:000869312900001</t>
  </si>
  <si>
    <t xml:space="preserve">Meulah, B; Oyibo, P; Bengtson, M; Agbana, T; Lontchi, RAL; Adegnika, AA; Oyibo, W; Hokke, CH; Diehl, JC; van Lieshout, L</t>
  </si>
  <si>
    <t xml:space="preserve">Meulah, Brice; Oyibo, Prosper; Bengtson, Michel; Agbana, Temitope; Lontchi, Romeo Aime Laciong; Adegnika, Ayola Akim; Oyibo, Wellington; Hokke, Cornelis Hendrik; Diehl, Jan Carel; van Lieshout, Lisette</t>
  </si>
  <si>
    <t xml:space="preserve">Performance Evaluation of the Schistoscope 5.0 for (Semi-)automated Digital Detection and Quantification of Schistosoma haematobium Eggs in Urine: A Field-based Study in Nigeria</t>
  </si>
  <si>
    <t xml:space="preserve">Conventional microscopy is the standard procedure for the diagnosis of schistosomiasis, despite its limited sensitivity, reliance on skilled personnel, and the fact that it is error prone. Here, we report the performance of the innovative (semi-)automated Schistoscope 5.0 for optical digital detection and quantification of Schistosoma haematobium eggs in urine, using conventional microscopy as the reference standard. At baseline, 487 participants in a rural setting in Nigeria were assessed, of which 166 (34.1%) tested S. haematobium positive by conventional microscopy. Captured images from the Schistoscope 5.0 were analyzed manually (semiautomation) and by an artificial intelligence (AI) algorithm (full automation). Semi- and fully automated digital microscopy showed comparable sensitivities of 80.1% (95% confidence interval [CI]: 73.2-86.0) and 87.3% (95% CI: 81.3-92.0), but a significant difference in specificity of 95.3% (95% CI: 92.4-97.4) and 48.9% (95% CI: 43.3-55.0), respectively. Overall, estimated egg counts of semi- and fully automated digital microscopy correlated significantly with the egg counts of conventional microscopy (r50.90 and r50.80, respectively, P, 0.001), although the fully automated procedure generally underestimated the higher egg counts. In 38 egg positive cases, an additional urine sample was examined 10 days after praziquantel treatment, showing a similar cure rate and egg reduction rate when comparing conventional microscopy with semiautomated digital microscopy. In this first extensive field evaluation, we found the semiautomated Schistoscope 5.0 to be a promising tool for the detection and monitoring of S. haematobium infection, although further improvement of the AI algorithm for full automation is required.</t>
  </si>
  <si>
    <t xml:space="preserve">Netherlands, Gabon, Nigeria, Germany</t>
  </si>
  <si>
    <t xml:space="preserve">MOBILE PHONE; MICROSCOPE; INFECTION; DIAGNOSIS</t>
  </si>
  <si>
    <t xml:space="preserve">[Meulah, Brice; Bengtson, Michel; Adegnika, Ayola Akim; Hokke, Cornelis Hendrik; van Lieshout, Lisette] Leiden Univ, Dept Parasitol, Med Ctr, Leiden, Netherlands; [Diehl, Jan Carel] Delft Univ Technol, Ind Design Engn, Delft, Netherlands; [Oyibo, Prosper; Agbana, Temitope] Delft Univ Technol, Mech Maritime &amp; Mat Engn, Delft, Netherlands; [Meulah, Brice; Lontchi, Romeo Aime Laciong; Adegnika, Ayola Akim] Ctr Recherches Med Lambarene, CERMEL, Lambaren e, Gabon; [Oyibo, Prosper; Oyibo, Wellington] Univ Lagos, Ctr Malaria Diag, ANDI Ctr Excellence Malaria Diag, NTD Res Training &amp; Policy, Lagos, Nigeria; [Adegnika, Ayola Akim] Univ Tubingen, Inst Tropenmed, Tubingen, Germany; [Adegnika, Ayola Akim] German Ctr Infect Res DZIF, Partner site, Tubingen, Germany</t>
  </si>
  <si>
    <t xml:space="preserve">Leiden University - Excl LUMC; Leiden University; Leiden University Medical Center (LUMC); Delft University of Technology; Delft University of Technology; University of Lagos; Eberhard Karls University of Tubingen; German Center for Infection Research</t>
  </si>
  <si>
    <t xml:space="preserve">Meulah, B (corresponding author), Leiden Univ, Med Ctr, Dept Parasitol, POB 9600, NL-2333 ZA Leiden, Netherlands.</t>
  </si>
  <si>
    <t xml:space="preserve">ADEGNIKA, Ayola/AAK-7307-2020; Hokke, Cornelis/AAQ-4712-2021; Diehl, Jan Carel/L-6621-2013</t>
  </si>
  <si>
    <t xml:space="preserve">Oyibo, Prosper/0000-0003-4316-0883; Hokke, Cornelis/0000-0003-3545-7804; Diehl, Jan Carel/0000-0002-4007-2282; Meulah, Brice/0000-0003-2068-1563; Adegnika, Ayola Akim/0000-0003-3197-5946</t>
  </si>
  <si>
    <t xml:space="preserve">this work was funded by NWO-WOTRO Science for Global Development program, grant no. W 07.30318.009 (INSPiRED-INclusive diagnoStics for Poverty REIated parasitic Diseases in Nigeria and Gabon).</t>
  </si>
  <si>
    <t xml:space="preserve">10.4269/ajtmh.22-0276</t>
  </si>
  <si>
    <t xml:space="preserve">O5ET7</t>
  </si>
  <si>
    <t xml:space="preserve">WOS:001044048600010</t>
  </si>
  <si>
    <t xml:space="preserve">Kamana, E; Zhao, JJ; Bai, D</t>
  </si>
  <si>
    <t xml:space="preserve">Kamana, Eric; Zhao, Jijun; Bai, Di</t>
  </si>
  <si>
    <t xml:space="preserve">Predicting the impact of climate change on the re-emergence of malaria cases in China using LSTMSeq2Seq deep learning model: a modelling and prediction analysis study</t>
  </si>
  <si>
    <t xml:space="preserve">Objectives Malaria is a vector-borne disease that remains a serious public health problem due to its climatic sensitivity. Accurate prediction of malaria re-emergence is very important in taking corresponding effective measures. This study aims to investigate the impact of climatic factors on the re-emergence of malaria in mainland China. Design A modelling study. Setting and participants Monthly malaria cases for four Plasmodium species (P. falciparum, P. malariae, P. vivax and other Plasmodium) and monthly climate data were collected for 31 provinces; malaria cases from 2004 to 2016 were obtained from the Chinese centre for disease control and prevention and climate parameters from China meteorological data service centre. We conducted analyses at the aggregate level, and there was no involvement of confidential information. Primary and secondary outcome measures The long short-term memory sequence-to-sequence (LSTMSeq2Seq) deep neural network model was used to predict the re-emergence of malaria cases from 2004 to 2016, based on the influence of climatic factors. We trained and tested the extreme gradient boosting (XGBoost), gated recurrent unit, LSTM, LSTMSeq2Seq models using monthly malaria cases and corresponding meteorological data in 31 provinces of China. Then we compared the predictive performance of models using root mean squared error (RMSE) and mean absolute error evaluation measures. Results The proposed LSTMSeq2Seq model reduced the mean RMSE of the predictions by 19.05% to 33.93%, 18.4% to 33.59%, 17.6% to 26.67% and 13.28% to 21.34%, for P. falciparum, P. vivax, P. malariae, and other plasmodia, respectively, as compared with other candidate models. The LSTMSeq2Seq model achieved an average prediction accuracy of 87.3%. Conclusions The LSTMSeq2Seq model significantly improved the prediction of malaria re-emergence based on the influence of climatic factors. Therefore, the LSTMSeq2Seq model can be effectively applied in the malaria re-emergence prediction.</t>
  </si>
  <si>
    <t xml:space="preserve">BMJ OPEN</t>
  </si>
  <si>
    <t xml:space="preserve">infectious diseases; public health; information technology; infection control; epidemiology</t>
  </si>
  <si>
    <t xml:space="preserve">METEOROLOGICAL FACTORS; TRANSMISSION</t>
  </si>
  <si>
    <t xml:space="preserve">[Kamana, Eric; Zhao, Jijun; Bai, Di] Qingdao Univ, Sch Automat, Complex Sci Inst, Qingdao, Peoples R China</t>
  </si>
  <si>
    <t xml:space="preserve">Qingdao University</t>
  </si>
  <si>
    <t xml:space="preserve">Zhao, JJ (corresponding author), Qingdao Univ, Sch Automat, Complex Sci Inst, Qingdao, Peoples R China.</t>
  </si>
  <si>
    <t xml:space="preserve">jjzhao@qdu.edu.cn</t>
  </si>
  <si>
    <t xml:space="preserve">Shandong Provincial Natural Science Foundation, China [ZR2018MH037]</t>
  </si>
  <si>
    <t xml:space="preserve">Shandong Provincial Natural Science Foundation, China(Natural Science Foundation of Shandong Province)</t>
  </si>
  <si>
    <t xml:space="preserve">This work was supported by the Shandong Provincial Natural Science Foundation, China (ZR2018MH037).</t>
  </si>
  <si>
    <t xml:space="preserve">2044-6055</t>
  </si>
  <si>
    <t xml:space="preserve">BMJ Open</t>
  </si>
  <si>
    <t xml:space="preserve">e053922</t>
  </si>
  <si>
    <t xml:space="preserve">10.1136/bmjopen-2021-053922</t>
  </si>
  <si>
    <t xml:space="preserve">0F8UR</t>
  </si>
  <si>
    <t xml:space="preserve">WOS:000777632000014</t>
  </si>
  <si>
    <t xml:space="preserve">Kwofie, SK; Agyenkwa-Mawuli, K; Broni, E; Miller, WA III; Wilson, MD</t>
  </si>
  <si>
    <t xml:space="preserve">Kwofie, Samuel K.; Agyenkwa-Mawuli, Kwasi; Broni, Emmanuel; Miller III, Whelton A.; Wilson, Michael D.</t>
  </si>
  <si>
    <t xml:space="preserve">Prediction of antischistosomal small molecules using machine learning in the era of big data</t>
  </si>
  <si>
    <t xml:space="preserve">Schistosomiasis is a neglected tropical disease caused by helminths of the Schistosoma genus. Despite its high morbidity and socio-economic burden, therapeutics are just a handful with praziquantel being the main drug. Praziquantel is an old drug registered for human use in 1982 and has since been administered en masse for chemotherapy, risking the development of resistance, thus the need for new drugs with different mechanisms of action. This review examines the use of machine learning (ML) in this era of big data to aid in the prediction of novel antischistosomal molecules. It first discusses the challenges of drug discovery in schistosomiasis. Explanations are then offered for big data, its characteristics and then, some open databases where large biochemical data on schistosomiasis can be obtained for ML model development are examined. The concepts of artificial intelligence, ML, and deep learning and their drug applications are explored in schistosomiasis. The use of binary classification in predicting antischistosomal compounds and some algorithms that have been applied including random forest and naive Bayesian are discussed. For this review, some deep learning algorithms (deep neural networks) are proposed as novel algorithms for predicting antischistosomal molecules via binary classification. Databases specifically designed for housing bioactivity data on antischistosomal molecules enriched with functional genomic datasets and ontologies are thus urgently needed for developing predictive ML models.</t>
  </si>
  <si>
    <t xml:space="preserve">Ghana, USA</t>
  </si>
  <si>
    <t xml:space="preserve">Machine learning; Deep learning; Artificial intelligence; Big data; Drug discovery; Schistosomiasis; Classifiers; Binary classification</t>
  </si>
  <si>
    <t xml:space="preserve">DRUG DISCOVERY; ARTIFICIAL-INTELLIGENCE; DATA-DRIVEN; SCHISTOSOMIASIS; CHALLENGES; CHEMOINFORMATICS; AGENTS</t>
  </si>
  <si>
    <t xml:space="preserve">[Kwofie, Samuel K.; Agyenkwa-Mawuli, Kwasi; Broni, Emmanuel] Univ Ghana, Coll Basic &amp; Appl Sci, Sch Engn Sci, Dept Biomed Engn, POB LG 77, Legon, Accra, Ghana; [Kwofie, Samuel K.; Agyenkwa-Mawuli, Kwasi] Univ Ghana, West African Ctr Cell Biol Infect Pathogens, Dept Biochem Cell &amp; Mol Biol, POB LG 54, Legon, Accra, Ghana; [Miller III, Whelton A.; Wilson, Michael D.] Loyola Univ Med Ctr, Dept Med, Maywood, IL 60153 USA; [Miller III, Whelton A.] Loyola Univ Med Ctr, Dept Mol Pharmacol &amp; Neurosci, Maywood, IL 60153 USA; [Miller III, Whelton A.] Univ Penn, Sch Engn &amp; Appl Sci, Dept Chem &amp; Biomol Engn, Philadelphia, PA 19104 USA; [Broni, Emmanuel; Wilson, Michael D.] Univ Ghana, Noguchi Mem Inst Med Res, Dept Parasitol, POB LG 581, Legon, Accra, Ghana</t>
  </si>
  <si>
    <t xml:space="preserve">University of Ghana; University of Ghana; Loyola University Chicago; Loyola University Chicago; University of Pennsylvania; University of Ghana</t>
  </si>
  <si>
    <t xml:space="preserve">Kwofie, SK (corresponding author), Univ Ghana, Coll Basic &amp; Appl Sci, Sch Engn Sci, Dept Biomed Engn, POB LG 77, Legon, Accra, Ghana.;Kwofie, SK (corresponding author), Univ Ghana, West African Ctr Cell Biol Infect Pathogens, Dept Biochem Cell &amp; Mol Biol, POB LG 54, Legon, Accra, Ghana.</t>
  </si>
  <si>
    <t xml:space="preserve">Miller, Whelton/HKN-5954-2023; Broni, Emmanuel/LZF-3763-2025; Broni, Emmanuel/AAD-3377-2021</t>
  </si>
  <si>
    <t xml:space="preserve">Miller, Whelton/0000-0003-3822-7940; Broni, Emmanuel/0000-0002-6793-7530; Kwofie, Samuel Kojo/0000-0002-1093-1517</t>
  </si>
  <si>
    <t xml:space="preserve">10.1007/s11030-021-10288-2</t>
  </si>
  <si>
    <t xml:space="preserve">AUG 2021</t>
  </si>
  <si>
    <t xml:space="preserve">WOS:000681529300002</t>
  </si>
  <si>
    <t xml:space="preserve">Barboza, MFX; Monteiro, KHD; Rodrigues, IR; Santos, GL; Monteiro, WM; Figueira, EAG; Sampaio, VD; Lynn, T; Endo, PT</t>
  </si>
  <si>
    <t xml:space="preserve">Xavier Barboza, Matheus Felix; de Carvalho Monteiro, Kayo Henrique; Rodrigues, Iago Richard; Santos, Guto Leoni; Monteiro, Wuelton Marcelo; Guimaraes Figueira, Elder Augusto; Sampaio, Vanderson de Souza; Lynn, Theo; Endo, Patricia Takako</t>
  </si>
  <si>
    <t xml:space="preserve">Prediction of malaria using deep learning models: A case study on city clusters in the state of Amazonas, Brazil, from 2003 to 2018</t>
  </si>
  <si>
    <t xml:space="preserve">Background: Malaria is curable. Nonetheless, over 229 million cases of malaria were recorded in 2019, along with 409,000 deaths. Although over 42 million Brazilians are at risk of contracting malaria, 99% percent of all malaria cases in Brazil are located in or around the Amazon rainforest. Despite declining cases and deaths, malaria remains a major public health issue in Brazil. Accurate spatiotemporal prediction of malaria propagation may enable improved resource allocation to support efforts to eradicate the disease. Methods: In response to calls for novel research on malaria elimination strategies that suit local conditions, in this study, we propose machine learning (ML) and deep learning (DL) models to predict the probability of malaria cases in the state of Amazonas. Using a dataset of approximately 6 million records (January 2003 to December 2018), we applied k-means clustering to group cities based on their similarity of malaria incidence. We evaluated random forest, long-short term memory (LSTM) and dated recurrent unit (GRU) models and compared their performance. Results: The LSTM architecture achieved better performance in clusters with less variability in the number of cases, whereas the GRU presents better results in clusters with high variability. Although Diebold-Mariano testing suggested that both the LSTM and GRU performed comparably, GRU can be trained significantly faster, which could prove advantageous in practice. Conclusions: All models showed satisfactory accuracy and strong performance in predicting new cases of malaria, and each could serve as a supplemental tool to support regional policies and strategies.</t>
  </si>
  <si>
    <t xml:space="preserve">Brasil, Ireland</t>
  </si>
  <si>
    <t xml:space="preserve">Malaria; Machine learning; Deep learning; Prediction; LSTM; GRU</t>
  </si>
  <si>
    <t xml:space="preserve">ABSOLUTE ERROR MAE; ERADICATION; NETWORKS; BURDEN; RMSE</t>
  </si>
  <si>
    <t xml:space="preserve">[Xavier Barboza, Matheus Felix; de Carvalho Monteiro, Kayo Henrique; Endo, Patricia Takako] Univ Pernambuco, Programa Posgrad Engn Comp, Recife, PE, Brazil; [Rodrigues, Iago Richard; Santos, Guto Leoni] Univ Fed Pernambuco, Ctr Informat, Recife, PE, Brazil; [Monteiro, Wuelton Marcelo] Univ Estado Amazonas, Manaus, Amazonas, Brazil; [Monteiro, Wuelton Marcelo; Sampaio, Vanderson de Souza] Fundacao Med Trop Doutor Heitor Vieira Dourado, Manaus, Amazonas, Brazil; [Guimaraes Figueira, Elder Augusto; Sampaio, Vanderson de Souza] Fundacao Vigilancia Saude Rosemary Costa Pinto, Manaus, Amazonas, Brazil; [Guimaraes Figueira, Elder Augusto] Inst Oswaldo Cruz, Programa Posgrad Stricto Sensu Med Trop, Rio De Janeiro, RJ, Brazil; [Lynn, Theo] Dublin City Univ, Dublin, Ireland; [Sampaio, Vanderson de Souza] Inst Todos Pela Saude, Sao Paulo, SP, Brazil</t>
  </si>
  <si>
    <t xml:space="preserve">Universidade de Pernambuco (UPE); Universidade Federal de Pernambuco; Universidade do Estado do Amazonas; Fundacao Oswaldo Cruz; Dublin City University</t>
  </si>
  <si>
    <t xml:space="preserve">Endo, PT (corresponding author), Univ Pernambuco, Programa Posgrad Engn Comp, Recife, PE, Brazil.</t>
  </si>
  <si>
    <t xml:space="preserve">Lynn, Theo/AAE-8832-2020; Rodrigues Silva, Iago Richard/AAX-3739-2021; Figueira, Elder/IYJ-4873-2023; Monteiro, Wuelton/F-3463-2015; Sampaio, Vanderson/M-4337-2015</t>
  </si>
  <si>
    <t xml:space="preserve">Monteiro, Wuelton/0000-0002-0848-1940; Monteiro, Kayo Henrique de Carvalho/0000-0002-7153-9906; Sampaio, Vanderson/0000-0001-7307-8851; Rodrigues Silva, Iago Richard/0000-0002-8242-9059; Lynn, Theo/0000-0001-9284-7580</t>
  </si>
  <si>
    <t xml:space="preserve">Fundacao de Amparo a Ciencia e Tecnologia de Pernambuco (FACEPE) [IBPG-0059-1.03/19]; Conselho Nacional de Desenvolvimento Cientifico e Tecnologico (CNPq); Irish Institute of Digital Business (dotLAB)</t>
  </si>
  <si>
    <t xml:space="preserve">Fundacao de Amparo a Ciencia e Tecnologia de Pernambuco (FACEPE)(Fundacao de Amparo a Ciencia e Tecnologia do Estado de Pernambuco (FACEPE)); Conselho Nacional de Desenvolvimento Cientifico e Tecnologico (CNPq)(Conselho Nacional de Desenvolvimento Cientifico e Tecnologico (CNPQ)); Irish Institute of Digital Business (dotLAB)</t>
  </si>
  <si>
    <t xml:space="preserve">The authors would like to thank the Fundacao de Amparo a Ciencia e Tecnologia de Pernambuco (FACEPE) for funding this work through the grant IBPG-0059-1.03/19, the Conselho Nacional de Desenvolvimento Cientifico e Tecnologico (CNPq), and the Irish Institute of Digital Business (dotLAB). REFERENCES</t>
  </si>
  <si>
    <t xml:space="preserve">e0420-2021</t>
  </si>
  <si>
    <t xml:space="preserve">10.1590/0037-8682-0420-2021</t>
  </si>
  <si>
    <t xml:space="preserve">6B7QF</t>
  </si>
  <si>
    <t xml:space="preserve">Green Accepted, Green Published</t>
  </si>
  <si>
    <t xml:space="preserve">WOS:000881522900009</t>
  </si>
  <si>
    <t xml:space="preserve">Mughal, H; Bell, EC; Mughal, K; Derbyshire, ER; Freundlich, JS</t>
  </si>
  <si>
    <t xml:space="preserve">Mughal, Haseeb; Bell, Elise C.; Mughal, Khadija; Derbyshire, Emily R.; Freundlich, Joel S.</t>
  </si>
  <si>
    <t xml:space="preserve">Random Forest Model Predictions Afford Dual-Stage Antimalarial Agents</t>
  </si>
  <si>
    <t xml:space="preserve">The need for novel antimalarials is apparent given the continuing disease burden worldwide, despite significant drug discovery advances from the bench to the bedside. In particular, small-molecule agents with potent efficacy against both the liver and blood stages of Plasmodium parasite infection are critical for clinical settings as they would simultaneously prevent and treat malaria with a reduced selection pressure for resistance. While experimental screens for such dual-stage inhibitors have been conducted, the time and cost of these efforts limit their scope. Here, we have focused on leveraging machine learning approaches to discover novel antimalarials with such properties. A random forest modeling approach was taken to predict small molecules with in vitro efficacy versus liver-stage Plasmodium berghei parasites and a lack of human liver cell cytotoxicity. Empirical validation of the model was achieved with the realization of hits with liver-stage efficacy after prospective scoring of a commercial diversity library and consideration of structural diversity. A subset of these hits also demonstrated promising blood-stage Plasmodium falciparum efficacy. These 18 validated dual-stage antimalarials represent novel starting points for drug discovery and mechanism of action studies with significant potential for seeding a new generation of therapies.</t>
  </si>
  <si>
    <t xml:space="preserve">Random Forest</t>
  </si>
  <si>
    <t xml:space="preserve">random forest; Plasmodium spp; dual-stage; antimalarial</t>
  </si>
  <si>
    <t xml:space="preserve">PLASMODIUM LIVER STAGES; MALARIA PARASITES; DISCOVERY; ASSAY; INHIBITORS; THOUSANDS; DRUGS</t>
  </si>
  <si>
    <t xml:space="preserve">[Mughal, Haseeb; Mughal, Khadija; Freundlich, Joel S.] Rutgers State Univ, New Jersey Med Sch, Dept Pharmacol Physiol &amp; Neurosci, Newark, NJ 07103 USA; [Bell, Elise C.; Derbyshire, Emily R.] Duke Univ, Dept Chem, Durham, NC 27708 USA; [Derbyshire, Emily R.] Duke Univ, Dept Mol Genet &amp; Microbiol, Med Ctr, Durham, NC 27710 USA; [Freundlich, Joel S.] Rutgers State Univ, Ctr Emerging &amp; Reemerging Pathogens, New Jersey Med Sch, Dept Med, Newark, NJ 07103 USA</t>
  </si>
  <si>
    <t xml:space="preserve">Rutgers University System; Rutgers University New Brunswick; Rutgers University Biomedical &amp; Health Sciences; Rutgers University Newark; Duke University; Duke University; Rutgers University System; Rutgers University New Brunswick; Rutgers University Biomedical &amp; Health Sciences; Rutgers University Newark</t>
  </si>
  <si>
    <t xml:space="preserve">Freundlich, JS (corresponding author), Rutgers State Univ, New Jersey Med Sch, Dept Pharmacol Physiol &amp; Neurosci, Newark, NJ 07103 USA.;Derbyshire, ER (corresponding author), Duke Univ, Dept Chem, Durham, NC 27708 USA.;Derbyshire, ER (corresponding author), Duke Univ, Dept Mol Genet &amp; Microbiol, Med Ctr, Durham, NC 27710 USA.;Freundlich, JS (corresponding author), Rutgers State Univ, Ctr Emerging &amp; Reemerging Pathogens, New Jersey Med Sch, Dept Med, Newark, NJ 07103 USA.</t>
  </si>
  <si>
    <t xml:space="preserve">emily.derbyshire@duke.edu; freundjs@rutgers.edu</t>
  </si>
  <si>
    <t xml:space="preserve">Derbyshire, Emily/ACQ-6733-2022</t>
  </si>
  <si>
    <t xml:space="preserve">US National Institutes of Health [U19AI109713, 1DP2AI138239]</t>
  </si>
  <si>
    <t xml:space="preserve">US National Institutes of Health(United States Department of Health &amp; Human ServicesNational Institutes of Health (NIH) - USA)</t>
  </si>
  <si>
    <t xml:space="preserve">? ACKNOWLEDGMENTS This work was supported by the US National Institutes of Health grants U19AI109713 (J.S.F.) and 1DP2AI138239 (E.R.D) .</t>
  </si>
  <si>
    <t xml:space="preserve">AUG 12</t>
  </si>
  <si>
    <t xml:space="preserve">10.1021/acsinfecdis.2c00189</t>
  </si>
  <si>
    <t xml:space="preserve">3U9AP</t>
  </si>
  <si>
    <t xml:space="preserve">WOS:000834209900001</t>
  </si>
  <si>
    <t xml:space="preserve">Musyoka, WD; Kalambuka, AH; Alix, DM; Amiga, KK</t>
  </si>
  <si>
    <t xml:space="preserve">Musyoka, Wayua Deborah; Kalambuka, Angeyo Hudson; Alix, Dehayem-Massop; Amiga, Kaduki Kenneth</t>
  </si>
  <si>
    <t xml:space="preserve">Rapid diagnosis of malaria by chemometric peak-free LIBS of trace biometals in blood</t>
  </si>
  <si>
    <t xml:space="preserve">Laser Induced Breakdown Spectroscopy (LIBS) trace atomic species of diseased biofluids are subtle (peak-free) in complex spectra. Trace analysis requires a considerable push in analytical strategy. Enabling LIBS with chemometrics can help identify, extract, analyze and interpret the trace species' spectral signatures to give an insight on the biophysiological status of the bodies from which the biofluids originate. We report on the trace quantitative performance of peak-free LIBS enabled by chemometrics modelling using principal components analysis (PCA) for direct artificial neural network (ANN)-based analysis of Cu, Zn, Fe and Mg in Plasmodium falciparum-infected blood in the context of rapid spectral diagnosis of malaria utilizing the biometals as the disease biomarkers. Only one standard is required in this method-to delineate the analyte spectral regions (feature selection) and to test for accuracy. Based on the alteration of the biometal levels and their multivariate and correlational patterns in cultured blood, peripheral finger blood drops dried directly on Nucleopore membrane filters was accurately discriminated as either malaria-infected or healthy. Further the morphological evolution of Plasmodium was accurately predicted using spectral features of the biometals wherein high negative correlations between Fe (- 0.775) and Zn (- 0.881) and high positive correlations between Cu (0.892) and Mg (0.805) with parasitemia were observed. During the first 96 h of malaria infection Cu increases profoundly (from 328 to 1999 ppb) while Fe, Zn and Mg decrease (from 1206 to 674 ppb), (from 1523 to 499 ppb) and (from 23,880 to 19,573 ppb) respectively. Compared with healthy, Plasmodium falciparum-infected blood has high Cu but low levels of Fe, Zn and Mg. Cu and Zn are highly (&gt;= 0.9) positively correlated while Fe and Cu as well as Zn and Cu are highly (&gt;= 0.9) negatively correlated. Chemometric peak-free LIBS showed the potential for direct rapid malaria diagnostics in blood based on the levels, alterations and multivariate associations of the trace biometals which are used as biomarkers of the disease.</t>
  </si>
  <si>
    <t xml:space="preserve">ARTIFICIAL NEURAL-NETWORKS; INFECTED ERYTHROCYTES; FALCIPARUM-MALARIA; IRON-DEFICIENCY; FILTER-PAPER; SPOTS; SPECTROSCOPY; CHILDREN; DISEASE; PLASMA</t>
  </si>
  <si>
    <t xml:space="preserve">[Musyoka, Wayua Deborah; Kalambuka, Angeyo Hudson; Alix, Dehayem-Massop; Amiga, Kaduki Kenneth] Univ Nairobi, Fac Sci &amp; Technol, Dept Phys, POB 30197-00100, Nairobi, Kenya</t>
  </si>
  <si>
    <t xml:space="preserve">University of Nairobi</t>
  </si>
  <si>
    <t xml:space="preserve">Kalambuka, AH (corresponding author), Univ Nairobi, Fac Sci &amp; Technol, Dept Phys, POB 30197-00100, Nairobi, Kenya.</t>
  </si>
  <si>
    <t xml:space="preserve">hkalambuka@uonbi.ac.ke</t>
  </si>
  <si>
    <t xml:space="preserve">Swedish International Development Cooperation Agency (SIDA), through the International Science Programme (ISP), Uppsala University [KEN: 04]</t>
  </si>
  <si>
    <t xml:space="preserve">Swedish International Development Cooperation Agency (SIDA), through the International Science Programme (ISP), Uppsala University</t>
  </si>
  <si>
    <t xml:space="preserve">The authors acknowledge the Swedish International Development Cooperation Agency (SIDA), through the International Science Programme (ISP), Uppsala University, for financial support in the form of a Research Grant KEN: 04 that was used to purchase the LIBS system.</t>
  </si>
  <si>
    <t xml:space="preserve">NOV 23</t>
  </si>
  <si>
    <t xml:space="preserve">10.1038/s41598-022-22990-8</t>
  </si>
  <si>
    <t xml:space="preserve">6L3AL</t>
  </si>
  <si>
    <t xml:space="preserve">WOS:000888059000001</t>
  </si>
  <si>
    <t xml:space="preserve">Barbieri, RR; Xu, YX; Setian, L; Souza-Santos, PT; Trivedi, A; Cristofono, J; Bhering, R; White, K; Sales, AM; Miller, G; Nery, JAC; Sharman, M; Bumann, R; Zhang, S; Goldust, M; Sarno, EN; Mirza, F; Cavaliero, A; Timmer, S; Bonfiglioli, E; Smith, C; Scollard, D; Navarini, AA; Aerts, A; Ferres, JL; Moraes, MO</t>
  </si>
  <si>
    <t xml:space="preserve">Barbieri, Raquel R.; Xu, Yixi; Setian, Lucy; Souza-Santos, Paulo Thiago; Trivedi, Anusua; Cristofono, Jim; Bhering, Ricardo; White, Kevin; Sales, Anna M.; Miller, Geralyn; Nery, Jose Augusto C.; Sharman, Michael; Bumann, Richard; Zhang, Shun; Goldust, Mohamad; Sarno, Euzenir N.; Mirza, Fareed; Cavaliero, Arielle; Timmer, Sander; Bonfiglioli, Elena; Smith, Cairns; Scollard, David; Navarini, Alexander A.; Aerts, Ann; Ferres, Juan Lavista; Moraes, Milton O.</t>
  </si>
  <si>
    <t xml:space="preserve">Reimagining leprosy elimination with AI analysis of a combination of skin lesion images with demographic and clinical data</t>
  </si>
  <si>
    <t xml:space="preserve">Background Leprosy is an infectious disease that mostly affects underserved populations. Although it has been largely eliminated, still about 200'000 new patients are diagnosed annually. In the absence of a diagnostic test, clinical diagnosis is often delayed, potentially leading to irreversible neurological damage and its resulting stigma, as well as continued transmission. Accelerating diagnosis could significantly contribute to advancing global leprosy elimination. Digital and Artificial Intelligence (AI) driven technology has shown potential to augment health workers abilities in making faster and more accurate diagnosis, especially when using images such as in the fields of dermatology or ophthalmology. That made us start the quest for an AI-driven diagnosis assistant for leprosy, based on skin images. Methods Here we describe the accuracy of an AI-enabled image-based diagnosis assistant for leprosy, called AI4Leprosy, based on a combination of skin images and clinical data, collected following a standardized process. In a Brazilian leprosy national referral center, 222 patients with leprosy or other dermatological conditions were included, and the 1229 collected skin images and 585 sets of metadata are stored in an open-source dataset for other researchers to exploit. Findings We used this dataset to test whether a CNN-based AI algorithm could contribute to leprosy diagnosis and employed three AI models, testing images and metadata both independently and in combination. AI modeling indicated that the most important clinical signs are thermal sensitivity loss, nodules and papules, feet paresthesia, number of lesions and gender, but also scaling surface and pruritus that were negatively associated with leprosy. Using elastic-net logistic regression provided a high classification accuracy (90%) and an area under curve (AUC) of 96.46% for leprosy diagnosis. Interpretation Future validation of these models is underway, gathering larger datasets from populations of different skin types and collecting images with smartphone cameras to mimic real world settings. We hope that the results of our research will lead to clinical solutions that help accelerate global leprosy elimination. Copyright (c) 2022 The Authors. Published by Elsevier Ltd. This is an open access article under the CC BY-NC-ND license (http://creativecommons.org/licenses/by-nc-nd/4.0/)</t>
  </si>
  <si>
    <t xml:space="preserve">Brazil, United States, Switzerland, Germany, Scotland</t>
  </si>
  <si>
    <t xml:space="preserve">Skin images and Clinical data</t>
  </si>
  <si>
    <t xml:space="preserve">LANCET REGIONAL HEALTH-AMERICAS</t>
  </si>
  <si>
    <t xml:space="preserve">Leprosy; Artificial intelligence; AI; Image-based diagnosis; Dermatology; Skin lesions; AI4leprosy</t>
  </si>
  <si>
    <t xml:space="preserve">[Barbieri, Raquel R.; Souza-Santos, Paulo Thiago; Bhering, Ricardo; Sales, Anna M.; Nery, Jose Augusto C.; Sarno, Euzenir N.; Moraes, Milton O.] Fundacao Oswaldo Cruz, FIOCRUZ, Lab Hanseniase Inst Oswaldo Cruz, Rio De Janeiro, Brazil; [Xu, Yixi; Trivedi, Anusua; Cristofono, Jim; White, Kevin; Miller, Geralyn; Sharman, Michael; Bumann, Richard; Zhang, Shun; Timmer, Sander; Bonfiglioli, Elena; Ferres, Juan Lavista] Microsoft Corp, One Microsoft Way,One Microsoft Way, Redmond, WA 98052 USA; [Setian, Lucy; Mirza, Fareed; Cavaliero, Arielle; Aerts, Ann] Novartis Fdn, Basel, Switzerland; [Goldust, Mohamad; Navarini, Alexander A.] Univ Basel, Basel, Switzerland; [Goldust, Mohamad] Univ Med Ctr Mainz, Dept Dermatol, Mainz, Germany; [Smith, Cairns] Univ Aberdeen, Aberdeen, Scotland</t>
  </si>
  <si>
    <t xml:space="preserve">Fundacao Oswaldo Cruz; Microsoft; Novartis; University of Basel; Johannes Gutenberg University of Mainz; University of Aberdeen</t>
  </si>
  <si>
    <t xml:space="preserve">Moraes, MO (corresponding author), Fundacao Oswaldo Cruz, FIOCRUZ, Lab Hanseniase Inst Oswaldo Cruz, Rio De Janeiro, Brazil.;Ferres, JL (corresponding author), Microsoft Corp, One Microsoft Way,One Microsoft Way, Redmond, WA 98052 USA.</t>
  </si>
  <si>
    <t xml:space="preserve">jlavista@microsoft.com; milton.moraes@fiocruz.br</t>
  </si>
  <si>
    <t xml:space="preserve">Navarini, Alexander/C-5504-2014; Ozorio Moraes, Milton/G-9753-2011</t>
  </si>
  <si>
    <t xml:space="preserve">Navarini, Alexander/0000-0001-7059-632X; Xu, Yixi/0000-0003-0397-8832; Ozorio Moraes, Milton/0000-0003-2653-0037</t>
  </si>
  <si>
    <t xml:space="preserve">Novartis Foundation; Microsoft</t>
  </si>
  <si>
    <t xml:space="preserve">Novartis Foundation(Novartis); Microsoft(Microsoft)</t>
  </si>
  <si>
    <t xml:space="preserve">This study was partially funded by Novartis Foundation and Microsoft (in-kind contribution).</t>
  </si>
  <si>
    <t xml:space="preserve">2667-193X</t>
  </si>
  <si>
    <t xml:space="preserve">LANCET REG HEALTH-AM</t>
  </si>
  <si>
    <t xml:space="preserve">Lancet Regional Health-Americas</t>
  </si>
  <si>
    <t xml:space="preserve">10.1016/j.lana.2022.100192</t>
  </si>
  <si>
    <t xml:space="preserve">7J5MH</t>
  </si>
  <si>
    <t xml:space="preserve">WOS:000904625400008</t>
  </si>
  <si>
    <t xml:space="preserve">Ha, Y; Meng, XJ; Du, ZY; Tian, JF; Yuan, Y</t>
  </si>
  <si>
    <t xml:space="preserve">Ha, Yan; Meng, Xiangjie; Du, Zeyu; Tian, Junfeng; Yuan, Yu</t>
  </si>
  <si>
    <t xml:space="preserve">Semi-supervised graph learning framework for apicomplexan parasite classification</t>
  </si>
  <si>
    <t xml:space="preserve">Apicomplexan parasites cause diseases including malaria, toxoplasmosis, and babesiosis, affecting large parts of the world and hampering economic development to a considerable severity. Early recognition of pathogenic parasites can effectively constrain the spread of these infectious diseases. Recently, deep-learning-based computer-aided parasite recognition systems provide many practical tools for automated apicomplexan parasite recognition. However, existing research works are limited by the complicated and expensive manual annotating workload in supervised deep learning methods, which require many experts' manually annotated samples. Moreover, they also ignore the significance of correlations among different parasite cells, which retain helpful information for identification. Therefore, this paper is the first to employ a semi-supervised learning strategy to reduce the manual labeling workload and introduce a hybrid graph learning algorithm into parasite recognition. Our approach has a superior parasite recognition capability with semi-supervised techniques and the graph-based model. Specifically, this research proposes a Semi-Supervised Graph Learning (SSGL) framework, composing CNN (Convolutional Neural Networks) feature embedding, learnable graph building, and graph feature learning components. To verify the performance of the SSGL model, the paper applies multiple evaluation indicators to appraise our model, and the approach can achieve high accuracy of 91.75%, AUC of 91.83%, the sensitivity of 91.75% and specificity of 97.25% with only a small amount of labeled data (20%). In conclusion, SSGL model provides high parasite recognition capability with minimal labels, greatly reduces the workload of relevant experts, and promotes the popularization of computer-aided parasite diagnosis tools.</t>
  </si>
  <si>
    <t xml:space="preserve">- Malaria
- Toxoplasmosis
- Babesiosis</t>
  </si>
  <si>
    <t xml:space="preserve">Semi-supervised</t>
  </si>
  <si>
    <t xml:space="preserve">- Semi-Supervised Graph Learning (SSGL)</t>
  </si>
  <si>
    <t xml:space="preserve">- Accuracy = 91.75%
- AUC = 91.83%
- Sensitivity = 91.75%
- Specificity = 97.25%</t>
  </si>
  <si>
    <t xml:space="preserve">Apicomplexan parasites classification; Semi-supervised learning; Graph convolutional network; Convolutional neural network</t>
  </si>
  <si>
    <t xml:space="preserve">PLASMODIUM-FALCIPARUM; MALARIA</t>
  </si>
  <si>
    <t xml:space="preserve">[Ha, Yan] Hebei Univ, Sch Management, Wusi St, Baoding 071000, Peoples R China; [Meng, Xiangjie; Du, Zeyu] Hebei Univ, Coll Math &amp; Informat Sci, Wusi St, Baoding 071000, Peoples R China; [Ha, Yan; Tian, Junfeng] Key Lab High Trusted Informat Syst Hebei Prov, Qiyi St, Baoding 071000, Peoples R China; [Tian, Junfeng] Hebei Univ, Sch Cyber Secur &amp; Comp, Baoding 071000, Peoples R China; [Yuan, Yu] Hebei Univ, Affiliated Hosp, Neurosurg, Baoding 071000, Hebei, Peoples R China</t>
  </si>
  <si>
    <t xml:space="preserve">Hebei University; Hebei University; Hebei University; Hebei University</t>
  </si>
  <si>
    <t xml:space="preserve">Yuan, Y (corresponding author), Hebei Univ, Affiliated Hosp, Neurosurg, Baoding 071000, Hebei, Peoples R China.</t>
  </si>
  <si>
    <t xml:space="preserve">yuanyuhbu@163.com</t>
  </si>
  <si>
    <t xml:space="preserve">10.1016/j.bspc.2022.104502</t>
  </si>
  <si>
    <t xml:space="preserve">7N1QW</t>
  </si>
  <si>
    <t xml:space="preserve">WOS:000907122000001</t>
  </si>
  <si>
    <t xml:space="preserve">Babaie, E; Alesheikh, AA; Tabasi, M</t>
  </si>
  <si>
    <t xml:space="preserve">Babaie, Elnaz; Alesheikh, Ali Asghar; Tabasi, Mohammad</t>
  </si>
  <si>
    <t xml:space="preserve">Spatial modeling of zoonotic cutaneous leishmaniasis with regard to potential environmental factors using ANFIS and PCA-ANFIS methods</t>
  </si>
  <si>
    <t xml:space="preserve">This study compares two adaptive neuro-fuzzy inference system (ANFIS) and principal component analysis (PCA)-ANFIS techniques for spatial modeling and forecasting of zoonotic cutaneous leishmaniasis (ZCL) cases in rural districts of Golestan province, Iran. We collected and prepared data on ZCL cases and climatic, topographic, vegetation, and human population factors. By applying the PCA algorithm, the parameters affecting the ZCL incidence were decomposed into principal components (PCs), and their dimensions were reduced. Then, PCs were used to train the ANFIS model. To evaluate the proposed approaches in model assessment phase, we used test data in 2016. In this phase, we showed that PCA-ANFIS model with values of R-2 = 0.791, MAE = 0.681, RMSE = 0.904 compared to ANFIS model with values of R-2 = 0.705, MAE = 0.827, RMSE = 1.073 has better performance in prediction of the ZCL cases. Actual and predicted maps of ZCL cases in 2016 by both models demonstrated that the high-risk regions of the disease are located in the northeastern, northern parts, and some central rural districts of Golestan province. Sensitivity analysis of the ANFIS model showed that population, vegetation, average wind speed, elevation, and average soil temperature, respectively, are the most significant factors in predicting the ZCL cases. The findings indicated the importance of machine learning (ML) techniques (ANFIS and PCA-ANFIS) in medical geography studies. By using these approaches, with less cost and shorter time, high-risk areas of diseases can be predicted, and the most effective factors on the spatial prediction of diseases can be identified. Public health policymakers can use these useful tools to control and prevent the disease and to allocate resources to disease-prone areas.</t>
  </si>
  <si>
    <t xml:space="preserve">Environmental data</t>
  </si>
  <si>
    <t xml:space="preserve">- Supervised leaning
- Unsupervised learning</t>
  </si>
  <si>
    <t xml:space="preserve">- ANFIS
- PCA-ANFIS</t>
  </si>
  <si>
    <t xml:space="preserve">PCA-ANFIS
- R^2 = 0.791, MAE = 0.681, RMSE = 0.904
ANFIS
- R^2 = 0.705, MAE = 0.827, RMSE = 1.0771</t>
  </si>
  <si>
    <t xml:space="preserve">Geospatial information system; Statistical analysis; Zoonotic cutaneous leishmaniasis; Adaptive neuro-fuzzy inference system; Principal component analysis</t>
  </si>
  <si>
    <t xml:space="preserve">FUZZY INFERENCE SYSTEM; PARTICLE SWARM OPTIMIZATION; RISK-FACTORS; IRAN; DISEASE; AREA</t>
  </si>
  <si>
    <t xml:space="preserve">[Babaie, Elnaz; Alesheikh, Ali Asghar; Tabasi, Mohammad] KN Toosi Univ Technol, Fac Geodesy &amp; Geomat Engn, Dept GIS, Tehran, Iran</t>
  </si>
  <si>
    <t xml:space="preserve">K. N. Toosi University of Technology</t>
  </si>
  <si>
    <t xml:space="preserve">Alesheikh, AA (corresponding author), KN Toosi Univ Technol, Dept Geospatial Informat Syst GIS, Valy Asr St, Tehran, Iran.</t>
  </si>
  <si>
    <t xml:space="preserve">elnaz.babaie@email.kntu.ac.ir; alesheikh@kntu.ac.ir; mtabasi@mail.kntu.ac.ir</t>
  </si>
  <si>
    <t xml:space="preserve">Tabasi, Mohammad/AAC-6716-2021; Alesheikh, Ali/AAR-5464-2021</t>
  </si>
  <si>
    <t xml:space="preserve">Tabasi, Mohammad/0000-0003-1496-3206</t>
  </si>
  <si>
    <t xml:space="preserve">10.1016/j.actatropica.2021.106296</t>
  </si>
  <si>
    <t xml:space="preserve">2R3PG</t>
  </si>
  <si>
    <t xml:space="preserve">WOS:000821023900004</t>
  </si>
  <si>
    <t xml:space="preserve">Dong, B; Khan, L; Smith, M; Trevino, J; Zhao, BX; Hamer, GL; Lopez-Lemus, UA; Molina, AA; Lubinda, J; Nguyen, USDT; Haque, U</t>
  </si>
  <si>
    <t xml:space="preserve">Dong, Bo; Khan, Latifur; Smith, Madison; Trevino, Jesus; Zhao, Bingxin; Hamer, Gabriel L.; Lopez-Lemus, Uriel A.; Molina, Aracely Angulo; Lubinda, Jailos; Nguyen, Uyen-Sa D. T.; Haque, Ubydul</t>
  </si>
  <si>
    <t xml:space="preserve">Spatio-temporal dynamics of three diseases caused by Aedes-borne arboviruses in Mexico</t>
  </si>
  <si>
    <t xml:space="preserve">Background The intensity of transmission of Aedes-borne viruses is heterogeneous, and multiple factors can contribute to variation at small spatial scales. Illuminating drivers of heterogeneity in prevalence over time and space would provide information for public health authorities. The objective of this study is to detect the spatiotemporal clusters and determine the risk factors of three major Aedes-borne diseases, Chikungunya virus (CHIKV), Dengue virus (DENV), and Zika virus (ZIKV) clusters in Mexico. Methods We present an integrated analysis of Aedes-borne diseases (ABDs), the local climate, and the socio-demographic profiles of 2469 municipalities in Mexico. We used SaTScan to detect spatial clusters and utilize the Pearson correlation coefficient, Randomized Dependence Coefficient, and SHapley Additive exPlanations to analyze the influence of sociodemographic and climatic factors on the prevalence of ABDs. We also compare six machine learning techniques, including XGBoost, decision tree, Support Vector Machine with Radial Basis Function kernel, K nearest neighbors, random forest, and neural network to predict risk factors of ABDs clusters. Results DENV is the most prevalent of the three diseases throughout Mexico, with nearly 60.6% of the municipalities reported having DENV cases. For some spatiotemporal clusters, the influence of socio-economic attributes is larger than the influence of climate attributes for predicting the prevalence of ABDs. XGBoost performs the best in terms of precision-measure for ABDs prevalence. Conclusions Both socio-demographic and climatic factors influence ABDs transmission in different regions of Mexico. Future studies should build predictive models supporting early warning systems to anticipate the time and location of ABDs outbreaks and determine the stand-alone influence of individual risk factors and establish causal mechanisms.</t>
  </si>
  <si>
    <t xml:space="preserve">USA, Mexico, Australia</t>
  </si>
  <si>
    <t xml:space="preserve">- Public health data
- Environmental data
- Genomic data</t>
  </si>
  <si>
    <t xml:space="preserve">- Chikungunya (CHIKV)
- Dengue virus (DENV)
- Zika virus (ZIKV)</t>
  </si>
  <si>
    <t xml:space="preserve">- XGBoost
- Decision tree
- Support Vector Machine with Radial Basis Function Kernel
- K nearest neighbors
- Random forest
- Neural network</t>
  </si>
  <si>
    <t xml:space="preserve">COMMUNICATIONS MEDICINE</t>
  </si>
  <si>
    <t xml:space="preserve">DENGUE-FEVER; CLIMATE VARIABILITY; RISK; CHIKUNGUNYA; STATE; ZIKA</t>
  </si>
  <si>
    <t xml:space="preserve">[Dong, Bo; Khan, Latifur] Univ Texas Dallas, Dept Comp Sci, Dallas, TX 75080 USA; [Smith, Madison; Nguyen, Uyen-Sa D. T.; Haque, Ubydul] Univ North Texas Hlth Sci Ctr, Dept Biostat &amp; Epidemiol, Ft Worth, TX USA; [Trevino, Jesus] Univ Autonoma Nuevo Leon, Sch Architecture, Dept Urban Affiars, San Nicolas De Los Garza 66455, Nuevo Leon, Mexico; [Zhao, Bingxin] Univ Penn, Dept Stat &amp; Data Sci, Philadelphia, PA 19104 USA; [Hamer, Gabriel L.] Texas A&amp;M Univ, Dept Entomol, College Stn, TX USA; [Lopez-Lemus, Uriel A.] Ctr Biodefense &amp; Global Infect Dis, Dept Hlth Sci, Colima 28078, Mexico; [Molina, Aracely Angulo] Univ Sonora, Dept Chem &amp; Biol Sci, Hermosillo 83000, Sonora, Mexico; [Lubinda, Jailos] Telethon Kids Inst, Malaria Atlas Project, Nedlands, WA, Australia</t>
  </si>
  <si>
    <t xml:space="preserve">University of Texas System; University of Texas Dallas; Universidad Autonoma de Nuevo Leon; University of Pennsylvania; Texas A&amp;M University System; Texas A&amp;M University College Station; Universidad de Sonora; The Kids Research Institute Australia; University of Western Australia</t>
  </si>
  <si>
    <t xml:space="preserve">Haque, U (corresponding author), Univ North Texas Hlth Sci Ctr, Dept Biostat &amp; Epidemiol, Ft Worth, TX USA.</t>
  </si>
  <si>
    <t xml:space="preserve">mdubydul.haque@unthsc.edu</t>
  </si>
  <si>
    <t xml:space="preserve">; Trevino-Cantu, Jesus A./I-3753-2017</t>
  </si>
  <si>
    <t xml:space="preserve">Nguyen, Uyen-Sa/0000-0003-2715-9073; Smith, Madison/0000-0003-2790-4424; ANGULO-MOLINA, ARACELY/0000-0002-8586-3387; Trevino-Cantu, Jesus A./0000-0002-0211-2140</t>
  </si>
  <si>
    <t xml:space="preserve">Research Council of Norway [281077]</t>
  </si>
  <si>
    <t xml:space="preserve">Research Council of Norway(Research Council of Norway)</t>
  </si>
  <si>
    <t xml:space="preserve">U.H. was supported by the Research Council of Norway (grant #281077).</t>
  </si>
  <si>
    <t xml:space="preserve">2730-664X</t>
  </si>
  <si>
    <t xml:space="preserve">COMMUN MED-LONDON</t>
  </si>
  <si>
    <t xml:space="preserve">Communications Med.</t>
  </si>
  <si>
    <t xml:space="preserve">10.1038/s43856-022-00192-7</t>
  </si>
  <si>
    <t xml:space="preserve">U9YY8</t>
  </si>
  <si>
    <t xml:space="preserve">WOS:001088303700001</t>
  </si>
  <si>
    <t xml:space="preserve">Ferreira, AM; Santos, LI; Sabino, EC; Ribeiro, ALPY; Silva, LCD; Damasceno, RFY; D'Angelo, MFSV; Nunes, MDPY; Haikal, DS</t>
  </si>
  <si>
    <t xml:space="preserve">Ferreira, Ariela Mota; Santos, Laercio Ives; Sabino, Ester Cerdeira; Ribeiro, Antonio Luiz Pinho Y.; de Oliveira-da Silva, Lea Campos; Damasceno, Renata Fiuza Y.; D'Angelo, Marcos Flavio Silveira Vasconcelos; Nunes, Maria do Carmo Pereira Y.; Haikal, Desiree Sant'Ana</t>
  </si>
  <si>
    <t xml:space="preserve">Two-year death prediction models among patients with Chagas Disease using machine learning-based methods</t>
  </si>
  <si>
    <t xml:space="preserve">Chagas disease (CD) is recognized by the World Health Organization as one of the thirteen most neglected tropical diseases. More than 80% of people affected by CD will not have access to diagnosis and continued treatment, which partly supports the high morbidity and mortality rate. Machine Learning (ML) can identify patterns in data that can be used to increase our understanding of a specific problem or make predictions about the future. Thus, the aim of this study was to evaluate different models of ML to predict death in two years of patients with CD. ML models were developed using different techniques and configurations. The techniques used were: Random Forests, Adaptive Boosting, Decision Tree, Support Vector Machine, and Artificial Neural Networks. The adopted settings considered only interview variables, only complementary exam variables, and finally, both mixed. Data from a cohort study with CD patients called SaMi-Trop were analyzed. The predictor variables came from the baseline; and the outcome, which was death, came from the first follow-up. All models were evaluated in terms of Sensitivity, Specificity and G-mean. Among the 1694 individuals with CD considered, 134 (7.9%) died within two years of follow-up. Using only the predictor variables from the interview, the different techniques achieved a maximum G-mean of 0.64 in predicting death. Using only the variables from complementary exams, the G-mean was up to 0.77. In this configuration, the protagonism of NT-proBNP was evident, where it was possible to observe that an ML model using only this single variable reached G-mean of 0.76. The configuration that mixed interview variables and complementary exams achieved G-mean of 0.75. ML can be used as a useful tool with the potential to contribute to the management of patients with CD, by identifying patients with the highest probability of death.</t>
  </si>
  <si>
    <t xml:space="preserve">- Random Forests
- Adaptive Boosting
- Decision Tree
- Support Vector Machine
- Artificial Neural Networks</t>
  </si>
  <si>
    <t xml:space="preserve">NATRIURETIC PEPTIDE; RISK SCORE; CARDIOMYOPATHY; MORTALITY; HEALTH</t>
  </si>
  <si>
    <t xml:space="preserve">[Ferreira, Ariela Mota; Damasceno, Renata Fiuza Y.; Haikal, Desiree Sant'Ana] Univ Estadual Montes Claros, Grad Program Hlth Sci, Montes Claros, MG, Brazil; [Santos, Laercio Ives] Inst Fed Norte Minas Gerais, Montes Claros, MG, Brazil; [Sabino, Ester Cerdeira; de Oliveira-da Silva, Lea Campos] Univ Sao Paulo, Inst Trop Med, Sao Paulo, SP, Brazil; [Ribeiro, Antonio Luiz Pinho Y.; Nunes, Maria do Carmo Pereira Y.] Univ Fed Minas Gerais, Dept Internal Med, Belo Horizonte, MG, Brazil; [D'Angelo, Marcos Flavio Silveira Vasconcelos] Univ Estadual Montes Claros, Dept Comp Sci, Montes Claros, MG, Brazil</t>
  </si>
  <si>
    <t xml:space="preserve">Universidade Estadual de Montes Claros; Instituto Federal do Norte de Minas Gerais (IFNMG); Universidade de Sao Paulo; Universidade Federal de Minas Gerais; Universidade Estadual de Montes Claros</t>
  </si>
  <si>
    <t xml:space="preserve">Ferreira, AM (corresponding author), Univ Estadual Montes Claros, Grad Program Hlth Sci, Montes Claros, MG, Brazil.</t>
  </si>
  <si>
    <t xml:space="preserve">arielamota@hotmail.com</t>
  </si>
  <si>
    <t xml:space="preserve">Haikal, Desirée/AIC-0869-2022; Sabino, Ester/F-7750-2010; Ribeiro, Antonio/C-2707-2009; D'Angelo, Marcos/C-1322-2015</t>
  </si>
  <si>
    <t xml:space="preserve">Ives Santos, Laercio/0000-0001-6504-7692; Ferreira, Ariela/0000-0002-2315-5318; Haikal, Desiree/0000-0002-0331-0747</t>
  </si>
  <si>
    <t xml:space="preserve">National Institute of Health (NIH) [P50AI098461-02, U19AI098461-06]; National Institute of Allergy and Infectious Diseases [U19AI098461] Funding Source: NIH RePORTER</t>
  </si>
  <si>
    <t xml:space="preserve">National Institute of Health (NIH)(United States Department of Health &amp; Human ServicesNational Institutes of Health (NIH) - USA); National Institute of Allergy and Infectious Diseases(United States Department of Health &amp; Human ServicesNational Institutes of Health (NIH) - USANIH National Institute of Allergy &amp; Infectious Diseases (NIAID))</t>
  </si>
  <si>
    <t xml:space="preserve">The SaMi-Trop cohort study is supported by the National Institute of Health (NIH), (P50AI098461-02 and U19AI098461-06). ECS received the source of funding for the work. The funders had no role in study design, data collection and analysis, decision to publish, or preparation of the manuscript.</t>
  </si>
  <si>
    <t xml:space="preserve">e0010356</t>
  </si>
  <si>
    <t xml:space="preserve">10.1371/journal.pntd.0010356</t>
  </si>
  <si>
    <t xml:space="preserve">0W0RQ</t>
  </si>
  <si>
    <t xml:space="preserve">WOS:000788745900002</t>
  </si>
  <si>
    <t xml:space="preserve">Dadheech, P; Mehbodniya, A; Tiwari, S; Kumar, S; Singh, P; Gupta, S; Atiglah, HK</t>
  </si>
  <si>
    <t xml:space="preserve">Dadheech, Pankaj; Mehbodniya, Abolfazl; Tiwari, Shivam; Kumar, Sarvesh; Singh, Pooja; Gupta, Sweta; Atiglah, Henry Kwame</t>
  </si>
  <si>
    <t xml:space="preserve">Zika Virus Prediction Using AI-Driven Technology and Hybrid Optimization Algorithm in Healthcare</t>
  </si>
  <si>
    <t xml:space="preserve">The Zika virus presents an extraordinary public health hazard after spreading from Brazil to the Americas. In the absence of credible forecasts of the outbreak's geographic scope and infection frequency, international public health agencies were unable to plan and allocate surveillance resources efficiently. An RNA test will be done on the subjects if they are found to be infected with Zika virus. By training the specified characteristics, the suggested Hybrid Optimization Algorithm such as multilayer perceptron with probabilistic optimization strategy gives forth a greater accuracy rate. The MATLAB program incorporates numerous machine learning algorithms and artificial intelligence methodologies. It reduces forecast time while retaining excellent accuracy. The projected classes are encrypted and sent to patients. The Advanced Encryption Standard (AES) and TRIPLE Data Encryption Standard (TEDS) are combined to make this possible (DES). The experimental outcomes improve the accuracy of patient results communication. Cryptosystem processing acquires minimal timing of 0.15 s with 91.25 percent accuracy.</t>
  </si>
  <si>
    <t xml:space="preserve">India, Kuwait, Ghana</t>
  </si>
  <si>
    <t xml:space="preserve">Multilayer perceptron</t>
  </si>
  <si>
    <t xml:space="preserve">Accuracy = 91.25%</t>
  </si>
  <si>
    <t xml:space="preserve">JOURNAL OF HEALTHCARE ENGINEERING</t>
  </si>
  <si>
    <t xml:space="preserve">CLOUD; SYSTEMS</t>
  </si>
  <si>
    <t xml:space="preserve">[Dadheech, Pankaj] Swami Keshvanand Inst Technol Management &amp; Gramot, Dept Comp Sci &amp; Engn, Jaipur 302017, Rajasthan, India; [Mehbodniya, Abolfazl] Kuwait Coll Sci &amp; Technol KCST, Dept Elect &amp; Commun Engn, Kuwait, Kuwait; [Tiwari, Shivam] Integral Univ, Dept Comp Sci &amp; Engn, Lucknow, Uttar Pradesh, India; [Kumar, Sarvesh] Babu Banarasi Das Univ, Dept Comp Sci &amp; Engn, Lucknow, Uttar Pradesh, India; [Singh, Pooja] Amity Sch Engn &amp; Technol, Dept Comp Sci &amp; Engn, Sect 125, Noida, Uttar Pradesh, India; [Gupta, Sweta] JLU, Dept CSE, Sch Engn &amp; Technol, Bhopal, MP, India; [Atiglah, Henry Kwame] Tamale Tech Univ, Dept Elect &amp; Elect Engn, Tamale, Ghana</t>
  </si>
  <si>
    <t xml:space="preserve">Kuwait College Science &amp; Technology; Integral University; Babu Banarasi Das University; Amity University Noida</t>
  </si>
  <si>
    <t xml:space="preserve">Atiglah, HK (corresponding author), Tamale Tech Univ, Dept Elect &amp; Elect Engn, Tamale, Ghana.</t>
  </si>
  <si>
    <t xml:space="preserve">pankajdadheech777@gmail.com; a.niya@kcst.edu.kw; shivam.tiwari.info@gmail.com; kr.sarvi91@gmail.com; pooja17ps@gmail.com; sweta.gupta@jlu.edu.in; hkatiglah@tatu.edu.gh</t>
  </si>
  <si>
    <t xml:space="preserve">Singh, Pooja/AEL-6194-2022; Kumar, Sarvesh/AAK-4889-2020; Tiwari, Shivam/HRA-0713-2023; Mehbodniya, Abolfazl/ABD-6134-2021; Dadheech, Pankaj/O-6239-2018</t>
  </si>
  <si>
    <t xml:space="preserve">Atiglah, Henry/0000-0001-7879-1779; Mehbodniya, Abolfazl/0000-0002-0945-512X; Gupta, Sweta/0000-0001-7505-0510; Dadheech, Pankaj/0000-0001-5783-1989; Singh, Dr. Pooja/0000-0002-8649-1060; Kumar, Sarvesh/0000-0001-9459-1312</t>
  </si>
  <si>
    <t xml:space="preserve">2040-2295</t>
  </si>
  <si>
    <t xml:space="preserve">2040-2309</t>
  </si>
  <si>
    <t xml:space="preserve">J HEALTHC ENG</t>
  </si>
  <si>
    <t xml:space="preserve">J. Healthc. Eng.</t>
  </si>
  <si>
    <t xml:space="preserve">10.1155/2022/2793850</t>
  </si>
  <si>
    <t xml:space="preserve">ZX6AG</t>
  </si>
  <si>
    <t xml:space="preserve">WOS:000771976700012</t>
  </si>
  <si>
    <t xml:space="preserve">Pise, R; Patil, K; Laad, M; Pise, N</t>
  </si>
  <si>
    <t xml:space="preserve">Pise, Reshma; Patil, Kailas; Laad, Meena; Pise, Neeraj</t>
  </si>
  <si>
    <t xml:space="preserve">Dataset of vector mosquito images</t>
  </si>
  <si>
    <t xml:space="preserve">Mosquitoes pose substantial threat to public health result-ing in million number of deaths wordlwide every year. They act as the vectors responsible for diseases such as Dengue, Yellow fever,Chikungunya, Zika etc. The harmful mosquito species are contained in the genera Aedes, Anopheles and Culex. Automated species identification of vectors is essen-tial to implement targeted vector control strategies. The ob-jective of the proposed paper is to construct a novel dataset of images of dangerous mosquito species. We have prepared a dataset of images of adult mosquitoes belonging to three species: Aedes Aegypti, Anopheles stephensi and Culex quin-quefasciatus stored in two folders. The first folder comprises of total 2640 augmented images of mosquitoes belonging to the three species. The second folder contains original images of the the three species. The dataset is valuable for train-ing machine and deep learning models for automatic species classification.(c) 2022 The Author(s). Published by Elsevier Inc. This is an open access article under the CC BY license ( http://creativecommons.org/licenses/by/4.0/ )</t>
  </si>
  <si>
    <t xml:space="preserve">India, United States</t>
  </si>
  <si>
    <t xml:space="preserve">Computer vision; Deep learning; Mosquito classification; Vector control</t>
  </si>
  <si>
    <t xml:space="preserve">[Pise, Reshma] Vishwakarma Univ, Pune, India; [Patil, Kailas] Vishwakarma Univ, Pune, India; [Laad, Meena] Symbiosis Inst Technol, Pune, India; [Pise, Neeraj] Rutgers State Univ, Comp Sci, New Brunswick, NJ USA</t>
  </si>
  <si>
    <t xml:space="preserve">Symbiosis International University; Symbiosis Institute of Technology (SIT); Rutgers University System; Rutgers University New Brunswick</t>
  </si>
  <si>
    <t xml:space="preserve">Pise, R (corresponding author), Vishwakarma Univ, Pune, India.;Patil, K (corresponding author), Vishwakarma Univ, Pune, India.</t>
  </si>
  <si>
    <t xml:space="preserve">reshma.pise@vupune.ac.in; kailas.patil@vupune.ac.in</t>
  </si>
  <si>
    <t xml:space="preserve">Patil, Kailas/ABI-6917-2020; Laad, Meena/S-5481-2017; Patil, Kailas/E-3458-2016</t>
  </si>
  <si>
    <t xml:space="preserve">Laad, Meena/0000-0003-4857-0670; Patil, Kailas/0000-0002-1046-9860</t>
  </si>
  <si>
    <t xml:space="preserve">10.1016/j.dib.2022.108573</t>
  </si>
  <si>
    <t xml:space="preserve">5F3NL</t>
  </si>
  <si>
    <t xml:space="preserve">WOS:000866225700007</t>
  </si>
  <si>
    <t xml:space="preserve">Rahman, A; Zunair, H; Reme, TR; Rahman, MS; Mahdy, MRC</t>
  </si>
  <si>
    <t xml:space="preserve">Rahman, Aimon; Zunair, Hasib; Reme, Tamanna Rahman; Rahman, M. Sohel; Mahdy, M. R. C.</t>
  </si>
  <si>
    <t xml:space="preserve">A comparative analysis of deep learning architectures on high variation malaria parasite classification dataset</t>
  </si>
  <si>
    <t xml:space="preserve">Malaria, one of the leading causes of death in underdeveloped countries, is primarily diagnosed using micro-scopy. Computer-aided diagnosis of malaria is a challenging task owing to the fine-grained variability in the appearance of some uninfected and infected class. In this paper, we transform a malaria parasite object detection dataset into a classification dataset, making it the largest malaria classification dataset (63,645 cells), and evaluate the performance of several state-of-the-art deep neural network architectures pretrained on both natural and medical images on this new dataset. We provide detailed insights into the variation of the dataset and qualitative analysis of the results produced by the best models. We also evaluate the models using an independent test set to demonstrate the model's ability to generalize in different domains. Finally, we demonstrate the effect of conditional image synthesis on malaria parasite detection. We provide detailed insights into the influence of synthetic images for the class imbalance problem in the malaria diagnosis context.</t>
  </si>
  <si>
    <t xml:space="preserve">Bangladesh, Canada</t>
  </si>
  <si>
    <t xml:space="preserve">DCNN</t>
  </si>
  <si>
    <t xml:space="preserve">Adversarial training; Transfer learning; Microscopy data; Malaria detection</t>
  </si>
  <si>
    <t xml:space="preserve">[Rahman, Aimon; Reme, Tamanna Rahman; Mahdy, M. R. C.] North South Univ, Dept Elect &amp; Comp Engn, Dhaka 1229, Bangladesh; [Zunair, Hasib] Concordia Univ, Montreal, PQ, Canada; [Rahman, M. Sohel] Bangladesh Univ Engn &amp; Technol, Dept Comp Sci &amp; Engn, ECE Bldg,West Palasi, Dhaka 1205, Bangladesh</t>
  </si>
  <si>
    <t xml:space="preserve">North South University (NSU); Concordia University - Canada; Bangladesh University of Engineering &amp; Technology (BUET)</t>
  </si>
  <si>
    <t xml:space="preserve">Mahdy, MRC (corresponding author), North South Univ, Dept Elect &amp; Comp Engn, Dhaka 1229, Bangladesh.</t>
  </si>
  <si>
    <t xml:space="preserve">aimon.rahman@northsouth.edu; h_zunair@encs.concordia.ca; rahman.reme@northsouth.edu; mahdy.chowdhury@northsouth.edu</t>
  </si>
  <si>
    <t xml:space="preserve">Rahman, Mohammad/AAJ-7376-2020</t>
  </si>
  <si>
    <t xml:space="preserve">NSU internal grant: CTRGC grant 2019-20; TWAS international grant 2018 [18121 RG/PHYS/AS I-FR3240303643]</t>
  </si>
  <si>
    <t xml:space="preserve">NSU internal grant: CTRGC grant 2019-20; TWAS international grant 2018</t>
  </si>
  <si>
    <t xml:space="preserve">M.R.C. Mahdy acknowledges the support of NSU internal grant: CTRGC grant 2019-20 (approved by the members of BOT, NSU, Bangladesh) and the support of TWAS international grant 2018 (Ref: 18121 RG/PHYS/AS I-FR3240303643).</t>
  </si>
  <si>
    <t xml:space="preserve">10.1016/j.tice.2020.101473</t>
  </si>
  <si>
    <t xml:space="preserve">QY5PN</t>
  </si>
  <si>
    <t xml:space="preserve">WOS:000630091900002</t>
  </si>
  <si>
    <t xml:space="preserve">Loh, D; Wen, XY; Yapeter, J; Subburaj, K; Chandramohanadas, R</t>
  </si>
  <si>
    <t xml:space="preserve">Loh, De Rong; Wen Xin Yong; Yapeter, Jullian; Subburaj, Karupppasamy; Chandramohanadas, Rajesh</t>
  </si>
  <si>
    <t xml:space="preserve">A deep learning approach to the screening of malaria infection: Automated and rapid cell counting, object detection and instance segmentation using Mask R-CNN</t>
  </si>
  <si>
    <t xml:space="preserve">Accurate and early diagnosis is critical to proper malaria treatment and hence death prevention. Several computer vision technologies have emerged in recent years as alternatives to traditional microscopy and rapid diagnostic tests. In this work, we used a deep learning model called Mask R-CNN that is trained on uninfected and Plasmodium falciparum-infected red blood cells. Our predictive model produced reports at a rate 15 times faster than manual counting without compromising on accuracy. Another unique feature of our model is its ability to generate segmentation masks on top of bounding box classifications for immediate visualization, making it superior to existing models. Furthermore, with greater standardization, it holds much potential to reduce errors arising from manual counting and save a significant amount of human resources, time, and cost.</t>
  </si>
  <si>
    <t xml:space="preserve">Singapore, Canada</t>
  </si>
  <si>
    <t xml:space="preserve">Singapore</t>
  </si>
  <si>
    <t xml:space="preserve">Mask R-CNN</t>
  </si>
  <si>
    <t xml:space="preserve">- Accuracy = 94.57% (in detecting infected cells with 0.55% error)</t>
  </si>
  <si>
    <t xml:space="preserve">COMPUTERIZED MEDICAL IMAGING AND GRAPHICS</t>
  </si>
  <si>
    <t xml:space="preserve">Malaria diagnosis; Mask R-CNN; Computer vision; Image analysis</t>
  </si>
  <si>
    <t xml:space="preserve">[Loh, De Rong] Singapore Univ Technol &amp; Design, Pillar Informat Syst Technol &amp; Design, Singapore, Singapore; [Wen Xin Yong; Subburaj, Karupppasamy; Chandramohanadas, Rajesh] Singapore Univ Technol &amp; Design, Pillar Engn Prod Dev, Singapore, Singapore; [Yapeter, Jullian] Univ Waterloo, Fac Engn, Waterloo, ON, Canada; [Chandramohanadas, Rajesh] Natl Univ Singapore, Dept Microbiol &amp; Immunol, 5 Sci Dr 2, Singapore 117545, Singapore</t>
  </si>
  <si>
    <t xml:space="preserve">Singapore University of Technology &amp; Design; Singapore University of Technology &amp; Design; University of Waterloo; National University of Singapore</t>
  </si>
  <si>
    <t xml:space="preserve">Subburaj, K (corresponding author), Singapore Univ Technol &amp; Design, Pillar Engn Prod Dev, Singapore, Singapore.;Chandramohanadas, R (corresponding author), Natl Univ Singapore, Dept Microbiol &amp; Immunol, 5 Sci Dr 2, Singapore 117545, Singapore.</t>
  </si>
  <si>
    <t xml:space="preserve">derong_loh@mymail.sutd.edu.sg; wenxin_yong@mymail.sutd.edu.sg; jullian.yapeter@uwaterloo.ca; subburaj@sutd.edu.sg; micrc@nus.edu.sg</t>
  </si>
  <si>
    <t xml:space="preserve">Chandramohanadas, Rajesh/GLT-0218-2022; Subburaj, Karupppasamy/E-8685-2010</t>
  </si>
  <si>
    <t xml:space="preserve">Chandramohanadas, Rajesh/0000-0002-8760-0396; Subburaj, Karupppasamy/0000-0003-0723-2405; Loh, De Rong/0000-0003-4090-8649</t>
  </si>
  <si>
    <t xml:space="preserve">Singapore University of Technology and Design (SUTD) Undergraduate Research Opportunities Programme [UROP00748]</t>
  </si>
  <si>
    <t xml:space="preserve">Singapore University of Technology and Design (SUTD) Undergraduate Research Opportunities Programme</t>
  </si>
  <si>
    <t xml:space="preserve">We would like to thank Drs. Gowtham Subramaniam and Renugah Naidu for providing us with the Giemsa-stained slides for image capturing and helping out with the cell counting. We would like to express our gratitude toward Singapore University of Technology and Design (SUTD) Undergraduate Research Opportunities Programme (UROP00748) for partially funding this research.</t>
  </si>
  <si>
    <t xml:space="preserve">0895-6111</t>
  </si>
  <si>
    <t xml:space="preserve">1879-0771</t>
  </si>
  <si>
    <t xml:space="preserve">COMPUT MED IMAG GRAP</t>
  </si>
  <si>
    <t xml:space="preserve">Comput. Med. Imaging Graph.</t>
  </si>
  <si>
    <t xml:space="preserve">10.1016/j.compmedimag.2020.101845</t>
  </si>
  <si>
    <t xml:space="preserve">Engineering, Biomedical; Radiology, Nuclear Medicine &amp; Medical Imaging</t>
  </si>
  <si>
    <t xml:space="preserve">Engineering; Radiology, Nuclear Medicine &amp; Medical Imaging</t>
  </si>
  <si>
    <t xml:space="preserve">QP4TP</t>
  </si>
  <si>
    <t xml:space="preserve">WOS:000623829500004</t>
  </si>
  <si>
    <t xml:space="preserve">McGough, SF; Clemente, L; Kutz, JN; Santillana, M</t>
  </si>
  <si>
    <t xml:space="preserve">McGough, Sarah F.; Clemente, Leonardo; Kutz, J. Nathan; Santillana, Mauricio</t>
  </si>
  <si>
    <t xml:space="preserve">A dynamic, ensemble learning approach to forecast dengue fever epidemic years in Brazil using weather and population susceptibility cycles</t>
  </si>
  <si>
    <t xml:space="preserve">Transmission of dengue fever depends on a complex interplay of human, climate and mosquito dynamics, which often change in time and space. It is well known that its disease dynamics are highly influenced by multiple factors including population susceptibility to infection as well as by microclimates: small-area climatic conditions which create environments favourable for the breeding and survival of mosquitoes. Here, we present a novel machine learning dengue forecasting approach, which, dynamically in time and space, identifies local patterns in weather and population susceptibility to make epidemic predictions at the city level in Brazil, months ahead of the occurrence of disease outbreaks. Weather-based predictions are improved when information on population susceptibility is incorporated, indicating that immunity is an important predictor neglected by most dengue forecast models. Given the generalizability of our methodology to any location or input data, it may prove valuable for public health decision-making aimed at mitigating the effects of seasonal dengue outbreaks in locations globally.</t>
  </si>
  <si>
    <t xml:space="preserve">USA, Mexico</t>
  </si>
  <si>
    <t xml:space="preserve">- Environmental data
- Public health records</t>
  </si>
  <si>
    <t xml:space="preserve">JOURNAL OF THE ROYAL SOCIETY INTERFACE</t>
  </si>
  <si>
    <t xml:space="preserve">ROYAL SOC</t>
  </si>
  <si>
    <t xml:space="preserve">dengue; forecasting; ensemble</t>
  </si>
  <si>
    <t xml:space="preserve">AEDES-AEGYPTI DIPTERA; RISK; TRANSMISSION; CULICIDAE; THAILAND; CLIMATE; SPREAD; BURDEN</t>
  </si>
  <si>
    <t xml:space="preserve">[McGough, Sarah F.; Clemente, Leonardo; Santillana, Mauricio] Boston Childrens Hosp, Computat Hlth Informat Program, Boston, MA 02115 USA; [McGough, Sarah F.; Santillana, Mauricio] Harvard Univ, Harvard TH Chan Sch Publ Hlth, Boston, MA 02115 USA; [Clemente, Leonardo] Tecnol Monterrey, Monterrey 64849, Nuevo Leon, Mexico; [Kutz, J. Nathan] Univ Washington, Dept Appl Math, Seattle, WA 98195 USA; [Santillana, Mauricio] Harvard Univ, Harvard Med Sch, Dept Pediat, Boston, MA 02115 USA</t>
  </si>
  <si>
    <t xml:space="preserve">Harvard University; Harvard University Medical Affiliates; Boston Children's Hospital; Harvard University; Harvard T.H. Chan School of Public Health; Tecnologico de Monterrey; University of Washington; University of Washington Seattle; Harvard University; Harvard Medical School</t>
  </si>
  <si>
    <t xml:space="preserve">McGough, SF; Santillana, M (corresponding author), Boston Childrens Hosp, Computat Hlth Informat Program, Boston, MA 02115 USA.;McGough, SF; Santillana, M (corresponding author), Harvard Univ, Harvard TH Chan Sch Publ Hlth, Boston, MA 02115 USA.;Santillana, M (corresponding author), Harvard Univ, Harvard Med Sch, Dept Pediat, Boston, MA 02115 USA.</t>
  </si>
  <si>
    <t xml:space="preserve">sfm341@mail.harvard.edu; sfm341@mail.harvard.edu</t>
  </si>
  <si>
    <t xml:space="preserve">CLEMENTE LOPEZ, CESAR L/0000-0001-8939-8841</t>
  </si>
  <si>
    <t xml:space="preserve">Johnson and Johnson Corporate Citizenship Trust; Johnson and Johnson Global Public Health Unit; National Institute of General Medical Sciences of the National Institutes of Health [R01GM130668]</t>
  </si>
  <si>
    <t xml:space="preserve">Johnson and Johnson Corporate Citizenship Trust; Johnson and Johnson Global Public Health Unit; National Institute of General Medical Sciences of the National Institutes of Health(United States Department of Health &amp; Human ServicesNational Institutes of Health (NIH) - USANIH National Institute of General Medical Sciences (NIGMS))</t>
  </si>
  <si>
    <t xml:space="preserve">M.S. and L.C. thank the Johnson and Johnson Corporate Citizenship Trust and the Johnson and Johnson Global Public Health Unit for providing institutional research funds to partially support this work. M.S. was partially supported by the National Institute of General Medical Sciences of the National Institutes of Health under award no. R01GM130668.</t>
  </si>
  <si>
    <t xml:space="preserve">6-9 CARLTON HOUSE TERRACE, LONDON SW1Y 5AG, ENGLAND</t>
  </si>
  <si>
    <t xml:space="preserve">1742-5689</t>
  </si>
  <si>
    <t xml:space="preserve">1742-5662</t>
  </si>
  <si>
    <t xml:space="preserve">J R SOC INTERFACE</t>
  </si>
  <si>
    <t xml:space="preserve">J. R. Soc. Interface</t>
  </si>
  <si>
    <t xml:space="preserve">JUN 16</t>
  </si>
  <si>
    <t xml:space="preserve">10.1098/rsif.2020.1006</t>
  </si>
  <si>
    <t xml:space="preserve">SW9WM</t>
  </si>
  <si>
    <t xml:space="preserve">WOS:000664864200001</t>
  </si>
  <si>
    <t xml:space="preserve">Fernández-Martínez, JL; Boga, JA; de Andrés-Galiana, E; Casado, L; Fernández, J; Menéndez, C; García-Pérez, A; Moran-Suarez, N; Martinez-Sela, M; Vázquez, F; Rodríguez-Guardado, A</t>
  </si>
  <si>
    <t xml:space="preserve">Fernandez-Martinez, Juan L.; Boga, Jose A.; de Andres-Galiana, Enrique; Casado, Luis; Fernandez, Jonathan; Menendez, Candela; Garcia-Perez, Alicia; Moran-Suarez, Noelia; Martinez-Sela, Maria; Vazquez, Fernando; Rodriguez-Guardado, Azucena</t>
  </si>
  <si>
    <t xml:space="preserve">A Machine Learning Model for Evaluating Imported Disease Screening Strategies in Immigrant Populations</t>
  </si>
  <si>
    <t xml:space="preserve">Given the high prevalence of imported diseases in immigrant populations, it has postulated the need to establish screening programs that allow their early diagnosis and treatment. We present a mathematical model based on machine learning methodologies to contribute to the design of screening programs in this population. We conducted a retrospective cross-sectional screening program of imported diseases in all immigrant patients who attended the Tropical Medicine Unit between January 2009 and December 2016. We designed a mathematical model based on machine learning methodologies to establish the set of most discriminatory prognostic variables to predict the onset of the: HIV infection, malaria, chronic hepatitis B and C, schistosomiasis, and Chagas in immigrant population. We analyzed 759 patients. HIV was predicted with an accuracy of 84.9% and the number of screenings to detect the first HIV-infected person was 26, as in the case of Chagas disease (with a predictive accuracy of 92.9%). For the other diseases the averages were 12 screenings to detect the first case of chronic hepatitis B (85.4%), or schistosomiasis (86.9%), 23 for hepatitis C (85.6%) or malaria (93.3%), and eight for syphilis (79.4%) and strongyloidiasis (88.4%). The use of machine learning methodologies allowed the prediction of the expected disease burden and made it possible to pinpoint with greater precision those immigrants who are likely to benefit from screening programs, thus contributing effectively to their development and design.</t>
  </si>
  <si>
    <t xml:space="preserve">- HIV infection
- Malaria
- Chronic hepatitis B and C
- Schistosomiasis
- Chagas</t>
  </si>
  <si>
    <t xml:space="preserve">CHAGAS-DISEASE; NONENDEMIC COUNTRIES; MIGRANTS; EPIDEMIOLOGY; TRAVELERS; ILLNESS; AFRICAN; MALARIA; EUROPE</t>
  </si>
  <si>
    <t xml:space="preserve">[Fernandez-Martinez, Juan L.; de Andres-Galiana, Enrique] Univ Oviedo, Grp Inverse Problems Optimizat &amp; Machine Learning, Asturias, Spain; [Boga, Jose A.; Fernandez, Jonathan; Vazquez, Fernando] Hosp Univ Cent Asturias, Dept Microbiol, Oviedo, Spain; [Boga, Jose A.] Inst Invest Sanitaria Principado Asturias, Oviedo, Spain; [Casado, Luis] Hosp Cruz Roja, Dept Internal Med, Gijon, Spain; [Menendez, Candela; Garcia-Perez, Alicia; Moran-Suarez, Noelia; Martinez-Sela, Maria] Hosp Univ Cent Asturias, Dept Internal Med, Oviedo, Spain; [Vazquez, Fernando] Univ Oviedo, Dept Biol Func, Area Microbiol, Asturias, Spain; [Rodriguez-Guardado, Azucena] Hosp Univ Cent Asturias, Trop Med Unit, Oviedo, Spain; Univ Oviedo, Dept Med, Asturias, Spain</t>
  </si>
  <si>
    <t xml:space="preserve">University of Oviedo; Central University Hospital Asturias; Instituto de Investigacion Sanitaria del Principado de Asturias (ISPA); Central University Hospital Asturias; University of Oviedo; Central University Hospital Asturias; University of Oviedo</t>
  </si>
  <si>
    <t xml:space="preserve">Rodríguez-Guardado, A (corresponding author), Hosp Univ Cent Asturias, Internal Med Unit, Ave Roma S-N, Oviedo 33011, Spain.</t>
  </si>
  <si>
    <t xml:space="preserve">jlfmuniovi@gmail.com; joseantonio.boga@sespa.es; ej.deandres@gmail.com; jofersua@hotmail.com; candela1987@hotmail.com; apuali111@gmail.com; noemorsua@gmail.com; minsela@gmail.com; opsklins@gmail.com; azucenarodriguez@telecable.es</t>
  </si>
  <si>
    <t xml:space="preserve">García-Pérez, Ángel/ACP-8091-2022; deAndrés-Galiana, Enrique/AAH-4797-2019; Boga, Jose/ABA-2719-2021; Fernandez-Martinez, Juan Luis/M-1446-2017</t>
  </si>
  <si>
    <t xml:space="preserve">Fernandez-Martinez, Juan Luis/0000-0002-4758-2832; Boga, Jose Antonio/0000-0002-5500-9972; Fernandez-Suarez, Jonathan/0000-0002-3482-2833; deAndres-Galiana, Enrique J/0000-0001-8555-3832</t>
  </si>
  <si>
    <t xml:space="preserve">10.4269/ajtmh.20-1443</t>
  </si>
  <si>
    <t xml:space="preserve">WW6AF</t>
  </si>
  <si>
    <t xml:space="preserve">WOS:000717996200051</t>
  </si>
  <si>
    <t xml:space="preserve">Zorn, KM; Sun, SX; McConnon, CL; Ma, K; Chen, EK; Foil, DH; Lane, TR; Liu, LJ; El-Sakkary, N; Skinner, DE; Ekins, S; Caffrey, CR</t>
  </si>
  <si>
    <t xml:space="preserve">Zorn, Kimberley M.; Sun, Shengxi; McConnon, Cecelia L.; Ma, Kelley; Chen, Eric K.; Foil, Daniel H.; Lane, Thomas R.; Liu, Lawrence J.; El-Sakkary, Nelly; Skinner, Danielle E.; Ekins, Sean; Caffrey, Conor R.</t>
  </si>
  <si>
    <t xml:space="preserve">A Machine Learning Strategy for Drug Discovery Identifies Anti-Schistosomal Small Molecules</t>
  </si>
  <si>
    <t xml:space="preserve">Schistosomiasis is a chronic and painful disease of poverty caused by the flatworm parasite Schistosoma. Drug discovery for antischistosomal compounds predominantly employs in vitro whole organism (phenotypic) screens against two developmental stages of Schistosoma mansoni, post-infective larvae (somules) and adults. We generated two rule books and associated scoring systems to normalize 3898 phenotypic data points to enable machine learning. The data were used to generate eight Bayesian machine learning models with the Assay Central software according to parasite's developmental stage and experimental time point (&lt;= 24, 48, 72, and &gt;72 h). The models helped predict 56 active and nonactive compounds from commercial compound libraries for testing. When these were screened against S. mansoni in vitro, the prediction accuracy for active and inactives was 61% and 56% for somules and adults, respectively; also, hit rates were 48% and 34%, respectively, far exceeding the typical 1-2% hit rate for traditional high throughput screens.</t>
  </si>
  <si>
    <t xml:space="preserve">Schistosoma; schistosomiasis; drug discovery; machine learning; Bayesian; phenotypic screen</t>
  </si>
  <si>
    <t xml:space="preserve">[Zorn, Kimberley M.; Foil, Daniel H.; Lane, Thomas R.; Ekins, Sean] Collaborat Pharmaceut, Raleigh, NC 27606 USA; [Sun, Shengxi; McConnon, Cecelia L.; Ma, Kelley; Chen, Eric K.; Liu, Lawrence J.; El-Sakkary, Nelly; Skinner, Danielle E.; Caffrey, Conor R.] Univ Calif San Diego, Skaggs Sch Pharm &amp; Pharmaceut Sci, Ctr Discovery &amp; Innovat Parasit Dis, La Jolla, CA 92093 USA</t>
  </si>
  <si>
    <t xml:space="preserve">University of California System; University of California San Diego</t>
  </si>
  <si>
    <t xml:space="preserve">Ekins, S (corresponding author), Collaborat Pharmaceut, Raleigh, NC 27606 USA.;Caffrey, CR (corresponding author), Univ Calif San Diego, Skaggs Sch Pharm &amp; Pharmaceut Sci, Ctr Discovery &amp; Innovat Parasit Dis, La Jolla, CA 92093 USA.</t>
  </si>
  <si>
    <t xml:space="preserve">sean@collaborationspharma.com; ccaffrey@health.ucsd.edu</t>
  </si>
  <si>
    <t xml:space="preserve">Foil, Daniel/AAJ-1809-2021</t>
  </si>
  <si>
    <t xml:space="preserve">Foil, Daniel/0000-0003-0512-8997</t>
  </si>
  <si>
    <t xml:space="preserve">National Institutes of Health (NIH) from the National Institute of General Medical Sciences [1R43GM122196-01, R44GM122196-02A1]; NIH [R21AI126296]; Bill and Melinda Gates Foundation [OPP1171488]; Skaggs Scholarships from the UC San Diego Skaggs School of Pharmacy and Pharmaceutical Sciences; Eunice Kennedy Shriver National Institute of Child Health and Human Development of the National Institutes of Health [T35HD064385]; National Institute of Allergy and Infectious Diseases (NIAID) Schistosomiasis Resource Center of the Biomedical Research Institute (Rockville, MD, USA) through the National Institutes of Health (NIH)-NIAID [HHSN272201700014I]; Eunice Kennedy Shriver National Institute of Child Health and Human Development [T35HD064385] Funding Source: NIH RePORTER; Bill and Melinda Gates Foundation [OPP1171488] Funding Source: Bill and Melinda Gates Foundation</t>
  </si>
  <si>
    <t xml:space="preserve">National Institutes of Health (NIH) from the National Institute of General Medical Sciences; NIH(United States Department of Health &amp; Human ServicesNational Institutes of Health (NIH) - USA); Bill and Melinda Gates Foundation(Bill &amp; Melinda Gates Foundation); Skaggs Scholarships from the UC San Diego Skaggs School of Pharmacy and Pharmaceutical Sciences; Eunice Kennedy Shriver National Institute of Child Health and Human Development of the National Institutes of Health(United States Department of Health &amp; Human ServicesNational Institutes of Health (NIH) - USANIH Eunice Kennedy Shriver National Institute of Child Health &amp; Human Development (NICHD)); National Institute of Allergy and Infectious Diseases (NIAID) Schistosomiasis Resource Center of the Biomedical Research Institute (Rockville, MD, USA) through the National Institutes of Health (NIH)-NIAID; Eunice Kennedy Shriver National Institute of Child Health and Human Development(United States Department of Health &amp; Human ServicesNational Institutes of Health (NIH) - USANIH Eunice Kennedy Shriver National Institute of Child Health &amp; Human Development (NICHD)); Bill and Melinda Gates Foundation(Bill &amp; Melinda Gates Foundation)</t>
  </si>
  <si>
    <t xml:space="preserve">K.M.Z. and S.E. acknowledge the National Institutes of Health (NIH) funding to develop the software from 1R43GM122196-01 and R44GM122196-02A1 Centralized assay datasets for modelling support of small drug discovery organizations from the National Institute of General Medical Sciences. C.R.C. acknowledges R21AI126296 from the NIH and OPP1171488 from the Bill and Melinda Gates Foundation. S.S., C.L.M, and E.K.C. were supported by Skaggs Scholarships from the UC San Diego Skaggs School of Pharmacy and Pharmaceutical Sciences. K.M. was supported in part by the Eunice Kennedy Shriver National Institute of Child Health and Human Development of the National Institutes of Health under the award number T35HD064385. The content is solely the responsibility of the authors and does not necessarily represent the official views of the National Institutes of Health. S. mansoni-infected hamsters were provided in part by the National Institute of Allergy and Infectious Diseases (NIAID) Schistosomiasis Resource Center of the Biomedical Research Institute (Rockville, MD, USA) through the National Institutes of Health (NIH)-NIAID Contract HHSN272201700014I for distribution through BEI Resources. We thank Dr. Alex M. Clark (Molecular Materials Informatics, Inc.) for Assay Central support.</t>
  </si>
  <si>
    <t xml:space="preserve">FEB 12</t>
  </si>
  <si>
    <t xml:space="preserve">10.1021/acsinfecdis.0c00754</t>
  </si>
  <si>
    <t xml:space="preserve">QJ6MP</t>
  </si>
  <si>
    <t xml:space="preserve">WOS:000619803000016</t>
  </si>
  <si>
    <t xml:space="preserve">Bamorovat, M; Sharifi, I; Rashedi, E; Shafiian, A; Sharifi, F; Khosravi, A; Tahmouresi, A</t>
  </si>
  <si>
    <t xml:space="preserve">Bamorovat, Mehdi; Sharifi, Iraj; Rashedi, Esmat; Shafiian, Alireza; Sharifi, Fatemeh; Khosravi, Ahmad; Tahmouresi, Amirhossein</t>
  </si>
  <si>
    <t xml:space="preserve">A novel diagnostic and prognostic approach for unresponsive patients with anthroponotic cutaneous leishmaniasis using artificial neural networks</t>
  </si>
  <si>
    <t xml:space="preserve">Cutaneous leishmaniasis (CL) imposes a major health burden throughout the tropical and subtropical regions of the globe. Unresponsive cases are common phenomena occurred upon exposure to the standard drugs. Therefore, rapid detection, prognosis and classification of the disease are crucial for selecting the proper treatment modality. Using machine learning (ML) techniques, this study aimed to detect unresponsive cases of ACL, caused by Leishmania tropica, which will consequently be used for a more effective treatment modality. This study was conducted as a case-control setting. Patients were selected in a major ACL focus from both unresponsive and responsive cases. Nine unique and relevant features of patients with ACL were selected. To categorize the patients, different classifier models such as k-nearest neighbors (KNN), support vector machines (SVM), multilayer perceptron (MLP), learning vector quantization (LVQ) and multipass LVQ were applied and compared for this supervised learning task. Comparison of the receiver operating characteristic graphs (ROC) and confusion plots for the above models represented that MLP was a fairly accurate prediction model to solve this problem. The overall accuracy in terms of sensitivity, specificity and area under ROC curve (AUC) of MLP classifier were 87.8%, 90.3%, 86% and 0.88%, respectively. Moreover, the duration of the skin lesion was the most influential feature in MLP classifier, while gender was the least. The present investigation demonstrated that MLP model could be utilized for rapid detection, accurate prognosis and effective treatment of unresponsive patients with ACL. The results showed that the major feature affecting the responsiveness to treatments is the duration of the lesion. This novel approach is unique and can be beneficial in developing diagnostic, prophylactic and therapeutic measures against the disease. This attempt could be a preliminary step towards the expansion of ML application in future directions.</t>
  </si>
  <si>
    <t xml:space="preserve">MEGLUMINE ANTIMONIATE; SOUTHEASTERN IRAN; KERMAN PROVINCE; CLASSIFICATION; PREDICTION; MODEL; RESISTANCE; ALGORITHM; SUPPORT; TROPICA</t>
  </si>
  <si>
    <t xml:space="preserve">[Bamorovat, Mehdi; Sharifi, Iraj; Khosravi, Ahmad; Tahmouresi, Amirhossein] Kerman Univ Med Sci, Leishmaniasis Res Ctr, Kerman, Iran; [Rashedi, Esmat] Grad Univ Adv Technol, Dept Elect &amp; Comp Engn, Kerman, Iran; [Shafiian, Alireza] Shahid Bahonar Univ Kerman, Fac Vet Med, Dept Pathobiol, Kerman, Iran; [Sharifi, Fatemeh] Kerman Univ Med Sci, Inst Neuropharmacol, Pharmaceut Res Ctr, Kerman, Iran</t>
  </si>
  <si>
    <t xml:space="preserve">Kerman University of Medical Sciences; Graduate University of Advanced Technology; Shahid Bahonar University of Kerman (SBUK); Kerman University of Medical Sciences</t>
  </si>
  <si>
    <t xml:space="preserve">Sharifi, I; Tahmouresi, A (corresponding author), Kerman Univ Med Sci, Leishmaniasis Res Ctr, Kerman, Iran.</t>
  </si>
  <si>
    <t xml:space="preserve">Bamorovat, Mehdi/AAD-3051-2021; Khosravi, Ahmad/AAA-5264-2019; Rashedi, Esmat/AAZ-7069-2020; Sharifi, Fatemeh/AAA-3666-2019; Sharifi, Iraj/AAY-8267-2020</t>
  </si>
  <si>
    <t xml:space="preserve">khosravi, ahmad/0000-0002-1182-0704; Tahmouresi, Amirhossein/0000-0001-7052-4633; Sharifi, Iraj/0000-0002-6894-6834</t>
  </si>
  <si>
    <t xml:space="preserve">Kerman University of Medical Sciences Kerman, Iran [98000673]</t>
  </si>
  <si>
    <t xml:space="preserve">Kerman University of Medical Sciences Kerman, Iran</t>
  </si>
  <si>
    <t xml:space="preserve">This study was supported by Vice-Chancellor of Research, Kerman University of Medical Sciences Kerman, Iran (grant number 98000673). The funders had no role in study design, data collection and analysis, decision to publish, or preparation of the manuscript.</t>
  </si>
  <si>
    <t xml:space="preserve">MAY 5</t>
  </si>
  <si>
    <t xml:space="preserve">e0250904</t>
  </si>
  <si>
    <t xml:space="preserve">10.1371/journal.pone.0250904</t>
  </si>
  <si>
    <t xml:space="preserve">SW6FV</t>
  </si>
  <si>
    <t xml:space="preserve">WOS:000664610500046</t>
  </si>
  <si>
    <t xml:space="preserve">Irmak, E</t>
  </si>
  <si>
    <t xml:space="preserve">Irmak, Emrah</t>
  </si>
  <si>
    <t xml:space="preserve">A Novel Implementation of Deep-Learning Approach on Malaria Parasite Detection from Thin Blood Cell Images</t>
  </si>
  <si>
    <t xml:space="preserve">Malaria is known as an acute febrile disease caused by the bite of female Anopheles mosquitoes, and it manifests itself with symptoms such as headache, fever, chills, vomiting, and fatigue. The diagnosis of malaria is still based on manual identification of Plasmodium parasitized cells in microscopic examinations of blood cells known as parasite based microscopy diagnostic testing. The accuracy of this manual diagnosis meth , is clearly affected by the level of microscopists experience, which makes this diagnosis method susceptible to manual error and time consuming. Diagnoses of diseases made using deep learning methods have had great repercussions in the medical world, especially in recent years; and this indicate, that the diagnosis of malaria can also be achieved by deep learning methods. On the basis of this fact, this paper presents a novel deep-learning-based malaria disease detection technique. A convolutional neural network (CNN) architecture, which has 20 weighted layers is designed and proposed to identify parasitized microscopic images from uninfected microscopic images. A total of 27,558 thin blood cell images were used to train and test the CNN model, and 95.28% overall accuracy was obtained. The experimental results on large clinical dataset show the effectiveness of the piposed deep learning method for malaria disease detection.</t>
  </si>
  <si>
    <t xml:space="preserve">ELECTRICA</t>
  </si>
  <si>
    <t xml:space="preserve">ISTANBUL UNIV-CERRAHPASA</t>
  </si>
  <si>
    <t xml:space="preserve">Convolutional neural network; deep learning; image classification; malaria disease detection</t>
  </si>
  <si>
    <t xml:space="preserve">[Irmak, Emrah] Alanya Alaaddin Keykubat Univ, Dept Elect &amp; Elect Engn, Antalya, Turkey</t>
  </si>
  <si>
    <t xml:space="preserve">Alanya Alaaddin Keykubat University</t>
  </si>
  <si>
    <t xml:space="preserve">Irmak, E (corresponding author), Alanya Alaaddin Keykubat Univ, Dept Elect &amp; Elect Engn, Antalya, Turkey.</t>
  </si>
  <si>
    <t xml:space="preserve">emrah.irmak@alanya.edu.tr</t>
  </si>
  <si>
    <t xml:space="preserve">Irmak, Emrah/ABI-4176-2020</t>
  </si>
  <si>
    <t xml:space="preserve">Irmak, Emrah/0000-0002-7981-2305</t>
  </si>
  <si>
    <t xml:space="preserve">ISTANBUL</t>
  </si>
  <si>
    <t xml:space="preserve">Universite Mahallesi Baglarici Caddesi No:7, ISTANBUL, AVCILAR 34320, TURKEY</t>
  </si>
  <si>
    <t xml:space="preserve">2619-9831</t>
  </si>
  <si>
    <t xml:space="preserve">Electrica</t>
  </si>
  <si>
    <t xml:space="preserve">10.5152/electrica.2020.21004</t>
  </si>
  <si>
    <t xml:space="preserve">Engineering, Electrical &amp; Electronic</t>
  </si>
  <si>
    <t xml:space="preserve">SL2PU</t>
  </si>
  <si>
    <t xml:space="preserve">WOS:000656762700006</t>
  </si>
  <si>
    <t xml:space="preserve">Mswahili, ME; Martin, GL; Woo, J; Choi, GJ; Jeong, YS</t>
  </si>
  <si>
    <t xml:space="preserve">Mswahili, Medard Edmund; Martin, Gati Lother; Woo, Jiyoung; Choi, Guang J.; Jeong, Young-Seob</t>
  </si>
  <si>
    <t xml:space="preserve">Antimalarial Drug Predictions Using Molecular Descriptors and Machine Learning against Plasmodium Falciparum</t>
  </si>
  <si>
    <t xml:space="preserve">Malaria remains by far one of the most threatening and dangerous illnesses caused by the plasmodium falciparum parasite. Chloroquine (CQ) and first-line artemisinin-based combination treatment (ACT) have long been the drug of choice for the treatment and controlling of malaria; however, the emergence of CQ-resistant and artemisinin resistance parasites is now present in most areas where malaria is endemic. In this work, we developed five machine learning models to predict antimalarial bioactivities of a drug against plasmodium falciparum from the features (i.e., molecular descriptors values) obtained from PaDEL software from SMILES of compounds and compare the machine learning models by experiments with our collected data of 4794 instances. As a consequence, we found that three models amongst the five, namely artificial neural network (ANN), extreme gradient boost (XGB), and random forest (RF), outperform the others in terms of accuracy while observing that, using roughly a quarter of the promising descriptors picked by the feature selection algorithm, the five models achieved equivalent and comparable performance. Nevertheless, the contribution of all molecular descriptors in the models was investigated through the comparison of their rank values by the feature selection algorithm and found that the most potent and relevant descriptors which come from the 'Autocorrelation' module contributed more while the 'Atom type electrotopological state' contributed the least to the model.</t>
  </si>
  <si>
    <t xml:space="preserve">Korea</t>
  </si>
  <si>
    <t xml:space="preserve">BIOMOLECULES</t>
  </si>
  <si>
    <t xml:space="preserve">antimalarial drug; machine learning; plasmodium falciparum; molecular descriptor; drug discovery; feature selection; PaDEL</t>
  </si>
  <si>
    <t xml:space="preserve">ARTEMISININ RESISTANCE; MALARIA; AUTOCORRELATION; VIRULENCE; BIOLOGY; PACKAGE; IMPACT</t>
  </si>
  <si>
    <t xml:space="preserve">[Mswahili, Medard Edmund; Martin, Gati Lother; Woo, Jiyoung] Soonchunhyang Univ, Dept ICT Convergence, Asan 31538, South Korea; [Choi, Guang J.] Soonchunhyang Univ, Dept Pharmaceut Engn, Asan 31538, South Korea; [Jeong, Young-Seob] Chungbuk Natl Univ, Dept Comp Engn, Cheongju 28644, South Korea</t>
  </si>
  <si>
    <t xml:space="preserve">Soonchunhyang University; Soonchunhyang University; Chungbuk National University</t>
  </si>
  <si>
    <t xml:space="preserve">Woo, J (corresponding author), Soonchunhyang Univ, Dept ICT Convergence, Asan 31538, South Korea.;Jeong, YS (corresponding author), Chungbuk Natl Univ, Dept Comp Engn, Cheongju 28644, South Korea.</t>
  </si>
  <si>
    <t xml:space="preserve">jywoo@sch.ac.kr; guangchoi@sch.ac.kr; ysjay@chungbuk.ac.kr</t>
  </si>
  <si>
    <t xml:space="preserve">Mswahili, Medard Edmund/0000-0002-6893-6281; Martin, Gati Lother/0009-0007-4770-9286</t>
  </si>
  <si>
    <t xml:space="preserve">Institute of Information &amp; Communications Technology Planning &amp; Evaluation (IITP) - Korea government (MSIT) [2020-0-01108]; Soonchunhyang University Research Fund</t>
  </si>
  <si>
    <t xml:space="preserve">Institute of Information &amp; Communications Technology Planning &amp; Evaluation (IITP) - Korea government (MSIT)(Institute for Information &amp; Communication Technology Planning &amp; Evaluation (IITP), Republic of KoreaMinistry of Science &amp; ICT (MSIT), Republic of Korea); Soonchunhyang University Research Fund</t>
  </si>
  <si>
    <t xml:space="preserve">FundingThis work was supported by Institute of Information &amp; Communications Technology Planning &amp; Evaluation (IITP) grant funded by the Korea government (MSIT) (No. 2020-0-01108, Big data-based development of novel solid forms for P-CAB drugs and establishment of dedicated AI platforms). This work was supported by the Soonchunhyang University Research Fund.</t>
  </si>
  <si>
    <t xml:space="preserve">2218-273X</t>
  </si>
  <si>
    <t xml:space="preserve">Biomolecules</t>
  </si>
  <si>
    <t xml:space="preserve">10.3390/biom11121750</t>
  </si>
  <si>
    <t xml:space="preserve">XX3IJ</t>
  </si>
  <si>
    <t xml:space="preserve">WOS:000736193600001</t>
  </si>
  <si>
    <t xml:space="preserve">Laryea, MK; Borquaye, LS</t>
  </si>
  <si>
    <t xml:space="preserve">Laryea, Michael Konney; Borquaye, Lawrence Sheringham</t>
  </si>
  <si>
    <t xml:space="preserve">Antimalarial, Antioxidant, and Toxicological Evaluation of Extracts of Celtis africana, Grosseria vignei, Physalis micrantha, and Stachytarpheta angustifolia</t>
  </si>
  <si>
    <t xml:space="preserve">In many parts of the world, malaria undoubtedly poses a serious threat to health care systems. Malaria treatment has increasingly become complicated, primarily due to the emergence of widespread resistance of the malaria parasites to cheap and affordable malaria therapeutics. The use of herbal remedies to treat various ailments, including malaria and malaria-like ailments in Ghana is common. We herein report on the antiplasmodial and antioxidant activities as well as toxicological evaluation of four medicinal plants (Celtis africana, Grosseria vignei, Physalis micrantha, and Stachytarpheta angustifolia) commonly used to treat malaria in Ghana. Following Soxhlet extraction of plant samples in ethanol, extracts were screened against Plasmodium falciparum (3D7 strain) in an in vitro antiplasmodial assay. The phosphomolybdenum and DPPH (1, 1-diphenyl-2 picrylhydrazyl) assays were used to evaluate antioxidant activities while toxicity assessment was carried out in mice using the acute toxicity test and kidney and liver function tests. Extracts from Celtis africana and Physalis micrantha were very active towards the parasites with half-maximal inhibitory concentrations (IC50's) of 29.1 and 3.5 mu g/mL, respectively. Extracts of Grosseria vignei and Stachytarpheta angustifolia were inactive, having IC50 values greater than 50 mu g/mL. All extracts exhibited excellent total antioxidant capacities (&gt;800 mg/g AAE) and good DPPH radical scavenging potential (IC50 range of 300-900 mu g/mL). The median lethal dose (LD50) of all extracts in the toxicological evaluation was greater than 2000 mg/kg and there was no effect of extracts on the levels and activities of key biomarkers of liver and kidney function. The activities of these plants obtained in this study partly give credence to their folkloric use in herbal medicines and suggest that they could provide promising lead compounds for malaria drug discovery programs.</t>
  </si>
  <si>
    <t xml:space="preserve">BIOCHEMISTRY RESEARCH INTERNATIONAL</t>
  </si>
  <si>
    <t xml:space="preserve">PLASMODIUM-FALCIPARUM; MALARIA PARASITE; MEDICINAL-PLANTS; ARTEMISININ RESISTANCE; FERRIPROTOPORPHYRIN-IX; INFECTED ERYTHROCYTES; OXIDATIVE STRESS; INHIBITION; PROTEINS</t>
  </si>
  <si>
    <t xml:space="preserve">[Laryea, Michael Konney; Borquaye, Lawrence Sheringham] Kwame Nkrumah Univ Sci &amp; Technol, Dept Chem, Kumasi, Ghana; [Borquaye, Lawrence Sheringham] Kwame Nkrumah Univ Sci &amp; Technol, Cent Lab, Kumasi, Ghana</t>
  </si>
  <si>
    <t xml:space="preserve">Kwame Nkrumah University Science &amp; Technology; Kwame Nkrumah University Science &amp; Technology</t>
  </si>
  <si>
    <t xml:space="preserve">Borquaye, LS (corresponding author), Kwame Nkrumah Univ Sci &amp; Technol, Dept Chem, Kumasi, Ghana.;Borquaye, LS (corresponding author), Kwame Nkrumah Univ Sci &amp; Technol, Cent Lab, Kumasi, Ghana.</t>
  </si>
  <si>
    <t xml:space="preserve">lsborquaye.sci@knust.edu.gh</t>
  </si>
  <si>
    <t xml:space="preserve">Borquaye, Lawrence/AAZ-3687-2021</t>
  </si>
  <si>
    <t xml:space="preserve">International Foundation for Science (IFS) Collaborative Research Grant</t>
  </si>
  <si>
    <t xml:space="preserve">The authors are grateful to the Central Laboratory and the Departments of Chemistry and Pharmacology (all KNUST) for permitting this study to be carried out at their facilities. Funding for this work was provided by an International Foundation for Science (IFS) Collaborative Research Grant to LSB.</t>
  </si>
  <si>
    <t xml:space="preserve">2090-2247</t>
  </si>
  <si>
    <t xml:space="preserve">2090-2255</t>
  </si>
  <si>
    <t xml:space="preserve">BIOCHEM RES INT</t>
  </si>
  <si>
    <t xml:space="preserve">Biochem. Res. Int.</t>
  </si>
  <si>
    <t xml:space="preserve">JUN 23</t>
  </si>
  <si>
    <t xml:space="preserve">10.1155/2021/9971857</t>
  </si>
  <si>
    <t xml:space="preserve">TH1JX</t>
  </si>
  <si>
    <t xml:space="preserve">WOS:000671851900001</t>
  </si>
  <si>
    <t xml:space="preserve">Withington, L; de Vera, DDP; Guest, C; Mancini, C; Piwek, P</t>
  </si>
  <si>
    <t xml:space="preserve">Withington, Lucy; de Vera, David Diaz Pardo; Guest, Claire; Mancini, Clara; Piwek, Paul</t>
  </si>
  <si>
    <t xml:space="preserve">Artificial neural networks for classifying the time series sensor data generated by medical detection dogs</t>
  </si>
  <si>
    <t xml:space="preserve">The aim of this research was to discover if artificial neural networks can be used to classify pressure sensor data generated by medical detection dogs as they sniff biological samples. A detection dog can be trained to recognise the odour emitted by one of a wide range of diseases such as prostate cancer, malaria or, potentially, COVID-19. The dog searches a row of sample pots and indicates a positive sample by sitting in front of it. This offers a noninvasive means of diagnosing the specific cancer or disease that the dog has been trained to recognise. For this study, pressure sensors were attached to the sample pots to generate time series data pertaining to the dog's searching behaviour as they press their nose against the sample pot to sniff its content. Automatic classification could provide a second form of indication, to support or refute the dog's explicit signal (to sit at a positive sample), which is not always correct. Ultimately, classification software could eliminate the need for the dog to perform an indication gesture, making the dog's task easier and training quicker. Four different neural network architectures were evaluated: multilayer perceptron (MLP), a convolutional neural network (CNN), a fully convolutional network (FCN) and ResNet (a deep convolutional neural network). Each model was trained to classify the pressure data generated by medical detection dogs. To achieve a useful level of accuracy, it was found that the models needed to be trained using only those data samples where the dog had correctly classified the scent sample. Model hyperparameters were tuned to improve accuracy. We found that the best performing model was MLP. When tested on previously unseen data, where the dog was not always correct, the classification performance of the MLP approached that of the medical detection dogs. For our particular dataset, the model's true positive rate (i.e. recall) was 59%, matching that of the dogs. The model's true negative rate was 79%, compared to the dogs' 91%.</t>
  </si>
  <si>
    <t xml:space="preserve">UK</t>
  </si>
  <si>
    <t xml:space="preserve">- Multilayer Perceptron (MLP)
- Convolutional neural network (CNN)
- Fully convolutional network (FCN)
- ResNet</t>
  </si>
  <si>
    <t xml:space="preserve">Animal computer interaction; Time series classification; Classification algorithms; Intelligent system; Convolutional neural network; Sensors</t>
  </si>
  <si>
    <t xml:space="preserve">BIOMARKERS</t>
  </si>
  <si>
    <t xml:space="preserve">[Withington, Lucy; Piwek, Paul] Open Univ, Jennie Lee Bldg,Walton Hall, Milton Keynes MK7 6AA, Bucks, England; [de Vera, David Diaz Pardo; Mancini, Clara] Open Univ, Anim Comp Interact Lab, Milton Keynes, Bucks, England; [Guest, Claire] Med Detect Dogs, Great Horwood, England</t>
  </si>
  <si>
    <t xml:space="preserve">Open University - UK; Open University - UK</t>
  </si>
  <si>
    <t xml:space="preserve">Withington, L (corresponding author), Open Univ, Jennie Lee Bldg,Walton Hall, Milton Keynes MK7 6AA, Bucks, England.</t>
  </si>
  <si>
    <t xml:space="preserve">tsc.aci@outlook.com; Claire.Guest@medicaldetectiondogs.org.uk; clara.mancini@open.ac.uk; paul.piwek@open.ac.uk</t>
  </si>
  <si>
    <t xml:space="preserve">; Pardo, David/AGQ-6435-2022</t>
  </si>
  <si>
    <t xml:space="preserve">Piwek, Paul/0000-0003-1621-6124; Pardo, David/0000-0002-1264-2401; Mancini, Clara/0000-0003-1555-077X</t>
  </si>
  <si>
    <t xml:space="preserve">10.1016/j.eswa.2021.115564</t>
  </si>
  <si>
    <t xml:space="preserve">JUL 2021</t>
  </si>
  <si>
    <t xml:space="preserve">UR7UV</t>
  </si>
  <si>
    <t xml:space="preserve">WOS:000696950400008</t>
  </si>
  <si>
    <t xml:space="preserve">Peterson, KS; Lewis, J; Patterson, OV; Chapman, AB; Denhalter, DW; Lye, PA; Stevens, VW; Gamage, SD; Roselle, GA; Wallace, KS; Jones, M</t>
  </si>
  <si>
    <t xml:space="preserve">Peterson, Kelly S.; Lewis, Julia; Patterson, Olga, V; Chapman, Alec B.; Denhalter, Daniel W.; Lye, Patricia A.; Stevens, Vanessa W.; Gamage, Shantini D.; Roselle, Gary A.; Wallace, Katherine S.; Jones, Makoto</t>
  </si>
  <si>
    <t xml:space="preserve">Automated Travel History Extraction From Clinical Notes for Informing the Detection of Emergent Infectious Disease Events: Algorithm Development and Validation</t>
  </si>
  <si>
    <t xml:space="preserve">Background: Patient travel history can be crucial in evaluating evolving infectious disease events. Such information can be challenging to acquire in electronic health records, as it is often available only in unstructured text. Objective: This study aims to assess the feasibility of annotating and automatically extracting travel history mentions from unstructured clinical documents in the Department of Veterans Affairs across disparate health care facilities and among millions of patients. Information about travel exposure augments existing surveillance applications for increased preparedness in responding quickly to public health threats. Methods: Clinical documents related to arboviral disease were annotated following selection using a semiautomated bootstrapping process. Using annotated instances as training data, models were developed to extract from unstructured clinical text any mention of affirmed travel locations outside of the continental United States. Automated text processing models were evaluated, involving machine learning and neural language models for extraction accuracy. Results: Among 4584 annotated instances, 2659 (58%) contained an affirmed mention of travel history, while 347 (7.6%) were negated. Interannotator agreement resulted in a document-level Cohen kappa of 0.776. Automated text processing accuracy (F1 85.6, 95% CI 82.5-87.9) and computational burden were acceptable such that the system can provide a rapid screen for public health events. Conclusions: Automated extraction of patient travel history from clinical documents is feasible for enhanced passive surveillance public health systems. Without such a system, it would usually be necessary to manually review charts to identify recent travel or lack of travel, use an electronic health record that enforces travel history documentation, or ignore this potential source of information altogether. The development of this tool was initially motivated by emergent arboviral diseases. More recently, this system was used in the early phases of response to COVID-19 in the United States, although its utility was limited to a relatively brief window due to the rapid domestic spread of the virus. Such systems may aid future efforts to prevent and contain the spread of infectious diseases.</t>
  </si>
  <si>
    <t xml:space="preserve">JMIR PUBLIC HEALTH AND SURVEILLANCE</t>
  </si>
  <si>
    <t xml:space="preserve">JMIR PUBLICATIONS, INC</t>
  </si>
  <si>
    <t xml:space="preserve">natural language processing; machine learning; travel history; COVID-19; Zika; infectious disease surveillance; surveillance applications; biosurveillance; electronic health record</t>
  </si>
  <si>
    <t xml:space="preserve">[Peterson, Kelly S.; Lewis, Julia; Patterson, Olga, V; Chapman, Alec B.; Denhalter, Daniel W.; Stevens, Vanessa W.; Jones, Makoto] US Dept Vet Affairs, VA Salt Lake City Hlth Care Syst, 500 Foothill Dr, Salt Lake City, UT 84148 USA; [Peterson, Kelly S.; Lewis, Julia; Patterson, Olga, V; Chapman, Alec B.; Stevens, Vanessa W.; Jones, Makoto] Univ Utah, Dept Internal Med, Div Epidemiol, Salt Lake City, UT USA; [Denhalter, Daniel W.] Univ Utah, Dept Rocky Mt Canc Data Syst, Salt Lake City, UT USA; [Lye, Patricia A.; Gamage, Shantini D.; Roselle, Gary A.] US Dept Vet Affairs, Natl Infect Dis Serv, Specialty Care Serv, Cincinnati, OH USA; [Gamage, Shantini D.; Roselle, Gary A.] Univ Cincinnati, Dept Internal Med, Div Infect Dis, Coll Med, Cincinnati, OH USA; [Roselle, Gary A.] US Dept Vet Affairs, Cincinnati VA Med Ctr, Cincinnati, OH USA; [Wallace, Katherine S.] US Dept Vet Affairs, Vet Affairs Cent Off, Off Biosurveillance, Washington, DC USA; [Wallace, Katherine S.] Natl Biosurveillance Integrat Ctr, Dept Homeland Secur, Countering Weap Mass Destruct, Washington, DC USA</t>
  </si>
  <si>
    <t xml:space="preserve">US Department of Veterans Affairs; Utah System of Higher Education; University of Utah; Utah System of Higher Education; University of Utah; US Department of Veterans Affairs; Veterans Health Administration (VHA); Cincinnati VA Medical Center; University System of Ohio; University of Cincinnati; US Department of Veterans Affairs; Veterans Health Administration (VHA); Cincinnati VA Medical Center; US Department of Veterans Affairs; Veterans Health Administration (VHA)</t>
  </si>
  <si>
    <t xml:space="preserve">Peterson, KS (corresponding author), US Dept Vet Affairs, VA Salt Lake City Hlth Care Syst, 500 Foothill Dr, Salt Lake City, UT 84148 USA.</t>
  </si>
  <si>
    <t xml:space="preserve">kelly.peterson2@va.gov</t>
  </si>
  <si>
    <t xml:space="preserve">Stevens, Vanessa/E-5790-2011</t>
  </si>
  <si>
    <t xml:space="preserve">Patterson, Olga V/0000-0002-8717-5975; Peterson, Kelly/0000-0001-7803-6984; Stevens, Vanessa/0000-0001-8933-5453</t>
  </si>
  <si>
    <t xml:space="preserve">Department of Homeland Security, National Biosurveillance Integration Center; VA Salt Lake City Informatics, Decision Enhancement, and Analytic Sciences Center in Salt Lake City, Utah</t>
  </si>
  <si>
    <t xml:space="preserve">Department of Homeland Security, National Biosurveillance Integration Center(United States Department of Homeland Security (DHS)); VA Salt Lake City Informatics, Decision Enhancement, and Analytic Sciences Center in Salt Lake City, Utah</t>
  </si>
  <si>
    <t xml:space="preserve">This project was funded by the Department of Homeland Security, National Biosurveillance Integration Center. This project was supported with facilities at the VA Salt Lake City Informatics, Decision Enhancement, and Analytic Sciences Center in Salt Lake City, Utah and data resources from VA Informatics and Computing. The views expressed are those of the authors and do not necessarily reflect the position or policy of the Department of VA or the United States government. We thank the editor and anonymous reviewers for their feedback in ameliorating the reporting of this study.</t>
  </si>
  <si>
    <t xml:space="preserve">TORONTO</t>
  </si>
  <si>
    <t xml:space="preserve">130 QUEENS QUAY E, STE 1102, TORONTO, ON M5A 0P6, CANADA</t>
  </si>
  <si>
    <t xml:space="preserve">2369-2960</t>
  </si>
  <si>
    <t xml:space="preserve">JMIR PUBLIC HLTH SUR</t>
  </si>
  <si>
    <t xml:space="preserve">JMIR Public Health Surveill.</t>
  </si>
  <si>
    <t xml:space="preserve">e26719</t>
  </si>
  <si>
    <t xml:space="preserve">10.2196/26719</t>
  </si>
  <si>
    <t xml:space="preserve">RJ1LK</t>
  </si>
  <si>
    <t xml:space="preserve">WOS:000637363200002</t>
  </si>
  <si>
    <t xml:space="preserve">Parsons, Z; Banitaan, S</t>
  </si>
  <si>
    <t xml:space="preserve">Parsons, Zeinab; Banitaan, Shadi</t>
  </si>
  <si>
    <t xml:space="preserve">Automatic identification of Chagas disease vectors using data mining and deep learning techniques</t>
  </si>
  <si>
    <t xml:space="preserve">Chagas Disease (CD) is a vector-borne infectious disease transmitted from animals to humans and reversely. It is caused by the parasite Trypanosoma cruzi (abbr. as T. cruzi). CD is forcing an enormous social burden on public health and counts as one of the most significant threats to human health. CD has two phases of acute and chronic. The diagnostic of CD can be performed at both phases, but it is not entirely curable in the chronic phase. Therefore, diagnosing and treating it in the acute phase plays an essential role in overcoming the disease. There are many clinical trials dedicated to solving this problem, but they are expensive and time-consuming. Computational methods (automatic identification) to solving this problem are limited. Therefore, this work focuses on the automatic identification of CD. It proposes four different automated CD vector identification approaches that classify several vectors of kissing bugs with acceptable and promising accuracy rates. Three of the proposed frameworks are data mining-based approaches composed of preprocessing, feature extraction, feature selection, data balancing, and classification steps. The Principal component analysis (PCA) algorithm is used for feature extraction, and three different classification techniques, including Decision Tree (DT), Random Forest (RF), and Support Vector Machine (SVM), are employed in the classification step. In the fourth approach, two different convolutional neural networks (CNN) structures are applied to the preprocessed dataset. The results are optimistic and outperform previously developed systems. The accuracy of 100% is achieved using PCA + DT and PCA + RF. By achieving 100% accuracy rates for the current most common dataset of kissing bugs, we get one step closer to overcome this rising fatal disease. Such an automatic system could provide a great help for healthcare clinicians in identifying and treating CD disease in an early phase to cure it completely.</t>
  </si>
  <si>
    <t xml:space="preserve">Brazil, Mexico</t>
  </si>
  <si>
    <t xml:space="preserve">Chagas disease; Vector identification; Automation; Triatomine; Trypanosoma cruzi</t>
  </si>
  <si>
    <t xml:space="preserve">TRYPANOSOMA-CRUZI INFECTION; RANDOM FOREST; CLASSIFICATION; TEXAS</t>
  </si>
  <si>
    <t xml:space="preserve">[Parsons, Zeinab; Banitaan, Shadi] Univ Detroit Mercy, Dept ECECS, 4001 W McNichols Rd, Detroit, MI 48221 USA</t>
  </si>
  <si>
    <t xml:space="preserve">University of Detroit Mercy</t>
  </si>
  <si>
    <t xml:space="preserve">Parsons, Z (corresponding author), Univ Detroit Mercy, Dept ECECS, 4001 W McNichols Rd, Detroit, MI 48221 USA.</t>
  </si>
  <si>
    <t xml:space="preserve">ghasemze@udmercy.edu; banitaash@udmercy.edu</t>
  </si>
  <si>
    <t xml:space="preserve">10.1016/j.ecoinf.2021.101270</t>
  </si>
  <si>
    <t xml:space="preserve">RM7PO</t>
  </si>
  <si>
    <t xml:space="preserve">WOS:000639851100006</t>
  </si>
  <si>
    <t xml:space="preserve">Molina, A; Rodellar, J; Boldú, L; Acevedo, A; Alférez, S; Merino, A</t>
  </si>
  <si>
    <t xml:space="preserve">Molina, Angel; Rodellar, Jose; Boldu, Laura; Acevedo, Andrea; Alferez, Santiago; Merino, Anna</t>
  </si>
  <si>
    <t xml:space="preserve">Automatic identification of malaria and other red blood cell inclusions using convolutional neural networks</t>
  </si>
  <si>
    <t xml:space="preserve">Malaria is a serious disease responsible for thousands of deaths each year. Many efforts have been made to aid in the diagnosis of malaria using machine learning techniques, but to date, the presence of other elements that may interfere with the recognition of malaria has not been considered. We have developed the first deep learning model using convolutional neural networks capable of differentiating malaria-infected red blood cells from not only normal erythrocytes but also erythrocytes with other types of inclusions. 6415 images of red blood cells were segmented from digital images of 53 peripheral blood smears using thresholding and watershed transformation techniques. These images were used to train a VGG-16 architecture using transfer learning. Using an independent test set of 23 smears, this model was 99.5% accurate in classifying malaria parasites and other red blood cell inclusions. This model also exhibited sensitivity and specificity values of 100% and 91.7%, respectively, classifying a complete smear as infected or not infected. Our model represents a promising advance for automation in the identification of malaria-infected patients. The differentiation between malaria parasites and other red blood cell inclusions demonstrates the potential utility of our model in a real work environment.</t>
  </si>
  <si>
    <t xml:space="preserve">Spain, Colombia</t>
  </si>
  <si>
    <t xml:space="preserve">Malaria; Erythrocyte; Peripheral blood smear; Digital image processing; Deep learning; Convolutional neural networks</t>
  </si>
  <si>
    <t xml:space="preserve">CLASSIFICATION; DIAGNOSIS; PARASITES; MICROSCOPY</t>
  </si>
  <si>
    <t xml:space="preserve">[Molina, Angel; Boldu, Laura; Acevedo, Andrea; Merino, Anna] Hosp Clin Barcelona, Biomed Diagnost Ctr, Biochem &amp; Mol Genet Dept, Villarroel 170, Barcelona 08036, Spain; [Rodellar, Jose; Acevedo, Andrea] Tech Univ Catalonia, Barcelona East Engn Sch, Dept Math, Barcelona, Catalonia, Spain; [Alferez, Santiago] Univ Rosario, Fac Nat Sci &amp; Math, Bogota, Colombia</t>
  </si>
  <si>
    <t xml:space="preserve">University of Barcelona; Hospital Clinic de Barcelona; Universitat Politecnica de Catalunya; Universidad del Rosario</t>
  </si>
  <si>
    <t xml:space="preserve">Molina, A (corresponding author), Hosp Clin Barcelona, Biomed Diagnost Ctr, Biochem &amp; Mol Genet Dept, Villarroel 170, Barcelona 08036, Spain.</t>
  </si>
  <si>
    <t xml:space="preserve">amolinab@clinic.cat</t>
  </si>
  <si>
    <t xml:space="preserve">Rodellar, Jose/AAC-6701-2019; Rodellar, Jose/I-8693-2014</t>
  </si>
  <si>
    <t xml:space="preserve">Rodellar, Jose/0000-0002-1514-7713</t>
  </si>
  <si>
    <t xml:space="preserve">Ministry of Science and Innovation of Spain [PID2019-104087RB-I00]</t>
  </si>
  <si>
    <t xml:space="preserve">Ministry of Science and Innovation of Spain(Ministry of Science and Innovation, Spain (MICINN)Spanish Government)</t>
  </si>
  <si>
    <t xml:space="preserve">This work is part of a research project funded by the Ministry of Science and Innovation of Spain, with reference PID2019-104087RB-I00.</t>
  </si>
  <si>
    <t xml:space="preserve">10.1016/j.compbiomed.2021.104680</t>
  </si>
  <si>
    <t xml:space="preserve">UR7LZ</t>
  </si>
  <si>
    <t xml:space="preserve">WOS:000696927400006</t>
  </si>
  <si>
    <t xml:space="preserve">Gillette, MA; Mani, DR; Uschnig, C; Pellé, KG; Madrid, L; Acácio, S; Lanaspa, M; Alonso, P; Valim, C; Carr, SA; Schaffner, SF; MacInnis, B; Milner, DA; Bassat, Q; Wirth, DF</t>
  </si>
  <si>
    <t xml:space="preserve">Gillette, Michael A.; Mani, D. R.; Uschnig, Christopher; Pelle, Karell G.; Madrid, Lola; Acacio, Sozinho; Lanaspa, Miguel; Alonso, Pedro; Valim, Clarissa; Carr, Steven A.; Schaffner, Stephen F.; MacInnis, Bronwyn; Milner, Danny A.; Bassat, Quique; Wirth, Dyann F.</t>
  </si>
  <si>
    <t xml:space="preserve">Biomarkers to Distinguish Bacterial From Viral Pediatric Clinical Pneumonia in a Malaria-Endemic Setting</t>
  </si>
  <si>
    <t xml:space="preserve">Background. Differential etiologies of pediatric acute febrile respiratory illness pose challenges for all populations globally, but especially in malaria-endemic settings because the pathogens responsible overlap in clinical presentation and frequently occur together. Rapid identification of bacterial pneumonia with high-quality diagnostic tools would enable appropriate, point-of-care antibiotic treatment. Current diagnostics are insufficient, and the discovery and development of new tools is needed. We report a unique biomarker signature identified in blood samples to accomplish this. Methods. Blood samples from 195 pediatric Mozambican patients with clinical pneumonia were analyzed with an aptamer-based, high-dynamic-range, quantitative assay (similar to 1200 proteins). We identified new biomarkers using a training set of samples from patients with established bacterial, viral, or malarial pneumonia. Proteins with significantly variable abundance across etiologies (false discovery rate &lt;0.01) formed the basis for predictive diagnostic models derived from machine learning techniques (Random Forest, Elastic Net). Validation on a dedicated test set of samples was performed. Results. Significantly different abundances between bacterial and viral infections (219 proteins) and bacterial infections and mixed (viral and malaria) infections (151 proteins) were found. Predictive models achieved &gt;90% sensitivity and &gt;80% specificity, regardless of number of pathogen classes. Bacterial pneumonia was strongly associated with neutrophil markers-in particular, degranulation including HP, LCN2, LTF, MPO, MMP8, PGLYRP1, RETN, SERPINA1, S100A9, and SLPI. Conclusions. Blood protein signatures highly associated with neutrophil biology reliably differentiated bacterial pneumonia from other causes. With appropriate technology, these markers could provide the basis for a rapid diagnostic for field-based triage for antibiotic treatment of pediatric pneumonia.</t>
  </si>
  <si>
    <t xml:space="preserve">USA, Spain, Mozambique</t>
  </si>
  <si>
    <t xml:space="preserve">Mozambique</t>
  </si>
  <si>
    <t xml:space="preserve">malaria; pediatric; pneumonia; biomarker; diagnostic</t>
  </si>
  <si>
    <t xml:space="preserve">PLASMODIUM-FALCIPARUM; DIAGNOSIS; CHILDREN; ALPHA-1-ANTITRYPSIN; IDENTIFICATION; NEUTROPHILS; INFECTION; ETIOLOGY</t>
  </si>
  <si>
    <t xml:space="preserve">[Gillette, Michael A.; Mani, D. R.; Uschnig, Christopher; Carr, Steven A.; Schaffner, Stephen F.; MacInnis, Bronwyn; Milner, Danny A.; Wirth, Dyann F.] Broad Inst MIT &amp; Harvard, Cambridge, MA 02142 USA; [Gillette, Michael A.] Massachusetts Gen Hosp, Div Pulm &amp; Crit Care Med, Boston, MA USA; [Gillette, Michael A.; Milner, Danny A.] Harvard Med Sch, Boston, MA 02115 USA; [Uschnig, Christopher; Pelle, Karell G.; Valim, Clarissa; Schaffner, Stephen F.; MacInnis, Bronwyn; Milner, Danny A.; Wirth, Dyann F.] Harvard TH Chan Sch Publ Hlth, Dept Immunol &amp; Infect Dis, Boston, MA USA; [Madrid, Lola; Lanaspa, Miguel; Alonso, Pedro; Bassat, Quique] Hosp Clin Univ Barcelona, ISGlobal, Barcelona, Spain; [Madrid, Lola; Acacio, Sozinho; Lanaspa, Miguel; Alonso, Pedro; Bassat, Quique] Ctr Invest Saude Manh CISM, Maputo, Mozambique; [Valim, Clarissa] Boston Univ, Sch Publ Hlth, Dept Global Hlth, Boston, MA USA; [Milner, Danny A.] Amer Soc Clin Pathologists, Chicago, IL USA; [Bassat, Quique] Catalan Inst Res &amp; Adv Studies ICREA Barcelona, Barcelona, Spain; [Bassat, Quique] Hosp St Joan Deu Univ Barcelona, Pediat Infect Dis Unit, Pediat Dept, Barcelona, Spain; [Bassat, Quique] Consorcio Invest Biomed Red Epidemiol &amp; Salud Pub, Madrid, Spain</t>
  </si>
  <si>
    <t xml:space="preserve">Harvard University; Massachusetts Institute of Technology (MIT); Broad Institute; Harvard University; Harvard University Medical Affiliates; Massachusetts General Hospital; Harvard University; Harvard Medical School; Harvard University; Harvard T.H. Chan School of Public Health; University of Barcelona; Hospital Clinic de Barcelona; ISGlobal; Centro de Investigacao em Saude de Manhica; Boston University; CIBER - Centro de Investigacion Biomedica en Red; CIBERESP</t>
  </si>
  <si>
    <t xml:space="preserve">Wirth, DF (corresponding author), 665 Huntington Ave,SPH1-703, Boston, MA 02115 USA.</t>
  </si>
  <si>
    <t xml:space="preserve">dfwirth@hsph.harvard.edu</t>
  </si>
  <si>
    <t xml:space="preserve">Carr, Steven/C-4924-2013; Lanaspa, Miguel/AAO-4971-2020; Schaffner, Stephen/D-1189-2011; Bassat, Quique/P-2341-2016</t>
  </si>
  <si>
    <t xml:space="preserve">Gillette, Michael/0000-0001-9300-1448; Milner, Jr, Danny Arnold/0000-0002-6685-8208; /0000-0002-3173-6446; Bassat, Quique/0000-0003-0875-7596; Madrid, Lola/0000-0003-4034-6033; Schaffner, Stephen/0000-0001-6699-3568</t>
  </si>
  <si>
    <t xml:space="preserve">Bill and Melinda Gates Foundation [OPP50092]; Government of Mozambique; Spanish Agency for International Development (AECID); Spanish Ministry of Science and Innovation through the Centro de Excelencia Severo Ochoa 2019-2023 Program [CEX2018-000806-S]; Generalitat de Catalunya through the Centres de Recerca de Catalunya Program; Bill and Melinda Gates Foundation [OPP50092] Funding Source: Bill and Melinda Gates Foundation</t>
  </si>
  <si>
    <t xml:space="preserve">Bill and Melinda Gates Foundation(Bill &amp; Melinda Gates Foundation); Government of Mozambique; Spanish Agency for International Development (AECID)(Spanish Government); Spanish Ministry of Science and Innovation through the Centro de Excelencia Severo Ochoa 2019-2023 Program(Spanish Government); Generalitat de Catalunya through the Centres de Recerca de Catalunya Program; Bill and Melinda Gates Foundation(Bill &amp; Melinda Gates Foundation)</t>
  </si>
  <si>
    <t xml:space="preserve">This work was supported by the Bill and Melinda Gates Foundation (grant number OPP50092). The Centro de Investigacao em Saude de Manhica (CISM) is supported by the Government of Mozambique and the Spanish Agency for International Development (AECID). ISGlobal receives support from the Spanish Ministry of Science and Innovation through the Centro de Excelencia Severo Ochoa 2019-2023 Program (CEX2018-000806-S), and support from the Generalitat de Catalunya through the Centres de Recerca de Catalunya Program.</t>
  </si>
  <si>
    <t xml:space="preserve">E3939</t>
  </si>
  <si>
    <t xml:space="preserve">E3948</t>
  </si>
  <si>
    <t xml:space="preserve">10.1093/cid/ciaa1843</t>
  </si>
  <si>
    <t xml:space="preserve">XW0GU</t>
  </si>
  <si>
    <t xml:space="preserve">hybrid, Green Published, Green Submitted</t>
  </si>
  <si>
    <t xml:space="preserve">WOS:000735309500047</t>
  </si>
  <si>
    <t xml:space="preserve">Tió-Coma, M; Kielbasa, SM; van den Eeden, SJF; Mei, HL; Roy, JC; Wallinga, J; Khatun, M; Soren, S; Chowdhury, A; Alam, K; van Hooij, A; Richardus, JH; Geluk, A</t>
  </si>
  <si>
    <t xml:space="preserve">Tio-Coma, Maria; Kielbasa, Szymon M.; van den Eeden, Susan J. F.; Mei, Hailiang; Roy, Johan Chandra; Wallinga, Jacco; Khatun, Marufa; Soren, Sontosh; Chowdhury, Abu Sufian; Alam, Khorshed; van Hooij, Anouk; Richardus, Jan Hendrik; Geluk, Annemieke</t>
  </si>
  <si>
    <t xml:space="preserve">Blood RNA signature RISK4LEP predicts leprosy years before clinical onset</t>
  </si>
  <si>
    <t xml:space="preserve">Background: Leprosy, a chronic infectious disease caused by Mycobacterium leprae, is often late-or misdiag-nosed leading to irreversible disabilities. Blood transcriptomic biomarkers that prospectively predict those who progress to leprosy (progressors) would allow early diagnosis, better treatment outcomes and facilitate interventions aimed at stopping bacterial transmission. To identify potential risk signatures of leprosy, we collected whole blood of household contacts (HC, n=5,352) of leprosy patients, including individuals who were diagnosed with leprosy 4-61 months after sample collection. Methods: We investigated differential gene expression (DGE) by RNA-Seq between progressors before pres-ence of symptoms (n=40) and HC (n=40), as well as longitudinal DGE within each progressor. A prospective leprosy signature was identified using a machine learning approach (Random Forest) and validated using reverse transcription quantitative PCR (RT-qPCR). Findings: Although no significant intra-individual longitudinal variation within leprosy progressors was iden-tified, 1,613 genes were differentially expressed in progressors before diagnosis compared to HC. We identi-fied a 13-gene prospective risk signature with an Area Under the Curve (AUC) of 95.2%. Validation of this RNA-Seq signature in an additional set of progressors (n=43) and HC (n=43) by RT-qPCR, resulted ina final 4 -gene signature, designated RISK4LEP (MT-ND2, REX1BD, TPGS1, UBC) (AUC=86.4%). Interpretation: This study identifies for the first time a prospective transcriptional risk signature in blood pre-dicting development of leprosy 4 to 61 months before clinical diagnosis. Assessment of this signature in con-tacts of leprosy patients can function as an adjunct diagnostic tool to target implementation of interventions to restrain leprosy development. (C) 2021 The Author(s). Published by Elsevier B.V.</t>
  </si>
  <si>
    <t xml:space="preserve">Netherlands, Bangladesh</t>
  </si>
  <si>
    <t xml:space="preserve">EBIOMEDICINE</t>
  </si>
  <si>
    <t xml:space="preserve">Leprosy; Diagnostics; RNA-Seq; Transcriptomics; Biomarker; Prediction</t>
  </si>
  <si>
    <t xml:space="preserve">PULMONARY TUBERCULOSIS; EXPRESSION PROFILES; SUSCEPTIBILITY; ASSOCIATION; BIOMARKERS; SEROLOGY; CONTACTS; PARKIN; FORMS</t>
  </si>
  <si>
    <t xml:space="preserve">[Tio-Coma, Maria; van den Eeden, Susan J. F.; van Hooij, Anouk; Geluk, Annemieke] Dept Infect Dis, Leiden, Netherlands; [Tio-Coma, Maria; van den Eeden, Susan J. F.; van Hooij, Anouk; Geluk, Annemieke] Leiden Univ, Med Ctr, Leiden, Netherlands; [Kielbasa, Szymon M.; Mei, Hailiang; Wallinga, Jacco] Leiden Univ, Dept Biomed Data Sci, Med Ctr, Leiden, Netherlands; [Roy, Johan Chandra; Khatun, Marufa; Soren, Sontosh; Chowdhury, Abu Sufian; Alam, Khorshed] Leprosy Mission Int Bangladesh, Rural Hlth Program, Nilphamari, Bangladesh; [Wallinga, Jacco] Natl Inst Publ Hlth &amp; Environm, Ctr Infect Dis Control, Bilthoven, Netherlands; [Richardus, Jan Hendrik] Univ Med Ctr Rotterdam, Dept Publ Hlth, Erasmus MC, Rotterdam, Netherlands</t>
  </si>
  <si>
    <t xml:space="preserve">Leiden University - Excl LUMC; Leiden University; Leiden University Medical Center (LUMC); Leiden University; Leiden University Medical Center (LUMC); Leiden University - Excl LUMC; Netherlands National Institute for Public Health &amp; the Environment; Erasmus University Rotterdam; Erasmus MC</t>
  </si>
  <si>
    <t xml:space="preserve">Geluk, A (corresponding author), Dept Infect Dis, Leiden, Netherlands.;Geluk, A (corresponding author), Leiden Univ, Med Ctr, Leiden, Netherlands.</t>
  </si>
  <si>
    <t xml:space="preserve">a.geluk@lumc.nl</t>
  </si>
  <si>
    <t xml:space="preserve">Richardus, Jan/AAE-1278-2021; Geluk, Annemieke/KLV-1510-2024; Wallinga, Jacco/C-4382-2018</t>
  </si>
  <si>
    <t xml:space="preserve">Tio-Coma, Maria/0000-0002-3594-1156; Geluk, Annemieke/0000-0001-8555-2872; van den Eeden, Susan/0000-0002-3845-3019; Roy, Johan Chandra/0000-0002-1539-0270; Chowdhury, Abu Sufian/0000-0001-8642-1030; Richardus, Jan Hendrik/0000-0003-0564-6313</t>
  </si>
  <si>
    <t xml:space="preserve">R2STOP Research grant from effect:hope, Canada; Q.M. GastmannWichers Foundation; Leprosy Research Initiative (LRI); Turing Foundation (ILEP) [702.02.73, 703.15.07]; Mission to End Leprosy, Ireland; Order of Malta-Grants-for-Leprosy-Research (MALTALEP)</t>
  </si>
  <si>
    <t xml:space="preserve">R2STOP Research grant from effect:hope, Canada; Q.M. GastmannWichers Foundation; Leprosy Research Initiative (LRI); Turing Foundation (ILEP); Mission to End Leprosy, Ireland; Order of Malta-Grants-for-Leprosy-Research (MALTALEP)</t>
  </si>
  <si>
    <t xml:space="preserve">This study was supported by an R2STOP Research grant from effect:hope, Canada and the Mission to End Leprosy, Ireland; the Order of MaltaGrantsforLeprosyResearch (MALTALEP) ; the Q.M. GastmannWichers Foundation; the Leprosy Research Initiative (LRI) together with the Turing Foundation (ILEP; 702.02.73 and 703.15.07) .</t>
  </si>
  <si>
    <t xml:space="preserve">2352-3964</t>
  </si>
  <si>
    <t xml:space="preserve">EBioMedicine</t>
  </si>
  <si>
    <t xml:space="preserve">10.1016/j.ebiom.2021.103379</t>
  </si>
  <si>
    <t xml:space="preserve">Medicine, General &amp; Internal; Medicine, Research &amp; Experimental</t>
  </si>
  <si>
    <t xml:space="preserve">General &amp; Internal Medicine; Research &amp; Experimental Medicine</t>
  </si>
  <si>
    <t xml:space="preserve">TC9HM</t>
  </si>
  <si>
    <t xml:space="preserve">WOS:000668948400012</t>
  </si>
  <si>
    <t xml:space="preserve">Egieyeh, S; Malan, SF; Christoffels, A</t>
  </si>
  <si>
    <t xml:space="preserve">Egieyeh, Samuel; Malan, Sarel F.; Christoffels, Alan</t>
  </si>
  <si>
    <t xml:space="preserve">Cheminformatics techniques in antimalarial drug discovery and development from natural products 2: Molecular scaffold and machine learning approaches</t>
  </si>
  <si>
    <t xml:space="preserve">A large number of natural products, especially those used in ethnomedicine of malaria, have shown varying in-vitro antiplasmodial activities. Cheminformatics involves the organization, integration, curation, standardization, simulation, mining and transformation of pharmacology data (compounds and bioactivity) into knowledge that can drive rational and viable drug development decisions. This chapter will review the application of two cheminformatics techniques (including molecular scaffold analysis and bioactivity predictive modeling via Machine learning) to natural products with in-vitro and in-vivo antiplasmodial activities in order to facilitate their development into antimalarial drug candidates and design of new potential antimalarial compounds.</t>
  </si>
  <si>
    <t xml:space="preserve">PHYSICAL SCIENCES REVIEWS</t>
  </si>
  <si>
    <t xml:space="preserve">WALTER DE GRUYTER GMBH</t>
  </si>
  <si>
    <t xml:space="preserve">natural products; cheminformatics; scaffold; predictive modeling; machine learning; antimalarial; drug development</t>
  </si>
  <si>
    <t xml:space="preserve">APPLICABILITY DOMAIN; MULTILAYER PERCEPTRON; NEURAL-NETWORKS; MALARIA; ARTEMISININ; EXPLORATION; DERIVATIVES; DIVERSITY; SPACE</t>
  </si>
  <si>
    <t xml:space="preserve">[Egieyeh, Samuel; Malan, Sarel F.] Univ Western Cape, Sch Pharm, Fac Nat Sci, Bellville, South Africa; [Egieyeh, Samuel; Christoffels, Alan] Univ Western Cape, South African Natl Bioinformat Inst, South African Med Res Council, Bioinformat Unit,Fac Nat Sci, Bellville, South Africa</t>
  </si>
  <si>
    <t xml:space="preserve">University of the Western Cape; University of the Western Cape; South African Medical Research Council</t>
  </si>
  <si>
    <t xml:space="preserve">Egieyeh, S (corresponding author), Univ Western Cape, Sch Pharm, Fac Nat Sci, Bellville, South Africa.;Egieyeh, S (corresponding author), Univ Western Cape, South African Natl Bioinformat Inst, South African Med Res Council, Bioinformat Unit,Fac Nat Sci, Bellville, South Africa.</t>
  </si>
  <si>
    <t xml:space="preserve">segieyeh@uwc.ac.za</t>
  </si>
  <si>
    <t xml:space="preserve">christoffels, alan/JEO-8435-2023; Egieyeh, Samuel/AFH-8065-2022; Malan, Sarel/AAA-4189-2020</t>
  </si>
  <si>
    <t xml:space="preserve">EGIEYEH, SAMUEL/0000-0002-7462-6669; Malan, Sarel/0000-0002-1640-6457</t>
  </si>
  <si>
    <t xml:space="preserve">GENTHINER STRASSE 13, D-10785 BERLIN, GERMANY</t>
  </si>
  <si>
    <t xml:space="preserve">2365-6581</t>
  </si>
  <si>
    <t xml:space="preserve">2365-659X</t>
  </si>
  <si>
    <t xml:space="preserve">PHYS SCI REV</t>
  </si>
  <si>
    <t xml:space="preserve">Phys. Sci. Rev.</t>
  </si>
  <si>
    <t xml:space="preserve">10.1515/psr-2019-0029</t>
  </si>
  <si>
    <t xml:space="preserve">RA8AK</t>
  </si>
  <si>
    <t xml:space="preserve">WOS:000631640900006</t>
  </si>
  <si>
    <t xml:space="preserve">Veiga, RV; Schuler-Faccini, L; França, GVA; Andrade, RFS; Teixeira, MG; Costa, LC; Paixao, ES; Costa, MdCN; Barreto, ML; Oliveira, JF; Oliveira, WK; Cardim, LL; Rodrigues, MS</t>
  </si>
  <si>
    <t xml:space="preserve">Veiga, Rafael V.; Schuler-Faccini, Lavinia; Franca, Giovanny V. A.; Andrade, Roberto F. S.; Teixeira, Maria Gloria; Costa, Larissa C.; Paixao, Enny S.; Costa, Maria da Conceicao N.; Barreto, Mauricio L.; Oliveira, Juliane F.; Oliveira, Wanderson K.; Cardim, Luciana L.; Rodrigues, Moreno S.</t>
  </si>
  <si>
    <t xml:space="preserve">Classification algorithm for congenital Zika Syndrome: characterizations, diagnosis and validation</t>
  </si>
  <si>
    <t xml:space="preserve">Zika virus was responsible for the microcephaly epidemic in Brazil which began in October 2015 and brought great challenges to the scientific community and health professionals in terms of diagnosis and classification. Due to the difficulties in correctly identifying Zika cases, it is necessary to develop an automatic procedure to classify the probability of a CZS case from the clinical data. This work presents a machine learning algorithm capable of achieving this from structured and unstructured available data. The proposed algorithm reached 83% accuracy with textual information in medical records and image reports and 76% accuracy in classifying data without textual information. Therefore, the proposed algorithm has the potential to classify CZS cases in order to clarify the real effects of this epidemic, as well as to contribute to health surveillance in monitoring possible future epidemics.</t>
  </si>
  <si>
    <t xml:space="preserve">Brazil, United Kingdom, Portugal</t>
  </si>
  <si>
    <t xml:space="preserve">BRAZIL</t>
  </si>
  <si>
    <t xml:space="preserve">[Veiga, Rafael V.; Andrade, Roberto F. S.; Teixeira, Maria Gloria; Costa, Larissa C.; Paixao, Enny S.; Costa, Maria da Conceicao N.; Barreto, Mauricio L.; Oliveira, Juliane F.; Cardim, Luciana L.] Fundacao Oswaldo Cruz, Inst Goncalo Moniz, Ctr Data &amp; Knowledge Integrat Hlth CIDACS, Salvador, BA, Brazil; [Veiga, Rafael V.] Univ Fed Bahia, Inst Ciencias Saude, Salvador, BA, Brazil; [Schuler-Faccini, Lavinia] Univ Fed Rio Grande do Sul, Porto Alegre, RS, Brazil; [Franca, Giovanny V. A.] Minist Hlth, Secretariat Hlth Surveillance, Brasilia, DF, Brazil; [Andrade, Roberto F. S.] Univ Fed Bahia, Inst Fis, Salvador, BA, Brazil; [Teixeira, Maria Gloria; Costa, Maria da Conceicao N.] Univ Fed Bahia, Inst Saude Colet, Salvador, BA, Brazil; [Paixao, Enny S.] London Sch Hyg &amp; Trop Med, London, England; [Oliveira, Juliane F.] Univ Porto, Dept Math, Ctr Math, Porto, Portugal; [Oliveira, Wanderson K.] Minist Def, Hosp Forcas Armadas, Brasilia, DF, Brazil; [Rodrigues, Moreno S.] Fundacao Oswaldo Cruz, Porto Velho, Rondonia, Brazil</t>
  </si>
  <si>
    <t xml:space="preserve">Fundacao Oswaldo Cruz; Universidade Federal da Bahia; Universidade Federal do Rio Grande do Sul; Universidade Federal da Bahia; Universidade Federal da Bahia; University of London; London School of Hygiene &amp; Tropical Medicine; Universidade do Porto; Fundacao Oswaldo Cruz</t>
  </si>
  <si>
    <t xml:space="preserve">Veiga, RV (corresponding author), Fundacao Oswaldo Cruz, Inst Goncalo Moniz, Ctr Data &amp; Knowledge Integrat Hlth CIDACS, Salvador, BA, Brazil.;Veiga, RV (corresponding author), Univ Fed Bahia, Inst Ciencias Saude, Salvador, BA, Brazil.</t>
  </si>
  <si>
    <t xml:space="preserve">rafaelvalenteveiga@gmail.com</t>
  </si>
  <si>
    <t xml:space="preserve">Andrade, Roberto/R-9088-2019; costa, larissa/GRX-4740-2022; Rodrigues, Moreno/ABD-9852-2020; SCHULER-FACCINI, LAVINIA/C-8309-2013; Teixeira, Maria/G-4808-2012; Barreto, Mauricio/B-1752-2008; Fonseca de Oliveira, Juliane/W-6438-2018; Schuler-Faccini, Lavinia/K-2927-2016; Araujo de Franca, Giovanny Vinicius/L-7385-2018</t>
  </si>
  <si>
    <t xml:space="preserve">Fonseca de Oliveira, Juliane/0000-0002-7167-8754; Schuler-Faccini, Lavinia/0000-0002-2428-0460; Catharina Costa, Larissa/0000-0002-2463-445X; Veiga, Rafael/0000-0002-4413-193X; Araujo de Franca, Giovanny Vinicius/0000-0002-7530-2017; Andrade, Roberto/0000-0002-9323-1400</t>
  </si>
  <si>
    <t xml:space="preserve">Wellcome Trust [213589/Z/18/Z]; Wellcome Trust [213589/Z/18/Z] Funding Source: Wellcome Trust</t>
  </si>
  <si>
    <t xml:space="preserve">Wellcome Trust(Wellcome Trust); Wellcome Trust(Wellcome Trust)</t>
  </si>
  <si>
    <t xml:space="preserve">This study was funded by Wellcome Trust (213589/Z/18/Z).</t>
  </si>
  <si>
    <t xml:space="preserve">MAR 24</t>
  </si>
  <si>
    <t xml:space="preserve">10.1038/s41598-021-86361-5</t>
  </si>
  <si>
    <t xml:space="preserve">RF6SN</t>
  </si>
  <si>
    <t xml:space="preserve">WOS:000634972100020</t>
  </si>
  <si>
    <t xml:space="preserve">Kittichai, V; Kaewthamasorn, M; Thanee, S; Jomtarak, R; Klanboot, K; Naing, KM; Tongloy, T; Chuwongin, S; Boonsang, S</t>
  </si>
  <si>
    <t xml:space="preserve">Kittichai, Veerayuth; Kaewthamasorn, Morakot; Thanee, Suchansa; Jomtarak, Rangsan; Klanboot, Kamonpob; Naing, Kaung Myat; Tongloy, Teerawat; Chuwongin, Santhad; Boonsang, Siridech</t>
  </si>
  <si>
    <t xml:space="preserve">Classification for avian malaria parasite Plasmodium gallinaceum blood stages by using deep convolutional neural networks</t>
  </si>
  <si>
    <t xml:space="preserve">The infection of an avian malaria parasite (Plasmodium gallinaceum) in domestic chickens presents a major threat to the poultry industry because it causes economic loss in both the quality and quantity of meat and egg production. Computer-aided diagnosis has been developed to automatically identify avian malaria infections and classify the blood infection stage development. In this study, four types of deep convolutional neural networks, namely Darknet, Darknet19, Darknet19-448 and Densenet201 are used to classify P. gallinaceum blood stages. We randomly collected a dataset of 12,761 single-cell images consisting of three parasite stages from ten-infected blood films stained by Giemsa. All images were confirmed by three well-trained examiners. The study mainly compared several image classification models and used both qualitative and quantitative data for the evaluation of the proposed models. In the model-wise comparison, the four neural network models gave us high values with a mean average accuracy of at least 97%. The Darknet can reproduce a superior performance in the classification of the P. gallinaceum development stages across any other model architectures. Furthermore, the Darknet has the best performance in multiple class-wise classification, with average values of greater than 99% in accuracy, specificity, and sensitivity. It also has a low misclassification rate (&lt; 1%) than the other three models. Therefore, the model is more suitable in the classification of P. gallinaceum blood stages. The findings could help us create a fast-screening method to help non-experts in field studies where there is a lack of specialized instruments for avian malaria diagnostics.</t>
  </si>
  <si>
    <t xml:space="preserve">INFECTIONS</t>
  </si>
  <si>
    <t xml:space="preserve">[Kittichai, Veerayuth] King Mongkuts Inst Technol Ladkrabang, Fac Med, Bangkok, Thailand; [Kaewthamasorn, Morakot; Thanee, Suchansa] Chulalongkorn Univ, Fac Vet Sci, Vet Parasitol Res Unit, Bangkok, Thailand; [Jomtarak, Rangsan] Suan Dusit Univ, Fac Sci &amp; Technol, Bangkok, Thailand; [Klanboot, Kamonpob; Naing, Kaung Myat; Tongloy, Teerawat; Chuwongin, Santhad] King Mongkuts Inst Technol Ladkrabang, Coll Adv Mfg Innovat, Bangkok, Thailand; [Boonsang, Siridech] King Mongkuts Inst Technol Ladkrabang, Dept Elect Engn, Bangkok, Thailand</t>
  </si>
  <si>
    <t xml:space="preserve">King Mongkuts Institute of Technology Ladkrabang; Chulalongkorn University; Suan Dusit University; King Mongkuts Institute of Technology Ladkrabang; King Mongkuts Institute of Technology Ladkrabang</t>
  </si>
  <si>
    <t xml:space="preserve">Boonsang, S (corresponding author), King Mongkuts Inst Technol Ladkrabang, Dept Elect Engn, Bangkok, Thailand.</t>
  </si>
  <si>
    <t xml:space="preserve">Siridech.bo@kmitl.ac.th</t>
  </si>
  <si>
    <t xml:space="preserve">Boonsang, Siridech/P-8809-2019; Kittichai, Veerayuth/ABD-4767-2021; Naing, Kaung Myat/HHN-3988-2022; Kaewthamasorn, Morakot/AAK-5042-2020</t>
  </si>
  <si>
    <t xml:space="preserve">Kittichai, Veerayuth/0000-0003-4320-5922; Naing, Kaung Myat/0000-0002-8067-4114; Boonsang, Siridech/0000-0003-2866-8902; Kaewthamasorn, Morakot/0000-0003-3072-8708</t>
  </si>
  <si>
    <t xml:space="preserve">Thailand Science and Research Innovation Fund; King Mongkut's Institute of Technology Ladkrabang Fund [RE-KRIS-016-64]</t>
  </si>
  <si>
    <t xml:space="preserve">Thailand Science and Research Innovation Fund; King Mongkut's Institute of Technology Ladkrabang Fund</t>
  </si>
  <si>
    <t xml:space="preserve">We are grateful to Thailand Science and Research Innovation Fund and King Mongkut's Institute of Technology Ladkrabang Fund [RE-KRIS-016-64] for providing the financial support for this research project. We also thank the College of Advanced Manufacturing Innovation, King Mongkut's Institute of Technology Ladkrabang which provided the deep learning platform and software to support the research project.</t>
  </si>
  <si>
    <t xml:space="preserve">AUG 19</t>
  </si>
  <si>
    <t xml:space="preserve">10.1038/s41598-021-96475-5</t>
  </si>
  <si>
    <t xml:space="preserve">UC8JQ</t>
  </si>
  <si>
    <t xml:space="preserve">WOS:000686768700100</t>
  </si>
  <si>
    <t xml:space="preserve">Kassim, YM; Palaniappan, K; Yang, F; Poostchi, M; Palaniappan, N; Maude, RJ; Antani, S; Jaeger, S</t>
  </si>
  <si>
    <t xml:space="preserve">Kassim, Yasmin M.; Palaniappan, Kannappan; Yang, Feng; Poostchi, Mahdieh; Palaniappan, Nila; Maude, Richard J.; Antani, Sameer; Jaeger, Stefan</t>
  </si>
  <si>
    <t xml:space="preserve">Clustering-Based Dual Deep Learning Architecture for Detecting Red Blood Cells in Malaria Diagnostic Smears</t>
  </si>
  <si>
    <t xml:space="preserve">Computer-assisted algorithms have become a mainstay of biomedical applications to improve accuracy and reproducibility of repetitive tasks like manual segmentation and annotation. We propose a novel pipeline for red blood cell detection and counting in thin blood smear microscopy images, named RBCNet, using a dual deep learning architecture. RBCNet consists of a U-Net first stage for cell-cluster or superpixel segmentation, followed by a second refinement stage Faster R-CNN for detecting small cell objects within the connected component clusters. RBCNet uses cell clustering instead of region proposals, which is robust to cell fragmentation, is highly scalable for detecting small objects or fine scale morphological structures in very large images, can be trained using non-overlapping tiles, and during inference is adaptive to the scale of cell-clusters with a low memory footprint. We tested our method on an archived collection of human malaria smears with nearly 200,000 labeled cells across 965 images from 193 patients, acquired in Bangladesh, with each patient contributing five images. Cell detection accuracy using RBCNet was higher than 97%. The novel dual cascade RBCNet architecture provides more accurate cell detections because the foreground cell-cluster masks from U-Net adaptively guide the detection stage, resulting in a notably higher true positive and lower false alarm rates, compared to traditional and other deep learning methods. The RBCNet pipeline implements a crucial step towards automated malaria diagnosis.</t>
  </si>
  <si>
    <t xml:space="preserve">USA, Thailand, UK</t>
  </si>
  <si>
    <t xml:space="preserve">IEEE JOURNAL OF BIOMEDICAL AND HEALTH INFORMATICS</t>
  </si>
  <si>
    <t xml:space="preserve">Red blood cells (RBCs); white blood cells (WBCs); deep learning; faster R-CNN; connected components; semantic segmentation; superpixel; U-Net</t>
  </si>
  <si>
    <t xml:space="preserve">[Kassim, Yasmin M.; Yang, Feng; Poostchi, Mahdieh; Antani, Sameer; Jaeger, Stefan] Natl Lib Med, Lister Hill Natl Ctr Biomed Commun, Bethesda, MD 20894 USA; [Palaniappan, Kannappan] Univ Missouri, EECS Dept, Columbia, MO 65211 USA; [Palaniappan, Nila] Univ Missouri, Sch Med, Kansas City, MO 64110 USA; [Maude, Richard J.] Mahidol Univ, Mahidol Oxford Trop Med Res Unit, Bangkok 10400, Thailand; [Maude, Richard J.] Univ Oxford, Nuffield Dept Med, Ctr Trop Med &amp; Global Hlth, Oxford OX3 7LG, England; [Maude, Richard J.] Harvard Univ, Harvard TH Chan Sch Publ Hlth, Boston, MA 02115 USA</t>
  </si>
  <si>
    <t xml:space="preserve">National Institutes of Health (NIH) - USA; NIH National Library of Medicine (NLM); University of Missouri System; University of Missouri Columbia; University of Missouri System; University of Missouri Kansas City; Mahidol Oxford Tropical Medicine Research Unit (MORU); Mahidol University; University of Oxford; Harvard University; Harvard T.H. Chan School of Public Health</t>
  </si>
  <si>
    <t xml:space="preserve">Kassim, YM; Jaeger, S (corresponding author), Natl Lib Med, Lister Hill Natl Ctr Biomed Commun, Bethesda, MD 20894 USA.</t>
  </si>
  <si>
    <t xml:space="preserve">yasmin.kassim@nih.gov; palaniappank@missouri.edu; feng.yang2@nih.gov; mahdieh.p82@gmail.com; nila.palaniappan@gmail.com; richard@tropmedres.ac; santani@mail.nih.gov; stefan.jaeger@nih.gov</t>
  </si>
  <si>
    <t xml:space="preserve">Yang, Feng/HLQ-2152-2023; Maude, Richard/AAV-3567-2020; Antani, Sameer/GVS-8371-2022</t>
  </si>
  <si>
    <t xml:space="preserve">Palaniappan, Nila/0000-0002-5641-2894; Palaniappan, Kannappan/0000-0003-2663-1380; Antani, Sameer/0000-0002-0040-1387; Jaeger, Stefan/0000-0001-6877-4318; Maude, Richard/0000-0002-5355-0562; Yang, Feng/0000-0002-8334-7450</t>
  </si>
  <si>
    <t xml:space="preserve">Intramural Research Program of NIH; NLM; Wellcome Trust of Great Britain; U.S. NIH National Institute of Neurological Disorders and Stroke [R01NS110915]; U.S. Army Research Laboratory project [W911NF1820285]; NSF [1950873]; Lister Hill National Center for Biomedical Communications; Direct For Computer &amp; Info Scie &amp; Enginr; Division Of Computer and Network Systems [1950873] Funding Source: National Science Foundation; National Library of Medicine [ZIALM010018] Funding Source: NIH RePORTER</t>
  </si>
  <si>
    <t xml:space="preserve">Intramural Research Program of NIH(United States Department of Health &amp; Human ServicesNational Institutes of Health (NIH) - USA); NLM(United States Department of Health &amp; Human ServicesNational Institutes of Health (NIH) - USANIH National Library of Medicine (NLM)); Wellcome Trust of Great Britain(Wellcome Trust); U.S. NIH National Institute of Neurological Disorders and Stroke; U.S. Army Research Laboratory project; NSF(National Science Foundation (NSF)); Lister Hill National Center for Biomedical Communications; Direct For Computer &amp; Info Scie &amp; Enginr; Division Of Computer and Network Systems(National Science Foundation (NSF)NSF - Directorate for Computer &amp; Information Science &amp; Engineering (CISE)); National Library of Medicine(United States Department of Health &amp; Human ServicesNational Institutes of Health (NIH) - USANIH National Library of Medicine (NLM))</t>
  </si>
  <si>
    <t xml:space="preserve">Manuscript received February 16, 2020; revised September 9, 2020; accepted September 30, 2020. Date of publication October 29, 2020; date of current version May 11, 2021. This research was supported by the Intramural Research Program of NIH, NLM, and Lister Hill National Center for Biomedical Communications. Mahidol-Oxford Tropical Medicine Research Unit is funded by the Wellcome Trust of Great Britain. This work was supported in part by awards from the U.S. NIH National Institute of Neurological Disorders and Stroke R01NS110915 (KP), in part by the U.S. Army Research Laboratory project W911NF1820285 (KP), and in part by NSF 1950873 (KP). (Corresponding author: Yasmin M. Kassim; Stefan Jaeger.)</t>
  </si>
  <si>
    <t xml:space="preserve">2168-2194</t>
  </si>
  <si>
    <t xml:space="preserve">2168-2208</t>
  </si>
  <si>
    <t xml:space="preserve">IEEE J BIOMED HEALTH</t>
  </si>
  <si>
    <t xml:space="preserve">IEEE J. Biomed. Health Inform.</t>
  </si>
  <si>
    <t xml:space="preserve">10.1109/JBHI.2020.3034863</t>
  </si>
  <si>
    <t xml:space="preserve">Computer Science, Information Systems; Computer Science, Interdisciplinary Applications; Mathematical &amp; Computational Biology; Medical Informatics</t>
  </si>
  <si>
    <t xml:space="preserve">Computer Science; Mathematical &amp; Computational Biology; Medical Informatics</t>
  </si>
  <si>
    <t xml:space="preserve">SA9LV</t>
  </si>
  <si>
    <t xml:space="preserve">WOS:000649625200037</t>
  </si>
  <si>
    <t xml:space="preserve">Idicula-Thomas, S; Gawde, U; Jha, P</t>
  </si>
  <si>
    <t xml:space="preserve">Idicula-Thomas, Susan; Gawde, Ulka; Jha, Prabhat</t>
  </si>
  <si>
    <t xml:space="preserve">Comparison of machine learning algorithms applied to symptoms to determine infectious causes of death in children: national survey of 18,000 verbal autopsies in the Million Death Study in India</t>
  </si>
  <si>
    <t xml:space="preserve">Background Machine learning (ML) algorithms have been successfully employed for prediction of outcomes in clinical research. In this study, we have explored the application of ML-based algorithms to predict cause of death (CoD) from verbal autopsy records available through the Million Death Study (MDS). Methods From MDS, 18826 unique childhood deaths at ages 1-59 months during the time period 2004-13 were selected for generating the prediction models of which over 70% of deaths were caused by six infectious diseases (pneumonia, diarrhoeal diseases, malaria, fever of unknown origin, meningitis/encephalitis, and measles). Six popular ML-based algorithms such as support vector machine, gradient boosting modeling, C5.0, artificial neural network, k-nearest neighbor, classification and regression tree were used for building the CoD prediction models. Results SVM algorithm was the best performer with a prediction accuracy of over 0.8. The highest accuracy was found for diarrhoeal diseases (accuracy = 0.97) and the lowest was for meningitis/encephalitis (accuracy = 0.80). The top signs/symptoms for classification of these CoDs were also extracted for each of the diseases. A combination of signs/symptoms presented by the deceased individual can effectively lead to the CoD diagnosis. Conclusions Overall, this study affirms that verbal autopsy tools are efficient in CoD diagnosis and that automated classification parameters captured through ML could be added to verbal autopsies to improve classification of causes of death.</t>
  </si>
  <si>
    <t xml:space="preserve">India, Canada</t>
  </si>
  <si>
    <t xml:space="preserve">Diarrhoeal diseases</t>
  </si>
  <si>
    <t xml:space="preserve">- Support vector machine
- Gradient boosting modelling
- C5.o
- Artificial neural network
- K-nearest neighbor
- Classification and regression tree</t>
  </si>
  <si>
    <t xml:space="preserve">BMC PUBLIC HEALTH</t>
  </si>
  <si>
    <t xml:space="preserve">Machine learning; Prediction model; Million Death Study; Verbal autopsy; Child mortality; Cause of death; Infectious disease</t>
  </si>
  <si>
    <t xml:space="preserve">MORTALITY; PREDICTION; MODELS</t>
  </si>
  <si>
    <t xml:space="preserve">[Idicula-Thomas, Susan; Gawde, Ulka] Indian Council Med Res, Natl Inst Res Reprod Hlth, Biomed Informat Ctr, Mumbai 400012, Maharashtra, India; [Idicula-Thomas, Susan; Jha, Prabhat] St Michaels Hosp, Unity Hlth Toronto, Ctr Global Hlth Res, Toronto, ON, Canada; [Idicula-Thomas, Susan; Jha, Prabhat] Univ Toronto, Dalla Lana Sch Publ Hlth, Toronto, ON, Canada</t>
  </si>
  <si>
    <t xml:space="preserve">Indian Council of Medical Research (ICMR); ICMR - National Institute for Research in Reproductive &amp; Child Health (NIRRCH); University of Toronto; Saint Michaels Hospital Toronto; University of Toronto</t>
  </si>
  <si>
    <t xml:space="preserve">Idicula-Thomas, S (corresponding author), Indian Council Med Res, Natl Inst Res Reprod Hlth, Biomed Informat Ctr, Mumbai 400012, Maharashtra, India.;Idicula-Thomas, S; Jha, P (corresponding author), St Michaels Hosp, Unity Hlth Toronto, Ctr Global Hlth Res, Toronto, ON, Canada.;Idicula-Thomas, S; Jha, P (corresponding author), Univ Toronto, Dalla Lana Sch Publ Hlth, Toronto, ON, Canada.</t>
  </si>
  <si>
    <t xml:space="preserve">thomass@nirrh.res.in; prabhat.jha@utoronto.ca</t>
  </si>
  <si>
    <t xml:space="preserve">Jha, Prabhat/0000-0001-7067-8341</t>
  </si>
  <si>
    <t xml:space="preserve">Queen Elizabeth Scholars award, Indian Council of Medical Research (ICMR) [RA/1076/05-2021]; Department of Biotechnology (DBT), India [BT/PR40165/BTIS/137/12/2021]</t>
  </si>
  <si>
    <t xml:space="preserve">Queen Elizabeth Scholars award, Indian Council of Medical Research (ICMR); Department of Biotechnology (DBT), India(Department of Biotechnology (DBT) India)</t>
  </si>
  <si>
    <t xml:space="preserve">S I-T acknowledges funding from Queen Elizabeth Scholars award, Indian Council of Medical Research (ICMR) [RA/1076/05-2021], and Department of Biotechnology (DBT), India [BT/PR40165/BTIS/137/12/2021]. The funders had no role in study design, data collection, and analysis, decision to publish, or preparation of the manuscript.</t>
  </si>
  <si>
    <t xml:space="preserve">1471-2458</t>
  </si>
  <si>
    <t xml:space="preserve">BMC Public Health</t>
  </si>
  <si>
    <t xml:space="preserve">OCT 4</t>
  </si>
  <si>
    <t xml:space="preserve">10.1186/s12889-021-11829-y</t>
  </si>
  <si>
    <t xml:space="preserve">WB3MC</t>
  </si>
  <si>
    <t xml:space="preserve">WOS:000703478800001</t>
  </si>
  <si>
    <t xml:space="preserve">Wiegand, RE; Secor, WE; Fleming, FM; French, MD; King, CH; Montgomery, SP; Evans, D; Utzinger, J; Vounatsou, P; de Vlas, SJ</t>
  </si>
  <si>
    <t xml:space="preserve">Wiegand, Ryan E.; Secor, W. Evan; Fleming, Fiona M.; French, Michael D.; King, Charles H.; Montgomery, Susan P.; Evans, Darin; Utzinger, Jurg; Vounatsou, Penelope; de Vlas, Sake J.</t>
  </si>
  <si>
    <t xml:space="preserve">Control and Elimination of Schistosomiasis as a Public Health Problem: Thresholds Fail to Differentiate Schistosomiasis Morbidity Prevalence in Children</t>
  </si>
  <si>
    <t xml:space="preserve">Background. Current World Health Organization guidelines utilize prevalence of heavy-intensity infections (PHIs), that is, &gt;= 50 eggs per 10 mL of urine for Schistosoma haematobium and &gt;= 400 eggs per gram of stool for S. mansoni, to determine whether a targeted area has controlled schistosomiasis morbidity or eliminated schistosomiasis as a public health problem. The relationship between these PHI categories and morbidity is not well understood. Methods. School-age participants enrolled in schistosomiasis monitoring and evaluation cohorts from 2003 to 2008 in Burkina Faso, Mali, Niger, Tanzania, Uganda, and Zambia were surveyed for infection and morbidity at baseline and after 1 and 2 rounds of preventive chemotherapy. Logistic regression was used to compare morbidity prevalence among participants based on their school's PHI category. Results. Microhematuria levels were associated with the S. haematobium PHI categories at all 3 time points. For any other S. haematobium or S. mansoni morbidity that was measured, PHI categories did not differentiate morbidity prevalence levels consistently. Conclusions. These analyses suggest that current PHI categorizations do not differentiate the prevalence of standard morbidity markers. A reevaluation of the criteria for schistosomiasis control is warranted.</t>
  </si>
  <si>
    <t xml:space="preserve">USA, Switzerland, Netherlands</t>
  </si>
  <si>
    <t xml:space="preserve">Burkina Faso, Mali, Niger, Tanzania, Uganda, Zambia</t>
  </si>
  <si>
    <t xml:space="preserve">control; elimination; mass drug administration; morbidity; preventive chemotherapy; schistosomiasis; ultrasound</t>
  </si>
  <si>
    <t xml:space="preserve">CONTROL PROGRAM; INFECTION; PRAZIQUANTEL; MANSONI; IMPACT</t>
  </si>
  <si>
    <t xml:space="preserve">[Wiegand, Ryan E.; Secor, W. Evan; Montgomery, Susan P.] Ctr Dis Control &amp; Prevent, Div Parasit Dis &amp; Malaria, Atlanta, GA USA; [Wiegand, Ryan E.; Utzinger, Jurg; Vounatsou, Penelope] Swiss Trop &amp; Publ Hlth Inst, Basel, Switzerland; [Wiegand, Ryan E.; Utzinger, Jurg; Vounatsou, Penelope] Univ Basel, Basel, Switzerland; [Fleming, Fiona M.] SCI Fdn, London, England; [French, Michael D.] RTI Int, Washington, DC USA; [King, Charles H.] Case Western Reserve Univ, Ctr Global Hlth &amp; Dis, Cleveland, OH 44106 USA; [Evans, Darin] US Agcy Int Dev, Washington, DC 20523 USA; [de Vlas, Sake J.] Erasmus MC, Dept Publ Hlth, Univ Med Ctr Rotterdam, Rotterdam, Netherlands</t>
  </si>
  <si>
    <t xml:space="preserve">Centers for Disease Control &amp; Prevention - USA; University of Basel; Swiss Tropical &amp; Public Health Institute; University of Basel; Research Triangle Institute; University System of Ohio; Case Western Reserve University; United States Agency for International Development (USAID); Erasmus University Rotterdam; Erasmus MC</t>
  </si>
  <si>
    <t xml:space="preserve">Wiegand, RE (corresponding author), Ctr Dis Control &amp; Prevent, 1600 Clifton Rd NE,MS A06, Atlanta, GA 30329 USA.</t>
  </si>
  <si>
    <t xml:space="preserve">rwiegand@cdc.gov</t>
  </si>
  <si>
    <t xml:space="preserve">King, Charlotte/E-7031-2012; Utzinger, Juerg/MFJ-1241-2025</t>
  </si>
  <si>
    <t xml:space="preserve">King, Charles/0000-0001-8349-9270; de Vlas, Sake J./0000-0002-1830-5668; French, Michael/0000-0002-9886-9980; Wiegand, Ryan/0000-0002-9486-1850; Utzinger, Jurg/0000-0001-6885-0798</t>
  </si>
  <si>
    <t xml:space="preserve">Bill and Melinda Gates Foundation [13122]</t>
  </si>
  <si>
    <t xml:space="preserve">Bill and Melinda Gates Foundation(Bill &amp; Melinda Gates Foundation)</t>
  </si>
  <si>
    <t xml:space="preserve">The Schistosomiasis Control Initiative (now the SCI Foundation) was supported by the Bill and Melinda Gates Foundation (grant 13122).</t>
  </si>
  <si>
    <t xml:space="preserve">ofab179</t>
  </si>
  <si>
    <t xml:space="preserve">10.1093/ofid/ofab179</t>
  </si>
  <si>
    <t xml:space="preserve">APR 2021</t>
  </si>
  <si>
    <t xml:space="preserve">UU7MK</t>
  </si>
  <si>
    <t xml:space="preserve">WOS:000698980600018</t>
  </si>
  <si>
    <t xml:space="preserve">Pataki, BA; Garriga, J; Eritja, R; Palmer, JRB; Bartumeus, F; Csabai, I</t>
  </si>
  <si>
    <t xml:space="preserve">Pataki, Balint Armin; Garriga, Joan; Eritja, Roger; Palmer, John R. B.; Bartumeus, Frederic; Csabai, Istvan</t>
  </si>
  <si>
    <t xml:space="preserve">Deep learning identification for citizen science surveillance of tiger mosquitoes</t>
  </si>
  <si>
    <t xml:space="preserve">Global monitoring of disease vectors is undoubtedly becoming an urgent need as the human population rises and becomes increasingly mobile, international commercial exchanges increase, and climate change expands the habitats of many vector species. Traditional surveillance of mosquitoes, vectors of many diseases, relies on catches, which requires regular manual inspection and reporting, and dedicated personnel, making large-scale monitoring difficult and expensive. New approaches are solving the problem of scalability by relying on smartphones and the Internet to enable novel community-based and digital observatories, where people can upload pictures of mosquitoes whenever they encounter them. An example is the Mosquito Alert citizen science system, which includes a dedicated mobile phone app through which geotagged images are collected. This system provides a viable option for monitoring the spread of various mosquito species across the globe, although it is partly limited by the quality of the citizen scientists' photos. To make the system useful for public health agencies, and to give feedback to the volunteering citizens, the submitted images are inspected and labeled by entomology experts. Although citizen-based data collection can greatly broaden disease-vector monitoring scales, manual inspection of each image is not an easily scalable option in the long run, and the system could be improved through automation. Based on Mosquito Alert's curated database of expert-validated mosquito photos, we trained a deep learning model to find tiger mosquitoes (Aedes albopictus), a species that is responsible for spreading chikungunya, dengue, and Zika among other diseases. The highly accurate 0.96 area under the receiver operating characteristic curve score promises not only a helpful pre-selector for the expert validation process but also an automated classifier giving quick feedback to the app participants, which may help to keep them motivated. In the paper, we also explored the possibilities of using the model to improve future data collection quality as a feedback loop.</t>
  </si>
  <si>
    <t xml:space="preserve">Hungary, Spain</t>
  </si>
  <si>
    <t xml:space="preserve">VIRUS</t>
  </si>
  <si>
    <t xml:space="preserve">[Pataki, Balint Armin; Csabai, Istvan] Eotvos Lorand Univ, Dept Phys Complex Syst, Budapest, Hungary; [Garriga, Joan; Bartumeus, Frederic] Ctr Estudis Avancats Blanes CEAB CSIC, Girona 17300, Spain; [Eritja, Roger; Bartumeus, Frederic] CREAF, Cerdanyola Del Valles 08193, Spain; [Palmer, John R. B.] Univ Pompeu Fabra, Barcelona 08005, Spain; [Bartumeus, Frederic] Inst Catalana Recerca &amp; Estudis Avancats ICREA, Barcelona 08010, Spain</t>
  </si>
  <si>
    <t xml:space="preserve">Eotvos Lorand University; Consejo Superior de Investigaciones Cientificas (CSIC); CSIC - Centre d'Estudis Avancats de Blanes (CEAB); Centro de Investigacion Ecologica y Aplicaciones Forestales (CREAF-CERCA); Pompeu Fabra University; ICREA</t>
  </si>
  <si>
    <t xml:space="preserve">Pataki, BA (corresponding author), Eotvos Lorand Univ, Dept Phys Complex Syst, Budapest, Hungary.</t>
  </si>
  <si>
    <t xml:space="preserve">patbaa@caesar.elte.hu</t>
  </si>
  <si>
    <t xml:space="preserve">Eritja, Roger/JED-8921-2023; Bartumeus, Frederic/D-1911-2010; Csabai, Istvan/F-6045-2011; Palmer, John R.B./N-8620-2014</t>
  </si>
  <si>
    <t xml:space="preserve">Palmer, John R.B./0000-0002-2648-7860; Eritja, Roger/0000-0001-5749-8370</t>
  </si>
  <si>
    <t xml:space="preserve">EU [874735]; Ministry of Innovation and Technology NRDI Office</t>
  </si>
  <si>
    <t xml:space="preserve">EU(European Union (EU)); Ministry of Innovation and Technology NRDI Office(National Research, Development &amp; Innovation Office (NRDIO) - Hungary)</t>
  </si>
  <si>
    <t xml:space="preserve">This work was in part financed by EU Horizon 2020 program Grant agreement VEO No. 874735. The research was supported by the Ministry of Innovation and Technology NRDI Office within the framework of the Artificial Intelligence National Laboratory Program. We also acknowledge the Mosquito team (http://www.mosquitoal ert.com/en/about-us/team/) for their work in keeping the system operative, even in harsh financial times, and most especially the team of volunteer entomology experts that have validated mosquito pictures from Mosquito Alert during the period 2014-2019: Mikel Bengoa, Sarah Delacour, Ignacio Ruiz, Maria Angeles Puig, Pedro Maria Alarcon-Elbal, Rosario Melero-Alcibar, Simone Mariani, and Santi Escartin. Finally, we would like to thank the Mosquito Alert community (anonymous citizens) who have participated year by year, making all this data collection system worth it.</t>
  </si>
  <si>
    <t xml:space="preserve">10.1038/s41598-021-83657-4</t>
  </si>
  <si>
    <t xml:space="preserve">QT5IS</t>
  </si>
  <si>
    <t xml:space="preserve">WOS:000626621800078</t>
  </si>
  <si>
    <t xml:space="preserve">Eze, PU; Asogwa, CO</t>
  </si>
  <si>
    <t xml:space="preserve">Eze, Peter U.; Asogwa, Clement O.</t>
  </si>
  <si>
    <t xml:space="preserve">Deep Machine Learning Model Trade-Offs for Malaria Elimination in Resource-Constrained Locations</t>
  </si>
  <si>
    <t xml:space="preserve">The success of deep machine learning (DML) models in gaming and robotics has increased its trial in clinical and public healthcare solutions. In applying DML to healthcare problems, a special challenge of inadequate electrical energy and computing resources exists in regional and developing areas of the world. In this paper, we evaluate and report the computational and predictive performance design trade-offs for four candidate deep learning models that can be deployed for rapid malaria case finding. The goal is to maximise malaria detection accuracy while reducing computing resource and energy consumption. Based on our experimental results using a blood smear malaria test data set, the quantised versions of Basic Convolutional Neural Network (B-CNN) and MobileNetV2 have better malaria detection performance (up to 99% recall), lower memory usage (2MB 8-bit quantised model) and shorter inference time (33-95 microseconds on mobile phones) than VGG-19 fine-tuned and quantised models. Hence, we have implemented MobileNetV2 in our mobile application as it has even a lower memory requirement than B-CNN. This work will help to counter the negative effects of COVID-19 on the previous successes towards global malaria elimination.</t>
  </si>
  <si>
    <t xml:space="preserve">Blood smear</t>
  </si>
  <si>
    <t xml:space="preserve">BIOENGINEERING-BASEL</t>
  </si>
  <si>
    <t xml:space="preserve">deep learning; resource optimisation; model quantisation; malaria; digital health; edge devices</t>
  </si>
  <si>
    <t xml:space="preserve">[Eze, Peter U.] Univ Melbourne, Fac Engn &amp; IT, Sch Comp &amp; Informat Syst, Melbourne, Vic 3010, Australia; [Asogwa, Clement O.] Victoria Univ, Coll Engn &amp; Sci, Smart Elect Syst Res Grp, Melbourne, Vic 3011, Australia</t>
  </si>
  <si>
    <t xml:space="preserve">University of Melbourne; Victoria University</t>
  </si>
  <si>
    <t xml:space="preserve">Eze, PU (corresponding author), Univ Melbourne, Fac Engn &amp; IT, Sch Comp &amp; Informat Syst, Melbourne, Vic 3010, Australia.;Asogwa, CO (corresponding author), Victoria Univ, Coll Engn &amp; Sci, Smart Elect Syst Res Grp, Melbourne, Vic 3011, Australia.</t>
  </si>
  <si>
    <t xml:space="preserve">peter.eze@unimelb.edu.au; dement.asogwa@vu.edu.au</t>
  </si>
  <si>
    <t xml:space="preserve">Asogwa, Clement Ogugua/0000-0001-8454-9356; Eze, Peter/0000-0003-0244-3668</t>
  </si>
  <si>
    <t xml:space="preserve">2306-5354</t>
  </si>
  <si>
    <t xml:space="preserve">Bioengineering-Basel</t>
  </si>
  <si>
    <t xml:space="preserve">10.3390/bioengineering8110150</t>
  </si>
  <si>
    <t xml:space="preserve">XF9CX</t>
  </si>
  <si>
    <t xml:space="preserve">WOS:000724363400001</t>
  </si>
  <si>
    <t xml:space="preserve">Maqsood, A; Farid, MS; Khan, MH; Grzegorzek, M</t>
  </si>
  <si>
    <t xml:space="preserve">Maqsood, Asma; Farid, Muhammad Shahid; Khan, Muhammad Hassan; Grzegorzek, Marcin</t>
  </si>
  <si>
    <t xml:space="preserve">Deep Malaria Parasite Detection in Thin Blood Smear Microscopic Images</t>
  </si>
  <si>
    <t xml:space="preserve">Malaria is a disease activated by a type of microscopic parasite transmitted from infected female mosquito bites to humans. Malaria is a fatal disease that is endemic in many regions of the world. Quick diagnosis of this disease will be very valuable for patients, as traditional methods require tedious work for its detection. Recently, some automated methods have been proposed that exploit hand-crafted feature extraction techniques however, their accuracies are not reliable. Deep learning approaches modernize the world with their superior performance. Convolutional Neural Networks (CNN) are vastly scalable for image classification tasks that extract features through hidden layers of the model without any handcrafting. The detection of malaria-infected red blood cells from segmented microscopic blood images using convolutional neural networks can assist in quick diagnosis, and this will be useful for regions with fewer healthcare experts. The contributions of this paper are two-fold. First, we evaluate the performance of different existing deep learning models for efficient malaria detection. Second, we propose a customized CNN model that outperforms all observed deep learning models. It exploits the bilateral filtering and image augmentation techniques for highlighting features of red blood cells before training the model. Due to image augmentation techniques, the customized CNN model is generalized and avoids over-fitting. All experimental evaluations are performed on the benchmark NIH Malaria Dataset, and the results reveal that the proposed algorithm is 96.82% accurate in detecting malaria from the microscopic blood smears.</t>
  </si>
  <si>
    <t xml:space="preserve">Pakistan, Germany</t>
  </si>
  <si>
    <t xml:space="preserve">malaria detection; Plasmodium parasite; transfer learning; convolutional neural networks; computer aided design (CAD)</t>
  </si>
  <si>
    <t xml:space="preserve">CLASSIFICATION; ERYTHROCYTES</t>
  </si>
  <si>
    <t xml:space="preserve">[Maqsood, Asma; Farid, Muhammad Shahid; Khan, Muhammad Hassan] Univ Punjab, Coll Informat Technol, Punjab Univ, Lahore 54000, Pakistan; [Grzegorzek, Marcin] Univ Lubeck, Inst Med Informat, Ratzeburger Allee 160, D-23538 Lubeck, Germany</t>
  </si>
  <si>
    <t xml:space="preserve">University of Punjab; University of Lubeck</t>
  </si>
  <si>
    <t xml:space="preserve">Farid, MS (corresponding author), Univ Punjab, Coll Informat Technol, Punjab Univ, Lahore 54000, Pakistan.</t>
  </si>
  <si>
    <t xml:space="preserve">MSCSF18M003@pucit.edu.pk; shahid@pucit.edu.pk; hassankhan@pucit.edu.pk; grzegorzek@imi.uni-luebeck.de</t>
  </si>
  <si>
    <t xml:space="preserve">Farid, Muhammad/AAF-1825-2019; Grzegorzek, Marcin/AAF-1647-2021; Khan, Muhammad Hassan/AAK-2021-2021</t>
  </si>
  <si>
    <t xml:space="preserve">Khan, Muhammad Hassan/0000-0002-6145-5848; Grzegorzek, Marcin/0000-0003-4877-8287</t>
  </si>
  <si>
    <t xml:space="preserve">10.3390/app11052284</t>
  </si>
  <si>
    <t xml:space="preserve">QV5BK</t>
  </si>
  <si>
    <t xml:space="preserve">WOS:000627986700001</t>
  </si>
  <si>
    <t xml:space="preserve">Xie, WX; Ji, M; Zhao, MD; Lam, KY; Chow, CY; Hao, TY</t>
  </si>
  <si>
    <t xml:space="preserve">Xie, Wenxiu; Ji, Meng; Zhao, Mengdan; Lam, Kam-Yiu; Chow, Chi-Yin; Hao, Tianyong</t>
  </si>
  <si>
    <t xml:space="preserve">Developing Machine Learning and Statistical Tools to Evaluate the Accessibility of Public Health Advice on Infectious Diseases among Vulnerable People</t>
  </si>
  <si>
    <t xml:space="preserve">Background. From Ebola, Zika, to the latest COVID-19 pandemic, outbreaks of highly infectious diseases continue to reveal severe consequences of social and health inequalities. People from low socioeconomic and educational backgrounds as well as low health literacy tend to be affected by the uncertainty, complexity, volatility, and progressiveness of public health crises and emergencies. A key lesson that governments have taken from the ongoing coronavirus pandemic is the importance of developing and disseminating highly accessible, actionable, inclusive, coherent public health advice, which represent a critical tool to help people with diverse cultural, educational backgrounds and varying abilities to effectively implement health policies at the grassroots level. Objective. We aimed to translate the best practices of accessible, inclusive public health advice (purposefully designed for people with low socioeconomic and educational background, health literacy levels, limited English proficiency, and cognitive/functional impairments) on COVID-19 from health authorities in English-speaking multicultural countries (USA, Australia, and UK) to adaptive tools for the evaluation of the accessibility of public health advice in other languages. Methods. We developed an optimised Bayesian classifier to produce probabilistic prediction of the accessibility of official health advice among vulnerable people including migrants and foreigners living in China. We developed an adaptive statistical formula for the rapid evaluation of the accessibility of health advice among vulnerable people in China. Results. Our study provides needed research tools to fill in a persistent gap in Chinese public health research on accessible, inclusive communication of infectious diseases' prevention and management. For the probabilistic prediction, using the optimised Bayesian machine learning classifier (GNB), the largest positive likelihood ratio (LR+) 16.685 (95% confidence interval: 4.35, 64.04) was identified when the probability threshold was set at 0.2 (sensitivity: 0.98; specificity: 0.94). Conclusion. Effective communication of health risks through accessible, inclusive, actionable public advice represents a powerful tool to reduce health inequalities amidst health crises and emergencies. Our study translated the best-practice public health advice developed during the pandemic into intuitive machine learning classifiers for health authorities to develop evidence-based guidelines of accessible health advice. In addition, we developed adaptive statistical tools for frontline health professionals to assess accessibility of public health advice for people from non-English speaking backgrounds.</t>
  </si>
  <si>
    <t xml:space="preserve">China, Australia</t>
  </si>
  <si>
    <t xml:space="preserve">INFORMATION; READABILITY; COMMUNICATION; QUALITY; FIGHT; TIME</t>
  </si>
  <si>
    <t xml:space="preserve">[Xie, Wenxiu; Lam, Kam-Yiu; Chow, Chi-Yin] City Univ Hong Kong, Dept Comp Sci, Hong Kong, Peoples R China; [Ji, Meng; Zhao, Mengdan] Univ Sydney, Sch Languages &amp; Cultures, Sydney, NSW, Australia; [Hao, Tianyong] South China Normal Univ, Sch Comp Sci, Guangzhou, Peoples R China</t>
  </si>
  <si>
    <t xml:space="preserve">City University of Hong Kong; University of Sydney; South China Normal University</t>
  </si>
  <si>
    <t xml:space="preserve">Ji, M (corresponding author), Univ Sydney, Sch Languages &amp; Cultures, Sydney, NSW, Australia.</t>
  </si>
  <si>
    <t xml:space="preserve">vasiliky@outlook.com; christine.ji@sydney.edu.au; mzha6081@uni.sydney.edu.au; cskylam@cityu.edu.hk; tedchow@gmail.com; haoty@m.scnu.edu.cn</t>
  </si>
  <si>
    <t xml:space="preserve">Lam, Kam/W-3711-2018; Hao, Tianyong/HJH-2742-2023; Ji, Meng/E-7549-2013</t>
  </si>
  <si>
    <t xml:space="preserve">Xie, Wenxiu/0000-0002-8528-5193; Hao, Tianyong/0000-0002-9792-3949; Zhao, Mengdan/0000-0001-9321-9391; Ji, Meng/0000-0002-7463-9208; Lam, Kam-Yiu/0000-0003-0673-3566</t>
  </si>
  <si>
    <t xml:space="preserve">DEC 17</t>
  </si>
  <si>
    <t xml:space="preserve">10.1155/2021/1916690</t>
  </si>
  <si>
    <t xml:space="preserve">YB4RE</t>
  </si>
  <si>
    <t xml:space="preserve">WOS:000739000900006</t>
  </si>
  <si>
    <t xml:space="preserve">Kassim, YM; Yang, F; Yu, H; Maude, RJ; Jaeger, S</t>
  </si>
  <si>
    <t xml:space="preserve">Kassim, Yasmin M.; Yang, Feng; Yu, Hang; Maude, Richard J.; Jaeger, Stefan</t>
  </si>
  <si>
    <t xml:space="preserve">Diagnosing Malaria Patients with Plasmodium falciparum and vivax Using Deep Learning for Thick Smear Images</t>
  </si>
  <si>
    <t xml:space="preserve">We propose a new framework, PlasmodiumVF-Net, to analyze thick smear microscopy images for a malaria diagnosis on both image and patient-level. Our framework detects whether a patient is infected, and in case of a malarial infection, reports whether the patient is infected by Plasmodium falciparum or Plasmodium vivax. PlasmodiumVF-Net first detects candidates for Plasmodium parasites using a Mask Regional-Convolutional Neural Network (Mask R-CNN), filters out false positives using a ResNet50 classifier, and then follows a new approach to recognize parasite species based on a score obtained from the number of detected patches and their aggregated probabilities for all of the patient images. Reporting a patient-level decision is highly challenging, and therefore reported less often in the literature, due to the small size of detected parasites, the similarity to staining artifacts, the similarity of species in different development stages, and illumination or color variations on patient-level. We use a manually annotated dataset consisting of 350 patients, with about 6000 images, which we make publicly available together with this manuscript. Our framework achieves an overall accuracy above 90% on image and patient-level.</t>
  </si>
  <si>
    <t xml:space="preserve">malaria; computer-aided diagnosis; biomedical image analysis; deep learning; ResNet50; Mask R-CNN; Plasmodium parasite; Plasmodium falciparum; Plasmodium vivax</t>
  </si>
  <si>
    <t xml:space="preserve">BLOOD SMEARS</t>
  </si>
  <si>
    <t xml:space="preserve">[Kassim, Yasmin M.; Yang, Feng; Yu, Hang; Jaeger, Stefan] Natl Lib Med, NIH, Bethesda, MD 20894 USA; [Maude, Richard J.] Mahidol Univ, Fac Trop Med, Mahidol Oxford Trop Med Res Unit, Bangkok 10400, Thailand; [Maude, Richard J.] Univ Oxford, Ctr Trop Med &amp; Global Hlth, Nuffield Dept Med, Oxford OX3 7LG, England; [Maude, Richard J.] Harvard Univ, Harvard TH Chan Sch Publ Hlth, Boston, MA 02115 USA</t>
  </si>
  <si>
    <t xml:space="preserve">National Institutes of Health (NIH) - USA; NIH National Library of Medicine (NLM); Mahidol University; Mahidol Oxford Tropical Medicine Research Unit (MORU); University of Oxford; Harvard University; Harvard T.H. Chan School of Public Health</t>
  </si>
  <si>
    <t xml:space="preserve">Kassim, YM; Jaeger, S (corresponding author), Natl Lib Med, NIH, Bethesda, MD 20894 USA.</t>
  </si>
  <si>
    <t xml:space="preserve">yasmin.kassim@nih.gov; feng.yang2@nih.gov; hang.yu@nih.gov; richard@tropmedres.ac; stefan.jaeger@nih.gov</t>
  </si>
  <si>
    <t xml:space="preserve">Maude, Richard/AAV-3567-2020; Yang, Feng/HLQ-2152-2023</t>
  </si>
  <si>
    <t xml:space="preserve">Kassim, Yasmin/0000-0001-5339-8081; Jaeger, Stefan/0000-0001-6877-4318; Yang, Feng/0000-0002-8334-7450; Maude, Richard/0000-0002-5355-0562</t>
  </si>
  <si>
    <t xml:space="preserve">Intramural Research Program of the National Library of Medicine, National Institutes of Health; Wellcome Trust [220211]; U.S. Department of Energy (DOE); National Library of Medicine; DOE [DE-SC0014664]</t>
  </si>
  <si>
    <t xml:space="preserve">Intramural Research Program of the National Library of Medicine, National Institutes of Health(United States Department of Health &amp; Human ServicesNational Institutes of Health (NIH) - USANIH National Library of Medicine (NLM)); Wellcome Trust(Wellcome Trust); U.S. Department of Energy (DOE)(United States Department of Energy (DOE)); National Library of Medicine(United States Department of Health &amp; Human ServicesNational Institutes of Health (NIH) - USANIH National Library of Medicine (NLM)); DOE(United States Department of Energy (DOE))</t>
  </si>
  <si>
    <t xml:space="preserve">This research was supported by the Intramural Research Program of the National Library of Medicine, National Institutes of Health. This research was funded in whole, or in part, by the Wellcome Trust [220211]. For the purpose of open access, the author has applied a CC BY public copyright license to any Author Accepted Manuscript version arising from this submission. This research was supported in part by an appointment to the National Library of Medicine Research Participation Program administered by the Oak Ridge Institute for Science and Education (ORISE) through an interagency agreement between the U.S. Department of Energy (DOE) and the National Library of Medicine. ORISE is managed by ORAU under DOE contract number DE-SC0014664. All opinions expressed in this paper are the authors' and do not necessarily reflect the policies and views of NIH, NLM, DOE, or ORAU/ORISE.</t>
  </si>
  <si>
    <t xml:space="preserve">10.3390/diagnostics11111994</t>
  </si>
  <si>
    <t xml:space="preserve">3H7AR</t>
  </si>
  <si>
    <t xml:space="preserve">WOS:000832185200001</t>
  </si>
  <si>
    <t xml:space="preserve">Nsoesie, EO; Oladeji, O; Abah, ASA; Ndeffo-Mbah, ML</t>
  </si>
  <si>
    <t xml:space="preserve">Nsoesie, Elaine O.; Oladeji, Olubusola; Abah, Aristide S. Abah; Ndeffo-Mbah, Martial L.</t>
  </si>
  <si>
    <t xml:space="preserve">Forecasting influenza-like illness trends in Cameroon using Google Search Data</t>
  </si>
  <si>
    <t xml:space="preserve">Although acute respiratory infections are a leading cause of mortality in sub-Saharan Africa, surveillance of diseases such as influenza is mostly neglected. Evaluating the usefulness of influenza-like illness (ILI) surveillance systems and developing approaches for forecasting future trends is important for pandemic preparedness. We applied and compared a range of robust statistical and machine learning models including random forest (RF) regression, support vector machines (SVM) regression, multivariable linear regression and ARIMA models to forecast 2012 to 2018 trends of reported ILI cases in Cameroon, using Google searches for influenza symptoms, treatments, natural or traditional remedies as well as, infectious diseases with a high burden (i.e., AIDS, malaria, tuberculosis). The R-2 and RMSE (Root Mean Squared Error) were statistically similar across most of the methods, however, RF and SVM had the highest average R-2 (0.78 and 0.88, respectively) for predicting ILI per 100,000 persons at the country level. This study demonstrates the need for developing contextualized approaches when using digital data for disease surveillance and the usefulness of search data for monitoring ILI in sub-Saharan African countries.</t>
  </si>
  <si>
    <t xml:space="preserve">USA, Cameroon</t>
  </si>
  <si>
    <t xml:space="preserve">Cameroon</t>
  </si>
  <si>
    <t xml:space="preserve">Digital data</t>
  </si>
  <si>
    <t xml:space="preserve">Influenza</t>
  </si>
  <si>
    <t xml:space="preserve">- Random forest (RF) regresstion
- Support vector machines (SVM) regression
- Multivariable linear regression
- ARIMA models</t>
  </si>
  <si>
    <t xml:space="preserve">- RF average R^2 = 0.78
- SVM average R^2 = 0.88</t>
  </si>
  <si>
    <t xml:space="preserve">SUB-SAHARAN AFRICA; SURVEILLANCE; SEASONALITY; EPIDEMICS</t>
  </si>
  <si>
    <t xml:space="preserve">[Nsoesie, Elaine O.; Oladeji, Olubusola] Boston Univ, Dept Global Hlth, Sch Publ Hlth, 801 Massachusetts Ave,Crosstown Ctr 3rd Floor, Boston, MA 02119 USA; [Abah, Aristide S. Abah] Minist Hlth, Dept Epidemiol Surveillance, Yaounde, Cameroon; [Ndeffo-Mbah, Martial L.] Texas A&amp;M Univ, Coll Vet Med &amp; Biomed Sci, Dept Vet Integrat Biosci, College Stn, TX 77843 USA</t>
  </si>
  <si>
    <t xml:space="preserve">Boston University; Texas A&amp;M University System; Texas A&amp;M University College Station</t>
  </si>
  <si>
    <t xml:space="preserve">Nsoesie, EO (corresponding author), Boston Univ, Dept Global Hlth, Sch Publ Hlth, 801 Massachusetts Ave,Crosstown Ctr 3rd Floor, Boston, MA 02119 USA.</t>
  </si>
  <si>
    <t xml:space="preserve">onelaine@bu.edu</t>
  </si>
  <si>
    <t xml:space="preserve">National Institutes of Health [K01ES025438]; Texas AM University</t>
  </si>
  <si>
    <t xml:space="preserve">National Institutes of Health(United States Department of Health &amp; Human ServicesNational Institutes of Health (NIH) - USA); Texas AM University</t>
  </si>
  <si>
    <t xml:space="preserve">Elaine O. Nsoesie is supported by funding from the National Institutes of Health (Award Number K01ES025438). Martial L. Ndeffo-Mbah is supported by a faculty startup funding from Texas A&amp;M University.</t>
  </si>
  <si>
    <t xml:space="preserve">10.1038/s41598-021-85987-9</t>
  </si>
  <si>
    <t xml:space="preserve">RF6RN</t>
  </si>
  <si>
    <t xml:space="preserve">WOS:000634969500002</t>
  </si>
  <si>
    <t xml:space="preserve">Omar, M; Marchionni, L; Haecker, G; Badr, MT</t>
  </si>
  <si>
    <t xml:space="preserve">Omar, Mohamed; Marchionni, Luigi; Haecker, Georg; Badr, Mohamed Tarek</t>
  </si>
  <si>
    <t xml:space="preserve">Host Blood Gene Signatures Can Detect the Progression to Severe and Cerebral Malaria</t>
  </si>
  <si>
    <t xml:space="preserve">Malaria is a major international public health problem that affects millions of patients worldwide especially in sub-Saharan Africa. Although many tests have been developed to diagnose malaria infections, we still lack reliable diagnostic biomarkers for the identification of disease severity, especially in endemic areas where the diagnosis of cerebral malaria is very difficult and requires the exclusion of all other possible causes. Previous host and pathogen transcriptomic studies have not yielded homogenous results that can be harnessed into a reliable diagnostic tool. Here we utilized a multi-cohort analysis approach using machine-learning algorithms to identify blood gene signatures that can distinguish severe and cerebral malaria from moderate and non-cerebral cases. Using a Regularized Random Forest model, we identified 28-gene and 32-gene signatures that can reliably distinguish severe and cerebral malaria, respectively. We tested the specificity of both signatures against other common infectious diseases to ensure the signatures reliability and suitability as diagnostic markers. The severe and cerebral malaria gene-signatures were further integrated through k-top scoring pairs classifiers into ten and nine gene pairs that could distinguish severe and cerebral malaria, respectively. These signatures have various implications that can be utilized as blood diagnostic tools for malaria severity in endemic countries.</t>
  </si>
  <si>
    <t xml:space="preserve">United States, Germany</t>
  </si>
  <si>
    <t xml:space="preserve">Genomic data</t>
  </si>
  <si>
    <t xml:space="preserve">- Regularized Random Forest
</t>
  </si>
  <si>
    <t xml:space="preserve">- AUC (severe malaria) = 0.85
- AUC (cerebral malaria) = 0.98
- Sensitivity (severe malaria) = 0.91
- Sensitivity (cerebral malaria) = 0.89</t>
  </si>
  <si>
    <t xml:space="preserve">- Need for validation in large patient cohorts.
- Feasibility and low cost constraints.</t>
  </si>
  <si>
    <t xml:space="preserve">FRONTIERS IN CELLULAR AND INFECTION MICROBIOLOGY</t>
  </si>
  <si>
    <t xml:space="preserve">malaria; cerebral malaria; Plasmodium falciparum; gene-signature; immune response; multi-cohort analysis; transcriptomics; point-of-care</t>
  </si>
  <si>
    <t xml:space="preserve">EXPRESSION; MUTATIONS; RECEPTORS; INFECTION; DIAGNOSIS</t>
  </si>
  <si>
    <t xml:space="preserve">[Omar, Mohamed; Marchionni, Luigi] Weill Cornell Med, Dept Pathol &amp; Lab Med, New York, NY USA; [Haecker, Georg; Badr, Mohamed Tarek] Univ Freiburg, Med Ctr, Inst Med Microbiol &amp; Hyg, Fac Med, Freiburg, Germany; [Haecker, Georg] Univ Freiburg, BIOSS Ctr Biol Signaling Studies, Freiburg, Germany; [Badr, Mohamed Tarek] Univ Freiburg, Fac Med, IMM PACT Program, Freiburg, Germany</t>
  </si>
  <si>
    <t xml:space="preserve">Cornell University; Weill Cornell Medicine; University of Freiburg; University of Freiburg; University of Freiburg</t>
  </si>
  <si>
    <t xml:space="preserve">Omar, M (corresponding author), Weill Cornell Med, Dept Pathol &amp; Lab Med, New York, NY USA.;Badr, MT (corresponding author), Univ Freiburg, Med Ctr, Inst Med Microbiol &amp; Hyg, Fac Med, Freiburg, Germany.;Badr, MT (corresponding author), Univ Freiburg, Fac Med, IMM PACT Program, Freiburg, Germany.</t>
  </si>
  <si>
    <t xml:space="preserve">mao4005@med.cornell.edu; mohamed.tarek.badr@uniklinik-freiburg.de</t>
  </si>
  <si>
    <t xml:space="preserve">Marchionni, Luigi/S-6774-2017; Badr, Mohamed Tarek/ABC-5401-2020; Omar, Mohamed/AAH-5967-2020</t>
  </si>
  <si>
    <t xml:space="preserve">Badr, Mohamed Tarek/0000-0002-8800-6380; Omar, Mohamed/0000-0002-8068-1920</t>
  </si>
  <si>
    <t xml:space="preserve">IMM-PACT-Program for Clinician Scientists of the Deutsche Forschungsgemeinschaft (DFG, German Research Foundation) [413517907]</t>
  </si>
  <si>
    <t xml:space="preserve">IMM-PACT-Program for Clinician Scientists of the Deutsche Forschungsgemeinschaft (DFG, German Research Foundation)(German Research Foundation (DFG))</t>
  </si>
  <si>
    <t xml:space="preserve">MB is supported by the IMM-PACT-Program for Clinician Scientists of the Deutsche Forschungsgemeinschaft (DFG, German Research Foundation) [413517907].</t>
  </si>
  <si>
    <t xml:space="preserve">2235-2988</t>
  </si>
  <si>
    <t xml:space="preserve">FRONT CELL INFECT MI</t>
  </si>
  <si>
    <t xml:space="preserve">Front. Cell. Infect. Microbiol.</t>
  </si>
  <si>
    <t xml:space="preserve">OCT 22</t>
  </si>
  <si>
    <t xml:space="preserve">10.3389/fcimb.2021.743616</t>
  </si>
  <si>
    <t xml:space="preserve">Immunology; Microbiology</t>
  </si>
  <si>
    <t xml:space="preserve">WU4AP</t>
  </si>
  <si>
    <t xml:space="preserve">WOS:000716489600001</t>
  </si>
  <si>
    <t xml:space="preserve">Nejad, FY; Varathan, KD</t>
  </si>
  <si>
    <t xml:space="preserve">Yavari Nejad, Felestin; Varathan, Kasturi Dewi</t>
  </si>
  <si>
    <t xml:space="preserve">Identification of significant climatic risk factors and machine learning models in dengue outbreak prediction</t>
  </si>
  <si>
    <t xml:space="preserve">Background Dengue fever is a widespread viral disease and one of the world's major pandemic vector-borne infections, causing serious hazard to humanity. The World Health Organisation (WHO) reported that the incidence of dengue fever has increased dramatically across the world in recent decades. WHO currently estimates an annual incidence of 50-100 million dengue infections worldwide. To date, no tested vaccine or treatment is available to stop or prevent dengue fever. Thus, the importance of predicting dengue outbreaks is significant. The current issue that should be addressed in dengue outbreak prediction is accuracy. A limited number of studies have conducted an in-depth analysis of climate factors in dengue outbreak prediction. Methods The most important climatic factors that contribute to dengue outbreaks were identified in the current work. Correlation analyses were performed in order to determine these factors and these factors were used as input parameters for machine learning models. Top five machine learning classification models (Bayes network (BN) models, support vector machine (SVM), RBF tree, decision table and naive Bayes) were chosen based on past research. The models were then tested and evaluated on the basis of 4-year data (January 2010 to December 2013) collected in Malaysia. Results This research has two major contributions. A new risk factor, called the TempeRain factor (TRF), was identified and used as an input parameter for the model of dengue outbreak prediction. Moreover, TRF was applied to demonstrate its strong impact on dengue outbreaks. Experimental results showed that the Bayes Network model with the new meteorological risk factor identified in this study increased accuracy to 92.35% for predicting dengue outbreaks. Conclusions This research explored the factors used in dengue outbreak prediction systems. The major contribution of this study is identifying new significant factors that contribute to dengue outbreak prediction. From the evaluation result, we obtained a significant improvement in the accuracy of a machine learning model for dengue outbreak prediction.</t>
  </si>
  <si>
    <t xml:space="preserve">Climatic data</t>
  </si>
  <si>
    <t xml:space="preserve">- Bayes network (BN) models
- Support vector machine (SVM)
- RBF tree
- Decision table
- Naive Bayes</t>
  </si>
  <si>
    <t xml:space="preserve">- Bayes Network model accuracy = 92.35%</t>
  </si>
  <si>
    <t xml:space="preserve">BMC MEDICAL INFORMATICS AND DECISION MAKING</t>
  </si>
  <si>
    <t xml:space="preserve">Risk factor; Dengue; Outbreak prediction model; TempeRain factor</t>
  </si>
  <si>
    <t xml:space="preserve">AEDES-AEGYPTI; TEMPERATURE; VARIABLES; FEVER; DISEASE; VECTOR</t>
  </si>
  <si>
    <t xml:space="preserve">[Yavari Nejad, Felestin; Varathan, Kasturi Dewi] Univ Malaya, Dept Informat Syst, Fac Comp Sci &amp; Informat Technol, Kuala Lumpur, Malaysia</t>
  </si>
  <si>
    <t xml:space="preserve">Universiti Malaya</t>
  </si>
  <si>
    <t xml:space="preserve">Varathan, KD (corresponding author), Univ Malaya, Dept Informat Syst, Fac Comp Sci &amp; Informat Technol, Kuala Lumpur, Malaysia.</t>
  </si>
  <si>
    <t xml:space="preserve">kasturi@um.edu.my</t>
  </si>
  <si>
    <t xml:space="preserve">VARATHAN, KASTURI DEWI/B-8756-2010</t>
  </si>
  <si>
    <t xml:space="preserve">Varathan, Kasturi Dewi/0000-0003-3421-4501</t>
  </si>
  <si>
    <t xml:space="preserve">Research University Grant-Faculty Program [GPF011D-2019]</t>
  </si>
  <si>
    <t xml:space="preserve">Research University Grant-Faculty Program</t>
  </si>
  <si>
    <t xml:space="preserve">Research University Grant-Faculty Program (GPF011D-2019) has funded the writing of this manuscript. The funding body played no role in the design of the study and collection, analysis, and interpretation of data.</t>
  </si>
  <si>
    <t xml:space="preserve">1472-6947</t>
  </si>
  <si>
    <t xml:space="preserve">BMC MED INFORM DECIS</t>
  </si>
  <si>
    <t xml:space="preserve">BMC Med. Inform. Decis. Mak.</t>
  </si>
  <si>
    <t xml:space="preserve">APR 30</t>
  </si>
  <si>
    <t xml:space="preserve">10.1186/s12911-021-01493-y</t>
  </si>
  <si>
    <t xml:space="preserve">Medical Informatics</t>
  </si>
  <si>
    <t xml:space="preserve">SK3UT</t>
  </si>
  <si>
    <t xml:space="preserve">WOS:000656144900001</t>
  </si>
  <si>
    <t xml:space="preserve">Tallam, K; Liu, ZYC; Chamberlin, AJ; Jones, IJ; Shome, P; Riveau, G; Ndione, RA; Bandagny, L; Jouanard, N; Van Eck, P; Ngo, T; Sokolow, SH; De Leo, GA</t>
  </si>
  <si>
    <t xml:space="preserve">Tallam, Krti; Liu, Zac Yung-Chun; Chamberlin, Andrew J.; Jones, Isabel J.; Shome, Pretom; Riveau, Gilles; Ndione, Raphael A.; Bandagny, Lydie; Jouanard, Nicolas; Van Eck, Paul; Ngo, Ton; Sokolow, Susanne H.; De Leo, Giulio A.</t>
  </si>
  <si>
    <t xml:space="preserve">Identification of Snails and Schistosoma of Medical Importance via Convolutional Neural Networks: A Proof-of-Concept Application for Human Schistosomiasis</t>
  </si>
  <si>
    <t xml:space="preserve">In recent decades, computer vision has proven remarkably effective in addressing diverse issues in public health, from determining the diagnosis, prognosis, and treatment of diseases in humans to predicting infectious disease outbreaks. Here, we investigate whether convolutional neural networks (CNNs) can also demonstrate effectiveness in classifying the environmental stages of parasites of public health importance and their invertebrate hosts. We used schistosomiasis as a reference model. Schistosomiasis is a debilitating parasitic disease transmitted to humans via snail intermediate hosts. The parasite affects more than 200 million people in tropical and subtropical regions. We trained our CNN, a feed-forward neural network, on a limited dataset of 5,500 images of snails and 5,100 images of cercariae obtained from schistosomiasis transmission sites in the Senegal River Basin, a region in western Africa that is hyper-endemic for the disease. The image set included both images of two snail genera that are relevant to schistosomiasis transmission - that is, Bulinus spp. and Biomphalaria pfeifferi - as well as snail images that are non-component hosts for human schistosomiasis. Cercariae shed from Bi. pfeifferi and Bulinus spp. snails were classified into 11 categories, of which only two, S. haematobium and S. mansoni, are major etiological agents of human schistosomiasis. The algorithms, trained on 80% of the snail and parasite dataset, achieved 99% and 91% accuracy for snail and parasite classification, respectively, when used on the hold-out validation dataset - a performance comparable to that of experienced parasitologists. The promising results of this proof-of-concept study suggests that this CNN model, and potentially similar replicable models, have the potential to support the classification of snails and parasite of medical importance. In remote field settings where machine learning algorithms can be deployed on cost-effective and widely used mobile devices, such as smartphones, these models can be a valuable complement to laboratory identification by trained technicians. Future efforts must be dedicated to increasing dataset sizes for model training and validation, as well as testing these algorithms in diverse transmission settings and geographies.</t>
  </si>
  <si>
    <t xml:space="preserve">United States, Senegal, France</t>
  </si>
  <si>
    <t xml:space="preserve">Senegal</t>
  </si>
  <si>
    <t xml:space="preserve">- CNN</t>
  </si>
  <si>
    <t xml:space="preserve">- Accuracy (for snail classification) = 99%
- Accuracy (for parasite classification) = 91%</t>
  </si>
  <si>
    <t xml:space="preserve">computer vision &amp; image processing; schistosomiais; neglected tropical disease; deep learning - artificial neural network; image classification</t>
  </si>
  <si>
    <t xml:space="preserve">[Tallam, Krti; Liu, Zac Yung-Chun; Chamberlin, Andrew J.; Jones, Isabel J.; Shome, Pretom; De Leo, Giulio A.] Stanford Univ, Hopkins Marine Stn, Pacific Grove, CA 93950 USA; [Riveau, Gilles; Ndione, Raphael A.; Bandagny, Lydie; Jouanard, Nicolas] Ctr Rech Biomed Espoir Sante, St Louis, Senegal; [Riveau, Gilles] Univ Lille, Ctr Hosp Univ CHU Lille,CIIL Ctr Infect &amp; Immun L, Ctr Natl Ki Rech Sci CNRS,U1019,Unite Mixte Rech, Inst Natl Sante &amp; Rech Med INSERM,Inst Pasteur Li, Lille, France; [Jouanard, Nicolas] Univ Gaston Berger, Stn Innovat Aquacole SIA, St Louis, Senegal; [Van Eck, Paul; Ngo, Ton; Sokolow, Susanne H.] Int Business Machines Corp IBM, Silicon Valley Lab, San Jose, CA USA; [Sokolow, Susanne H.] Univ Calif Santa Barbara, Dept Ecol Evolut &amp; Marine Biol, Santa Barbara, CA 93106 USA; [De Leo, Giulio A.] Stanford Univ, Woods Inst Environm, Pacific Grove, CA USA</t>
  </si>
  <si>
    <t xml:space="preserve">Stanford University; Institut National de la Sante et de la Recherche Medicale (Inserm); Universite de Lille; CHU Lille; Universite Gaston Berger; University of California System; University of California Santa Barbara; Stanford University</t>
  </si>
  <si>
    <t xml:space="preserve">Tallam, K; Liu, ZYC (corresponding author), Stanford Univ, Hopkins Marine Stn, Pacific Grove, CA 93950 USA.</t>
  </si>
  <si>
    <t xml:space="preserve">ktallam7@stanford.edu</t>
  </si>
  <si>
    <t xml:space="preserve">Liu, Zac/L-7674-2015; De Leo, Giulio/AAC-5098-2019</t>
  </si>
  <si>
    <t xml:space="preserve">Chamberlin, Andrew/0000-0002-5657-8333</t>
  </si>
  <si>
    <t xml:space="preserve">Bill and Melinda Gates Foundation [OPP1114050]; Stanford University Woods Institute for the Environment; Freeman Spogli Institute at Stanford University; Stanford University; National Institutes of Health [R01TW010286]; National Science Foundation (NSF) [CNH-1414102]; NSF [DEB-2011179, ICER-2024383]; Bill and Melinda Gates Foundation [OPP1114050] Funding Source: Bill and Melinda Gates Foundation</t>
  </si>
  <si>
    <t xml:space="preserve">Bill and Melinda Gates Foundation(Bill &amp; Melinda Gates Foundation); Stanford University Woods Institute for the Environment; Freeman Spogli Institute at Stanford University; Stanford University(Stanford University); National Institutes of Health(United States Department of Health &amp; Human ServicesNational Institutes of Health (NIH) - USA); National Science Foundation (NSF)(National Science Foundation (NSF)); NSF(National Science Foundation (NSF)); Bill and Melinda Gates Foundation(Bill &amp; Melinda Gates Foundation)</t>
  </si>
  <si>
    <t xml:space="preserve">This work was supported by a grant from the Bill and Melinda Gates Foundation (OPP1114050), an Environmental Ventures Program grant from the Stanford University Woods Institute for the Environment, a SEED grant from the Freeman Spogli Institute at Stanford University, a Human Centered Artificial Intelligence grant from Stanford University, a grant from the National Institutes of Health (R01TW010286). SS was partially supported also by a grant from the National Science Foundation (NSF) CNH-1414102. KT and GD were partially supported alsoby NSF DEB -2011179 and NSF ICER-2024383.</t>
  </si>
  <si>
    <t xml:space="preserve">JUL 15</t>
  </si>
  <si>
    <t xml:space="preserve">10.3389/fpubh.2021.642895</t>
  </si>
  <si>
    <t xml:space="preserve">TR2BG</t>
  </si>
  <si>
    <t xml:space="preserve">WOS:000678775200001</t>
  </si>
  <si>
    <t xml:space="preserve">Caraballo-Guzmán, AJ; Ospina-Villa, JD; Cuesta-Caicedo, AP; Sánchez-Jiménez, MM</t>
  </si>
  <si>
    <t xml:space="preserve">Jose Caraballo-Guzman, Arley; David Ospina-Villa, Juan; Patricia Cuesta-Caicedo, Angela; Margot Sanchez-Jimenez, Miryan</t>
  </si>
  <si>
    <t xml:space="preserve">Immunoproteomics characterization of Leishmania panamensis proteins for potential clinical diagnosis of mucosal Leishmaniasis</t>
  </si>
  <si>
    <t xml:space="preserve">Diagnosis of leishmaniasis based on antibodies detection represents a challenge due to cross-reaction of sera with other infectious agents, which co-exist in endemic areas of Leishmania sp, especially patients with Trypanosoma cruzi. This work is aimed at searching for immunogenic proteins in sera from patients with cutaneous and mucosal leishmaniasis that may be potential candidates for the development of diagnostic tests and/or vaccines that help control the infection. Total protein extracts of L. panamensis promastigotes were put in contact with sera from patients with cutaneous and mucosal leishmaniasis (immunoblots). Immunoreactive proteins were identified by mass spectrometry and bioinformatics tools. 81 proteins were identified. One of these was uniquely recognized by the sera from patients with ML but not from sera from either CL or Chagas disease patients. MS analysis of this band pointed to the putative leishmanial 3-oxoacyl-(Acylcarrierprotein) reductase.</t>
  </si>
  <si>
    <t xml:space="preserve">- Proteomic data
- Serological data</t>
  </si>
  <si>
    <t xml:space="preserve">Mucosal leishmaniasis</t>
  </si>
  <si>
    <t xml:space="preserve">PARASITE IMMUNOLOGY</t>
  </si>
  <si>
    <t xml:space="preserve">Leishmania spp; Leishmaniasis; proteomics; serodiagnosis</t>
  </si>
  <si>
    <t xml:space="preserve">[Jose Caraballo-Guzman, Arley; David Ospina-Villa, Juan; Margot Sanchez-Jimenez, Miryan] Univ CES, Inst Colombiano Med Trop, Sabaneta 055450, Antioquia, Colombia; [Patricia Cuesta-Caicedo, Angela] Univ Tecnol Choco, Quibdo, Colombia</t>
  </si>
  <si>
    <t xml:space="preserve">Universidad CES</t>
  </si>
  <si>
    <t xml:space="preserve">Sánchez-Jiménez, MM (corresponding author), Univ CES, Inst Colombiano Med Trop, Sabaneta 055450, Antioquia, Colombia.</t>
  </si>
  <si>
    <t xml:space="preserve">Ospina, Juan/AAD-8349-2020; ospina villa, juan david/HDM-9647-2022</t>
  </si>
  <si>
    <t xml:space="preserve">Caraballo Guzman, Arley Jose/0000-0001-5127-8094; ospina villa, juan david/0000-0003-1679-3036; Sanchez-Jimenez, Miryan/0000-0001-6323-5518</t>
  </si>
  <si>
    <t xml:space="preserve">Ministerio de Ciencias, Tecnologia e Innovacion de Colombia (Minciencias) [CT 80740-171-2020]</t>
  </si>
  <si>
    <t xml:space="preserve">Ministerio de Ciencias, Tecnologia e Innovacion de Colombia (Minciencias)</t>
  </si>
  <si>
    <t xml:space="preserve">This research was funded by Ministerio de Ciencias, Tecnologia e Innovacion de Colombia (Minciencias). Convocatoria 694 de 2014 (Convocatoria para la formacion de capital humano de alto nivel para el departamento del Choco) and Convocatoria 848 (Programa de Estancias Postdoctorales en entidades del SNCT 2019. CT 80740-171-2020).</t>
  </si>
  <si>
    <t xml:space="preserve">0141-9838</t>
  </si>
  <si>
    <t xml:space="preserve">1365-3024</t>
  </si>
  <si>
    <t xml:space="preserve">PARASITE IMMUNOL</t>
  </si>
  <si>
    <t xml:space="preserve">Parasite Immunol.</t>
  </si>
  <si>
    <t xml:space="preserve">e12824</t>
  </si>
  <si>
    <t xml:space="preserve">10.1111/pim.12824</t>
  </si>
  <si>
    <t xml:space="preserve">Immunology; Parasitology</t>
  </si>
  <si>
    <t xml:space="preserve">RZ6DD</t>
  </si>
  <si>
    <t xml:space="preserve">WOS:000613760500001</t>
  </si>
  <si>
    <t xml:space="preserve">Madhu, G; Govardhan, A; Srinivas, BS; Sahoo, KS; Jhanjhi, NZ; Vardhan, KS; Rohit, B</t>
  </si>
  <si>
    <t xml:space="preserve">Madhu, G.; Govardhan, A.; Srinivas, B. Sunil; Sahoo, Kshira Sagar; Jhanjhi, N. Z.; Vardhan, K. S.; Rohit, B.</t>
  </si>
  <si>
    <t xml:space="preserve">Imperative Dynamic Routing Between Capsules Network for Malaria Classification</t>
  </si>
  <si>
    <t xml:space="preserve">Malaria is a severe epidemic disease caused by Plasmodium falciparum. The parasite causes critical illness if persisted for longer durations and delay in precise treatment can lead to further complications. The automatic diagnostic model provides aid for medical practitioners to avail a fast and efficient diagnosis. Most of the existing work either utilizes a fully connected convolution neural network with successive pooling layers which causes loss of information in pixels. Further, convolutions can capture spatial invariances but, cannot capture rotational invariances. Hence to overcome these limitations, this research, develops an Imperative Dynamic routing mechanism with fully trained capsule networks for malaria classification. This model identifies the presence of malaria parasites by classifying thin blood smears containing samples of parasitized and healthy erythrocytes. The proposed model is compared and evaluated with novel machine vision models evolved over a decade such as VGG, ResNet, DenseNet, MobileNet. The problems in previous research are cautiously addressed and overhauled using the proposed capsule network by attaining the highest Area under the curve (AUC) and Specificity of 99.03% and 99.43% respectively for 20% test samples. To understand the underlying behavior of the proposed network various tests are conducted for variant shuffle patterns. The model is analyzed and assessed in distinct environments to depict its resilience and versatility. To provide greater generalization, the proposed network has been tested on thick blood smear images which surpassed with greater performance.</t>
  </si>
  <si>
    <t xml:space="preserve">India, Malaysia</t>
  </si>
  <si>
    <t xml:space="preserve">Capsule Network</t>
  </si>
  <si>
    <t xml:space="preserve">- AUC = 99.03%
- Specificity = 99.43%</t>
  </si>
  <si>
    <t xml:space="preserve">Dynamic routing; deep neural networks; thin blood smears; computer vision; parasite classification</t>
  </si>
  <si>
    <t xml:space="preserve">MICROSCOPIC IMAGES; QUANTIFICATION; MODEL</t>
  </si>
  <si>
    <t xml:space="preserve">[Madhu, G.; Vardhan, K. S.] VNRVJIET, Dept Informat Technol, Hyderabad 500090, India; [Govardhan, A.] JNTUH Coll Engn, Dept Comp Sci &amp; Engn, Hyderabad, India; [Srinivas, B. Sunil] TKR Coll Engn &amp; Technol, Dept Comp Sci &amp; Engn, Hyderabad, India; [Sahoo, Kshira Sagar] SRM Univ, Dept Comp Sci &amp; Engn, Amaravati 522502, AP, India; [Jhanjhi, N. Z.] Taylors Univ, Sch Comp Sci &amp; Engn, Subang Jaya 47500, Malaysia; [Rohit, B.] VNRVJIET, Dept Comp Sci &amp; Engn, Hyderabad 500090, India</t>
  </si>
  <si>
    <t xml:space="preserve">Vallurupalli Nageswara Rao Vignana Jyothi Institute of Engineering &amp;Technology (VNR VJIET); Jawaharlal Nehru Technological University - Hyderabad; SRM University-AP; Taylor's University; Vallurupalli Nageswara Rao Vignana Jyothi Institute of Engineering &amp;Technology (VNR VJIET)</t>
  </si>
  <si>
    <t xml:space="preserve">Madhu, G (corresponding author), VNRVJIET, Dept Informat Technol, Hyderabad 500090, India.</t>
  </si>
  <si>
    <t xml:space="preserve">madhu_g@vnrvjiet.in</t>
  </si>
  <si>
    <t xml:space="preserve">Boddeda, Rohit/AAM-1334-2021; Srinivas, Sunil/HRD-2111-2023; Sahoo, Kshira/ABD-9582-2020; GOVARDHAN, ALISERI/U-2721-2017; Jhanjhi, NZ/F-3051-2011; K, sai vardhan/AAM-1905-2021; Madhu, Golla/F-3654-2012</t>
  </si>
  <si>
    <t xml:space="preserve">GOVARDHAN, ALISERI/0000-0001-9239-0138; Boddeda, Rohit/0000-0003-4549-9063; Sahoo, Kshira/0000-0002-6435-5738; Jhanjhi, NZ/0000-0001-8116-4733; K, sai vardhan/0000-0003-2606-7046; Madhu, Golla/0000-0002-4170-3146</t>
  </si>
  <si>
    <t xml:space="preserve">Jawaharlal Nehru Technological University Hyderabad, India [JNTUH/TEQIP-III/CRS/2019/CSE/13]; J.N.T. University Hyderabad, India</t>
  </si>
  <si>
    <t xml:space="preserve">Jawaharlal Nehru Technological University Hyderabad, India; J.N.T. University Hyderabad, India</t>
  </si>
  <si>
    <t xml:space="preserve">This research was supported by the Jawaharlal Nehru Technological University Hyderabad, India under Grant Procs No. JNTUH/TEQIP-III/CRS/2019/CSE/13. The authors gratefully acknowledge the financial support provided by the J.N.T. University Hyderabad, India.</t>
  </si>
  <si>
    <t xml:space="preserve">10.32604/cmc.2021.016114</t>
  </si>
  <si>
    <t xml:space="preserve">RB1PY</t>
  </si>
  <si>
    <t xml:space="preserve">WOS:000631889500001</t>
  </si>
  <si>
    <t xml:space="preserve">Ozer, I; Cetin, O; Gorur, K; Temurtas, F</t>
  </si>
  <si>
    <t xml:space="preserve">Ozer, Ilyas; Cetin, Onursal; Gorur, Kutlucan; Temurtas, Feyzullah</t>
  </si>
  <si>
    <t xml:space="preserve">Improved machine learning performances with transfer learning to predicting need for hospitalization in arboviral infections against the small dataset</t>
  </si>
  <si>
    <t xml:space="preserve">The prediction of hospital patients and outpatients with suspected arboviral infection individuals in research-limited settings of the urban areas is defined as a challenging process for clinicians. Dengue, Chikungunya, and Zika arboviruses have gained attention in recent years because of the high prevalence in the society and financial burden of major global health systems. In this study, we proposed a machine learning algorithm based prediction model over retrospective medical records, which are named as SISA (the Severity Index for Suspected Arbovirus) and SISAL (the Severity Index for Suspected Arbovirus with Laboratory) datasets. Therefore, we aim to inform the clinicians about the use of machine learning with transfer learning success for diagnosis and comprehensive comparison of the classification performances over the SISA/SISAL datasets in the resource-limited settings that may cause to the small datasets of arboviral infection. In this study, Convolutional Neural Network and Long Short-Term Memory have achieved 100% accuracy and 1 of area under the curve (AUC) score, Fully Connected Deep Network has provided 92.86% accuracy and 0.969 AUC score in the SISAL dataset with transfer learning. Moreover, 98.73% accuracy and 0.988 AUC score were obtained by Convolutional Neural Network and Long Short-Term Memory for the SISA dataset. Furthermore, Linear Discriminant Analysis (shallow algorithm) has provided reaching up to 96.43% accuracy. Notably, deep learning based models have achieved improved performances compared to the previously reported study.</t>
  </si>
  <si>
    <t xml:space="preserve">Ecuador</t>
  </si>
  <si>
    <t xml:space="preserve">- CNN and Long Short-Term Memory
- Fully connected deep network
- SVM
- Linear Discriminant Analysis</t>
  </si>
  <si>
    <t xml:space="preserve">CNN and Long Short-Term Memory:
- Accuracy = 100% and AUC = 1
Fully Connected Deep Network:
- Accuracy = 92.86% and AUC = 0.969
Linear Discriminant Analysis (shallow algorithm)
- Accuracy = 96.43%</t>
  </si>
  <si>
    <t xml:space="preserve">Arboviral infection; Deep learning; Shallow machine learning; Transfer learning</t>
  </si>
  <si>
    <t xml:space="preserve">[Ozer, Ilyas] Bandirma Onyedi Eylul Univ, Comp Engn, TR-10200 Balikesir, Turkey; [Cetin, Onursal; Gorur, Kutlucan; Temurtas, Feyzullah] Bandirma Onyedi Eylul Univ, Elect &amp; Elect Engn, TR-10200 Balikesir, Turkey</t>
  </si>
  <si>
    <t xml:space="preserve">Bandirma Onyedi Eylul University; Bandirma Onyedi Eylul University</t>
  </si>
  <si>
    <t xml:space="preserve">Gorur, K (corresponding author), Bandirma Onyedi Eylul Univ, Elect &amp; Elect Engn, TR-10200 Balikesir, Turkey.</t>
  </si>
  <si>
    <t xml:space="preserve">kgorur@bandirma.edu.tr</t>
  </si>
  <si>
    <t xml:space="preserve">GÖRÜR, KUTLUCAN/LZG-4406-2025; Temurtas, Feyzullah/I-6528-2013; Özer, İlyas/AAI-2260-2021; Cetin, Onursal/LPP-8967-2024</t>
  </si>
  <si>
    <t xml:space="preserve">CETIN, ONURSAL/0000-0001-5220-3959</t>
  </si>
  <si>
    <t xml:space="preserve">10.1007/s00521-021-06133-0</t>
  </si>
  <si>
    <t xml:space="preserve">WL7FY</t>
  </si>
  <si>
    <t xml:space="preserve">WOS:000656766700001</t>
  </si>
  <si>
    <t xml:space="preserve">Moreira De Souza, ML; Lopes, GA; Branco, AC; Fairley, JK; De Oliveira Fraga, LA</t>
  </si>
  <si>
    <t xml:space="preserve">Moreira De Souza, Marcio Luis; Lopes, Gabriel Ayres; Branco, Alexandre Castelo; Fairley, Jessica K.; De Oliveira Fraga, Lucia Alves</t>
  </si>
  <si>
    <t xml:space="preserve">Leprosy Screening Based on Artificial Intelligence: Development of a Cross-Platform App</t>
  </si>
  <si>
    <t xml:space="preserve">Background: According to the World Health Organization, achieving targets for control of leprosy by 2030 will require disease elimination and interruption of transmission at the national or regional level. India and Brazil have reported the highest leprosy burden in the last few decades, revealing the need for strategies and tools to help health professionals correctly manage and control the disease. Objective: The main objective of this study was to develop a cross-platform app for leprosy screening based on artificial intelligence (AI) with the goal of increasing accessibility of an accurate method of classifying leprosy treatment for health professionals, especially for communities further away from major diagnostic centers. Toward this end, we analyzed the quality of leprosy data in Brazil on the National Notifiable Diseases Information System (SINAN). Methods: Leprosy data were extracted from the SINAN database, carefully cleaned, and used to build AI decision models based on the random forest algorithm to predict operational classification in paucibacillary or multibacillary leprosy. We used Python programming language to extract and clean the data, and R programming language to train and test the AI model via cross-validation. To allow broad access, we deployed the final random forest classification model in a web app via shinyApp using data available from the Brazilian Institute of Geography and Statistics and the Department of Informatics of the Unified Health System. Results: We mapped the dispersion of leprosy incidence in Brazil from 2014 to 2018, and found a particularly high number of cases in central Brazil in 2014 that further increased in 2018 in the state of Mato Grosso. For some municipalities, up to 80% of cases showed some data discrepancy. Of a total of 21,047 discrepancies detected, the most common was operational classification does not match the clinical form. After data processing, we identified a total of 77,628 cases with missing data. The sensitivity and specificity of the AI model applied for the operational classification of leprosy was 93.97% and 87.09%, respectively. Conclusions: The proposed app was able to recognize patterns in leprosy cases registered in the SINAN database and to classify new patients with paucibacillary or multibacillary leprosy, thereby reducing the probability of incorrect assignment by health centers. The collection and notification of data on leprosy in Brazil seem to lack specific validation to increase the quality of the data for implementations via AI. The AI models implemented in this work had satisfactory accuracy across Brazilian states and could be a complementary diagnosis tool, especially in remote areas with few specialist physicians.</t>
  </si>
  <si>
    <t xml:space="preserve">Brazil, United States</t>
  </si>
  <si>
    <t xml:space="preserve">- Sensitivity = 93.97%
- Specificity = 87.09%</t>
  </si>
  <si>
    <t xml:space="preserve">JMIR MHEALTH AND UHEALTH</t>
  </si>
  <si>
    <t xml:space="preserve">leprosy; artificial intelligence; random forest; Python; R; apps; mHealth; shinyApp</t>
  </si>
  <si>
    <t xml:space="preserve">[Moreira De Souza, Marcio Luis; De Oliveira Fraga, Lucia Alves] Univ Fed Juiz de Fora, Multictr Biochem &amp; Mol Biol Program, R Sao Paulo 745 Ctr, Governador Valadares, MG, Brazil; [Lopes, Gabriel Ayres] Univ Fed Juiz de Fora, PROEX Program, UFJF, Governador Valadares, MG, Brazil; [Branco, Alexandre Castelo] Reference Ctr Endem Dis &amp; Special Programs SMS GV, Governador Valadares, MG, Brazil; [Fairley, Jessica K.] Emory Univ, Sch Med, Atlanta, GA USA</t>
  </si>
  <si>
    <t xml:space="preserve">Universidade Federal de Juiz de Fora; Universidade Federal de Juiz de Fora; Emory University</t>
  </si>
  <si>
    <t xml:space="preserve">De Oliveira Fraga, LA (corresponding author), Univ Fed Juiz de Fora, Multictr Biochem &amp; Mol Biol Program, R Sao Paulo 745 Ctr, Governador Valadares, MG, Brazil.</t>
  </si>
  <si>
    <t xml:space="preserve">artigoacm@gmail.com</t>
  </si>
  <si>
    <t xml:space="preserve">Fairley, Jessica/W-2777-2019</t>
  </si>
  <si>
    <t xml:space="preserve">Ayres Lopes, Gabriel/0000-0001-7505-8731; C Branco, Alexandre/0000-0002-9019-4261; SOUZA, MARCIO/0000-0002-3710-8184</t>
  </si>
  <si>
    <t xml:space="preserve">Conselho de Desenvolvimento Tecnologico e Cientifico/CNPq/BRAZIL; FAPEMIG; Coordenacao de Aperfeicoamento de Pessoal de Nivel Superior -Brasil (CAPES) [001, 88881.361990/2019-01]</t>
  </si>
  <si>
    <t xml:space="preserve">Conselho de Desenvolvimento Tecnologico e Cientifico/CNPq/BRAZIL(Conselho Nacional de Desenvolvimento Cientifico e Tecnologico (CNPQ)); FAPEMIG(Fundacao de Amparo a Pesquisa do Estado de Minas Gerais (FAPEMIG)); Coordenacao de Aperfeicoamento de Pessoal de Nivel Superior -Brasil (CAPES)(Coordenacao de Aperfeicoamento de Pessoal de Nivel Superior (CAPES))</t>
  </si>
  <si>
    <t xml:space="preserve">The authors thank Artur Jose Vilar Sette, Davi Metzker Junior, and Vladmir Machado Rios for helping in some aspects of app building, and Tillman Rauh for helping to translate some parts of this article. We are also grateful to all members of CREDEN-PES, Programa Multicentrico de Bioquimica e Biologia Molecular at Universidade Federal de Juiz de Fora Campus Governador Valadares, and to PROEX/PROPP/UFJF. This study received financial support from the Conselho de Desenvolvimento Tecnologico e Cientifico/CNPq/BRAZIL, FAPEMIG. This study was also financed in part by the Coordenacao de Aperfeicoamento de Pessoal de Nivel Superior -Brasil (CAPES; Finance Code 001, file number: 88881.361990/2019-01 [Migrated-SICAPES3]). The funding sources had no role in the design of the study; in the collection, analysis, implementation, and interpretation of data; and in writing the manuscript.</t>
  </si>
  <si>
    <t xml:space="preserve">130 QUEENS QUAY East, Unit 1100, TORONTO, ON M5A 0P6, CANADA</t>
  </si>
  <si>
    <t xml:space="preserve">2291-5222</t>
  </si>
  <si>
    <t xml:space="preserve">JMIR MHEALTH UHEALTH</t>
  </si>
  <si>
    <t xml:space="preserve">JMIR mHealth uHealth</t>
  </si>
  <si>
    <t xml:space="preserve">APR 7</t>
  </si>
  <si>
    <t xml:space="preserve">e23718</t>
  </si>
  <si>
    <t xml:space="preserve">10.2196/23718</t>
  </si>
  <si>
    <t xml:space="preserve">TD0HM</t>
  </si>
  <si>
    <t xml:space="preserve">WOS:000669017200001</t>
  </si>
  <si>
    <t xml:space="preserve">Kanoi, BN; Nagaoka, H; Morita, M; Tsuboi, T; Takashima, E</t>
  </si>
  <si>
    <t xml:space="preserve">Kanoi, Bernard N.; Nagaoka, Hikaru; Morita, Masayuki; Tsuboi, Takafumi; Takashima, Eizo</t>
  </si>
  <si>
    <t xml:space="preserve">Leveraging the wheat germ cell-free protein synthesis system to accelerate malaria vaccine development</t>
  </si>
  <si>
    <t xml:space="preserve">Vaccines against infectious diseases have had great successes in the history of public health. Major breakthroughs have occurred in the development of vaccine-based interventions against viral and bacterial pathogens through the application of classical vaccine design strategies. In contrast the development of a malaria vaccine has been slow. Plasmodium falciparum malaria affects millions of people with nearly half of the world population at risk of infection. Decades of dedicated research has taught us that developing an effective vaccine will be time consuming, challenging, and expensive. Nevertheless, recent advancements such as the optimization of robust protein synthesis platforms, high-throughput immunoscreening approaches, reverse vaccinology, structural design of immunogens, lymphocyte repertoire sequencing, and the utilization of artificial intelligence, have renewed the prospects of an accelerated discovery of the key antigens in malaria. A deeper understanding of the major factors underlying the immunological and molecular mechanisms of malaria might provide a comprehensive approach to identifying novel and highly efficacious vaccines. In this review we discuss progress in novel antigen discoveries that leverage on the wheat germ cell-free protein synthesis system (WGCFS) to accelerate malaria vaccine development.</t>
  </si>
  <si>
    <t xml:space="preserve">PARASITOLOGY INTERNATIONAL</t>
  </si>
  <si>
    <t xml:space="preserve">Malaria; Antigen discovery; Naturally acquired immunity; Vaccines; Reverse vaccinology</t>
  </si>
  <si>
    <t xml:space="preserve">TRANSCRIPTION-TRANSLATION SYSTEM; INHIBIT PARASITE GROWTH; STRUCTURE-BASED DESIGN; PLASMODIUM-FALCIPARUM; ESCHERICHIA-COLI; MOLECULAR-BASIS; BLOOD STAGES; EXPRESSION; INVASION; ANTIBODIES</t>
  </si>
  <si>
    <t xml:space="preserve">[Kanoi, Bernard N.; Nagaoka, Hikaru; Morita, Masayuki; Tsuboi, Takafumi; Takashima, Eizo] Ehime Univ, Div Malaria Res, Proteosci Ctr, Matsuyama, Ehime 7908577, Japan</t>
  </si>
  <si>
    <t xml:space="preserve">Ehime University</t>
  </si>
  <si>
    <t xml:space="preserve">Takashima, E (corresponding author), Ehime Univ, Div Malaria Res, Proteosci Ctr, Matsuyama, Ehime 7908577, Japan.</t>
  </si>
  <si>
    <t xml:space="preserve">takashima.eizo.mz@ehime-u.ac.jp</t>
  </si>
  <si>
    <t xml:space="preserve">Tsuboi, Takafumi/AAK-6145-2021; Kanoi, Bernard/AAD-2383-2019</t>
  </si>
  <si>
    <t xml:space="preserve">Takashima, Eizo/0000-0001-9070-8499; Kanoi, Bernard/0000-0003-2772-7579; nagaoka, hikaru/0000-0003-2167-1754</t>
  </si>
  <si>
    <t xml:space="preserve">Inamori Foundation; JSPS KAKENHI [JP20H03481, JP19K16629, JP19K16630, JP19K22535, JP18H02651, JP18K19455, JP18K15138, JP16K15266, JP17K15678, JP15H05276, JP26253026, JP26860279]; Mochida Memorial Foundation for Medical and Pharmaceutical Research</t>
  </si>
  <si>
    <t xml:space="preserve">Inamori Foundation; JSPS KAKENHI(Ministry of Education, Culture, Sports, Science and Technology, Japan (MEXT)Japan Society for the Promotion of ScienceGrants-in-Aid for Scientific Research (KAKENHI)); Mochida Memorial Foundation for Medical and Pharmaceutical Research</t>
  </si>
  <si>
    <t xml:space="preserve">This work was funded in part by the Inamori Foundation, and JSPS KAKENHI (grant numbers JP20H03481, JP19K16629, JP19K16630, JP19K22535, JP18H02651, JP18K19455, JP18K15138, JP16K15266, JP17K15678, JP15H05276, JP26253026, and JP26860279), and the Mochida Memorial Foundation for Medical and Pharmaceutical Research. The funders had no role in study design, data collection and analysis, decision to publish, or preparation of the manuscript.</t>
  </si>
  <si>
    <t xml:space="preserve">1383-5769</t>
  </si>
  <si>
    <t xml:space="preserve">1873-0329</t>
  </si>
  <si>
    <t xml:space="preserve">PARASITOL INT</t>
  </si>
  <si>
    <t xml:space="preserve">Parasitol. Int.</t>
  </si>
  <si>
    <t xml:space="preserve">10.1016/j.parint.2020.102224</t>
  </si>
  <si>
    <t xml:space="preserve">PB6ZE</t>
  </si>
  <si>
    <t xml:space="preserve">WOS:000596466200016</t>
  </si>
  <si>
    <t xml:space="preserve">Jiang, HL; Deng, WC; Zhou, J; Ren, GH; Cai, XT; Li, SM; Hu, BJ; Li, CL; Shi, Y; Zhang, N; Zheng, YY; Chen, Y; Jiang, QW; Zhou, YB</t>
  </si>
  <si>
    <t xml:space="preserve">Jiang, Honglin; Deng, Weicheng; Zhou, Jie; Ren, Guanghui; Cai, Xinting; Li, Shengming; Hu, Benjiao; Li, Chunlin; Shi, Ying; Zhang, Na; Zheng, Yingyan; Chen, Yue; Jiang, Qingwu; Zhou, Yibiao</t>
  </si>
  <si>
    <t xml:space="preserve">Machine learning algorithms to predict the 1 year unfavourable prognosis for advanced schistosomiasis</t>
  </si>
  <si>
    <t xml:space="preserve">Short-term prognosis of advanced schistosomiasis has not been well studied. We aimed to construct prognostic models using machine learning algorithms and to identify the most important predictors by utilising routinely available data under the government medical assistance programme. An established database of advanced schistosomiasis in Hunan, China was utilised for analysis. A total of 9541 patients for the period from January 2008 to December 2018 were enrolled in this study. Candidate predictors were selected from demographics, clinical features, medical examinations and test results. We applied five machine learning algorithms to construct 1 year prognostic models: logistic regression (LR), decision tree (DT), random forest (RF), artificial neural network (ANN) and extreme gradient boosting (XGBoost). An area under the receiver operating characteristic curve (AUC) was used to evaluate the model perfor-mance. The important predictors of the optimal model for unfavourable prognosis within 1 year were identified and ranked. There were 1249 (13.1%) cases having unfavourable prognoses within 1 year of dis-charge. The mean age of all participants was 61.94 years, of whom 70.9% were male. In general, XGBoost showed the best predictive performance with the highest AUC (0.846; 95% confidence interval (CI): 0.821, 0.871), compared with LR (0.798; 95% CI: 0.770, 0.827), DT (0.766; 95% CI: 0.733, 0.800), RF (0.823; 95% CI: 0.796, 0.851), and ANN (0.806; 95% CI: 0.778, 0.835). Five most important predictors identified by XGBoost were ascitic fluid volume, haemoglobin (HB), total bilirubin (TB), albumin (ALB), and platelets (PT). We proposed XGBoost as the best algorithm for the evaluation of a 1 year prognosis of advanced schistosomiasis. It is considered to be a simple and useful tool for the short-term prediction of an unfa-vourable prognosis for advanced schistosomiasis in clinical settings. (c) 2021 Australian Society for Parasitology. Published by Elsevier Ltd. All rights reserved.</t>
  </si>
  <si>
    <t xml:space="preserve">China, Canada</t>
  </si>
  <si>
    <t xml:space="preserve">- Logistic regression (LR)
- Decision tree (DT)
- Random forest (RF)
- Artificial neural network (ANN)
- Extreme gradient boosting (XGBoost)</t>
  </si>
  <si>
    <t xml:space="preserve">- XGBoost :AUC (0.846; 95% (CI): 0.821, 0.871)
- LR (0.798; 95% CI: 0.770, 0.827) 
- DT (0.766; 95% CI: 0.733, 0.800)
- RF (0.823; 95% CI: 0.796, 0.851)
- ANN (0.806; 95% CI: 0.778, 0.835)</t>
  </si>
  <si>
    <t xml:space="preserve">- Secondary data analysis
- Potentially important variables are not available in the current study
-  Models derived based on data from Hunan Province only</t>
  </si>
  <si>
    <t xml:space="preserve">INTERNATIONAL JOURNAL FOR PARASITOLOGY</t>
  </si>
  <si>
    <t xml:space="preserve">Advanced schistosomiasis; Prognosis; Machine learning; XGBoost</t>
  </si>
  <si>
    <t xml:space="preserve">JAPONICA; CANCER; LIVER</t>
  </si>
  <si>
    <t xml:space="preserve">[Jiang, Honglin; Li, Chunlin; Shi, Ying; Zhang, Na; Zheng, Yingyan; Jiang, Qingwu; Zhou, Yibiao] Fudan Univ, Sch Publ Hlth, Bldg 8,130 Dongan Rd, Shanghai 200032, Peoples R China; [Jiang, Honglin; Li, Chunlin; Shi, Ying; Zhang, Na; Zheng, Yingyan; Jiang, Qingwu; Zhou, Yibiao] Fudan Univ, Key Lab Publ Hlth Safety, Minist Educ, Bldg 8,130 Dongan Rd, Shanghai 200032, Peoples R China; [Jiang, Honglin; Li, Chunlin; Shi, Ying; Zhang, Na; Zheng, Yingyan; Jiang, Qingwu; Zhou, Yibiao] Fudan Univ, Ctr Trop Dis Res, Bldg 8,130 Dongan Rd, Shanghai 200032, Peoples R China; [Deng, Weicheng; Zhou, Jie; Ren, Guanghui; Cai, Xinting; Li, Shengming; Hu, Benjiao] Hunan Inst Schistosomiasis Control, Yueyang, Hunan, Peoples R China; [Chen, Yue] Univ Ottawa, Sch Epidemiol &amp; Publ Hlth, Fac Med, 600 Peter Morand Crescent, Ottawa, ON K1G 5Z3, Canada</t>
  </si>
  <si>
    <t xml:space="preserve">Zhou, YB (corresponding author), Fudan Univ, Sch Publ Hlth, Bldg 8,130 Dongan Rd, Shanghai 200032, Peoples R China.</t>
  </si>
  <si>
    <t xml:space="preserve">z_yibiao@hotmail.com</t>
  </si>
  <si>
    <t xml:space="preserve">li, chunlin/KFS-0761-2024; Jiang, Wei/AAD-4758-2020</t>
  </si>
  <si>
    <t xml:space="preserve">Jiang, Qingwu/0000-0001-8921-3317; Jiang, Honglin/0000-0001-8815-0780</t>
  </si>
  <si>
    <t xml:space="preserve">Fudan University, China; University of Ottawa, Canada</t>
  </si>
  <si>
    <t xml:space="preserve">We sincerely appreciate the work of the staff at the Hunan Insti-tute for Schistosomiasis Control, China; Fudan University, China; and University of Ottawa, Canada. This research did not receive any specific grant from any funding agency in the public, commer-cial, or not-for-profit sector.</t>
  </si>
  <si>
    <t xml:space="preserve">0020-7519</t>
  </si>
  <si>
    <t xml:space="preserve">1879-0135</t>
  </si>
  <si>
    <t xml:space="preserve">INT J PARASITOL</t>
  </si>
  <si>
    <t xml:space="preserve">Int. J. Parasit.</t>
  </si>
  <si>
    <t xml:space="preserve">10.1016/j.ijpara.2021.03.004</t>
  </si>
  <si>
    <t xml:space="preserve">WE0GU</t>
  </si>
  <si>
    <t xml:space="preserve">WOS:000705309300008</t>
  </si>
  <si>
    <t xml:space="preserve">Farr, RJ; Godde, N; Cowled, C; Sundaramoorthy, V; Green, D; Stewart, C; Bingham, J; O'Brien, CM; Dearnley, M</t>
  </si>
  <si>
    <t xml:space="preserve">Farr, Ryan J.; Godde, Nathan; Cowled, Christopher; Sundaramoorthy, Vinod; Green, Diane; Stewart, Cameron; Bingham, John; O'Brien, Carmel M.; Dearnley, Megan</t>
  </si>
  <si>
    <t xml:space="preserve">Machine Learning Identifies Cellular and Exosomal MicroRNA Signatures of Lyssavirus Infection in Human Stem Cell-Derived Neurons</t>
  </si>
  <si>
    <t xml:space="preserve">Despite being vaccine preventable, rabies (lyssavirus) still has a significant impact on global mortality, disproportionally affecting children under 15 years of age. This neurotropic virus is deft at avoiding the immune system while travelling through neurons to the brain. Until recently, research efforts into the role of non-coding RNAs in rabies pathogenicity and detection have been hampered by a lack of human in vitro neuronal models. Here, we utilized our previously described human stem cell-derived neural model to investigate the effect of lyssavirus infection on microRNA (miRNA) expression in human neural cells and their secreted exosomes. Conventional differential expression analysis identified 25 cellular and 16 exosomal miRNAs that were significantly altered (FDR adjusted P-value &lt;0.05) in response to different lyssavirus strains. Supervised machine learning algorithms determined 6 cellular miRNAs (miR-99b-5p, miR-346, miR-5701, miR-138-2-3p, miR-651-5p, and miR-7977) were indicative of lyssavirus infection (100% accuracy), with the first four miRNAs having previously established roles in neuronal function, or panic and impulsivity-related behaviors. Another 4-miRNA signatures in exosomes (miR-25-3p, miR-26b-5p, miR-218-5p, miR-598-3p) can independently predict lyssavirus infected cells with &gt;99% accuracy. Identification of these robust lyssavirus miRNA signatures offers further insight into neural lineage responses to infection and provides a foundation for utilizing exosome miRNAs in the development of next-generation molecular diagnostics for rabies.</t>
  </si>
  <si>
    <t xml:space="preserve">Lyssavirus</t>
  </si>
  <si>
    <t xml:space="preserve">- Logistic regression
- Linear Discriminant Analysis (LDA)</t>
  </si>
  <si>
    <t xml:space="preserve">- Accuracy (cellular miRNA signatures): 100%
- Accuracy (exosomal miRNA signatures): 99.2%</t>
  </si>
  <si>
    <t xml:space="preserve">microRNA; lyssavirus; stem cells; neural; neurons; biomarker; machine learning</t>
  </si>
  <si>
    <t xml:space="preserve">MILWAUKEE PROTOCOL; HUMAN RABIES; EXPRESSION; DIAGNOSIS; DISEASE; BURDEN; SERUM</t>
  </si>
  <si>
    <t xml:space="preserve">[Farr, Ryan J.; Godde, Nathan; Sundaramoorthy, Vinod; Green, Diane; Bingham, John; Dearnley, Megan] Commonwealth Sci &amp; Ind Res Org, Australian Anim Hlth Lab, Australian Ctr Dis Preparedness, Geelong, Vic, Australia; [Cowled, Christopher; Stewart, Cameron] Commonwealth Sci &amp; Ind Res Org CSIRO Hlth &amp; Biose, Australian Ctr Dis Preparedness, Geelong, Vic, Australia; [O'Brien, Carmel M.] Commonwealth Sci &amp; Ind Res Org, Clayton, Vic, Australia; [O'Brien, Carmel M.] Monash Univ, Australian Regenerat Med Inst, Clayton, Vic, Australia</t>
  </si>
  <si>
    <t xml:space="preserve">Commonwealth Scientific &amp; Industrial Research Organisation (CSIRO); Australian Centre for Disease Preparedness; Commonwealth Scientific &amp; Industrial Research Organisation (CSIRO); Australian Centre for Disease Preparedness; Commonwealth Scientific &amp; Industrial Research Organisation (CSIRO); Monash University; Australian Regenerative Medicine Institute</t>
  </si>
  <si>
    <t xml:space="preserve">Farr, RJ (corresponding author), Commonwealth Sci &amp; Ind Res Org, Australian Anim Hlth Lab, Australian Ctr Dis Preparedness, Geelong, Vic, Australia.</t>
  </si>
  <si>
    <t xml:space="preserve">ryan.farr@csiro.au</t>
  </si>
  <si>
    <t xml:space="preserve">Sundaramoorthy, Vinod/M-6133-2018; Godde, Nathan/C-2698-2018; O'Brien, Carmel/I-5664-2017; Stewart, Cameron/E-6823-2011; Dearnley, Megan/C-1189-2018; Cowled, Christopher/H-5308-2013; Farr, Ryan/N-5585-2017; Bingham, John/H-8591-2013</t>
  </si>
  <si>
    <t xml:space="preserve">Sundaramoorthy, Vinod/0000-0001-6309-8031; Cowled, Christopher/0000-0002-1969-9371; Stewart, Cameron/0000-0002-3395-7859; Farr, Ryan/0000-0003-1636-1815; Bingham, John/0000-0003-2360-3827; Godde, Nathan/0000-0002-3413-407X</t>
  </si>
  <si>
    <t xml:space="preserve">Commonwealth Scientific and Industrial Research Organisation (CSIRO) Probing Biosystems Future Science Platform</t>
  </si>
  <si>
    <t xml:space="preserve">This study was supported through the Commonwealth Scientific and Industrial Research Organisation (CSIRO) Probing Biosystems Future Science Platform.</t>
  </si>
  <si>
    <t xml:space="preserve">10.3389/fcimb.2021.783140</t>
  </si>
  <si>
    <t xml:space="preserve">YI6YT</t>
  </si>
  <si>
    <t xml:space="preserve">WOS:000743993000001</t>
  </si>
  <si>
    <t xml:space="preserve">Lee, YW; Choi, JW; Shin, EH</t>
  </si>
  <si>
    <t xml:space="preserve">Lee, You Won; Choi, Jae Woo; Shin, Eun-Hee</t>
  </si>
  <si>
    <t xml:space="preserve">Machine learning model for predicting malaria using clinical information</t>
  </si>
  <si>
    <t xml:space="preserve">Background: Rapid diagnosing is crucial for controlling malaria. Various studies have aimed at developing machine learning models to diagnose malaria using blood smear images; however, this approach has many limitations. This study developed a machine learning model for malaria diagnosis using patient information. Methods: To construct datasets, we extracted patient information from the PubMed abstracts from 1956 to 2019. We used two datasets: a solely parasitic disease dataset and total dataset by adding information about other diseases. We compared six machine learning models: support vector machine, random forest (RF), multilayered perceptron, AdaBoost, gradient boosting (GB), and CatBoost. In addition, a synthetic minority oversampling technique (SMOTE) was employed to address the data imbalance problem. Results: Concerning the solely parasitic disease dataset, RF was found to be the best model regardless of using SMOTE. Concerning the total dataset, GB was found to be the best. However, after applying SMOTE, RF performed the best. Considering the imbalanced data, nationality was found to be the most important feature in malaria prediction. In case of the balanced data with SMOTE, the most important feature was symptom. Conclusions: The results demonstrated that machine learning techniques can be successfully applied to predict malaria using patient information.</t>
  </si>
  <si>
    <t xml:space="preserve">Republic of Korea</t>
  </si>
  <si>
    <t xml:space="preserve">- Support vector machine
- Random forest
- Multilayered perceptron
- AdaBoost
- Gradient boosting (GB)
- CatBoost</t>
  </si>
  <si>
    <t xml:space="preserve">Machine learning; Malaria; Diagnosis; Case reports; Patient information</t>
  </si>
  <si>
    <t xml:space="preserve">IMAGE-ANALYSIS; DIAGNOSIS; MICROSCOPY; DISEASE; EPIDEMIOLOGY; TOOLS; RDT</t>
  </si>
  <si>
    <t xml:space="preserve">[Lee, You Won; Shin, Eun-Hee] Seoul Natl Univ, Dept Trop Med &amp; Parasitol, Coll Med, 103 Daehak Ro, Seoul 03080, South Korea; [Lee, You Won; Shin, Eun-Hee] Seoul Natl Univ, Inst Endem Dis, Seoul 03080, South Korea; [Choi, Jae Woo] Yonsei Univ, Dept Pharmacol, Coll Med, Seoul 03722, South Korea; [Choi, Jae Woo] Yonsei Univ, Severance Biomed Sci Inst, Coll Med, Seoul 03722, South Korea; [Shin, Eun-Hee] Seoul Natl Univ, Bundang Hosp, Seongnam 13620, South Korea</t>
  </si>
  <si>
    <t xml:space="preserve">Seoul National University (SNU); Seoul National University (SNU); Yonsei University; Yonsei University Health System; Yonsei University; Yonsei University Health System; Seoul National University (SNU)</t>
  </si>
  <si>
    <t xml:space="preserve">Shin, EH (corresponding author), Seoul Natl Univ, Dept Trop Med &amp; Parasitol, Coll Med, 103 Daehak Ro, Seoul 03080, South Korea.;Shin, EH (corresponding author), Seoul Natl Univ, Inst Endem Dis, Seoul 03080, South Korea.</t>
  </si>
  <si>
    <t xml:space="preserve">ehshin@snu.ac.kr</t>
  </si>
  <si>
    <t xml:space="preserve">Lee, Jin-Seok/J-5608-2012; Shin, Eun-Hee/D-5757-2012</t>
  </si>
  <si>
    <t xml:space="preserve">Choi, Jae Woo/0000-0001-5741-8748; Lee, You Won/0000-0001-6334-5581</t>
  </si>
  <si>
    <t xml:space="preserve">Korea Association of Health Promotion Fund [2014-01]</t>
  </si>
  <si>
    <t xml:space="preserve">Korea Association of Health Promotion Fund</t>
  </si>
  <si>
    <t xml:space="preserve">This work was supported by the Korea Association of Health Promotion Fund (Grant no. 2014-01).</t>
  </si>
  <si>
    <t xml:space="preserve">10.1016/j.compbiomed.2020.104151</t>
  </si>
  <si>
    <t xml:space="preserve">QB1ST</t>
  </si>
  <si>
    <t xml:space="preserve">WOS:000613923800002</t>
  </si>
  <si>
    <t xml:space="preserve">van Heerden, A; van Wyk, R; Birkholtz, LM</t>
  </si>
  <si>
    <t xml:space="preserve">van Heerden, Ashleigh; van Wyk, Roelof; Birkholtz, Lyn-Marie</t>
  </si>
  <si>
    <t xml:space="preserve">Machine Learning Uses Chemo-Transcriptomic Profiles to Stratify Antimalarial Compounds With Similar Mode of Action</t>
  </si>
  <si>
    <t xml:space="preserve">The rapid development of antimalarial resistance motivates the continued search for novel compounds with a mode of action (MoA) different to current antimalarials. Phenotypic screening has delivered thousands of promising hit compounds without prior knowledge of the compounds' exact target or MoA. Whilst the latter is not initially required to progress a compound in a medicinal chemistry program, identifying the MoA early can accelerate hit prioritization, hit-to-lead optimization and preclinical combination studies in malaria research. The effects of drug treatment on a cell can be observed on systems level in changes in the transcriptome, proteome and metabolome. Machine learning (ML) algorithms are powerful tools able to deconvolute such complex chemically-induced transcriptional signatures to identify pathways on which a compound act and in this manner provide an indication of the MoA of a compound. In this study, we assessed different ML approaches for their ability to stratify antimalarial compounds based on varied chemically-induced transcriptional responses. We developed a rational gene selection approach that could identify predictive features for MoA to train and generate ML models. The best performing model could stratify compounds with similar MoA with a classification accuracy of 76.6 +/- 6.4%. Moreover, only a limited set of 50 biomarkers was required to stratify compounds with similar MoA and define chemo-transcriptomic fingerprints for each compound. These fingerprints were unique for each compound and compounds with similar targets/MoA clustered together. The ML model was specific and sensitive enough to group new compounds into MoAs associated with their predicted target and was robust enough to be extended to also generate chemo-transcriptomic fingerprints for additional life cycle stages like immature gametocytes. This work therefore contributes a new strategy to rapidly, specifically and sensitively indicate the MoA of compounds based on chemo-transcriptomic fingerprints and holds promise to accelerate antimalarial drug discovery programs.</t>
  </si>
  <si>
    <t xml:space="preserve">-  Support vector classification (SVC)
- Multinomial logistic regression (MLR)
- Random forest (RF)
- Gradient boosting machines (GBM) 
- Artificial neural networks (ANN)</t>
  </si>
  <si>
    <t xml:space="preserve">machine learning; mode of action; gene expression profile; biomarker; multinominal logistic regression; chemo-transcriptomic fingerprint</t>
  </si>
  <si>
    <t xml:space="preserve">PLASMODIUM-FALCIPARUM; MECHANISM; REVEALS; CLASSIFICATION; METABOLISM; PREDICTION; RESISTANCE; BIOLOGY</t>
  </si>
  <si>
    <t xml:space="preserve">[van Heerden, Ashleigh; van Wyk, Roelof; Birkholtz, Lyn-Marie] Univ Pretoria, Dept Biochem Genet &amp; Microbiol, Hatfield, South Africa; [van Heerden, Ashleigh; van Wyk, Roelof; Birkholtz, Lyn-Marie] Univ Pretoria, Inst Sustainable Malaria Control, Hatfield, South Africa</t>
  </si>
  <si>
    <t xml:space="preserve">University of Pretoria; University of Pretoria</t>
  </si>
  <si>
    <t xml:space="preserve">Birkholtz, LM (corresponding author), Univ Pretoria, Dept Biochem Genet &amp; Microbiol, Hatfield, South Africa.;Birkholtz, LM (corresponding author), Univ Pretoria, Inst Sustainable Malaria Control, Hatfield, South Africa.</t>
  </si>
  <si>
    <t xml:space="preserve">lbirkholtz@up.ac.za</t>
  </si>
  <si>
    <t xml:space="preserve">Birkholtz, Lyn-Marie/AAF-8481-2019</t>
  </si>
  <si>
    <t xml:space="preserve">van Wyk, Roelof/0000-0002-6401-2540</t>
  </si>
  <si>
    <t xml:space="preserve">South African Department of Science and Innovation; National Research Foundation South African Research Chairs Initiative Grant [84627]</t>
  </si>
  <si>
    <t xml:space="preserve">South African Department of Science and Innovation; National Research Foundation South African Research Chairs Initiative Grant</t>
  </si>
  <si>
    <t xml:space="preserve">This work was supported by the South African Department of Science and Innovation and National Research Foundation South African Research Chairs Initiative Grant (L-MB UID: 84627).</t>
  </si>
  <si>
    <t xml:space="preserve">10.3389/fcimb.2021.688256</t>
  </si>
  <si>
    <t xml:space="preserve">TI1AQ</t>
  </si>
  <si>
    <t xml:space="preserve">WOS:000672515000001</t>
  </si>
  <si>
    <t xml:space="preserve">Dey, S; Nath, P; Biswas, S; Nath, S; Ganguly, A</t>
  </si>
  <si>
    <t xml:space="preserve">Dey, Sumagna; Nath, Pradyut; Biswas, Saptarshi; Nath, Subhrapratim; Ganguly, Ankur</t>
  </si>
  <si>
    <t xml:space="preserve">Malaria detection through digital microscopic imaging using Deep Greedy Network with transfer learning</t>
  </si>
  <si>
    <t xml:space="preserve">Purpose: In conventional diagnosis, the visual inspection of the malaria parasite Plasmodium falciparum in infected red blood cells under a microscope, is done manually by pathologists, which is both laborious and error-prone. Recent studies on automating this process have been conducted using artificial intelligence and feature selection of positional and morphological features from blood smear cell images using convolutional neural network (CNN). However, most deep CNN models do not perform well as per the expectation on small datasets. Approach: In this context, we propose a comprehensive computer-aided diagnosis scheme for automating the detection of malaria parasites in thin blood smear images using deep CNN, where transfer learning is used for optimizing the feature selection process. As an extra layer of security, layer embeddings are extracted from the intermediate convolutional layers using the feature matrix to cross-check the selection of features in the intermediate layers. The proposal includes the utilization of the ResNet 152 model integrated with the Deep Greedy Network for training, which produces an enhanced quality of prediction. Results: The performance of the proposed hybrid model has been evaluated concerning the evaluation metrics such as accuracy, precision, recall, specificity, and F1-score, which has been further compared with the pre-existing deep learning algorithms. Conclusions: The comparative analysis of the results reported based on the accuracy metrics demonstrates promising outcomes concerning the other models. Lastly, the embedding extraction from the intermediate hidden layers and their visual analysis also provides an opportunity for manual verification of the performance of the trained model. (C) 2021 Society of Photo-Optical Instrumentation Engineers (SPIE)</t>
  </si>
  <si>
    <t xml:space="preserve">malaria; Deep Greedy Network; supervised learning; ResNet 152; feature extraction; transfer learning; computer-aided diagnostics</t>
  </si>
  <si>
    <t xml:space="preserve">[Dey, Sumagna; Nath, Pradyut; Nath, Subhrapratim; Ganguly, Ankur] Meghnad Saha Inst Technol, Dept Comp Sci &amp; Engn, Kolkata, W Bengal, India; [Biswas, Saptarshi] Iowa State Univ, Dept Comp Sci, Ames, IA USA; [Biswas, Saptarshi] Meghnad Saha Inst Technol, Kolkata, India</t>
  </si>
  <si>
    <t xml:space="preserve">Iowa State University</t>
  </si>
  <si>
    <t xml:space="preserve">Dey, S (corresponding author), Meghnad Saha Inst Technol, Dept Comp Sci &amp; Engn, Kolkata, W Bengal, India.</t>
  </si>
  <si>
    <t xml:space="preserve">sumagna.dey@gmail.com</t>
  </si>
  <si>
    <t xml:space="preserve">; GANGULY, ANKUR/V-4942-2019</t>
  </si>
  <si>
    <t xml:space="preserve">Dey, Sumagna/0000-0001-5739-722X; BISWAS, SAPTARSHI/0000-0001-7082-023X; GANGULY, ANKUR/0000-0002-1893-6478</t>
  </si>
  <si>
    <t xml:space="preserve">10.1117/1.JMI.8.5.054502</t>
  </si>
  <si>
    <t xml:space="preserve">XA7NX</t>
  </si>
  <si>
    <t xml:space="preserve">WOS:000720829600021</t>
  </si>
  <si>
    <t xml:space="preserve">Abdurahman, F; Fante, KA; Aliy, M</t>
  </si>
  <si>
    <t xml:space="preserve">Abdurahman, Fetulhak; Fante, Kinde Anlay; Aliy, Mohammed</t>
  </si>
  <si>
    <t xml:space="preserve">Malaria parasite detection in thick blood smear microscopic images using modified YOLOV3 and YOLOV4 models</t>
  </si>
  <si>
    <t xml:space="preserve">Background Manual microscopic examination of Leishman/Giemsa stained thin and thick blood smear is still the gold standard for malaria diagnosis. One of the drawbacks of this method is that its accuracy, consistency, and diagnosis speed depend on microscopists' diagnostic and technical skills. It is difficult to get highly skilled microscopists in remote areas of developing countries. To alleviate this problem, in this paper, we propose to investigate state-of-the-art one-stage and two-stage object detection algorithms for automated malaria parasite screening from microscopic image of thick blood slides. Results YOLOV3 and YOLOV4 models, which are state-of-the-art object detectors in accuracy and speed, are not optimized for detecting small objects such as malaria parasites in microscopic images. We modify these models by increasing feature scale and adding more detection layers to enhance their capability of detecting small objects without notably decreasing detection speed. We propose one modified YOLOV4 model, called YOLOV4-MOD and two modified models of YOLOV3, which are called YOLOV3-MOD1 and YOLOV3-MOD2. Besides, new anchor box sizes are generated using K-means clustering algorithm to exploit the potential of these models in small object detection. The performance of the modified YOLOV3 and YOLOV4 models were evaluated on a publicly available malaria dataset. These models have achieved state-of-the-art accuracy by exceeding performance of their original versions, Faster R-CNN, and SSD in terms of mean average precision (mAP), recall, precision, F1 score, and average IOU. YOLOV4-MOD has achieved the best detection accuracy among all the other models with a mAP of 96.32%. YOLOV3-MOD2 and YOLOV3-MOD1 have achieved mAP of 96.14% and 95.46%, respectively. Conclusions The experimental results of this study demonstrate that performance of modified YOLOV3 and YOLOV4 models are highly promising for detecting malaria parasites from images captured by a smartphone camera over the microscope eyepiece. The proposed system is suitable for deployment in low-resource setting areas.</t>
  </si>
  <si>
    <t xml:space="preserve">- YOLOV3
- YOLOV4</t>
  </si>
  <si>
    <t xml:space="preserve">- YOLOV4-MOD has achieved the best detection accuracy among all the other models with a mAP of 96.32%
- YOLOV3-MOD2 achieved mAP of 96.14% 
- YOLOV3-MOD1 achieved mAP of 95.46%</t>
  </si>
  <si>
    <t xml:space="preserve">Malaria; Plasmodium falciparum; Thick blood smear; Deep learning; Object detection; YOLOV3; YOLOV4; Feature map</t>
  </si>
  <si>
    <t xml:space="preserve">[Abdurahman, Fetulhak; Fante, Kinde Anlay] Jimma Univ, Jimma Inst Technol, Fac Elect &amp; Comp Engn, Jimma 378, Ethiopia; [Aliy, Mohammed] Jimma Univ, Jimma Inst Technol, Sch Biomed Engn, Jimma 378, Ethiopia</t>
  </si>
  <si>
    <t xml:space="preserve">Jimma University; Jimma University</t>
  </si>
  <si>
    <t xml:space="preserve">Abdurahman, F (corresponding author), Jimma Univ, Jimma Inst Technol, Fac Elect &amp; Comp Engn, Jimma 378, Ethiopia.</t>
  </si>
  <si>
    <t xml:space="preserve">Abdurahman, Fetulhak/AAV-3175-2021; Fante, Kinde/ABE-3463-2021</t>
  </si>
  <si>
    <t xml:space="preserve">Abdurahman, Fetulhak/0000-0002-5670-0319; Fante, Kinde Anlay/0000-0003-2029-8214; Mohammed, Mohammed Aliy/0000-0003-1912-5666</t>
  </si>
  <si>
    <t xml:space="preserve">10.1186/s12859-021-04036-4</t>
  </si>
  <si>
    <t xml:space="preserve">QT6BT</t>
  </si>
  <si>
    <t xml:space="preserve">WOS:000626671900001</t>
  </si>
  <si>
    <t xml:space="preserve">Eberhard, FE; Klimpel, S; Guarneri, AA; Tobias, NJ</t>
  </si>
  <si>
    <t xml:space="preserve">Eberhard, Fanny E.; Klimpel, Sven; Guarneri, Alessandra A.; Tobias, Nicholas J.</t>
  </si>
  <si>
    <t xml:space="preserve">Metabolites as predictive biomarkers for Trypanosoma cruzi exposure in triatomine bugs</t>
  </si>
  <si>
    <t xml:space="preserve">Trypanosoma cruzi, the causative agent of Chagas disease (American trypanosomiasis), colonizes the intestinal tract of triatomines. Triatomine bugs act as vectors in the life cycle of the parasite and transmit infective parasite stages to animals and humans. Contact of the vector with T. cruzi alters its intestinal microbial composition, which may also affect the associated metabolic patterns of the insect. Earlier studies suggest that the complexity of the triatomine fecal metabolome may play a role in vector competence for different T. cruzi strains. Using high-resolution mass spectrometry and supervised machine learning, we aimed to detect differences in the intestinal metabolome of the triatomine Rhodnius prolixus and predict whether the insect had been exposed to T. cruzi or not based solely upon their metabolic profile. We were able to predict the exposure status of R. prolixus to T. cruzi with accuracies of 93.6%, 94.2% and 91.8% using logistic regression, a random forest classifier and a gradient boosting machine model, respectively. We extracted the most important features in producing the models and identified the major metabolites which assist in positive classification. This work highlights the complex interactions between triatomine vector and parasite including effects on the metabolic signature of the insect. (C) 2021 The Authors. Published by Elsevier B.V. on behalf of Research Network of Computational and Structural Biotechnology.</t>
  </si>
  <si>
    <t xml:space="preserve">Germany, Brazil</t>
  </si>
  <si>
    <t xml:space="preserve">Metabolomic data</t>
  </si>
  <si>
    <t xml:space="preserve">trypanosomiasis</t>
  </si>
  <si>
    <t xml:space="preserve"> - Logistic regression
- Random forest classifier
- Gradient boosting machine model</t>
  </si>
  <si>
    <t xml:space="preserve">- Accuracy (logistic regression) = 93.6%
- Accuracy (Random forest classifier) = 94.2%
- Accuracy (Gradient boosting machine model) = 91.8%</t>
  </si>
  <si>
    <t xml:space="preserve">Trypanosoma cruzi; Metabolomics; Chagas disease; Host-parasite interaction; Rhodnius prolixus; Supervised machine learning</t>
  </si>
  <si>
    <t xml:space="preserve">RHODNIUS-PROLIXUS; REDUVIIDAE; HEMIPTERA; RESISTANCE; MICROBIOTA</t>
  </si>
  <si>
    <t xml:space="preserve">[Eberhard, Fanny E.; Klimpel, Sven] Goethe Univ Frankfurt, Inst Ecol Evolut &amp; Divers, Frankfurt, Germany; [Klimpel, Sven; Tobias, Nicholas J.] LOEWE Ctr Translat Biodivers Genom LOEWE TBG, Frankfurt, Germany; [Klimpel, Sven; Tobias, Nicholas J.] Senckenberg Biodivers &amp; Climate Res Ctr, Senckenberg Gesell Naturforsch, Frankfurt, Germany; [Guarneri, Alessandra A.] Inst Rene Rachou, Vector Behav &amp; Pathogen Interact Grp, Ave Augusto Lima 1715, BR-30190009 Belo Horizonte, MG, Brazil</t>
  </si>
  <si>
    <t xml:space="preserve">Goethe University Frankfurt; Senckenberg Biodiversitat &amp; Klima- Forschungszentrum (BiK-F); Leibniz Association; Senckenberg Gesellschaft fur Naturforschung (SGN); Fundacao Oswaldo Cruz; Fiocruz - Research Center Rene Rachou</t>
  </si>
  <si>
    <t xml:space="preserve">Tobias, NJ (corresponding author), LOEWE Ctr Translat Biodivers Genom LOEWE TBG, Frankfurt, Germany.</t>
  </si>
  <si>
    <t xml:space="preserve">Nicholas.tobias@senckenberg.de</t>
  </si>
  <si>
    <t xml:space="preserve">guarneri, Alessandra/I-4124-2012</t>
  </si>
  <si>
    <t xml:space="preserve">Guarneri, Alessandra Aparecida/0000-0002-9162-2731</t>
  </si>
  <si>
    <t xml:space="preserve">LOEWE-Centre TBG - Hessen State Ministry of Higher Education, Research and the Arts (HMWK); Fundacao de Amparo a Pesquisa do Estado de Minas Gerais (FAPEMIG) [CRA-APQ-00569-15, CRA-PPM-00162-17]; Instituto Nacional de Ciencia e Tecnologia em Entomologia Molecular (INCTEM/CNPq) [465678/2014-9]; Vereinigung von Freunden und Forderern der Johann Wolfgang Goethe-Universitat Frankfurt am Main; CNPq</t>
  </si>
  <si>
    <t xml:space="preserve">LOEWE-Centre TBG - Hessen State Ministry of Higher Education, Research and the Arts (HMWK); Fundacao de Amparo a Pesquisa do Estado de Minas Gerais (FAPEMIG)(Fundacao de Amparo a Pesquisa do Estado de Minas Gerais (FAPEMIG)); Instituto Nacional de Ciencia e Tecnologia em Entomologia Molecular (INCTEM/CNPq)(Conselho Nacional de Desenvolvimento Cientifico e Tecnologico (CNPQ)); Vereinigung von Freunden und Forderern der Johann Wolfgang Goethe-Universitat Frankfurt am Main; CNPq(Conselho Nacional de Desenvolvimento Cientifico e Tecnologico (CNPQ))</t>
  </si>
  <si>
    <t xml:space="preserve">We would like to thank Helge Bode for helpful discussions regarding methodology and for providing access to mass spectrometry facilities. This work was funded by the LOEWE-Centre TBG supported by the Hessen State Ministry of Higher Education, Research and the Arts (HMWK), Fundacao de Amparo a Pesquisa do Estado de Minas Gerais (FAPEMIG, CRA-APQ-00569-15 and CRA-PPM-00162-17), Instituto Nacional de Ciencia e Tecnologia em Entomologia Molecular (INCTEM/CNPq, 465678/2014-9) and the Vereinigung von Freunden und Forderern der Johann Wolfgang Goethe-Universitat Frankfurt am Main, AAG was supported by CNPq productivity grants.</t>
  </si>
  <si>
    <t xml:space="preserve">10.1016/j.csbj.2021.05.027</t>
  </si>
  <si>
    <t xml:space="preserve">MAY 2021</t>
  </si>
  <si>
    <t xml:space="preserve">TZ9WE</t>
  </si>
  <si>
    <t xml:space="preserve">WOS:000684817100006</t>
  </si>
  <si>
    <t xml:space="preserve">Dacal, E; Bermejo-Pelaez, D; Lin, L; Alamo, E; Cuadrado, D; Martinez, A; Mousa, A; Postigo, M; Soto, A; Sukosd, E; Vladimirov, A; Mwandawiro, C; Gichuki, P; Williams, NA; Munoz, J; Kepha, S; Luengo-Oroz, M</t>
  </si>
  <si>
    <t xml:space="preserve">Dacal, Elena; Bermejo-Pelaez, David; Lin, Lin; Alamo, Elisa; Cuadrado, Daniel; Martinez, Alvaro; Mousa, Adriana; Postigo, Maria; Soto, Alicia; Sukosd, Endre; Vladimirov, Alexander; Mwandawiro, Charles; Gichuki, Paul; Williams, Nana Aba; Munoz, Jose; Kepha, Stella; Luengo-Oroz, Miguel</t>
  </si>
  <si>
    <t xml:space="preserve">Mobile microscopy and telemedicine platform assisted by deep learning for the quantification of Trichuris trichiura infection</t>
  </si>
  <si>
    <t xml:space="preserve">Soil-transmitted helminths (STH) are the most prevalent pathogens among the group of neglected tropical diseases (NTDs). The Kato-Katz technique is the diagnosis method recommended by the World Health Organization (WHO) although it often presents a decreased sensitivity in low transmission settings and it is labour intensive. Visual reading of Kato-Katz preparations requires the samples to be analyzed in a short period of time since its preparation. Digitizing the samples could provide a solution which allows to store the samples in a digital database and perform remote analysis. Artificial intelligence (AI) methods based on digitized samples can support diagnosis by performing an objective and automatic quantification of disease infection. In this work, we propose an end-to-end pipeline for microscopy image digitization and automatic analysis of digitized images of STH. Our solution includes (a) a digitization system based on a mobile app that digitizes microscope samples using a 3D printed microscope adapter, (b) a telemedicine platform for remote analysis and labelling, and (c) novel deep learning algorithms for automatic assessment and quantification of parasitological infections by STH. The deep learning algorithm has been trained and tested on 51 slides of stool samples containing 949 Trichuris spp. eggs from 6 different subjects. The algorithm evaluation was performed using a cross-validation strategy, obtaining a mean precision of 98.44% and a mean recall of 80.94%. The results also proved the potential of generalization capability of the method at identifying different types of helminth eggs. Additionally, the AI-assisted quantification of STH based on digitized samples has been compared to the one performed using conventional microscopy, showing a good agreement between measurements. In conclusion, this work has presented a comprehensive pipeline using smartphone-assisted microscopy. It is integrated with a telemedicine platform for automatic image analysis and quantification of STH infection using AI models. Author summarySoil-transmitted helminths (STH), including hookworm, Ascaris lumbricoides and Trichuris trichiura, are common intestinal infections in low-income countries. Global estimates indicate that more than 1.5 billion people are infected with at least one STH species. They cause anaemia, gastro-intestinal problems, tiredness amongst other symptoms. Diagnosis of STH infection is mainly performed by analyzing stool samples under the microscope using the so-called Kato-Katz technique. However, the analysis of Kato-Katz samples, which is usually performed by microscopy experts, is a subjective procedure based on visual inspection of the samples and requires to be done in a short period of time since the sample preparation. In this work we proposed a novel system to digitize the microscopy samples using an affordable 3D-printed adapter and smartphones. Digitized images were uploaded to a telemedicine platform enabling remote diagnosis. Additionally, the digitized images were automatically analyzed by an Artificial Intelligence (AI) algorithm which was fully-integrated in the telemedicine platform, performing an automatic and objective count of different types of STH parasites (A. lumbricoides and T. trichiura).</t>
  </si>
  <si>
    <t xml:space="preserve">Spain, Kenya</t>
  </si>
  <si>
    <t xml:space="preserve">- Mean precision of 98.44%
- Mean recall of 80.94%</t>
  </si>
  <si>
    <t xml:space="preserve">[Dacal, Elena; Bermejo-Pelaez, David; Lin, Lin; Alamo, Elisa; Cuadrado, Daniel; Martinez, Alvaro; Mousa, Adriana; Postigo, Maria; Soto, Alicia; Sukosd, Endre; Vladimirov, Alexander; Luengo-Oroz, Miguel] Spotlab, Madrid, Spain; [Lin, Lin] Univ Politecn Madrid, ETSI Telecomunicac, Biomed Image Technol, Madrid, Spain; [Mwandawiro, Charles; Gichuki, Paul; Kepha, Stella] Kenya Med Res Inst KEMRI, Eastern &amp; Southern Africa Ctr Int Parasite Contro, Nairobi, Kenya; [Williams, Nana Aba; Munoz, Jose] Hosp Clin Univ Barcelona, Barcelona Inst Global Hlth ISGlobal, Barcelona, Spain</t>
  </si>
  <si>
    <t xml:space="preserve">Universidad Politecnica de Madrid; Kenya Medical Research Institute; University of Barcelona; Hospital Clinic de Barcelona; ISGlobal</t>
  </si>
  <si>
    <t xml:space="preserve">Dacal, E; Bermejo-Pelaez, D; Lin, L; Luengo-Oroz, M (corresponding author), Spotlab, Madrid, Spain.;Lin, L (corresponding author), Univ Politecn Madrid, ETSI Telecomunicac, Biomed Image Technol, Madrid, Spain.</t>
  </si>
  <si>
    <t xml:space="preserve">elena@spotlab.ai; david@spotlab.ai; lin@spotlab.ai; miguel@spotlab.ai</t>
  </si>
  <si>
    <t xml:space="preserve">Lin, Lin/HGC-3024-2022; Cuadrado, Daniel/AAQ-8921-2020; Bermejo-Pelaez, David/AAS-1251-2020; Luengo-Oroz, Miguel/C-2245-2011; Martinez, Alvaro/G-4168-2011; Munoz Gutierrez, Jose/X-5917-2018</t>
  </si>
  <si>
    <t xml:space="preserve">Martinez, Alvaro/0000-0002-0634-0474; Luengo-Oroz, Miguel/0000-0002-8694-2001; Munoz Gutierrez, Jose/0000-0002-0945-1735; Lin, Lin/0000-0003-3397-6002; Soto Tellez, Alicia/0000-0002-8148-5913; Dacal, Elena/0000-0003-4599-0370</t>
  </si>
  <si>
    <t xml:space="preserve">European Union's Horizon 2020 research and innovation programme [881062]; Comunidad de Madrid [IND2019/TIC-17167]; THRiVE (Training Health Researchers into Vocational Excellence in East Africa) consortium - Wellcome Trust</t>
  </si>
  <si>
    <t xml:space="preserve">European Union's Horizon 2020 research and innovation programme; Comunidad de Madrid(Comunidad de Madrid); THRiVE (Training Health Researchers into Vocational Excellence in East Africa) consortium - Wellcome Trust</t>
  </si>
  <si>
    <t xml:space="preserve">This project has received funding from the European Union's Horizon 2020 research and innovation programme under grant agreement No 881062 (MLO). LL was supported by a predoctoral grant IND2019/TIC-17167 (Comunidad de Madrid). SK was supported by a postdoctoral training fellowship from THRiVE (Training Health Researchers into Vocational Excellence in East Africa) consortium, which is funded by the Wellcome Trust. The funders had no role in study design, data collection and analysis, decision to publish, or preparation of the manuscript.</t>
  </si>
  <si>
    <t xml:space="preserve">e0009677</t>
  </si>
  <si>
    <t xml:space="preserve">10.1371/journal.pntd.0009677</t>
  </si>
  <si>
    <t xml:space="preserve">XM7XA</t>
  </si>
  <si>
    <t xml:space="preserve">WOS:000729033700004</t>
  </si>
  <si>
    <t xml:space="preserve">Mudele, O; Frery, AC; Zanandrez, LFR; Eiras, AE; Gamba, P</t>
  </si>
  <si>
    <t xml:space="preserve">Mudele, Oladimeji; Frery, Alejandro C.; Zanandrez, Lucas F. R.; Eiras, Alvaro E.; Gamba, Paolo</t>
  </si>
  <si>
    <t xml:space="preserve">Modeling dengue vector population with earth observation data and a generalized linear model</t>
  </si>
  <si>
    <t xml:space="preserve">Mosquitoes propagate many human diseases, some widespread and with no vaccines. The Ae. aegypti mosquito vector transmits Zika, Chikungunya, and Dengue viruses. Effective public health interventions to control the spread of these diseases and protect the population require models that explain the core environmental drivers of the vector population. Field campaigns are expensive, and data from meteorological sites that feed models with the required environmental data often lack detail. As a consequence, we explore temporal modeling of the population of Ae. aegypti mosquito vector species and environmental conditions- temperature, moisture, precipitation, and vegetation- have been shown to have significant effects. We use earth observation (EO) data as our source for estimating these biotic and abiotic environmental variables based on proxy features, namely: Normalized difference vegetation index, Normalized difference water index, Precipitation, and Land surface temperature. We obtained our response variable from field-collected mosquito population measured weekly using 791 mosquito traps in Vila Velha city, Brazil, for 36 weeks in 2017, and 40 weeks in 2018. Recent similar studies have used machine learning (ML) techniques for this task. However, these techniques are neither intuitive nor explainable from an operational point of view. As a result, we use a Generalized Linear Model (GLM) to model this relationship due to its fitness for count response variable modeling, its interpretability, and the ability to visualize the confidence intervals for all inferences. Also, to improve our model, we use the Akaike Information Criterion to select the most informative environmental features. Finally, we show how to improve the quality of the model by weighting our GLM. Our resulting weighted GLM compares well in quality with ML techniques: Random Forest and Support Vector Machines. These results provide an advancement with regards to qualitative and explainable epidemiological risk modeling in urban environments.</t>
  </si>
  <si>
    <t xml:space="preserve">Italy, New Zealand, Brazil</t>
  </si>
  <si>
    <t xml:space="preserve">Earth observation data</t>
  </si>
  <si>
    <t xml:space="preserve">Remote sensing; Regression analysis; Dengue risks; Machine learning; Aedes aegypti</t>
  </si>
  <si>
    <t xml:space="preserve">AEDES-AEGYPTI; CLIMATE; TRANSMISSION; DISEASE; FEVER</t>
  </si>
  <si>
    <t xml:space="preserve">[Mudele, Oladimeji; Gamba, Paolo] Univ Pavia, Dept Elect Comp &amp; Biomed Engn, Pavia, Italy; [Frery, Alejandro C.] Victoria Univ Wellington, Sch Math &amp; Stat, Victoria, New Zealand; [Zanandrez, Lucas F. R.] Ecovec Ltd, BR-31310260 Belo Horizonte, MG, Brazil; [Eiras, Alvaro E.] Univ Fed Minas Gerais, Lab Technol Innovat &amp; Entrepreneurship Vector Con, Dept Parasitol, BR-31270901 Belo Horizonte, MG, Brazil</t>
  </si>
  <si>
    <t xml:space="preserve">University of Pavia; Victoria University Wellington; Universidade Federal de Minas Gerais</t>
  </si>
  <si>
    <t xml:space="preserve">Mudele, O (corresponding author), Univ Pavia, Dept Elect Comp &amp; Biomed Engn, Pavia, Italy.</t>
  </si>
  <si>
    <t xml:space="preserve">Mudele, Oladimeji/HZL-3533-2023; Eiras, Alvaro/Z-6023-2019; Frery, Alejandro/A-8855-2008; Gamba, Paolo/G-1959-2010; EIRAS, ALVARO/E-8371-2017</t>
  </si>
  <si>
    <t xml:space="preserve">Mudele, Oladimeji/0000-0001-7131-6334; EIRAS, ALVARO/0000-0002-3045-0673; Fabrini Ramalho Zanandrez, Lucas/0000-0003-1049-2822</t>
  </si>
  <si>
    <t xml:space="preserve">European Commission through Horizon 2020 research and innovation programme [734541]; National Council for Scientific and Technological Development (CNPq) [312335/2018-0]; Marie Curie Actions (MSCA) [734541] Funding Source: Marie Curie Actions (MSCA)</t>
  </si>
  <si>
    <t xml:space="preserve">European Commission through Horizon 2020 research and innovation programme; National Council for Scientific and Technological Development (CNPq)(Conselho Nacional de Desenvolvimento Cientifico e Tecnologico (CNPQ)); Marie Curie Actions (MSCA)(Marie Curie Actions)</t>
  </si>
  <si>
    <t xml:space="preserve">The first author gratefully acknowledges the financial support by the European Commission through Horizon 2020 research and innovation programme, grant agreement no. 734541 - Project EOXPOSURE. The authors would like to thank Ecovec for providing the mosquito trap data, Vila Velha's technical team coordinated by Marcelaine Marculano for the trap inspections, and the Health Department of Esp-rito Santo State for approving the use of entomological data for this research. AEE thanks to National Council for Scientific and Technological Development (CNPq grant #312335/2018-0).</t>
  </si>
  <si>
    <t xml:space="preserve">10.1016/j.actatropica.2020.105809</t>
  </si>
  <si>
    <t xml:space="preserve">QE1PL</t>
  </si>
  <si>
    <t xml:space="preserve">WOS:000615981900007</t>
  </si>
  <si>
    <t xml:space="preserve">Shaw, M; Claveau, R; Manescu, P; Elmi, M; Brown, BJ; Scrimgeour, R; Kölln, LS; McConnell, G; Fernandez-Reyes, D</t>
  </si>
  <si>
    <t xml:space="preserve">Shaw, Michael; Claveau, Remy; Manescu, Petru; Elmi, Muna; Brown, Biobele J.; Scrimgeour, Ross; Kolln, Lisa S.; McConnell, Gail; Fernandez-Reyes, Delmiro</t>
  </si>
  <si>
    <t xml:space="preserve">Optical mesoscopy, machine learning, and computational microscopy enable high information content diagnostic imaging of blood films</t>
  </si>
  <si>
    <t xml:space="preserve">Automated image-based assessment of blood films has tremendous potential to support clinical haematology within overstretched healthcare systems. To achieve this, efficient and reliable digital capture of the rich diagnostic information contained within a blood film is a critical first step. However, this is often challenging, and in many cases entirely unfeasible, with the microscopes typically used in haematology due to the fundamental trade-off between magnification and spatial resolution. To address this, we investigated three state-of-the-art approaches to microscopic imaging of blood films which leverage recent advances in optical and computational imaging and analysis to increase the information capture capacity of the optical microscope: optical mesoscopy, which uses a giant microscope objective (Mesolens) to enable high-resolution imaging at low magnification; Fourier ptychographic microscopy, a computational imaging method which relies on oblique illumination with a series of LEDs to capture high-resolution information; and deep neural networks which can be trained to increase the quality of low magnification, low resolution images. We compare and contrast the performance of these techniques for blood film imaging for the exemplar case of Giemsa-stained peripheral blood smears. Using computational image analysis and shape-based object classification, we demonstrate their use for automated analysis of red blood cell morphology and visualization and detection of small blood-borne parasites such as the malarial parasite Plasmodium falciparum. Our results demonstrate that these new methods greatly increase the information capturing capacity of the light microscope, with transformative potential for haematology and more generally across digital pathology. (c) 2021 The Authors. The Journal of Pathology published by John Wiley &amp; Sons, Ltd. on behalf of The Pathological Society of Great Britain and Ireland.</t>
  </si>
  <si>
    <t xml:space="preserve">UK, Nigeria</t>
  </si>
  <si>
    <t xml:space="preserve">JOURNAL OF PATHOLOGY</t>
  </si>
  <si>
    <t xml:space="preserve">light microscopy; diagnostic imaging; supervised machine learning; haematologic tests; erythrocyte count; malaria; falciparum</t>
  </si>
  <si>
    <t xml:space="preserve">FOURIER PTYCHOGRAPHY; DIFFRACTION; FIELD</t>
  </si>
  <si>
    <t xml:space="preserve">[Shaw, Michael; Claveau, Remy; Manescu, Petru; Elmi, Muna; Fernandez-Reyes, Delmiro] UCL, Dept Comp Sci, Fac Engn Sci, 66-72 Gower St, London WC1E 6EA, England; [Shaw, Michael] Natl Phys Lab, Biometrol Grp, Teddington, Middx, England; [Brown, Biobele J.; Fernandez-Reyes, Delmiro] Univ Ibadan, Univ Coll Hosp, Coll Med, Dept Paediat, Ibadan, Nigeria; [Scrimgeour, Ross; Kolln, Lisa S.; McConnell, Gail] Univ Strathclyde, SUPA, Dept Phys, Glasgow, Lanark, Scotland</t>
  </si>
  <si>
    <t xml:space="preserve">University of London; University College London; National Physical Laboratory - UK; University of Ibadan; University College Hospital, Ibadan; University of Strathclyde</t>
  </si>
  <si>
    <t xml:space="preserve">Shaw, M; Fernandez-Reyes, D (corresponding author), UCL, Dept Comp Sci, Fac Engn Sci, 66-72 Gower St, London WC1E 6EA, England.;Fernandez-Reyes, D (corresponding author), Univ Ibadan, Univ Coll Hosp, Coll Med, Dept Paediat, Ibadan, Nigeria.</t>
  </si>
  <si>
    <t xml:space="preserve">mike.shaw@ucl.ac.uk; delmiro.fernandez-reyes@ucl.ac.uk</t>
  </si>
  <si>
    <t xml:space="preserve">Scrimgeour, Ross/0000-0003-1412-9748; Fernandez-Reyes, Delmiro/0000-0001-5070-9198; Kolln, Lisa/0000-0001-9562-7292; McConnell, Gail/0000-0002-7213-0686</t>
  </si>
  <si>
    <t xml:space="preserve">UK's Engineering and Physical Sciences Research Council, Global Challenges Research Funds [EP/P028608/1]; UCL Department of Computer Science; College of Medicine, University of Ibadan, Nigeria; Department of Physics, University of Strathclyde, UK; Integrative Biological Imaging Network (IBIN) [MR/R025665/1]; Wellcome/EPSRC Centre for Interventional and Surgical Science (Wellcome Trust) [203145Z/16/Z]; Medical Research Council [MR/K015583/1]; Biotechnology and Biological Sciences Research Council [BB/P02565X/1]; Engineering and Physical Sciences Research Council Centre for Doctoral Training in Optical Medical Imaging (Optima) [EP/L016559/1]; BBSRC [BB/P02565X/1] Funding Source: UKRI; GCRF [EP/P028608/1] Funding Source: UKRI; MRC [MR/K015583/1] Funding Source: UKRI</t>
  </si>
  <si>
    <t xml:space="preserve">UK's Engineering and Physical Sciences Research Council, Global Challenges Research Funds(UK Research &amp; Innovation (UKRI)Engineering &amp; Physical Sciences Research Council (EPSRC)); UCL Department of Computer Science; College of Medicine, University of Ibadan, Nigeria; Department of Physics, University of Strathclyde, UK; Integrative Biological Imaging Network (IBIN); Wellcome/EPSRC Centre for Interventional and Surgical Science (Wellcome Trust)(Wellcome Trust); Medical Research Council(UK Research &amp; Innovation (UKRI)Medical Research Council UK (MRC)); Biotechnology and Biological Sciences Research Council(UK Research &amp; Innovation (UKRI)Biotechnology and Biological Sciences Research Council (BBSRC)); Engineering and Physical Sciences Research Council Centre for Doctoral Training in Optical Medical Imaging (Optima); BBSRC(UK Research &amp; Innovation (UKRI)Biotechnology and Biological Sciences Research Council (BBSRC)); GCRF(UK Research &amp; Innovation (UKRI)); MRC(UK Research &amp; Innovation (UKRI)Medical Research Council UK (MRC))</t>
  </si>
  <si>
    <t xml:space="preserve">We thank consultants, clinical registrars, nurses, and clinical laboratory staff (Gbeminiyi Oyinloye) at the College of Medicine of the University of Ibadan (COMUI), Nigeria and administrative staff at COMUI and at the Department of Computer Science University College London. This work was funded by the UK's Engineering and Physical Sciences Research Council, Global Challenges Research Funds grant EP/P028608/1; the UCL Department of Computer Science; the College of Medicine, University of Ibadan, Nigeria; the Department of Physics, University of Strathclyde, UK; and a pump-priming grant from the Integrative Biological Imaging Network (IBIN), grant MR/R025665/1. MS is currently supported by the Wellcome/EPSRC Centre for Interventional and Surgical Science (Wellcome Trust) 203145Z/16/Z. LK was supported by the Medical Research Council and Engineering and Physical Sciences Research Council Centre for Doctoral Training in Optical Medical Imaging (Optima), grant EP/L016559/1. GM was supported by the Medical Research Council, grant number MR/K015583/1 and Biotechnology and Biological Sciences Research Council, grant number BB/P02565X/1.</t>
  </si>
  <si>
    <t xml:space="preserve">0022-3417</t>
  </si>
  <si>
    <t xml:space="preserve">1096-9896</t>
  </si>
  <si>
    <t xml:space="preserve">J PATHOL</t>
  </si>
  <si>
    <t xml:space="preserve">J. Pathol.</t>
  </si>
  <si>
    <t xml:space="preserve">10.1002/path.5738</t>
  </si>
  <si>
    <t xml:space="preserve">Oncology; Pathology</t>
  </si>
  <si>
    <t xml:space="preserve">TW6PZ</t>
  </si>
  <si>
    <t xml:space="preserve">Green Published, Green Accepted</t>
  </si>
  <si>
    <t xml:space="preserve">WOS:000667706000001</t>
  </si>
  <si>
    <t xml:space="preserve">Barbolla, I; Hernández-Suárez, L; Quevedo-Tumailli, V; Nocedo-Mena, D; Arrasate, S; Dea-Ayuela, MA; González-Díaz, H; Sotomayor, N; Lete, E</t>
  </si>
  <si>
    <t xml:space="preserve">Barbolla, Iratxe; Hernandez-Suarez, Leidi; Quevedo-Tumailli, Viviana; Nocedo-Mena, Deyani; Arrasate, Sonia; Dea-Ayuela, Maria Auxiliadora; Gonzalez-Diaz, Humberto; Sotomayor, Nuria; Lete, Esther</t>
  </si>
  <si>
    <t xml:space="preserve">Palladium-mediated synthesis and biological evaluation of C-10b substituted Dihydropyrrolo[1,2-b]isoquinolines as antileishmanial agents</t>
  </si>
  <si>
    <t xml:space="preserve">The development of new molecules for the treatment of leishmaniasis is, a neglected parasitic disease, is urgent as current anti-leishmanial therapeutics are hampered by drug toxicity and resistance. The pyrrolo[1,2-b]isoquinoline core was selected as starting point, and palladium-catalyzed Heck-initiated cascade reactions were developed for the synthesis of a series of C-10 substituted derivatives. Their in vitro leishmanicidal activity against visceral (L. donovani) and cutaneous (L. amazonensis) leishmaniasis was evaluated. The best activity was found, in general, for the 10-arylmethyl substituted pyrroloisoquinolines. In particular, 2ad (IC50 = 3.30 mu M, SI &gt; 77.01) and 2bb (IC50 = 3.93 mu M, SI &gt; 58.77) were approximately 10-fold more potent and selective than the drug of reference (miltefosine), against L. amazonensis on in vitro promastigote assays, while 2ae was the more active compound in the in vitro amastigote assays (IC50 = 33.59 mu M, SI &gt; 8.93). Notably, almost all compounds showed low cytotoxicity, CC50 &gt; 100 mu g/mL in J774 cells, highest tested dose. In addition, we have developed the first Perturbation Theory Machine Learning (PTML) algorithm able to predict simultaneously multiple biological activity parameters (IC50, K-i, etc.) vs. any Leishmania species and target protein, with high values of specificity (&gt;98%) and sensitivity (&gt;90%) in both training and validation series. Therefore, this model may be useful to reduce time and assay costs (material and human resources) in the drug discovery process. (C) 2021 Elsevier Masson SAS. All rights reserved.</t>
  </si>
  <si>
    <t xml:space="preserve">Spain, Ecuador</t>
  </si>
  <si>
    <t xml:space="preserve">Leishmaniasis; Pyrroloisoquinoline; Palladium; Cascade reactions; Machine learning; Cheminformatics</t>
  </si>
  <si>
    <t xml:space="preserve">CATALYZED CASCADE CYCLIZATION; TRYPANOTHIONE REDUCTASE; DIRECT ARYLATION; HECK REACTIONS; PTML MODEL; LEISHMANIA; CYANATION; ALKALOIDS; PROTEIN; GENE</t>
  </si>
  <si>
    <t xml:space="preserve">[Barbolla, Iratxe; Hernandez-Suarez, Leidi; Quevedo-Tumailli, Viviana; Nocedo-Mena, Deyani; Arrasate, Sonia; Gonzalez-Diaz, Humberto; Sotomayor, Nuria; Lete, Esther] Univ Pais Vasco Euskal Herriko Unibertsitatea UPV, Fac Ciencia &amp; Tecnol, Dept Quim Organ &amp; Inorgan, Apdo 644, Bilbao 48080, Spain; [Quevedo-Tumailli, Viviana] Univ A Coruna, Comp Sci Fac, RNASA IMEDIR, La Coruna 15071, Spain; [Quevedo-Tumailli, Viviana] Univ Estatal Amazon UEA, Puyo 160150, Pastaza, Ecuador; [Dea-Ayuela, Maria Auxiliadora] Univ CEU Cardenal Herrera, Fac Ciencias Salud, Dept Farm, Edificio Seminario S-N, Valencia 46113, Spain; [Gonzalez-Diaz, Humberto] Univ Basque Country, Basque Ctr Biophys, CSIC, UPV EHU, Bilbao 48940, Spain; [Gonzalez-Diaz, Humberto] Basque Fdn Sci, Ikerbasque, Bilbao 48011, Spain</t>
  </si>
  <si>
    <t xml:space="preserve">University of Basque Country; Universidade da Coruna; Universidad CEU Cardenal Herrera; Consejo Superior de Investigaciones Cientificas (CSIC); University of Basque Country; CSIC - UPV EHU - Instituto Biofisika; Basque Foundation for Science</t>
  </si>
  <si>
    <t xml:space="preserve">González-Díaz, H; Sotomayor, N; Lete, E (corresponding author), Univ Pais Vasco Euskal Herriko Unibertsitatea UPV, Fac Ciencia &amp; Tecnol, Dept Quim Organ &amp; Inorgan, Apdo 644, Bilbao 48080, Spain.</t>
  </si>
  <si>
    <t xml:space="preserve">humberto.gonzalezdiaz@ehu.es; nuria.sotomayor@ehu.es; esther.lete@ehu.es</t>
  </si>
  <si>
    <t xml:space="preserve">Dea-Ayuela, M./ABG-5971-2020; Sotomayor, Nuria/A-3692-2015; Mena, Deyani/AAB-2146-2020; Barbolla, Iratxe/Z-2353-2019; Arrasate, Sonia/AFO-6908-2022; Lete, Esther/A-3690-2015; Gonzalez-Diaz, Humberto/A-6785-2012; Quevedo Tumailli, Viviana Fernanda/AAD-9901-2019</t>
  </si>
  <si>
    <t xml:space="preserve">Hernandez Suarez, Leidi/0009-0005-5092-3625; Lete, Esther/0000-0001-8624-6842; Barbolla, Iratxe/0000-0002-4124-7697; Nocedo-Mena, Deyani/0000-0001-8061-8609; Gonzalez-Diaz, Humberto/0000-0002-9392-2797; Quevedo Tumailli, Viviana Fernanda/0000-0001-8278-3632; Sotomayor, Nuria/0000-0003-3079-6380; Dea Ayuela, Auxiliadora/0000-0002-5468-1863</t>
  </si>
  <si>
    <t xml:space="preserve">Ministerio de Economia y Competitividad [CTQ2016-74881-P]; Ministerio de Ciencia e Innovacion [PID2019-104148 GB-I00]; Gobierno Vasco [IT1045-16]; Fundacin Biofsica Bizkaia/Biofisika Bizkaia Fundazioa (FBB)</t>
  </si>
  <si>
    <t xml:space="preserve">Ministerio de Economia y Competitividad(Spanish Government); Ministerio de Ciencia e Innovacion(Ministry of Science and Innovation, Spain (MICINN)Instituto de Salud Carlos IIISpanish Government); Gobierno Vasco(Basque Government); Fundacin Biofsica Bizkaia/Biofisika Bizkaia Fundazioa (FBB)</t>
  </si>
  <si>
    <t xml:space="preserve">Ministerio de Economia y Competitividad (CTQ2016-74881-P), Ministerio de Ciencia e Innovacion (PID2019-104148 GB-I00) and Gobierno Vasco (IT1045-16) are gratefully acknowledged for their financial support. I. B. wishes to thank Fundacion Biofisica Bizkaia/Biofisika Bizkaia Fundazioa (FBB) for a postdoctoral grant. Technical and human support provided by Servicios Generales de Investigacion SGIker (UPV/EHU, MINECO, GV/EJ, ERDF and ESF) is also acknowledged.</t>
  </si>
  <si>
    <t xml:space="preserve">AUG 5</t>
  </si>
  <si>
    <t xml:space="preserve">10.1016/j.ejmech.2021.113458</t>
  </si>
  <si>
    <t xml:space="preserve">SO7IR</t>
  </si>
  <si>
    <t xml:space="preserve">WOS:000659148800020</t>
  </si>
  <si>
    <t xml:space="preserve">Sharma, S; Gupta, YK</t>
  </si>
  <si>
    <t xml:space="preserve">Sharma, S.; Gupta, Yogesh Kumar</t>
  </si>
  <si>
    <t xml:space="preserve">Role of machine learning and big data in healthcare for the prediction of epidemic diseases: a survey</t>
  </si>
  <si>
    <t xml:space="preserve">Epidemic diseases are the contagious or infectious diseases which are possible to be spread into the entire country, and are defined as an outbreak that occurs and affects an exceptionally high proportion of the population. However, these infectious ailments if controlled beforehand by using trending technologies for the early prediction would not turn into mortality situations. With this view, this paper is summarising the research work by using machine learning and big data handling techniques for the early prediction of epidemic diseases. The epidemic diseases especially covered in this review are influenza, malaria and dengue ailment. The diseases are compared against machine learning models used and input data contemplated. An observation for the prediction of diseases found that same factors associated with searching techniques give different results for different locations; overall searches are showing diversity and dearth in data. Moreover, dearth of data will mitigate the accuracy.</t>
  </si>
  <si>
    <t xml:space="preserve">- Influenza
- Malaria
- Dengue</t>
  </si>
  <si>
    <t xml:space="preserve">INTERNATIONAL JOURNAL OF ENGINEERING SYSTEMS MODELLING AND SIMULATION</t>
  </si>
  <si>
    <t xml:space="preserve">2-3</t>
  </si>
  <si>
    <t xml:space="preserve">machine learning; epidemiology and epidemic diseases; big data; surveillance on web; COVID-19</t>
  </si>
  <si>
    <t xml:space="preserve">[Sharma, S.; Gupta, Yogesh Kumar] Banasthali Univ, Dept Comp Sci, Jaipur, Rajasthan, India</t>
  </si>
  <si>
    <t xml:space="preserve">Banasthali Vidyapith</t>
  </si>
  <si>
    <t xml:space="preserve">Sharma, S (corresponding author), Banasthali Univ, Dept Comp Sci, Jaipur, Rajasthan, India.</t>
  </si>
  <si>
    <t xml:space="preserve">shruti1621research@gmail.com; gyogesh@banasthali.in</t>
  </si>
  <si>
    <t xml:space="preserve">Gupta, Yogesh/GXF-7166-2022; sharma, shruti/HTR-7130-2023</t>
  </si>
  <si>
    <t xml:space="preserve">sharma, shruti/0000-0003-4389-1432; Gupta, Dr. Yogesh Kumar/0000-0002-4572-178X</t>
  </si>
  <si>
    <t xml:space="preserve">1755-9758</t>
  </si>
  <si>
    <t xml:space="preserve">1755-9766</t>
  </si>
  <si>
    <t xml:space="preserve">INT J ENG SYST MODEL</t>
  </si>
  <si>
    <t xml:space="preserve">Int. J. Eng. Syst. Model. Simul.</t>
  </si>
  <si>
    <t xml:space="preserve">SS6UD</t>
  </si>
  <si>
    <t xml:space="preserve">WOS:000661890000008</t>
  </si>
  <si>
    <t xml:space="preserve">Valim, C; Olatunji, YA; Isa, YS; Salaudeen, R; Golam, S; Knol, EF; Kanyi, S; Jammeh, A; Bassat, Q; de Jager, W; Diaz, AA; Wiegand, RC; Ramirez, J; Moses, MA; D'Alessandro, U; Hibberd, PL; Mackenzie, GA</t>
  </si>
  <si>
    <t xml:space="preserve">Valim, Clarissa; Olatunji, Yekin Ajauoi; Isa, Yasir Shitu; Salaudeen, Rasheed; Golam, Sarwar; Knol, Edward F.; Kanyi, Sheriffo; Jammeh, Abdoulie; Bassat, Quique; de Jager, Wilco; Diaz, Alejandro A.; Wiegand, Roger C.; Ramirez, Julio; Moses, Marsha A.; D'Alessandro, Umberto; Hibberd, Patricia L.; Mackenzie, Grant A.</t>
  </si>
  <si>
    <t xml:space="preserve">Seeking diagnostic and prognostic biomarkers for childhood bacterial pneumonia in sub-Saharan Africa: study protocol for an observational study</t>
  </si>
  <si>
    <t xml:space="preserve">Introduction Clinically diagnosed pneumonia in children is a leading cause of paediatric hospitalisation and mortality. The aetiology is usually bacterial or viral, but malaria can cause a syndrome indistinguishable from clinical pneumonia. There is no method with high sensitivity to detect a bacterial infection in these patients and, as result, antibiotics are frequently overprescribed. Conversely, unrecognised concomitant bacterial infection in patients with malarial infections occur with omission of antibiotic therapy from patients with bacterial infections. Previously, we identified two combinations of blood proteins with 96% sensitivity and 86% specificity for detecting bacterial disease. The current project aimed to validate and improve these combinations by evaluating additional biomarkers in paediatric patients with clinical pneumonia. Our goal was to describe combinations of a limited number of proteins with high sensitivity and specificity for bacterial infection to be incorporated in future point-of-care tests. Furthermore, we seek to explore signatures to prognosticate clinical pneumonia. Methods and analysis Patients (n=900) aged 2-59 months presenting with clinical pneumonia at two Gambian hospitals will be enrolled and classified according to criteria for definitive bacterial aetiology (based on microbiological tests and chest radiographs). We will measure proteins at admission using Luminex-based immunoassays in 90 children with definitive and 160 with probable bacterial aetiology, and 160 children classified according to the prognosis of their disease. Previously identified diagnostic signatures will be assessed through accuracy measures. Moreover, we will seek new diagnostic and prognostic signatures through machine learning methods, including support vector machine, penalised regression and classification trees. Ethics and dissemination Ethics approval has been obtained from the Gambia Government/Medical Research Council Unit The Gambia Joint Ethics Committee (protocol 1616) and the institutional review board of Boston University Medical Centre (STUDY00000958). Study results will be disseminated to the staff of the study hospitals, in scientific seminars and meetings, and in publications.</t>
  </si>
  <si>
    <t xml:space="preserve">USA, Gambia, Netherlands, Spain, Mozambique, UK</t>
  </si>
  <si>
    <t xml:space="preserve">Gambia</t>
  </si>
  <si>
    <t xml:space="preserve">respiratory infections; diagnostic microbiology; paediatric infectious disease &amp; immunisation; paediatric thoracic medicine</t>
  </si>
  <si>
    <t xml:space="preserve">COMMUNITY-ACQUIRED PNEUMONIA; C-REACTIVE PROTEIN; POLYMERASE-CHAIN-REACTION; BACTEREMIC PNEUMOCOCCAL PNEUMONIA; LOWER RESPIRATORY-INFECTIONS; PROCALCITONIN LEVELS; CHEST RADIOGRAPHS; INTEROBSERVER RELIABILITY; SERUM PROCALCITONIN; FEBRILE INFANTS</t>
  </si>
  <si>
    <t xml:space="preserve">[Valim, Clarissa] Boston Univ, Dept Global Hlth, Sch Publ Hlth, Boston, MA 02215 USA; [Olatunji, Yekin Ajauoi; Isa, Yasir Shitu; Salaudeen, Rasheed; Golam, Sarwar; Mackenzie, Grant A.] Gambia London Sch Hyg &amp; Trop Med, Med Res Council Unit, Fajara, Gambia; [Knol, Edward F.; de Jager, Wilco] Univ Med Ctr Utrecht, Dept Rheumatol &amp; Clin Immunol, Ctr Translat Immunol, Utrecht, Netherlands; [Knol, Edward F.] Bansang Hosp, Bansang, Gambia; [Jammeh, Abdoulie] Basse Hosp, Basse, Gambia; [Bassat, Quique] Univ Barcelona, Hosp Clin, ISGlobal, Barcelona, Spain; [Bassat, Quique] Ctr Invest Saude Manh CISM, Maputo, Mozambique; [de Jager, Wilco] Luminex Corp, Austin, TX USA; [Diaz, Alejandro A.] Harvard Med Sch, Dept Med, Boston, MA 02115 USA; [Diaz, Alejandro A.] Brigham &amp; Womens Hosp, Div Pulm &amp; Crit Care Med, 75 Francis St, Boston, MA 02115 USA; [Ramirez, Julio] Univ Louisville, Div Infect Dis, Louisville, KY 40292 USA; [Moses, Marsha A.] Childrens Hosp Boston, Vasc Biol Program, Boston, MA USA; [Moses, Marsha A.] Harvard Med Sch, Dept Surg, Boston, MA 02115 USA; [D'Alessandro, Umberto] MRC Unit, Dis Eliminat &amp; Control, Fajara, Gambia; [D'Alessandro, Umberto] London Sch Hyg &amp; Trop Med, London, England; [Hibberd, Patricia L.] Boston Univ, Sch Publ Hlth, Boston, MA 02118 USA; [Mackenzie, Grant A.] London Sch Hyg &amp; Trop Med, Fac Infect &amp; Trop Dis, Dept Dis Control, London, England</t>
  </si>
  <si>
    <t xml:space="preserve">Boston University; University of London; London School of Hygiene &amp; Tropical Medicine; Utrecht University; Utrecht University Medical Center; ISGlobal; University of Barcelona; Hospital Clinic de Barcelona; Centro de Investigacao em Saude de Manhica; Harvard University; Harvard Medical School; Harvard University; Harvard University Medical Affiliates; Brigham &amp; Women's Hospital; University of Louisville; Harvard University; Harvard University Medical Affiliates; Boston Children's Hospital; Harvard University; Harvard Medical School; University of London; London School of Hygiene &amp; Tropical Medicine; University of London; London School of Hygiene &amp; Tropical Medicine; Boston University; University of London; London School of Hygiene &amp; Tropical Medicine</t>
  </si>
  <si>
    <t xml:space="preserve">Valim, C (corresponding author), Boston Univ, Dept Global Hlth, Sch Publ Hlth, Boston, MA 02215 USA.</t>
  </si>
  <si>
    <t xml:space="preserve">cvalim@bu.edu</t>
  </si>
  <si>
    <t xml:space="preserve">Knol, Edward/AFX-7070-2022; Bassat, Quique/P-2341-2016</t>
  </si>
  <si>
    <t xml:space="preserve">Bassat, Quique/0000-0003-0875-7596; Mackenzie, Grant/0000-0002-4994-2627</t>
  </si>
  <si>
    <t xml:space="preserve">National Institutes of Health of the USA [R21AI140258]; Joint Global Health Trials scheme (MRC UK); Bill and Melinda Gates Foundation; Joint Global Health Trials scheme (Welcome); Joint Global Health Trials scheme (UK AID); Joint Global Health Trials scheme (UK National Institute for Health Research); MRC [MC_EX_MR/R006121/1] Funding Source: UKRI</t>
  </si>
  <si>
    <t xml:space="preserve">National Institutes of Health of the USA(United States Department of Health &amp; Human ServicesNational Institutes of Health (NIH) - USA); Joint Global Health Trials scheme (MRC UK); Bill and Melinda Gates Foundation(Bill &amp; Melinda Gates Foundation); Joint Global Health Trials scheme (Welcome); Joint Global Health Trials scheme (UK AID); Joint Global Health Trials scheme (UK National Institute for Health Research); MRC(UK Research &amp; Innovation (UKRI)Medical Research Council UK (MRC))</t>
  </si>
  <si>
    <t xml:space="preserve">This study will be supported by the National Institutes of Health of the USA (R21AI140258) and will leverage resources from the project entitled `Will the Ongoing Use of a Two-Dose, Rather Than Three-Dose Schedule of Pneumococcal Conjugate Vaccine, Have Similar Impact in Rural Gambia' study funded by the Joint Global Health Trials scheme (MRC UK, Welcome, UK AID, UK National Institute for Health Research) and the Bill and Melinda Gates Foundation.</t>
  </si>
  <si>
    <t xml:space="preserve">e046590</t>
  </si>
  <si>
    <t xml:space="preserve">10.1136/bmjopen-2020-046590</t>
  </si>
  <si>
    <t xml:space="preserve">WA8YE</t>
  </si>
  <si>
    <t xml:space="preserve">WOS:000703167900024</t>
  </si>
  <si>
    <t xml:space="preserve">Braga, DAD; Barreto, FKD; Paiva, CN; Ramalho, ILC; Cavalcanti, LPD; Alencar, CH</t>
  </si>
  <si>
    <t xml:space="preserve">de Oliveira Braga, Dayse Aparecida; de Almeida Barreto, Francisca Kalline; Paiva, Clemilson Nogueira; Cavalcante Ramalho, Izabel Leticia; de Goes Cavalcanti, Luciano Pamplona; Alencar, Carlos Henrique</t>
  </si>
  <si>
    <t xml:space="preserve">Seroepidemiological survey on chikungunya in endemic zones for arboviruses in Brazil, 2019</t>
  </si>
  <si>
    <t xml:space="preserve">This study aimed to identify the seroprevalence of chikungunya and its associated factors in the city of Quixada, Ceara, Brazil. We also aimed to identify the spatial distribution patterns of positive cases. A cross-sectional survey was conducted with a questionnaire about clinical symptoms, socioeconomic and demographic factors, and a 10 ml blood sample was collected and analysed by ELISA. For the bivariate analysis, we use the chi-square test, a prevalence ratio and its 95% confidence interval. A robust Poisson hierarchical regression was used to adjust for confounders. The Kernel density was performed for the spatial analysis. A total of 409 samples were analysed; of them, 70.7% were seropositive for previous exposure to chikungunya virus (CHIKV). High seropositivity for CHIKV was higher in female participants (75.5%; PR = 1.23; 95% CI: 1.06-1.43), those aged 31 years or more (74.3%; PR = 1.62; 95% CI: 1.04-2.52), and those with elementary education level (75.0%; PR = 1.30; 95% CI: 1.06-1.60). There were also high seroprevalence in those with less than a minimum wage per month (89.5%; PR = 1.59; 95% CI: 1.11-2.30), housewives (87.5%; PR = 1.64; 95% CI: 1.24-2.18) and unemployed (80.0%; PR = 1.50; 95% CI: 1.10-2.06). After adjusting for age, morning stiffness was the only chikungunya symptom that remained associated (PR = 1.20; 95% CI: 1.06-1.37; p &lt; .001). There was an area of high density of cases in the downtown and two areas of medium density in nearby regions. Otherwise, the higher seroprevalence rates were in the peripherical neighbourhoods. There is a hyperendemicity of CHIKV in Quixada, and most cases are spatially contiguous. The main associated clinical sign is morning stiffness, but other factors such as low income and spending a longer time at home were significantly associated with higher seroprevalence.</t>
  </si>
  <si>
    <t xml:space="preserve">Public health records
Serological data
Spatial data</t>
  </si>
  <si>
    <t xml:space="preserve">ZOONOSES AND PUBLIC HEALTH</t>
  </si>
  <si>
    <t xml:space="preserve">chikungunya; epidemiology; seroepidemiological studies</t>
  </si>
  <si>
    <t xml:space="preserve">VIRUS; INFECTION; SEROPREVALENCE; ARTHRALGIA; PREVALENCE; DENGUE</t>
  </si>
  <si>
    <t xml:space="preserve">[de Oliveira Braga, Dayse Aparecida; de Goes Cavalcanti, Luciano Pamplona; Alencar, Carlos Henrique] Univ Fed Ceara, Programa Posgrad Patol, Fortaleza, Ceara, Brazil; [de Almeida Barreto, Francisca Kalline; de Goes Cavalcanti, Luciano Pamplona; Alencar, Carlos Henrique] Univ Fed Ceara, Programa Posgrad Saude Publ, Fortaleza, Ceara, Brazil; [Paiva, Clemilson Nogueira] Inst Fed Ceara, Quixada, Brazil; [Cavalcante Ramalho, Izabel Leticia] Lab Cent Saude Publ Ceara, Fortaleza, Ceara, Brazil</t>
  </si>
  <si>
    <t xml:space="preserve">Universidade Federal do Ceara; Universidade Federal do Ceara; Instituto Federal do Ceara (IFCE)</t>
  </si>
  <si>
    <t xml:space="preserve">Alencar, CH (corresponding author), Univ Fed Ceara, Sch Med, Programa Posgrad Patol, Fortaleza, Ceara, Brazil.</t>
  </si>
  <si>
    <t xml:space="preserve">carllosalencar@ufc.br</t>
  </si>
  <si>
    <t xml:space="preserve">Alencar, Carlos/FCD-8777-2022; de Almeida Barreto, Francisca Kalline/GOJ-9817-2022; de Góes Cavalcanti, Luciano/N-4391-2015</t>
  </si>
  <si>
    <t xml:space="preserve">Alencar, Carlos Henrique/0000-0003-2967-532X; Barreto, Francisca Kalline de Almeida/0000-0001-9767-7154; Braga, Dayse Aparecida de Oliveira/0000-0003-2849-747X</t>
  </si>
  <si>
    <t xml:space="preserve">Conselho Nacional de Desenvolvimento Cientifico e Tecnologico; Fundacao Cearense de Apoio ao Desenvolvimento Cientifico e Tecnologico</t>
  </si>
  <si>
    <t xml:space="preserve">Conselho Nacional de Desenvolvimento Cientifico e Tecnologico(Conselho Nacional de Desenvolvimento Cientifico e Tecnologico (CNPQ)); Fundacao Cearense de Apoio ao Desenvolvimento Cientifico e Tecnologico(Fundacao Cearense de Apoio ao Desenvolvimento Cientifico e Tecnologico (FUNCAP))</t>
  </si>
  <si>
    <t xml:space="preserve">1863-1959</t>
  </si>
  <si>
    <t xml:space="preserve">1863-2378</t>
  </si>
  <si>
    <t xml:space="preserve">ZOONOSES PUBLIC HLTH</t>
  </si>
  <si>
    <t xml:space="preserve">Zoonoses Public Health</t>
  </si>
  <si>
    <t xml:space="preserve">10.1111/zph.12888</t>
  </si>
  <si>
    <t xml:space="preserve">Public, Environmental &amp; Occupational Health; Infectious Diseases; Veterinary Sciences</t>
  </si>
  <si>
    <t xml:space="preserve">WP3GO</t>
  </si>
  <si>
    <t xml:space="preserve">WOS:000691884500001</t>
  </si>
  <si>
    <t xml:space="preserve">Guo, X; Khalid, MA; Domingos, I; Michala, AL; Adriko, M; Rowel, C; Ajambo, D; Garrett, A; Kar, S; Yan, XX; Reboud, J; Tukahebwa, EM; Cooper, JM</t>
  </si>
  <si>
    <t xml:space="preserve">Guo, Xin; Khalid, Muhammad Arslan; Domingos, Ivo; Michala, Anna Lito; Adriko, Moses; Rowel, Candia; Ajambo, Diana; Garrett, Alice; Kar, Shantimoy; Yan, Xiaoxiang; Reboud, Julien; Tukahebwa, Edridah M.; Cooper, Jonathan M.</t>
  </si>
  <si>
    <t xml:space="preserve">Smartphone-based DNA diagnostics for malaria detection using deep learning for local decision support and blockchain technology for security</t>
  </si>
  <si>
    <t xml:space="preserve">In infectious disease diagnosis, results need to be communicated rapidly to healthcare professionals once testing has been completed so that care pathways can be implemented. This represents a particular challenge when testing in remote, low-resource rural communities, in which such diseases often create the largest burden. Here, we report a smartphone-based end-to-end platform for multiplexed DNA diagnosis of malaria. The approach uses a low-cost paper-based microfluidic diagnostic test, which is combined with deep learning algorithms for local decision support and blockchain technology for secure data connectivity and management. We validated the approach via field tests in rural Uganda, where it correctly identified more than 98% of tested cases. Our platform also provides secure geotagged diagnostic information, which creates the possibility of integrating infectious disease data within surveillance frameworks. A smartphone-based system that uses deep learning algorithms for local decision support, and incorporates blockchain technology to provide secure data connectivity and management, can be used for multiplexed DNA diagnosis of malaria.</t>
  </si>
  <si>
    <t xml:space="preserve">UK, Uganda</t>
  </si>
  <si>
    <t xml:space="preserve">NATURE ELECTRONICS</t>
  </si>
  <si>
    <t xml:space="preserve">CARE</t>
  </si>
  <si>
    <t xml:space="preserve">[Guo, Xin; Khalid, Muhammad Arslan; Garrett, Alice; Kar, Shantimoy; Yan, Xiaoxiang; Reboud, Julien; Cooper, Jonathan M.] Univ Glasgow, James Watt Sch Engn, Div Biomed Engn, Glasgow, Lanark, Scotland; [Domingos, Ivo; Michala, Anna Lito] Univ Glasgow, Sch Comp Sci, Glasgow, Lanark, Scotland; [Adriko, Moses; Rowel, Candia; Ajambo, Diana; Tukahebwa, Edridah M.] Minist Hlth, Vector Control Div, Kampala, Uganda</t>
  </si>
  <si>
    <t xml:space="preserve">University of Glasgow; University of Glasgow</t>
  </si>
  <si>
    <t xml:space="preserve">Cooper, JM (corresponding author), Univ Glasgow, James Watt Sch Engn, Div Biomed Engn, Glasgow, Lanark, Scotland.</t>
  </si>
  <si>
    <t xml:space="preserve">jon.cooper@glasgow.ac.uk</t>
  </si>
  <si>
    <t xml:space="preserve">Kar, Shantimoy/AAK-3080-2020; Reboud, Julien/F-1565-2014; Cooper, Jonathan/E-9000-2010; Adriko, Moses/C-3786-2018</t>
  </si>
  <si>
    <t xml:space="preserve">Guo, Xin/0009-0004-2945-699X; Michala, Anna Lito/0000-0001-7821-1279; Cooper, Jonathan/0000-0002-2358-1050; Adriko, Moses/0000-0001-9748-1207</t>
  </si>
  <si>
    <t xml:space="preserve">UK Global Challenges Research Fund; Scottish Funding Council; Engineering and Physical Sciences Research Council (EPSRC) [EP/R512813/1]; EPSRC [EP/R01437X/1]; National Institute for Health Research [EP/T029765/1]; EPSRC studentship [EP/N509668/1]; EPSRC [EP/N509668/1] Funding Source: UKRI; GCRF [EP/T029765/1, EP/R01437X/1] Funding Source: UKRI</t>
  </si>
  <si>
    <t xml:space="preserve">UK Global Challenges Research Fund; Scottish Funding Council; Engineering and Physical Sciences Research Council (EPSRC)(UK Research &amp; Innovation (UKRI)Engineering &amp; Physical Sciences Research Council (EPSRC)); EPSRC(UK Research &amp; Innovation (UKRI)Engineering &amp; Physical Sciences Research Council (EPSRC)); National Institute for Health Research(National Institutes of Health Research (NIHR)); EPSRC studentship(UK Research &amp; Innovation (UKRI)Engineering &amp; Physical Sciences Research Council (EPSRC)); EPSRC(UK Research &amp; Innovation (UKRI)Engineering &amp; Physical Sciences Research Council (EPSRC)); GCRF(UK Research &amp; Innovation (UKRI))</t>
  </si>
  <si>
    <t xml:space="preserve">We thank P. Lamberton for help with ethical clearance and facilitation, Epigem Ltd for help with device manufacturing, E. O'Shaughnessy for device assembly, O. Tufayl for initial app GUI development, as well as A. Atuhire for sampling and treatment in the field in Uganda. The study was supported by the UK Global Challenges Research Fund, the Scottish Funding Council and the Engineering and Physical Sciences Research Council (EPSRC) Institutional Support Fund (grant no. EP/R512813/1), as well as by EPSRC EP/R01437X/1, also supported by the National Institute for Health Research and EP/T029765/1. A.G. acknowledges support from EPSRC studentship EP/N509668/1.</t>
  </si>
  <si>
    <t xml:space="preserve">2520-1131</t>
  </si>
  <si>
    <t xml:space="preserve">NAT ELECTRON</t>
  </si>
  <si>
    <t xml:space="preserve">Nat. Electron.</t>
  </si>
  <si>
    <t xml:space="preserve">10.1038/s41928-021-00612-x</t>
  </si>
  <si>
    <t xml:space="preserve">UD4NZ</t>
  </si>
  <si>
    <t xml:space="preserve">WOS:000680372400001</t>
  </si>
  <si>
    <t xml:space="preserve">Gomes, JCM; Souza, LC; Oliveira, LC</t>
  </si>
  <si>
    <t xml:space="preserve">Gomes, Julio Cartier M.; Souza, Leandro Carlos; Oliveira, Leiva Casemiro</t>
  </si>
  <si>
    <t xml:space="preserve">SmartSPR sensor: Machine learning approaches to create intelligent surface plasmon based sensors</t>
  </si>
  <si>
    <t xml:space="preserve">Surface plasmon resonance (SPR) based sensors allow the evaluation of aqueous and gaseous solutions from real-time measurements of molecular interactions. The reliability of the response generated by a SPR sensor must be guaranteed, especially in substance detection, diagnoses, and other routine applications since poorly handled samples, instrumentation noise features, or even molecular tampering manipulations can lead to wrong interpretations. This work investigates the use of different machine learning (ML) techniques to deal with these issues, and aim to improve and attest to the quality of the real-time SPR responses so-called sensorgrams. A new strategy to describe a SPR-sensorgram is shown. The results of the proposed ML-approach allow the creation of intelligent SPR sensors to give a safe, reliable, and auditable analysis of sensorgram responses. Our arrangement can be embedded in an Intelligence Module that can classify sensorgrams and identify the substances presents in it. Also made it possible to order and analyze interest areas of sensorgrams, standardizing data, and supporting eventual audit procedures. With those intelligence features, the new generation of SPR-intelligent biosensors is qualifying to perform automated testing. A properly protocol for Leishmaniasis diagnosis with SPR was used to verify this new feature.</t>
  </si>
  <si>
    <t xml:space="preserve">BIOSENSORS &amp; BIOELECTRONICS</t>
  </si>
  <si>
    <t xml:space="preserve">ELSEVIER ADVANCED TECHNOLOGY</t>
  </si>
  <si>
    <t xml:space="preserve">Surface plasmon resonance; SPR intelligent sensor; Smart biosensor; Optical sensor; Machine learning; Automated diagnosis testing</t>
  </si>
  <si>
    <t xml:space="preserve">NEURAL-NETWORK; RESONANCE</t>
  </si>
  <si>
    <t xml:space="preserve">[Gomes, Julio Cartier M.; Oliveira, Leiva Casemiro] Univ Fed Rural Semi Arido, Dept Comp Sci, Rua Francisco Mota Bairro,572 Pres Costa &amp; Silva, Mossoro, RN, Brazil; [Souza, Leandro Carlos] Univ Fed Paraiba, Dept Informat, Rua Escoteiros S-N, Joao Pessoa, PB, Brazil</t>
  </si>
  <si>
    <t xml:space="preserve">Universidade Federal Rural do Semi-Arido (UFERSA); Universidade Federal da Paraiba</t>
  </si>
  <si>
    <t xml:space="preserve">Oliveira, LC (corresponding author), Univ Fed Rural Semi Arido, Dept Comp Sci, Rua Francisco Mota Bairro,572 Pres Costa &amp; Silva, Mossoro, RN, Brazil.</t>
  </si>
  <si>
    <t xml:space="preserve">juliocartier@gmail.com; leandro@ci.ufpb.br; leiva.casemiro@ufersa.edu.br</t>
  </si>
  <si>
    <t xml:space="preserve">Casemiro Oliviera, Leiva/ABA-4063-2021; C. Oliveira, Leiva/N-3037-2017</t>
  </si>
  <si>
    <t xml:space="preserve">C. Oliveira, Leiva/0000-0001-9147-4604; Souza, Leandro/0000-0002-5318-4814</t>
  </si>
  <si>
    <t xml:space="preserve">CAPES, Brazil; UFERSA-Universidade Federal Rural do Semi-Arido, Brazil</t>
  </si>
  <si>
    <t xml:space="preserve">CAPES, Brazil(Coordenacao de Aperfeicoamento de Pessoal de Nivel Superior (CAPES)); UFERSA-Universidade Federal Rural do Semi-Arido, Brazil</t>
  </si>
  <si>
    <t xml:space="preserve">The authors would like to thank CAPES, Brazil and UFERSA-Universidade Federal Rural do Semi-Arido, Brazil for the financial support and research grants.</t>
  </si>
  <si>
    <t xml:space="preserve">OXFORD FULFILLMENT CENTRE THE BOULEVARD, LANGFORD LANE, KIDLINGTON, OXFORD OX5 1GB, OXON, ENGLAND</t>
  </si>
  <si>
    <t xml:space="preserve">0956-5663</t>
  </si>
  <si>
    <t xml:space="preserve">1873-4235</t>
  </si>
  <si>
    <t xml:space="preserve">BIOSENS BIOELECTRON</t>
  </si>
  <si>
    <t xml:space="preserve">JAN 15</t>
  </si>
  <si>
    <t xml:space="preserve">10.1016/j.bios.2020.112760</t>
  </si>
  <si>
    <t xml:space="preserve">Biophysics; Biotechnology &amp; Applied Microbiology; Chemistry, Analytical; Electrochemistry; Nanoscience &amp; Nanotechnology</t>
  </si>
  <si>
    <t xml:space="preserve">Biophysics; Biotechnology &amp; Applied Microbiology; Chemistry; Electrochemistry; Science &amp; Technology - Other Topics</t>
  </si>
  <si>
    <t xml:space="preserve">PM1FZ</t>
  </si>
  <si>
    <t xml:space="preserve">WOS:000603555600006</t>
  </si>
  <si>
    <t xml:space="preserve">Rinaldo, D; Perez-Saez, J; Vounatsou, P; Utzinger, J; Arcand, JL</t>
  </si>
  <si>
    <t xml:space="preserve">Rinaldo, Daniele; Perez-Saez, Javier; Vounatsou, Penelope; Utzinger, Jurg; Arcand, Jean-Louis</t>
  </si>
  <si>
    <t xml:space="preserve">The economic impact of schistosomiasis</t>
  </si>
  <si>
    <t xml:space="preserve">Background: The economic impact of schistosomiasis and the underlying tradeoffs between water resources development and public health concerns have yet to be quantified. Schistosomiasis exerts large health, social and financial burdens on infected individuals and households. While irrigation schemes are one of the most important policy responses designed to reduce poverty, particularly in sub-Saharan Africa, they facilitate the propagation of schistosomiasis and other diseases. Methods: We estimate the economic impact of schistosomiasis in Burkina Faso via its effect on agricultural production. We create an original dataset that combines detailed household and agricultural surveys with high-resolution geo-statistical disease maps. We develop new methods that use the densities of the intermediate host snails of schistosomiasis as instrumental variables together with panel, spatial and machine learning techniques. Results: We estimate that the elimination of schistosomiasis in Burkina Faso would increase average crop yields by around 7%, rising to 32% for high infection clusters. Keeping schistosomiasis unchecked, in turn, would correspond to a loss of gross domestic product of approximately 0.8%. We identify the disease burden as a shock to the agricultural productivity of farmers. The poorest households engaged in subsistence agriculture bear a far heavier disease burden than their wealthier counterparts, experiencing an average yield loss due to schistosomiasis of between 32 and 45%. We show that the returns to water resources development are substantially reduced once its health effects are taken into account: villages in proximity of large-scale dams suffer an average yield loss of around 20%, and this burden decreases as distance between dams and villages increases. Conclusions: This study provides a rigorous estimation of how schistosomiasis affects agricultural production and how it is both a driver and a consequence of poverty. It further quantifies the tradeoff between the economics of water infrastructures and their impact on public health. Although we focus on Burkina Faso, our approach can be applied to any country in which schistosomiasis is endemic.</t>
  </si>
  <si>
    <t xml:space="preserve">England, USA, Switzerland, France</t>
  </si>
  <si>
    <t xml:space="preserve">Burkina Faso</t>
  </si>
  <si>
    <t xml:space="preserve">Schistosomiasis; Neglected Tropical Diseases; Sub-Saharan Africa; Agriculture; Water Resources Development; Poverty</t>
  </si>
  <si>
    <t xml:space="preserve">SUB-SAHARAN AFRICA; HEALTH; DISEASE; CHEMOTHERAPY; EDUCATION; CHILDREN; MALARIA; GROWTH; BURDEN; WATER</t>
  </si>
  <si>
    <t xml:space="preserve">[Rinaldo, Daniele] Univ Exeter, Environm Econ &amp; Policy Inst LEEP, Dept Econ &amp; Land, Exeter, Devon, England; [Perez-Saez, Javier] Johns Hopkins Bloomberg Sch Publ Hlth, Dept Epide miol, Baltimore, MD USA; [Vounatsou, Penelope; Utzinger, Jurg] Swiss Trop &amp; Publ Hlth Inst, Basel, Switzerland; [Vounatsou, Penelope; Utzinger, Jurg] Univ Basel, Basel, Switzerland; [Arcand, Jean-Louis] Grad Inst Int &amp; Dev Studies, Dept Int Econ, Geneva, Switzerland; [Arcand, Jean-Louis] Fondat Ies Etud &amp; Recherches Dev Int FERDI, Clermont Ferrand, France</t>
  </si>
  <si>
    <t xml:space="preserve">University of Exeter; Johns Hopkins University; Johns Hopkins Bloomberg School of Public Health; University of Basel; Swiss Tropical &amp; Public Health Institute; University of Basel</t>
  </si>
  <si>
    <t xml:space="preserve">Rinaldo, D (corresponding author), Univ Exeter, Environm Econ &amp; Policy Inst LEEP, Dept Econ &amp; Land, Exeter, Devon, England.</t>
  </si>
  <si>
    <t xml:space="preserve">d.rinaldo@exeter.ac.uk</t>
  </si>
  <si>
    <t xml:space="preserve">Utzinger, Juerg/MFJ-1241-2025; Arcand, Jean-Louis/JYP-5090-2024; Perez-Saez, Javier/I-9775-2014</t>
  </si>
  <si>
    <t xml:space="preserve">Rinaldo, Daniele/0000-0002-5312-5697; Perez-Saez, Javier/0000-0003-3909-2048; Arcand, Jean-Louis/0000-0003-3671-2088; Utzinger, Jurg/0000-0001-6885-0798</t>
  </si>
  <si>
    <t xml:space="preserve">Swiss Network for International Studies (SNIS); World Health Organization</t>
  </si>
  <si>
    <t xml:space="preserve">Swiss Network for International Studies (SNIS); World Health Organization(World Health Organization)</t>
  </si>
  <si>
    <t xml:space="preserve">Work leading to this paper was funded by the Swiss Network for International Studies (SNIS), in collaboration with the World Health Organization.</t>
  </si>
  <si>
    <t xml:space="preserve">DEC 13</t>
  </si>
  <si>
    <t xml:space="preserve">10.1186/s40249-021-00919-z</t>
  </si>
  <si>
    <t xml:space="preserve">XN2TA</t>
  </si>
  <si>
    <t xml:space="preserve">WOS:000729361600001</t>
  </si>
  <si>
    <t xml:space="preserve">Niamsi-Emalio, Y; Nana-Djeunga, HC; Chesnais, CB; Pion, SDS; Tchatchueng-Mbougua, JB; Boussinesq, M; Basáñez, MG; Kamgno, J</t>
  </si>
  <si>
    <t xml:space="preserve">Niamsi-Emalio, Yannick; Nana-Djeunga, Hugues C.; Chesnais, Cedric B.; Pion, Sebastien D. S.; Tchatchueng-Mbougua, Jules B.; Boussinesq, Michel; Basanez, Maria-Gloria; Kamgno, Joseph</t>
  </si>
  <si>
    <t xml:space="preserve">Unusual Localization of Blood-Borne Loa loa Microfilariae in the Skin Depends on Microfilarial Density in the Blood: Implications for Onchocerciasis Diagnosis in Coendemic Areas</t>
  </si>
  <si>
    <t xml:space="preserve">Background. The diagnostic gold standard for onchocerciasis relies on identification and enumeration of (skin-dwelling) Onchocerca volvulus microfilariae (mf) using the skin snip technique (SST). In a recent study, blood-borne Loa loa mf were found by SST in individuals heavily infected with L. loa, and microscopically misidentified as O. volvulus due to their superficially similar morphology. This study investigates the relationship between L. loa microfilarial density (Loa MFD) and the probability of testing SST positive. Methods. A total of 1053 participants from the (onchocerciasis and loiasis coendemic) East Region in Cameroon were tested for (1) Loa MFD in blood samples, (2) O. volvulus presence by SST, and (3) Immunoglobulin (Ig) G4 antibody positivity to Ov16 by rapid diagnostic test (RDT). A Classification and Regression Tree (CART) model was used to perform a supervised classification of SST status and identify a Loa MFD threshold above which it is highly likely to find L. loa mf in skin snips. Results. Of 1011 Ov16-negative individuals, 28 (2.8%) tested SST positive and 150 (14.8%) were L. loa positive. The range of Loa MFD was 0-85 200 mf/mL. The CART model subdivided the sample into 2 Loa MFD classes with a discrimination threshold of 4080 (95% CI, 2180-12 240) mf/mL. The probability of being SST positive exceeded 27% when Loa MFD was &gt;4080 mf/mL. Conclusions. The probability of finding L. loa mf by SST increases significantly with Loa MFD. Skin-snip polymerase chain reaction would be useful when monitoring onchocerciasis prevalence by SST in onchocerciasis-loiasis coendemic areas.</t>
  </si>
  <si>
    <t xml:space="preserve">Cameroon, France, United Kingdom</t>
  </si>
  <si>
    <t xml:space="preserve">Onchocerciasis</t>
  </si>
  <si>
    <t xml:space="preserve">Classification and Regression Tree (CART)</t>
  </si>
  <si>
    <t xml:space="preserve">Onchocerca volvulus; Loa loa; diagnosis; classification and regression tree model; skin snip technique</t>
  </si>
  <si>
    <t xml:space="preserve">EXCESS MORTALITY; VOLVULUS; VENEZUELA; BLINDNESS; FOCUS; RISK</t>
  </si>
  <si>
    <t xml:space="preserve">[Niamsi-Emalio, Yannick; Nana-Djeunga, Hugues C.; Kamgno, Joseph] Ctr Res Filariasis &amp; Other Trop Dis CRFilMT, Yaounde, Cameroon; [Chesnais, Cedric B.; Pion, Sebastien D. S.; Boussinesq, Michel] Univ Montpellier, Inst Rech Dev IRD, UMI233, INSERM U1175, Montpellier, France; [Tchatchueng-Mbougua, Jules B.] Membre Reseau Int Inst Pasteur, Ctr Pasteur Cameroun, Serv Epidemiol, Yaounde, Cameroon; [Basanez, Maria-Gloria] Imperial Coll London, MRC Ctr Global Infect Dis Anal, Sch Publ Hlth, Norfolk Pl, London W2 1PG, England; [Basanez, Maria-Gloria] Imperial Coll London, Sch Publ Hlth, Dept Infect Dis Epidemiol, London Ctr Neglected Trop Dis Res, Norfolk Pl, London W2 1PG, England; [Kamgno, Joseph] Univ Yaounde I, Fac Med &amp; Biomed Sci, Yaounde, Cameroon</t>
  </si>
  <si>
    <t xml:space="preserve">Institut de Recherche pour le Developpement (IRD); Universite de Montpellier; Institut National de la Sante et de la Recherche Medicale (Inserm); Centre Pasteur du Cameroun; Imperial College London; Imperial College London; University of Yaounde I</t>
  </si>
  <si>
    <t xml:space="preserve">Basáñez, MG (corresponding author), Imperial Coll London, MRC Ctr Global Infect Dis Anal, Sch Publ Hlth, Norfolk Pl, London W2 1PG, England.;Basáñez, MG (corresponding author), Imperial Coll London, Sch Publ Hlth, Dept Infect Dis Epidemiol, London Ctr Neglected Trop Dis Res, Norfolk Pl, London W2 1PG, England.</t>
  </si>
  <si>
    <t xml:space="preserve">m.basanez@imperial.ac.uk</t>
  </si>
  <si>
    <t xml:space="preserve">Chesnais, Cédric/GZM-7311-2022</t>
  </si>
  <si>
    <t xml:space="preserve">Pion, Sebastien/0000-0002-9468-7020; Tchatchueng Mbougua, Jules Brice/0000-0002-0480-1505; Basanez, Maria-Gloria/0000-0001-5031-3361</t>
  </si>
  <si>
    <t xml:space="preserve">Bill &amp; Melinda Gates Foundation through the TaskForce for Global Health project Filling the Gaps: Operational Research to Ensure the Success of the Neglected Tropical Disease Control and Elimination Programs [OPP1033740, NTD-SC/NCT 049]; African Programme for Onchocerciasis Control (APOC); US Agency for International Development (USAID) ENVISION Project; USAID [AID-OAA-A-11-00048]; Royal Society International Exchange Programme [IES\R2\181017]; NTD Modelling Consortium by the Bill &amp; Melinda Gates Foundation [OPP1184344]; UK Medical Research Council (MRC) under the MRC/DFID, European and Developing Countries Clinical Trials Partnership (EDCTP2) program - European Union [MR/R015600/1]; UK Department for International Development (DFID) under the MRC/DFID, European and Developing Countries Clinical Trials Partnership (EDCTP2) program - European Union [MR/R015600/1]; Institut Bertrand Buisson, France [2011_TNT_01]; Bill and Melinda Gates Foundation [OPP1033740] Funding Source: Bill and Melinda Gates Foundation</t>
  </si>
  <si>
    <t xml:space="preserve">Bill &amp; Melinda Gates Foundation through the TaskForce for Global Health project Filling the Gaps: Operational Research to Ensure the Success of the Neglected Tropical Disease Control and Elimination Programs; African Programme for Onchocerciasis Control (APOC); US Agency for International Development (USAID) ENVISION Project(United States Agency for International Development (USAID)); USAID(United States Agency for International Development (USAID)); Royal Society International Exchange Programme; NTD Modelling Consortium by the Bill &amp; Melinda Gates Foundation; UK Medical Research Council (MRC) under the MRC/DFID, European and Developing Countries Clinical Trials Partnership (EDCTP2) program - European Union; UK Department for International Development (DFID) under the MRC/DFID, European and Developing Countries Clinical Trials Partnership (EDCTP2) program - European Union; Institut Bertrand Buisson, France; Bill and Melinda Gates Foundation(Bill &amp; Melinda Gates Foundation)</t>
  </si>
  <si>
    <t xml:space="preserve">The data collection of this study was co-funded by the Bill &amp; Melinda Gates Foundation (grant number OPP1033740; to M. B.) through the TaskForce for Global Health project Filling the Gaps: Operational Research to Ensure the Success of the Neglected Tropical Disease Control and Elimination Programs (grant number NTD-SC/NCT 049; to J. K.); the African Programme for Onchocerciasis Control (APOC); and the US Agency for International Development (USAID) ENVISION Project. ENVISION (2011.2019) was a global project led by RTI International and funded by the USAID (cooperative agreement number AID-OAA-A-11-00048; to J. K.). M.-G. B. and J. K. acknowledge funding from The Royal Society International Exchange Programme (grant number IES\R2\181017). M.-G. B. acknowledges funding of the NTD Modelling Consortium by the Bill &amp; Melinda Gates Foundation (grant number OPP1184344) and joint center funding (grant number MR/R015600/1) by the UK Medical Research Council (MRC) and the UK Department for International Development (DFID) under the MRC/DFID Concordat agreement, which is also part of the European and Developing Countries Clinical Trials Partnership (EDCTP2) program supported by the European Union. J. K. was also funded by Institut Bertrand Buisson, France (subaward number 2011_TNT_01 to the Centre for Research on Filariasis and other Tropical Diseases [CRFilMT]).</t>
  </si>
  <si>
    <t xml:space="preserve">S158</t>
  </si>
  <si>
    <t xml:space="preserve">S164</t>
  </si>
  <si>
    <t xml:space="preserve">10.1093/cid/ciab255</t>
  </si>
  <si>
    <t xml:space="preserve">TF6JA</t>
  </si>
  <si>
    <t xml:space="preserve">WOS:000670824100006</t>
  </si>
  <si>
    <t xml:space="preserve">Deelder, W; Benavente, ED; Phelan, J; Manko, E; Campino, S; Palla, L; Clark, TG</t>
  </si>
  <si>
    <t xml:space="preserve">Deelder, Wouter; Benavente, Ernest Diez; Phelan, Jody; Manko, Emilia; Campino, Susana; Palla, Luigi; Clark, Taane G.</t>
  </si>
  <si>
    <t xml:space="preserve">Using deep learning to identify recent positive selection in malaria parasite sequence data</t>
  </si>
  <si>
    <t xml:space="preserve">Background: Malaria, caused by Plasmodium parasites, is a major global public health problem. To assist an understanding of malaria pathogenesis, including drug resistance, there is a need for the timely detection of underlying genetic mutations and their spread. With the increasing use of whole-genome sequencing (WGS) of Plasmodium DNA, the potential of deep learning models to detect loci under recent positive selection, historically signals of drug resistance, was evaluated. Methods: A deep learning-based approach (called DeepSweep) was developed, which can be trained on haplotypic images from genetic regions with known sweeps, to identify loci under positive selection. DeepSweep software is available from . Results: Using simulated genomic data, DeepSweep could detect recent sweeps with high predictive accuracy (areas under ROC curve &gt; 0.95). DeepSweep was applied to Plasmodium falciparum (n = 1125; genome size 23 Mbp) and Plasmodium vivax (n = 368; genome size 29 Mbp) WGS data, and the genes identified overlapped with two established extended haplotype homozygosity methods (within-population iHS, across-population Rsb) (similar to 60-75% overlap of hits at P &lt; 0.0001). DeepSweep hits included regions proximal to known drug resistance loci for both P. falciparum (e.g. pfcrt, pfdhps and pfmdr1) and P. vivax (e.g. pvmrp1). Conclusion: The deep learning approach can detect positive selection signatures in malaria parasite WGS data. Further, as the approach is generalizable, it may be trained to detect other types of selection. With the ability to rapidly generate WGS data at low cost, machine learning approaches (e.g. DeepSweep) have the potential to assist parasite genome-based surveillance and inform malaria control decision-making.</t>
  </si>
  <si>
    <t xml:space="preserve">UK, Switzerland, Italy</t>
  </si>
  <si>
    <t xml:space="preserve">Deep learning-based approach (DeepSweep)</t>
  </si>
  <si>
    <t xml:space="preserve">Plasmodium falciparum; Plasmodium vivax; Population genomics; Drug resistance; Machine learning; Positive selection</t>
  </si>
  <si>
    <t xml:space="preserve">PLASMODIUM-FALCIPARUM; R PACKAGE; GENOME; RESISTANCE; SIGNATURES; POPULATION; SWEEPS; REHH</t>
  </si>
  <si>
    <t xml:space="preserve">[Deelder, Wouter; Benavente, Ernest Diez; Phelan, Jody; Manko, Emilia; Campino, Susana; Palla, Luigi; Clark, Taane G.] London Sch Hyg &amp; Trop Med, Keppel St, London WC1E 7HT, England; [Deelder, Wouter] 7 Rue Chantepoulet, CH-1201 Geneva, Switzerland; [Palla, Luigi] Univ Rome Sapienza, Dept Publ Hlth &amp; Infect Dis, Rome, Italy</t>
  </si>
  <si>
    <t xml:space="preserve">University of London; London School of Hygiene &amp; Tropical Medicine; Sapienza University Rome</t>
  </si>
  <si>
    <t xml:space="preserve">Clark, TG (corresponding author), London Sch Hyg &amp; Trop Med, Keppel St, London WC1E 7HT, England.</t>
  </si>
  <si>
    <t xml:space="preserve">Taane.clark@lshtm.ac.uk</t>
  </si>
  <si>
    <t xml:space="preserve">Campino, Susana/AAM-2577-2020; Clark, Taane/AAM-2570-2020; Phelan, Jody/GVR-7908-2022</t>
  </si>
  <si>
    <t xml:space="preserve">Campino, Susana/0000-0003-1403-6138; Diez Benavente, Ernest/0000-0002-4313-4290; Clark, Taane/0000-0001-8985-9265; Phelan, Jody/0000-0001-8323-7019</t>
  </si>
  <si>
    <t xml:space="preserve">Medical Research Council UK [MR/M01360X/1, MR/N010469/1, MR/R025576/1, MR/R020973/1]; BBSRC UK [BB/R013063/1]; BloomsburySET; BBSRC [BB/R013063/1] Funding Source: UKRI; MRC [MR/R025576/1, MR/M01360X/1, MR/R020973/1, MR/N010469/1] Funding Source: UKRI</t>
  </si>
  <si>
    <t xml:space="preserve">Medical Research Council UK(UK Research &amp; Innovation (UKRI)Medical Research Council UK (MRC)); BBSRC UK(UK Research &amp; Innovation (UKRI)Biotechnology and Biological Sciences Research Council (BBSRC)); BloomsburySET; BBSRC(UK Research &amp; Innovation (UKRI)Biotechnology and Biological Sciences Research Council (BBSRC)); MRC(UK Research &amp; Innovation (UKRI)Medical Research Council UK (MRC))</t>
  </si>
  <si>
    <t xml:space="preserve">TGC is funded by the Medical Research Council UK (Grant no. MR/M01360X/1, MR/N010469/1, MR/R025576/1, and MR/R020973/1) and BBSRC UK (Grant no. BB/R013063/1). SC is funded by the BloomsburySET and Medical Research Council UK grants (MR/M01360X/1, MR/R025576/1, and MR/R020973/1).</t>
  </si>
  <si>
    <t xml:space="preserve">JUN 14</t>
  </si>
  <si>
    <t xml:space="preserve">10.1186/s12936-021-03788-x</t>
  </si>
  <si>
    <t xml:space="preserve">SV2GF</t>
  </si>
  <si>
    <t xml:space="preserve">WOS:000663642500001</t>
  </si>
  <si>
    <t xml:space="preserve">Dissanayake, S; Tennekoon, S; Gaffoor, S; Liyanage, G</t>
  </si>
  <si>
    <t xml:space="preserve">Dissanayake, Sharmila; Tennekoon, Sureshi; Gaffoor, Sharmila; Liyanage, Guwani</t>
  </si>
  <si>
    <t xml:space="preserve">Vitamin D Deficiency in Dengue Hemorrhagic Fever and Dengue Shock Syndrome among Sri Lankan Children: A Case-Control Study</t>
  </si>
  <si>
    <t xml:space="preserve">Introduction. Dengue fever is a vector-borne disease associated with a significant public health impact. The clinical picture ranges from undifferentiated fever to more severe forms such as dengue hemorrhagic fever (DHF) and dengue shock syndrome (DSS). Compared to healthy controls, we explored the likelihood of having vitamin D deficiency (VDD) among children with severe dengue infection. Methods. This case-control study compared hospitalized children (2 months to 12 years) with DHF and DSS with radiologically confirmed plasma leak with age-matched healthy controls. The association of 25-hydroxy vitamin D [25(OH)D] level, age, sex, and socioeconomic status with DHF/DSS was assessed using univariate and multivariate logistic regression. Results. Forty children with DHF/DSS were compared with 52 healthy controls. Mean (SD) age was 8.8 (2.9) years and 7.9 (3.7) years among cases and controls, respectively. Most (n = 28, 70%) had DHF. In multivariate logistic regression, the likelihood of having VDD [25(OH)D &lt; 20 ng/mL] was 3.6 times higher in cases compared to controls (Odds Ratio (OR): 3.65, 95% Confidence Interval (CI): 1.461, 9.102, p=0.006). When serum 25(OH)D was used as a continuous independent variable, the strength of the association between DHF/DSS and serum 25(OH)D was weak but statistically significant; the likelihood of having DHF/DSS is 0.94 times less with 1 ng/mL increase in serum 25(OH)D (OR: 0.940, 95% CI: 0.887, 0.995, p=0.03). Conclusion. The present study suggests that the likelihood of having VDD among children with DHF/DSS is higher than that in their healthy counterparts. Thus, further studies are critical in confirming whether vitamin D repletion is beneficial in preventing severe forms of dengue in the quest to reduce the morbidity and mortality associated with dengue infection.</t>
  </si>
  <si>
    <t xml:space="preserve">Sri Lanka</t>
  </si>
  <si>
    <t xml:space="preserve">Clinical data
Laboratory data</t>
  </si>
  <si>
    <t xml:space="preserve">JOURNAL OF TROPICAL MEDICINE</t>
  </si>
  <si>
    <t xml:space="preserve">[Dissanayake, Sharmila; Tennekoon, Sureshi; Gaffoor, Sharmila] Colombo South Teaching Hosp, Paediat Professorial Unit, Kalubowila, Sri Lanka; [Liyanage, Guwani] Univ Sri Jayewardenepura, Dept Paediat, Fac Med Sci, Nugegoda, Sri Lanka</t>
  </si>
  <si>
    <t xml:space="preserve">Colombo South Teaching Hospital; University Sri Jayewardenepura</t>
  </si>
  <si>
    <t xml:space="preserve">Liyanage, G (corresponding author), Univ Sri Jayewardenepura, Dept Paediat, Fac Med Sci, Nugegoda, Sri Lanka.</t>
  </si>
  <si>
    <t xml:space="preserve">sharmila_dissanayake@yahoo.com; sureshi2390@gmail.com; sharmigaffoor@gmail.com; guwani@sjp.ac.lk</t>
  </si>
  <si>
    <t xml:space="preserve">Gaffoor, Sharmila/0000-0003-0598-7767</t>
  </si>
  <si>
    <t xml:space="preserve">University of Sri Jayewardenepura, Sri Lanka [ASP/01/RE/MED/2019/53]</t>
  </si>
  <si>
    <t xml:space="preserve">University of Sri Jayewardenepura, Sri Lanka</t>
  </si>
  <si>
    <t xml:space="preserve">AcknowledgmentsThe authors acknowledge all the participants who took part in this study. This study was funded by a research grant from the University of Sri Jayewardenepura, Sri Lanka (Grant No. ASP/01/RE/MED/2019/53).</t>
  </si>
  <si>
    <t xml:space="preserve">1687-9686</t>
  </si>
  <si>
    <t xml:space="preserve">1687-9694</t>
  </si>
  <si>
    <t xml:space="preserve">J TROP MED-US</t>
  </si>
  <si>
    <t xml:space="preserve">J. Trop. Med.</t>
  </si>
  <si>
    <t xml:space="preserve">10.1155/2021/4173303</t>
  </si>
  <si>
    <t xml:space="preserve">WP5PA</t>
  </si>
  <si>
    <t xml:space="preserve">WOS:000713182200001</t>
  </si>
  <si>
    <t xml:space="preserve">Watson, JA; Taylor, AR; Ashley, EA; Dondorp, A; Buckee, CO; White, NJ; Holmes, CC</t>
  </si>
  <si>
    <t xml:space="preserve">Watson, James A.; Taylor, Aimee R.; Ashley, Elizabeth A.; Dondorp, Arjen; Buckee, Caroline O.; White, Nicholas J.; Holmes, Chris C.</t>
  </si>
  <si>
    <t xml:space="preserve">A cautionary note on the use of unsupervised machine learning algorithms to characterise malaria parasite population structure from genetic distance matrices</t>
  </si>
  <si>
    <t xml:space="preserve">Author summary Genetic epidemiology studies of malaria attempt to characterise what is happening in malaria parasite populations. In particular, they are an important tool to track the spread of drug resistance and to validate genetic makers of drug resistance. To make sense of parasite genetic data, researchers usually characterise the population structure using statistical methods. This is most often done as a two step process. The first is a data reduction step, whereby the data are summarised into a distance matrix (each entry represents the genetic distance between two isolates). The distance matrix is then input into an unsupervised machine learning algorithm. Principal coordinates analysis and hierarchical agglomerative clustering are the two most popular unsupervised machine learning algorithms used for this purpose in malaria genetic epidemiology. We highlight that this procedure is sensitive to the choice of genetic distance and to the specification of the algorithms. These unsupervised methods are useful for exploratory data analysis but cannot be used to infer historical events. We provide some guidance on how to make genetic epidemiology analyses more transparent and reproducible. Genetic surveillance of malaria parasites supports malaria control programmes, treatment guidelines and elimination strategies. Surveillance studies often pose questions about malaria parasite ancestry (e.g. how antimalarial resistance has spread) and employ statistical methods that characterise parasite population structure. Many of the methods used to characterise structure are unsupervised machine learning algorithms which depend on a genetic distance matrix, notably principal coordinates analysis (PCoA) and hierarchical agglomerative clustering (HAC). PCoA and HAC are sensitive to both the definition of genetic distance and algorithmic specification. Importantly, neither algorithm infers malaria parasite ancestry. As such, PCoA and HAC can inform (e.g. via exploratory data visualisation and hypothesis generation), but not answer comprehensively, key questions about malaria parasite ancestry. We illustrate the sensitivity of PCoA and HAC using 393Plasmodium falciparumwhole genome sequences collected from Cambodia and neighbouring regions (where antimalarial resistance has emerged and spread recently) and we provide tentative guidance for the use and interpretation of PCoA and HAC in malaria parasite genetic epidemiology. This guidance includes a call for fully transparent and reproducible analysis pipelines that feature (i) a clearly outlined scientific question; (ii) a clear justification of analytical methods used to answer the scientific question along with discussion of any inferential limitations; (iii) publicly available genetic distance matrices when downstream analyses depend on them; and (iv) sensitivity analyses. To bridge the inferential disconnect between the output of non-inferential unsupervised learning algorithms and the scientific questions of interest, tailor-made statistical models are needed to infer malaria parasite ancestry. In the absence of such models speculative reasoning should feature only as discussion but not as results.</t>
  </si>
  <si>
    <t xml:space="preserve">United Kingdom, USA</t>
  </si>
  <si>
    <t xml:space="preserve">- Thailand
- Cambodia
- Lao PDR
- Vietnam</t>
  </si>
  <si>
    <t xml:space="preserve">- Principal coordinates analysis (PCoA)
- Hierarchical agglomerative clustering (HAC)</t>
  </si>
  <si>
    <t xml:space="preserve">PLOS GENETICS</t>
  </si>
  <si>
    <t xml:space="preserve">RESISTANT PLASMODIUM-FALCIPARUM; SPREAD; TUTORIAL</t>
  </si>
  <si>
    <t xml:space="preserve">[Watson, James A.; Dondorp, Arjen; White, Nicholas J.] Mahidol Univ, Fac Trop Med, Mahidol Oxford Trop Med Res Unit, Bangkok, Thailand; [Watson, James A.; Ashley, Elizabeth A.; Dondorp, Arjen; White, Nicholas J.] Univ Oxford, Nuffield Dept Med, Ctr Trop Med &amp; Global Hlth, Oxford, England; [Taylor, Aimee R.; Buckee, Caroline O.] Harvard TH Chan Sch Publ Hlth, Dept Epidemiol, Ctr Communicable Dis Dynam, Boston, MA USA; [Taylor, Aimee R.] Broad Inst MIT &amp; Harvard, Cambridge, MA 02142 USA; [Ashley, Elizabeth A.] Lao Oxford Mahosot Hosp, Wellcome Trust Res Unit, Viangchan, Laos; [Holmes, Chris C.] Univ Oxford, Dept Stat, Oxford, England; [Holmes, Chris C.] Univ Oxford, Nuffield Dept Med, Oxford, England</t>
  </si>
  <si>
    <t xml:space="preserve">Mahidol Oxford Tropical Medicine Research Unit (MORU); Mahidol University; University of Oxford; Harvard University; Harvard T.H. Chan School of Public Health; Harvard University; Massachusetts Institute of Technology (MIT); Broad Institute; University of Oxford; University of Oxford</t>
  </si>
  <si>
    <t xml:space="preserve">Watson, JA (corresponding author), Mahidol Univ, Fac Trop Med, Mahidol Oxford Trop Med Res Unit, Bangkok, Thailand.;Watson, JA (corresponding author), Univ Oxford, Nuffield Dept Med, Ctr Trop Med &amp; Global Hlth, Oxford, England.</t>
  </si>
  <si>
    <t xml:space="preserve">White, Nick/AAC-6527-2019</t>
  </si>
  <si>
    <t xml:space="preserve">Dondorp, Arjen M/0000-0001-5190-2395; White, Nicholas/0000-0002-1897-1978; Ashley, Elizabeth/0000-0002-7620-4822</t>
  </si>
  <si>
    <t xml:space="preserve">Wellcome Trust of the United Kingdom [106698/B/14/Z]; United Kingdom Department for International Development [201900]; Wellcome Trust [098051, 206194]; Bill \AMP; Melinda Gates Foundation [OPP11188166]; Medical Research Council [G0600718]; NIGMS Maximizing Investigators' Research Award (MIRA) for Early Stage Investigators [R35GM-124715-02]</t>
  </si>
  <si>
    <t xml:space="preserve">Wellcome Trust of the United Kingdom(Wellcome Trust); United Kingdom Department for International Development; Wellcome Trust(Wellcome Trust); Bill \AMP; Melinda Gates Foundation(CGIAR); Medical Research Council(UK Research &amp; Innovation (UKRI)Medical Research Council UK (MRC)); NIGMS Maximizing Investigators' Research Award (MIRA) for Early Stage Investigators</t>
  </si>
  <si>
    <t xml:space="preserve">This study was part of the Mahidol University Oxford Tropical Medicine Research Programme funded by the Wellcome Trust of the United Kingdom (core grant 106698/B/14/Z). The clinical studies were supported by the United Kingdom Department for International Development (programme code 201900). Genotyping for this study was funded by the Wellcome Trust (098051, 206194), Bill \&amp; Melinda Gates Foundation (OPP11188166) and the Medical Research Council (G0600718). Genome sequencing was done by the Wellcome Sanger Institute (WSI). A.R.T. and C.O.B. are supported by a NIGMS Maximizing Investigators' Research Award (MIRA) for Early Stage Investigators (R35GM-124715-02). The funders had no role in study design, data collection and analysis, decision to publish, or preparation of the manuscript.</t>
  </si>
  <si>
    <t xml:space="preserve">1553-7404</t>
  </si>
  <si>
    <t xml:space="preserve">PLOS GENET</t>
  </si>
  <si>
    <t xml:space="preserve">PLoS Genet.</t>
  </si>
  <si>
    <t xml:space="preserve">e1009037</t>
  </si>
  <si>
    <t xml:space="preserve">10.1371/journal.pgen.1009037</t>
  </si>
  <si>
    <t xml:space="preserve">Genetics &amp; Heredity</t>
  </si>
  <si>
    <t xml:space="preserve">OG9MC</t>
  </si>
  <si>
    <t xml:space="preserve">WOS:000582197900001</t>
  </si>
  <si>
    <t xml:space="preserve">Delgado-Ortet, M; Molina, A; Alférez, S; Rodellar, J; Merino, A</t>
  </si>
  <si>
    <t xml:space="preserve">Delgado-Ortet, Maria; Molina, Angel; Alferez, Santiago; Rodellar, Jose; Merino, Anna</t>
  </si>
  <si>
    <t xml:space="preserve">A Deep Learning Approach for Segmentation of Red Blood Cell Images and Malaria Detection</t>
  </si>
  <si>
    <t xml:space="preserve">Malaria is an endemic life-threating disease caused by the unicellular protozoan parasites of the genusPlasmodium. Confirming the presence of parasites early in all malaria cases ensures species-specific antimalarial treatment, reducing the mortality rate, and points to other illnesses in negative cases. However, the gold standard remains the light microscopy of May-Grunwald-Giemsa (MGG)-stained thin and thick peripheral blood (PB) films. This is a time-consuming procedure, dependent on a pathologist's skills, meaning that healthcare providers may encounter difficulty in diagnosing malaria in places where it is not endemic. This work presents a novel three-stage pipeline to (1) segment erythrocytes, (2) crop and mask them, and (3) classify them into malaria infected or not. The first and third steps involved the design, training, validation and testing of a Segmentation Neural Network and a Convolutional Neural Network from scratch using a Graphic Processing Unit. Segmentation achieved a global accuracy of 93.72% over the test set and the specificity for malaria detection in red blood cells (RBCs) was 87.04%. This work shows the potential that deep learning has in the digital pathology field and opens the way for future improvements, as well as for broadening the use of the created networks.</t>
  </si>
  <si>
    <t xml:space="preserve">- Segmentation Neural Network
- Convolutional Neural Network</t>
  </si>
  <si>
    <t xml:space="preserve">- Segmentation: accuracy = 93.72% over test set
- Specificity for malaria detection in red blood cells (RBCs) = 87.04%</t>
  </si>
  <si>
    <t xml:space="preserve">ENTROPY</t>
  </si>
  <si>
    <t xml:space="preserve">deep learning; malaria detection; red blood cell (RBC) segmentation; blood cell classification; convolutional neural networks</t>
  </si>
  <si>
    <t xml:space="preserve">[Delgado-Ortet, Maria; Molina, Angel; Merino, Anna] Hosp Clin Barcelona, Biomed Diagnost Ctr, Core Lab, Biochem &amp; Mol Genet, Barcelona 08036, Spain; [Alferez, Santiago] Univ Rosario, Sch Engn Sci &amp; Technol, Appl Math &amp; Comp Sci, Bogota 111711, Colombia; [Rodellar, Jose] Tech Univ Catalonia, Dept Math, Barcelona 08019, Spain</t>
  </si>
  <si>
    <t xml:space="preserve">University of Barcelona; Hospital Clinic de Barcelona; Universidad del Rosario; Universitat Politecnica de Catalunya</t>
  </si>
  <si>
    <t xml:space="preserve">Delgado-Ortet, M; Merino, A (corresponding author), Hosp Clin Barcelona, Biomed Diagnost Ctr, Core Lab, Biochem &amp; Mol Genet, Barcelona 08036, Spain.</t>
  </si>
  <si>
    <t xml:space="preserve">mdelgaor8@alumnes.ub.edu; amolinab@clinic.cat; edwin.alferez@urosario.edu.co; jose.rodellar@upc.edu; amerino@clinic.cat</t>
  </si>
  <si>
    <t xml:space="preserve">Rodellar, Jose/0000-0002-1514-7713; Delgado-Ortet, Maria/0000-0001-6511-6221; Merino, Anna/0000-0002-1889-8889</t>
  </si>
  <si>
    <t xml:space="preserve">1099-4300</t>
  </si>
  <si>
    <t xml:space="preserve">ENTROPY-SWITZ</t>
  </si>
  <si>
    <t xml:space="preserve">Entropy</t>
  </si>
  <si>
    <t xml:space="preserve">10.3390/e22060657</t>
  </si>
  <si>
    <t xml:space="preserve">MN8CA</t>
  </si>
  <si>
    <t xml:space="preserve">WOS:000551068700001</t>
  </si>
  <si>
    <t xml:space="preserve">Ashdown, GW; Dimon, M; Fan, MJ; Terán, FSR; Witmer, K; Gaboriau, DCA; Armstrong, Z; Ando, DM; Baum, J</t>
  </si>
  <si>
    <t xml:space="preserve">Ashdown, George W.; Dimon, Michelle; Fan, Minjie; Teran, Fernando Sanchez-Roman; Witmer, Kathrin; Gaboriau, David C. A.; Armstrong, Zan; Ando, D. Michael; Baum, Jake</t>
  </si>
  <si>
    <t xml:space="preserve">A machine learning approach to define antimalarial drug action from heterogeneous cell-based screens</t>
  </si>
  <si>
    <t xml:space="preserve">Drug resistance threatens the effective prevention and treatment of an ever-increasing range of human infections. This highlights an urgent need for new and improved drugs with novel mechanisms of action to avoid cross-resistance. Current cell-based drug screens are, however, restricted to binary live/dead readouts with no provision for mechanism of action prediction. Machine learning methods are increasingly being used to improve information extraction from imaging data. These methods, however, work poorly with heterogeneous cellular phenotypes and generally require time-consuming human-led training. We have developed a semi-supervised machine learning approach, combining human- and machine- labeled training data from mixed human malaria parasite cultures. Designed for high-throughput and high-resolution screening, our semi-supervised approach is robust to natural parasite morphological heterogeneity and correctly orders parasite developmental stages. Our approach also reproducibly detects and clusters drug-induced morphological outliers by mechanism of action, demonstrating the potential power of machine learning for accelerating cell-based drug discovery.</t>
  </si>
  <si>
    <t xml:space="preserve">Semi-Supervised learning</t>
  </si>
  <si>
    <t xml:space="preserve">Deep Neural Networks (DNN)</t>
  </si>
  <si>
    <t xml:space="preserve">SCIENCE ADVANCES</t>
  </si>
  <si>
    <t xml:space="preserve">MALARIA PARASITES; QUANTIFICATION; CLASSIFICATION</t>
  </si>
  <si>
    <t xml:space="preserve">[Ashdown, George W.; Teran, Fernando Sanchez-Roman; Witmer, Kathrin; Baum, Jake] Imperial Coll London, Dept Life Sci, London, England; [Dimon, Michelle; Fan, Minjie; Armstrong, Zan; Ando, D. Michael] Google Res, Appl Sci Team, Mountain View, CA 94043 USA; [Gaboriau, David C. A.] Imperial Coll London, Facil Imaging Light Microscopy, London, England</t>
  </si>
  <si>
    <t xml:space="preserve">Imperial College London; Google Incorporated; Imperial College London</t>
  </si>
  <si>
    <t xml:space="preserve">Baum, J (corresponding author), Imperial Coll London, Dept Life Sci, London, England.;Ando, DM (corresponding author), Google Res, Appl Sci Team, Mountain View, CA 94043 USA.</t>
  </si>
  <si>
    <t xml:space="preserve">mando@google.com; jake.baum@imperial.ac.uk</t>
  </si>
  <si>
    <t xml:space="preserve">Fan, Minjie/A-4080-2019; Gaboriau, David/O-3197-2017</t>
  </si>
  <si>
    <t xml:space="preserve">Fan, Minjie/0000-0003-3422-0370; Armstrong, Zan/0000-0001-5231-7470; Gaboriau, David/0000-0003-4047-6487; Sanchez-Roman Teran, Fernando/0000-0002-6349-0620; Ashdown, George/0000-0002-7392-3995; Baum, Jake/0000-0002-0275-352X; Witmer, Kathrin/0000-0002-3159-7386</t>
  </si>
  <si>
    <t xml:space="preserve">Bill &amp; Melinda Gates Foundation [OPP1181199]; Wellcome [100993/Z/13/Z, 104931/Z/14/Z]; Bill and Melinda Gates Foundation [OPP1181199] Funding Source: Bill and Melinda Gates Foundation; Wellcome Trust [104931/Z/14/Z] Funding Source: Wellcome Trust</t>
  </si>
  <si>
    <t xml:space="preserve">Bill &amp; Melinda Gates Foundation(Bill &amp; Melinda Gates FoundationBill &amp; Melinda Gates Foundation Grand Challenges Explorations InitiativeCGIAR); Wellcome(Wellcome Trust); Bill and Melinda Gates Foundation(Bill &amp; Melinda Gates Foundation); Wellcome Trust(Wellcome Trust)</t>
  </si>
  <si>
    <t xml:space="preserve">This work was funded by a grant from the Bill &amp; Melinda Gates Foundation (OPP1181199) with additional support coming from Wellcome (Investigator Award to J.B., 100993/Z/13/Z JB). We acknowledge the Facility for Imaging by Light Microscopy (FILM) at Imperial College London, which runs a Nikon High-Content microscope platform funded by Wellcome (104931/Z/14/Z). We are indebted to J. Hazard for his leadership in managing this project from its inception. We also thank several colleagues for their help with expert labeling of data, including I. Garcia Barbazan, T. Blake, A. Churchyard, F. Dahalan, M. Wilkinson, K. Wright, and S. Yahiya.</t>
  </si>
  <si>
    <t xml:space="preserve">2375-2548</t>
  </si>
  <si>
    <t xml:space="preserve">SCI ADV</t>
  </si>
  <si>
    <t xml:space="preserve">Sci. Adv.</t>
  </si>
  <si>
    <t xml:space="preserve">eaba9338</t>
  </si>
  <si>
    <t xml:space="preserve">10.1126/sciadv.aba9338</t>
  </si>
  <si>
    <t xml:space="preserve">NX2FX</t>
  </si>
  <si>
    <t xml:space="preserve">WOS:000575531700011</t>
  </si>
  <si>
    <t xml:space="preserve">Appice, A; Gel, YR; Iliev, I; Lyubchich, V; Malerba, D</t>
  </si>
  <si>
    <t xml:space="preserve">Appice, Annalisa; Gel, Yulia R.; Iliev, Iliyan; Lyubchich, Vyacheslav; Malerba, Donato</t>
  </si>
  <si>
    <t xml:space="preserve">A Multi-Stage Machine Learning Approach to Predict Dengue Incidence: A Case Study in Mexico</t>
  </si>
  <si>
    <t xml:space="preserve">The mosquito-borne dengue fever is a major public health problem in tropical countries, where it is strongly conditioned by climate factors such as temperature. In this paper, we formulate a holistic machine learning strategy to analyze the temporal dynamics of temperature and dengue data and use this knowledge to produce accurate predictions of dengue, based on temperature on an annual scale. The temporal dynamics are extracted from historical data by utilizing a novel multi-stage combination of auto-encoding, window-based data representation and trend-based temporal clustering. The prediction is performed with a trend association-based nearest neighbour predictor. The effectiveness of the proposed strategy is evaluated in a case study that comprises the number of dengue and dengue hemorrhagic fever cases collected over the period 1985 &amp; x2013;2010 in 32 federal states of Mexico. The empirical study proves the viability of the proposed strategy and confirms that it outperforms various state-of-the-art competitor methods formulated both in regression and in time series forecasting analysis.</t>
  </si>
  <si>
    <t xml:space="preserve">Italy, USA</t>
  </si>
  <si>
    <t xml:space="preserve">Clustering; machine learning; time-series analysis; predictive analysis</t>
  </si>
  <si>
    <t xml:space="preserve">CLIMATE; MODELS; EPIDEMIC; FEVER</t>
  </si>
  <si>
    <t xml:space="preserve">[Appice, Annalisa; Malerba, Donato] Univ Bari Aldo Moro, Dept Comp Sci, I-70125 Bari, Italy; [Appice, Annalisa; Malerba, Donato] CINI, I-70125 Bari, Italy; [Gel, Yulia R.] Univ Texas Dallas, Dept Math Sci, Richardson, TX 75080 USA; [Iliev, Iliyan] Univ Southern Mississippi, Sch Social Sci &amp; Global Studies, Hattiesburg, MS 39406 USA; [Lyubchich, Vyacheslav] Univ Maryland, Ctr Environm Sci, Chesapeake Biol Lab, Solomons, MD 20688 USA</t>
  </si>
  <si>
    <t xml:space="preserve">Universita degli Studi di Bari Aldo Moro; University of Texas System; University of Texas Dallas; University of Southern Mississippi; University System of Maryland; University of Maryland Center for Environmental Science</t>
  </si>
  <si>
    <t xml:space="preserve">Appice, A (corresponding author), Univ Bari Aldo Moro, Dept Comp Sci, I-70125 Bari, Italy.;Appice, A (corresponding author), CINI, I-70125 Bari, Italy.</t>
  </si>
  <si>
    <t xml:space="preserve">annalisa.appice@uniba.it</t>
  </si>
  <si>
    <t xml:space="preserve">Appice, Annalisa/E-8191-2014; Malerba, Donato/H-3850-2012; Lyubchich, Vyacheslav/M-9516-2016</t>
  </si>
  <si>
    <t xml:space="preserve">Malerba, Donato/0000-0001-8432-4608; Lyubchich, Vyacheslav/0000-0001-7936-4285; Iliev, Iliyan/0000-0002-7592-7383</t>
  </si>
  <si>
    <t xml:space="preserve">Italian Ministry for Universities and Research (MIUR) [ARS01_00141]; NSF [IIS 1633331, DMS 1925346]</t>
  </si>
  <si>
    <t xml:space="preserve">Italian Ministry for Universities and Research (MIUR)(Ministry of Education, Universities and Research (MIUR)); NSF(National Science Foundation (NSF))</t>
  </si>
  <si>
    <t xml:space="preserve">This work was partially supported by the research project CLOSE - Close to the Earth (ID ARS01_00141) within Bando PON Ricerca e Innovazione 2014-2020 funded by the Italian Ministry for Universities and Research (MIUR). The work of Yulia R. Gel was partially supported by NSF grant numbers IIS 1633331 and NSF DMS 1925346.</t>
  </si>
  <si>
    <t xml:space="preserve">10.1109/ACCESS.2020.2980634</t>
  </si>
  <si>
    <t xml:space="preserve">LB6MS</t>
  </si>
  <si>
    <t xml:space="preserve">WOS:000524748500128</t>
  </si>
  <si>
    <t xml:space="preserve">Nakasi, R; Mwebaze, E; Zawedde, A; Tusubira, J; Akera, B; Maiga, G</t>
  </si>
  <si>
    <t xml:space="preserve">Nakasi, Rose; Mwebaze, Ernest; Zawedde, Aminah; Tusubira, Jeremy; Akera, Benjamin; Maiga, Gilbert</t>
  </si>
  <si>
    <t xml:space="preserve">A new approach for microscopic diagnosis of malaria parasites in thick blood smears using pre-trained deep learning models</t>
  </si>
  <si>
    <t xml:space="preserve">One of the deadly endemic diseases in sub-Saharan Africa is malaria. Its prevalence is promoted by lack of sufficient expertise to carry out accurate and timely diagnosis using the standard microscopy method. Where lab technicians are available, the results are usually subjective due to variations in expert judgement. To address this challenge, prompt interventions to improve disease control are needed. The emerging technologies of machine learning that can learn complex image patterns have accelerated research in medical image analysis. In this study, on a dataset of thick blood smear images, we evaluate and compare performance of three pre-trained deep learning architectures namely; faster regional convolutional neural network (faster R-CNN), single-shot multi-box detector (SSD) and RetinaNet through a Tensorflow object detection API. Data augmentation method was applied to optimise performance of the meta architectures. The possibility for mobile phone detector deployment was also investigated. The results revealed that faster R-CNN was the best trained model with a mean average precision of over 0.94 and SSD, was the best model for mobile deployment. We therefore deduce that faster R-CNN is best suited for obtaining high rates of accuracy in malaria detection while SDD is best suited for mobile deployment.</t>
  </si>
  <si>
    <t xml:space="preserve">SN APPLIED SCIENCES</t>
  </si>
  <si>
    <t xml:space="preserve">Deep learning; Malaria detection; Thick blood smear; Mobile detector</t>
  </si>
  <si>
    <t xml:space="preserve">[Nakasi, Rose; Zawedde, Aminah; Tusubira, Jeremy; Akera, Benjamin; Maiga, Gilbert] Makerere Univ, Coll Comp &amp; Informat Sci, Kampala, Uganda; [Mwebaze, Ernest] Makerere Al Res, Kampala, Uganda</t>
  </si>
  <si>
    <t xml:space="preserve">Makerere University</t>
  </si>
  <si>
    <t xml:space="preserve">Nakasi, R (corresponding author), Makerere Univ, Coll Comp &amp; Informat Sci, Kampala, Uganda.</t>
  </si>
  <si>
    <t xml:space="preserve">g.nakasirose@gmail.com</t>
  </si>
  <si>
    <t xml:space="preserve">Nakasi, Rose/0009-0000-3009-1829</t>
  </si>
  <si>
    <t xml:space="preserve">Swedish International Development Cooperation Agency (SIDA); Makerere University under SIDA [51180060, STD0404]; European and Developing Countries Clinical Trials Partnership (EDCTP2) programme by the European Union</t>
  </si>
  <si>
    <t xml:space="preserve">Swedish International Development Cooperation Agency (SIDA); Makerere University under SIDA; European and Developing Countries Clinical Trials Partnership (EDCTP2) programme by the European Union</t>
  </si>
  <si>
    <t xml:space="preserve">The first author of this study is funded in part by the Swedish International Development Cooperation Agency (SIDA) and Makerere University under SIDA Contribution No. 51180060 as student STD0404. The Grant is part of the European and Developing Countries Clinical Trials Partnership (EDCTP2) programme supported by the European Union. The authors would like to appreciate for the funding.</t>
  </si>
  <si>
    <t xml:space="preserve">2523-3963</t>
  </si>
  <si>
    <t xml:space="preserve">2523-3971</t>
  </si>
  <si>
    <t xml:space="preserve">SN APPL SCI</t>
  </si>
  <si>
    <t xml:space="preserve">SN Appl. Sci.</t>
  </si>
  <si>
    <t xml:space="preserve">JUN 20</t>
  </si>
  <si>
    <t xml:space="preserve">10.1007/s42452-020-3000-0</t>
  </si>
  <si>
    <t xml:space="preserve">MC6CX</t>
  </si>
  <si>
    <t xml:space="preserve">WOS:000543373600003</t>
  </si>
  <si>
    <t xml:space="preserve">Hu, JH; Liu, J; Liang, P; Li, B</t>
  </si>
  <si>
    <t xml:space="preserve">Hu, Junhua; Liu, Jie; Liang, Pei; Li, Bo</t>
  </si>
  <si>
    <t xml:space="preserve">A novel method based on convolutional neural network for malaria diagnosis</t>
  </si>
  <si>
    <t xml:space="preserve">Malaria is one of the three major diseases with the highest mortality worldwide and can turn fatal if not taken seriously. The key to surviving this disease is its early diagnosis. However, manual diagnosis is time consuming and tedious due to the large amount of image data. Generally, computer-aided diagnosis can effectively improve doctors' perception and accuracy. This paper presents a medical diagnosis method powered by convolutional neural network (CNN) to extract features from images and improve early detection of malaria. The image sharpening and histogram equalization method are used aiming at enlarging the difference between parasitized regions and other area. Dropout technology is employed in every convolutional layer to reduce overfitting in the network, which is proved to be effective. The proposed CNN model achieves a significant performance with the best classification accuracy of 99.98%. Moreover, this paper compares the proposed model with the pretrained CNNs and other traditional algorithms. The results indicate the proposed model can achieve state-of-the-art performance from multiple metrics. In general, the novelty of this work is the reduction of the CNN structure to only five layers, thereby greatly reducing the running time and the number of parameters, which is demonstrated in the experiments. Furthermore, the proposed model can assist clinicians to accurately diagnose the malaria disease.</t>
  </si>
  <si>
    <t xml:space="preserve">Convolutional neural network (CNN)</t>
  </si>
  <si>
    <t xml:space="preserve">Accuracy = 99.98%</t>
  </si>
  <si>
    <t xml:space="preserve">JOURNAL OF INTELLIGENT &amp; FUZZY SYSTEMS</t>
  </si>
  <si>
    <t xml:space="preserve">Medical diagnosis; computer-aided diagnosis; deep learning; convolutional neural network; malaria</t>
  </si>
  <si>
    <t xml:space="preserve">HISTOGRAM EQUALIZATION</t>
  </si>
  <si>
    <t xml:space="preserve">[Hu, Junhua; Liu, Jie; Liang, Pei; Li, Bo] Cent South Univ, Sch Business, Changsha 410083, Peoples R China</t>
  </si>
  <si>
    <t xml:space="preserve">Liang, P (corresponding author), Cent South Univ, Sch Business, Changsha 410083, Peoples R China.</t>
  </si>
  <si>
    <t xml:space="preserve">shirleylp@csu.edu.cn</t>
  </si>
  <si>
    <t xml:space="preserve">1064-1246</t>
  </si>
  <si>
    <t xml:space="preserve">1875-8967</t>
  </si>
  <si>
    <t xml:space="preserve">J INTELL FUZZY SYST</t>
  </si>
  <si>
    <t xml:space="preserve">J. Intell. Fuzzy Syst.</t>
  </si>
  <si>
    <t xml:space="preserve">10.3233/JIFS-201427</t>
  </si>
  <si>
    <t xml:space="preserve">PA3FO</t>
  </si>
  <si>
    <t xml:space="preserve">WOS:000595520600144</t>
  </si>
  <si>
    <t xml:space="preserve">Nahid, AA; Sikder, N; Bairagi, AK; Razzaque, MA; Masud, M; Kouzani, AZ; Mahmud, MAP</t>
  </si>
  <si>
    <t xml:space="preserve">Nahid, Abdullah-Al; Sikder, Niloy; Bairagi, Anupam Kumar; Razzaque, Md Abdur; Masud, Mehedi; Kouzani, Abbas Z.; Mahmud, M. A. Parvez</t>
  </si>
  <si>
    <t xml:space="preserve">A Novel Method to Identify Pneumonia through Analyzing Chest Radiographs Employing a Multichannel Convolutional Neural Network</t>
  </si>
  <si>
    <t xml:space="preserve">Pneumonia is a virulent disease that causes the death of millions of people around the world. Every year it kills more children than malaria, AIDS, and measles combined and it accounts for approximately one in five child-deaths worldwide. The invention of antibiotics and vaccines in the past century has notably increased the survival rate of Pneumonia patients. Currently, the primary challenge is to detect the disease at an early stage and determine its type to initiate the appropriate treatment. Usually, a trained physician or a radiologist undertakes the task of diagnosing Pneumonia by examining the patient's chest X-ray. However, the number of such trained individuals is nominal when compared to the 450 million people who get affected by Pneumonia every year. Fortunately, this challenge can be met by introducing modern computers and improved Machine Learning techniques in Pneumonia diagnosis. Researchers have been trying to develop a method to automatically detect Pneumonia using machines by analyzing and the symptoms of the disease and chest radiographic images of the patients for the past two decades. However, with the development of cogent Deep Learning algorithms, the formation of such an automatic system is very much within the realms of possibility. In this paper, a novel diagnostic method has been proposed while using Image Processing and Deep Learning techniques that are based on chest X-ray images to detect Pneumonia. The method has been tested on a widely used chest radiography dataset, and the obtained results indicate that the model is very much potent to be employed in an automatic Pneumonia diagnosis scheme.</t>
  </si>
  <si>
    <t xml:space="preserve">Bangladesh, Saudi Arabia, Australia</t>
  </si>
  <si>
    <t xml:space="preserve">pneumonia; chest radiograph; medical image processing; deep learning</t>
  </si>
  <si>
    <t xml:space="preserve">COMPUTER-AIDED DIAGNOSIS; CLASSIFICATION; IMAGES</t>
  </si>
  <si>
    <t xml:space="preserve">[Nahid, Abdullah-Al] Khulna Univ, Elect &amp; Commun Engn Discipline, Khulna 9208, Bangladesh; [Sikder, Niloy; Bairagi, Anupam Kumar] Khulna Univ, Comp Sci &amp; Engn Discipline, Khulna 9208, Bangladesh; [Razzaque, Md Abdur] Univ Dhaka, Dept Comp Sci &amp; Engn, Dhaka 1000, Bangladesh; [Masud, Mehedi] Taif Univ, Dept Comp Sci, At Taif 21944, Saudi Arabia; [Kouzani, Abbas Z.; Mahmud, M. A. Parvez] Deakin Univ, Sch Engn, Geelong, Vic 3216, Australia</t>
  </si>
  <si>
    <t xml:space="preserve">Khulna University; Khulna University; University of Dhaka; Taif University; Deakin University</t>
  </si>
  <si>
    <t xml:space="preserve">Nahid, AA (corresponding author), Khulna Univ, Elect &amp; Commun Engn Discipline, Khulna 9208, Bangladesh.</t>
  </si>
  <si>
    <t xml:space="preserve">nahid.ece.ku@ku.ac.bd; niloysikder333@gmail.com; anupam@khu.ac.kr; razzaque@du.ac.bd; mmasud@tu.edu.sa; abbas.kouzani@deakin.edu.au; m.a.mahmud@deakin.edu.au</t>
  </si>
  <si>
    <t xml:space="preserve">Mahmud, M A Parvez/JPK-8076-2023; Masud, Mehedi/AAZ-7022-2020; Bairagi, Anupam/AAT-2697-2021; Nahid, Abdullah-Al/J-4772-2019; Sikder, Niloy/AAM-6728-2020</t>
  </si>
  <si>
    <t xml:space="preserve">Masud, Mehedi/0000-0001-6019-7245; Razzaque, Md. Abdur/0000-0002-2542-1923; Kouzani, Abbas Z./0000-0002-6292-1214; Bairagi, Anupam Kumar/0000-0003-1639-1301; Sikder, Niloy/0000-0002-9016-6105; Mahmud, M A Parvez/0000-0002-1905-6800; Nahid, Abdullah-Al/0000-0003-2391-5767</t>
  </si>
  <si>
    <t xml:space="preserve">10.3390/s20123482</t>
  </si>
  <si>
    <t xml:space="preserve">MQ7ZV</t>
  </si>
  <si>
    <t xml:space="preserve">WOS:000553114100001</t>
  </si>
  <si>
    <t xml:space="preserve">Umer, M; Sadiq, S; Ahmad, M; Ullah, S; Choi, GS; Mehmood, A</t>
  </si>
  <si>
    <t xml:space="preserve">Umer, Muhammad; Sadiq, Saima; Ahmad, Muhammad; Ullah, Saleem; Choi, Gyu Sang; Mehmood, Arif</t>
  </si>
  <si>
    <t xml:space="preserve">A Novel Stacked CNN for Malarial Parasite Detection in Thin Blood Smear Images</t>
  </si>
  <si>
    <t xml:space="preserve">Malaria refers to a contagious mosquito-borne disease caused by parasite genus plasmodium transmitted by mosquito female Anopheles. As infected mosquito bites a person, the parasite multiplies in the host &amp; x2019;s liver and start destroying the red-cells. The disease is examined visually under the microscope for infected red-cells. This diagnosis depends upon the expertise and experience of pathologists and reports may vary in different laboratories doing a manual examination. Another way around, many machine learning techniques have been applied for spontaneous detection of blood smears. However, feature engineering is a challenging task that requires expertise to adjust positional and morphological features. Therefore, this study proposes a novel Stacked Convolutional Neural Network architecture that improves the automatic detection of malaria without considering the hand-crafted features. The 5-fold cross-validation process on 27, 558 cell images with equal instances of parasitized and uninfected cells on a publicly available dataset from the National Institute of health, the accuracy of our proposed model is 99.98 &amp; x0025;. Furthermore, the statistical results revealed that the proposed model is superior to the state-of-the-art models with 100 &amp; x0025; precision, 99.9 &amp; x0025; recall, and 99 &amp; x0025; f1-measure.</t>
  </si>
  <si>
    <t xml:space="preserve">Pakistan, Italy, South Korea</t>
  </si>
  <si>
    <t xml:space="preserve">Accuracy = 99.98%
Precision = 100%
Recall 99.9% 
 F1-measure = 99%</t>
  </si>
  <si>
    <t xml:space="preserve">Diseases; Blood; Feature extraction; Sensitivity; Machine learning; Computer architecture; Support vector machines; Convolutional neural network (CNN); Malaria; blood smear images; deep learning; diagnostic approach</t>
  </si>
  <si>
    <t xml:space="preserve">NEURAL-NETWORKS; CLASSIFICATION; RECOGNITION; DELAY</t>
  </si>
  <si>
    <t xml:space="preserve">[Umer, Muhammad; Sadiq, Saima; Ullah, Saleem] Khwaja Fareed Univ Engn &amp; Informat Technol, Dept Comp Sci, Rahim Yar Khan 64200, Pakistan; [Ahmad, Muhammad] Khwaja Fareed Univ Engn &amp; Informat Technol KFUEIT, Dept Comp Engn, Rahim Yar Khan 64200, Pakistan; [Ahmad, Muhammad] Univ Messina, Dipartimento Matemat &amp; Informat MIFT, I-98122 Messina, Italy; [Choi, Gyu Sang] Yeungnam Univ, Dept Informat &amp; Commun Engn, Gyongsan 38542, South Korea; [Mehmood, Arif] Islamia Univ Bahawalpur, Dept Comp Sci &amp; Informat Technol, Bahawalpur 63100, Pakistan</t>
  </si>
  <si>
    <t xml:space="preserve">Khwaja Fareed University of Engineering &amp; Information Technology, Pakistan; Khwaja Fareed University of Engineering &amp; Information Technology, Pakistan; University of Messina; Yeungnam University; Islamia University of Bahawalpur</t>
  </si>
  <si>
    <t xml:space="preserve">Ahmad, M (corresponding author), Khwaja Fareed Univ Engn &amp; Informat Technol KFUEIT, Dept Comp Engn, Rahim Yar Khan 64200, Pakistan.;Ahmad, M (corresponding author), Univ Messina, Dipartimento Matemat &amp; Informat MIFT, I-98122 Messina, Italy.;Choi, GS (corresponding author), Yeungnam Univ, Dept Informat &amp; Commun Engn, Gyongsan 38542, South Korea.;Mehmood, A (corresponding author), Islamia Univ Bahawalpur, Dept Comp Sci &amp; Informat Technol, Bahawalpur 63100, Pakistan.</t>
  </si>
  <si>
    <t xml:space="preserve">mahmad00@gmail.com; castchoi@ynu.ac.kr; arifnhmp@gmail.com</t>
  </si>
  <si>
    <t xml:space="preserve">Ahmad, Muhammad/X-6113-2019; Umer, Muhammad/AAX-4594-2020; Ullah, Saleem/Y-6891-2019; Ullah, Dr. Saleem/D-2644-2014</t>
  </si>
  <si>
    <t xml:space="preserve">Ahmad, Muhammad/0000-0002-3320-2261; Ullah, Dr. Saleem/0000-0003-3747-1263; Sadiq, Saima/0000-0002-2611-3738; Umer, Muhammad/0000-0002-6015-9326</t>
  </si>
  <si>
    <t xml:space="preserve">National Research Foundation of Korea (NRF) through the Basic Science Research Program - Ministry of Education [NRF-2019R1A2C1006159]; Ministry of Science and ICT (MSIT), South Korea, through the Information Technology Research Center (ITRC) Support Program [IITP-2020-2016-0-00313]; National Research Foundation of Korea (NRF) through The Brain Korea 21 Plus Program [22A20130012814]; Fareed Computing Research Center, Department of Computer Science under Khwaja Fareed University of Engineering and Information Technology (KFUEIT), Punjab, Rahim Yar Khan, Pakistan</t>
  </si>
  <si>
    <t xml:space="preserve">National Research Foundation of Korea (NRF) through the Basic Science Research Program - Ministry of Education(Ministry of Education (MOE), Republic of KoreaNational Research Foundation of Korea); Ministry of Science and ICT (MSIT), South Korea, through the Information Technology Research Center (ITRC) Support Program(Ministry of Science &amp; ICT (MSIT), Republic of Korea); National Research Foundation of Korea (NRF) through The Brain Korea 21 Plus Program(National Research Foundation of Korea); Fareed Computing Research Center, Department of Computer Science under Khwaja Fareed University of Engineering and Information Technology (KFUEIT), Punjab, Rahim Yar Khan, Pakistan</t>
  </si>
  <si>
    <t xml:space="preserve">This work was supported in part by the National Research Foundation of Korea (NRF) through the Basic Science Research Program funded by the Ministry of Education under Grant NRF-2019R1A2C1006159, in part by the Ministry of Science and ICT (MSIT), South Korea, through the Information Technology Research Center (ITRC) Support Program supervised by the Institute for Information and Communications Technology Promotion (IITP), under Grant IITP-2020-2016-0-00313, in part by the National Research Foundation of Korea (NRF) through The Brain Korea 21 Plus Program, under Grant 22A20130012814, and in part by the Fareed Computing Research Center, Department of Computer Science under Khwaja Fareed University of Engineering and Information Technology (KFUEIT), Punjab, Rahim Yar Khan, Pakistan.</t>
  </si>
  <si>
    <t xml:space="preserve">10.1109/ACCESS.2020.2994810</t>
  </si>
  <si>
    <t xml:space="preserve">LZ3IP</t>
  </si>
  <si>
    <t xml:space="preserve">WOS:000541121800064</t>
  </si>
  <si>
    <t xml:space="preserve">Quan, Q; Wang, JX; Liu, LL</t>
  </si>
  <si>
    <t xml:space="preserve">Quan, Quan; Wang, Jianxin; Liu, Liangliang</t>
  </si>
  <si>
    <t xml:space="preserve">An Effective Convolutional Neural Network for Classifying Red Blood Cells in Malaria Diseases</t>
  </si>
  <si>
    <t xml:space="preserve">Malaria is one of the epidemics that can cause human death. Accurate and rapid diagnosis of malaria is important for treatment. Due to the limited number of data and human factors, the prediction performance and reliability of traditional classification methods are often affected. In this study, we propose an efficient and novel classification network named Attentive Dense Circular Net (ADCN) which based on Convolutional Neural Networks (CNN). The ADCN is inspired by the ideas of residual and dense networks and combines with the attention mechanism. We train and evaluate our proposed model on a publicly available red blood cells (RBC) dataset and compare ADCN with several well-established CNN models. Compared to other best performing CNN model in our experiments, ADCN shows superiority in all performance criteria such as accuracy (97.47% vs 94.61%), sensitivity (97.86% vs 95.20%) and specificity (97.07% vs 92.87%). Finally, we discuss the obtained results and analyze the difficulties of RBCs classification.</t>
  </si>
  <si>
    <t xml:space="preserve">Attentive Dense Circular Net (ADCN) based on CNN</t>
  </si>
  <si>
    <t xml:space="preserve">ADCN vs CNN
- Accuracy (97.47% vs 94.61%)
- Sensitivity (97.86% vs 95.20%)
- Specificity (97.07% vs 92.87%)</t>
  </si>
  <si>
    <t xml:space="preserve">INTERDISCIPLINARY SCIENCES-COMPUTATIONAL LIFE SCIENCES</t>
  </si>
  <si>
    <t xml:space="preserve">Malaria; Convolutional neural networks; Classification; Red blood cell</t>
  </si>
  <si>
    <t xml:space="preserve">CUTANEOUS-LYMPHOMAS ISCL; MYCOSIS-FUNGOIDES; SEZARY-SYNDROME; TASK-FORCE; CLASSIFICATION; ALGORITHM; SELECTION; PARASITES; PROPOSAL</t>
  </si>
  <si>
    <t xml:space="preserve">[Quan, Quan; Wang, Jianxin; Liu, Liangliang] Cent South Univ, Sch Comp Sci &amp; Engn, Changsha 410083, Peoples R China; [Liu, Liangliang] Pingdingshan Univ, Dept Network Ctr, Pingdingshan 467000, Peoples R China</t>
  </si>
  <si>
    <t xml:space="preserve">Central South University; Pingdingshan University</t>
  </si>
  <si>
    <t xml:space="preserve">Liu, LL (corresponding author), Cent South Univ, Sch Comp Sci &amp; Engn, Changsha 410083, Peoples R China.;Liu, LL (corresponding author), Pingdingshan Univ, Dept Network Ctr, Pingdingshan 467000, Peoples R China.</t>
  </si>
  <si>
    <t xml:space="preserve">174612279@csu.edu.cn; jxwang@mail.csu.edu.cn; liuliang_double@csu.edu.cn</t>
  </si>
  <si>
    <t xml:space="preserve">Wang, Jianxin/AAM-4441-2020; QUAN, QI/LDG-0376-2024</t>
  </si>
  <si>
    <t xml:space="preserve">National Natural Science Foundation of China [61772557, 61772552]; 111 Project [B18059]; Hunan Provincial Science and Technology Program [2018 WK4001]</t>
  </si>
  <si>
    <t xml:space="preserve">National Natural Science Foundation of China(National Natural Science Foundation of China (NSFC)); 111 Project(Ministry of Education, China - 111 Project); Hunan Provincial Science and Technology Program</t>
  </si>
  <si>
    <t xml:space="preserve">This work was supported by the National Natural Science Foundation of China under grants No. 61772557, No. 61772552; the 111 Project (No. B18059); and the Hunan Provincial Science and Technology Program (2018 WK4001). This paper was recommended by CBC2019.</t>
  </si>
  <si>
    <t xml:space="preserve">1913-2751</t>
  </si>
  <si>
    <t xml:space="preserve">1867-1462</t>
  </si>
  <si>
    <t xml:space="preserve">INTERDISCIP SCI</t>
  </si>
  <si>
    <t xml:space="preserve">Interdiscip. Sci.</t>
  </si>
  <si>
    <t xml:space="preserve">10.1007/s12539-020-00367-7</t>
  </si>
  <si>
    <t xml:space="preserve">MAY 2020</t>
  </si>
  <si>
    <t xml:space="preserve">LQ3CJ</t>
  </si>
  <si>
    <t xml:space="preserve">WOS:000531739900001</t>
  </si>
  <si>
    <t xml:space="preserve">Kuo, PC; Cheng, HY; Chen, PF; Liu, YL; Kang, MT; Kuo, MC; Hsu, SF; Lu, HJ; Hong, S; Su, CH; Liu, DP; Tu, YC; Chuang, JH</t>
  </si>
  <si>
    <t xml:space="preserve">Kuo, Po-Chen; Cheng, Hao-Yuan; Chen, Pi-Fang; Liu, Yu-Lun; Kang, Martin; Kuo, Min-Chu; Hsu, Shih-Fen; Lu, Hsin-Jung; Hong, Stefan; Su, Chan-Hung; Liu, Ding-Ping; Tu, Yi-Chin; Chuang, Jen-Hsiang</t>
  </si>
  <si>
    <t xml:space="preserve">Assessment of Expert-Level Automated Detection of Plasmodium falciparum in Digitized Thin Blood Smear Images</t>
  </si>
  <si>
    <t xml:space="preserve">This diagnostic study assesses an expert-level detection algorithm for Plasmodium falciparum, a bacteria that causes malaria, using a publicly available benchmark image data set. Question Can deep learning be used to develop an automated malaria detection algorithm? Findings In this diagnostic study that used a 1-stage deep learning framework and benchmark data sets, the malaria detection algorithm achieved expert-level performance in detecting Plasmodium falciparum in thin blood smear images. The comparable performance between the algorithm and human experts was confirmed by a clinical validation study at the cell level and the image level. Meaning The findings suggest that a clinically validated expert-level malaria detection algorithm could be used to accelerate the development of clinically applicable automated malaria diagnostics. Importance Decades of effort have been devoted to establishing an automated microscopic diagnosis of malaria, but there are challenges in achieving expert-level performance in real-world clinical settings because publicly available annotated data for benchmark and validation are required. Objective To assess an expert-level malaria detection algorithm using a publicly available benchmark image data set. Design, Setting, and Participants In this diagnostic study, clinically validated malaria image data sets, the Taiwan Images for Malaria Eradication (TIME), were created by digitizing thin blood smears acquired from patients with malaria selected from the biobank of the Taiwan Centers for Disease Control from January 1, 2003, to December 31, 2018. These smear images were annotated by 4 clinical laboratory scientists who worked in medical centers in Taiwan and trained for malaria microscopic diagnosis at the national reference laboratory of the Taiwan Centers for Disease Control. With TIME, a convolutional neural network-based object detection algorithm was developed for identification of malaria-infected red blood cells. A diagnostic challenge using another independent data set within TIME was performed to compare the algorithm performance against that of human experts as clinical validation. Main Outcomes and Measures Performance on detecting Plasmodium falciparum-infected blood cells was measured by average precision, and performance on detecting P falciparum infection at the image level was measured using sensitivity, specificity, and area under the receiver operating characteristic curve (AUC). Results The TIME data sets contained 8145 images of 36 blood smears from patients with suspected malaria (30 P falciparum-positive and 6 P falciparum-negative smears) that had reliable annotations. For clinical validation, the average precision was 0.885 for detecting P falciparum-infected blood cells and 0.838 for ring form. For detecting P falciparum infection on blood smear images, the algorithm had expert-level performance (sensitivity, 0.995; specificity, 0.900; AUC, 0.997 [95% CI, 0.993-0.999]), especially in detecting ring form (sensitivity, 0.968; specificity, 0.960; AUC, 0.995 [95% CI, 0.990-0.998]) compared with experienced microscopists (mean sensitivity, 0.995 [95% CI, 0.993-0.998]; mean specificity, 0.955 [95% CI, 0.885-1.000]). Conclusions and Relevance The findings suggest that a clinically validated expert-level malaria detection algorithm can be developed by using reliable data sets.</t>
  </si>
  <si>
    <t xml:space="preserve">Malaria </t>
  </si>
  <si>
    <t xml:space="preserve">JAMA NETWORK OPEN</t>
  </si>
  <si>
    <t xml:space="preserve">AMER MEDICAL ASSOC</t>
  </si>
  <si>
    <t xml:space="preserve">[Kuo, Po-Chen; Kang, Martin; Hong, Stefan; Su, Chan-Hung; Tu, Yi-Chin] Taiwan AI Labs, 6F 70,Sect 1,Chengde Rd, Taipei 103, Taiwan; [Cheng, Hao-Yuan; Chen, Pi-Fang; Liu, Yu-Lun; Kuo, Min-Chu; Hsu, Shih-Fen; Lu, Hsin-Jung; Liu, Ding-Ping; Chuang, Jen-Hsiang] Taiwan Ctr Dis Control, 9F 6,Linsen South Rd, Taipei 100, Taiwan; [Liu, Ding-Ping] Natl Taipei Univ Nursing &amp; Hlth Sci, Taipei, Taiwan; [Chuang, Jen-Hsiang] Natl Yang Ming Univ, Taipei, Taiwan</t>
  </si>
  <si>
    <t xml:space="preserve">National Taipei University of Nursing &amp; Health Science (NTUNHS); National Yang Ming Chiao Tung University</t>
  </si>
  <si>
    <t xml:space="preserve">Tu, YC (corresponding author), Taiwan AI Labs, 6F 70,Sect 1,Chengde Rd, Taipei 103, Taiwan.;Chuang, JH (corresponding author), Taiwan Ctr Dis Control, 9F 6,Linsen South Rd, Taipei 100, Taiwan.</t>
  </si>
  <si>
    <t xml:space="preserve">ptt@ailabs.tw; jhchuang@cdc.gov.tw</t>
  </si>
  <si>
    <t xml:space="preserve">Cheng, Hao-Yuan/ABH-9025-2020; Chuang, Jen-Hsiang/G-4356-2010</t>
  </si>
  <si>
    <t xml:space="preserve">Chuang, Jen-Hsiang/0000-0002-7114-3418; Liu, Ding-Ping/0000-0002-8596-3572; Kuo, Po-Chen/0000-0001-6151-6404</t>
  </si>
  <si>
    <t xml:space="preserve">CHICAGO</t>
  </si>
  <si>
    <t xml:space="preserve">330 N WABASH AVE, STE 39300, CHICAGO, IL 60611-5885 USA</t>
  </si>
  <si>
    <t xml:space="preserve">2574-3805</t>
  </si>
  <si>
    <t xml:space="preserve">JAMA NETW OPEN</t>
  </si>
  <si>
    <t xml:space="preserve">JAMA Netw. Open</t>
  </si>
  <si>
    <t xml:space="preserve">e200206</t>
  </si>
  <si>
    <t xml:space="preserve">10.1001/jamanetworkopen.2020.0206</t>
  </si>
  <si>
    <t xml:space="preserve">KS9IT</t>
  </si>
  <si>
    <t xml:space="preserve">WOS:000518622400009</t>
  </si>
  <si>
    <t xml:space="preserve">Chowdhury, AB; Roberson, J; Hukkoo, A; Bodapati, S; Cappelleri, D</t>
  </si>
  <si>
    <t xml:space="preserve">Chowdhury, Arindam B.; Roberson, Jeremy; Hukkoo, Ajat; Bodapati, Srinivas; Cappelleri, David</t>
  </si>
  <si>
    <t xml:space="preserve">Automated Complete Blood Cell Count and Malaria Pathogen Detection Using Convolution Neural Network</t>
  </si>
  <si>
    <t xml:space="preserve">Complete blood cell count, which indicates the density of different blood cells in the human body is extremely important for evaluating the overall health of a person and also for detecting a wide range of disorders, including anemia, infection and leukemia. Hence, automating this task will not only increase the speed of diagnosis, but also lower the overall treatment cost. In this paper, we focus on using a convolution neural network to perform this complete blood cell count on blood smear images. The network is also trained to detect malarial pathogens in the blood, if present. Experiments show that the overall performance of the system has a mean average precision of over 0.95 when compared with the ground-truth. Furthermore, the system predicts the images containing malarial parasites as infected 100% of the time. The software is also ported to a low cost microcomputer for rapid prototyping.</t>
  </si>
  <si>
    <t xml:space="preserve">Convolution neural network (CNN)</t>
  </si>
  <si>
    <t xml:space="preserve">- Mean average precision of over 0.95</t>
  </si>
  <si>
    <t xml:space="preserve">IEEE ROBOTICS AND AUTOMATION LETTERS</t>
  </si>
  <si>
    <t xml:space="preserve">Automation in life sciences: Biotechnology; pharmaceutical and health care; medical robots and systems; deep learning in robotics and automation</t>
  </si>
  <si>
    <t xml:space="preserve">[Chowdhury, Arindam B.; Cappelleri, David] Purdue Univ, Sch Mech Engn, Multiscale Robot &amp; Automat Lab, W Lafayette, IN 47907 USA; [Chowdhury, Arindam B.] USAIntel Corp, Santa Clara, CA 95054 USA; [Roberson, Jeremy; Hukkoo, Ajat; Bodapati, Srinivas] Intel Corp, Santa Clara, CA 95054 USA</t>
  </si>
  <si>
    <t xml:space="preserve">Purdue University System; Purdue University; Intel Corporation; Intel USA</t>
  </si>
  <si>
    <t xml:space="preserve">Chowdhury, AB (corresponding author), Purdue Univ, Sch Mech Engn, Multiscale Robot &amp; Automat Lab, W Lafayette, IN 47907 USA.</t>
  </si>
  <si>
    <t xml:space="preserve">abhanjac@purdue.edu; jeremy.roberson@intel.com; ajat.hukkoo@intel.com; srinivas.bodapati@intel.com; dcappell@purdue.edu</t>
  </si>
  <si>
    <t xml:space="preserve">Bhanja Chowdury, Arindam/AAZ-3135-2021</t>
  </si>
  <si>
    <t xml:space="preserve">Bhanja Chowdhury, Arindam/0000-0002-3012-7120</t>
  </si>
  <si>
    <t xml:space="preserve">Intel Corporation</t>
  </si>
  <si>
    <t xml:space="preserve">Intel Corporation(Intel Corporation)</t>
  </si>
  <si>
    <t xml:space="preserve">This work was supported by Intel Corporation.</t>
  </si>
  <si>
    <t xml:space="preserve">2377-3766</t>
  </si>
  <si>
    <t xml:space="preserve">IEEE ROBOT AUTOM LET</t>
  </si>
  <si>
    <t xml:space="preserve">IEEE Robot. Autom. Lett.</t>
  </si>
  <si>
    <t xml:space="preserve">10.1109/LRA.2020.2967290</t>
  </si>
  <si>
    <t xml:space="preserve">Robotics</t>
  </si>
  <si>
    <t xml:space="preserve">KJ1SG</t>
  </si>
  <si>
    <t xml:space="preserve">WOS:000511836600001</t>
  </si>
  <si>
    <t xml:space="preserve">Depickère, S; Ravelo-García, AG; Lardeux, F</t>
  </si>
  <si>
    <t xml:space="preserve">Depickere, Stephanie; Ravelo-Garcia, Antonio G.; Lardeux, Frederic</t>
  </si>
  <si>
    <t xml:space="preserve">Chagas disease vectors identification using visible and near-infrared spectroscopy</t>
  </si>
  <si>
    <t xml:space="preserve">Chagas disease, caused by the parasite Trypanosoma cruzi, is widespread in Latin America, where the disease remains one of the major public health problems. This condition is mostly transmitted by triatomines which are haematophagous insects all their life. With 154 species described in the world, the correct determination of the species involved in the transmission is crucial to develop efficient control strategies. This can be achieved by taxonomic keys (available only for adult stages, nymphal instars must be reared), or by molecular techniques. Both are time and/or money consuming, showing the needs of new identification tools, especially for nymphal instars which are the most frequently found on the field. Visible and near-infrared spectroscopy (VIS-NIR), used successfully these last years in various organisms' determination, was applied on a sample of three species from Bolivia: Triatoma infestans, Triatoma sordida and Triatoma guasayana. The spectrum of the dorsal part of the head from nymphal instars and adult stages was taken for each specimen of each species. Different methods of preprocessing and selection of variables (wavelengths) were tested to find the best model of classification for the three species. Each model was evaluated by different indices: accuracy, specificity, and F1 score. The comparison of the performance of each model evidenced that the best results were obtained when using a short spectrum (400-2000 nm) without pre-processing. A total of 32 components were retained by tuning, and 933 wavelengths were kept by the backward feature selection algorithm. Applying it on a new sample of insects, this model showed a global accuracy of 97.2% (95.0-98.6). The F1 score was greater than 0.95, and the specificity greater than 0.94 for all the species. For the first time, a tool is available to quickly identify and with a high accuracy nymphal instars and adults of triatomines.</t>
  </si>
  <si>
    <t xml:space="preserve">Bolivia, Spain, France</t>
  </si>
  <si>
    <t xml:space="preserve">Bolivia</t>
  </si>
  <si>
    <t xml:space="preserve">Accuracy of 97.2% (95.0–98.6)</t>
  </si>
  <si>
    <t xml:space="preserve">CHEMOMETRICS AND INTELLIGENT LABORATORY SYSTEMS</t>
  </si>
  <si>
    <t xml:space="preserve">Species determination; Triatominae; Chagas disease; Machine learning; Classification; VIS-NIRS</t>
  </si>
  <si>
    <t xml:space="preserve">HEMIPTERA REDUVIIDAE TRIATOMINAE; BRASILIENSIS SPECIES COMPLEX; AGE; INFESTANS; SORDIDA; ORIGIN; REVALIDATION; REGRESSION; GUASAYANA; RHODNIUS</t>
  </si>
  <si>
    <t xml:space="preserve">[Depickere, Stephanie] Univ Mayor San Andres, Inst Invest Fis, Campus Univ Cota Cota,Calle 27, La Paz, Bolivia; [Ravelo-Garcia, Antonio G.] Univ Las Palmas Gran Canaria, Inst Univ Desarrollo Tecnol &amp; Innovac Comunicac I, Las Palmas Gran Canaria 35017, Spain; [Lardeux, Frederic] UMR MIVEGEC, IRD, 911 Ave Agropolis, F-34394 Montpellier, France</t>
  </si>
  <si>
    <t xml:space="preserve">Universidad Mayor de San Andres; Universidad de Las Palmas de Gran Canaria; Universite de Montpellier; Institut de Recherche pour le Developpement (IRD)</t>
  </si>
  <si>
    <t xml:space="preserve">Depickère, S (corresponding author), Univ Mayor San Andres, Inst Invest Fis, Campus Univ Cota Cota,Calle 27, La Paz, Bolivia.</t>
  </si>
  <si>
    <t xml:space="preserve">stephanie.depickere@gmail.com; antonio.ravelo@ulpgc.es; frederic.lardeux@ird.fr</t>
  </si>
  <si>
    <t xml:space="preserve">Depickere, Stephanie/I-3746-2019; Ravelo-García, Antonio/P-3709-2019; Lardeux, Frederic/R-7086-2016</t>
  </si>
  <si>
    <t xml:space="preserve">Depickere, Stephanie/0000-0002-6734-1155; Lardeux, Frederic/0000-0001-7230-7616; Ravelo-Garcia, Antonio G./0000-0002-8512-965X</t>
  </si>
  <si>
    <t xml:space="preserve">0169-7439</t>
  </si>
  <si>
    <t xml:space="preserve">1873-3239</t>
  </si>
  <si>
    <t xml:space="preserve">CHEMOMETR INTELL LAB</t>
  </si>
  <si>
    <t xml:space="preserve">Chemometrics Intell. Lab. Syst.</t>
  </si>
  <si>
    <t xml:space="preserve">10.1016/j.chemolab.2019.103914</t>
  </si>
  <si>
    <t xml:space="preserve">Automation &amp; Control Systems; Chemistry, Analytical; Computer Science, Artificial Intelligence; Instruments &amp; Instrumentation; Mathematics, Interdisciplinary Applications; Statistics &amp; Probability</t>
  </si>
  <si>
    <t xml:space="preserve">Automation &amp; Control Systems; Chemistry; Computer Science; Instruments &amp; Instrumentation; Mathematics</t>
  </si>
  <si>
    <t xml:space="preserve">KM6NV</t>
  </si>
  <si>
    <t xml:space="preserve">WOS:000514255700002</t>
  </si>
  <si>
    <t xml:space="preserve">Vidal, OM; Acosta-Reyes, J; Padilla, J; Navarro-Lechuga, E; Bravo, E; Viasus, D; Arcos-Burgos, M; Vélez, JI</t>
  </si>
  <si>
    <t xml:space="preserve">Vidal, Oscar M.; Acosta-Reyes, Jorge; Padilla, Jesus; Navarro-Lechuga, Edgar; Bravo, Elsa; Viasus, Diego; Arcos-Burgos, Mauricio; Velez, Jorge I.</t>
  </si>
  <si>
    <t xml:space="preserve">Chikungunya outbreak (2015) in the Colombian Caribbean: Latent classes and gender differences in virus infection</t>
  </si>
  <si>
    <t xml:space="preserve">Chikungunya virus (CHIKV), a mosquito-borne alphavirus of the Togaviridae family, is part of a group of emergent diseases, including arbovirus, constituting an increasing public health problem in tropical areas worldwide. CHIKV causes a severe and debilitating disease with high morbidity. The first Colombian autochthonous case was reported in the Colombian Caribbean region in September 2014. Within the next two to three months, the CHIKV outbreak reached its peak. Although the CHIKV pattern of clinical symptomatology has been documented in different epidemiological studies, understanding of the relationship between clinical symptomatology and variation in phenotypic response to CHIKV infection in humans remains limited. We performed a cross sectional study following 1160 individuals clinically diagnosed with CHIKV at the peak of the Chikungunya outbreak in the Colombian Caribbean region. We examined the relationship between symptomatology and diverse phenotypic responses. Latent Class Cluster Analysis (LCCA) models were used to characterize patients' symptomatology and further identify subgroups of individuals with differential phenotypic response. We found that most individuals presented fever (94.4%), headache (73.28%) and general discomfort (59.4%), which are distinct clinical symptoms of a viral infection. Furthermore, 11/26 (43.2%) of the categorized symptoms were more frequent in women than in men. LCCA disclosed seven distinctive phenotypic response profiles in this population of CHIKV infected individuals. Interestingly, 282 (24.3%) individuals exhibited a lower symptomatic extreme phenotype and 74 (6.4%) patients were within the severe complex extreme phenotype. Although clinical symptomatology may be diverse, there are distinct symptoms or group of symptoms that can be correlated with differential phenotypic response and perhaps susceptibility to CHIKV infection, especially in the female population. This suggests that, comparatively to men, women are a CHIKV at-risk population. Further study is needed to validate these results and determine whether the distinct LCCA profiles are a result of the immune response or a mixture of genetic, lifestyle and environmental factors. Our findings could contribute to the development of machine learning and artificial intelligence approaches to characterizing CHIKV infection in other populations. Preliminary results show that the accuracy reached of some approaches reaches up to 92% overall, with substantial sensitivity, specificity and accuracy values per LCCA-derived cluster. Author summary The Chikungunya virus (CHIKV) infection is a mosquito-borne virus of the Togaviridae family, part of the arbovirus group of mosquito-transmitted pathogens. CHIKV causes a severe and debilitating disease with high morbidity. In this study, we comprehensively analysed clinical data from 1160 individuals from the Colombian Caribbean, who were diagnosed with CHIKV infection during the 2014 epidemic peak and before the Zika epidemic (registered back in 2015). Further, the presence of latent classes and predictors of CHIKV susceptibility and severity of the CHIKV infection were analysed. Although it is well known that people respond differently to infection, our results showed that these differences are not arbitrary and may come from the specific orchestration of our immune response and specific genetic makeup. For example, we identified that females infected with CHIKV exhibited significant and heterogeneous phenotypic response patterns compared to men. Overall, these results inform about potential predictors and outlining strategies to study the natural history of CHIKV infection. Future studies assessing the contribution of demographic, immunological and genetic factors to symptom co-occurrence could shed some light on the severity of the clinical symptomatology and, ultimately, lead to more accurate, more efficient and differential diagnosis. These results could contribute to the development of machine learning approaches to characterizing CHIKV infection in other populations and provide more accurate and differential diagnosis.</t>
  </si>
  <si>
    <t xml:space="preserve">Chikungunya </t>
  </si>
  <si>
    <t xml:space="preserve">ROSS-RIVER-VIRUS; IMMUNE-RESPONSES; CELLULAR ASPECTS; EPIDEMIC; DISEASE; ARTHRITIS; FEVER</t>
  </si>
  <si>
    <t xml:space="preserve">[Vidal, Oscar M.; Acosta-Reyes, Jorge; Padilla, Jesus; Navarro-Lechuga, Edgar; Viasus, Diego; Velez, Jorge I.] Univ Norte, Barranquilla, Colombia; [Bravo, Elsa] Hlth Secretary Program, Epidemiol Surveillance Team, Barranquilla, Colombia; [Arcos-Burgos, Mauricio] Univ Antioquia, Grp Invest Psiquiat GIPSI, Dept Psiquiat, Inst Invest Med,Fac Med, Medellin, Colombia</t>
  </si>
  <si>
    <t xml:space="preserve">Universidad del Norte Colombia; Universidad de Antioquia</t>
  </si>
  <si>
    <t xml:space="preserve">Vidal, OM; Vélez, JI (corresponding author), Univ Norte, Barranquilla, Colombia.</t>
  </si>
  <si>
    <t xml:space="preserve">oorjuela@uninorte.edu.co; jvelezv@uninorte.edu.co</t>
  </si>
  <si>
    <t xml:space="preserve">Lechuga, Edgar/ABB-2780-2021; Viasus, Diego/HDN-6634-2022; Acosta-Reyes, Jorge/D-1906-2011; Vidal, Oscar/X-7880-2018</t>
  </si>
  <si>
    <t xml:space="preserve">Vidal, Oscar/0000-0002-7807-1242; Acosta-Reyes, Jorge/0000-0003-4303-3243; Navarro-Lechuga, Edgar/0000-0002-3181-2891; Velez, Jorge/0000-0002-3146-7899</t>
  </si>
  <si>
    <t xml:space="preserve">e0008281</t>
  </si>
  <si>
    <t xml:space="preserve">10.1371/journal.pntd.0008281</t>
  </si>
  <si>
    <t xml:space="preserve">NA3OW</t>
  </si>
  <si>
    <t xml:space="preserve">WOS:000559723300003</t>
  </si>
  <si>
    <t xml:space="preserve">Ray, U; Chouhan, U; Verma, N</t>
  </si>
  <si>
    <t xml:space="preserve">Ray, Upasana; Chouhan, Usha; Verma, Neha</t>
  </si>
  <si>
    <t xml:space="preserve">Comparative study of machine learning approaches for classification and prediction of selective caspase-3 antagonist for Zika virus drugs</t>
  </si>
  <si>
    <t xml:space="preserve">Zika virus (ZIKV) infection is an enervating and fast-growing disease. The increasing incidences of birth defects (microcephaly) in newborns due to ZIKV represent a public health problem. The viral infection is characterized by an increase in cell death of human neural progenitors and astrocytes, which can be inhibited by suppressing infection-induced caspase-3 activity. The aim of the present work is to develop classification models for the prediction of highly active and low active caspase-3 antagonists and to seek the important structural features related to the high anti-ZIKV property. Here, machine learning (ML) is applied in quantitative structure-activity relationship (QSAR) study. QSAR study is performed on the dataset by means of ML approaches, i.e., multiple linear regression (MLR), linear discriminant analysis (LDA), least square support vector machine (LS-SVM), deep neural net (DNN), k-nearest neighbor (KNN), naive Bayes (NB) and random forest (RF). MLR, LDA are used for feature selection process and DNN, LS-SVM, KNN, NB, RF classifier for classification. The obtained results confirmed the discriminative capacity of the calculated descriptors. A good correlation is found by regression analysis between the observed and predicted activities as evident by their R-2 (0.895) and Rpred 2 (0.716) for the molecular descriptor dataset, R-2 (0.892) and Rpred 2 (0.736) for fingerprint dataset. The classification model obtained using RF (85.71%, 97.57%) and DNN (85.71%, 91.07%) classifier gave better accuracy than other approaches in fingerprint dataset and molecular descriptor dataset, respectively. This work provides an effective method to screen caspase-3 antagonists that will help out further in drug design for Zika virus.</t>
  </si>
  <si>
    <t xml:space="preserve">Multiple linear regression (MLR), linear discriminant analysis (LDA), least square support vector machine (LS-SVM), deep neural net (DNN), k-nearest neighbor (KNN), naïve Bayes (NB) and random forest (RF)</t>
  </si>
  <si>
    <t xml:space="preserve">Caspase-3; QSAR; Machine learning; Antagonist</t>
  </si>
  <si>
    <t xml:space="preserve">INHIBITORS; OUTBREAK</t>
  </si>
  <si>
    <t xml:space="preserve">[Ray, Upasana; Chouhan, Usha; Verma, Neha] Maulana Azad Natl Inst Technol, Dept Math Bioinformat &amp; Comp Applicat, Bhopal 462003, India</t>
  </si>
  <si>
    <t xml:space="preserve">National Institute of Technology (NIT System); Maulana Azad National Institute of Technology Bhopal</t>
  </si>
  <si>
    <t xml:space="preserve">Ray, U (corresponding author), Maulana Azad Natl Inst Technol, Dept Math Bioinformat &amp; Comp Applicat, Bhopal 462003, India.</t>
  </si>
  <si>
    <t xml:space="preserve">ur.172104108@manit.ac.in; chouhanu@manit.ac.in</t>
  </si>
  <si>
    <t xml:space="preserve">Chouhan, Usha/A-7380-2017</t>
  </si>
  <si>
    <t xml:space="preserve">ray, upasana/0000-0001-6126-6580</t>
  </si>
  <si>
    <t xml:space="preserve">M.P Council of Science &amp; Technology, Bhopal, India at Maulana Azad National Institute of Technology, Bhopal [1253/CST/RD/2016]</t>
  </si>
  <si>
    <t xml:space="preserve">M.P Council of Science &amp; Technology, Bhopal, India at Maulana Azad National Institute of Technology, Bhopal</t>
  </si>
  <si>
    <t xml:space="preserve">The authors are highly thankful to the M.P Council of Science &amp; Technology, Bhopal, India (Grant No. 1253/CST/R&amp;D/2016) for providing support in carrying out this work at Maulana Azad National Institute of Technology, Bhopal.</t>
  </si>
  <si>
    <t xml:space="preserve">10.1007/s00521-019-04626-7</t>
  </si>
  <si>
    <t xml:space="preserve">FEB 2020</t>
  </si>
  <si>
    <t xml:space="preserve">ML7NA</t>
  </si>
  <si>
    <t xml:space="preserve">WOS:000516112000001</t>
  </si>
  <si>
    <t xml:space="preserve">Zhao, OS; Kolluri, N; Anand, A; Chu, N; Bhavaraju, R; Ojha, A; Tiku, S; Nguyen, D; Chen, R; Morales, A; Valliappan, D; Patel, JP; Nguyen, K</t>
  </si>
  <si>
    <t xml:space="preserve">Zhao, Oliver S.; Kolluri, Nikhil; Anand, Anagata; Chu, Nicholas; Bhavaraju, Ravali; Ojha, Aditya; Tiku, Sandhya; Dat Nguyen; Chen, Ryan; Morales, Adriane; Valliappan, Deepti; Patel, Juhi P.; Nguyen, Kevin</t>
  </si>
  <si>
    <t xml:space="preserve">Convolutional neural networks to automate the screening of malaria in low-resource countries</t>
  </si>
  <si>
    <t xml:space="preserve">Malaria is an infectious disease caused by Plasmodium parasites, transmitted through mosquito bites. Symptoms include fever, headache, and vomiting, and in severe cases, seizures and coma. The World Health Organization reports that there were 228 million cases and 405,000 deaths in 2018, with Africa representing 93% of total cases and 94% of total deaths. Rapid diagnosis and subsequent treatment are the most effective means to mitigate the progression into serious symptoms. However, many fatal cases have been attributed to poor access to healthcare resources for malaria screenings. In these low-resource settings, the use of light microscopy on a thin blood smear with Gienisa stain is used to examine the severity of infection, requiring tedious and manual counting by a trained technician. To address the malaria endemic in Africa and its coexisting socioeconomic constraints, we propose an automated, mobile phone-based screening process that takes advantage of already existing resources. Through the use of convolutional neural networks (CNNs), we utilize a SSD multibox object detection architecture that rapidly processes thin blood smears acquired via light microscopy to isolate images of individual red blood cells with 90.4% average precision. Then we implement a FSRCNN model that upscales 32 x 32 low-resolution images to 128 x 128 high-resolution images with a RSNR of 30.2, compared to a baseline PSNR of 24.2 through traditional bicubic interpolation. Lastly, we utilize a modified VGG16 CNN that classifies red blood cells as either infected or uninfected with an accuracy of 96.5% in a balanced class dataset. These sequential models create a streamlined screening platform, giving the healthcare provider the number of malaria-infected red blood cells in a given sample. Our deep learning platform is efficient enough to operate exclusively on low-tier smartphone hardware, eliminating the need for high-speed internet connection.</t>
  </si>
  <si>
    <t xml:space="preserve">Convolutional neural networks</t>
  </si>
  <si>
    <t xml:space="preserve">Malaria; Neural networks; Machine learning; Infectious disease; Red blood cell; Public health; Global health; Data science; Deep learning; Epidemiology</t>
  </si>
  <si>
    <t xml:space="preserve">[Zhao, Oliver S.; Anand, Anagata; Bhavaraju, Ravali; Tiku, Sandhya; Dat Nguyen; Chen, Ryan; Morales, Adriane; Valliappan, Deepti] Univ Texas Austin, Dept Biomed Engn, Austin, TX 78712 USA; [Kolluri, Nikhil; Chu, Nicholas; Ojha, Aditya] Univ Texas Austin, Dept Elect &amp; Comp Engn, Austin, TX 78712 USA; [Patel, Juhi P.; Nguyen, Kevin] Univ Texas Austin, Dept Psychol, Austin, TX 78712 USA</t>
  </si>
  <si>
    <t xml:space="preserve">University of Texas System; University of Texas Austin; University of Texas System; University of Texas Austin; University of Texas System; University of Texas Austin</t>
  </si>
  <si>
    <t xml:space="preserve">Zhao, OS (corresponding author), Univ Texas Austin, Dept Biomed Engn, Austin, TX 78712 USA.</t>
  </si>
  <si>
    <t xml:space="preserve">oliver.zhao@utexas.edu</t>
  </si>
  <si>
    <t xml:space="preserve">Ojha, Aditya/MDT-3107-2025</t>
  </si>
  <si>
    <t xml:space="preserve">Zhao, Oliver/0000-0001-7668-7708</t>
  </si>
  <si>
    <t xml:space="preserve">The University of Texas at Austin</t>
  </si>
  <si>
    <t xml:space="preserve">The following grant information was disclosed by the authors: The University of Texas at Austin.</t>
  </si>
  <si>
    <t xml:space="preserve">AUG 4</t>
  </si>
  <si>
    <t xml:space="preserve">e9674</t>
  </si>
  <si>
    <t xml:space="preserve">10.7717/peerj.9674</t>
  </si>
  <si>
    <t xml:space="preserve">MT9VG</t>
  </si>
  <si>
    <t xml:space="preserve">WOS:000555317300009</t>
  </si>
  <si>
    <t xml:space="preserve">Kudisthalert, W; Pasupa, K; Tongsima, S</t>
  </si>
  <si>
    <t xml:space="preserve">Kudisthalert, Wasu; Pasupa, Kitsuchart; Tongsima, Sissades</t>
  </si>
  <si>
    <t xml:space="preserve">Counting and Classification of Malarial Parasite From Giemsa-Stained Thin Film Images</t>
  </si>
  <si>
    <t xml:space="preserve">Malaria is a life-threatening disease causing by an infection of the protozoan parasite Plasmodium. Plasmodium falciparum is the deadliest and most common human infected parasites hosted by anopheles mosquito vector. To cure a malaria infected patient and prevent further spreading, malaria diagnosis using microscopy to visualize Giemsa-stained parasites is commonly done. The microscopy diagnosis is somewhat time consuming and requires well-trained malaria experts to interpret what they see under the microscope. To address this limitation, an automated malaria infected diagnosis is needed. This work proposed a computer-aided automated diagnosis system that can perform remote field diagnosis with high accuracy while requiring less computational demands. The proposed framework consists of two main parts that are red blood cell counting and parasite life-cycle stage classification. The counting process is performed by computer vision techniques, namely Hough transform. Different machine learning techniques, i.e., Multilayer Perceptron, Linear Discriminant Analysis, Support Vector Machine, and Weighted Similarity Extreme Learning Machine, are employed in the classification task. We also demonstrated that combining hand-crafted and deep-learned features can enhance the overall performance of the framework. The experimental results showed that the proposed methods could correctly count and classify at 97.94% and 98.12% accuracy, respectively. The overall proposal system can achieve at 96.18% accuracy. This is achieved by WELM in conjunction with deep-learned (AlexNet_FC7) and the hand-crafted (color) features.</t>
  </si>
  <si>
    <t xml:space="preserve">Multilayer Perceptron, Linear Discriminant Analysis, Support Vector Machine, and Weighted Similarity Extreme Learning Machine</t>
  </si>
  <si>
    <t xml:space="preserve">Combining features; Giemsa-stained thin film; malaria</t>
  </si>
  <si>
    <t xml:space="preserve">BLOOD; DIAGNOSIS; MACHINE; SHAPE</t>
  </si>
  <si>
    <t xml:space="preserve">[Kudisthalert, Wasu; Pasupa, Kitsuchart] King Mongkuts Inst Technol Ladkrabang, Fac Informat Technol, Bangkok 10520, Thailand; [Tongsima, Sissades] Natl Sci &amp; Technol Dev Agcy, Natl Biobank Thailand, Pathum Thani 12120, Thailand</t>
  </si>
  <si>
    <t xml:space="preserve">King Mongkuts Institute of Technology Ladkrabang; National Science &amp; Technology Development Agency - Thailand</t>
  </si>
  <si>
    <t xml:space="preserve">Pasupa, K (corresponding author), King Mongkuts Inst Technol Ladkrabang, Fac Informat Technol, Bangkok 10520, Thailand.</t>
  </si>
  <si>
    <t xml:space="preserve">kitsuchart@it.kmitl.ac.th</t>
  </si>
  <si>
    <t xml:space="preserve">Pasupa, Kitsuchart/ABB-2573-2020; Tongsima, Sissades/F-4891-2011</t>
  </si>
  <si>
    <t xml:space="preserve">Kudisthalert, Wasu/0000-0003-3638-6673; Pasupa, Kitsuchart/0000-0001-8359-9888; Tongsima, Sissades/0000-0002-1491-1839</t>
  </si>
  <si>
    <t xml:space="preserve">Faculty of Information Technology, King Mongkut's Institute of Technology Ladkrabang</t>
  </si>
  <si>
    <t xml:space="preserve">This work was supported by the Faculty of Information Technology, King Mongkut's Institute of Technology Ladkrabang.</t>
  </si>
  <si>
    <t xml:space="preserve">10.1109/ACCESS.2020.2990497</t>
  </si>
  <si>
    <t xml:space="preserve">LL9WT</t>
  </si>
  <si>
    <t xml:space="preserve">WOS:000531907000015</t>
  </si>
  <si>
    <t xml:space="preserve">Jin, B; Cruz, L; Gonçalves, N</t>
  </si>
  <si>
    <t xml:space="preserve">Jin, Bo; Cruz, Leandro; Goncalves, Nuno</t>
  </si>
  <si>
    <t xml:space="preserve">Deep Facial Diagnosis: Deep Transfer Learning From Face Recognition to Facial Diagnosis</t>
  </si>
  <si>
    <t xml:space="preserve">The relationship between face and disease has been discussed from thousands years ago, which leads to the occurrence of facial diagnosis. The objective here is to explore the possibility of identifying diseases from uncontrolled 2D face images by deep learning techniques. In this paper, we propose using deep transfer learning from face recognition to perform the computer-aided facial diagnosis on various diseases. In the experiments, we perform the computer-aided facial diagnosis on single (beta-thalassemia) and multiple diseases (beta-thalassemia, hyperthyroidism, Down syndrome, and leprosy) with a relatively small dataset. The overall top-1 accuracy by deep transfer learning from face recognition can reach over 90% which outperforms the performance of both traditional machine learning methods and clinicians in the experiments. In practical, collecting disease-specific face images is complex, expensive and time consuming, and imposes ethical limitations due to personal data treatment. Therefore, the datasets of facial diagnosis related researches are private and generally small comparing with the ones of other machine learning application areas. The success of deep transfer learning applications in the facial diagnosis with a small dataset could provide a low-cost and noninvasive way for disease screening and detection.</t>
  </si>
  <si>
    <t xml:space="preserve">Portugal</t>
  </si>
  <si>
    <t xml:space="preserve">Facial image dataset</t>
  </si>
  <si>
    <t xml:space="preserve">Beta-thalassemia, hyperthyroidism, Down syndrome, and leprosy</t>
  </si>
  <si>
    <t xml:space="preserve">Facial diagnosis; deep transfer learning (DTL); face recognition; beta-thalassemia; hyperthyroidism; down syndrome; leprosy</t>
  </si>
  <si>
    <t xml:space="preserve">[Jin, Bo; Cruz, Leandro; Goncalves, Nuno] Univ Coimbra, Inst Syst &amp; Robot ISR UC, Dept Elect &amp; Comp Engn DEEC, P-3030290 Coimbra, Portugal; [Cruz, Leandro; Goncalves, Nuno] Portuguese Mint &amp; Official Printing Off INCM, P-1000042 Lisbon, Portugal</t>
  </si>
  <si>
    <t xml:space="preserve">Universidade de Coimbra</t>
  </si>
  <si>
    <t xml:space="preserve">Jin, B; Cruz, L; Gonçalves, N (corresponding author), Univ Coimbra, Inst Syst &amp; Robot ISR UC, Dept Elect &amp; Comp Engn DEEC, P-3030290 Coimbra, Portugal.;Cruz, L; Gonçalves, N (corresponding author), Portuguese Mint &amp; Official Printing Off INCM, P-1000042 Lisbon, Portugal.</t>
  </si>
  <si>
    <t xml:space="preserve">jin.bo@isr.uc.pt; lmvcruz@isr.uc.pt; nunogon@deec.uc.pt</t>
  </si>
  <si>
    <t xml:space="preserve">Jin, Bo/JMP-4989-2023; Goncalves, Nuno/ABG-1186-2021; Moraes Valle Cruz, Leandro/ABE-1229-2021; Moraes Valle Cruz, Leandro/C-2316-2018</t>
  </si>
  <si>
    <t xml:space="preserve">Jin, Bo/0000-0001-9255-5772; Moraes Valle Cruz, Leandro/0000-0003-3354-4007; Goncalves, Nuno/0000-0002-1854-049X</t>
  </si>
  <si>
    <t xml:space="preserve">Institute of Systems and Robotics (ISR); Portuguese Mint and Official Printing Office (INCM) [FACING: BI-BOLSA1]</t>
  </si>
  <si>
    <t xml:space="preserve">Institute of Systems and Robotics (ISR); Portuguese Mint and Official Printing Office (INCM)</t>
  </si>
  <si>
    <t xml:space="preserve">This work was supported by the Institute of Systems and Robotics (ISR), and the Portuguese Mint and Official Printing Office (INCM) under Grant FACING: BI-BOLSA1.</t>
  </si>
  <si>
    <t xml:space="preserve">10.1109/ACCESS.2020.3005687</t>
  </si>
  <si>
    <t xml:space="preserve">MS9DD</t>
  </si>
  <si>
    <t xml:space="preserve">WOS:000554571600001</t>
  </si>
  <si>
    <t xml:space="preserve">Vijayalakshmi, A; Kanna, BR</t>
  </si>
  <si>
    <t xml:space="preserve">Vijayalakshmi, A.; Kanna, Rajesh B.</t>
  </si>
  <si>
    <t xml:space="preserve">Deep learning approach to detect malaria from microscopic images</t>
  </si>
  <si>
    <t xml:space="preserve">Malaria is an infectious disease which is caused by plasmodium parasite. Several image processing and machine learning based techniques have been employed to diagnose malaria, using its spatial features extracted from microscopic images. In this work, a novel deep neural network model is introduced for identifying infected falciparum malaria parasite using transfer learning approach. This proposed transfer learning approach can be achieved by unifying existing Visual Geometry Group (VGG) network and Support Vector Machine (SVM). Implementation of this unification is carried out by using Train top layers and freeze out rest of the layers strategy. Here, the pre-trained VGG facilitates the role of expert learning model and SVM as domain specific learning model. Initial 'k' layers of pre-trained VGG are retained and (n-k) layers are replaced with SVM. To evaluate the proposed VGG-SVM model, a malaria digital corpus has been generated by acquiring blood smear images of infected and non-infected malaria patients and compared with state-of-the-art Convolutional Neural Network (CNN) models. Malaria digital corpus images were used to analyse the performance of VGG19-SVM, resulting in classification accuracy of 93.1% in identification of infected falciparum malaria. Unification of VGG19-SVM shows superiority over the existing CNN models in all performance indicators such as accuracy, sensitivity, specificity, precision and F-Score. The obtained result shows the potential of transfer learning in the field of medical image analysis, especially malaria diagnosis.</t>
  </si>
  <si>
    <t xml:space="preserve">21-22</t>
  </si>
  <si>
    <t xml:space="preserve">Malaria; Convolutional neural network; Transfer learning; VGG16; VGG19; Support vector machine; Deep learning</t>
  </si>
  <si>
    <t xml:space="preserve">CLASSIFICATION; PARASITES</t>
  </si>
  <si>
    <t xml:space="preserve">[Vijayalakshmi, A.; Kanna, Rajesh B.] Vellore Inst Technol, Sch Comp Sci &amp; Engn, Chennai, Tamil Nadu, India</t>
  </si>
  <si>
    <t xml:space="preserve">Vellore Institute of Technology (VIT); VIT Chennai</t>
  </si>
  <si>
    <t xml:space="preserve">Vijayalakshmi, A (corresponding author), Vellore Inst Technol, Sch Comp Sci &amp; Engn, Chennai, Tamil Nadu, India.</t>
  </si>
  <si>
    <t xml:space="preserve">vijayalakshmi.av@vit.ac.in; rajeshkanna.b@vit.ac.in</t>
  </si>
  <si>
    <t xml:space="preserve">A, VIJAYALAKSHMI/AAC-1294-2021; Baskaran, Rajesh Kanna/Y-6659-2019</t>
  </si>
  <si>
    <t xml:space="preserve">Baskaran, Rajesh Kanna/0000-0001-5970-3702</t>
  </si>
  <si>
    <t xml:space="preserve">10.1007/s11042-019-7162-y</t>
  </si>
  <si>
    <t xml:space="preserve">LV8HQ</t>
  </si>
  <si>
    <t xml:space="preserve">WOS:000538675900053</t>
  </si>
  <si>
    <t xml:space="preserve">Fuhad, KMF; Tuba, JF; Sarker, MRA; Momen, S; Mohammed, N; Rahman, T</t>
  </si>
  <si>
    <t xml:space="preserve">Fuhad, K. M. Faizullah; Tuba, Jannat Ferdousey; Sarker, Md Rabiul Ali; Momen, Sifat; Mohammed, Nabeel; Rahman, Tanzilur</t>
  </si>
  <si>
    <t xml:space="preserve">Deep Learning Based Automatic Malaria Parasite Detection from Blood Smear and Its Smartphone Based Application</t>
  </si>
  <si>
    <t xml:space="preserve">Malaria is a life-threatening disease that is spread by the Plasmodium parasites. It is detected by trained microscopists who analyze microscopic blood smear images. Modern deep learning techniques may be used to do this analysis automatically. The need for the trained personnel can be greatly reduced with the development of an automatic accurate and efficient model. In this article, we propose an entirely automated Convolutional Neural Network (CNN) based model for the diagnosis of malaria from the microscopic blood smear images. A variety of techniques including knowledge distillation, data augmentation, Autoencoder, feature extraction by a CNN model and classified by Support Vector Machine (SVM) or K-Nearest Neighbors (KNN) are performed under three training procedures named general training, distillation training and autoencoder training to optimize and improve the model accuracy and inference performance. Our deep learning-based model can detect malarial parasites from microscopic images with an accuracy of 99.23% while requiring just over 4600 floating point operations. For practical validation of model efficiency, we have deployed the miniaturized model in different mobile phones and a server-backed web application. Data gathered from these environments show that the model can be used to perform inference under 1 s per sample in both offline (mobile only) and online (web application) mode, thus engendering confidence that such models may be deployed for efficient practical inferential systems.</t>
  </si>
  <si>
    <t xml:space="preserve">Plasmodium parasites; microscopic; blood smear; data augmentation; CNN; knowledge distillation; Autoencoder; inference performance; floating point operations; deep learning</t>
  </si>
  <si>
    <t xml:space="preserve">POLYMERASE-CHAIN-REACTION; IMAGE-ANALYSIS; CLASSIFICATION; MICROSCOPY; DIAGNOSIS; SUPPORT</t>
  </si>
  <si>
    <t xml:space="preserve">[Fuhad, K. M. Faizullah; Tuba, Jannat Ferdousey; Sarker, Md Rabiul Ali; Momen, Sifat; Mohammed, Nabeel; Rahman, Tanzilur] North South Univ, Dept Elect &amp; Comp Engn, Dhaka 1229, Bangladesh</t>
  </si>
  <si>
    <t xml:space="preserve">North South University (NSU)</t>
  </si>
  <si>
    <t xml:space="preserve">Rahman, T (corresponding author), North South Univ, Dept Elect &amp; Comp Engn, Dhaka 1229, Bangladesh.</t>
  </si>
  <si>
    <t xml:space="preserve">faizullah.fuad@northsouth.edu; jannat.ferdousey@northsouth.edu; sarker.rabiul@northsouth.edu; sifat.momen@northsouth.edu; nabeel.mohammed@northsouth.edu; tanzilur.rahman@northsouth.edu</t>
  </si>
  <si>
    <t xml:space="preserve">Mohammed, Nabeel/AAA-5931-2021; Rahman, Tanzilur/X-8044-2019</t>
  </si>
  <si>
    <t xml:space="preserve">rahman, tanzilur/0000-0002-9638-4824; Momen, Sifat/0000-0001-8683-7247; Mohammed, Nabeel/0000-0002-7661-3570; Sarker, Md. Rabiul Ali/0000-0002-3658-7312</t>
  </si>
  <si>
    <t xml:space="preserve">10.3390/diagnostics10050329</t>
  </si>
  <si>
    <t xml:space="preserve">LZ1XJ</t>
  </si>
  <si>
    <t xml:space="preserve">WOS:000541022500048</t>
  </si>
  <si>
    <t xml:space="preserve">Yang, F; Poostchi, M; Yu, H; Zhou, Z; Silamut, K; Yu, J; Maude, RJ; Jaeger, S; Antani, S</t>
  </si>
  <si>
    <t xml:space="preserve">Yang, Feng; Poostchi, Mandieh; Yu, Hang; Zhou, Zhou; Silamut, Kamolrat; Yu, Jian; Maude, Richard J.; Jaeger, Stefan; Antani, Sameer</t>
  </si>
  <si>
    <t xml:space="preserve">Deep Learning for Smartphone-Based Malaria Parasite Detection in Thick Blood Smears</t>
  </si>
  <si>
    <t xml:space="preserve">Objective: This work investigates the possibility of automated malaria parasite detection in thick blood smears with smartphones. Methods: We have developed the first deep learning method that can detect malaria parasites in thick blood smear images and can run on smartphones. Our method consists of two processing steps. First, we apply an intensity-based Iterative Global Minimum Screening (IGMS), which performs a fast screening of a thick smear image to find parasite candidates. Then, a customized Convolutional Neural Network (CNN) classifies each candidate as either parasite or background. Together with this paper, we make a dataset of 1819 thick smear images from 150 patients publicly available to the research community. We used this dataset to train and test our deep learning method, as described in this paper. Results: A patient-level five-fold cross-evaluation demonstrates the effectiveness of the customized CNN model in discriminating between positive (parasitic) and negative image patches in terms of the following performance indicators: accuracy (93.46% +/- 0.32%), AUC (98.39% +/- 0.18%), sensitivity (92.59% +/- 1.27%), specificity (94.33% +/- 1.25%), precision (94.25% +/- 1.13%), and negative predictive value (92.74% +/- 1.09%). High correlation coefficients (&gt;0.98) between automatically detected parasites and ground truth, on both image level and patient level, demonstrate the practicality of our method. Conclusion: Promising results are obtained for parasite detection in thick blood smears for a smartphone application using deep learning methods. Significance: Automated parasite detection running on smartphones is a promising alternative to manual parasite counting for malaria diagnosis, especially in areas lacking experienced parasitologists.</t>
  </si>
  <si>
    <t xml:space="preserve">USA, China, Thailand</t>
  </si>
  <si>
    <t xml:space="preserve">Convolutional Neural Network (CNN)</t>
  </si>
  <si>
    <t xml:space="preserve">Accuracy (93.46% ± 0.32%), AUC (98.39% ± 0.18%), sensitivity (92.59% ± 1.27%), specificity (94.33% ± 1.25%), precision (94.25% ± 1.13%), and negative predictive value (92.74% ± 1.09%)</t>
  </si>
  <si>
    <t xml:space="preserve">Feature extraction; Blood; Diseases; Support vector machines; Deep learning; Sensitivity; Image segmentation; Deep learning; convolutional neural networks; computer-aided diagnosis; malaria</t>
  </si>
  <si>
    <t xml:space="preserve">[Yang, Feng; Zhou, Zhou; Yu, Jian] Beijing Jiaotong Univ, Sch Comp &amp; Informat Technol, Beijing Key Lab Traff Data Anal &amp; Min, Beijing 100044, Peoples R China; [Yang, Feng; Poostchi, Mandieh; Yu, Hang; Jaeger, Stefan; Antani, Sameer] NIH, Lister Hill Natl Ctr Biomed Commun, Natl Lib Med, Bethesda, MD 20894 USA; [Silamut, Kamolrat; Maude, Richard J.] Mahidol Oxford Trop Med Res Unit, Bangkok 10400, Thailand</t>
  </si>
  <si>
    <t xml:space="preserve">Beijing Jiaotong University; National Institutes of Health (NIH) - USA; NIH National Library of Medicine (NLM); Mahidol Oxford Tropical Medicine Research Unit (MORU)</t>
  </si>
  <si>
    <t xml:space="preserve">Yang, F (corresponding author), Beijing Jiaotong Univ, Sch Comp &amp; Informat Technol, Beijing Key Lab Traff Data Anal &amp; Min, Beijing 100044, Peoples R China.;Yang, F; Jaeger, S (corresponding author), NIH, Lister Hill Natl Ctr Biomed Commun, Natl Lib Med, Bethesda, MD 20894 USA.</t>
  </si>
  <si>
    <t xml:space="preserve">yalltroy@gmail.com; mandieh.p82@gmail.com; hang.yu@nih.gov; zhouphd@bjtu.edu.cn; ksilamut@gmail.com; jianyu@bjtu.edu.cn; richard@tropmedres.ac; stefan.jaeger@nih.gov; santani@mail.nih.gov</t>
  </si>
  <si>
    <t xml:space="preserve">Yang, Feng/HLQ-2152-2023; Antani, Sameer/GVS-8371-2022; Yu, Jian/HJY-2670-2023; Maude, Richard/AAV-3567-2020</t>
  </si>
  <si>
    <t xml:space="preserve">Zhou, Zhou/0000-0001-8006-0238; Maude, Richard/0000-0002-5355-0562; Yang, Feng/0000-0002-8334-7450</t>
  </si>
  <si>
    <t xml:space="preserve">Intramural Research Program of the National Institutes of Health (NIH); National Library of Medicine (NLM); Lister Hill National Center for Biomedical Communications (LHNCBC); Mahidol-Oxford Tropical Medicine Research Unit - Wellcome Trust of Great Britain; National Basic Research Program of China [61671049]; National Key RD Plan of China [2017YFB1400100]; National Library of Medicine [ZIALM010006] Funding Source: NIH RePORTER</t>
  </si>
  <si>
    <t xml:space="preserve">Intramural Research Program of the National Institutes of Health (NIH)(United States Department of Health &amp; Human ServicesNational Institutes of Health (NIH) - USA); National Library of Medicine (NLM)(United States Department of Health &amp; Human ServicesNational Institutes of Health (NIH) - USANIH National Library of Medicine (NLM)); Lister Hill National Center for Biomedical Communications (LHNCBC); Mahidol-Oxford Tropical Medicine Research Unit - Wellcome Trust of Great Britain(Wellcome Trust); National Basic Research Program of China(National Basic Research Program of China); National Key RD Plan of China; National Library of Medicine(United States Department of Health &amp; Human ServicesNational Institutes of Health (NIH) - USANIH National Library of Medicine (NLM))</t>
  </si>
  <si>
    <t xml:space="preserve">This research was supported by the Intramural Research Program of the National Institutes of Health (NIH), by National Library of Medicine (NLM), by Lister Hill National Center for Biomedical Communications (LHNCBC), by Mahidol-Oxford Tropical Medicine Research Unit that is funded by the Wellcome Trust of Great Britain, by the National Basic Research Program of China under Grant 61671049, and by the National Key R&amp;D Plan of China under Grant 2017YFB1400100.</t>
  </si>
  <si>
    <t xml:space="preserve">10.1109/JBHI.2019.2939121</t>
  </si>
  <si>
    <t xml:space="preserve">LR3SW</t>
  </si>
  <si>
    <t xml:space="preserve">WOS:000535614100018</t>
  </si>
  <si>
    <t xml:space="preserve">Neves, BJ; Braga, RC; Alves, VM; Lima, MNN; Cassiano, GC; Muratov, EN; Costa, FTM; Andrade, CH</t>
  </si>
  <si>
    <t xml:space="preserve">Neves, Bruno J.; Braga, Rodolpho C.; Alves, Vinicius M.; Lima, Marilia N. N.; Cassiano, Gustavo C.; Muratov, Eugene N.; Costa, Fabio T. M.; Andrade, Carolina Horta</t>
  </si>
  <si>
    <t xml:space="preserve">Deep Learning-driven research for drug discovery: Tackling Malaria</t>
  </si>
  <si>
    <t xml:space="preserve">Malaria is an infectious disease that affects over 216 million people worldwide, killing over 445,000 patients annually. Due to the constant emergence of parasitic resistance to the current antimalarial drugs, the discovery of new drug candidates is a major global health priority. Aiming to make the drug discovery processes faster and less expensive, we developed binary and continuous Quantitative Structure-Activity Relationships (QSAR) models implementing deep learning for predicting antiplasmodial activity and cytotoxicity of untested compounds. Then, we applied the best models for a virtual screening of a large database of chemical compounds. The top computational predictions were evaluated experimentally against asexual blood stages of both sensitive and multi-drug-resistant Plasmodium falciparum strains. Among them, two compounds, LabMol-149 and LabMol-152, showed potent antiplasmodial activity at low nanomolar concentrations (EC50 &lt; 500 nM) and low cytotoxicity in mammalian cells. Therefore, the computational approach employing deep learning developed here allowed us to discover two new families of potential next generation antimalarial agents, which are in compliance with the guidelines and criteria for antimalarial target candidates.</t>
  </si>
  <si>
    <t xml:space="preserve">Brazil, United States
of America, Portugal, Ukraine</t>
  </si>
  <si>
    <t xml:space="preserve">PLOS COMPUTATIONAL BIOLOGY</t>
  </si>
  <si>
    <t xml:space="preserve">QSAR MODELS; BIG DATA; RESISTANCE; REPRESENTATION; PERMEABILITY; INTEGRATION; PARASITES; CURATION; BINDING; DESIGN</t>
  </si>
  <si>
    <t xml:space="preserve">[Neves, Bruno J.] Univ Ctr Anapolis, UniEVANGELICA, Lab Cheminformat, Anapolis, Go, Brazil; [Neves, Bruno J.; Alves, Vinicius M.; Lima, Marilia N. N.; Andrade, Carolina Horta] Univ Fed Goias, LabMol Lab Mol Modeling &amp; Drug Design, Fac Pharm, Goiania, Go, Brazil; [Braga, Rodolpho C.] InsilicAll, Sao Paulo, SP, Brazil; [Alves, Vinicius M.; Muratov, Eugene N.] Univ N Carolina, UNC Eshelman Sch Pharm, Lab Mol Modeling, Chapel Hill, NC 27515 USA; [Cassiano, Gustavo C.; Costa, Fabio T. M.; Andrade, Carolina Horta] Univ Estadual Campinas, Dept Genet Evolut Microbiol &amp; Immunol, Inst Biol, Lab Trop Dis Prof Dr Luiz Jacintho da Silva, Campinas, SP, Brazil; [Cassiano, Gustavo C.] Univ Nova Lisboa, IHMT, GHTM, Lisbon, Portugal; [Muratov, Eugene N.] Odessa Natl Polytech Univ, Dept Chem Technol, Odessa, Ukraine</t>
  </si>
  <si>
    <t xml:space="preserve">Centro Universitario de Anapolis; Universidade Federal de Goias; University of North Carolina; University of North Carolina Chapel Hill; Universidade Estadual de Campinas; Universidade de Sao Paulo; Universidade Nova de Lisboa; Institute of Hygiene &amp; Tropical Medicine - UNL; Ministry of Education &amp; Science of Ukraine; Odessa National Polytechnic University</t>
  </si>
  <si>
    <t xml:space="preserve">Andrade, CH (corresponding author), Univ Fed Goias, LabMol Lab Mol Modeling &amp; Drug Design, Fac Pharm, Goiania, Go, Brazil.;Andrade, CH (corresponding author), Univ Estadual Campinas, Dept Genet Evolut Microbiol &amp; Immunol, Inst Biol, Lab Trop Dis Prof Dr Luiz Jacintho da Silva, Campinas, SP, Brazil.</t>
  </si>
  <si>
    <t xml:space="preserve">Neves, Bruno/E-6295-2016; Muratov, Eugene/C-4454-2014; Alves, Vinicius/G-7955-2015; Capatti Cassiano, Gustavo/G-5728-2013; Braga, Rodolpho C./A-9655-2011; Andrade, Carolina/C-3960-2014</t>
  </si>
  <si>
    <t xml:space="preserve">Muratov, Eugene/0000-0003-4616-7036; Alves, Vinicius/0000-0002-6182-1748; Capatti Cassiano, Gustavo/0000-0002-6971-5974; Braga, Rodolpho C./0000-0003-3814-3464; Andrade, Carolina/0000-0003-0101-1492; Neves, Bruno/0000-0002-1309-8743</t>
  </si>
  <si>
    <t xml:space="preserve">CNPq; FAPEG; FAPESP [2012/16525-2, 2015/20774-6, 2017/18611-7, 2017/02353-9]; CAPES; NIH [1U01CA207160]; L'Oreal-UNESCO-ABC Para Mulheres na Ciencia; L'Oreal-UNESCO International Rising Talents</t>
  </si>
  <si>
    <t xml:space="preserve">CNPq(Conselho Nacional de Desenvolvimento Cientifico e Tecnologico (CNPQ)); FAPEG(Fundacao de Amparo a Pesquisa do Estado do Goias (FAPEG)); FAPESP(Fundacao de Amparo a Pesquisa do Estado de Sao Paulo (FAPESP)); CAPES(Coordenacao de Aperfeicoamento de Pessoal de Nivel Superior (CAPES)); NIH(United States Department of Health &amp; Human ServicesNational Institutes of Health (NIH) - USA); L'Oreal-UNESCO-ABC Para Mulheres na Ciencia(L'Oreal Group); L'Oreal-UNESCO International Rising Talents(L'Oreal Group)</t>
  </si>
  <si>
    <t xml:space="preserve">The authors would like to thank Brazilian funding agencies, CNPq, FAPEG, FAPESP, and CAPES for financial support and fellowships. FTMC, GCC, and CHA were supported by FAPESP (grants #2012/16525-2, #2015/20774-6, 2017/18611-7 and #2017/02353-9). ENM appreciate financial support of NIH (grant 1U01CA207160). CHA and FTMC are CNPq research fellows. CHA also thanks the L'Oreal-UNESCO-ABC Para Mulheres na Ciencia and L'Ore al-UNESCO International Rising Talents for the awards and fellowships received, which partially funded this work. The funders had no role in study design, data collection and analysis, decision to publish, or preparation of the manuscript.</t>
  </si>
  <si>
    <t xml:space="preserve">1553-734X</t>
  </si>
  <si>
    <t xml:space="preserve">1553-7358</t>
  </si>
  <si>
    <t xml:space="preserve">PLOS COMPUT BIOL</t>
  </si>
  <si>
    <t xml:space="preserve">e1007025</t>
  </si>
  <si>
    <t xml:space="preserve">10.1371/journal.pcbi.1007025</t>
  </si>
  <si>
    <t xml:space="preserve">Biochemical Research Methods; Mathematical &amp; Computational Biology</t>
  </si>
  <si>
    <t xml:space="preserve">Biochemistry &amp; Molecular Biology; Mathematical &amp; Computational Biology</t>
  </si>
  <si>
    <t xml:space="preserve">LE4YJ</t>
  </si>
  <si>
    <t xml:space="preserve">WOS:000526725200035</t>
  </si>
  <si>
    <t xml:space="preserve">Arshadi, AK; Salem, M; Collins, J; Yuan, JS; Chakrabarti, D</t>
  </si>
  <si>
    <t xml:space="preserve">Arshadi, Arash Keshavarzi; Salem, Milad; Collins, Jennifer; Yuan, Jiann Shiun; Chakrabarti, Debopam</t>
  </si>
  <si>
    <t xml:space="preserve">DeepMalaria: Artificial Intelligence Driven Discovery of Potent Antiplasmodials</t>
  </si>
  <si>
    <t xml:space="preserve">Antimalarial drugs are becoming less effective due to the emergence of drug resistance. Resistance has been reported for all available malaria drugs, including artemisinin, thus creating a perpetual need for alternative drug candidates. The traditional drug discovery approach of high throughput screening (HTS) of large compound libraries for identification of new drug leads is time-consuming and resource intensive. While virtual in silico screening is a solution to this problem, however, the generalization of the models is not ideal. Artificial intelligence (AI), utilizing either structure-based or ligand-based approaches, has demonstrated highly accurate performances in the field of chemical property prediction. Leveraging the existing data, AI would be a suitable alternative to blind-search HTS or fingerprint-based virtual screening. The AI model would learn patterns within the data and help to search for hit compounds efficiently. In this work, we introduce DeepMalaria, a deep-learning based process capable of predicting the anti-Plasmodium falciparum inhibitory properties of compounds using their SMILES. A graph-based model is trained on 13,446 publicly available antiplasmodial hit compounds from GlaxoSmithKline (GSK) dataset that are currently being used to find novel drug candidates for malaria. We validated this model by predicting hit compounds from a macrocyclic compound library and already approved drugs that are used for repurposing. We have chosen macrocyclic compounds as these ligand-binding structures are underexplored in malaria drug discovery. The in silico pipeline for this process also consists of additional validation of an in-house independent dataset consisting mostly of natural product compounds. Transfer learning from a large dataset was leveraged to improve the performance of the deep learning model. To validate the DeepMalaria generated hits, we used a commonly used SYBR Green I fluorescence assay based phenotypic screening. DeepMalaria was able to detect all the compounds with nanomolar activity and 87.5% of the compounds with greater than 50% inhibition. Further experiments to reveal the compounds' mechanism of action have shown that not only does one of the hit compounds, DC-9237, inhibits all asexual stages of Plasmodium falciparum, but is a fast-acting compound which makes it a strong candidate for further optimization.</t>
  </si>
  <si>
    <t xml:space="preserve">Graph Convolutional Neural Network Model</t>
  </si>
  <si>
    <t xml:space="preserve">artificial intelligence; malaria; drug discovery; virtual screening; deep learning; inhibition; toxicity</t>
  </si>
  <si>
    <t xml:space="preserve">NATURAL-PRODUCTS; DRUG DISCOVERY; MACROCYCLES; ASSAY</t>
  </si>
  <si>
    <t xml:space="preserve">[Arshadi, Arash Keshavarzi; Collins, Jennifer; Chakrabarti, Debopam] Univ Cent Florida, Burnett Sch Biomed Sci, Orlando, FL 32816 USA; [Salem, Milad; Yuan, Jiann Shiun] Univ Cent Florida, Dept Elect &amp; Comp Engn, Orlando, FL 32816 USA</t>
  </si>
  <si>
    <t xml:space="preserve">State University System of Florida; University of Central Florida; State University System of Florida; University of Central Florida</t>
  </si>
  <si>
    <t xml:space="preserve">Chakrabarti, D (corresponding author), Univ Cent Florida, Burnett Sch Biomed Sci, Orlando, FL 32816 USA.;Yuan, JS (corresponding author), Univ Cent Florida, Dept Elect &amp; Comp Engn, Orlando, FL 32816 USA.</t>
  </si>
  <si>
    <t xml:space="preserve">Jiann-Shiun.Yuan@ucf.edu; debopam.chakrabarti@ucf.edu</t>
  </si>
  <si>
    <t xml:space="preserve">Salem, Milad/HTR-9378-2023</t>
  </si>
  <si>
    <t xml:space="preserve">Salem, Milad/0000-0002-6703-6839</t>
  </si>
  <si>
    <t xml:space="preserve">(University of Central Florida, College of Medicine)</t>
  </si>
  <si>
    <t xml:space="preserve">Funding for this research is from intramural funding (University of Central Florida, College of Medicine).</t>
  </si>
  <si>
    <t xml:space="preserve">10.3389/fphar.2019.01526</t>
  </si>
  <si>
    <t xml:space="preserve">KG4XM</t>
  </si>
  <si>
    <t xml:space="preserve">WOS:000509951000001</t>
  </si>
  <si>
    <t xml:space="preserve">Couret, J; Moreira, DC; Bernier, D; Loberti, AM; Dotson, EM; Alvarez, M</t>
  </si>
  <si>
    <t xml:space="preserve">Couret, Jannelle; Moreira, Danilo C.; Bernier, Davin; Loberti, Aria Mia; Dotson, Ellen M.; Alvarez, Marco</t>
  </si>
  <si>
    <t xml:space="preserve">Delimiting cryptic morphological variation among human malaria vector species using convolutional neural networks</t>
  </si>
  <si>
    <t xml:space="preserve">Deep learning is a powerful approach for distinguishing classes of images, and there is a growing interest in applying these methods to delimit species, particularly in the identification of mosquito vectors. Visual identification of mosquito species is the foundation of mosquito-borne disease surveillance and management, but can be hindered by cryptic morphological variation in mosquito vector species complexes such as the malaria-transmitting Anopheles gambiae complex. We sought to apply Convolutional Neural Networks (CNNs) to images of mosquitoes as a proof-of-concept to determine the feasibility of automatic classification of mosquito sex, genus, species, and strains using whole-body, 2D images of mosquitoes. We introduce a library of 1, 709 images of adult mosquitoes collected from 16 colonies of mosquito vector species and strains originating from five geographic regions, with 4 cryptic species not readily distinguishable morphologically even by trained medical entomologists. We present a methodology for image processing, data augmentation, and training and validation of a CNN. Our best CNN configuration achieved high prediction accuracies of 96.96% for species identification and 98.48% for sex. Our results demonstrate that CNNs can delimit species with cryptic morphological variation, 2 strains of a single species, and specimens from a single colony stored using two different methods. We present visualizations of the CNN feature space and predictions for interpretation of our results, and we further discuss applications of our findings for future applications in malaria mosquito surveillance. Author summary Rapid and accurate identification of mosquitoes that transmit human pathogens is an essential part of mosquito-borne disease surveillance. Such identification can be difficult for mosquitoes that transmit malaria, as many are morphologically indistinguishable, including those in the Anopheles gambiae species complex. We photographed 1, 709 individual mosquitoes from 16 laboratory colonies housed at the Centers for Disease Control and Prevention to create a database of whole-body mosquito images. We present a methodology for image processing, data augmentation, and training and validation of a convolutional neural network (CNN). We applied this method to our mosquito image database, finding a 96.96% prediction accuracy for class identification and 98.48% for sex. Further, our best model accurately predicted images between 2 strains of a single species and between 2 storage methods of mosquitoes from the same colony. These results demonstrate that image classification with deep learning can be a useful method for malaria mosquito identification, even among species with cryptic morphological variation. We discuss the application of deep learning to mosquito identification in malaria mosquito surveillance.</t>
  </si>
  <si>
    <t xml:space="preserve">US, Brazil</t>
  </si>
  <si>
    <t xml:space="preserve">Image dataset</t>
  </si>
  <si>
    <t xml:space="preserve">Convolutional Neural Networks (CNNs)</t>
  </si>
  <si>
    <t xml:space="preserve">Accuracies of 96.96%
for species identification and 98.48% for sex</t>
  </si>
  <si>
    <t xml:space="preserve">ANOPHELES-GAMBIAE; IDENTIFICATION</t>
  </si>
  <si>
    <t xml:space="preserve">[Couret, Jannelle; Loberti, Aria Mia] Univ Rhode Isl, Dept Biol Sci, Kingston, RI 02881 USA; [Moreira, Danilo C.; Bernier, Davin; Alvarez, Marco] Univ Rhode Isl, Dept Comp Sci &amp; Stat, Kingston, RI 02881 USA; [Moreira, Danilo C.] Univ Fed Campina Grande, Dept Comp Sci, Campina Grande, Paraiba, Brazil; [Dotson, Ellen M.] Ctr Dis Control &amp; Prevent, Ctr Global Hlth, Div Parasit Dis &amp; Malaria, Atlanta, GA USA</t>
  </si>
  <si>
    <t xml:space="preserve">University of Rhode Island; University of Rhode Island; Universidade Federal de Campina Grande; Centers for Disease Control &amp; Prevention - USA; CDC Center for Global Health (CGH)</t>
  </si>
  <si>
    <t xml:space="preserve">Couret, J (corresponding author), Univ Rhode Isl, Dept Biol Sci, Kingston, RI 02881 USA.</t>
  </si>
  <si>
    <t xml:space="preserve">ncouret@uri.edu</t>
  </si>
  <si>
    <t xml:space="preserve">; Coura Moreira, Danilo/E-8847-2019</t>
  </si>
  <si>
    <t xml:space="preserve">Couret, Jannelle/0000-0002-5001-9039; Coura Moreira, Danilo/0000-0002-4681-4937</t>
  </si>
  <si>
    <t xml:space="preserve">USDA National Institute of Food and Agriculture, Hatch Regional Project [1021058]</t>
  </si>
  <si>
    <t xml:space="preserve">USDA National Institute of Food and Agriculture, Hatch Regional Project</t>
  </si>
  <si>
    <t xml:space="preserve">This work was supported by the USDA National Institute of Food and Agriculture, Hatch Regional Project 1021058. The funders had no role in study design, data collection and analysis, decision to publish, or preparation of the manuscript.</t>
  </si>
  <si>
    <t xml:space="preserve">e0008904</t>
  </si>
  <si>
    <t xml:space="preserve">10.1371/journal.pntd.0008904</t>
  </si>
  <si>
    <t xml:space="preserve">PI6BS</t>
  </si>
  <si>
    <t xml:space="preserve">WOS:000601174600002</t>
  </si>
  <si>
    <t xml:space="preserve">Liu, K; Zhang, M; Xi, GK; Deng, AP; Song, T; Li, QL; Kang, M; Yin, L</t>
  </si>
  <si>
    <t xml:space="preserve">Liu, Kang; Zhang, Meng; Xi, Guikai; Deng, Aiping; Song, Tie; Li, Qinglan; Kang, Min; Yin, Ling</t>
  </si>
  <si>
    <t xml:space="preserve">Enhancing fine-grained intra-urban dengue forecasting by integrating spatial interactions of human movements between urban regions</t>
  </si>
  <si>
    <t xml:space="preserve">Background As a mosquito-borne infectious disease, dengue fever (DF) has spread through tropical and subtropical regions worldwide in recent decades. Dengue forecasting is essential for enhancing the effectiveness of preventive measures. Current studies have been primarily conducted at national, sub-national, and city levels, while an intra-urban dengue forecasting at a fine spatial resolution still remains a challenging feat. As viruses spread rapidly because of a highly dynamic population flow, integrating spatial interactions of human movements between regions would be potentially beneficial for intra-urban dengue forecasting. Methodology In this study, a new framework for enhancing intra-urban dengue forecasting was developed by integrating the spatial interactions between urban regions. First, a graph-embedding technique called Node2Vec was employed to learn the embeddings (in the form of an N-dimensional real-valued vector) of the regions from their population flow network. As strongly interacting regions would have more similar embeddings, the embeddings can serve as interaction features. Then, the interaction features were combined with those commonly used features (e.g., temperature, rainfall, and population) to enhance the supervised learning-based dengue forecasting models at a fine-grained intra-urban scale. Results The performance of forecasting models (i.e., SVM, LASSO, and ANN) integrated with and without interaction features is tested and compared on township level dengue forecasting in Guangzhou, the most dengue threatened sub-tropical city in China. Results show that models using both common and interaction features can achieve better performance than that using common features alone. Conclusions The proposed approach for incorporating spatial interactions of human movements using graph-embedding technique is effective, which can help enhance fine-grained intra-urban dengue forecasting. Author summary Dengue fever, a mosquito-borne infectious disease, has become a serious public health problem in many tropical and subtropical regions worldwide, such as Southeast Asian countries and the Guangdong Province in China. In the absence of an effective vaccine at present, disease surveillance and mosquito control remain the primary means of controlling the spread of the disease. At an intra-urban setting, it is important to predict the spatial distribution of future patients, which can help government agencies to establish precise and targeted prevention measures beforehand. Considering the fast virus spread within a city because of a highly dynamic population flow, we propose a novel approach to enhancing fine-grained intra-urban dengue forecasting by integrating spatial interactions of human movements between urban regions. First, using a graph-embedding model called Node2Vec, the embeddings of the regions were learned from their population interaction network so that strongly interacted regions would have more similar embeddings. Secondly, serving as interaction features, the embeddings are combined with the commonly used features as inputs of the forecasting models. The results indicate that the performance of the models can be improved by incorporating the interaction features, confirming the effectiveness of our proposed strategy in enhancing fine-grained intra-urban dengue forecasting.</t>
  </si>
  <si>
    <t xml:space="preserve">Dengue </t>
  </si>
  <si>
    <t xml:space="preserve">HUMAN MOBILITY; TRANSMISSION; FEVER</t>
  </si>
  <si>
    <t xml:space="preserve">[Liu, Kang; Xi, Guikai; Li, Qinglan; Yin, Ling] Chinese Acad Sci, Shenzhen Inst Adv Technol, Shenzhen, Guangdong, Peoples R China; [Zhang, Meng; Deng, Aiping; Song, Tie; Kang, Min] Guangdong Prov Ctr Dis Control &amp; Prevent, Guangzhou, Guangdong, Peoples R China; [Xi, Guikai] Univ Chinese Acad Sci, Beijing, Peoples R China</t>
  </si>
  <si>
    <t xml:space="preserve">Chinese Academy of Sciences; Shenzhen Institute of Advanced Technology, CAS; Chinese Center for Disease Control &amp; Prevention; Guangdong Provincial Center for Disease Control &amp; Prevention; Chinese Academy of Sciences; University of Chinese Academy of Sciences, CAS</t>
  </si>
  <si>
    <t xml:space="preserve">Yin, L (corresponding author), Chinese Acad Sci, Shenzhen Inst Adv Technol, Shenzhen, Guangdong, Peoples R China.;Kang, M (corresponding author), Guangdong Prov Ctr Dis Control &amp; Prevent, Guangzhou, Guangdong, Peoples R China.</t>
  </si>
  <si>
    <t xml:space="preserve">kangmin@yeah.net; yinling@siat.ac.cn</t>
  </si>
  <si>
    <t xml:space="preserve">Kang, Min/JXM-6877-2024; Liu, Kang/AAG-8964-2020</t>
  </si>
  <si>
    <t xml:space="preserve">Li, Qinglan/0000-0002-6912-1156; Liu, Kang/0000-0001-7466-4123</t>
  </si>
  <si>
    <t xml:space="preserve">National Natural Science Foundation of China [41901391]; Shenzhen Basic Research Program [JCYJ20190807163001783]; Joint Engineering Research Center for Health Big Data Intelligent Analysis Technology</t>
  </si>
  <si>
    <t xml:space="preserve">National Natural Science Foundation of China(National Natural Science Foundation of China (NSFC)); Shenzhen Basic Research Program; Joint Engineering Research Center for Health Big Data Intelligent Analysis Technology</t>
  </si>
  <si>
    <t xml:space="preserve">This research was funded by National Natural Science Foundation of China (No. 41771441, recipent: LY), National Natural Science Foundation of China (No. 41901391, recipent: KL), Shenzhen Basic Research Program (No. JCYJ20190807163001783, recipent: KL), and the Joint Engineering Research Center for Health Big Data Intelligent Analysis Technology. The funders had no role in study design, data collection and analysis, decision to publish, or preparation of the manuscript.</t>
  </si>
  <si>
    <t xml:space="preserve">e0008924</t>
  </si>
  <si>
    <t xml:space="preserve">10.1371/journal.pntd.0008924</t>
  </si>
  <si>
    <t xml:space="preserve">PL2QZ</t>
  </si>
  <si>
    <t xml:space="preserve">WOS:000602974200005</t>
  </si>
  <si>
    <t xml:space="preserve">Soliman, M; Lyubchich, V; Gel, YR</t>
  </si>
  <si>
    <t xml:space="preserve">Soliman, Marwah; Lyubchich, Vyacheslav; Gel, Yulia R.</t>
  </si>
  <si>
    <t xml:space="preserve">Ensemble forecasting of the Zika space-time spread with topological data analysis</t>
  </si>
  <si>
    <t xml:space="preserve">As per the records of the World Health Organization, the first formally reported incidence of Zika virus occurred in Brazil in May 2015. The disease then rapidly spread to other countries in Americas and East Asia, affecting more than 1,000,000 people. Zika virus is primarily transmitted through bites of infected mosquitoes of the species Aedes (Aedes aegypti and Aedes albopictus). The abundance of mosquitoes and, as a result, the prevalence of Zika virus infections are common in areas which have high precipitation, high temperature, and high population density. Nonlinear spatio-temporal dependency of such data and lack of historical public health records make prediction of the virus spread particularly challenging. In this article, we enhance Zika forecasting by introducing the concepts of topological data analysis and, specifically, persistent homology of atmospheric variables, into the virus spread modeling. The topological summaries allow for capturing higher order dependencies among atmospheric variables that otherwise might be unassessable via conventional spatio-temporal modeling approaches based on geographical proximity assessed via Euclidean distance. We introduce a new concept of cumulative Betti numbers and then integrate the cumulative Betti numbers as topological descriptors into three predictive machine learning models: random forest, generalized boosted regression, and deep neural network. Furthermore, to better quantify for various sources of uncertainties, we combine the resulting individual model forecasts into an ensemble of the Zika spread predictions using Bayesian model averaging. The proposed methodology is illustrated in application to forecasting of the Zika space-time spread in Brazil in the year 2018.</t>
  </si>
  <si>
    <t xml:space="preserve">US</t>
  </si>
  <si>
    <t xml:space="preserve">Random Forest (RF), Boosted regression (BR), Deep feed-forward neural network (DFFN)</t>
  </si>
  <si>
    <t xml:space="preserve">ENVIRONMETRICS</t>
  </si>
  <si>
    <t xml:space="preserve">Bayesian model averaging; epidemics; machine learning; neural network; Zika virus</t>
  </si>
  <si>
    <t xml:space="preserve">VIRUS; MODEL; TRANSMISSION; OUTBREAK</t>
  </si>
  <si>
    <t xml:space="preserve">[Soliman, Marwah; Gel, Yulia R.] Univ Texas Dallas, Dept Math Sci, 800 West Campbell Rd, Richardson, TX 75080 USA; [Lyubchich, Vyacheslav] Univ Maryland, Chesapeake Biol Lab, Ctr Environm Sci, Solomons, MD 20688 USA</t>
  </si>
  <si>
    <t xml:space="preserve">University of Texas System; University of Texas Dallas; University System of Maryland; University of Maryland Center for Environmental Science</t>
  </si>
  <si>
    <t xml:space="preserve">Gel, YR (corresponding author), Univ Texas Dallas, Dept Math Sci, 800 West Campbell Rd, Richardson, TX 75080 USA.</t>
  </si>
  <si>
    <t xml:space="preserve">ygl@utdallas.edu</t>
  </si>
  <si>
    <t xml:space="preserve">Lyubchich, Vyacheslav/M-9516-2016</t>
  </si>
  <si>
    <t xml:space="preserve">Lyubchich, Vyacheslav/0000-0001-7936-4285</t>
  </si>
  <si>
    <t xml:space="preserve">NSF DMS [1925346]; Direct For Mathematical &amp; Physical Scien; Division Of Mathematical Sciences [1925346] Funding Source: National Science Foundation</t>
  </si>
  <si>
    <t xml:space="preserve">NSF DMS(National Science Foundation (NSF)NSF - Directorate for Mathematical &amp; Physical Sciences (MPS)); Direct For Mathematical &amp; Physical Scien; Division Of Mathematical Sciences(National Science Foundation (NSF)NSF - Directorate for Mathematical &amp; Physical Sciences (MPS))</t>
  </si>
  <si>
    <t xml:space="preserve">NSF DMS, Grant/Award Number: 1925346</t>
  </si>
  <si>
    <t xml:space="preserve">1180-4009</t>
  </si>
  <si>
    <t xml:space="preserve">1099-095X</t>
  </si>
  <si>
    <t xml:space="preserve">Environmetrics</t>
  </si>
  <si>
    <t xml:space="preserve">10.1002/env.2629</t>
  </si>
  <si>
    <t xml:space="preserve">Environmental Sciences; Mathematics, Interdisciplinary Applications; Statistics &amp; Probability</t>
  </si>
  <si>
    <t xml:space="preserve">Environmental Sciences &amp; Ecology; Mathematics</t>
  </si>
  <si>
    <t xml:space="preserve">OI6MX</t>
  </si>
  <si>
    <t xml:space="preserve">WOS:000530086100001</t>
  </si>
  <si>
    <t xml:space="preserve">Manescu, P; Shaw, MJ; Elmi, M; Neary-Zajiczek, L; Claveau, R; Pawar, V; Kokkinos, I; Oyinloye, G; Bendkowski, C; Oladejo, OA; Oladejo, BF; Clark, T; Timm, D; Shawe-Taylor, J; Srinivasan, MA; Lagunju, I; Sodeinde, O; Brown, BJ; Fernandez-Reyes, D</t>
  </si>
  <si>
    <t xml:space="preserve">Manescu, Petru; Shaw, Michael J.; Elmi, Muna; Neary-Zajiczek, Lydia; Claveau, Remy; Pawar, Vijay; Kokkinos, Iasonas; Oyinloye, Gbeminiyi; Bendkowski, Christopher; Oladejo, Olajide A.; Oladejo, Bolanle F.; Clark, Tristan; Timm, Denis; Shawe-Taylor, John; Srinivasan, Mandayam A.; Lagunju, Ikeoluwa; Sodeinde, Olugbemiro; Brown, Biobele J.; Fernandez-Reyes, Delmiro</t>
  </si>
  <si>
    <t xml:space="preserve">Expert-level automated malaria diagnosis on routine blood films with deep neural networks</t>
  </si>
  <si>
    <t xml:space="preserve">Over 200 million malaria cases globally lead to half a million deaths annually. Accurate malaria diagnosis remains a challenge. Automated imaging processing approaches to analyze Thick Blood Films (TBF) could provide scalable solutions, for urban healthcare providers in the holoendemic malaria sub-Saharan region. Although several approaches have been attempted to identify malaria parasites in TBF, none have achieved negative and positive predictive performance suitable for clinical use in the west sub-Saharan region. While malaria parasite object detection remains an intermediary step in achieving automatic patient diagnosis, training state-of-the-art deep-learning object detectors requires the human-expert labor-intensive process of labeling a large dataset of digitized TBF. To overcome these challenges and to achieve a clinically usable system, we show a novel approach. It leverages routine clinical-microscopy labels from our quality-controlled malaria clinics, to train a Deep Malaria Convolutional Neural Network classifier (DeepMCNN) for automated malaria diagnosis. Our system also provides total Malaria Parasite (MP) and White Blood Cell (WBC) counts allowing parasitemia estimation in MP/mu L, as recommended by the WHO. Prospective validation of the DeepMCNN achieves sensitivity/specificity of 0.92/0.90 against expert-level malaria diagnosis. Our approach PPV/NPV performance is of 0.92/0.90, which is clinically usable in our holoendemic settings in the densely populated metropolis of Ibadan. It is located within the most populous African country (Nigeria) and with one of the largest burdens of Plasmodium falciparum malaria. Our openly available method is of importance for strategies aimed to scale malaria diagnosis in urban regions where daily assessment of thousands of specimens is required.</t>
  </si>
  <si>
    <t xml:space="preserve">Deep Malaria Convolutional Neural Network classifier (DeepMCNN)</t>
  </si>
  <si>
    <t xml:space="preserve">AMERICAN JOURNAL OF HEMATOLOGY</t>
  </si>
  <si>
    <t xml:space="preserve">IMAGE-ANALYSIS; MICROSCOPY; PARASITES</t>
  </si>
  <si>
    <t xml:space="preserve">[Manescu, Petru; Shaw, Michael J.; Elmi, Muna; Neary-Zajiczek, Lydia; Claveau, Remy; Pawar, Vijay; Kokkinos, Iasonas; Bendkowski, Christopher; Clark, Tristan; Timm, Denis; Shawe-Taylor, John; Srinivasan, Mandayam A.; Sodeinde, Olugbemiro; Fernandez-Reyes, Delmiro] UCL, Dept Comp Sci, Fac Engn Sci, London, England; [Oyinloye, Gbeminiyi; Lagunju, Ikeoluwa; Sodeinde, Olugbemiro; Brown, Biobele J.; Fernandez-Reyes, Delmiro] Univ Ibadan, Univ Coll Hosp, Coll Med, Dept Paediat, Ibadan, Nigeria; [Oyinloye, Gbeminiyi; Lagunju, Ikeoluwa; Sodeinde, Olugbemiro; Brown, Biobele J.; Fernandez-Reyes, Delmiro] Univ Ibadan, Univ Coll Hosp, Coll Med, Childhood Malaria Res Grp, Ibadan, Nigeria; [Oladejo, Olajide A.; Oladejo, Bolanle F.] Univ Ibadan, Dept Comp Sci, Ibadan, Nigeria; [Oladejo, Olajide A.; Oladejo, Bolanle F.; Lagunju, Ikeoluwa; Brown, Biobele J.; Fernandez-Reyes, Delmiro] Univ Ibadan, African Computat Sci Ctr Hlth &amp; Dev, Ibadan, Nigeria</t>
  </si>
  <si>
    <t xml:space="preserve">University of London; University College London; University of Ibadan; University College Hospital, Ibadan; University of Ibadan; University College Hospital, Ibadan; University of Ibadan; University of Ibadan</t>
  </si>
  <si>
    <t xml:space="preserve">Fernandez-Reyes, D (corresponding author), UCL, Gower St, London WC1E 6BT, England.</t>
  </si>
  <si>
    <t xml:space="preserve">delmiro.fernandez-reyes@ucl.ac.uk</t>
  </si>
  <si>
    <t xml:space="preserve">Pawar, Vijay Manohar/0000-0003-1963-5201; Neary-Zajiczek, Lydia/0000-0002-0002-1480; Shawe-Taylor, John/0000-0002-2030-0073; Oyinloye, Gbeminiyi/0000-0003-2718-982X; Lagunju, Ikeoluwa/0000-0001-9814-1028</t>
  </si>
  <si>
    <t xml:space="preserve">Engineering and Physical Sciences Research Council [EP/P028608/1]; University College London; Department of Computer Science; United Kingdom Medical Research Council [MC_U117585869]; College of Medicine of the University of Ibadan; GCRF [EP/P028608/1] Funding Source: UKRI; MRC [MC_U117585869] Funding Source: UKRI</t>
  </si>
  <si>
    <t xml:space="preserve">Engineering and Physical Sciences Research Council(UK Research &amp; Innovation (UKRI)Engineering &amp; Physical Sciences Research Council (EPSRC)); University College London; Department of Computer Science; United Kingdom Medical Research Council(UK Research &amp; Innovation (UKRI)Medical Research Council UK (MRC)); College of Medicine of the University of Ibadan; GCRF(UK Research &amp; Innovation (UKRI)); MRC(UK Research &amp; Innovation (UKRI)Medical Research Council UK (MRC))</t>
  </si>
  <si>
    <t xml:space="preserve">Engineering and Physical Sciences Research Council, Grant/Award Number: EP/P028608/1; University College London; Department of Computer Science; United Kingdom Medical Research Council, Grant/Award Number: MC_U117585869; College of Medicine of the University of Ibadan</t>
  </si>
  <si>
    <t xml:space="preserve">0361-8609</t>
  </si>
  <si>
    <t xml:space="preserve">1096-8652</t>
  </si>
  <si>
    <t xml:space="preserve">AM J HEMATOL</t>
  </si>
  <si>
    <t xml:space="preserve">Am. J. Hematol.</t>
  </si>
  <si>
    <t xml:space="preserve">10.1002/ajh.25827</t>
  </si>
  <si>
    <t xml:space="preserve">APR 2020</t>
  </si>
  <si>
    <t xml:space="preserve">Hematology</t>
  </si>
  <si>
    <t xml:space="preserve">ML8SM</t>
  </si>
  <si>
    <t xml:space="preserve">WOS:000529616700001</t>
  </si>
  <si>
    <t xml:space="preserve">Lusk, R; Zimmerman, J; VanMaldeghem, K; Kim, S; Roth, NM; Lavinder, J; Fulton, A; Raycraft, M; Ellington, SR; Galang, RR</t>
  </si>
  <si>
    <t xml:space="preserve">Lusk, Richard; Zimmerman, John; VanMaldeghem, Kelley; Kim, Suzanna; Roth, Nicole M.; Lavinder, James; Fulton, Anna; Raycraft, Meghan; Ellington, Sascha R.; Galang, Romeo R.</t>
  </si>
  <si>
    <t xml:space="preserve">Exploratory analysis of machine learning approaches for surveillance of Zika-associated birth defects</t>
  </si>
  <si>
    <t xml:space="preserve">In 2016, Centers for Disease Control and Prevention (CDC) established surveillance of pregnant women with Zika virus infection and their infants in the U.S. states, territories, and freely associated states. To identify cases of Zika-associated birth defects, subject matter experts review data reported from medical records of completed pregnancies to identify findings that meet surveillance case criteria (manual review). The volume of reported data increased over the course of the Zika virus outbreak in the Americas, challenging the resources of the surveillance system to conduct manual review. Machine learning was explored as a possible method for predicting case status. Ensemble models (using machine learning algorithms including support vector machines, logistic regression, random forests,k-nearest neighbors, gradient boosted trees, and decision trees) were developed and trained using data collected from January 2016-October 2017. Models were developed separately, on data from the U.S. states, non-Puerto Rico territories, and freely associated states (referred to as the U.S. Zika Pregnancy and Infant Registry [USZPIR]) and data from Puerto Rico (referred to as the Zika Active Pregnancy Surveillance System [ZAPSS]) due to differences in data collection and storage methods. The machine learning models demonstrated high sensitivity for identifying cases while potentially reducing volume of data for manual review (USZPIR: 96% sensitivity, 25% reduction in review volume; ZAPSS: 97% sensitivity, 50% reduction in review volume). Machine learning models show potential for identifying cases of Zika-associated birth defects and for reducing volume of data for manual review, a potential benefit in other public health emergency response settings.</t>
  </si>
  <si>
    <t xml:space="preserve">U.S.
Puerto Rico</t>
  </si>
  <si>
    <t xml:space="preserve">Support vector machines, logistic regression, random forests, k-nearest neighbors, gradient boosted trees, and decision trees</t>
  </si>
  <si>
    <t xml:space="preserve">BIRTH DEFECTS RESEARCH</t>
  </si>
  <si>
    <t xml:space="preserve">birth defects; machine learning; surveillance; Zika virus</t>
  </si>
  <si>
    <t xml:space="preserve">VIRUS-INFECTION; OUTCOMES; INFANTS</t>
  </si>
  <si>
    <t xml:space="preserve">[Lusk, Richard; Zimmerman, John; VanMaldeghem, Kelley; Kim, Suzanna; Lavinder, James; Raycraft, Meghan] Deloitte Consulting LLP, 191 Peachtree St, Atlanta, GA 30303 USA; [Roth, Nicole M.; Fulton, Anna] Eagle Med Serv LLC, Alpharetta, GA USA; [Ellington, Sascha R.] US Ctr Dis Control &amp; Prevent, Div Reprod Hlth, Natl Ctr Chron Dis Prevent &amp; Hlth Promot, Atlanta, GA USA; [Galang, Romeo R.] US Ctr Dis Control &amp; Prevent, Div Birth Defects &amp; Infant Disorders, Natl Ctr Birth Defects &amp; Dev Disabil, Atlanta, GA USA</t>
  </si>
  <si>
    <t xml:space="preserve">Deloitte Touche Tohmatsu Limited; Centers for Disease Control &amp; Prevention - USA; Centers for Disease Control &amp; Prevention - USA; CDC National Center on Birth Defects &amp; Developmental Disabilities (NCBDD)</t>
  </si>
  <si>
    <t xml:space="preserve">Zimmerman, J (corresponding author), Deloitte Consulting LLP, 191 Peachtree St, Atlanta, GA 30303 USA.</t>
  </si>
  <si>
    <t xml:space="preserve">jzimmerman@deloitte.com</t>
  </si>
  <si>
    <t xml:space="preserve">Galang, Romeo/0000-0001-9837-0699</t>
  </si>
  <si>
    <t xml:space="preserve">US Centers for Disease Control and Prevention</t>
  </si>
  <si>
    <t xml:space="preserve">US Centers for Disease Control and Prevention(United States Department of Health &amp; Human ServicesCenters for Disease Control &amp; Prevention - USA)</t>
  </si>
  <si>
    <t xml:space="preserve">2472-1727</t>
  </si>
  <si>
    <t xml:space="preserve">BIRTH DEFECTS RES</t>
  </si>
  <si>
    <t xml:space="preserve">Birth Defects Res.</t>
  </si>
  <si>
    <t xml:space="preserve">10.1002/bdr2.1767</t>
  </si>
  <si>
    <t xml:space="preserve">AUG 2020</t>
  </si>
  <si>
    <t xml:space="preserve">Developmental Biology; Toxicology</t>
  </si>
  <si>
    <t xml:space="preserve">OI5OC</t>
  </si>
  <si>
    <t xml:space="preserve">WOS:000560702200001</t>
  </si>
  <si>
    <t xml:space="preserve">Alessio, GD; de Araújo, FF; Silva, JS; Sales, PA Jr; Gomes, MD; do Amaral, LR; Ramírez, JD; Flórez, C; Teixeira-Carvalho, A; Pinheiro, MD; de Lana, M; Martins, OA</t>
  </si>
  <si>
    <t xml:space="preserve">Alessio, Glaucia Diniz; de Araujo, Fernanda Fortes; Silva, Jessica Spinola; Sales Junior, Policarpo Ademar; Gomes, Matheus de Souza; do Amaral, Laurence Rodrigues; Ramirez, Juan David; Florez, Carolina; Teixeira-Carvalho, Andrea; Pinheiro, Melina de Barros; de Lana, Marta; Martins-Filho, Olindo Assis</t>
  </si>
  <si>
    <t xml:space="preserve">Human Chagas-Flow ATE-IgG1 for advanced universal and Trypanosoma cruzi Discrete Typing Units-specific serodiagnosis of Chagas disease</t>
  </si>
  <si>
    <t xml:space="preserve">The molecular and serological methods available for Discrete Typing Units (DTU)-specific diagnosis of Trypanosoma cruzi in chronic Chagas disease present limitations. The study evaluated the performance of Human Chagas-Flow ATE-IgG1 for universal and DTU-specific diagnosis of Chagas disease. A total of 102 sera from Chagas disease patients (CH) chronically infected with TcI, TcVI or TcII DTUs were tested for IgG1 reactivity to amastigote/(A), trypomastigote/(T) and epimastigote/(E) antigens along the titration curve (1:250- 1:32,000). The results demonstrated that AI 250/40%, EVI 250/30%, AII 250/40%, TII 250/40% and EII 250/30% have outstanding accuracy (100%) to segregate CH from non-infected controls. The attributes TI 4,000/50%, EI 2,000/50%, AVI 8,000/60% and TVI 4,000/50% were selected for DTU-specific serotyping of Chagas disease. The isolated use of EI 2,000/50% provided the highest co-positivity for TcI patients (91%). The combined decision tree algorithms using the pre-defined sets of attributes showed outstanding full accuracy (92% and 97%) to discriminate TcI vs TcVI vs TcII and TcI vs TcII prototypes, respectively. The elevated performance of Human Chagas-Flow ATE-IgG1 qualifies its use for universal and TcI/TcVI/TcII-specific diagnosis of Chagas disease. These findings further support the application of this method in epidemiological surveys, post-therapeutic monitoring and clinical outcome follow-ups for Chagas disease.</t>
  </si>
  <si>
    <t xml:space="preserve">Brazil, Colombia</t>
  </si>
  <si>
    <t xml:space="preserve">Colombia, Brazil</t>
  </si>
  <si>
    <t xml:space="preserve">CLONAL EVOLUTION; POPULATION-GENETICS; CLINICAL FORMS; I GENOTYPES; STRAINS; DIVERSITY; BENZNIDAZOLE; INFECTION; SELECTION; TISSUES</t>
  </si>
  <si>
    <t xml:space="preserve">[Alessio, Glaucia Diniz; de Araujo, Fernanda Fortes; Teixeira-Carvalho, Andrea; Martins-Filho, Olindo Assis] Inst Rene Rachou FIOCRUZ Minas, Grp Integrad Pesquisas Biomarcadores, Belo Horizonte, MG, Brazil; [Alessio, Glaucia Diniz; Silva, Jessica Spinola; Pinheiro, Melina de Barros] Univ Fed Sao Joao Del Rei, Histopatol &amp; Anal Clin, Lab CT Infra 2, Campus Ctr Oeste Dona Lindu, Divinopolis, MG, Brazil; [Sales Junior, Policarpo Ademar] Inst Rene Rachou FIOCRUZ Minas, Grp Genom Func &amp; Proteom Leishmania Spp &amp; Trypano, Belo Horizonte, MG, Brazil; [Gomes, Matheus de Souza; do Amaral, Laurence Rodrigues] Univ Fed Uberlandia, Rede Multidisciplinar Pesquisa Ciencia &amp; Tecnol, Lab Bioinformat &amp; Anal Mol, Campus Patos de Minas, Patos De Minas, MG, Brazil; [Ramirez, Juan David] Univ Rosario, Fac Ciencias Nat, Dept Biol, Grp Invest Microbiol UR GIMUR, Bogota, Colombia; [Florez, Carolina] Inst Nacl Salud, Bogota, Colombia; [de Lana, Marta] Univ Fed Ouro Preto UFOP, Inst Ciencias Exatas &amp; Biol ICEB, Nucleo Pesquisas Ciencias Biol NUPEB, Lab Doenca Chagas, Ouro Preto, MG, Brazil</t>
  </si>
  <si>
    <t xml:space="preserve">Universidade Federal de Sao Joao del-Rei; Universidade Federal de Uberlandia; Universidad del Rosario; Instituto Nacional de Salud (Colombia); Universidade Federal de Ouro Preto</t>
  </si>
  <si>
    <t xml:space="preserve">Alessio, GD (corresponding author), Inst Rene Rachou FIOCRUZ Minas, Grp Integrad Pesquisas Biomarcadores, Belo Horizonte, MG, Brazil.;Alessio, GD; Pinheiro, MD (corresponding author), Univ Fed Sao Joao Del Rei, Histopatol &amp; Anal Clin, Lab CT Infra 2, Campus Ctr Oeste Dona Lindu, Divinopolis, MG, Brazil.</t>
  </si>
  <si>
    <t xml:space="preserve">glauciabiologia@yahoo.com.br</t>
  </si>
  <si>
    <t xml:space="preserve">Barros-Pinheiro, Melina/LRU-9800-2024; Martins-Filho, Olindo Assis/ABE-6278-2021; de Souza Gomes, Matheus/G-3480-2012; Ramirez, Juan David/F-3524-2016</t>
  </si>
  <si>
    <t xml:space="preserve">Martins-Filho, Olindo Assis/0000-0002-5494-4889; de Barros Pinheiro, Melina/0000-0001-6895-3543; de Souza Gomes, Matheus/0000-0001-7352-3089; Ramirez, Juan David/0000-0002-1344-9312</t>
  </si>
  <si>
    <t xml:space="preserve">Fundacao de Amparo a Pesquisa do Estado de Minas Gerais (FAPEMIG); Conselho Nacional de Desenvolvimento Cientifico e Tecnologico (CNPq); Coordenadoria de Aperfeicoamento de Pessoal de Nivel Superior (CAPES); Instituto Rene Rachou; Universidade Federal de Ouro Preto; CNPq; FAPEAM (PVN-II, PRO-ESTADO Program) [005/2019]</t>
  </si>
  <si>
    <t xml:space="preserve">Fundacao de Amparo a Pesquisa do Estado de Minas Gerais (FAPEMIG)(Fundacao de Amparo a Pesquisa do Estado de Minas Gerais (FAPEMIG)Fundacao de Amparo a Pesquisa e Inovacao do Estado de Santa Catarina (FAPESC)); Conselho Nacional de Desenvolvimento Cientifico e Tecnologico (CNPq)(Conselho Nacional de Desenvolvimento Cientifico e Tecnologico (CNPQ)); Coordenadoria de Aperfeicoamento de Pessoal de Nivel Superior (CAPES)(Coordenacao de Aperfeicoamento de Pessoal de Nivel Superior (CAPES)); Instituto Rene Rachou; Universidade Federal de Ouro Preto; CNPq(Conselho Nacional de Desenvolvimento Cientifico e Tecnologico (CNPQ)); FAPEAM (PVN-II, PRO-ESTADO Program)</t>
  </si>
  <si>
    <t xml:space="preserve">The authors thank the Program for Technological Development in tools for Health-RPT-FIOCRUZ for the use of its facilities. This work was supported by Fundacao de Amparo a Pesquisa do Estado de Minas Gerais (FAPEMIG), Conselho Nacional de Desenvolvimento Cientifico e Tecnologico (CNPq), Coordenadoria de Aperfeicoamento de Pessoal de Nivel Superior (CAPES), Instituto Rene Rachou and Universidade Federal de Ouro Preto. GDA and FFA received PDJ and PDS research fellowship, respectively, from CNPq. AT-C and OAM-F received fellowships from CNPq. OAM-F is a research fellow from FAPEAM (PVN-II, PRO-ESTADO Program #005/2019).</t>
  </si>
  <si>
    <t xml:space="preserve">AUG 6</t>
  </si>
  <si>
    <t xml:space="preserve">10.1038/s41598-020-69921-z</t>
  </si>
  <si>
    <t xml:space="preserve">NT9CG</t>
  </si>
  <si>
    <t xml:space="preserve">WOS:000573235600078</t>
  </si>
  <si>
    <t xml:space="preserve">Masud, M; Alhumyani, H; Alshamrani, SS; Cheikhrouhou, O; Ibrahim, S; Muhammad, G; Hossain, MS; Shorfuzzaman, M</t>
  </si>
  <si>
    <t xml:space="preserve">Masud, Mehedi; Alhumyani, Hesham; Alshamrani, Sultan S.; Cheikhrouhou, Omar; Ibrahim, Saleh; Muhammad, Ghulam; Hossain, M. Shamim; Shorfuzzaman, Mohammad</t>
  </si>
  <si>
    <t xml:space="preserve">Leveraging Deep Learning Techniques for Malaria Parasite Detection Using Mobile Application</t>
  </si>
  <si>
    <t xml:space="preserve">Malaria is a contagious disease that affects millions of lives every year. Traditional diagnosis of malaria in laboratory requires an experienced person and careful inspection to discriminate healthy and infected red blood cells (RBCs). It is also very time-consuming and may produce inaccurate reports due to human errors. Cognitive computing and deep learning algorithms simulate human intelligence to make better human decisions in applications like sentiment analysis, speech recognition, face detection, disease detection, and prediction. Due to the advancement of cognitive computing and machine learning techniques, they are now widely used to detect and predict early disease symptoms in healthcare field. With the early prediction results, healthcare professionals can provide better decisions for patient diagnosis and treatment. Machine learning algorithms also aid the humans to process huge and complex medical datasets and then analyze them into clinical insights. This paper looks for leveraging deep learning algorithms for detecting a deadly disease, malaria, for mobile healthcare solution of patients building an effective mobile system. The objective of this paper is to show how deep learning architecture such as convolutional neural network (CNN) which can be useful in real-time malaria detection effectively and accurately from input images and to reduce manual labor with a mobile application. To this end, we evaluate the performance of a custom CNN model using a cyclical stochastic gradient descent (SGD) optimizer with an automatic learning rate finder and obtain an accuracy of 97.30% in classifying healthy and infected cell images with a high degree of precision and sensitivity. This outcome of the paper will facilitate microscopy diagnosis of malaria to a mobile application so that reliability of the treatment and lack of medical expertise can be solved.</t>
  </si>
  <si>
    <t xml:space="preserve">Bangladesh </t>
  </si>
  <si>
    <t xml:space="preserve">Accuracy of 97.30%</t>
  </si>
  <si>
    <t xml:space="preserve">WIRELESS COMMUNICATIONS &amp; MOBILE COMPUTING</t>
  </si>
  <si>
    <t xml:space="preserve">MACHINE; CLASSIFICATION; DIAGNOSIS; EDGE</t>
  </si>
  <si>
    <t xml:space="preserve">[Masud, Mehedi; Alhumyani, Hesham; Alshamrani, Sultan S.; Cheikhrouhou, Omar; Shorfuzzaman, Mohammad] Taif Univ, Coll Comp &amp; Informat Technol, At Taif 21974, Saudi Arabia; [Ibrahim, Saleh] Taif Univ, Elect Engn Dept, At Taif, Saudi Arabia; [Ibrahim, Saleh] Cairo Univ, Comp Engn Dept, Cairo, Egypt; [Muhammad, Ghulam] King Saud Univ, Dept Comp Engn, Coll Comp &amp; Informat Sci, Riyadh 11543, Saudi Arabia; [Hossain, M. Shamim] King Saud Univ, Coll Comp &amp; Informat Sci, Dept Software Engn, Riyadh 11543, Saudi Arabia</t>
  </si>
  <si>
    <t xml:space="preserve">Taif University; Taif University; Egyptian Knowledge Bank (EKB); Cairo University; King Saud University; King Saud University</t>
  </si>
  <si>
    <t xml:space="preserve">Hossain, MS (corresponding author), King Saud Univ, Coll Comp &amp; Informat Sci, Dept Software Engn, Riyadh 11543, Saudi Arabia.</t>
  </si>
  <si>
    <t xml:space="preserve">mshossain@ksu.edu.sa</t>
  </si>
  <si>
    <t xml:space="preserve">Alshamrani, Saad/AAM-8645-2020; Cheikhrouhou, Omar/AGJ-4666-2022; Hossain, M./K-1362-2014; Masud, Mehedi/AAZ-7022-2020; Shorfuzzaman, Mohammad/AAZ-1145-2020; Muhammad, Ghulam/H-5884-2011</t>
  </si>
  <si>
    <t xml:space="preserve">cheikhrouhou, omar/0000-0002-9898-3898; Alshamrani, Sultan/0000-0001-8194-9354; Masud, Mehedi/0000-0001-6019-7245; Shorfuzzaman, Mohammad/0000-0002-8050-8431; Muhammad, Ghulam/0000-0002-9781-3969; Ibrahim, Saleh/0000-0002-7135-9366; Hossain, M. Shamim/0000-0001-5906-9422</t>
  </si>
  <si>
    <t xml:space="preserve">Deanship of Scientific Research, Taif University, KSA [1-440-6146]</t>
  </si>
  <si>
    <t xml:space="preserve">Deanship of Scientific Research, Taif University, KSA</t>
  </si>
  <si>
    <t xml:space="preserve">This study was funded by the Deanship of Scientific Research, Taif University, KSA (Research Project number: 1-440-6146).</t>
  </si>
  <si>
    <t xml:space="preserve">1530-8669</t>
  </si>
  <si>
    <t xml:space="preserve">1530-8677</t>
  </si>
  <si>
    <t xml:space="preserve">WIREL COMMUN MOB COM</t>
  </si>
  <si>
    <t xml:space="preserve">Wirel. Commun. Mob. Comput.</t>
  </si>
  <si>
    <t xml:space="preserve">JUL 8</t>
  </si>
  <si>
    <t xml:space="preserve">10.1155/2020/8895429</t>
  </si>
  <si>
    <t xml:space="preserve">MP7KJ</t>
  </si>
  <si>
    <t xml:space="preserve">WOS:000552380000001</t>
  </si>
  <si>
    <t xml:space="preserve">Morang'a, CM; Amenga-Etego, L; Bah, SY; Appiah, V; Amuzu, DSY; Amoako, N; Abugri, J; Oduro, AR; Cunnington, AJ; Awandare, GA; Otto, TD</t>
  </si>
  <si>
    <t xml:space="preserve">Morang'a, Collins M.; Amenga-Etego, Lucas; Bah, Saikou Y.; Appiah, Vincent; Amuzu, Dominic S. Y.; Amoako, Nicholas; Abugri, James; Oduro, Abraham R.; Cunnington, Aubrey J.; Awandare, Gordon A.; Otto, Thomas D.</t>
  </si>
  <si>
    <t xml:space="preserve">Machine learning approaches classify clinical malaria outcomes based on haematological parameters</t>
  </si>
  <si>
    <t xml:space="preserve">Background Malaria is still a major global health burden, with more than 3.2 billion people in 91 countries remaining at risk of the disease. Accurately distinguishing malaria from other diseases, especially uncomplicated malaria (UM) from non-malarial infections (nMI), remains a challenge. Furthermore, the success of rapid diagnostic tests (RDTs) is threatened by Pfhrp2/3 deletions and decreased sensitivity at low parasitaemia. Analysis of haematological indices can be used to support the identification of possible malaria cases for further diagnosis, especially in travellers returning from endemic areas. As a new application for precision medicine, we aimed to evaluate machine learning (ML) approaches that can accurately classify nMI, UM, and severe malaria (SM) using haematological parameters. Methods We obtained haematological data from 2,207 participants collected in Ghana: nMI (n = 978), SM (n = 526), and UM (n = 703). Six different ML approaches were tested, to select the best approach. An artificial neural network (ANN) with three hidden layers was used for multi-classification of UM, SM, and uMI. Binary classifiers were developed to further identify the parameters that can distinguish UM or SM from nMI. Local interpretable model-agnostic explanations (LIME) were used to explain the binary classifiers. Results The multi-classification model had greater than 85% training and testing accuracy to distinguish clinical malaria from nMI. To distinguish UM from nMI, our approach identified platelet counts, red blood cell (RBC) counts, lymphocyte counts, and percentages as the top classifiers of UM with 0.801 test accuracy (AUC = 0.866 and F1 score = 0.747). To distinguish SM from nMI, the classifier had a test accuracy of 0.96 (AUC = 0.983 and F1 score = 0.944) with mean platelet volume and mean cell volume being the unique classifiers of SM. Random forest was used to confirm the classifications, and it showed that platelet and RBC counts were the major classifiers of UM, regardless of possible confounders such as patient age and sampling location. Conclusion The study provides proof of concept methods that classify UM and SM from nMI, showing that the ML approach is a feasible tool for clinical decision support. In the future, ML approaches could be incorporated into clinical decision-support algorithms for the diagnosis of acute febrile illness and monitoring response to acute SM treatment particularly in endemic settings.</t>
  </si>
  <si>
    <t xml:space="preserve">Ghana, UK</t>
  </si>
  <si>
    <t xml:space="preserve">Partial least squares (PLS) logistic regression, multiple adaptive regression splines (MARS), random forest, decision trees, support vector machine, and artificial neural networks (ANN</t>
  </si>
  <si>
    <t xml:space="preserve">Machine learning; Uncomplicated Malaria; Severe Malaria; Haematological parameters; Classification</t>
  </si>
  <si>
    <t xml:space="preserve">DIAGNOSTIC-ACCURACY; BIG DATA; PREDICTION</t>
  </si>
  <si>
    <t xml:space="preserve">[Morang'a, Collins M.; Amenga-Etego, Lucas; Bah, Saikou Y.; Appiah, Vincent; Amuzu, Dominic S. Y.; Amoako, Nicholas; Awandare, Gordon A.] Univ Ghana, West African Ctr Cell Biol Infect Pathogens WACCB, Dept Biochem Cell &amp; Mol Biol, Legon, Accra, Ghana; [Bah, Saikou Y.] Univ Sheffield, Mol Biol &amp; Biotechnol, Florey Inst, Sheffield, S Yorkshire, England; [Abugri, James] CK Tedam Univ Technol &amp; Appl Sci, Dept Appl Chem &amp; Biochem, Navrongo, Ghana; [Oduro, Abraham R.] Minist Hlth, Navrongo Hlth Res Ctr NHRC, Navrongo, Ghana; [Cunnington, Aubrey J.] Imperial Coll London, Dept Infect Dis, Sect Pediat Infect Dis, London, England; [Otto, Thomas D.] Univ Glasgow, Inst Infect Immun &amp; Inflammat, MVLS, Glasgow, Lanark, Scotland</t>
  </si>
  <si>
    <t xml:space="preserve">University of Ghana; University of Sheffield; Imperial College London; University of Glasgow</t>
  </si>
  <si>
    <t xml:space="preserve">Amenga-Etego, L (corresponding author), Univ Ghana, West African Ctr Cell Biol Infect Pathogens WACCB, Dept Biochem Cell &amp; Mol Biol, Legon, Accra, Ghana.;Otto, TD (corresponding author), Univ Glasgow, Inst Infect Immun &amp; Inflammat, MVLS, Glasgow, Lanark, Scotland.</t>
  </si>
  <si>
    <t xml:space="preserve">lamenga-etego@ug.edu.gh; Thomasdan.otto@glasgow.ac.uk</t>
  </si>
  <si>
    <t xml:space="preserve">Awandare, Gordon/J-1392-2019; Otto, Thomas/ABE-7632-2020; James, Abugri/H-4964-2019; Amuzu, Dominic/GOE-6736-2022</t>
  </si>
  <si>
    <t xml:space="preserve">Cunnington, Aubrey/0000-0002-1305-3529; Awandare, Gordon/0000-0002-8793-3641; Morang'a, Collins/0000-0002-6988-150X; Amuzu, Dominic Selorm Yao/0000-0002-8920-0708; Appiah, Vincent/0000-0002-1532-0037; ODURO, ABRAHAM/0000-0002-4191-7419; Otto, Thomas/0000-0002-1246-7404; James, Abugri/0000-0003-1871-8048; Bah, Saikou Y/0000-0002-0309-6509</t>
  </si>
  <si>
    <t xml:space="preserve">DELTAS Africa grant [DEL-15-007]; New Partnership for Africa's Development Planning and Coordinating Agency (NEPAD Agency); Wellcome Trust [107755/Z/15/Z, 104111/Z/14/ZR]; UK government</t>
  </si>
  <si>
    <t xml:space="preserve">DELTAS Africa grant; New Partnership for Africa's Development Planning and Coordinating Agency (NEPAD Agency); Wellcome Trust(Wellcome Trust); UK government</t>
  </si>
  <si>
    <t xml:space="preserve">The study was supported by a DELTAS Africa grant (DEL-15-007: Awandare). The DELTAS Africa Initiative is an independent funding scheme of the African Academy of Sciences (AAS)'s Alliance for Accelerating Excellence in Science in Africa (AESA) and supported by the New Partnership for Africa's Development Planning and Coordinating Agency (NEPAD Agency) with funding from the Wellcome Trust (107755/Z/15/Z: Awandare) and the UK government. TO is supported by the Wellcome Trust grant 104111/Z/14/ZR. The funder had no role in the study design and where to publish. The views expressed in this publication are those of the authors and not necessarily those of AAS, NEPAD Agency, Wellcome Trust, or the UK government.</t>
  </si>
  <si>
    <t xml:space="preserve">NOV 30</t>
  </si>
  <si>
    <t xml:space="preserve">10.1186/s12916-020-01823-3</t>
  </si>
  <si>
    <t xml:space="preserve">PB7LT</t>
  </si>
  <si>
    <t xml:space="preserve">Green Published, Green Submitted, Green Accepted, gold</t>
  </si>
  <si>
    <t xml:space="preserve">WOS:000596498900001</t>
  </si>
  <si>
    <t xml:space="preserve">García-Díaz, JA; Cánovas-García, M; Valencia-García, R</t>
  </si>
  <si>
    <t xml:space="preserve">Garcia-Diaz, Jose Antonio; Canovas-Garcia, Mar; Valencia-Garcia, Rafael</t>
  </si>
  <si>
    <t xml:space="preserve">Ontology-driven aspect-based sentiment analysis classification: An infodemiological case study regarding infectious diseases in Latin America</t>
  </si>
  <si>
    <t xml:space="preserve">Infodemiology is the process of mining unstructured and textual data so as to provide public health officials and policymakers with valuable information regarding public health. The appearance of this new data source, which was previously unimaginable, has opened up a new way in which to improve public health systems, resulting in better communication policies and better detection systems. However, the unstructured nature of the Internet, along with the complexity of the infectious disease domain, prevents the information extracted from being easily understood. Moreover, when dealing with languages other than English, for which some of the most common Natural Language Processing resources are not available, the correct exploitation of this data becomes even more difficult. We intend to fill these gaps proposing an ontology-driven aspect-based sentiment analysis with which to measure the general public's opinions as regards infectious diseases when expressed in Spanish by employing a case study of tweets concerning the Zika, Dengue and Chikungunya viruses in Latin America. Our proposal is based on two technologies. We first use ontologies in order to model the infectious disease domain with concepts such as risks, symptoms, transmission methods or drugs, among other concepts. We then measure the relationship between these concepts in order to determine the degree to which one concept influences other concepts. This new information is subsequently applied in order to build an aspect-based sentiment analysis model based on statistical and linguistic features. This is done by applying deep-learning models. Our proposal is available on a web platform, where users can see the sentiment for each concept at a glance and analyse how each concept influences the sentiment of the others. (c) 2020 Elsevier B.V. All rights reserved.</t>
  </si>
  <si>
    <t xml:space="preserve">Zika, Dengue, Chikungunya</t>
  </si>
  <si>
    <t xml:space="preserve">Multilayer perceptron
Convolutional neural-networks (CNN)
Long Short Term Memory (LSTM): normal and bidirectional</t>
  </si>
  <si>
    <t xml:space="preserve">FUTURE GENERATION COMPUTER SYSTEMS-THE INTERNATIONAL JOURNAL OF ESCIENCE</t>
  </si>
  <si>
    <t xml:space="preserve">Aspect-based sentiment analysis; Infodemiology; Deep learning; Ontologies</t>
  </si>
  <si>
    <t xml:space="preserve">CURRENT TRENDS; KNOWLEDGE; LINKING; SPANISH; EBOLA</t>
  </si>
  <si>
    <t xml:space="preserve">[Garcia-Diaz, Jose Antonio; Canovas-Garcia, Mar; Valencia-Garcia, Rafael] Univ Murcia, Dept Informat &amp; Sistemas, Murcia 30100, Spain</t>
  </si>
  <si>
    <t xml:space="preserve">University of Murcia</t>
  </si>
  <si>
    <t xml:space="preserve">Valencia-García, R (corresponding author), Univ Murcia, Dept Informat &amp; Sistemas, Murcia 30100, Spain.</t>
  </si>
  <si>
    <t xml:space="preserve">joseantonio.garcia8@um.es; mariamar.canovasg@um.es; valencia@um.es</t>
  </si>
  <si>
    <t xml:space="preserve">Valencia-Garcia, Rafael/L-4759-2014</t>
  </si>
  <si>
    <t xml:space="preserve">Spanish National Research Agency (AEI); European Regional Development Fund (FEDER/ERDF) through project KBS4FIA [TIN2016-76323-R]; Banco Santander; University of Murcia; European Regional Development Fund (FEDER/ERDF) through project LaTe4PSP [PID2019-107652RB-I00]</t>
  </si>
  <si>
    <t xml:space="preserve">Spanish National Research Agency (AEI)(Spanish Government); European Regional Development Fund (FEDER/ERDF) through project KBS4FIA(European Union (EU)Marie Curie Actions); Banco Santander; University of Murcia; European Regional Development Fund (FEDER/ERDF) through project LaTe4PSP(European Union (EU)Marie Curie Actions)</t>
  </si>
  <si>
    <t xml:space="preserve">This work has been supported by the Spanish National Research Agency (AEI) and the European Regional Development Fund (FEDER/ERDF) through projects KBS4FIA (TIN2016-76323-R) and LaTe4PSP (PID2019-107652RB-I00). In addition, Jose Antonio Garcia-Diaz has been supported by Banco Santander and University of Murcia through the Doctorado industrial programme.</t>
  </si>
  <si>
    <t xml:space="preserve">0167-739X</t>
  </si>
  <si>
    <t xml:space="preserve">1872-7115</t>
  </si>
  <si>
    <t xml:space="preserve">FUTURE GENER COMP SY</t>
  </si>
  <si>
    <t xml:space="preserve">Futur. Gener. Comp. Syst.</t>
  </si>
  <si>
    <t xml:space="preserve">10.1016/j.future.2020.06.019</t>
  </si>
  <si>
    <t xml:space="preserve">NM0WQ</t>
  </si>
  <si>
    <t xml:space="preserve">WOS:000567825900012</t>
  </si>
  <si>
    <t xml:space="preserve">Khan, ZA; Feng, ZY; Uddin, MI; Mast, N; Shah, SAA; Imtiaz, M; Al-Khasawneh, MA; Mahmoud, M</t>
  </si>
  <si>
    <t xml:space="preserve">Alam Khan, Zahid; Feng, Zhengyong; Uddin, M. Irfan; Mast, Noor; Ali Shah, Syed Atif; Imtiaz, Muhammad; Al-Khasawneh, Mahmoud Ahmad; Mahmoud, Marwan</t>
  </si>
  <si>
    <t xml:space="preserve">Optimal Policy Learning for Disease Prevention Using Reinforcement Learning</t>
  </si>
  <si>
    <t xml:space="preserve">Diseases can have a huge impact on the quality of life of the human population. Humans have always been in the quest to find strategies to avoid diseases that are life-threatening or affect the quality of life of humans. Effective use of resources available to human to control different diseases has always been critical. Researchers are recently more interested to find AI-based solutions to control the human population from diseases due to the overwhelming popularity of deep learning. There are many supervised techniques that have always been applied for disease diagnosis. However, the main problem of supervised based solutions is the availability of data, which is not always possible or not always complete. For instance, we do not have enough data that shows the different states of humans and different states of environments, and how all different actions taken by humans or viruses have ultimately resulted in a disease that eventually takes the lives of humans. Therefore, there is a need to find unsupervised based solutions or some techniques that do not have a dependency on the underlying dataset. In this paper, we have explored the reinforcement learning approach. We have tried different reinforcement learning algorithms to research different solutions for the prevention of diseases in the simulation of the human population. We have explored different techniques for controlling the transmission of diseases and its effects on health in the human population simulated in an environment. Our algorithms have found out policies that are best for the human population to protect themselves from the transmission and infection of malaria. The paper concludes that deep learning-based algorithms such as Deep Deterministic Policy Gradient (DDPG) have outperformed traditional algorithms such as Q-Learning or SARSA.</t>
  </si>
  <si>
    <t xml:space="preserve">China, Pakistan, Malaysia, Saudi Arabia</t>
  </si>
  <si>
    <t xml:space="preserve">Reinforcement Learning</t>
  </si>
  <si>
    <t xml:space="preserve">SCIENTIFIC PROGRAMMING</t>
  </si>
  <si>
    <t xml:space="preserve">ARTIFICIAL-INTELLIGENCE; DECISION-MAKING</t>
  </si>
  <si>
    <t xml:space="preserve">[Alam Khan, Zahid; Feng, Zhengyong] China West Normal Univ, Nanchong, Peoples R China; [Uddin, M. Irfan; Mast, Noor] Kohat Univ Sci &amp; Technol, Inst Comp, Kohat, Pakistan; [Ali Shah, Syed Atif] Northern Univ, Fac Engn &amp; Informat Technol, Nowshera, Pakistan; [Ali Shah, Syed Atif; Al-Khasawneh, Mahmoud Ahmad] Al Madinah Int Univ, Fac Comp &amp; Informat Technol, Kuala Lumpur, Malaysia; [Imtiaz, Muhammad] Univ Swabi, Fac Comp Sci, Swabi, Pakistan; [Mahmoud, Marwan] King Abdulaziz Univ, Jeddah, Saudi Arabia</t>
  </si>
  <si>
    <t xml:space="preserve">China West Normal University; Kohat University of Science &amp; Technology; King Abdulaziz University</t>
  </si>
  <si>
    <t xml:space="preserve">Uddin, MI (corresponding author), Kohat Univ Sci &amp; Technol, Inst Comp, Kohat, Pakistan.</t>
  </si>
  <si>
    <t xml:space="preserve">zahidafridi2@gmail.com; zhyfeng@cwnu.edu.cn; irfanuddin@kust.edu.pk; nmafridi7@gmail.com; atif@northern.edu.pk; muhammadimtiaz@uoswabi.edu.pk; mahmoud@outlook.my; mmamahmoud@kau.edu.sa</t>
  </si>
  <si>
    <t xml:space="preserve">Mast, Noor/LRV-0588-2024; Al-Khasawneh, Mahmoud/JZT-7179-2024; Uddin, M. Irfan/A-3007-2014; Mahmoud, Marwan/O-7291-2016</t>
  </si>
  <si>
    <t xml:space="preserve">Uddin, M. Irfan/0000-0002-1355-3881; Syed, ATIF/0000-0002-4275-9731; Mahmoud, Marwan/0000-0002-0787-8225</t>
  </si>
  <si>
    <t xml:space="preserve">Deanship of Scientific Research (DSR), King Abdulaziz University, Jeddah [DF-458-156-1441]</t>
  </si>
  <si>
    <t xml:space="preserve">Deanship of Scientific Research (DSR), King Abdulaziz University, Jeddah</t>
  </si>
  <si>
    <t xml:space="preserve">This project was funded by the Deanship of Scientific Research (DSR), King Abdulaziz University, Jeddah, under Grant no. DF-458-156-1441. The authors, therefore, gratefully acknowledge DSR technical and financial support.</t>
  </si>
  <si>
    <t xml:space="preserve">1058-9244</t>
  </si>
  <si>
    <t xml:space="preserve">1875-919X</t>
  </si>
  <si>
    <t xml:space="preserve">SCI PROGRAMMING-NETH</t>
  </si>
  <si>
    <t xml:space="preserve">Sci. Program.</t>
  </si>
  <si>
    <t xml:space="preserve">10.1155/2020/7627290</t>
  </si>
  <si>
    <t xml:space="preserve">Computer Science, Software Engineering</t>
  </si>
  <si>
    <t xml:space="preserve">PE6VP</t>
  </si>
  <si>
    <t xml:space="preserve">WOS:000598502200001</t>
  </si>
  <si>
    <t xml:space="preserve">Aiken, EL; McGough, SF; Majumder, MS; Wachtel, G; Nguyen, AT; Viboud, C; Santillana, M</t>
  </si>
  <si>
    <t xml:space="preserve">Aiken, Emily L.; McGough, Sarah F.; Majumder, Maimuna S.; Wachtel, Gal; Nguyen, Andre T.; Viboud, Cecile; Santillana, Mauricio</t>
  </si>
  <si>
    <t xml:space="preserve">Real-time estimation of disease activity in emerging outbreaks using internet search information</t>
  </si>
  <si>
    <t xml:space="preserve">Understanding the behavior of emerging disease outbreaks in, or ahead of, real-time could help healthcare officials better design interventions to mitigate impacts on affected populations. Most healthcare-based disease surveillance systems, however, have significant inherent reporting delays due to data collection, aggregation, and distribution processes. Recent work has shown that machine learning methods leveraging a combination of traditionally collected epidemiological information and novel Internet-based data sources, such as disease-related Internet search activity, can produce meaningful nowcasts of disease incidence ahead of healthcare-based estimates, with most successful case studies focusing on endemic and seasonal diseases such as influenza and dengue. Here, we apply similar computational methods to emerging outbreaks in geographic regions where no historical presence of the disease of interest has been observed. By combining limited available historical epidemiological data available with disease-related Internet search activity, we retrospectively estimate disease activity in five recent outbreaks weeks ahead of traditional surveillance methods. We find that the proposed computational methods frequently provide useful real-time incidence estimates that can help fill temporal data gaps resulting from surveillance reporting delays. However, the proposed methods are limited by issues of sample bias and skew in search query volumes, perhaps as a result of media coverage. Author summary Public health officials regularly make choices about treatment and prevention in disease outbreaks that have the potential to impact entire affected populations. Often these decisions are based on incomplete or unreliable information due to inherent reporting delays in healthcare-based disease surveillance systems. This issue of public health decision-making based on limited data is even more salient in emerging outbreaks, which are typically characterized by uncertain disease dynamics and limited surveillance capacity. We demonstrate the potential for using digital trace data-in this case, Internet-based information from Google search trends-for estimating disease activity in emerging outbreaks in the absence of accurate real-time healthcare-based data sources. We evaluate how data-driven methods leveraging search trend data would have performed in real-time in five recent outbreaks (yellow fever in Angola, Zika in Colombia, Ebola in the DRC, plague in Madagascar, and cholera in Yemen), and find that the methods frequently provide useful signals of disease activity ahead of standard healthcare-based surveillance methods.</t>
  </si>
  <si>
    <t xml:space="preserve">United
States of America</t>
  </si>
  <si>
    <t xml:space="preserve">Angola, Colombia, DRC, Madagascar, Yemen</t>
  </si>
  <si>
    <t xml:space="preserve">Epidemiological data</t>
  </si>
  <si>
    <t xml:space="preserve">Yellow fever, Zika, Ebola, Plague, Cholera</t>
  </si>
  <si>
    <t xml:space="preserve">- Linear autoregression (AR)
- Regression on Google query volumes (GT)
- Autoregression and regression on Google query volumes (ARGO)</t>
  </si>
  <si>
    <t xml:space="preserve">FLU</t>
  </si>
  <si>
    <t xml:space="preserve">[Aiken, Emily L.; Santillana, Mauricio] Harvard Univ, Sch Engn &amp; Appl Sci, Cambridge, MA 02138 USA; [McGough, Sarah F.] Harvard TH Chan Sch Publ Hlth, Boston, MA USA; [Majumder, Maimuna S.] Harvard Med Sch, Dept Healthcare Policy, Boston, MA 02115 USA; [Wachtel, Gal; Santillana, Mauricio] Boston Childrens Hosp, Computat Hlth Informat Program, Boston, MA 02115 USA; [Nguyen, Andre T.] Booz Allen Hamilton, Columbia, MD USA; [Nguyen, Andre T.] Univ Maryland, Baltimore, MD 21201 USA; [Viboud, Cecile] NIH, Fogarty Int Ctr, Bldg 10, Bethesda, MD 20892 USA; [Santillana, Mauricio] Harvard Med Sch, Dept Pediat, Boston, MA 02115 USA</t>
  </si>
  <si>
    <t xml:space="preserve">Harvard University; Harvard University; Harvard T.H. Chan School of Public Health; Harvard University; Harvard Medical School; Harvard University; Harvard University Medical Affiliates; Boston Children's Hospital; Booz Allen Hamilton Holding Corporation; University System of Maryland; University of Maryland Baltimore; National Institutes of Health (NIH) - USA; NIH Fogarty International Center (FIC); Harvard University; Harvard Medical School</t>
  </si>
  <si>
    <t xml:space="preserve">Aiken, EL; Santillana, M (corresponding author), Harvard Univ, Sch Engn &amp; Appl Sci, Cambridge, MA 02138 USA.;Santillana, M (corresponding author), Boston Childrens Hosp, Computat Hlth Informat Program, Boston, MA 02115 USA.;Santillana, M (corresponding author), Harvard Med Sch, Dept Pediat, Boston, MA 02115 USA.</t>
  </si>
  <si>
    <t xml:space="preserve">emilyaiken@berkeley.edu; msantill@g.harvard.edu</t>
  </si>
  <si>
    <t xml:space="preserve">Majumder, Maimuna/0000-0002-3986-4303; Nguyen, Andre/0000-0001-7131-6879; Santillana, Mauricio/0000-0002-4206-418X; Viboud, Cecile/0000-0003-3243-4711; McGough, Sarah/0000-0003-2448-6714</t>
  </si>
  <si>
    <t xml:space="preserve">Bill and Melinda Gates Foundation [OPP 1195154]; National Institute of General Medical Sciences of the National Institutes of Health [R01GM130668]</t>
  </si>
  <si>
    <t xml:space="preserve">Bill and Melinda Gates Foundation(Bill &amp; Melinda Gates Foundation); National Institute of General Medical Sciences of the National Institutes of Health(United States Department of Health &amp; Human ServicesNational Institutes of Health (NIH) - USANIH National Institute of General Medical Sciences (NIGMS))</t>
  </si>
  <si>
    <t xml:space="preserve">MS was funded in part by the Bill and Melinda Gates Foundation (OPP 1195154, https://www.gatesfoundation.org/). MS was funded in part by the National Institute of General Medical Sciences of the National Institutes of Health (Award Number R01GM130668, https://www.nigms.nih.gov/). The funders had no role in study design, data collection and analysis, decision to publish, or preparation of the manuscript.</t>
  </si>
  <si>
    <t xml:space="preserve">e1008117</t>
  </si>
  <si>
    <t xml:space="preserve">10.1371/journal.pcbi.1008117</t>
  </si>
  <si>
    <t xml:space="preserve">NG4DA</t>
  </si>
  <si>
    <t xml:space="preserve">WOS:000563933400003</t>
  </si>
  <si>
    <t xml:space="preserve">Chibuta, S; Acar, AC</t>
  </si>
  <si>
    <t xml:space="preserve">Chibuta, Samson; Acar, Aybar C.</t>
  </si>
  <si>
    <t xml:space="preserve">Real-time Malaria Parasite Screening in Thick Blood Smears for Low-Resource Setting</t>
  </si>
  <si>
    <t xml:space="preserve">Malaria is a serious public health problem in many parts of the world. Early diagnosis and prompt effective treatment are required to avoid anemia, organ failure, and malaria-associated deaths. Microscopic analysis of blood samples is the preferred method for diagnosis. However, manual microscopic examination is very laborious and requires skilled health personnel of which there is a critical shortage in the developing world such as in sub-Saharan Africa. Critical shortages of trained health personnel and the inability to cope with the workload to examine malaria slides are among the main limitations of malaria microscopy especially in low-resource and high disease burden areas. We present a low-cost alternative and complementary solution for rapid malaria screening for low resource settings to potentially reduce the dependence on manual microscopic examination. We develop an image processing pipeline using a modified YOLOv3 detection algorithm to run in real time on low-cost devices. We test the performance of our solution on two datasets. In the dataset collected using a microscope camera, our model achieved 99.07% accuracy and 97.46% accuracy on the dataset collected using a mobile phone camera. While the mean average precision of our model is on par with human experts at an object level, we are several orders of magnitude faster than human experts as we can detect parasites in images as well as videos in real time.</t>
  </si>
  <si>
    <t xml:space="preserve">Turkey, Zambia</t>
  </si>
  <si>
    <t xml:space="preserve">YOLOv3</t>
  </si>
  <si>
    <t xml:space="preserve">Accuracy = 99.07% ( on the dataset collected using a microscope camera)
Accuracy = 97.46% (on the dataset collected using a mobile phone camera)</t>
  </si>
  <si>
    <t xml:space="preserve">JOURNAL OF DIGITAL IMAGING</t>
  </si>
  <si>
    <t xml:space="preserve">Malaria parasites; Microscopy; Object detection; Deep learning; Low-cost</t>
  </si>
  <si>
    <t xml:space="preserve">[Chibuta, Samson; Acar, Aybar C.] Middle East Tech Univ, Hlth Informat Dept, Ankara, Turkey; [Chibuta, Samson] Univ Zambia, Comp Sci Dept, Lusaka, Zambia; [Acar, Aybar C.] Middle East Tech Univ, Grad Sch Informat, Canc Syst Biol Lab, Ankara, Turkey</t>
  </si>
  <si>
    <t xml:space="preserve">Middle East Technical University; University of Zambia; Middle East Technical University</t>
  </si>
  <si>
    <t xml:space="preserve">Chibuta, S (corresponding author), Middle East Tech Univ, Hlth Informat Dept, Ankara, Turkey.;Chibuta, S (corresponding author), Univ Zambia, Comp Sci Dept, Lusaka, Zambia.</t>
  </si>
  <si>
    <t xml:space="preserve">samson.chibuta@metu.edu.tr</t>
  </si>
  <si>
    <t xml:space="preserve">; Acar, Aybar C./A-9981-2012</t>
  </si>
  <si>
    <t xml:space="preserve">chibuta, samson/0000-0001-9865-4413; Acar, Aybar C./0000-0001-5694-8675</t>
  </si>
  <si>
    <t xml:space="preserve">0897-1889</t>
  </si>
  <si>
    <t xml:space="preserve">1618-727X</t>
  </si>
  <si>
    <t xml:space="preserve">J DIGIT IMAGING</t>
  </si>
  <si>
    <t xml:space="preserve">J. Digit. Imaging</t>
  </si>
  <si>
    <t xml:space="preserve">10.1007/s10278-019-00284-2</t>
  </si>
  <si>
    <t xml:space="preserve">LS0WN</t>
  </si>
  <si>
    <t xml:space="preserve">WOS:000536114300020</t>
  </si>
  <si>
    <t xml:space="preserve">Schroeder, L; Veronez, MR; de Souza, EM; Brum, D; Gonzaga, L; Rofatto, VF</t>
  </si>
  <si>
    <t xml:space="preserve">Schroeder, Lucas; Veronez, Mauricio Roberto; de Souza, Eniuce Menezes; Brum, Diego; Gonzaga, Luiz, Jr.; Rofatto, Vinicius Francisco</t>
  </si>
  <si>
    <t xml:space="preserve">Respiratory Diseases, Malaria and Leishmaniasis: Temporal and Spatial Association with Fire Occurrences from Knowledge Discovery and Data Mining</t>
  </si>
  <si>
    <t xml:space="preserve">The relationship between the fires occurrences and diseases is an essential issue for making public health policy and environment protecting strategy. Thanks to the Internet, today, we have a huge amount of health data and fire occurrence reports at our disposal. The challenge, therefore, is how to deal with 4 Vs (volume, variety, velocity and veracity) associated with these data. To overcome this problem, in this paper, we propose a method that combines techniques based on Data Mining and Knowledge Discovery from Databases (KDD) to discover spatial and temporal association between diseases and the fire occurrences. Here, the case study was addressed to Malaria, Leishmaniasis and respiratory diseases in Brazil. Instead of losing a lot of time verifying the consistency of the database, the proposed method uses Decision Tree, a machine learning-based supervised classification, to perform a fast management and extract only relevant and strategic information, with the knowledge of how reliable the database is. Namely, States, Biomes and period of the year (months) with the highest rate of fires could be identified with great success rates and in few seconds. Then, the K-means, an unsupervised learning algorithms that solves the well-known clustering problem, is employed to identify the groups of cities where the fire occurrences is more expressive. Finally, the steps associated with KDD is perfomed to extract useful information from mined data. In that case, Spearman's rank correlation coefficient, a nonparametric measure of rank correlation, is computed to infer the statistical dependence between fire occurrences and those diseases. Moreover, maps are also generated to represent the distribution of the mined data. From the results, it was possible to identify that each region showed a susceptible behaviour to some disease as well as some degree of correlation with fire outbreak, mainly in the drought period.</t>
  </si>
  <si>
    <t xml:space="preserve">Malaria, Leishmaniasis</t>
  </si>
  <si>
    <t xml:space="preserve">Supervised learning
Unsupervised learning</t>
  </si>
  <si>
    <t xml:space="preserve">Decision Tree, K-means</t>
  </si>
  <si>
    <t xml:space="preserve">INTERNATIONAL JOURNAL OF ENVIRONMENTAL RESEARCH AND PUBLIC HEALTH</t>
  </si>
  <si>
    <t xml:space="preserve">health; fire; big data; Data Mining; Knowledge Discovery from Databases; machine learning</t>
  </si>
  <si>
    <t xml:space="preserve">PARTICULATE MATTER; HEALTH IMPACTS; PUBLIC-HEALTH; DEFORESTATION; FOREST; AGREEMENT; AREAS</t>
  </si>
  <si>
    <t xml:space="preserve">[Schroeder, Lucas; Veronez, Mauricio Roberto; Brum, Diego; Gonzaga, Luiz, Jr.] Vale Rio Sinos Univ, X Real &amp; Geoinformat Lab, BR-93022750 Sao Leopoldo, Brazil; [de Souza, Eniuce Menezes] Univ Estadual Maringa, Dept Stat, BR-87020900 Maringa, Parana, Brazil; [Rofatto, Vinicius Francisco] Univ Fed Uberlandia, Dept Geog, BR-38408100 Uberlandia, MG, Brazil</t>
  </si>
  <si>
    <t xml:space="preserve">Universidade Estadual de Maringa; Universidade Federal de Uberlandia</t>
  </si>
  <si>
    <t xml:space="preserve">de Souza, EM (corresponding author), Univ Estadual Maringa, Dept Stat, BR-87020900 Maringa, Parana, Brazil.</t>
  </si>
  <si>
    <t xml:space="preserve">schroederlucas@hotmail.com; veronez@unisinos.br; emsouza@uem.br; diebrum@unisinos.br; lgonzaga@unisinos.br; vinicius.rofatto@ufu.br</t>
  </si>
  <si>
    <t xml:space="preserve">Rofatto, Vinicius/O-9730-2018; Souza, Eniuce/Q-1421-2019; Menezes, Eniuce/E-9692-2012; Veronez, Mauricio Roberto/D-9924-2013</t>
  </si>
  <si>
    <t xml:space="preserve">Gonzaga Jr, Luiz/0000-0002-7661-2447; Menezes, Eniuce/0000-0003-0265-7586; Brum, Diego/0000-0002-4135-3385; Veronez, Mauricio Roberto/0000-0002-5914-3546; Rofatto, Vinicius Francisco/0000-0003-1453-7530; Schroeder, Lucas/0000-0002-5589-8597</t>
  </si>
  <si>
    <t xml:space="preserve">PETROBRAS [4600556376, 4600583791]; ANP [4600556376, 4600583791]; Coordenacao de Aperfeicoamento de Pessoal de Nivel Superior-Brasil (CAPES) [001]</t>
  </si>
  <si>
    <t xml:space="preserve">PETROBRAS(Fundacao de Amparo a Pesquisa do Amapa (FAPEAP)Petrobras); ANP; Coordenacao de Aperfeicoamento de Pessoal de Nivel Superior-Brasil (CAPES)(Coordenacao de Aperfeicoamento de Pessoal de Nivel Superior (CAPES))</t>
  </si>
  <si>
    <t xml:space="preserve">This research was funded by PETROBRAS and ANP grant numbers 4600556376 and 4600583791 and by the Coordenacao de Aperfeicoamento de Pessoal de Nivel Superior-Brasil (CAPES)-Finance Code 001.</t>
  </si>
  <si>
    <t xml:space="preserve">1660-4601</t>
  </si>
  <si>
    <t xml:space="preserve">INT J ENV RES PUB HE</t>
  </si>
  <si>
    <t xml:space="preserve">10.3390/ijerph17103718</t>
  </si>
  <si>
    <t xml:space="preserve">Environmental Sciences; Public, Environmental &amp; Occupational Health</t>
  </si>
  <si>
    <t xml:space="preserve">Environmental Sciences &amp; Ecology; Public, Environmental &amp; Occupational Health</t>
  </si>
  <si>
    <t xml:space="preserve">LW7CK</t>
  </si>
  <si>
    <t xml:space="preserve">WOS:000539300900375</t>
  </si>
  <si>
    <t xml:space="preserve">Molina, A; Alférez, S; Boldú, L; Acevedo, A; Rodellar, J; Merino, A</t>
  </si>
  <si>
    <t xml:space="preserve">Molina, Angel; Alferez, Santiago; Boldu, Laura; Acevedo, Andrea; Rodellar, Jose; Merino, Anna</t>
  </si>
  <si>
    <t xml:space="preserve">Sequential classification system for recognition of malaria infection using peripheral blood cell images</t>
  </si>
  <si>
    <t xml:space="preserve">Aims Morphological recognition of red blood cells infected with malaria parasites is an important task in the laboratory practice. Nowadays, there is a lack of specific automated systems able to differentiate malaria with respect to other red blood cell inclusions. This study aims to develop a machine learning approach able to discriminate parasitised erythrocytes not only from normal, but also from other erythrocyte inclusions, such as Howell-Jolly and Pappenheimer bodies, basophilic stippling as well as platelets overlying red blood cells. Methods A total of 15 660 erythrocyte images from 87 smears were segmented using histogram thresholding and watershed techniques, which allowed the extraction of 2852 colour and texture features. Dataset was split into a training and assessment sets. Training set was used to develop the whole system, in which several classification approaches were compared with obtain the most accurate recognition. Afterwards, the recognition system was evaluated with the assessment set, performing two steps: (1) classifying each individual cell image to assess the system's recognition ability and (2) analysing whole smears to obtain a malaria infection diagnosis. Results The selection of the best classification approach resulted in a final sequential system with an accuracy of 97.7% for the six groups of red blood cell inclusions. The ability of the system to detect patients infected with malaria showed a sensitivity and specificity of 100% and 90%, respectively. Conclusions The proposed method achieves a high diagnostic performance in the recognition of red blood cell infected with malaria, along with other frequent erythrocyte inclusions.</t>
  </si>
  <si>
    <t xml:space="preserve">Accuracy = 97.7% sensitivity = 100%
specificity = 90%</t>
  </si>
  <si>
    <t xml:space="preserve">JOURNAL OF CLINICAL PATHOLOGY</t>
  </si>
  <si>
    <t xml:space="preserve">malaria; image analysis; erythrocyte; peripheral blood; morphology</t>
  </si>
  <si>
    <t xml:space="preserve">DIAGNOSIS; PARASITES; MORPHOLOGY</t>
  </si>
  <si>
    <t xml:space="preserve">[Molina, Angel; Boldu, Laura; Acevedo, Andrea; Merino, Anna] Hosp Clin Barcelona, Biomed Diagnost Ctr, Biochem &amp; Mol Genet, Barcelona 08036, Spain; [Alferez, Santiago] Univ Rosario, Sch Engn Sci &amp; Technol, Fac Ciencias Nat &amp; Matemat, Bogota, Cundinamarca, Colombia; [Acevedo, Andrea; Rodellar, Jose] Univ Politecn Cataluna, Matemat CoDAlab, Barcelona, Catalunya, Spain; [Merino, Anna] Hosp Clin Barcelona, Barcelona, Catalunya, Spain</t>
  </si>
  <si>
    <t xml:space="preserve">University of Barcelona; Hospital Clinic de Barcelona; Universidad del Rosario; Universitat Politecnica de Catalunya; University of Barcelona; Hospital Clinic de Barcelona</t>
  </si>
  <si>
    <t xml:space="preserve">Molina, A (corresponding author), Hosp Clin Barcelona, Biomed Diagnost Ctr, Biochem &amp; Mol Genet, Barcelona 08036, Spain.</t>
  </si>
  <si>
    <t xml:space="preserve">molinaborras@gmail.com</t>
  </si>
  <si>
    <t xml:space="preserve">Alférez, Santiago/I-2650-2015; Rodellar, Jose/AAC-6701-2019</t>
  </si>
  <si>
    <t xml:space="preserve">Boldu, Laura/0000-0002-5162-3182; Merino, Anna/0000-0002-1889-8889</t>
  </si>
  <si>
    <t xml:space="preserve">0021-9746</t>
  </si>
  <si>
    <t xml:space="preserve">1472-4146</t>
  </si>
  <si>
    <t xml:space="preserve">J CLIN PATHOL</t>
  </si>
  <si>
    <t xml:space="preserve">J. Clin. Pathol.</t>
  </si>
  <si>
    <t xml:space="preserve">10.1136/jclinpath-2019-206419</t>
  </si>
  <si>
    <t xml:space="preserve">NY3MN</t>
  </si>
  <si>
    <t xml:space="preserve">WOS:000576298200013</t>
  </si>
  <si>
    <t xml:space="preserve">Sippy, R; Farrell, DF; Lichtenstein, DA; Nightingale, R; Harris, MA; Toth, J; Hantztidiamantis, P; Usher, N; Aponte, CC; Aguilar, JB; Puthumana, A; Lupone, CD; Endy, T; Ryan, SJ; Ibarra, ASM</t>
  </si>
  <si>
    <t xml:space="preserve">Sippy, Rachel; Farrell, Daniel F.; Lichtenstein, Daniel A.; Nightingale, Ryan; Harris, Megan A.; Toth, Joseph; Hantztidiamantis, Paris; Usher, Nicholas; Cueva Aponte, Cinthya; Barzallo Aguilar, Julio; Puthumana, Anthony; Lupone, Christina D.; Endy, Timothy; Ryan, Sadie J.; Stewart Ibarra, Anna M.</t>
  </si>
  <si>
    <t xml:space="preserve">Severity Index for Suspected Arbovirus (SISA): Machine learning for accurate prediction of hospitalization in subjects suspected of arboviral infection</t>
  </si>
  <si>
    <t xml:space="preserve">Author summary Patient triage is a critical decision for clinicians. Patients with suspected arbovirus infection are difficult to diagnose as symptoms can be vague and molecular testing can be expensive or unavailable. Determining whether these patients should be hospitalized or not can be challenging, especially in resource-limited settings. Our study included data from 543 subjects with a diagnosis of suspected dengue, chikungunya, or Zika infection. Using a machine learning approach, we tested the ability of seven algorithms to predict hospitalization status based on the signs, symptoms, and laboratory data that would be available to a clinician at patient intake. Using only signs and symptoms, we were able to predict hospitalization with high accuracy (94%). Including laboratory data also resulted in highly accurate prediction of hospitalization (92%). This tool should be tested in future studies with new subject data. Upon further development, we envision a simple mobile application to aid in the decision-making process for clinicians in areas with limited resources. Background Dengue, chikungunya, and Zika are arboviruses of major global health concern. Decisions regarding the clinical management of suspected arboviral infection are challenging in resource-limited settings, particularly when deciding on patient hospitalization. The objective of this study was to determine if hospitalization of individuals with suspected arboviral infections could be predicted using subject intake data. Methodology/Principal findings Two prediction models were developed using data from a surveillance study in Machala, a city in southern coastal Ecuador with a high burden of arboviral infections. Data were obtained from subjects who presented at sentinel medical centers with suspected arboviral infection (November 2013 to September 2017). The first prediction model-called the Severity Index for Suspected Arbovirus (SISA)-used only demographic and symptom data. The second prediction model-called the Severity Index for Suspected Arbovirus with Laboratory (SISAL)-incorporated laboratory data. These models were selected by comparing the prediction ability of seven machine learning algorithms; the area under the receiver operating characteristic curve from the prediction of a test dataset was used to select the final algorithm for each model. After eliminating those with missing data, the SISA dataset had 534 subjects, and the SISAL dataset had 98 subjects. For SISA, the best prediction algorithm was the generalized boosting model, with an AUC of 0.91. For SISAL, the best prediction algorithm was the elastic net with an AUC of 0.94. A sensitivity analysis revealed that SISA and SISAL are not directly comparable to one another.</t>
  </si>
  <si>
    <t xml:space="preserve">United States of America, Ecuador</t>
  </si>
  <si>
    <t xml:space="preserve">Arbovirus</t>
  </si>
  <si>
    <t xml:space="preserve">SUPPORT VECTOR MACHINE; CHIKUNGUNYA VIRUS; DENGUE INFECTION; RISK-FACTORS; MODELS</t>
  </si>
  <si>
    <t xml:space="preserve">[Sippy, Rachel; Cueva Aponte, Cinthya; Lupone, Christina D.; Endy, Timothy; Stewart Ibarra, Anna M.] SUNY Upstate Med Univ, Inst Global Hlth &amp; Translat Sci, Syracuse, NY 13210 USA; [Sippy, Rachel; Ryan, Sadie J.] Univ Florida, Dept Geog, Quantitat Dis Ecol &amp; Conservat Lab, Gainesville, FL 32611 USA; [Sippy, Rachel; Ryan, Sadie J.] Univ Florida, Emerging Pathogens Inst, Gainesville, FL 32611 USA; [Farrell, Daniel F.; Lichtenstein, Daniel A.; Nightingale, Ryan; Harris, Megan A.; Toth, Joseph; Hantztidiamantis, Paris; Puthumana, Anthony] SUNY Upstate Med Univ, Coll Med, MD Program, Syracuse, NY 13210 USA; [Usher, Nicholas] Cornell Univ, Off Undergrad Biol, Ithaca, NY USA; [Barzallo Aguilar, Julio] Teofilo Davila Hosp, Minist Hlth, Machala, El Oro Province, Ecuador; [Endy, Timothy; Stewart Ibarra, Anna M.] SUNY Upstate Med Univ, Dept Med, Syracuse, NY 13210 USA; [Farrell, Daniel F.] Lancaster Gen Hlth, Penn Med Lancaster Gen Hlth Family &amp; Community Re, Lancaster, PA USA; [Stewart Ibarra, Anna M.] Interamer Inst Global Change Res, Montevideo, Uruguay</t>
  </si>
  <si>
    <t xml:space="preserve">State University of New York (SUNY) System; State University of New York (SUNY) Upstate Medical Center; State University System of Florida; University of Florida; State University System of Florida; University of Florida; State University of New York (SUNY) System; State University of New York (SUNY) Upstate Medical Center; Cornell University; State University of New York (SUNY) System; State University of New York (SUNY) Upstate Medical Center</t>
  </si>
  <si>
    <t xml:space="preserve">Sippy, R; Ibarra, ASM (corresponding author), SUNY Upstate Med Univ, Inst Global Hlth &amp; Translat Sci, Syracuse, NY 13210 USA.;Sippy, R (corresponding author), Univ Florida, Dept Geog, Quantitat Dis Ecol &amp; Conservat Lab, Gainesville, FL 32611 USA.;Sippy, R (corresponding author), Univ Florida, Emerging Pathogens Inst, Gainesville, FL 32611 USA.;Ibarra, ASM (corresponding author), SUNY Upstate Med Univ, Dept Med, Syracuse, NY 13210 USA.</t>
  </si>
  <si>
    <t xml:space="preserve">sippyr@upstate.edu; astewart@dir.iai.int</t>
  </si>
  <si>
    <t xml:space="preserve">Ryan, Sadie/H-7488-2019</t>
  </si>
  <si>
    <t xml:space="preserve">Lichtenstein, Daniel/0000-0002-4883-6240; Hantzidiamantis, Paris/0000-0002-7872-8355; Harris, Megan/0000-0002-4935-2029; Ryan, Sadie/0000-0002-4308-6321; Usher, Nicholas/0000-0001-8779-519X; Sippy, Rachel/0000-0003-3617-2093</t>
  </si>
  <si>
    <t xml:space="preserve">Department of Defense Global Emerging Infection Surveillance [P0220_13_OT]; Department of Medicine of SUNY Upstate Medical University; Ben Kean Fellowship from the American Society for Tropical Medicine and Hygeine; NSF [DEB EEID 1518681, DEB RAPID 1641145]</t>
  </si>
  <si>
    <t xml:space="preserve">Department of Defense Global Emerging Infection Surveillance(United States Department of Defense); Department of Medicine of SUNY Upstate Medical University; Ben Kean Fellowship from the American Society for Tropical Medicine and Hygeine; NSF(National Science Foundation (NSF))</t>
  </si>
  <si>
    <t xml:space="preserve">This study was supported, in part, by the Department of Defense Global Emerging Infection Surveillance (https://health.mil/Military-Health-Topics/Combat-Support/Armed-Forces-Health-Surveillance-Branch/Global-Emerging-Infections-Surveillance-and-Response) grant (P0220_13_OT) and the Department of Medicine of SUNY Upstate Medical University (http://www.upstate.edu/medicine/).D.F., M.H. and P.H. were supported by the Ben Kean Fellowship from the American Society for Tropical Medicine and Hygeine (https://www.astmh.org/awards-fellowships-medals/benjamin-h-keen-travel-fellowship-in-tropicalmedi).S.J.R and A.M.S-I were supported by NSF DEB EEID 1518681, NSF DEB RAPID 1641145 (https://www.nsf.gov/), A.M.S-I was additionally supported by the Prometeo program of the National Secretary of Higher Education, Science, Technology, and Innovation of Ecuador (http://prometeo.educacionsuperior.gob.ec/).The funders had no role in study design, data collection and analysis, decision to publish, or preparation of the manuscript.</t>
  </si>
  <si>
    <t xml:space="preserve">e0007969</t>
  </si>
  <si>
    <t xml:space="preserve">10.1371/journal.pntd.0007969</t>
  </si>
  <si>
    <t xml:space="preserve">KT7ZN</t>
  </si>
  <si>
    <t xml:space="preserve">WOS:000519231700011</t>
  </si>
  <si>
    <t xml:space="preserve">Pattanaik, PA; Mittal, M; Khan, MZ</t>
  </si>
  <si>
    <t xml:space="preserve">Pattanaik, Priyadarshini Adyasha; Mittal, Mohit; Khan, Mohammad Zubair</t>
  </si>
  <si>
    <t xml:space="preserve">Unsupervised Deep Learning CAD Scheme for the Detection of Malaria in Blood Smear Microscopic Images</t>
  </si>
  <si>
    <t xml:space="preserve">Recent advances in deep learning, coupled with the onslaught of unlabelled medical data have drawn ever-increasing research interests by discovering multiple levels of distributed representations and solving complex medical related problems. Malaria disease detection in early stage requires an accurate and precise diagnosis in order to achieve successful patient remission. This paper proposes a comprehensive computer-aided diagnosis (CAD) scheme for identifying the presence of malaria parasites in thick blood smear images. The parameters of the scheme are pre-trained by functional link artificial neural network followed by sparse stacked autoencoder. The optimum size of the CAD scheme used in this research is 12500-2500-100-50-2, where the input layer has 12500 nodes and Softmax classifier output layer has 2 nodes. Moreover, the 10- fold cross validation reflects that the classification is reliable and is applicable to new patient blood smear images. The proposed CAD scheme has been evaluated using malaria blood smear image data set, achieving a detection accuracy of 89.10 &amp; x0025;, a sensitivity of 93.90 &amp; x0025; and specificity of 83.10 &amp; x0025;. The extensive comparative experiment suggests that the proposed CAD scheme provides richer effectiveness and efficiency for malaria data set compared to other deep learning techniques for better diagnosis decision and management. This work implements a novel approach to fast processing and will be a beneficial tool in disease identification.</t>
  </si>
  <si>
    <t xml:space="preserve">France, Japan, Saudi Arabia</t>
  </si>
  <si>
    <t xml:space="preserve">- Accuracy = 89.10%
- Sensitivity = 93.90%
- Specificity = 83.10%</t>
  </si>
  <si>
    <t xml:space="preserve">Diseases; Machine learning; Solid modeling; Blood; Microscopy; Biomedical imaging; Neural networks; Computer-aided diagnosis (CAD); Deep learning; malaria parasite detection; microscopic blood smear images; digital pathology; K-fold cross-validation</t>
  </si>
  <si>
    <t xml:space="preserve">SALIENT OBJECT DETECTION; NEURAL-NETWORKS; AUTOENCODER; COMPRESSION; DIAGNOSIS; SYSTEM</t>
  </si>
  <si>
    <t xml:space="preserve">[Pattanaik, Priyadarshini Adyasha] Telecom SudParis, F-91011 Evry, France; [Mittal, Mohit] Kyoto Sangyo Univ, Dept Informat Sci &amp; Engn, Kyoto 6038555, Japan; [Khan, Mohammad Zubair] Taibah Univ, Coll Comp Sci &amp; Engn, Dept Comp Sci, Madinah 41477, Saudi Arabia</t>
  </si>
  <si>
    <t xml:space="preserve">IMT - Institut Mines-Telecom; Institut Polytechnique de Paris; Telecom SudParis; Kyoto Sangyo University; Taibah University</t>
  </si>
  <si>
    <t xml:space="preserve">Mittal, M (corresponding author), Kyoto Sangyo Univ, Dept Informat Sci &amp; Engn, Kyoto 6038555, Japan.;Khan, MZ (corresponding author), Taibah Univ, Coll Comp Sci &amp; Engn, Dept Comp Sci, Madinah 41477, Saudi Arabia.</t>
  </si>
  <si>
    <t xml:space="preserve">mohitmittal@ieee.org; mkhanb@taibahu.edu.sa</t>
  </si>
  <si>
    <t xml:space="preserve">Pattanaik, P./AAY-6007-2020; Mittal, Mohit/A-6865-2013; KHAN, MOHAMMAD ZUBAIR/D-4478-2012</t>
  </si>
  <si>
    <t xml:space="preserve">Pattanaik, Priyadarshini A/0000-0001-5058-5471; MITTAL, MOHIT/0000-0003-0878-4615; KHAN, MOHAMMAD ZUBAIR/0000-0002-2409-7172</t>
  </si>
  <si>
    <t xml:space="preserve">10.1109/ACCESS.2020.2996022</t>
  </si>
  <si>
    <t xml:space="preserve">LZ3KK</t>
  </si>
  <si>
    <t xml:space="preserve">WOS:000541126800015</t>
  </si>
  <si>
    <t xml:space="preserve">Fang, Z; Hu, WF; Wang, MY; Wang, RB; Zhong, S; Chen, SY</t>
  </si>
  <si>
    <t xml:space="preserve">Fang, Zheng; Hu, Weifeng; Wang, Mengyi; Wang, Renbin; Zhong, Shuo; Chen, Siyuan</t>
  </si>
  <si>
    <t xml:space="preserve">X-ray absorption spectroscopy combined with machine learning for diagnosis of schistosomiasis cirrhosis</t>
  </si>
  <si>
    <t xml:space="preserve">A new diagnostic technique of schistosomiasis cirrhosis based on X-ray absorption spectroscopy (XAS) was studied in this paper. Taking the liver of normal and schistosomiasis mansoni mice as samples, the incident and transmission spectra of the samples were obtained by a wide-beam X-ray spectrometry detection system based on photon counting principle, and the X-ray absorption spectra were calculated. Principal component analysis (PCA) was used to compress and visualize the normalized XAS data. The XAS processed by PCA were used as input data to train k-nearest neighbor (kNN), support vector machine (SVM) and artificial neural network (ANN). The experimental results showed that the X-ray absorption of 20-30keV energy in mouse cirrhosis was greater than that in normal mouse liver, and PCA combined with kNN, SVM or ANN can achieve a highest 10-fold cross-validation accuracy of 99.502. XAS principle combined with machine learning algorithm provides a new method for the diagnosis or stage-specific diagnosis of schistosomiasis cirrhosis (C) 2020 Elsevier Ltd. All rights reserved.</t>
  </si>
  <si>
    <t xml:space="preserve">PCA combined with kNN, SVM, ANN</t>
  </si>
  <si>
    <t xml:space="preserve">Accuracy = 99.50%</t>
  </si>
  <si>
    <t xml:space="preserve">XAS; Schistosomiasis; Liver cirrhosis; PCA; Machine learning</t>
  </si>
  <si>
    <t xml:space="preserve">HEPATIC SCHISTOSOMIASIS; LIVER FIBROSIS; CT</t>
  </si>
  <si>
    <t xml:space="preserve">[Fang, Zheng; Hu, Weifeng; Wang, Mengyi; Wang, Renbin; Zhong, Shuo; Chen, Siyuan] Xiamen Univ, Sch Aerosp Engn, Xiamen 361102, Peoples R China</t>
  </si>
  <si>
    <t xml:space="preserve">Xiamen University</t>
  </si>
  <si>
    <t xml:space="preserve">Chen, SY (corresponding author), Xiamen Univ, Sch Aerosp Engn, Xiamen 361102, Peoples R China.</t>
  </si>
  <si>
    <t xml:space="preserve">chensiyuan@xmu.edu.cn</t>
  </si>
  <si>
    <t xml:space="preserve">Hu, Weifeng/0000-0001-8518-8679</t>
  </si>
  <si>
    <t xml:space="preserve">National Natural Science Foundation of China [61571381]</t>
  </si>
  <si>
    <t xml:space="preserve">This work was supported by the fund: National Natural Science Foundation of China under Grant No. 61571381.</t>
  </si>
  <si>
    <t xml:space="preserve">10.1016/j.bspc.2020.101944</t>
  </si>
  <si>
    <t xml:space="preserve">LY1SP</t>
  </si>
  <si>
    <t xml:space="preserve">WOS:000540302000007</t>
  </si>
  <si>
    <t xml:space="preserve">Ferreira, MF; Camacho, R; Teixeira, LF</t>
  </si>
  <si>
    <t xml:space="preserve">Ferreira, Mafalda Falcao; Camacho, Rui; Teixeira, Luis F.</t>
  </si>
  <si>
    <t xml:space="preserve">Using autoencoders as a weight initialization method on deep neural networks for disease detection</t>
  </si>
  <si>
    <t xml:space="preserve">Background As of today, cancer is still one of the most prevalent and high-mortality diseases, summing more than 9 million deaths in 2018. This has motivated researchers to study the application of machine learning-based solutions for cancer detection to accelerate its diagnosis and help its prevention. Among several approaches, one is to automatically classify tumor samples through their gene expression analysis. Methods In this work, we aim to distinguish five different types of cancer through RNA-Seq datasets: thyroid, skin, stomach, breast, and lung. To do so, we have adopted a previously described methodology, with which we compare the performance of 3 different autoencoders (AEs) used as a deep neural network weight initialization technique. Our experiments consist in assessing two different approaches when training the classification model - fixing the weights after pre-training the AEs, or allowing fine-tuning of the entire network - and two different strategies for embedding the AEs into the classification network, namely by only importing the encoding layers, or by inserting the complete AE. We then study how varying the number of layers in the first strategy, the AEs latent vector dimension, and the imputation technique in the data preprocessing step impacts the network's overall classification performance. Finally, with the goal of assessing how well does this pipeline generalize, we apply the same methodology to two additional datasets that include features extracted from images of malaria thin blood smears, and breast masses cell nuclei. We also discard the possibility of overfitting by using held-out test sets in the images datasets. Results The methodology attained good overall results for both RNA-Seq and image extracted data. We outperformed the established baseline for all the considered datasets, achieving an average F(1)score of 99.03, 89.95, and 98.84 and an MCC of 0.99, 0.84, and 0.98, for the RNA-Seq (when detecting thyroid cancer), the Malaria, and the Wisconsin Breast Cancer data, respectively. Conclusions We observed that the approach of fine-tuning the weights of the top layers imported from the AE reached higher results, for all the presented experiences, and all the considered datasets. We outperformed all the previous reported results when comparing to the established baselines.</t>
  </si>
  <si>
    <t xml:space="preserve">Thyroid cancer, Malaria, Wisconsin Breast Cancer</t>
  </si>
  <si>
    <t xml:space="preserve">Autoencoders</t>
  </si>
  <si>
    <t xml:space="preserve">Cancer; Classification; Deep learning; Autoencoders; Gene expression analysis</t>
  </si>
  <si>
    <t xml:space="preserve">AUTO-ENCODER</t>
  </si>
  <si>
    <t xml:space="preserve">[Ferreira, Mafalda Falcao; Camacho, Rui; Teixeira, Luis F.] Univ Porto, Fac Engn, Rua Dr Roberto Frias S-N, P-4200465 Porto, Portugal; [Ferreira, Mafalda Falcao; Camacho, Rui; Teixeira, Luis F.] INESC TEC Inst Syst &amp; Comp Engn Technol &amp; Sci, Porto, Portugal</t>
  </si>
  <si>
    <t xml:space="preserve">Universidade do Porto; INESC TEC</t>
  </si>
  <si>
    <t xml:space="preserve">Ferreira, MF (corresponding author), Univ Porto, Fac Engn, Rua Dr Roberto Frias S-N, P-4200465 Porto, Portugal.;Ferreira, MF (corresponding author), INESC TEC Inst Syst &amp; Comp Engn Technol &amp; Sci, Porto, Portugal.</t>
  </si>
  <si>
    <t xml:space="preserve">mafaldafferreira@fe.up.pt</t>
  </si>
  <si>
    <t xml:space="preserve">Camacho, Rui/ABF-4895-2021; Teixeira, Luis/E-1319-2011</t>
  </si>
  <si>
    <t xml:space="preserve">Camacho, Rui/0000-0003-0940-3554; Teixeira, Luis/0000-0002-4050-7880; Falcao Ferreira, Mafalda/0000-0001-5371-0389</t>
  </si>
  <si>
    <t xml:space="preserve">AUG 20</t>
  </si>
  <si>
    <t xml:space="preserve">10.1186/s12911-020-01150-w</t>
  </si>
  <si>
    <t xml:space="preserve">NK8QD</t>
  </si>
  <si>
    <t xml:space="preserve">WOS:000566994400002</t>
  </si>
  <si>
    <t xml:space="preserve">16th International Conference on Computational Intelligence Methods for Bioinformatics and Biostatistics (CIBB) / Session on Machine Learning in Healthcare Informatics and Medical Biology</t>
  </si>
  <si>
    <t xml:space="preserve">SEP 04-06, 2019</t>
  </si>
  <si>
    <t xml:space="preserve">Bergamo, ITALY</t>
  </si>
  <si>
    <t xml:space="preserve">Gama, RS; de Souza, MLM; Sarno, EN; de Moraes, MO; Gonçalves, A; Stefani, MMA; Garcia, RMG; Fraga, LAD</t>
  </si>
  <si>
    <t xml:space="preserve">Gama, Rafael Silva; Moreira de Souza, Marcio Luis; Sarno, Euzenir Nunes; de Moraes, Milton Ozorio; Goncalves, Aline; Stefani, Mariane M. A.; Gonzalez Garcia, Raul Marcel; de Oliveira Fraga, Lucia Alves</t>
  </si>
  <si>
    <t xml:space="preserve">A novel integrated molecular and serological analysis method to predict new cases of leprosy amongst household contacts</t>
  </si>
  <si>
    <t xml:space="preserve">Background Early detection of Mycobacterium leprae is a key strategy for disrupting the transmission chain of leprosy and preventing the potential onset of physical disabilities. Clinical diagnosis is essential, but some of the presented symptoms may go unnoticed, even by specialists. In areas of greater endemicity, serological and molecular tests have been performed and analyzed separately for the follow-up of household contacts, who are at high risk of developing the disease. The accuracy of these tests is still debated, and it is necessary to make them more reliable, especially for the identification of cases of leprosy between contacts. We proposed an integrated analysis of molecular and serological methods using artificial intelligence by the random forest (RF) algorithm to better diagnose and predict new cases of leprosy. Methods The study was developed in Governador Valadares, Brazil, a hyperendemic region for leprosy. A longitudinal study was performed, including new cases diagnosed in 2011 and their respective household contacts, who were followed in 2011, 2012, and 2016. All contacts were diligently evaluated by clinicians from Reference Center for Endemic Diseases (CREDEN-PES) before being classified as asymptomatic. Samples of slit skin smears (SSS) from the earlobe of the patients and household contacts were collected for quantitative polymerase chain reaction (qPCR) of 16S rRNA, and peripheral blood samples were collected for ELISA assays to detect LID-1 and ND-O-LID. Results The statistical analysis of the tests revealed sensitivity for anti-LID-1 (63.2%), anti-ND-O-LID (57.9%), qPCR SSS (36.8%), and smear microscopy (30.2%). However, the use of RF allowed for an expressive increase in sensitivity in the diagnosis of multibacillary leprosy (90.5%) and especially paucibacillary leprosy (70.6%). It is important to report that the specificity was 92.5%. Conclusion The proposed model using RF allows for the diagnosis of leprosy with high sensitivity and specificity and the early identification of new cases among household contacts. Author summary Leprosy is a chronic infectious disease caused by Mycobacterium leprae (M. leprae) that can infect cells in the skin and nerves. Despite efforts to eliminate leprosy, the number of M. leprae infected individuals who develop leprosy is still substantial in the world. The diagnosis relies mainly on clinical parameters. Histopathological and bacteriological analysis help to classify clinical forms of patients. Serology and polymerase chain reaction (PCR) assays are claimed by health professionals as auxiliary tools, but until now these tests have been used almost exclusively in research, with minor use in leprosy reference centers throughout Brazil. Here, we tested quantitative PCR (qPCR) designed to amplify specific M. leprae targets and ELISA assays to detect antibody response to recombinant antigens (LID-1, ND-O-LID). All results were analyzed by multivariate analysis based in artificial intelligence. We chose random forest as a classification algorithm to aid in the diagnosis and the monitoring of contacts. The results allowed us to diagnose cases of leprosy with high sensitivity and specificity and the early identification of new cases among household contacts.</t>
  </si>
  <si>
    <t xml:space="preserve">Sensitivity for anti-LID-1 (63.2%), anti-ND-OLID (57.9%), qPCR SSS (36.8%), and smear microscopy (30.2%)</t>
  </si>
  <si>
    <t xml:space="preserve">MYCOBACTERIUM-LEPRAE DNA; PHENOLIC GLYCOLIPID-I; TREATMENT EFFICACY; PGL-I; INFECTION; DIAGNOSIS; CLASSIFICATION; IDENTIFICATION; CHALLENGES; ANTIBODIES</t>
  </si>
  <si>
    <t xml:space="preserve">[Gama, Rafael Silva; Gonzalez Garcia, Raul Marcel] Univ Fed Juiz de Fora, Inst Biol Sci, Programa Posgrad Ciencias Biol Imunol &amp; DIP Genet, Juiz De Fora, MG, Brazil; [Gama, Rafael Silva] Univ Vale Rio Doce Univale, Nucleo Pesquisa Imunol, Governador Valadares, MG, Brazil; [Moreira de Souza, Marcio Luis; de Oliveira Fraga, Lucia Alves] Univ Fed Juiz de Fora, Basic Dept Hlth, Programa Multictr Bioquim &amp; Biol Mol, Campus GV, Governador Valadares, MG, Brazil; [Sarno, Euzenir Nunes; de Moraes, Milton Ozorio] Fundacao Oswaldo Cruz FIOCRUZ, Lab Hanseniase, Rio De Janeiro, RJ, Brazil; [Goncalves, Aline; Stefani, Mariane M. A.] Univ Fed Goias, Inst Patol Trop &amp; Saude Publ, Goiania, Go, Brazil</t>
  </si>
  <si>
    <t xml:space="preserve">Universidade Federal de Juiz de Fora; University Vale Rio Doce; Universidade Federal de Juiz de Fora; Fundacao Oswaldo Cruz; Universidade Federal de Goias</t>
  </si>
  <si>
    <t xml:space="preserve">Fraga, LAD (corresponding author), Univ Fed Juiz de Fora, Basic Dept Hlth, Programa Multictr Bioquim &amp; Biol Mol, Campus GV, Governador Valadares, MG, Brazil.</t>
  </si>
  <si>
    <t xml:space="preserve">luciaalves.fraga@ufjf.edu.br</t>
  </si>
  <si>
    <t xml:space="preserve">Silva Gama, Rafael/LUY-7428-2024; Ozorio Moraes, Milton/G-9753-2011</t>
  </si>
  <si>
    <t xml:space="preserve">Ozorio Moraes, Milton/0000-0003-2653-0037</t>
  </si>
  <si>
    <t xml:space="preserve">Fundacao de Amparo a Pesquisa de Minas Gerais - FAPEMIG; Conselho Nacional de Pesquisa - CNPq/DECIT 2008 and DECIT 2012; Termo de Convenio - Fundo Nacional de Saude - FNS/Ministerio da Saude - MS [TC 304/2013]</t>
  </si>
  <si>
    <t xml:space="preserve">Fundacao de Amparo a Pesquisa de Minas Gerais - FAPEMIG(Fundacao de Amparo a Pesquisa do Estado de Minas Gerais (FAPEMIG)); Conselho Nacional de Pesquisa - CNPq/DECIT 2008 and DECIT 2012; Termo de Convenio - Fundo Nacional de Saude - FNS/Ministerio da Saude - MS</t>
  </si>
  <si>
    <t xml:space="preserve">This work was funded by Fundacao de Amparo a Pesquisa de Minas Gerais - FAPEMIG, Conselho Nacional de Pesquisa - CNPq/DECIT 2008 and DECIT 2012, Termo de Convenio - TC 304/2013/Fundo Nacional de Saude - FNS/Ministerio da Saude - MS. The funders had no role in study design, data collection and analysis, decision to publish, or preparation of the manuscript.</t>
  </si>
  <si>
    <t xml:space="preserve">e0007400</t>
  </si>
  <si>
    <t xml:space="preserve">10.1371/journal.pntd.0007400</t>
  </si>
  <si>
    <t xml:space="preserve">IG4NA</t>
  </si>
  <si>
    <t xml:space="preserve">WOS:000473779100022</t>
  </si>
  <si>
    <t xml:space="preserve">Hardy, A; Ettritch, G; Cross, DE; Bunting, P; Liywalii, F; Sakala, J; Silumesii, A; Singini, D; Smith, M; Willis, T; Thomas, CJ</t>
  </si>
  <si>
    <t xml:space="preserve">Hardy, Andy; Ettritch, Georgina; Cross, Donall E.; Bunting, Pete; Liywalii, Francis; Sakala, Jacob; Silumesii, Andrew; Singini, Douglas; Smith, Mark; Willis, Tom; Thomas, Chris J.</t>
  </si>
  <si>
    <t xml:space="preserve">Automatic Detection of Open and Vegetated Water Bodies Using Sentinel 1 to Map African Malaria Vector Mosquito Breeding Habitats</t>
  </si>
  <si>
    <t xml:space="preserve">Providing timely and accurate maps of surface water is valuable for mapping malaria risk and targeting disease control interventions. Radar satellite remote sensing has the potential to provide this information but current approaches are not suitable for mapping African malarial mosquito aquatic habitats that tend to be highly dynamic, often with emergent vegetation. We present a novel approach for mapping both open and vegetated water bodies using serial Sentinel-1 imagery for Western Zambia. This region is dominated by the seasonally inundated Upper Zambezi floodplain that suffers from a number of public health challenges. The approach uses open source segmentation and machine learning (extra trees classifier), applied to training data that are automatically derived using freely available ancillary data. Refinement is implemented through a consensus approach and Otsu thresholding to eliminate false positives due to dry flat sandy areas. The results indicate a high degree of accuracy (mean overall accuracy 92% st dev 3.6) providing a tractable solution for operationally mapping water bodies in similar large river floodplain unforested environments. For the period studied, 70% of the total water extent mapped was attributed to vegetated water, highlighting the importance of mapping both open and vegetated water bodies for surface water mapping.</t>
  </si>
  <si>
    <t xml:space="preserve">UK, Zambia</t>
  </si>
  <si>
    <t xml:space="preserve">Extra trees classifier</t>
  </si>
  <si>
    <t xml:space="preserve">Mean overall accuracy 92% st dev 3.6)</t>
  </si>
  <si>
    <t xml:space="preserve">REMOTE SENSING</t>
  </si>
  <si>
    <t xml:space="preserve">flood mapping; water body detection; malaria; wetland; Sentinel-1; open-source; sub-Saharan Africa; hydrology</t>
  </si>
  <si>
    <t xml:space="preserve">SPLIT-BASED APPROACH; BAROTSE FLOODPLAIN; ANOPHELES-GAMBIAE; LANDSAT TM; ALLOCATION DISAGREEMENT; FLOODED VEGETATION; RADAR BACKSCATTER; LARVAL HABITATS; SURFACE-WATER; ACCURACY</t>
  </si>
  <si>
    <t xml:space="preserve">[Hardy, Andy; Ettritch, Georgina; Bunting, Pete] Aberystwyth Univ, Dept Geog &amp; Earth Sci, Aberystwyth SY23 3DB, Dyfed, Wales; [Cross, Donall E.; Thomas, Chris J.] Aberystwyth Univ, Inst Biol Environm &amp; Rural Sci, Aberystwyth SY23 3DA, Dyfed, Wales; [Liywalii, Francis; Sakala, Jacob] Prov Hlth Off, POB 910022, Mongu, Zambia; [Silumesii, Andrew] Minist Hlth, POB 30205, Lusaka, Zambia; [Singini, Douglas] Limulunga Dist Hlth Off, POB 910022, Limulunga, Zambia; [Smith, Mark; Willis, Tom] Univ Leeds, Sch Geog, Leeds LS2 9JT, W Yorkshire, England</t>
  </si>
  <si>
    <t xml:space="preserve">Aberystwyth University; UK Research &amp; Innovation (UKRI); Biotechnology and Biological Sciences Research Council (BBSRC); Institute of Biological, Environmental, Rural &amp; Sciences (IBERS); Aberystwyth University; University of Leeds</t>
  </si>
  <si>
    <t xml:space="preserve">Hardy, A (corresponding author), Aberystwyth Univ, Dept Geog &amp; Earth Sci, Aberystwyth SY23 3DB, Dyfed, Wales.</t>
  </si>
  <si>
    <t xml:space="preserve">ajh13@aber.ac.uk; gee25@aber.ac.uk; dec8@aber.ac.uk; pfb@aber.ac.uk; franliywali@yahoo.com; sakalajac57@gmail.com; asilumesii@gmail.com; dsmlup@gmail.com; m.w.smith@leeds.ac.uk; t.d.willis@leeds.ac.uk; cjt@aber.ac.uk</t>
  </si>
  <si>
    <t xml:space="preserve">Bunting, Peter/GVT-0875-2022; Bunting, Pete/B-8678-2013</t>
  </si>
  <si>
    <t xml:space="preserve">Hardy, Andy/0000-0002-7928-8873; Thomas, Christopher J./0000-0003-4939-9959; Bunting, Pete/0000-0002-7435-0148; Cross, Donall Eoin/0000-0002-4974-951X; Willis, Thomas David Michael/0000-0003-0103-1805</t>
  </si>
  <si>
    <t xml:space="preserve">UK Natural Environment Research Council [NE/P013481/1]; NERC [NE/P013481/2, NE/P013481/1] Funding Source: UKRI</t>
  </si>
  <si>
    <t xml:space="preserve">UK Natural Environment Research Council(UK Research &amp; Innovation (UKRI)Natural Environment Research Council (NERC)); NERC(UK Research &amp; Innovation (UKRI)Natural Environment Research Council (NERC))</t>
  </si>
  <si>
    <t xml:space="preserve">This work is funded by the UK Natural Environment Research Council (Grant Ref: NE/P013481/1).</t>
  </si>
  <si>
    <t xml:space="preserve">2072-4292</t>
  </si>
  <si>
    <t xml:space="preserve">REMOTE SENS-BASEL</t>
  </si>
  <si>
    <t xml:space="preserve">Remote Sens.</t>
  </si>
  <si>
    <t xml:space="preserve">10.3390/rs11050593</t>
  </si>
  <si>
    <t xml:space="preserve">Environmental Sciences; Geosciences, Multidisciplinary; Remote Sensing; Imaging Science &amp; Photographic Technology</t>
  </si>
  <si>
    <t xml:space="preserve">Environmental Sciences &amp; Ecology; Geology; Remote Sensing; Imaging Science &amp; Photographic Technology</t>
  </si>
  <si>
    <t xml:space="preserve">HQ6RA</t>
  </si>
  <si>
    <t xml:space="preserve">WOS:000462544500121</t>
  </si>
  <si>
    <t xml:space="preserve">Adjakossa, EH; Hounkonnou, NM; Nuel, G</t>
  </si>
  <si>
    <t xml:space="preserve">Adjakossa, Eric Houngla; Hounkonnou, Norbert Mahouton; Nuel, Gregory</t>
  </si>
  <si>
    <t xml:space="preserve">Computationally Stable Estimation Procedure for the Multivariate Linear Mixed-Effect Model and Application to Malaria Public Health Problem</t>
  </si>
  <si>
    <t xml:space="preserve">In this paper, we provide the ML (Maximum Likelihood) and the REML (REstricted ML) criteria for consistently estimating multivariate linear mixed-effects models with arbitrary correlation structure between the random effects across dimensions, but independent (and possibly heteroscedastic) residuals. By factorizing the random effects covariance matrix, we provide an explicit expression of the profiled deviance through a reparameterization of the model. This strategy can be viewed as the generalization of the estimation procedure used by Douglas Bates and his co-authors in the context of the fitting of one-dimensional linear mixed-effects models. Beside its robustness regarding the starting points, the approach enables a numerically consistent estimate of the random effects covariance matrix while classical alternatives such as the EM algorithm are usually nonconsistent. In a simulation study, we compare the estimates obtained from the present method with the EM algorithm-based estimates. We finally apply the method to a study of an immune response to Malaria in Benin.</t>
  </si>
  <si>
    <t xml:space="preserve">France, Benin, </t>
  </si>
  <si>
    <t xml:space="preserve">Benin</t>
  </si>
  <si>
    <t xml:space="preserve">INTERNATIONAL JOURNAL OF BIOSTATISTICS</t>
  </si>
  <si>
    <t xml:space="preserve">multivariate linear mixed-effects model; profiled deviance; ML and REML criteria; numerical consistency</t>
  </si>
  <si>
    <t xml:space="preserve">MAXIMUM-LIKELIHOOD-ESTIMATION; INFERENCE</t>
  </si>
  <si>
    <t xml:space="preserve">[Adjakossa, Eric Houngla; Hounkonnou, Norbert Mahouton] Univ Abomey Calavi, Int Chair Math Phys &amp; Applicat ICMPA UNESCO Chair, Cotonou, Benin; [Adjakossa, Eric Houngla; Nuel, Gregory] Sorbonne Univ, Lab Probabilites Stat &amp; Modelisat, UMR 8001, Paris, France</t>
  </si>
  <si>
    <t xml:space="preserve">University of Abomey Calavi; Universite Paris Cite; Sorbonne Universite</t>
  </si>
  <si>
    <t xml:space="preserve">Adjakossa, EH (corresponding author), Univ Abomey Calavi, Int Chair Math Phys &amp; Applicat ICMPA UNESCO Chair, Cotonou, Benin.;Adjakossa, EH (corresponding author), Sorbonne Univ, Lab Probabilites Stat &amp; Modelisat, UMR 8001, Paris, France.</t>
  </si>
  <si>
    <t xml:space="preserve">ericadjakossah@gmail.com; hounkonnou@yahoo.fr; Gregory.Nuel@math.cnrs.fr</t>
  </si>
  <si>
    <t xml:space="preserve">2194-573X</t>
  </si>
  <si>
    <t xml:space="preserve">1557-4679</t>
  </si>
  <si>
    <t xml:space="preserve">INT J BIOSTAT</t>
  </si>
  <si>
    <t xml:space="preserve">Int. J. Biostat.</t>
  </si>
  <si>
    <t xml:space="preserve">10.1515/ijb-2017-0076</t>
  </si>
  <si>
    <t xml:space="preserve">Mathematical &amp; Computational Biology; Statistics &amp; Probability</t>
  </si>
  <si>
    <t xml:space="preserve">Mathematical &amp; Computational Biology; Mathematics</t>
  </si>
  <si>
    <t xml:space="preserve">JU3ED</t>
  </si>
  <si>
    <t xml:space="preserve">WOS:000501557800006</t>
  </si>
  <si>
    <t xml:space="preserve">Husnayain, A; Fuad, A; Lazuardi, L</t>
  </si>
  <si>
    <t xml:space="preserve">Husnayain, Atina; Fuad, Anis; Lazuardi, Lutfan</t>
  </si>
  <si>
    <t xml:space="preserve">Correlation between Google Trends on dengue fever and national surveillance report in Indonesia</t>
  </si>
  <si>
    <t xml:space="preserve">Background: Digital traces are rapidly used for health monitoring purposes in recent years. This approach is growing as the consequence of increased use of mobile phone, Internet, and machine learning. Many studies reported the use of Google Trends data as a potential data source to assist traditional surveillance systems. The rise of Internet penetration (54.7%) and the huge utilization of Google (98%) indicate the potential use of Google Trends in Indonesia. No study was performed to measure the correlation between country wide official dengue reports and Google Trends data in Indonesia. Objective: This study aims to measure the correlation between Google Trends data on dengue fever and the Indonesian national surveillance report. Methods: This research was a quantitative study using time series data (2012-2016). Two sets of data were analyzed using Moving Average analysis in Microsoft Excel. Pearson and Time lag correlations were also used to measure the correlation between those data. Results: Moving Average analysis showed that Google Trends data have a linear time series pattern with official dengue report. Pearson correlation indicated high correlation for three defined search terms with R-value range from 0.921 to 0.937 (p &lt;= 0.05, overall period) which showed increasing trend in epidemic periods (2015-2016). Time lag correlation also indicated that Google Trends data can potentially be used for an early warning system and novel tool to monitor public reaction before the increase of dengue cases and during the outbreak. Conclusions: Google Trends data have a linear time series pattern and statistically correlated with annual official dengue reports. Identification of information-seeking behavior is needed to support the use of Google Trends for disease surveillance in Indonesia.</t>
  </si>
  <si>
    <t xml:space="preserve">GLOBAL HEALTH ACTION</t>
  </si>
  <si>
    <t xml:space="preserve">Google Trends; information seeking; digital epidemiology; dengue; Indonesia</t>
  </si>
  <si>
    <t xml:space="preserve">[Husnayain, Atina] Univ Gadjah Mada, Fac Med Publ Hlth &amp; Nursing, Ctr Hlth Policy &amp; Management, E Hlth Div, Yogyakarta, Indonesia; [Fuad, Anis] Univ Gadjah Mada, Fac Med Publ Hlth &amp; Nursing, Dept Biostat Epidemiol &amp; Populat Hlth, Yogyakarta, Indonesia; [Lazuardi, Lutfan] Univ Gadjah Mada, Fac Med Publ Hlth &amp; Nursing, Dept Hlth Policy Management, Yogyakarta 55281, Indonesia</t>
  </si>
  <si>
    <t xml:space="preserve">Gadjah Mada University; Gadjah Mada University; Gadjah Mada University</t>
  </si>
  <si>
    <t xml:space="preserve">Lazuardi, L (corresponding author), Univ Gadjah Mada, Fac Med Publ Hlth &amp; Nursing, Dept Hlth Policy Management, Yogyakarta 55281, Indonesia.</t>
  </si>
  <si>
    <t xml:space="preserve">lutfan.lazuardi@ugm.ac.id</t>
  </si>
  <si>
    <t xml:space="preserve">Husnayain, Atina/JVY-7303-2024; Lazuardi, Lutfan/K-6812-2019; Fuad, Anis/V-6568-2017</t>
  </si>
  <si>
    <t xml:space="preserve">Fuad, Anis/0000-0003-2303-5903; Husnayain, Atina/0000-0003-3002-8728; Lazuardi, Lutfan/0000-0001-5146-8162</t>
  </si>
  <si>
    <t xml:space="preserve">Faculty of Medicine, Public Health and Nursing, Universitas Gadjah Mada [UPPM/221/M/05/04/05.17]</t>
  </si>
  <si>
    <t xml:space="preserve">Faculty of Medicine, Public Health and Nursing, Universitas Gadjah Mada</t>
  </si>
  <si>
    <t xml:space="preserve">This work was supported by the Faculty of Medicine, Public Health and Nursing, Universitas Gadjah Mada [Grant number: UPPM/221/M/05/04/05.17].</t>
  </si>
  <si>
    <t xml:space="preserve">1654-9880</t>
  </si>
  <si>
    <t xml:space="preserve">Glob. Health Action</t>
  </si>
  <si>
    <t xml:space="preserve">JAN 1</t>
  </si>
  <si>
    <t xml:space="preserve">10.1080/16549716.2018.1552652</t>
  </si>
  <si>
    <t xml:space="preserve">HH1VW</t>
  </si>
  <si>
    <t xml:space="preserve">WOS:000455509000001</t>
  </si>
  <si>
    <t xml:space="preserve">Khalighifar, A; Komp, E; Ramsey, JM; Gurgel-Gonçalves, R; Peterson, AT</t>
  </si>
  <si>
    <t xml:space="preserve">Khalighifar, Ali; Komp, Ed; Ramsey, Janine M.; Gurgel-Goncalves, Rodrigo; Peterson, A. Townsend</t>
  </si>
  <si>
    <t xml:space="preserve">Deep Learning Algorithms Improve Automated Identification of Chagas Disease Vectors</t>
  </si>
  <si>
    <t xml:space="preserve">Vector-borne Chagas disease is endemic to the Americas and imposes significant economic and social burdens on public health. In a previous contribution, we presented an automated identification system that was able to discriminate among 12 Mexican and 39 Brazilian triatomine (Hemiptera: Reduviidae) species from digital images. To explore the same data more deeply using machine-learning approaches, hoping for improvements in classification, we employed TensorFlow, an open-source software platform for a deep learning algorithm. We trained the algorithm based on 405 images for Mexican triatomine species and 1,584 images for Brazilian triatomine species. Our system achieved 83.0 and 86.7% correct identification rates across all Mexican and Brazilian species, respectively, an improvement over comparable rates from statistical classifiers (80.3 and 83.9%, respectively). Incorporating distributional information to reduce numbers of species in analyses improved identification rates to 95.8% for Mexican species and 98.9% for Brazilian species. Given the 'taxonomic impediment' and difficulties in providing entomological expertise necessary to control such diseases, automating the identification process offers a potential partial solution to crucial challenges.</t>
  </si>
  <si>
    <t xml:space="preserve">United States, Mexico, Brazil, </t>
  </si>
  <si>
    <t xml:space="preserve">Mexico, Brazil</t>
  </si>
  <si>
    <t xml:space="preserve">Linear discriminant analysis
Artificial neural networks</t>
  </si>
  <si>
    <t xml:space="preserve">Chagas disease; TensorFlow; deep learning; Triatominae; automated species identification</t>
  </si>
  <si>
    <t xml:space="preserve">NEURAL-NETWORKS; TRIATOMINAE; SYSTEMATICS</t>
  </si>
  <si>
    <t xml:space="preserve">[Khalighifar, Ali; Peterson, A. Townsend] Univ Kansas, Biodivers Inst, Lawrence, KS 66045 USA; [Khalighifar, Ali; Peterson, A. Townsend] Univ Kansas, Dept Ecol &amp; Evolutionary Biol, Lawrence, KS 66045 USA; [Komp, Ed] Univ Kansas, Informat &amp; Telecommun Technol Ctr, Lawrence, KS 66045 USA; [Ramsey, Janine M.] Inst Nacl Salud Publ, Ctr Reg Invest Salud Publ, Tapachula, Chiapas, Mexico; [Gurgel-Goncalves, Rodrigo] Univ Brasilia, Fac Med, Brasilia, DF, Brazil</t>
  </si>
  <si>
    <t xml:space="preserve">University of Kansas; University of Kansas; University of Kansas; Instituto Nacional de Salud Publica; Universidade de Brasilia</t>
  </si>
  <si>
    <t xml:space="preserve">Khalighifar, A (corresponding author), Univ Kansas, Biodivers Inst, Lawrence, KS 66045 USA.;Khalighifar, A (corresponding author), Univ Kansas, Dept Ecol &amp; Evolutionary Biol, Lawrence, KS 66045 USA.</t>
  </si>
  <si>
    <t xml:space="preserve">a.khalighifar@ku.edu</t>
  </si>
  <si>
    <t xml:space="preserve">Ramsey, Janine/AAS-2220-2021; Gurgel-Goncalves, Rodrigo/AAD-7955-2020; Khalighifar, Ali/AAF-3587-2020; Peterson, A. Townsend/I-5697-2013</t>
  </si>
  <si>
    <t xml:space="preserve">Khalighifar, Ali/0000-0002-2949-8143; Peterson, A. Townsend/0000-0003-0243-2379; Ramsey, Janine/0000-0002-5950-0830</t>
  </si>
  <si>
    <t xml:space="preserve">Office of the Provost, of the University of Kansas; Consejo Nacional de Ciencia y Tecnologia (Mexico) [CONACyT 261006]</t>
  </si>
  <si>
    <t xml:space="preserve">Office of the Provost, of the University of Kansas; Consejo Nacional de Ciencia y Tecnologia (Mexico)(Consejo Nacional de Ciencia y Tecnologia (CONACyT))</t>
  </si>
  <si>
    <t xml:space="preserve">We thank the Office of the Provost, of the University of Kansas, and the Consejo Nacional de Ciencia y Tecnologia (Mexico; CONACyT 261006 [to J.M.R.W.]) for their support of this project. We also thank R. Evanhoe and R. Epperson for technical support.</t>
  </si>
  <si>
    <t xml:space="preserve">10.1093/jme/tjz065</t>
  </si>
  <si>
    <t xml:space="preserve">JG4OS</t>
  </si>
  <si>
    <t xml:space="preserve">WOS:000492054500034</t>
  </si>
  <si>
    <t xml:space="preserve">Mwanga, EP; Minja, EG; Mrimi, E; Jiménez, MG; Swai, JK; Abbasi, S; Ngowo, HS; Siria, DJ; Mapua, S; Stica, C; Maia, MF; Olotu, A; Sikulu-Lord, MT; Baldini, F; Ferguson, HM; Wynne, K; Selvaraj, P; Babayan, SA; Okumu, FO</t>
  </si>
  <si>
    <t xml:space="preserve">Mwanga, Emmanuel P.; Minja, Elihaika G.; Mrimi, Emmanuel; Jimenez, Mario Gonzalez; Swai, Johnson K.; Abbasi, Said; Ngowo, Halfan S.; Siria, Doreen J.; Mapua, Salum; Stica, Caleb; Maia, Marta F.; Olotu, Ally; Sikulu-Lord, Maggy T.; Baldini, Francesco; Ferguson, Heather M.; Wynne, Klaas; Selvaraj, Prashanth; Babayan, Simon A.; Okumu, Fredros O.</t>
  </si>
  <si>
    <t xml:space="preserve">Detection of malaria parasites in dried human blood spots using mid-infrared spectroscopy and logistic regression analysis</t>
  </si>
  <si>
    <t xml:space="preserve">Background Epidemiological surveys of malaria currently rely on microscopy, polymerase chain reaction assays (PCR) or rapid diagnostic test kits for Plasmodium infections (RDTs). This study investigated whether mid-infrared (MIR) spectroscopy coupled with supervised machine learning could constitute an alternative method for rapid malaria screening, directly from dried human blood spots. Methods Filter papers containing dried blood spots (DBS) were obtained from a cross-sectional malaria survey in 12 wards in southeastern Tanzania in 2018/19. The DBS were scanned using attenuated total reflection-Fourier Transform Infrared (ATR-FTIR) spectrometer to obtain high-resolution MIR spectra in the range 4000 cm(-1) to 500 cm(-1). The spectra were cleaned to compensate for atmospheric water vapour and CO2 interference bands and used to train different classification algorithms to distinguish between malaria-positive and malaria-negative DBS papers based on PCR test results as reference. The analysis considered 296 individuals, including 123 PCR-confirmed malaria positives and 173 negatives. Model training was done using 80% of the dataset, after which the best-fitting model was optimized by bootstrapping of 80/20 train/test-stratified splits. The trained models were evaluated by predicting Plasmodium falciparum positivity in the 20% validation set of DBS. Results Logistic regression was the best-performing model. Considering PCR as reference, the models attained overall accuracies of 92% for predicting P. falciparum infections (specificity = 91.7%; sensitivity = 92.8%) and 85% for predicting mixed infections of P. falciparum and Plasmodium ovale (specificity = 85%, sensitivity = 85%) in the field-collected specimen. Conclusion These results demonstrate that mid-infrared spectroscopy coupled with supervised machine learning (MIR-ML) could be used to screen for malaria parasites in human DBS. The approach could have potential for rapid and high-throughput screening of Plasmodium in both non-clinical settings (e.g., field surveys) and clinical settings (diagnosis to aid case management). However, before the approach can be used, we need additional field validation in other study sites with different parasite populations, and in-depth evaluation of the biological basis of the MIR signals. Improving the classification algorithms, and model training on larger datasets could also improve specificity and sensitivity. The MIR-ML spectroscopy system is physically robust, low-cost, and requires minimum maintenance.</t>
  </si>
  <si>
    <t xml:space="preserve">Tanzania, UK, Kenya, Australia, USA, South Africa</t>
  </si>
  <si>
    <t xml:space="preserve">Malaria diagnosis; Plasmodium; Ifakara Health Institute; Mid-infrared spectroscopy; Dried blood spots; Supervised machine learning; Attenuated total reflection-Fourier Transform Infrared spectrometer; PCR</t>
  </si>
  <si>
    <t xml:space="preserve">POLYMERASE-CHAIN-REACTION; RAPID DIAGNOSTIC-TESTS; PLASMODIUM-FALCIPARUM; PREVALENCE; ASSAY; ATR</t>
  </si>
  <si>
    <t xml:space="preserve">[Mwanga, Emmanuel P.; Minja, Elihaika G.; Mrimi, Emmanuel; Swai, Johnson K.; Abbasi, Said; Ngowo, Halfan S.; Siria, Doreen J.; Mapua, Salum; Stica, Caleb; Okumu, Fredros O.] Ifakara Hlth Inst, Environm Hlth &amp; Ecol Sci Dept, Morogoro, Tanzania; [Jimenez, Mario Gonzalez; Wynne, Klaas] Univ Glasgow, Sch Chem, Glasgow G12 8QQ, Lanark, Scotland; [Ngowo, Halfan S.; Baldini, Francesco; Ferguson, Heather M.; Babayan, Simon A.; Okumu, Fredros O.] Univ Glasgow, Inst Biodivers Anim Hlth &amp; Comparat Med, Glasgow G12 8QQ, Lanark, Scotland; [Mapua, Salum] Univ Keele, Sch Life Sci, Keele ST5 5BG, Staffs, England; [Maia, Marta F.; Olotu, Ally] KEMRI Wellcome Trust Res Programme, POB 230, Kilifi 80108, Kenya; [Maia, Marta F.] Univ Oxford, Ctr Trop Med &amp; Global Hlth, Nuffield Dept Med, Old Rd Campus Roosevelt Dr, Oxford OX3 7FZ, England; [Olotu, Ally] Ifakara Hlth Inst, Intervent &amp; Clin Trials Dept, Bagamoyo, Tanzania; [Sikulu-Lord, Maggy T.] Univ Queensland, Sch Publ Hlth, St Lucia, Australia; [Sikulu-Lord, Maggy T.] Marquette Univ, Dept Math Stat &amp; Comp Sci, Milwaukee, WI 53233 USA; [Selvaraj, Prashanth] Inst Dis Modeling, Bellevue, WA 98005 USA; [Okumu, Fredros O.] Univ Witwatersrand, Sch Publ Hlth, Johannesburg, South Africa</t>
  </si>
  <si>
    <t xml:space="preserve">Ifakara Health Institute; University of Glasgow; University of Glasgow; Keele University; University of Oxford; Ifakara Health Institute; University of Queensland; Marquette University; University of Witwatersrand</t>
  </si>
  <si>
    <t xml:space="preserve">Mwanga, EP; Okumu, FO (corresponding author), Ifakara Hlth Inst, Environm Hlth &amp; Ecol Sci Dept, Morogoro, Tanzania.;Okumu, FO (corresponding author), Univ Glasgow, Inst Biodivers Anim Hlth &amp; Comparat Med, Glasgow G12 8QQ, Lanark, Scotland.</t>
  </si>
  <si>
    <t xml:space="preserve">emwanga@ihi.or.tz; fredros@ihi.or.tz</t>
  </si>
  <si>
    <t xml:space="preserve">Mapua, Salum/HGB-8797-2022; Lord, Maggy/L-8158-2017; Baldini, Francesco/I-3996-2019; Selvaraj, Prashanth/AAS-7723-2020; Mwanga, Emmanuel/AAD-8753-2021; Ngowo, Halfan/AFS-8039-2022; Mrimi, Emmanuel/KHZ-1628-2024; Maia, Marta/I-6003-2019; Wynne, Klaas/B-7993-2008; Babayan, Simon/E-1807-2011</t>
  </si>
  <si>
    <t xml:space="preserve">Ferreira Maia, Marta/0000-0003-3302-5610; Stica, Caleb/0000-0003-3194-201X; Babayan, Simon/0000-0002-4949-1117; Ngowo, Halfan/0000-0003-2789-0261; Mwanga, Emmanuel P./0000-0003-1799-3830; Ferguson, Heather/0000-0002-9625-5176; Mrimi, Emmanuel/0000-0002-6707-7040; Baldini, Francesco/0000-0002-5904-4070</t>
  </si>
  <si>
    <t xml:space="preserve">Wellcome Trust [WT102350/Z/13/Z, WT214643/Z/18/Z, WT214644/Z/18/Z, WT212633/Z/18/Z, WT200086/Z/15/Z]; Howard Hughes Medical Institute (HHMI)-Gates International Research Scholarship [OPP1099295]; MRC [MR/P025501/1]; MRC [MR/P025501/1] Funding Source: UKRI</t>
  </si>
  <si>
    <t xml:space="preserve">Wellcome Trust(Wellcome Trust); Howard Hughes Medical Institute (HHMI)-Gates International Research Scholarship; MRC(UK Research &amp; Innovation (UKRI)Medical Research Council UK (MRC)); MRC(UK Research &amp; Innovation (UKRI)Medical Research Council UK (MRC))</t>
  </si>
  <si>
    <t xml:space="preserve">This research was supported by Wellcome Trust Intermediate Fellowship in Public Health &amp; Tropical Medicine awarded to FOO (Grant No. WT102350/Z/13/Z), a Howard Hughes Medical Institute (HHMI)-Gates International Research Scholarship awarded to FOO (Grant No. OPP1099295) and an MRC grant awarded to University of Glasgow (Grant No. MR/P025501/1). EPM, DJS, SAM and JKS were also supported by Wellcome Trust International Masters Fellowships in Tropical Medicine &amp; Hygiene, (Grant Nos. WT214643/Z/18/Z, WT 214644/Z/18/Z, WT212633/Z/18/Z and WT200086/Z/15/Z respectively).</t>
  </si>
  <si>
    <t xml:space="preserve">10.1186/s12936-019-2982-9</t>
  </si>
  <si>
    <t xml:space="preserve">JC2SW</t>
  </si>
  <si>
    <t xml:space="preserve">Green Published, Green Accepted, gold, Green Submitted</t>
  </si>
  <si>
    <t xml:space="preserve">WOS:000489127800003</t>
  </si>
  <si>
    <t xml:space="preserve">de Avelar, DM; Carvalho, DM; Rabello, A</t>
  </si>
  <si>
    <t xml:space="preserve">de Avelar, Daniel Moreira; Carvalho, Debora Moreira; Rabello, Ana</t>
  </si>
  <si>
    <t xml:space="preserve">Development and Clinical Evaluation of Loop-Mediated Isothermal Amplification (LAMP) Assay for the Diagnosis of Human Visceral Leishmaniasis in Brazil</t>
  </si>
  <si>
    <t xml:space="preserve">Visceral leishmaniasis (VL) is considered a major public health concern in Brazil and several regions of the world. A recent advance in the diagnosis of infectious diseases was the development of loop-mediated isothermal amplification (LAMP). The aim of this study was to develop and evaluate a new LAMP assay for detection of K26 antigen-coding gene of L. donovani complex. A total of 219 blood samples of immunocompetent patients, including 114 VL cases and 105 non-VL cases, were analyzed for the diagnosis of VL in the present study. Diagnostic accuracy was calculated against a combination of parasitological and/or serological tests as a reference standard. The results were compared to those of kDNA Leishmania-PCR. The detection limit for the K26-Lamp assay was 1fg L. infantum purified DNA and 100 parasites/mL within 60 min of amplification time with visual detection for turbidity. The assay was specific for L. donovani complex. Sensitivity, specificity, and accuracy were 98.2%, 98.1%, and 98.2%, respectively, for K26-LAMP and 100%, 100%, and 100%, respectively, for kDNA Leishmania-PCR. Excellent agreement was observed between K26-LAMP and kDNA Leishmania-PCR assays (K = 0.96). A highly sensitive and specific LAMP assay targeting K26 antigen-coding gene of L. donovani complex was developed for diagnosis in peripheral blood samples of VL patients.</t>
  </si>
  <si>
    <t xml:space="preserve">DNA; TOOL</t>
  </si>
  <si>
    <t xml:space="preserve">[de Avelar, Daniel Moreira; Carvalho, Debora Moreira; Rabello, Ana] Fundacao Oswaldo Cruz, Inst Rene Rachou, Pesquisa Clin &amp; Polit Publ Doencas Infecciosas &amp;, Belo Horizonte, MG, Brazil</t>
  </si>
  <si>
    <t xml:space="preserve">Fundacao Oswaldo Cruz; Fiocruz - Research Center Rene Rachou</t>
  </si>
  <si>
    <t xml:space="preserve">de Avelar, DM (corresponding author), Fundacao Oswaldo Cruz, Inst Rene Rachou, Pesquisa Clin &amp; Polit Publ Doencas Infecciosas &amp;, Belo Horizonte, MG, Brazil.</t>
  </si>
  <si>
    <t xml:space="preserve">daniel.avelar@fiocruz.br; deboramc.bio@gmail.com; ana.rabello@fiocruz.br</t>
  </si>
  <si>
    <t xml:space="preserve">Avelar, Daniel/AAC-5002-2022</t>
  </si>
  <si>
    <t xml:space="preserve">Avelar, Daniel/0000-0001-7907-7913; Moreira Carvalho, Debora/0000-0002-2584-669X</t>
  </si>
  <si>
    <t xml:space="preserve">Brazilian Ministry of Health (Ministerio da Saude do Brasil) [TC 278/2013]; Research Foundation of the State of Minas Gerais (FundacAo de Amparo a Pesquisa do Estado de Minas Gerais, FAPEMIG); CNPq (National Counsel of Technological and Scientific Development) [310938/2017-1]</t>
  </si>
  <si>
    <t xml:space="preserve">Brazilian Ministry of Health (Ministerio da Saude do Brasil); Research Foundation of the State of Minas Gerais (FundacAo de Amparo a Pesquisa do Estado de Minas Gerais, FAPEMIG)(Fundacao de Amparo a Pesquisa do Estado de Minas Gerais (FAPEMIG)); CNPq (National Counsel of Technological and Scientific Development)(Conselho Nacional de Desenvolvimento Cientifico e Tecnologico (CNPQ))</t>
  </si>
  <si>
    <t xml:space="preserve">This study was supported by the Brazilian Ministry of Health (Ministerio da Saude do Brasil / TC 278/2013) and Research Foundation of the State of Minas Gerais (FundacAo de Amparo a Pesquisa do Estado de Minas Gerais, FAPEMIG). AR is currently receiving a grant (310938/2017-1) from CNPq (National Counsel of Technological and Scientific Development). The author thanks Eliane de Morais Teixeira for providing Leishmania spp.</t>
  </si>
  <si>
    <t xml:space="preserve">JUL 24</t>
  </si>
  <si>
    <t xml:space="preserve">10.1155/2019/8240784</t>
  </si>
  <si>
    <t xml:space="preserve">IN8RN</t>
  </si>
  <si>
    <t xml:space="preserve">WOS:000478947300001</t>
  </si>
  <si>
    <t xml:space="preserve">Chakraborty, T; Chattopadhyay, S; Ghosh, I</t>
  </si>
  <si>
    <t xml:space="preserve">Chakraborty, Tanujit; Chattopadhyay, Swarup; Ghosh, Indrajit</t>
  </si>
  <si>
    <t xml:space="preserve">Forecasting dengue epidemics using a hybrid methodology</t>
  </si>
  <si>
    <t xml:space="preserve">Dengue case management is an alarmingly important global health issue. The effective allocation of resources is often difficult due to external and internal factors imposing nonlinear fluctuations in the prevalence of dengue fever. We aimed to construct an early-warning system that could accurately forecast subsequent dengue cases in three dengue endemic regions, namely San Juan, Iquitos, and the Philippines. The problem is solely regarded as a time series forecasting problem ignoring the known epidemiology of dengue fever as well as the other meteorological variables. Autoregressive integrated moving average (ARIMA) model is a popular classical time series model for linear data structures whereas with the advent of neural networks, nonlinear structures in the data set can be handled. In this paper, we propose a novel hybrid model combining ARIMA and neural network autoregressive (NNAR) model to capture both linearity and nonlinearity in the data sets. The ARIMA model filters out linear tendencies in the data and passes on the residual values to the NNAR model. The proposed hybrid approach is applied to three dengue time-series data sets and is found to give better forecasting accuracy in comparison to the state-of-the-art. The results of this study indicate that dengue cases can be accurately forecasted over a sufficient time period using the proposed hybrid methodology. (C) 2019 Elsevier B.V. All rights reserved.</t>
  </si>
  <si>
    <t xml:space="preserve">PHYSICA A-STATISTICAL MECHANICS AND ITS APPLICATIONS</t>
  </si>
  <si>
    <t xml:space="preserve">Dengue forecasting; Hybrid model; ARIMA model; Neural network autoregressive model</t>
  </si>
  <si>
    <t xml:space="preserve">ARTIFICIAL NEURAL-NETWORKS; ARIMA; MACHINE; MODELS</t>
  </si>
  <si>
    <t xml:space="preserve">[Chakraborty, Tanujit; Chattopadhyay, Swarup; Ghosh, Indrajit] Indian Stat Inst, Kolkata 700108, W Bengal, India</t>
  </si>
  <si>
    <t xml:space="preserve">Indian Statistical Institute; Indian Statistical Institute Kolkata</t>
  </si>
  <si>
    <t xml:space="preserve">Chakraborty, T (corresponding author), Indian Stat Inst, Kolkata 700108, W Bengal, India.</t>
  </si>
  <si>
    <t xml:space="preserve">tanujit_r@isical.ac.in</t>
  </si>
  <si>
    <t xml:space="preserve">Ghosh, Indrajit/ABH-3370-2020; Chakraborty, Tanujit/ABE-1484-2020</t>
  </si>
  <si>
    <t xml:space="preserve">Ghosh, Indrajit/0000-0002-0492-2948; CHAKRABORTY, TANUJIT/0000-0002-3479-2187</t>
  </si>
  <si>
    <t xml:space="preserve">Indian Statistical Institute, India; University Grants Commission, India by Govt. of India</t>
  </si>
  <si>
    <t xml:space="preserve">The authors gratefully acknowledge the financial assistance received from Indian Statistical Institute, Visvesvaraya Ph.D. Scheme, India and University Grants Commission, India, awarded by the Govt. of India. The authors are thankful to the three anonymous reviewers for their constructive comments.</t>
  </si>
  <si>
    <t xml:space="preserve">0378-4371</t>
  </si>
  <si>
    <t xml:space="preserve">1873-2119</t>
  </si>
  <si>
    <t xml:space="preserve">PHYSICA A</t>
  </si>
  <si>
    <t xml:space="preserve">Physica A</t>
  </si>
  <si>
    <t xml:space="preserve">10.1016/j.physa.2019.121266</t>
  </si>
  <si>
    <t xml:space="preserve">IQ3BO</t>
  </si>
  <si>
    <t xml:space="preserve">WOS:000480625700084</t>
  </si>
  <si>
    <t xml:space="preserve">Mamidi, R; Miller, M; Banerjee, T; Romine, W; Sheth, A</t>
  </si>
  <si>
    <t xml:space="preserve">Mamidi, Ravali; Miller, Michele; Banerjee, Tanvi; Romine, William; Sheth, Amit</t>
  </si>
  <si>
    <t xml:space="preserve">Identifying Key Topics Bearing Negative Sentiment on Twitter: Insights Concerning the 2015-2016 Zika Epidemic</t>
  </si>
  <si>
    <t xml:space="preserve">Background: To understand the public sentiment regarding the Zika virus, social media can be leveraged to understand how positive, negative, and neutral sentiments are expressed in society. Specifically, understanding the characteristics of negative sentiment could help inform federal disease control agencies' efforts to disseminate relevant information to the public about Zika-related issues. Objective: The purpose of this study was to analyze the public sentiment concerning Zika using posts on Twitter and determine the qualitative characteristics of positive, negative, and neutral sentiments expressed. Methods: Machine learning techniques and algorithms were used to analyze the sentiment of tweets concerning Zika. A supervised machine learning classifier was built to classify tweets into 3 sentiment categories: positive, neutral, and negative. Tweets in each category were then examined using a topic-modeling approach to determine the main topics for each category, with focus on the negative category. Results: A total of 5303 tweets were manually annotated and used to train multiple classifiers. These performed moderately well (F1 score=0.48-0.68) with text-based feature extraction. All 48,734 tweets were then categorized into the sentiment categories. Overall, 10 topics for each sentiment category were identified using topic modeling, with a focus on the negative sentiment category. Conclusions: Our study demonstrates how sentiment expressed within discussions of epidemics on Twitter can be discovered. This allows public health officials to understand public sentiment regarding an epidemic and enables them to address specific elements of negative sentiment in real time. Our negative sentiment classifier was able to identify tweets concerning Zika with 3 broad themes: neural defects,Zika abnormalities, and reports and findings. These broad themes were based on domain expertise and from topics discussed in journals such as Morbidity and Mortality Weekly Report and Vaccine. As the majority of topics in the negative sentiment category concerned symptoms, officials should focus on spreading information about prevention and treatment research.</t>
  </si>
  <si>
    <t xml:space="preserve">Zika </t>
  </si>
  <si>
    <t xml:space="preserve">Word2vec
n-Gram</t>
  </si>
  <si>
    <t xml:space="preserve">social media; machine learning; natural language processing; epidemiology; Zika; infodemiology; infoveillance; twitter; sentiment analysis</t>
  </si>
  <si>
    <t xml:space="preserve">SOCIAL MEDIA; VIRUS; ENHANCEMENT</t>
  </si>
  <si>
    <t xml:space="preserve">[Mamidi, Ravali; Banerjee, Tanvi; Sheth, Amit] Wright State Univ, Comp Sci &amp; Engn, Dayton, OH 45435 USA; [Miller, Michele; Romine, William] Wright State Univ, Dept Biol Sci, 3640 Colonel Glenn Hwy, Dayton, OH 45435 USA; [Banerjee, Tanvi; Sheth, Amit] Wright State Univ, Comp Sci &amp; Engn, Kno E Sis, Dayton, OH 45435 USA</t>
  </si>
  <si>
    <t xml:space="preserve">University System of Ohio; Wright State University Dayton; University System of Ohio; Wright State University Dayton; University System of Ohio; Wright State University Dayton</t>
  </si>
  <si>
    <t xml:space="preserve">Miller, M (corresponding author), Wright State Univ, Dept Biol Sci, 3640 Colonel Glenn Hwy, Dayton, OH 45435 USA.</t>
  </si>
  <si>
    <t xml:space="preserve">millerme91@gmail.com</t>
  </si>
  <si>
    <t xml:space="preserve">Sheth, Amit/ABC-4600-2020</t>
  </si>
  <si>
    <t xml:space="preserve">Banerjee, Tanvi/0000-0002-9794-3755; Sheth, Amit/0000-0002-0021-5293; Romine, William/0000-0002-0386-1688</t>
  </si>
  <si>
    <t xml:space="preserve">APR-JUN</t>
  </si>
  <si>
    <t xml:space="preserve">e11036</t>
  </si>
  <si>
    <t xml:space="preserve">10.2196/11036</t>
  </si>
  <si>
    <t xml:space="preserve">LE6EL</t>
  </si>
  <si>
    <t xml:space="preserve">WOS:000526816400007</t>
  </si>
  <si>
    <t xml:space="preserve">Daughton, AR; Paul, MJ</t>
  </si>
  <si>
    <t xml:space="preserve">Daughton, Ashlynn R.; Paul, Michael J.</t>
  </si>
  <si>
    <t xml:space="preserve">Identifying Protective Health Behaviors on Twitter: Observational Study of Travel Advisories and Zika Virus</t>
  </si>
  <si>
    <t xml:space="preserve">Background: An estimated 3.9 billion individuals live in a location endemic for common mosquito-borne diseases. The emergence of Zika virus in South America in 2015 marked the largest known Zika outbreak and caused hundreds of thousands of infections. Internet data have shown promise in identifying human behaviors relevant for tracking and understanding other diseases. Objective: Using Twitter posts regarding the 2015-16 Zika virus outbreak, we sought to identify and describe considerations and self-disclosures of a specific behavior change relevant to the spread of disease-travel cancellation. If this type of behavior is identifiable in Twitter, this approach may provide an additional source of data for disease modeling. Methods: We combined keyword filtering and machine learning classification to identify first-person reactions to Zika in 29,386 English-language tweets in the context of travel, including considerations and reports of travel cancellation. We further explored demographic, network, and linguistic characteristics of users who change their behavior compared with control groups. Results: We found differences in the demographics, social networks, and linguistic patterns of 1567 individuals identified as changing or considering changing travel behavior in response to Zika as compared with a control sample of Twitter users. We found significant differences between geographic areas in the United States, significantly more discussion by women than men, and some evidence of differences in levels of exposure to Zika-related information. Conclusions: Our findings have implications for informing the ways in which public health organizations communicate with the public on social media, and the findings contribute to our understanding of the ways in which the public perceives and acts on risks of emerging infectious diseases.</t>
  </si>
  <si>
    <t xml:space="preserve">JOURNAL OF MEDICAL INTERNET RESEARCH</t>
  </si>
  <si>
    <t xml:space="preserve">social media; travel; behavior; communicable diseases; zika virus; public health; epidemiology; information science; travel-related illness</t>
  </si>
  <si>
    <t xml:space="preserve">SOCIAL MEDIA; INFECTIOUS-DISEASES; SURVEILLANCE; TRANSMISSION; FACEBOOK; SPREAD</t>
  </si>
  <si>
    <t xml:space="preserve">[Daughton, Ashlynn R.] Los Alamos Natl Lab, Analyt Intelligence &amp; Technol, Los Alamos, NM USA; [Daughton, Ashlynn R.; Paul, Michael J.] Univ Colorado, Informat Sci, Boulder, CO 80309 USA</t>
  </si>
  <si>
    <t xml:space="preserve">United States Department of Energy (DOE); Los Alamos National Laboratory; University of Colorado System; University of Colorado Boulder</t>
  </si>
  <si>
    <t xml:space="preserve">Daughton, AR (corresponding author), Univ Colorado, Informat Sci, Technol Learning Ctr, 1045 18th St,UCB 315, Boulder, CO 80309 USA.</t>
  </si>
  <si>
    <t xml:space="preserve">adaughton@lanl.gov</t>
  </si>
  <si>
    <t xml:space="preserve">1438-8871</t>
  </si>
  <si>
    <t xml:space="preserve">J MED INTERNET RES</t>
  </si>
  <si>
    <t xml:space="preserve">J. Med. Internet Res.</t>
  </si>
  <si>
    <t xml:space="preserve">e13090</t>
  </si>
  <si>
    <t xml:space="preserve">10.2196/13090</t>
  </si>
  <si>
    <t xml:space="preserve">HY4LU</t>
  </si>
  <si>
    <t xml:space="preserve">WOS:000468100500001</t>
  </si>
  <si>
    <t xml:space="preserve">Dong, YH; Pan, WD; Wu, DS</t>
  </si>
  <si>
    <t xml:space="preserve">Dong, Yuhang; Pan, W. David; Wu, Dongsheng</t>
  </si>
  <si>
    <t xml:space="preserve">Impact of Misclassification Rates on Compression Efficiency of Red Blood Cell Images of Malaria Infection Using Deep Learning</t>
  </si>
  <si>
    <t xml:space="preserve">Malaria is a severe public health problem worldwide, with some developing countries being most affected. Reliable remote diagnosis of malaria infection will benefit from efficient compression of high-resolution microscopic images. This paper addresses a lossless compression of malaria-infected red blood cell images using deep learning. Specifically, we investigate a practical approach where images are first classified before being compressed using stacked autoencoders. We provide probabilistic analysis on the impact of misclassification rates on compression performance in terms of the information-theoretic measure of entropy. We then use malaria infection image datasets to evaluate the relations between misclassification rates and actually obtainable compressed bit rates using Golomb-Rice codes. Simulation results show that the joint pattern classification/compression method provides more efficient compression than several mainstream lossless compression techniques, such as JPEG2000, JPEG-LS, CALIC, and WebP, by exploiting common features extracted by deep learning on large datasets. This study provides new insight into the interplay between classification accuracy and compression bitrates. The proposed compression method can find useful telemedicine applications where efficient storage and rapid transfer of large image datasets is desirable.</t>
  </si>
  <si>
    <t xml:space="preserve">lossless compression; pattern classification; machine learning; malaria infection; entropy; Golomb-Rice codes</t>
  </si>
  <si>
    <t xml:space="preserve">CLASSIFICATION; VECTOR; ALGORITHM</t>
  </si>
  <si>
    <t xml:space="preserve">[Dong, Yuhang; Pan, W. David] Univ Alabama, Dept Elect &amp; Comp Engn, Huntsville, AL 35899 USA; [Wu, Dongsheng] Univ Alabama, Dept Math Sci, Huntsville, AL 35899 USA</t>
  </si>
  <si>
    <t xml:space="preserve">University of Alabama System; University of Alabama Huntsville; University of Alabama System; University of Alabama Huntsville</t>
  </si>
  <si>
    <t xml:space="preserve">Pan, WD (corresponding author), Univ Alabama, Dept Elect &amp; Comp Engn, Huntsville, AL 35899 USA.</t>
  </si>
  <si>
    <t xml:space="preserve">yd0009@uah.edu; dw0001@uah.edu; pand@uah.edu</t>
  </si>
  <si>
    <t xml:space="preserve">Dong, Yuhang/KBQ-3062-2024</t>
  </si>
  <si>
    <t xml:space="preserve">Dong, Yuhang/0000-0001-9983-7860; Pan, Wendi/0000-0001-7265-2188</t>
  </si>
  <si>
    <t xml:space="preserve">Mission Support and Test Services, LLC; U.S. Department of Energy, National Nuclear Security Administration, NA-10 Office of Defense Programs; U.S. Department of Energy, National Nuclear Security Administration, Site-Directed Research and Development Program; U.S. Department of Energy</t>
  </si>
  <si>
    <t xml:space="preserve">Mission Support and Test Services, LLC; U.S. Department of Energy, National Nuclear Security Administration, NA-10 Office of Defense Programs; U.S. Department of Energy, National Nuclear Security Administration, Site-Directed Research and Development Program; U.S. Department of Energy(United States Department of Energy (DOE))</t>
  </si>
  <si>
    <t xml:space="preserve">Dongsheng Wu's research has been supported in part by Mission Support and Test Services, LLC, with the U.S. Department of Energy, National Nuclear Security Administration, NA-10 Office of Defense Programs, and the Site-Directed Research and Development Program. The United States Government retains and the publisher, by accepting the article for publication, acknowledges that the United States Government retains a non-exclusive, paid-up, irrevocable, world-wide license to publish or reproduce the published content of this manuscript, or allow others to do so, for United States Government purposes. The U.S. Department of Energy will provide public access to these results of federally sponsored research in accordance with the DOE Public Access Plan (http://energy.gov/downloads/doe-publicaccess-plan). The views expressed in the article do not necessarily represent the views of the U.S. Department of Energy or the United States Government.</t>
  </si>
  <si>
    <t xml:space="preserve">10.3390/e21111062</t>
  </si>
  <si>
    <t xml:space="preserve">JV1QZ</t>
  </si>
  <si>
    <t xml:space="preserve">WOS:000502145000035</t>
  </si>
  <si>
    <t xml:space="preserve">Heraud, P; Chatchawa, P; Wongwattanakul, M; Tippayawat, P; Doerig, C; Jearanaikoon, P; Perez-Guaita, D; Wood, BR</t>
  </si>
  <si>
    <t xml:space="preserve">Heraud, Philip; Chatchawa, Patutong; Wongwattanakul, Molin; Tippayawat, Patcharaporn; Doerig, Christian; Jearanaikoon, Patcharee; Perez-Guaita, David; Wood, Bayden R.</t>
  </si>
  <si>
    <t xml:space="preserve">Infrared spectroscopy coupled to cloud-based data management as a tool to diagnose malaria: a pilot study in a malaria-endemic country</t>
  </si>
  <si>
    <t xml:space="preserve">Background Widespread elimination of malaria requires an ultra-sensitive detection method that can detect low parasitaemia levels seen in asymptomatic carriers who act as reservoirs for further transmission of the disease, but is inexpensive and easy to deploy in the field in low income settings. It was hypothesized that a new method of malaria detection based on infrared spectroscopy, shown in the laboratory to have similar sensitivity to PCR based detection, could prove effective in detecting malaria in a field setting using cheap portable units with data management systems allowing them to be used by users inexpert in spectroscopy. This study was designed to determine whether the methodology developed in the laboratory could be translated to the field to diagnose the presence of Plasmodium in the blood of patients presenting at hospital with symptoms of malaria, as a precursor to trials testing the sensitivity of to detect asymptomatic carriers. Methods The field study tested 318 patients presenting with suspected malaria at four regional clinics in Thailand. Two portable infrared spectrometers were employed, operated from a laptop computer or a mobile telephone with in-built software that guided the user through the simple measurement steps. Diagnostic modelling and validation testing using linear and machine learning approaches was performed against the gold standard qPCR. Sample spectra from 318 patients were used for building calibration models (112 positive and 110 negative samples according to PCR testing) and independent validation testing (39 positive and 57 negatives samples by PCR). Results The machine learning classification (support vector machines; SVM) performed with 92% sensitivity (3 false negatives) and 97% specificity (2 false positives). The Area Under the Receiver Operation Curve (AUROC) for the SVM classification was 0.98. These results may be better than as stated as one of the spectroscopy false positives was infected by a Plasmodium species other than Plasmodium falciparum or Plasmodium vivax, not detected by the PCR primers employed. Conclusions In conclusion, it was demonstrated that ATR-FTIR spectroscopy could be used as an efficient and reliable malaria diagnostic tool and has the potential to be developed for use at point of care under tropical field conditions with spectra able to be analysed via a Cloud-based system, and the diagnostic results returned to the user's mobile telephone or computer. The combination of accessibility to mass screening, high sensitivity and selectivity, low logistics requirements and portability, makes this new approach a potentially outstanding tool in the context of malaria elimination programmes. The next step in the experimental programme now underway is to reduce the sample requirements to fingerprick volumes.</t>
  </si>
  <si>
    <t xml:space="preserve">Australia, Thailand</t>
  </si>
  <si>
    <t xml:space="preserve">Malaria diagnosis; Infrared spectroscopy; Cloud based diagnostics; Plasmodium</t>
  </si>
  <si>
    <t xml:space="preserve">PLASMODIUM-FALCIPARUM; QUANTIFICATION; PARASITEMIA</t>
  </si>
  <si>
    <t xml:space="preserve">[Heraud, Philip; Perez-Guaita, David; Wood, Bayden R.] Monash Univ, Fac Sci, Ctr Biospect, Sch Chem, Wellington Rd, Clayton, Vic 3800, Australia; [Heraud, Philip; Doerig, Christian] Monash Univ, Dept Microbiol, Fac Med Nursing &amp; Hlth Sci, Wellington Rd, Clayton, Vic 3800, Australia; [Heraud, Philip; Doerig, Christian] Monash Univ, Biomed Discovery Inst, Fac Med Nursing &amp; Hlth Sci, Wellington Rd, Clayton, Vic 3800, Australia; [Chatchawa, Patutong; Wongwattanakul, Molin; Tippayawat, Patcharaporn; Jearanaikoon, Patcharee] Khon Kaen Univ, Ctr Res &amp; Dev, Med Diagnost Labs, Fac Associated Med Sci, Khon Kaen, Thailand; [Wongwattanakul, Molin] Khon Kaen Univ, Grad Sch, Khon Kaen, Thailand</t>
  </si>
  <si>
    <t xml:space="preserve">Monash University; Monash University; Monash University; Khon Kaen University; Khon Kaen University</t>
  </si>
  <si>
    <t xml:space="preserve">Perez-Guaita, D; Wood, BR (corresponding author), Monash Univ, Fac Sci, Ctr Biospect, Sch Chem, Wellington Rd, Clayton, Vic 3800, Australia.</t>
  </si>
  <si>
    <t xml:space="preserve">david.perez.guaita@monash.edu; bayden.wood@monash.edu</t>
  </si>
  <si>
    <t xml:space="preserve">Perez-Guaita, David/I-2487-2019; Wood, Bayden/E-4984-2011</t>
  </si>
  <si>
    <t xml:space="preserve">Perez-Guaita, David/0000-0002-2640-2927; Wood, Bayden/0000-0003-3581-447X</t>
  </si>
  <si>
    <t xml:space="preserve">Australian Research Council [DP 3921629, FT 120100926]</t>
  </si>
  <si>
    <t xml:space="preserve">Australian Research Council(Australian Research Council)</t>
  </si>
  <si>
    <t xml:space="preserve">This work was funded by an Australian Research Council Discovery Project DP 3921629 and Australian Research Council Future Fellowship Grant FT 120100926.</t>
  </si>
  <si>
    <t xml:space="preserve">OCT 16</t>
  </si>
  <si>
    <t xml:space="preserve">10.1186/s12936-019-2945-1</t>
  </si>
  <si>
    <t xml:space="preserve">JK6XU</t>
  </si>
  <si>
    <t xml:space="preserve">WOS:000494986400001</t>
  </si>
  <si>
    <t xml:space="preserve">Wiese, D; Escalante, AA; Murphy, H; Henry, KA; Gutierrez-Velez, VH</t>
  </si>
  <si>
    <t xml:space="preserve">Wiese, Daniel; Escalante, Ananias A.; Murphy, Heather; Henry, Kevin A.; Gutierrez-Velez, Victor Hugo</t>
  </si>
  <si>
    <t xml:space="preserve">Integrating environmental and neighborhood factors in MaxEnt modeling to predict species distributions: A case study of Aedes albopictus in southeastern Pennsylvania</t>
  </si>
  <si>
    <t xml:space="preserve">Aedes albopictus is a viable vector for several infectious diseases such as Zika, West Nile, Dengue viruses and others. Originating from Asia, this invasive species is rapidly expanding into North American temperate areas and urbanized places causing major concerns for public health. Previous analyses show that warm temperatures and high humidity during the mosquito season are ideal conditions for A. albopictus development, while its distribution is correlated with population density. To better understand A. albopictus expansion into urban places it is important to consider the role of both environmental and neighborhood factors. The present study aims to assess the relative importance of both environmental variables and neighborhood factors in the prediction of A. albopictus' presence in Southeast Pennsylvania using MaxEnt (version 3.4.1) machine-learning algorithm. Three models are developed that include: (1) exclusively environmental variables, (2) exclusively neighborhood factors, and (3) a combination of environmental variables and neighborhood factors. Outcomes from the three models are compared in terms of variable importance, accuracy, and the spatial distribution of predicted A. albopictus'presence. All three models predicted the presence of A. albopictus in urban centers, however, each to a different spatial extent. The combined model resulted in the highest accuracy (74.7%) compared to the model with only environmental variables (73.5%) and to the model with only neighborhood factors (72.1%) separately. Although the combined model does not essentially increase the accuracy in the prediction, the spatial patterns of mosquito distribution are different when compared to environmental or neighborhood factors alone. Environmental variables help to explain conditions associated with mosquitoes in suburban/rural areas, while neighborhood factors summarize the local conditions that can also impact mosquito habitats in predominantly urban places. Overall, the present study shows that MaxEnt is suitable for integrating neighborhood factors associated with mosquito presence that can complement and improve species distribution modeling.</t>
  </si>
  <si>
    <t xml:space="preserve">SPATIAL-DISTRIBUTION; AEGYPTI; MOSQUITO; CLIMATE; DENGUE; URBAN; PRECIPITATION; DIFFERENCE; ECOLOGY; AREA</t>
  </si>
  <si>
    <t xml:space="preserve">[Wiese, Daniel; Henry, Kevin A.; Gutierrez-Velez, Victor Hugo] Temple Univ, Coll Liberal Arts, Dept Geog &amp; Urban Studies, Philadelphia, PA 19122 USA; [Murphy, Heather] Temple Univ, Coll Publ Hlth, Dept Biostat &amp; Epidemiol, Philadelphia, PA 19122 USA; [Escalante, Ananias A.] Temple Univ, Dept Biol, Coll Sci &amp; Technol, Philadelphia, PA 19122 USA</t>
  </si>
  <si>
    <t xml:space="preserve">Pennsylvania Commonwealth System of Higher Education (PCSHE); Temple University; Pennsylvania Commonwealth System of Higher Education (PCSHE); Temple University; Pennsylvania Commonwealth System of Higher Education (PCSHE); Temple University</t>
  </si>
  <si>
    <t xml:space="preserve">Gutierrez-Velez, VH (corresponding author), Temple Univ, Coll Liberal Arts, Dept Geog &amp; Urban Studies, Philadelphia, PA 19122 USA.</t>
  </si>
  <si>
    <t xml:space="preserve">tug61163@temple.edu</t>
  </si>
  <si>
    <t xml:space="preserve">Gutierrez-Velez, Victor/B-6882-2012</t>
  </si>
  <si>
    <t xml:space="preserve">Gutierrez-Velez, Victor H/0000-0003-1338-2020; Murphy, Heather/0000-0002-0435-8515; Escalante, Ananias/0000-0002-1532-3430</t>
  </si>
  <si>
    <t xml:space="preserve">Office of the Vice President for Research Administration at Temple University under the Targeted Funding Program; Colleges of Liberal Arts, Public Health and Science and Technology at Temple University under the Targeted Funding Program</t>
  </si>
  <si>
    <t xml:space="preserve">This work was made possible by funding from the Office of the Vice President for Research Administration and the Colleges of Liberal Arts, Public Health and Science and Technology at Temple University under the Targeted Funding Program. Publication of this article was funded in part by the Temple University Libraries Open Access Publishing Fund. The funders had no role in study design, data collection and analysis, decision to publish, or preparation of the manuscript. The authors choose to use the FLAE (first-last-author-emphasis) norm, with Gutierrez-Velez as the senior and corresponding author. This work was made possible by funding from the Office of the Vice President for Research Administration and the Colleges of Liberal Arts, Public Health and Science and Technology at Temple University under the Targeted Funding Program. We would like to thank Michael Hutchinson from the PA-DEP for making the mosquito data available. We would like to dedicate this paper to the memory of Dr. Deborah Nelson (PhD) who was part of the original research team, had a passion for public health and research, she passed away during the course of this research.</t>
  </si>
  <si>
    <t xml:space="preserve">OCT 17</t>
  </si>
  <si>
    <t xml:space="preserve">e0223821</t>
  </si>
  <si>
    <t xml:space="preserve">10.1371/journal.pone.0223821</t>
  </si>
  <si>
    <t xml:space="preserve">LM9KP</t>
  </si>
  <si>
    <t xml:space="preserve">WOS:000532567300048</t>
  </si>
  <si>
    <t xml:space="preserve">Amin, R; Zaidi, MB; Bashir, S; Khanani, R; Nawaz, R; Ali, S; Khan, S</t>
  </si>
  <si>
    <t xml:space="preserve">Amin, Rafat; Zaidi, Midhat Batool; Bashir, Saima; Khanani, Rafiq; Nawaz, Rukhsana; Ali, Shaukat; Khan, Sadaf</t>
  </si>
  <si>
    <t xml:space="preserve">Microbial contamination levels in the drinking water and associated health risks in Karachi, Pakistan</t>
  </si>
  <si>
    <t xml:space="preserve">The current study aimed to assess the microbial quality of municipal (tap) and ground (borehole) water in Karachi, Pakistan. A health survey was also conducted to assess possible health risks of the drinking water. Fifty water samples (n = 25 each of tap and ground water) were collected from various locations of five administrative districts of Karachi for bacteriological analysis. In addition, a survey was conducted to assess the impact of drinking water on the health of city residents. Microbiological analysis results showed the presence of total coliform in 48 out of 50 (96%) tested samples. The total viable plate count at 37 degrees C was &gt;200 CFU/ml in the majority of the collected samples which exceeded the permissible limit set by the World Health Organization (WHO) and the Pakistan Environmental Protection Agency. To evaluate the health risk of contaminated water, a total of 744 residents were interviewed. The information acquired from this field work revealed a high prevalence of waterborne diseases in the order of diarrhea and vomiting &gt; skin problems &gt; malaria &gt; prolonged fever &gt; eye problems and jaundice. To solve water and environmental problems, awareness and regular monitoring programs of water management and safe disposal of waste have been suggested.</t>
  </si>
  <si>
    <t xml:space="preserve">JOURNAL OF WATER SANITATION AND HYGIENE FOR DEVELOPMENT</t>
  </si>
  <si>
    <t xml:space="preserve">IWA PUBLISHING</t>
  </si>
  <si>
    <t xml:space="preserve">ground water; microbial quality; municipal supplied water; public health; waterborne diseases</t>
  </si>
  <si>
    <t xml:space="preserve">INFECTIOUS-DISEASE; GLOBAL CLIMATE; QUALITY</t>
  </si>
  <si>
    <t xml:space="preserve">[Amin, Rafat; Ali, Shaukat] Dow Univ Hlth Sci, Dept Pathol, Dow Int Med Coll, Dow Res Inst Biotechnol &amp; Biomed Sci, Ojha Campus, Karachi, Pakistan; [Zaidi, Midhat Batool] Univ Karachi, Dr Panjwani Ctr Mol Med &amp; Drug Res, Int Ctr Chem &amp; Biol Sci, Karachi, Pakistan; [Bashir, Saima] Dow Univ Hlth Sci, Inst Biol Biochem &amp; Pharmaceut Sci, Ojha Campus, Karachi, Pakistan; [Khanani, Rafiq] Darul Sehat Hosp, Liaquat Coll Med &amp; Dent, Karachi, Pakistan; [Nawaz, Rukhsana] United Arab Emirates Univ, Behav Neurosci Lab, Coll Humanities &amp; Social Sci, Al Ain, U Arab Emirates; [Khan, Sadaf] Dow Univ Hlth Sci, Dept Biochem, Dow Int Med Coll, Dow Res Inst Biotechnol &amp; Biomed Sci, Ojha Campus, Karachi, Pakistan</t>
  </si>
  <si>
    <t xml:space="preserve">Dow University of Health Sciences; University of Karachi; Dow University of Health Sciences; United Arab Emirates University; Dow University of Health Sciences</t>
  </si>
  <si>
    <t xml:space="preserve">Khan, S (corresponding author), Dow Univ Hlth Sci, Dept Biochem, Dow Int Med Coll, Dow Res Inst Biotechnol &amp; Biomed Sci, Ojha Campus, Karachi, Pakistan.</t>
  </si>
  <si>
    <t xml:space="preserve">sudafkhan@gmail.com</t>
  </si>
  <si>
    <t xml:space="preserve">Ali, Shaukat/KYQ-6795-2024</t>
  </si>
  <si>
    <t xml:space="preserve">Khanani, Rafiq/0000-0002-5787-2366</t>
  </si>
  <si>
    <t xml:space="preserve">DOW University of Health Sciences</t>
  </si>
  <si>
    <t xml:space="preserve">The authors would like to acknowledge the DOW University of Health Sciences for providing financial support to this project. The authors are grateful to Prof. Dr Syed Khaqan Hasan and Mr Munawar Qureshi for all the support and assistance to conduct this study.</t>
  </si>
  <si>
    <t xml:space="preserve">ALLIANCE HOUSE, 12 CAXTON ST, LONDON SW1H0QS, ENGLAND</t>
  </si>
  <si>
    <t xml:space="preserve">2043-9083</t>
  </si>
  <si>
    <t xml:space="preserve">J WATER SANIT HYG DE</t>
  </si>
  <si>
    <t xml:space="preserve">J. Wate Sanit. Hyg. Dev.</t>
  </si>
  <si>
    <t xml:space="preserve">10.2166/washdev.2019.147</t>
  </si>
  <si>
    <t xml:space="preserve">Water Resources</t>
  </si>
  <si>
    <t xml:space="preserve">IT2SH</t>
  </si>
  <si>
    <t xml:space="preserve">WOS:000482702400012</t>
  </si>
  <si>
    <t xml:space="preserve">Rajaraman, S; Jaeger, S; Antani, SK</t>
  </si>
  <si>
    <t xml:space="preserve">Rajaraman, Sivaramakrishnan; Jaeger, Stefan; Antani, Sameer K.</t>
  </si>
  <si>
    <t xml:space="preserve">Performance evaluation of deep neural ensembles toward malaria parasite detection in thin-blood smear images</t>
  </si>
  <si>
    <t xml:space="preserve">Background. Malaria is a life-threatening disease caused by Plasmodium parasites that infect the red blood cells (RBCs). Manual identification and counting of parasitized cells in microscopic thick/thin-film blood examination remains the common, but burdensome method for disease diagnosis. Its diagnostic accuracy is adversely impacted by inter/intra-observer variability, particularly in large-scale screening under resource-constrained settings. Introduction. State-of-the-art computer-aided diagnostic tools based on data-driven deep learning algorithms like convolutional neural network (CNN) has become the architecture of choice for image recognition tasks. However, CNNs suffer from high variance and may overfit due to their sensitivity to training data fluctuations. Objective. The primary aim of this study is to reduce model variance, improve robustness and generalization through constructing model ensembles toward detecting parasitized cells in thin-blood smear images. Methods. We evaluate the performance of custom and pretrained CNNs and construct an optimal model ensemble toward the challenge of classifying parasitized and normal cells in thin-blood smear images. Cross-validation studies are performed at the patient level to ensure preventing data leakage into the validation and reduce generalization errors. The models are evaluated in terms of the following performance metrics: (a) Accuracy; (b) Area under the receiver operating characteristic (ROC) curve (AUC); (c) Mean squared error (MSE); (d) Precision; (e) F-score; and (f) Matthews Correlation Coefficient (MCC). Results. It is observed that the ensemble model constructed with VGG-19 and SqueezeNet outperformed the state-of-the-art in several performance metrics toward classifying the parasitized and uninfected cells to aid in improved disease screening. Conclusions. Ensemble learning reduces the model variance by optimally combining the predictions of multiple models and decreases the sensitivity to the specifics of training data and selection of training algorithms. The performance of the model ensemble simulates real-world conditions with reduced variance, overfitting and leads to improved generalization.</t>
  </si>
  <si>
    <t xml:space="preserve">CNNs</t>
  </si>
  <si>
    <t xml:space="preserve">Deep learning; Convolutional neural networks; Screening; Red blood cells; Blood smear; Computer-aided diagnosis; Malaria; Ensemble; Machine learning; Statistical analysis</t>
  </si>
  <si>
    <t xml:space="preserve">[Rajaraman, Sivaramakrishnan; Jaeger, Stefan; Antani, Sameer K.] NIH, Commun Engn Branch, NLM, Bldg 10, Bethesda, MD 20892 USA</t>
  </si>
  <si>
    <t xml:space="preserve">National Institutes of Health (NIH) - USA; NIH National Library of Medicine (NLM)</t>
  </si>
  <si>
    <t xml:space="preserve">Rajaraman, S (corresponding author), NIH, Commun Engn Branch, NLM, Bldg 10, Bethesda, MD 20892 USA.</t>
  </si>
  <si>
    <t xml:space="preserve">sivaramakrishnan.rajaraman@nih.gov</t>
  </si>
  <si>
    <t xml:space="preserve">Antani, Sameer/GVS-8371-2022; Rajaraman, Sivaramakrishnan/D-3727-2017</t>
  </si>
  <si>
    <t xml:space="preserve">Rajaraman, Sivaramakrishnan/0000-0003-0871-8634</t>
  </si>
  <si>
    <t xml:space="preserve">Intramural Research Program of the National Library of Medicine (NLM), National Institutes of Health (NIH); Lister Hill National Center for Biomedical Communications (LHNCBC); National Library of Medicine [ZIALM010006, ZIALM010004] Funding Source: NIH RePORTER</t>
  </si>
  <si>
    <t xml:space="preserve">Intramural Research Program of the National Library of Medicine (NLM), National Institutes of Health (NIH); Lister Hill National Center for Biomedical Communications (LHNCBC); National Library of Medicine(United States Department of Health &amp; Human ServicesNational Institutes of Health (NIH) - USANIH National Library of Medicine (NLM))</t>
  </si>
  <si>
    <t xml:space="preserve">This work was supported by the Intramural Research Program of the National Library of Medicine (NLM), National Institutes of Health (NIH) and the Lister Hill National Center for Biomedical Communications (LHNCBC). The intramural research scientists (authors) at the NIH dictated study design, data collection, data analysis, decision to publish and preparation of the manuscript.</t>
  </si>
  <si>
    <t xml:space="preserve">MAY 28</t>
  </si>
  <si>
    <t xml:space="preserve">e6977</t>
  </si>
  <si>
    <t xml:space="preserve">10.7717/peerj.6977</t>
  </si>
  <si>
    <t xml:space="preserve">HZ9YJ</t>
  </si>
  <si>
    <t xml:space="preserve">WOS:000469213500004</t>
  </si>
  <si>
    <t xml:space="preserve">Davi, C; Pastor, A; Oliveira, T; Neto, FBD; Braga-Neto, U; Bigham, AW; Bamshad, M; Marques, ETA; Acioli-Santos, B</t>
  </si>
  <si>
    <t xml:space="preserve">Davi, Caio; Pastor, Andre; Oliveira, Thiego; de Lima Neto, Fernando B.; Braga-Neto, Ulisses; Bigham, Abigail W.; Bamshad, Michael; Marques, Ernesto T. A.; Acioli-Santos, Bartolomeu</t>
  </si>
  <si>
    <t xml:space="preserve">Severe Dengue Prognosis Using Human Genome Data and Machine Learning</t>
  </si>
  <si>
    <t xml:space="preserve">Dengue has become one of the most important worldwide arthropod-borne diseases. Dengue phenotypes are based on laboratorial and clinical exams, which are known to be inaccurate. Objective: We present a machine learning approach for the prediction of dengue fever severity based solely on human genome data. Methods: One hundred and two Brazilian dengue patients and controls were genotyped for 322 innate immunity single nucleotide polymorphisms (SNPs). Our model uses a support vector machine algorithm to find the optimal loci classification subset and then an artificial neural network (ANN) is used to classify patients into dengue fever or severe dengue. Results: The ANN trained on 13 key immune SNPs selected under dominant or recessive models produced median values of accuracy greater than 86%, and sensitivity and specificity over 98% and 51%, respectively. Conclusion: The proposed classification method, using only genome markers, can be used to identify individuals at high risk for developing the severe dengue phenotype even in un-infected conditions. Significance: Our results suggest that the genetic context is a key element in phenotype definition in dengue. The methodology proposed here is extendable to other Mendelian based and genetically influenced diseases.</t>
  </si>
  <si>
    <t xml:space="preserve">- Support vector machine
- Artificial neural network (ANN)</t>
  </si>
  <si>
    <t xml:space="preserve">- Accuracy greater than 86%
- Sensitivity over 98%
 - Specificity over 51%</t>
  </si>
  <si>
    <t xml:space="preserve">IEEE TRANSACTIONS ON BIOMEDICAL ENGINEERING</t>
  </si>
  <si>
    <t xml:space="preserve">Dengue genetics; severe dengue; complex genome signatures; machine learning</t>
  </si>
  <si>
    <t xml:space="preserve">T-CELL RESPONSES; HEMORRHAGIC-FEVER; CROSS-VALIDATION; IMMUNE ACTIVATION; VIRUS-INFECTIONS; GENE-EXPRESSION; SHOCK SYNDROME; CLASSIFICATION; POLYMORPHISMS; CANCER</t>
  </si>
  <si>
    <t xml:space="preserve">[Davi, Caio] Texas A&amp;M Univ, Dept Elect &amp; Comp Engn, Pernambuco Fed Inst Educ, College Stn, TX 77843 USA; [Pastor, Andre] Sertao Pernambucano Fed Inst Educ Sci &amp; Technol, Petrolina, PE, Brazil; [Oliveira, Thiego; de Lima Neto, Fernando B.] Univ Pernambuco, Dept Comp Engn, Recife, PE, Brazil; [Braga-Neto, Ulisses] Texas A&amp;M Univ, Dept Elect &amp; Comp Engn, College Stn, TX 77843 USA; [Bigham, Abigail W.] Univ Michigan, Dept Anthropol, Ann Arbor, MI 48109 USA; [Bamshad, Michael] Univ Washington, Seattle, WA 98195 USA; [Marques, Ernesto T. A.] Univ Pittsburgh, Dept Infect Dis &amp; Microbiol, Grad Sch Publ Hlth, Pittsburgh, PA 15260 USA; [Acioli-Santos, Bartolomeu] Oswaldo Cruz Fundat, Dept Virol, Aggeu Magalhaes Inst, Recife, PE, Brazil</t>
  </si>
  <si>
    <t xml:space="preserve">Texas A&amp;M University System; Texas A&amp;M University College Station; Universidade de Pernambuco (UPE); Texas A&amp;M University System; Texas A&amp;M University College Station; University of Michigan System; University of Michigan; University of Washington; University of Washington Seattle; Pennsylvania Commonwealth System of Higher Education (PCSHE); University of Pittsburgh</t>
  </si>
  <si>
    <t xml:space="preserve">Acioli-Santos, B (corresponding author), Oswaldo Cruz Fundat, Dept Virol, Aggeu Magalhaes Inst, Recife, PE, Brazil.</t>
  </si>
  <si>
    <t xml:space="preserve">bartacioli@cpqam.fiocruz.br</t>
  </si>
  <si>
    <t xml:space="preserve">Marques, Ernesto/L-4967-2013; Braga-Neto, Ulisses/ABI-2677-2020; Lima Neto, Fernando/G-4592-2011</t>
  </si>
  <si>
    <t xml:space="preserve">Lima Neto, Fernando/0000-0003-1200-225X; Marques, Ernesto T A/0000-0003-3826-9358; Santos, Bartolomeu Acioli dos/0000-0002-4994-0648; Pastor, Andre/0000-0002-5133-9616; Davi, Caio/0000-0001-8609-5458</t>
  </si>
  <si>
    <t xml:space="preserve">PROEP-FIOCRUZ-CPqAM [APQ-1597-2-02/15CNPq]; PAPES VII [401910/2015-6]</t>
  </si>
  <si>
    <t xml:space="preserve">PROEP-FIOCRUZ-CPqAM; PAPES VII(Conselho Nacional de Desenvolvimento Cientifico e Tecnologico (CNPQ)Fundacao de Apoio a Pesquisa do Distrito Federal (FAPDF))</t>
  </si>
  <si>
    <t xml:space="preserve">The work of B. AcioliSantos was supported in part by the PROEP-FIOCRUZ-CPqAM under Grant APQ-1597-2-02/15CNPq and in part by PAPES VII under Grant 401910/2015-6.</t>
  </si>
  <si>
    <t xml:space="preserve">0018-9294</t>
  </si>
  <si>
    <t xml:space="preserve">1558-2531</t>
  </si>
  <si>
    <t xml:space="preserve">IEEE T BIO-MED ENG</t>
  </si>
  <si>
    <t xml:space="preserve">IEEE Trans. Biomed. Eng.</t>
  </si>
  <si>
    <t xml:space="preserve">10.1109/TBME.2019.2897285</t>
  </si>
  <si>
    <t xml:space="preserve">IZ6LA</t>
  </si>
  <si>
    <t xml:space="preserve">WOS:000487192000017</t>
  </si>
  <si>
    <t xml:space="preserve">Melo, CFOR; Navarro, LC; de Oliveira, DN; Guerreiro, TM; Lima, ED; Delafiori, J; Dabaja, MZ; Ribeiro, MD; de Menezes, M; Rodrigues, RGM; Morishita, KN; Esteves, CZ; de Amorim, ALL; Aoyagui, CT; Parise, PL; Milanez, GP; do Nascimento, GM; Freitas, ARR; Angerami, R; Costa, FTM; Arns, CW; Resende, MR; Amaral, E; Passini, R; Ribeiro-do-Valle, CC; Milanez, H; Moretti, ML; Proenca-Modena, JL; Avila, S; Rocha, A; Catharino, RR</t>
  </si>
  <si>
    <t xml:space="preserve">Odir Rodrigues Melo, Carlos Fernando; Navarro, Luiz Claudio; de Oliveira, Diogo Noin; Guerreiro, Tatiane Melina; Lima, Estela de Oliveira; Delafiori, Jeany; Dabaja, Mohamed Ziad; Ribeiro, Marta da Silva; de Menezes, Maico; Martins Rodrigues, Rafael Gustavo; Morishita, Karen Noda; Esteves, Cibele Zanardi; Lucas de Amorim, Aline Lopes; Aoyagui, Caroline Tiemi; Parise, Pierina Lorencini; Milanez, Guilherme Paier; do Nascimento, Gabriela Mansano; Ribas Freitas, Andre Ricardo; Angerami, Rodrigo; Maranhao Costa, Fabio Trindade; Arns, Clarice Weis; Resende, Mariangela Ribeiro; Amaral, Eliana; Passini Junior, Renato; Ribeiro-do-Valle, Carolina C.; Milanez, Helaine; Moretti, Maria Luiza; Proenca-Modena, Jose Luiz; Avila, Sandra; Rocha, Anderson; Catharino, Rodrigo Ramos</t>
  </si>
  <si>
    <t xml:space="preserve">A Machine Learning Application Based in Random Forest for Integrating Mass Spectrometry-Based Metabolomic Data: A Simple Screening Method for Patients With Zika Virus</t>
  </si>
  <si>
    <t xml:space="preserve">Recent Zika outbreaks in South America, accompanied by unexpectedly severe clinical complications have brought much interest in fast and reliable screening methods for ZIKV (Zika virus) identification. Reverse-transcriptase polymerase chain reaction (RT-PCR) is currently the method of choice to detect ZIKV in biological samples. This approach, none-theless, demands a considerable amount of time and resources such as kits and reagents that, in endemic areas, may result in a substantial financial burden over affected individuals and health services veering away from RT-PCR analysis. This study presents a powerful combination of high-resolution mass spectrometry and a machine-learning prediction model for data analysis to assess the existence of ZIKV infection across a series of patients that bear similar symptomatic conditions, but not necessarily are infected with the disease. By using mass spectrometry data that are inputted wrth the developed decision-making algorithm, we were able to provide a set of features that work as a fingerprint for this specific pathophysiological condition, even after the acute phase of infection. Since both mass spectrometry and machine learning approaches are well-established and have largely utilized tools within their respective fields, this combination of methods emerges as a distinct alternative for clinical applications, providing a diagnostic screening-faster and more accurate-with improved cost-effectiveness when compared to existing technologies.</t>
  </si>
  <si>
    <t xml:space="preserve">Metabolomic Data</t>
  </si>
  <si>
    <t xml:space="preserve">CLASSIFICATION; TRANSMISSION; DIAGNOSIS; STATE</t>
  </si>
  <si>
    <t xml:space="preserve">[Odir Rodrigues Melo, Carlos Fernando; de Oliveira, Diogo Noin; Guerreiro, Tatiane Melina; Lima, Estela de Oliveira; Delafiori, Jeany; Dabaja, Mohamed Ziad; Ribeiro, Marta da Silva; de Menezes, Maico; Martins Rodrigues, Rafael Gustavo; Morishita, Karen Noda; Esteves, Cibele Zanardi; Lucas de Amorim, Aline Lopes; Aoyagui, Caroline Tiemi; Catharino, Rodrigo Ramos] Univ Estadual Campinas, Sch Phannaceut Sci FCF, Innovate Biomarkers Lab, Campinas, SP, Brazil; [Navarro, Luiz Claudio; Avila, Sandra; Rocha, Anderson] Univ Estadual Campinas, IC, RECOD Lab, Campinas, SP, Brazil; [Parise, Pierina Lorencini; Milanez, Guilherme Paier; do Nascimento, Gabriela Mansano; Maranhao Costa, Fabio Trindade; Arns, Clarice Weis; Proenca-Modena, Jose Luiz] Univ Estadual Campinas, Biol Inst, Dept Genet Evolut Microbiol &amp; Immunol, Campinas, SP, Brazil; [Ribas Freitas, Andre Ricardo] Campinas Dept Publ Hlth Surveillance, Campinas, SP, Brazil; [Ribas Freitas, Andre Ricardo] Sao Leopoldo Mandic Inst &amp; Res Ctr, Campinas, SP, Brazil; [Angerami, Rodrigo; Resende, Mariangela Ribeiro; Moretti, Maria Luiza] Univ Estadual Campinas, Sch Med Sci, Clin Pathol Dept, Campinas, SP, Brazil; [Amaral, Eliana; Passini Junior, Renato; Ribeiro-do-Valle, Carolina C.; Milanez, Helaine] Univ Campinas Campinas, Sch Med Sci, Obstet &amp; Gynecol Dept, Campinas, SP, Brazil</t>
  </si>
  <si>
    <t xml:space="preserve">Universidade Estadual de Campinas; Universidade Estadual de Campinas; Universidade Estadual de Campinas; Faculdade Sao Leopoldo Mandic; Universidade Estadual de Campinas; Universidade Estadual de Campinas</t>
  </si>
  <si>
    <t xml:space="preserve">Catharino, RR (corresponding author), Univ Estadual Campinas, Sch Phannaceut Sci FCF, Innovate Biomarkers Lab, Campinas, SP, Brazil.</t>
  </si>
  <si>
    <t xml:space="preserve">rrc@g.unicamp.br</t>
  </si>
  <si>
    <t xml:space="preserve">Rocha-Buelvas, Anderson/KHU-9621-2024; Navarro, Luiz/HZH-2516-2023; Esteves, Cibele/H-6496-2013; Proenca-Modena, Jose Luiz/C-8231-2014; Avila, Sandra/M-2751-2017; Lima, Estela/W-5105-2019; Arns, Clarice/G-7525-2012; Lorencini Parise, Pierina/ABC-9895-2021; Milanez, Guilherme/G-6457-2016; Catharino, Rodrigo/AAH-4333-2021; Amaral, Eliana/JKJ-6666-2023; Freitas, Andre Ricardo Ribas/L-1969-2016; Costa, Fabio/E-1181-2012; Passini, Renato/O-6169-2016; Delafiori, Jeany/G-9250-2017; Milanez, Helaine/ABH-1521-2021; Judice, Carla/P-4738-2014; Angerami, Rodrigo/A-8926-2013; Noin de Oliveira, Diogo/C-3939-2013; Catharino, Rodrigo/G-1487-2013; Colella-Santos, Maria Francisca/A-6008-2013; de Oliveira Lima, Estela/G-7375-2015; Ribeiro Resende, Mariangela/U-9938-2019</t>
  </si>
  <si>
    <t xml:space="preserve">Freitas, Andre Ricardo Ribas/0000-0003-0291-7771; Delafiori, Jeany/0000-0003-2481-0465; Judice, Carla/0000-0003-1839-053X; Melo, Carlos/0000-0003-0334-1065; Bennini, Joao Renato/0000-0003-2607-0720; Vinolo, Marco Aurelio/0000-0003-1335-760X; Angerami, Rodrigo/0000-0002-4976-9238; Noin de Oliveira, Diogo/0000-0002-2725-476X; Noda Morishita, Karen/0000-0002-1951-7996; Mansano do Nascimento, Gabriela/0000-0002-6438-1055; Catharino, Rodrigo/0000-0001-7219-2644; Lorencini Parise, Pierina/0000-0003-2818-1301; Colella-Santos, Maria Francisca/0000-0002-7456-9502; Guerreiro, Tatiane/0000-0002-4114-1243; Avila, Sandra/0000-0001-9068-938X; de Oliveira Lima, Estela/0000-0003-0479-0364; Ribeiro Resende, Mariangela/0000-0001-7923-0076; de Souza Barnabe, Ana Caroline/0000-0002-8481-8226; Toledo-Teixeira, Daniel A./0000-0002-4055-058X; Navarro, Luiz Claudio/0000-0002-8041-8743; Proenca-Modena, Jose Luiz/0000-0002-4996-3153</t>
  </si>
  <si>
    <t xml:space="preserve">Sao Paulo Research Foundation (FAPESP) [16/17066-2, 14/00302-0, 2017/12646-3, 11/50400-0, 15/06809-1, 17/20614-4]; CAPES [PNPD 1578388, PROEX 1489740]; Plano Nacional de Enfrentamento ao Aedes aegypti e Microcefalia from the Brazilian Ministry of Health [88887.137889/2017-00]; CNPq [304472/2015-8]; Fundacao de Amparo a Pesquisa do Estado de Sao Paulo (FAPESP) [14/00302-0] Funding Source: FAPESP</t>
  </si>
  <si>
    <t xml:space="preserve">Sao Paulo Research Foundation (FAPESP)(Fundacao de Amparo a Pesquisa do Estado de Sao Paulo (FAPESP)); CAPES(Coordenacao de Aperfeicoamento de Pessoal de Nivel Superior (CAPES)); Plano Nacional de Enfrentamento ao Aedes aegypti e Microcefalia from the Brazilian Ministry of Health; CNPq(Conselho Nacional de Desenvolvimento Cientifico e Tecnologico (CNPQ)); Fundacao de Amparo a Pesquisa do Estado de Sao Paulo (FAPESP)(Fundacao de Amparo a Pesquisa do Estado de Sao Paulo (FAPESP))</t>
  </si>
  <si>
    <t xml:space="preserve">The authors would like to thank the Sao Paulo Research Foundation (FAPESP) for the fellowships of CM (16/17066-2), CE (14/00302-0), and AR (2017/12646-3), and the grants for RC (11/50400-0, 15/06809-1, and 17/20614-4). We also acknowledge CAPES for the scholarships for EL (PNPD 1578388) and TG (PROEX 1489740). DO acknowledges the Plano Nacional de Enfrentamento ao Aedes aegypti e Microcefalia from the Brazilian Ministry of Health for the fellowship (88887.137889/2017-00). AR thanks CNPq for his grant No. 304472/2015-8.</t>
  </si>
  <si>
    <t xml:space="preserve">APR 11</t>
  </si>
  <si>
    <t xml:space="preserve">10.3389/fbioe.2018.00031</t>
  </si>
  <si>
    <t xml:space="preserve">GO7QT</t>
  </si>
  <si>
    <t xml:space="preserve">WOS:000440267300001</t>
  </si>
  <si>
    <t xml:space="preserve">Zika-Unicamp Network</t>
  </si>
  <si>
    <t xml:space="preserve">Alessio, GD; de Araújo, FF; Sales, PA; Gomes, MD; do Amaral, LR; Xavier, MAP; Teixeira-Carvalho, A; de Lana, M; Martins, OA</t>
  </si>
  <si>
    <t xml:space="preserve">Alessio, Glaucia Diniz; de Araujo, Fernanda Fortes; Sales Junior, Policarpo Ademar; Gomes, Matheus de Souza; do Amaral, Laurence Rodrigues; Pascoal Xavier, Marcelo Antonio; Teixeira-Carvalho, Andrea; de Lana, Marta; Martins-Filho, Olindo Assis</t>
  </si>
  <si>
    <t xml:space="preserve">Accomplishing the genotype-specific serodiagnosis of single and dual Trypanosoma cruzi infections by flow cytometry Chagas-Flow ATE-IgG2a</t>
  </si>
  <si>
    <t xml:space="preserve">The methods currently available for genotype-specific diagnosis of T. cruzi infection still present relevant limitations, especially to identify mixed infection. In the present investigation, we have evaluated the performance of Chagas-Flow ATE-IgG2a test for early and late differential diagnosis of single and dual genotype-specific T. cruzi infections. Serum samples from Swiss mice at early and late stages of T. cruzi infection were assayed in parallel batches for genotype-specific diagnosis of single (TcI, TcVI or TcII) and dual (TcI+TcVI, TcVI+TcII or TcII+TcI) infections. The intrinsic reactivity to TcI, TcVI and TcII target antigens, including amastigote (AI/AVI/AII), trypomastigote-(TI/TVI/TII) and epimastigote (EI/EVI/EII), at specific reverse of serum dilutions (500 to 64,000), was employed to provide reliable decision-trees for early vs late, single vs dual and genotype-specific serology. The results demonstrated that selective set of attributes EII 500/EI 2,000/AII 500 were able to provide high-quality accuracy (81%) to segregate early and late stages of T. cruzi infection. The sets TI 2,000/AI 1,000/EII 1,000 and TI 8,000/AII 32,000 presented expressive scores to discriminate single from dual T. cruzi infections at early (85%) and late stages (84%), respectively. Moreover, the attributes TI 4,000/TVI 500/TII 1,000, TI 16,000/EI 2,000/EII 2,000/AI 500/TVI 500 showed good performance for genotype-specific diagnosis at early stage of single (72%) and dual (80%) T. cruzi infections, respectively. In addition, the attributes TI 4,000/AII 1,000/EVI 1,000, TI 64,000/AVI 500/AI 2,000/AII 1,000/EII 4,000 showed moderate performance for genotype-specific diagnosis at late stage of single (69%) and dual (76%) T. cruzi infections, respectively. The sets of decision-trees were assembled to construct a sequential algorithm with expressive accuracy (81%) for serological diagnosis of T. cruzi infection. These findings engender new perspectives for the application of Chagas-Flow ATE-IgG2a method for genotype-specific diagnosis in humans, with relevant contributions for epidemiological surveys as well as clinical and post-therapeutic monitoring of Chagas disease.</t>
  </si>
  <si>
    <t xml:space="preserve">CLONAL GENOTYPES; TRIATOMA-INFESTANS; MIXED INFECTIONS; GENETIC-CHARACTERIZATION; BALB/C MICE; DNA PROBES; DISEASE; ANTIBODIES; STRAINS; TRYPOMASTIGOTE</t>
  </si>
  <si>
    <t xml:space="preserve">[Alessio, Glaucia Diniz; de Lana, Marta] Univ Fed Ouro Preto, ICEB, Nucl Pesquisas Ciencias Biol NUPEB, Lab Doenc Chagas, Ouro Preto, MG, Brazil; [Alessio, Glaucia Diniz; de Araujo, Fernanda Fortes; Teixeira-Carvalho, Andrea; Martins-Filho, Olindo Assis] Inst Rene Rachou FIOCRUZ Minas, Grp Integrado Pesquisas Biomarcadores, Belo Horizonte, MG, Brazil; [de Araujo, Fernanda Fortes] Univ Uberaba, Programa Posgrad Sanidade &amp; Producao Anim Trop, Uberaba, Brazil; [Sales Junior, Policarpo Ademar] Inst Rene Rachou FIOCRUZ Minas, Grp Genom Func &amp; Prote Leishmania Spp Trypanosoma, Belo Horizonte, MG, Brazil; [Gomes, Matheus de Souza; do Amaral, Laurence Rodrigues] Univ Fed Uberlandia, INGEB FACOM, Lab Bioinformat &amp; Anal Mol, Patos De Minas, MG, Brazil; [Pascoal Xavier, Marcelo Antonio] Inst Rene Rachou FIOCRUZ Minas, Grp Pesquisas Clin Polit Publ Doencas Infecciosas, Belo Horizonte, MG, Brazil</t>
  </si>
  <si>
    <t xml:space="preserve">Universidade Federal de Ouro Preto; Universidade de Uberaba (Uniube); Universidade Federal de Uberlandia</t>
  </si>
  <si>
    <t xml:space="preserve">Martins, OA (corresponding author), Inst Rene Rachou FIOCRUZ Minas, Grp Integrado Pesquisas Biomarcadores, Belo Horizonte, MG, Brazil.</t>
  </si>
  <si>
    <t xml:space="preserve">oamfilho@gmail.com</t>
  </si>
  <si>
    <t xml:space="preserve">Amaral, Laurence/G-5905-2012; Martins-Filho, Olindo Assis/ABE-6278-2021; de Souza Gomes, Matheus/G-3480-2012</t>
  </si>
  <si>
    <t xml:space="preserve">de Souza Gomes, Matheus/0000-0001-7352-3089; Amaral, Laurence/0000-0003-4681-5451; Martins-Filho, Olindo Assis/0000-0002-5494-4889; Lana, Marta/0000-0002-1565-4707</t>
  </si>
  <si>
    <t xml:space="preserve">European Community's Seventh Framework Program [602773]; Fundacao de Amparo a Pesquisa do Estado de Minas Gerais (FAPEMIG); Conselho Nacional de Desenvolvimento Cientifico e Tecnologico (CNPq); Coordenadoria de Aperfeicoamento de Pessoal de Nivel Superior (CAPES); Instituto Rene Rachou; Universidade Federal de Ouro Preto; CAPES; CNPq PQ Fellowship program; PNPD/CAPES fellowship program</t>
  </si>
  <si>
    <t xml:space="preserve">European Community's Seventh Framework Program(European Union (EU)); Fundacao de Amparo a Pesquisa do Estado de Minas Gerais (FAPEMIG)(Fundacao de Amparo a Pesquisa do Estado de Minas Gerais (FAPEMIG)); Conselho Nacional de Desenvolvimento Cientifico e Tecnologico (CNPq)(Conselho Nacional de Desenvolvimento Cientifico e Tecnologico (CNPQ)); Coordenadoria de Aperfeicoamento de Pessoal de Nivel Superior (CAPES)(Coordenacao de Aperfeicoamento de Pessoal de Nivel Superior (CAPES)); Instituto Rene Rachou; Universidade Federal de Ouro Preto; CAPES(Coordenacao de Aperfeicoamento de Pessoal de Nivel Superior (CAPES)); CNPq PQ Fellowship program; PNPD/CAPES fellowship program</t>
  </si>
  <si>
    <t xml:space="preserve">This work was supported by European Community's Seventh Framework Program No. 602773- Project KINDRED). Fundacao de Amparo a Pesquisa do Estado de Minas Gerais (FAPEMIG), Conselho Nacional de Desenvolvimento Cientifico e Tecnologico (CNPq), Coordenadoria de Aperfeicoamento de Pessoal de Nivel Superior (CAPES), Instituto Rene Rachou and Universidade Federal de Ouro Preto. GDA received PhD research fellowship form CAPES. OAM-F and AT-C received financial support from CNPq PQ Fellowship program. FFdA thanks PNPD/CAPES fellowship program. The funders had no role in study design, data collection and analysis, decision to publish, or preparation of the manuscript.</t>
  </si>
  <si>
    <t xml:space="preserve">e0006140</t>
  </si>
  <si>
    <t xml:space="preserve">10.1371/journal.pntd.0006140</t>
  </si>
  <si>
    <t xml:space="preserve">FZ0RM</t>
  </si>
  <si>
    <t xml:space="preserve">WOS:000427279700003</t>
  </si>
  <si>
    <t xml:space="preserve">Bakare, SO; Adebayo, AS; Awobode, HO; Onile, OS; Agunloye, AM; Isokpehi, RD; Anumudu, CI</t>
  </si>
  <si>
    <t xml:space="preserve">Bakare, Shukurat O.; Adebayo, Adewale S.; Awobode, Henrietta O.; Onile, Olugbenga S.; Agunloye, Atinuke M.; Isokpehi, Raphael D.; Anumudu, Chiaka, I</t>
  </si>
  <si>
    <t xml:space="preserve">Arsenicosis in bladder pathology and schistosomiasis in Eggua, Nigeria</t>
  </si>
  <si>
    <t xml:space="preserve">Background: Chronic schistosomiasis and arsenic exposure through drinking water are some of the risk factors for bladder cancer. To determine the association of schistosomiasis and arsenicosis with bladder pathologies, 122 individuals from Eggua in southwest Nigeria were recruited for this study. Methods: Prevalence of schistosomiasis was determined by urine microscopy and PCR. Total urinary arsenic concentration and arsenic Levels in three different water sources in the community were assessed by flame atomic absorption spectrometry. Bladder pathologies were investigated by ultrasonography. The data collected were evaluated with chi-square (chi(2)) and ANOVA tests to examine the relationships among demographic factors, infection, bladder pathologies and urinary arsenic concentrations. Results: The prevalence and mean intensity of schistosomiasis were 21.3% and 20.7 eggs/10 mL urine, respectively. Arsenic concentration in two of the water sources, River Yewa (0.46 mg/L) and borehole (0.52 mg/L), were above the WHO standard (0.01 mg/L); and the mean concentration in urine samples, 1.17 mg/L, was also above the WHO standard (0.2 mg/L). There was no evidence of an association between bladder pathology and arsenicosis, or between schistosomiasis associated-bladder pathology and arsenicosis (p=0.66). Conclusions: Arsenicosis is a public health concern in the study population. At the moment no clear roles are envisaged for it in the development of bladder pathologies or urinary schistosomiasis-associated bladder pathologies in Eggua.</t>
  </si>
  <si>
    <t xml:space="preserve">TRANSACTIONS OF THE ROYAL SOCIETY OF TROPICAL MEDICINE AND HYGIENE</t>
  </si>
  <si>
    <t xml:space="preserve">arsenic contamination; bladder tumour; potable water; rivers; urogenital schistosomiasis</t>
  </si>
  <si>
    <t xml:space="preserve">URINARY SCHISTOSOMIASIS; HAEMATOBIUM; AS3MT</t>
  </si>
  <si>
    <t xml:space="preserve">[Bakare, Shukurat O.; Adebayo, Adewale S.; Awobode, Henrietta O.; Onile, Olugbenga S.; Anumudu, Chiaka, I] Univ Ibadan, Dept Zool, Ibadan, Nigeria; [Agunloye, Atinuke M.] Univ Ibadan, Dept Radiol, Ibadan, Nigeria; [Isokpehi, Raphael D.] Bethune Cookman Univ, Coll Sci Engn &amp; Math, Daytona Beach, FL USA</t>
  </si>
  <si>
    <t xml:space="preserve">University of Ibadan; University of Ibadan; Bethune-Cookman University</t>
  </si>
  <si>
    <t xml:space="preserve">Anumudu, CI (corresponding author), Univ Ibadan, Dept Zool, Ibadan, Nigeria.</t>
  </si>
  <si>
    <t xml:space="preserve">cianumudu@yahoo.com</t>
  </si>
  <si>
    <t xml:space="preserve">Onile, Olugbenga/IAN-0182-2023</t>
  </si>
  <si>
    <t xml:space="preserve">Onile, Olugbenga/0000-0001-6649-4857; Anumudu, Chiaka/0000-0002-9444-685X; Adebayo, Adewale Sakirudeen/0000-0002-7008-0531</t>
  </si>
  <si>
    <t xml:space="preserve">World Health Organization short-term training grant [B40394]; US National Science Foundation [HRD-1435186]; Direct For Education and Human Resources; Division Of Human Resource Development [1435186] Funding Source: National Science Foundation</t>
  </si>
  <si>
    <t xml:space="preserve">World Health Organization short-term training grant; US National Science Foundation(National Science Foundation (NSF)); Direct For Education and Human Resources; Division Of Human Resource Development(National Science Foundation (NSF)NSF - Directorate for STEM Education (EDU))</t>
  </si>
  <si>
    <t xml:space="preserve">CIA acknowledges the World Health Organization short-term training grant [B40394]. RDI acknowledges an award [HRD-1435186] from the US National Science Foundation. The funders had no role in study design, data collection and analysis, decision to publish, or preparation of the manuscript.</t>
  </si>
  <si>
    <t xml:space="preserve">0035-9203</t>
  </si>
  <si>
    <t xml:space="preserve">1878-3503</t>
  </si>
  <si>
    <t xml:space="preserve">T ROY SOC TROP MED H</t>
  </si>
  <si>
    <t xml:space="preserve">Trans. Roy. Soc. Trop. Med. Hyg.</t>
  </si>
  <si>
    <t xml:space="preserve">10.1093/trstmh/try047</t>
  </si>
  <si>
    <t xml:space="preserve">GM7AY</t>
  </si>
  <si>
    <t xml:space="preserve">WOS:000438331500004</t>
  </si>
  <si>
    <t xml:space="preserve">Quevedo-Tumailli, VF; Ortega-Tenezaca, B; González-Díaz, H</t>
  </si>
  <si>
    <t xml:space="preserve">Quevedo-Tumailli, Viviana F.; Ortega-Tenezaca, Bernabe; Gonzalez-Diaz, Humbert</t>
  </si>
  <si>
    <t xml:space="preserve">Chromosome Gene Orientation Inversion Networks (GOINs) of Plasmodium Proteome</t>
  </si>
  <si>
    <t xml:space="preserve">The spatial distribution of genes in chromosomes seems not to be random. For instance, only 10% of genes are transcribed from bidirectional promoters in humans, and many more are organized into larger clusters. This raises intriguing questions previously asked by different authors. We would like to add a few more questions in this context, related to gene orientation inversions. Does gene orientation (inversion) follow a random pattern? Is it relevant to biological activity somehow? We define a new kind of network coined as the gene orientation inversion network (GOIN). GOIN's complex network encodes short- and long-range patterns of inversion of the orientation of pairs of gene in the chromosome. We selected Plasmodium falciparum as a case of study due to the high relevance of this parasite to public health (causal agent of malaria). We constructed here for the first time all of the GOINs for the genome of this parasite. These networks have an average of 383 nodes (genes in one chromosome) and 1314 links (pairs of gene with inverse orientation). We calculated node centralities and other parameters of these networks. These numerical parameters were used to study different properties of gene inversion patterns, for example, distribution, local communities, similarity to Erdos-Renyi random networks, randomness, and so on. We find clues that seem to indicate that gene orientation inversion does not follow a random pattern. We noted that some gene communities in the GOINs tend to group genes encoding for RIFIN-related proteins in the proteome of the parasite. RIFIN-like proteins are a second family of clonally variant proteins expressed on the surface of red cells infected with Plasmodium falciparum. Consequently, we used these centralities as input of machine learning (ML) models to predict the RIFIN-like activity of 5365 proteins in the proteome of Plasmodium sp. The best linear ML model found discriminates RIFIN-like from other proteins with sensitivity and specificity 70-80% in training and external validation series. All of these results may point to a possible biological relevance of gene orientation inversion not directly dependent on genetic sequence information. This work opens the gate to the use of GOINs as a tool for the study of the structure of chromosomes and the study of protein function in proteome research.</t>
  </si>
  <si>
    <t xml:space="preserve">JOURNAL OF PROTEOME RESEARCH</t>
  </si>
  <si>
    <t xml:space="preserve">malaria; Plasmodium sp proteome; chromosome microstructure; gene orientation; complex networks; machine learning</t>
  </si>
  <si>
    <t xml:space="preserve">COMPLEX NETWORKS; FALCIPARUM PROTEOME; SOCIAL NETWORKS; SUPREME-COURT; MIANN MODELS; INDEXES; US; EPIDEMIOLOGY; PARASITOLOGY; INFORMATION</t>
  </si>
  <si>
    <t xml:space="preserve">[Quevedo-Tumailli, Viviana F.; Ortega-Tenezaca, Bernabe] Univ A Coruna, Comp Sci Fac, RNASA IMEDIR, La Coruna 15071, Spain; [Quevedo-Tumailli, Viviana F.; Ortega-Tenezaca, Bernabe] UEA, Puyo, Pastaza, Ecuador; [Ortega-Tenezaca, Bernabe] Univ Reg Autonoma Andes UNIANDES Puyo, Puyo, Pastaza, Ecuador; [Gonzalez-Diaz, Humbert] Univ Basque Country, UPV EHU, Dept Organ Chem 2, Leioa 48940, Biscay, Spain; [Gonzalez-Diaz, Humbert] Basque Fdn Sci, IKERBASQUE, Bilbao 48011, Biscay, Spain</t>
  </si>
  <si>
    <t xml:space="preserve">Universidade da Coruna; University of Basque Country; Basque Foundation for Science</t>
  </si>
  <si>
    <t xml:space="preserve">González-Díaz, H (corresponding author), Univ Basque Country, UPV EHU, Dept Organ Chem 2, Leioa 48940, Biscay, Spain.;González-Díaz, H (corresponding author), Basque Fdn Sci, IKERBASQUE, Bilbao 48011, Biscay, Spain.</t>
  </si>
  <si>
    <t xml:space="preserve">humberto.gonzalezdiaz@ehu.es</t>
  </si>
  <si>
    <t xml:space="preserve">Ortega-Tenezaca, Bernabe/Y-1058-2019; Gonzalez-Diaz, Humberto/A-6785-2012; Ortega Tenezaca, Delfin Bernabe/U-6620-2017; Quevedo Tumailli, Viviana Fernanda/AAD-9901-2019</t>
  </si>
  <si>
    <t xml:space="preserve">Gonzalez-Diaz, Humberto/0000-0002-9392-2797; Ortega Tenezaca, Delfin Bernabe/0000-0001-9693-6951; Quevedo Tumailli, Viviana Fernanda/0000-0001-8278-3632</t>
  </si>
  <si>
    <t xml:space="preserve">MINECO [CTQ2013-41229-P]; MINECO of Spain government [CTQ2016-74881-P]; Basque Government [IT1045-16]; Universidad Estatal AmazOnica (UEA) scholarship</t>
  </si>
  <si>
    <t xml:space="preserve">MINECO(Spanish Government); MINECO of Spain government; Basque Government(Basque Government); Universidad Estatal AmazOnica (UEA) scholarship</t>
  </si>
  <si>
    <t xml:space="preserve">H.G.-D. acknowledges financial support from grants MINECO (CTQ2013-41229-P) - 2014-2016 and MINECO (CTQ2016-74881-P) - 2017-2019 of Spain government and grant (IT1045-16) - 2016-2021 of Basque Government. V.F.Q-T. acknowledges Universidad Estatal AmazOnica (UEA) scholarship for postgraduate studies; Ecuador Sciences Ph.D. Program, (UEA.Res.32.2017.09.14).</t>
  </si>
  <si>
    <t xml:space="preserve">1535-3893</t>
  </si>
  <si>
    <t xml:space="preserve">1535-3907</t>
  </si>
  <si>
    <t xml:space="preserve">J PROTEOME RES</t>
  </si>
  <si>
    <t xml:space="preserve">J. Proteome Res.</t>
  </si>
  <si>
    <t xml:space="preserve">10.1021/acs.jproteome.7b00861</t>
  </si>
  <si>
    <t xml:space="preserve">FY4OL</t>
  </si>
  <si>
    <t xml:space="preserve">WOS:000426804300029</t>
  </si>
  <si>
    <t xml:space="preserve">Ayaz, MM; Nazir, MM; Ullah, N; Zaman, A; Akbar, A; Zeeshan, M; Hussain, Z; Naz, S; Zheng, YD; Javed, A; Lindsay, DS</t>
  </si>
  <si>
    <t xml:space="preserve">Ayaz, Muhammad Mazhar; Nazir, Muhammad Mudasser; Ullah, Najeeb; Zaman, Aqil; Akbar, Atif; Zeeshan, Muhammad; Hussain, Zahid; Naz, Saima; Zheng, Yadong; Javed, Asghar; Lindsay, David S.</t>
  </si>
  <si>
    <t xml:space="preserve">Cutaneous Leishmaniasis in the Metropolitan City of Multan, Pakistan, a Neglected Tropical Disease</t>
  </si>
  <si>
    <t xml:space="preserve">Cutaneous leishmaniasis is a vector-borne infection caused by flagellated parasitic protozoans in the genus Leishmania. Promastigotes are the infective stage, which are transmitted by the bite of female sand flies of the genera Phlebotomus or Lutzomyia. Three clinical forms of Leishmania infection are recognized in humans, and they are caused by different Leishmania species. They are cutaneous leishmaniasis (CL), mucocutaneous leishmaniasis (ML), and visceral leishmaniasis (VL). Up to 2 million cases of leishmaniasis are reported annually worldwide. In Pakistan, CL is widely distributed in endemic areas. In the current study, a survey was conducted to investigate the occurrence of CL in an endemic area of the metropolitan city of Multan, Pakistan. The material for diagnosis of CL was obtained from 461 patients from 239 clinical laboratories and health care centers in Multan. Of these patients, 42.9% (198 of 461) having positive findings of amastigotes in Giemsa stained tissue impression smears. The distribution of CL skin lesions was highly variable. Most patients (76.2%) had a single lesion. Most CL lesions were found on a single hand (23.7%). The prevalence of two CL lesions per patient was 21.7%, while three or more positive CL lesions were observed in 2.0% of patients. The 198 CL-positive patients ranged in age 10-40 yr old, 101 were males, and 97 were females. Logistic regression analysis of leishmaniasis versus age and gender showed that both the age and gender had a significant (P &lt; 0.05) effect on the occurrence of infection. Outbreaks of CL were reported in 14 of the 68 Union Councils of Multan.</t>
  </si>
  <si>
    <t xml:space="preserve">Pakistan, China, United States</t>
  </si>
  <si>
    <t xml:space="preserve">Leishmania spp.; cutaneous leishmaniasis; endemic; amastigotes; metropolitan</t>
  </si>
  <si>
    <t xml:space="preserve">VISCERAL LEISHMANIASIS; PREVALENCE; REFUGEE</t>
  </si>
  <si>
    <t xml:space="preserve">[Ayaz, Muhammad Mazhar; Nazir, Muhammad Mudasser] BZ Univ, Dept Pathobiol, Fac Vet Sci, Multan 60800, Pakistan; [Ullah, Najeeb; Zeeshan, Muhammad] BZ Univ, Dept Biochem, Multan 60800, Pakistan; [Zaman, Aqil] BZ Univ, Dept Zool, Multan 60800, Pakistan; [Akbar, Atif] BZ Univ, Dept Stat, Multan 60800, Pakistan; [Hussain, Zahid] Govt Coll Univ, Dept Biotechnol, Lahore 54600, Pakistan; [Naz, Saima] Univ Sindh, Dept Zool, Jamshoro 76090, Sindh, Pakistan; [Zheng, Yadong] CAAS, LVRI, 1 Xujiaping, Lanzhou 730046, Gansu, Peoples R China; [Javed, Asghar] Nishtar Med Coll, Dept Pathol, Multan 60800, Pakistan; [Lindsay, David S.] Virginia Tech, Dept Biomed Sci &amp; Pathobiol, Virginia Maryland Coll Vet Med, Blacksburg, VA USA</t>
  </si>
  <si>
    <t xml:space="preserve">Bahauddin Zakariya University; Bahauddin Zakariya University; Bahauddin Zakariya University; Bahauddin Zakariya University; Government College University Lahore; University of Sindh; Chinese Academy of Agricultural Sciences; Lanzhou Veterinary Research Institute, CAAS; Virginia Polytechnic Institute &amp; State University</t>
  </si>
  <si>
    <t xml:space="preserve">Nazir, MM (corresponding author), BZ Univ, Dept Pathobiol, Fac Vet Sci, Multan 60800, Pakistan.</t>
  </si>
  <si>
    <t xml:space="preserve">mudasser.nazir@bzu.edu.pk</t>
  </si>
  <si>
    <t xml:space="preserve">Akbar, Atif/AAE-1927-2020; ullah, najeeb/AAT-1040-2021; Hussain, Zahid/HGU-8912-2022; Ahmed, Muhammad Zeeshan/AAE-5466-2022; Lindsay, David/G-8891-2016; Naz, Saima/AAW-8703-2021; ayaz, mazhar/F-5815-2014</t>
  </si>
  <si>
    <t xml:space="preserve">Hussain, Zahid/0000-0002-7554-8957; Ahmed, Muhammad Zeeshan/0000-0003-1118-3693; Hussain, Zahid/0000-0002-6978-3133; ayaz, mazhar/0000-0002-7301-7386; ullah, najeeb/0000-0003-0900-5927</t>
  </si>
  <si>
    <t xml:space="preserve">10.1093/jme/tjy003</t>
  </si>
  <si>
    <t xml:space="preserve">GM5ZK</t>
  </si>
  <si>
    <t xml:space="preserve">WOS:000438232000037</t>
  </si>
  <si>
    <t xml:space="preserve">Traore, BB; Kamsu-Foguem, B; Tangara, F</t>
  </si>
  <si>
    <t xml:space="preserve">Traore, Boukaye Boubacar; Kamsu-Foguem, Bernard; Tangara, Fana</t>
  </si>
  <si>
    <t xml:space="preserve">Deep convolution neural network for image recognition</t>
  </si>
  <si>
    <t xml:space="preserve">During an epidemic crisis, medical image analysis namely microscopic analyses are made to confirm or not the existence of the epidemic pathogen in suspected cases. Pathogen are all infectious agents such as a virus, bacterium, protozoa, prion etc. However, there is often a lack of specialists in the handling of microscopes, hence allowing the need to make the microscopic analysis abroad. This results in a considerable loss of time and in the meantime, the epidemic continues to spread. To save time in the analysis of samples, we propose to make the future microscopes more intelligent so that they will be able to indicate by themselves the existence or not of the pathogen of an epidemic in a sample. To have a smart microscope, we propose a methodology based on efficient Convolution Neural Network (CNN) architecture in order to classify epidemic pathogen with five deep learning phases: (1) Training dataset of provided images (2) CNN Training (3) Testing data preparation (4) CNN generated model on testing data and finally (5) Evaluation of images classified. The resulted classification process can be integrated in a mobile computing solution on future microscopes. CNN can improve the accuracy in pathogens diagnosis that are focused on hand-tuned feature extraction implying some human mistakes. For our study, we consider cholera and malaria epidemics for microscopic images classification with a relevant CNN, respectively Vibrio cholerae images and Plasmodium falciparum images. Image classification is the task of taking an input image and outputting a class or a probability of classes that best describes the image. Interesting results have been obtained from the CNN model generated achieving the classification accuracy of 94%, with 200 Vibrio cholera images and 200 Plasmodium falciparum images for training dataset and 80 images for testing data. Although this document addresses the classification of epidemic pathogen images using a CNN model, the underlying principles apply to the other fields of science and technology, because of its performance and its capability to handle more layers than the previous traditional neural networks.</t>
  </si>
  <si>
    <t xml:space="preserve">France, Mali</t>
  </si>
  <si>
    <t xml:space="preserve">Convolution Neural Network (CNN) </t>
  </si>
  <si>
    <t xml:space="preserve">Accuracy = 94%</t>
  </si>
  <si>
    <t xml:space="preserve">Deep learning; Convolution neural networks; Pathogen images classification; Smart microscope</t>
  </si>
  <si>
    <t xml:space="preserve">[Traore, Boukaye Boubacar; Kamsu-Foguem, Bernard] Toulouse Univ, Toulouse INP ENIT, Lab Genie Prod, Ecole Natl Ingn Tarbes 47, Ave Azereix,BP 1629, F-65016 Tarbes, France; [Traore, Boukaye Boubacar; Tangara, Fana] USTTB, Fac Sci &amp; Tech Colline Badalabougou, BP E 28 11-FST, Bamako 223, Mali</t>
  </si>
  <si>
    <t xml:space="preserve">Universite Federale Toulouse Midi-Pyrenees (ComUE); University of Science &amp; Technology of Bamako</t>
  </si>
  <si>
    <t xml:space="preserve">Kamsu-Foguem, B (corresponding author), Toulouse Univ, Toulouse INP ENIT, Lab Genie Prod, Ecole Natl Ingn Tarbes 47, Ave Azereix,BP 1629, F-65016 Tarbes, France.</t>
  </si>
  <si>
    <t xml:space="preserve">bernard.kamsu-foguem@enit.fr</t>
  </si>
  <si>
    <t xml:space="preserve">TANGARA, Fana/0000-0002-6029-3453</t>
  </si>
  <si>
    <t xml:space="preserve">CONVENTION DE SOUTIEN A LA FORMATION [17 - 006 -/USJPB-R/PFF-A]</t>
  </si>
  <si>
    <t xml:space="preserve">CONVENTION DE SOUTIEN A LA FORMATION</t>
  </si>
  <si>
    <t xml:space="preserve">This work was supported by the Programme de Formation des Formateurs des Universites de Bamako en republique du MALI with by the CONVENTION DE SOUTIEN A LA FORMATION No 17 - 006 -/USJPB-R/PFF-A.</t>
  </si>
  <si>
    <t xml:space="preserve">10.1016/j.ecoinf.2018.10.002</t>
  </si>
  <si>
    <t xml:space="preserve">HE7TC</t>
  </si>
  <si>
    <t xml:space="preserve">WOS:000453641900025</t>
  </si>
  <si>
    <t xml:space="preserve">Segler, MHS; Kogej, T; Tyrchan, C; Waller, MP</t>
  </si>
  <si>
    <t xml:space="preserve">Segler, Marwin H. S.; Kogej, Thierry; Tyrchan, Christian; Waller, Mark P.</t>
  </si>
  <si>
    <t xml:space="preserve">Generating Focused Molecule Libraries for Drug Discovery with Recurrent Neural Networks</t>
  </si>
  <si>
    <t xml:space="preserve">In de novo drug design, computational strategies are used to generate novel molecules with good affinity to the desired biological target. In this work, we show that recurrent neural networks can be trained as generative models for molecular structures, similar to statistical language models in natural language processing. We demonstrate that the properties of the generated molecules correlate very well with the properties of the molecules used to train the model. In order to enrich libraries with molecules active toward a given biological target, we propose to fine-tune the model with small sets of molecules, which are known to be active against that target. Against Staphylococcus aureus, the model reproduced 14% of 6051 hold-out test molecules that medicinal chemists designed, whereas against Plasmodium falciparum (Malaria), it reproduced 28% of 1240 test molecules. When coupled with a scoring function, our model can perform the complete de novo drug design cycle to generate large sets of novel molecules for drug discovery. GRAPHICS</t>
  </si>
  <si>
    <t xml:space="preserve">Germany, Sweeden, China</t>
  </si>
  <si>
    <t xml:space="preserve">Recurrent Neural Networks</t>
  </si>
  <si>
    <t xml:space="preserve">ACS CENTRAL SCIENCE</t>
  </si>
  <si>
    <t xml:space="preserve">DE-NOVO DESIGN; DEVELOPMENT KIT CDK; SOURCE JAVA LIBRARY; PREDICTION; CHEMOINFORMATICS; LANGUAGE; MODELS; SMILES</t>
  </si>
  <si>
    <t xml:space="preserve">[Segler, Marwin H. S.] Westfal Wilhelms Univ Munster, Inst Organ Chem, D-48149 Munster, Germany; [Segler, Marwin H. S.] Westfal Wilhelms Univ Munster, Ctr Multiscale Theory &amp; Computat, D-48149 Munster, Germany; [Kogej, Thierry] AstraZeneca R&amp;D, Hit Discovery, Discovery Sci, Gothenburg, Sweden; [Tyrchan, Christian] AstraZeneca R&amp;D, IMED RIA, Dept Med Chem, Gothenburg, Sweden; [Waller, Mark P.] Shanghai Univ, Dept Phys, Shanghai, Peoples R China; [Waller, Mark P.] Shanghai Univ, Int Ctr Quantum &amp; Mol Struct, Shanghai, Peoples R China</t>
  </si>
  <si>
    <t xml:space="preserve">University of Munster; University of Munster; AstraZeneca; AstraZeneca; Shanghai University; Shanghai University</t>
  </si>
  <si>
    <t xml:space="preserve">Segler, MHS (corresponding author), Westfal Wilhelms Univ Munster, Inst Organ Chem, D-48149 Munster, Germany.;Segler, MHS (corresponding author), Westfal Wilhelms Univ Munster, Ctr Multiscale Theory &amp; Computat, D-48149 Munster, Germany.;Waller, MP (corresponding author), Shanghai Univ, Dept Phys, Shanghai, Peoples R China.;Waller, MP (corresponding author), Shanghai Univ, Int Ctr Quantum &amp; Mol Struct, Shanghai, Peoples R China.</t>
  </si>
  <si>
    <t xml:space="preserve">marwin.segler@wwu.de; waller@shu.edu.cn</t>
  </si>
  <si>
    <t xml:space="preserve">Waller, Mark/A-8685-2010</t>
  </si>
  <si>
    <t xml:space="preserve">Segler, Marwin/0000-0001-8008-0546; Tyrchan, Christian/0000-0002-6470-984X</t>
  </si>
  <si>
    <t xml:space="preserve">Deutsche Forschungsgemeinschaft (DFG) [SFB 858]; Shanghai Eastern Scholar Program</t>
  </si>
  <si>
    <t xml:space="preserve">Deutsche Forschungsgemeinschaft (DFG)(German Research Foundation (DFG)); Shanghai Eastern Scholar Program</t>
  </si>
  <si>
    <t xml:space="preserve">M.H.S.S. and M.P.W. acknowledge funding by Deutsche Forschungsgemeinschaft (DFG, SFB 858). M.P.W. would like to acknowledge support from the Shanghai Eastern Scholar Program. T.K. and C.T. are employees of AstraZeneca.</t>
  </si>
  <si>
    <t xml:space="preserve">2374-7943</t>
  </si>
  <si>
    <t xml:space="preserve">2374-7951</t>
  </si>
  <si>
    <t xml:space="preserve">ACS CENTRAL SCI</t>
  </si>
  <si>
    <t xml:space="preserve">ACS Central Sci.</t>
  </si>
  <si>
    <t xml:space="preserve">10.1021/acscentsci.7b00512</t>
  </si>
  <si>
    <t xml:space="preserve">FT5CD</t>
  </si>
  <si>
    <t xml:space="preserve">WOS:000423170700014</t>
  </si>
  <si>
    <t xml:space="preserve">Y</t>
  </si>
  <si>
    <t xml:space="preserve">N</t>
  </si>
  <si>
    <t xml:space="preserve">Urrea, DA; Duitama, J; Imamura, H; Aprimelzate, JF; Gil, J; Muñoz, N; Villa, JA; Dujardin, JC; Ramirez-Pineda, JR; Triana-Chavez, O</t>
  </si>
  <si>
    <t xml:space="preserve">Urrea, Daniel Alfonso; Duitama, Jorge; Imamura, Hideo; Aprimelzate, Juan F.; Gil, Juanita; Munoz, Natalia; Villa, Janny Alexander; Dujardin, Jean-Claude; Ramirez-Pineda, Jose R.; Triana-Chavez, Omar</t>
  </si>
  <si>
    <t xml:space="preserve">Genomic Analysis of Colombian Leishmania panamensis strains with different level of virulence</t>
  </si>
  <si>
    <t xml:space="preserve">The establishment of Leishmania infection in mammalian hosts and the subsequent manifestation of clinical symptoms require internalization into macrophages, immune evasion and parasite survival and replication. Although many of the genes involved in these processes have been described, the genetic and genomic variability associated to differences in virulence is largely unknown. Here we present the genomic variation of four Leishmania (Viannia) panamensis strains exhibiting different levels of virulence in BALB/c mice and its application to predict novel genes related to virulence. De novo DNA sequencing and assembly of the most virulent strain allowed comparative genomics analysis with sequenced L. (Viannia) panamensis and L. (Viannia) braziliensis strains, and showed important variations at intra and interspecific levels. Moreover, the mutation detection and a CNV search revealed both base and structural genomic variation within the species. Interestingly, we found differences in the copy number and protein diversity of some genes previously related to virulence. Several machine-learning approaches were applied to combine previous knowledge with features derived from genomic variation and predict a curated set of 66 novel genes related to virulence. These genes can be prioritized for validation experiments and could potentially become promising drug and immune targets for the development of novel prophylactic and therapeutic interventions.</t>
  </si>
  <si>
    <t xml:space="preserve">Colombia, Belgium</t>
  </si>
  <si>
    <t xml:space="preserve">AMAZONENSIS PROMASTIGOTES; CUTANEOUS LEISHMANIASIS; AUTOPHAGOSOME FORMATION; DISTINCT STRAINS; NATURAL MODEL; GP63 LEVEL; PROTEIN; EXPRESSION; INFECTION; DONOVANI</t>
  </si>
  <si>
    <t xml:space="preserve">[Urrea, Daniel Alfonso; Triana-Chavez, Omar] Univ Antioquia, Grp Biol &amp; Control Enfermedades Infecciosas, Medellin, Colombia; [Duitama, Jorge; Gil, Juanita] Univ Los Andes, Syst &amp; Comp Engn Dept, Bogota, Colombia; [Imamura, Hideo; Dujardin, Jean-Claude] Inst Trop Med, Antwerp, Belgium; [Aprimelzate, Juan F.] Univ Antioquia, Ctr Nacl Secuenciac Genom, Medellin, Colombia; [Munoz, Natalia; Villa, Janny Alexander; Ramirez-Pineda, Jose R.] Univ Antioquia, Grp Inmunomodulac, Medellin, Colombia; [Urrea, Daniel Alfonso] Univ Tolima, Fac Ciencias, Dept Biol, LIPT, Tolima, Colombia</t>
  </si>
  <si>
    <t xml:space="preserve">Universidad de Antioquia; Universidad de los Andes (Colombia); Institute of Tropical Medicine (ITM); Universidad de Antioquia; Universidad de Antioquia; Universidad del Tolima</t>
  </si>
  <si>
    <t xml:space="preserve">Triana-Chavez, O (corresponding author), Univ Antioquia, Grp Biol &amp; Control Enfermedades Infecciosas, Medellin, Colombia.</t>
  </si>
  <si>
    <t xml:space="preserve">omar.triana@udea.edu.co</t>
  </si>
  <si>
    <t xml:space="preserve">Duitama, Jorge/I-6484-2019; Dujardin, Jean-Claude/AAO-1783-2021; Villa-Pulgarin, Janny/AAW-4592-2020; Alzate, Juan/AFD-6646-2022</t>
  </si>
  <si>
    <t xml:space="preserve">Imamura, Hideo/0000-0002-3282-1319; Villa-Pulgarin, Janny Alexander/0000-0002-9916-5977; Ramirez-Pineda, Jose Robinson/0000-0002-4340-4860; Gil, Juanita/0000-0002-8333-4254; Alzate, Juan F./0000-0003-2578-4609; Duitama, Jorge/0000-0002-9105-6266</t>
  </si>
  <si>
    <t xml:space="preserve">Colciencias [11551929249]; Universidad de Antioquia UdeA</t>
  </si>
  <si>
    <t xml:space="preserve">Colciencias(Departamento Administrativo de Ciencia, Tecnologia e Innovacion Colciencias); Universidad de Antioquia UdeA</t>
  </si>
  <si>
    <t xml:space="preserve">This work was supported by Colciencias grant 11551929249; Universidad de Antioquia UdeA, and by PhD Studentship to DU by Colciencias.</t>
  </si>
  <si>
    <t xml:space="preserve">10.1038/s41598-018-35778-6</t>
  </si>
  <si>
    <t xml:space="preserve">HB6LV</t>
  </si>
  <si>
    <t xml:space="preserve">WOS:000451182100008</t>
  </si>
  <si>
    <t xml:space="preserve">Onguéné, PA; Simoben, CV; Fotso, GW; Andrae-Marobela, K; Khalid, SA; Ngadjui, BT; Mbaze, LM; Ntie-Kang, F</t>
  </si>
  <si>
    <t xml:space="preserve">Onguene, Pascal Amoa; Simoben, Conrad V.; Fotso, Ghislain W.; Andrae-Marobela, Kerstin; Khalid, Sami A.; Ngadjui, Bonaventure T.; Mbaze, Luc Meva'a; Ntie-Kang, Fidele</t>
  </si>
  <si>
    <t xml:space="preserve">In silico toxicity profiling of natural product compound libraries from African flora with anti-malarial and anti-HIV properties</t>
  </si>
  <si>
    <t xml:space="preserve">This paper describes an analysis of the diversity and chemical toxicity assessment of three chemical libraries of compounds from African flora (the p-ANAPL, AfroMalariaDb, and Afro-HIV), respectively containing compounds exhibiting activities against diverse diseases, malaria and HIV. The diversity of the three data sets was done by comparison of the three most important principal components computed from standard molecular descriptors. This was also done by a study of the most common substructures (MCSS keys). Meanwhile, the in silico toxicity predictions were done through the identification of chemical structural alerts using Lhasa's knowledge based Derek system. The results show that the libraries occupy different chemical space and that only an insignificant part of the respective libraries could exhibit toxicities beyond acceptable limits. The predicted toxicities end points for compounds which were predicted to plausible were further discussed in the light of available experimental data in the literature. Toxicity predictions are in agreement when using a machine learning approach that employs graph-based structural signatures. The current study sheds further light towards the use of the studied chemical libraries for virtual screening purposes. (C) 2017 Elsevier Ltd. All rights reserved.</t>
  </si>
  <si>
    <t xml:space="preserve">Cameroon, Germany, Botswana, Sudan</t>
  </si>
  <si>
    <t xml:space="preserve">COMPUTATIONAL BIOLOGY AND CHEMISTRY</t>
  </si>
  <si>
    <t xml:space="preserve">Diversity; Drug discovery; Toxicity; In silico; Natural products; Malaria; HIV</t>
  </si>
  <si>
    <t xml:space="preserve">HERG K+ CHANNELS; CHEMICAL-STRUCTURE; MEDICINAL-PLANTS; ANCISTROCLADUS-KORUPENSIS; COMPUTATIONAL TOXICOLOGY; COMPUTER-PREDICTION; GLORIOSA-SUPERBA; DIONCOPHYLLINE C; RISK-ASSESSMENT; DRUG DISCOVERY</t>
  </si>
  <si>
    <t xml:space="preserve">[Onguene, Pascal Amoa; Mbaze, Luc Meva'a] Univ Douala, Dept Chem, Fac Sci, POB 24157, Douala, Cameroon; [Simoben, Conrad V.; Ntie-Kang, Fidele] Martin Luther Univ Halle Wittenberg, Dept Pharmaceut Chem, Wolfgang Langenbeck Str 4, D-06120 Halle, Saale, Germany; [Simoben, Conrad V.] Univ Buea, Dept Chem, Chem &amp; Bioact Informat Ctr, Fac Sci, POB 63, Buea, Cameroon; [Fotso, Ghislain W.] Univ Yaounde I, Dept Organ Chem, Yaounde, Cameroon; [Andrae-Marobela, Kerstin] Univ Botswana, Dept Biol Sci, Fac Sci, 4775 Notwane Rd, Gaborone, Botswana; [Khalid, Sami A.] Univ Sci &amp; Technol, Fac Pharm, Omdurman, Sudan; [Ngadjui, Bonaventure T.] Univ Yaounde I, Fac Med &amp; Biomed Sci, Dept Pharmaceut Sci &amp; Tradit Pharmacopeia, Yaounde, Cameroon; [Ntie-Kang, Fidele] Univ Buea, Dept Chem, Fac Sci, POB 63, Buea, Cameroon</t>
  </si>
  <si>
    <t xml:space="preserve">Martin Luther University Halle Wittenberg; University of Yaounde I; University of Botswana; University of Yaounde I</t>
  </si>
  <si>
    <t xml:space="preserve">Mbaze, LM (corresponding author), Univ Douala, Dept Chem, Fac Sci, POB 24157, Douala, Cameroon.;Ntie-Kang, F (corresponding author), Univ Buea, Dept Chem, Fac Sci, POB 63, Buea, Cameroon.</t>
  </si>
  <si>
    <t xml:space="preserve">amoapascal@yahoo.fr; veranso.conrad@gmail.com; ghis152001@yahoo.fr; Marobelak@mopipi.ub.bw; khalidseek@hotmail.com; ngadjuibt@yahoo.fr; lmbazze@yahoo.fr; ntiekfidele@gmail.com</t>
  </si>
  <si>
    <t xml:space="preserve">Ntie-Kang, Fidele/B-5877-2013; Wabo, Ghislain/AAY-7266-2020; Veranso, Conrad Simoben/HNP-1683-2023; Khalid, Sami/AAS-8644-2020</t>
  </si>
  <si>
    <t xml:space="preserve">Ntie-Kang, Fidele/0000-0003-0795-394X; Conrad Simoben, Veranso/0000-0002-5958-6961</t>
  </si>
  <si>
    <t xml:space="preserve">Alexander von Humboldt Foundation, Germany; German Academic Exchange Services (DAAD), Germany</t>
  </si>
  <si>
    <t xml:space="preserve">Alexander von Humboldt Foundation, Germany(Alexander von Humboldt Foundation); German Academic Exchange Services (DAAD), Germany(Deutscher Akademischer Austausch Dienst (DAAD))</t>
  </si>
  <si>
    <t xml:space="preserve">FNK acknowledges a Georg Forster Fellowship from the Alexander von Humboldt Foundation, Germany. CVS is currently a doctoral candidate financed by the German Academic Exchange Services (DAAD), Germany.</t>
  </si>
  <si>
    <t xml:space="preserve">1476-9271</t>
  </si>
  <si>
    <t xml:space="preserve">1476-928X</t>
  </si>
  <si>
    <t xml:space="preserve">COMPUT BIOL CHEM</t>
  </si>
  <si>
    <t xml:space="preserve">10.1016/j.compbiolchem.2017.12.002</t>
  </si>
  <si>
    <t xml:space="preserve">Biology; Computer Science, Interdisciplinary Applications</t>
  </si>
  <si>
    <t xml:space="preserve">Life Sciences &amp; Biomedicine - Other Topics; Computer Science</t>
  </si>
  <si>
    <t xml:space="preserve">FW1TH</t>
  </si>
  <si>
    <t xml:space="preserve">WOS:000425081800015</t>
  </si>
  <si>
    <t xml:space="preserve">Mollalo, A; Sadeghian, A; Israel, GD; Rashidi, P; Sofizadeh, A; Glass, GE</t>
  </si>
  <si>
    <t xml:space="preserve">Mollalo, Abolfazl; Sadeghian, Ali; Israel, Glenn D.; Rashidi, Parisa; Sofizadeh, Aioub; Glass, Gregory E.</t>
  </si>
  <si>
    <t xml:space="preserve">Machine learning approaches in GIS-based ecological modeling of the sand fly Phlebotomus papatasi, a vector of zoonotic cutaneous leishmaniasis in Golestan province, Iran</t>
  </si>
  <si>
    <t xml:space="preserve">The distribution and abundance of Phlebotomus papatasi, the primary vector of zoonotic cutaneous leishmaniasis in most semi-/arid countries, is a major public health challenge. This study compares several approaches to model the spatial distribution of the species in an endemic region of the disease in Golestan province, northeast of Iran. The intent is to assist decision makers for targeted interventions. We developed a geo-database of the collected Phlebotominae sand flies from different parts of the study region. Sticky paper traps coated with castor oil were used to collect sand flies. In 44 out of 142 sampling sites, Ph. papatasi was present. We also gathered and prepared data on related environmental factors including topography, weather variables, distance to main rivers and remotely sensed data such as normalized difference vegetation cover and land surface temperature (LST) in a GIS framework. Applicability of three classifiers: (vanilla) logistic regression, random forest and support vector machine (SVM) were compared for predicting presence/absence of the vector. Predictive performances were compared using an independent dataset to generate area under the ROC curve (AUC) and Kappa statistics. All three models successfully predicted the presence/absence of the vector, however, the SVM classifier (Accuracy = 0.906, AUC = 0.974, Kappa = 0.876) outperformed the other classifiers on predicting accuracy. Moreover, this classifier was the most sensitive (85%), and the most specific (93%) model. Sensitivity analysis of the most accurate model (i.e. SVM) revealed that slope, nighttime LST in October and mean temperature of the wettest quarter were among the most important predictors. The findings suggest that machine learning techniques, especially the SVM classifier, when coupled with GIS and remote sensing data can be a useful and cost-effective way for identifying habitat suitability of the species.</t>
  </si>
  <si>
    <t xml:space="preserve">USA, Iran</t>
  </si>
  <si>
    <t xml:space="preserve">(Vanilla) logistic regression, random forest and support vector machine (SVM)</t>
  </si>
  <si>
    <t xml:space="preserve">Accuracy assessment; Ecological modeling; GIS; Support vector machine; Zoonotic cutaneous leishmaniasis</t>
  </si>
  <si>
    <t xml:space="preserve">RANDOM FOREST; DIPTERA PSYCHODIDAE; FLIES DIPTERA; CLASSIFICATION; STATISTICS; SELECTION; PREDICT; COVER; AREA</t>
  </si>
  <si>
    <t xml:space="preserve">[Mollalo, Abolfazl; Glass, Gregory E.] Univ Florida, Dept Geog, 3141 Turlington Hall,POB 117315, Gainesville, FL 32611 USA; [Sadeghian, Ali] Univ Florida, Dept Elect &amp; Comp Engn, Gainesville, FL 32611 USA; [Israel, Glenn D.] Univ Florida, Program Dev &amp; Evaluat Ctr, Dept Agr Educ &amp; Commun, Gainesville, FL 32611 USA; [Rashidi, Parisa] Univ Florida, Dept Biomed Engn, Gainesville, FL 32611 USA; [Sofizadeh, Aioub] Golestan Univ Med Sci, Infect Dis Res Ctr, Gorgan, Iran; [Glass, Gregory E.] Univ Florida, Emerging Pathogens Inst, Gainesville, FL 32611 USA</t>
  </si>
  <si>
    <t xml:space="preserve">State University System of Florida; University of Florida; State University System of Florida; University of Florida; State University System of Florida; University of Florida; State University System of Florida; University of Florida; Golestan University of Medical Sciences; State University System of Florida; University of Florida</t>
  </si>
  <si>
    <t xml:space="preserve">Mollalo, A (corresponding author), Univ Florida, Dept Geog, 3141 Turlington Hall,POB 117315, Gainesville, FL 32611 USA.</t>
  </si>
  <si>
    <t xml:space="preserve">abolfazl@ufl.edu; asadeghian@ufl.edu; gdisrael@ufl.edu; parisa.rashidi@bme.ufl.edu; a_sofizadeh@yahoo.com; gglass@epi.ufl.edu</t>
  </si>
  <si>
    <t xml:space="preserve">Sadeghian, Ali/AAV-6773-2020; Rashidi, Parisa/AAP-7261-2020; Mollalo, Abolfazl/P-1078-2015</t>
  </si>
  <si>
    <t xml:space="preserve">Mollalo, Abolfazl/0000-0001-5092-0698; Rashidi, Parisa/0000-0003-4530-2048</t>
  </si>
  <si>
    <t xml:space="preserve">State of Florida; University of Florida Preeminence program; Emerging Pathogens Institute</t>
  </si>
  <si>
    <t xml:space="preserve">The authors would like to thank anonymous reviewers for taking the time and effort necessary to review the manuscript. This study is a part of the first author's dissertation for the fulfillment of the requirements for the Ph.D. degree in Medical Geography from the Department of Geography, University of Florida. GG was supported by the State of Florida, University of Florida Preeminence program to the Department of Geography and the Emerging Pathogens Institute.</t>
  </si>
  <si>
    <t xml:space="preserve">10.1016/j.actatropica.2018.09.004</t>
  </si>
  <si>
    <t xml:space="preserve">GX9BH</t>
  </si>
  <si>
    <t xml:space="preserve">WOS:000448093000023</t>
  </si>
  <si>
    <t xml:space="preserve">Go, T; Kim, JH; Byeon, H; Lee, SJ</t>
  </si>
  <si>
    <t xml:space="preserve">Go, Taesik; Kim, Jun H.; Byeon, Hyeokjun; Lee, Sang J.</t>
  </si>
  <si>
    <t xml:space="preserve">Machine learning-based in-line holographic sensing of unstained malaria-infected red blood cells</t>
  </si>
  <si>
    <t xml:space="preserve">Accurate and immediate diagnosis of malaria is important for medication of the infectious disease. Conventional methods for diagnosing malaria are time consuming and rely on the skill of experts. Therefore, an automatic and simple diagnostic modality is essential for healthcare in developing countries that lack the expertise of trained microscopists. In the present study, a new automatic sensing method using digital in-line holographic microscopy (DIHM) combined with machine learning algorithms was proposed to sensitively detect unstained malaria-infected red blood cells (iRBCs). To identify the RBC characteristics, 13 descriptors were extracted from segmented holograms of individual RBCs. Among the 13 descriptors, 10 features were highly statistically different between healthy RBCs (hRBCs) and iRBCs. Six machine learning algorithms were applied to effectively combine the dominant features and to greatly improve the diagnostic capacity of the present method. Among the classification models trained by the 6 tested algorithms, the model trained by the support vector machine (SVM) showed the best accuracy in separating hRBCs and iRBCs for training (n = 280, 96.78%) and testing sets (n = 120, 97.50%). This DIHM-based artificial intelligence methodology is simple and does not require blood staining. Thus, it will be beneficial and valuable in the diagnosis of malaria.</t>
  </si>
  <si>
    <t xml:space="preserve">JOURNAL OF BIOPHOTONICS</t>
  </si>
  <si>
    <t xml:space="preserve">diagnosis; digital holographic microscopy; machine learning algorithm; malaria</t>
  </si>
  <si>
    <t xml:space="preserve">AUTOMATIC IDENTIFICATION; DIAGNOSTIC PERFORMANCE; PHASE MICROSCOPY; ERYTHROCYTES; SINGLE</t>
  </si>
  <si>
    <t xml:space="preserve">[Go, Taesik; Kim, Jun H.; Byeon, Hyeokjun; Lee, Sang J.] Pohang Univ Sci &amp; Technol, Dept Mech Engn, Pohang 37673, South Korea</t>
  </si>
  <si>
    <t xml:space="preserve">Pohang University of Science &amp; Technology (POSTECH)</t>
  </si>
  <si>
    <t xml:space="preserve">Lee, SJ (corresponding author), Pohang Univ Sci &amp; Technol, Dept Mech Engn, Pohang 37673, South Korea.</t>
  </si>
  <si>
    <t xml:space="preserve">sjlee@postech.ac.kr</t>
  </si>
  <si>
    <t xml:space="preserve">Lee, Sang/AAG-2448-2019</t>
  </si>
  <si>
    <t xml:space="preserve">LEE, SANG JOON/0000-0003-3286-5941</t>
  </si>
  <si>
    <t xml:space="preserve">National Research Foundation of Korea (NRF) grant - Korea government (MSIP) [2017R1A2B3005415]</t>
  </si>
  <si>
    <t xml:space="preserve">National Research Foundation of Korea (NRF) grant - Korea government (MSIP)(National Research Foundation of Korea)</t>
  </si>
  <si>
    <t xml:space="preserve">This work was supported by the National Research Foundation of Korea (NRF) grant funded by the Korea government (MSIP) (No. 2017R1A2B3005415).</t>
  </si>
  <si>
    <t xml:space="preserve">1864-063X</t>
  </si>
  <si>
    <t xml:space="preserve">1864-0648</t>
  </si>
  <si>
    <t xml:space="preserve">J BIOPHOTONICS</t>
  </si>
  <si>
    <t xml:space="preserve">e201800101</t>
  </si>
  <si>
    <t xml:space="preserve">10.1002/jbio.201800101</t>
  </si>
  <si>
    <t xml:space="preserve">Biochemical Research Methods; Biophysics; Optics</t>
  </si>
  <si>
    <t xml:space="preserve">Biochemistry &amp; Molecular Biology; Biophysics; Optics</t>
  </si>
  <si>
    <t xml:space="preserve">GS8FT</t>
  </si>
  <si>
    <t xml:space="preserve">WOS:000443944500024</t>
  </si>
  <si>
    <t xml:space="preserve">Ding, FY; Fu, JY; Jiang, D; Hao, MM; Lin, G</t>
  </si>
  <si>
    <t xml:space="preserve">Ding, Fangyu; Fu, Jingying; Jiang, Dong; Hao, Mengmeng; Lin, Gang</t>
  </si>
  <si>
    <t xml:space="preserve">Mapping the spatial distribution of Aedes aegypti and Aedes albopictus</t>
  </si>
  <si>
    <t xml:space="preserve">Mosquito-borne infectious diseases, such as Rift Valley fever, Dengue, Chikungunya and Zika, have caused mass human death with the transnational expansion fueled by economic globalization. Simulating the distribution of the disease vectors is of great importance in formulating public health planning and disease control strategies. In the present study, we simulated the global distribution of Aedes aegypti and Aedes albopictus at a 5 x 5 km spatial resolution with high-dimensional multidisciplinary datasets and machine learning methods Three relatively popular and robust machine learning models, including support vector machine (SVM), gradient boosting machine (GBM) and random forest (RF), were used. During the fine-tuning process based on training datasets of A. aegypti and A. albopictus, RF models achieved the highest performance with an area under the curve (AUC) of 0.973 and 0.974, respectively, followed by GBM (AUC of 0.971 and 0.972, respectively) and SVM (AUC of 0.963 and 0.964, respectively) models. The simulation difference between RF and GBM models was not statistically significant (p &gt; 0.05) based on the validation datasets, whereas statistically significant differences (p &lt; 0.05) were observed for RF and GBM simulations compared with SVM simulations. From the simulated maps derived from RF models, we observed that the distribution of A. albopictus was wider than that of A. aegypti along a latitudinal gradient. The discriminatory power of each factor in simulating the global distribution of the two species was also analyzed. Our results provided fundamental information for further study on disease transmission simulation and risk assessment.</t>
  </si>
  <si>
    <t xml:space="preserve">Support vector machine (SVM), Gradient boosting machine (GBM),Random forest (RF)</t>
  </si>
  <si>
    <t xml:space="preserve">Global distribution; Aedes aegypti; Aedes albopictus; Multidisciplinary datasets; Machine learning models</t>
  </si>
  <si>
    <t xml:space="preserve">ZIKA VIRUS; CHIKUNGUNYA VIRUS; DIPTERA; CULICIDAE; SPREAD; MOSQUITO; CLIMATE; COMPETENCE; ISOLATIONS; PATTERNS</t>
  </si>
  <si>
    <t xml:space="preserve">[Ding, Fangyu; Fu, Jingying; Jiang, Dong; Hao, Mengmeng; Lin, Gang] Chinese Acad Sci, Inst Geog Sci &amp; Nat Resources Res, Beijing 100101, Peoples R China; [Ding, Fangyu; Fu, Jingying; Jiang, Dong; Hao, Mengmeng] Univ Chinese Acad Sci, Coll Resources &amp; Environm, Beijing 100049, Peoples R China</t>
  </si>
  <si>
    <t xml:space="preserve">Chinese Academy of Sciences; Institute of Geographic Sciences &amp; Natural Resources Research, CAS; Chinese Academy of Sciences; University of Chinese Academy of Sciences, CAS</t>
  </si>
  <si>
    <t xml:space="preserve">Jiang, D (corresponding author), Chinese Acad Sci, Inst Geog Sci &amp; Nat Resources Res, Beijing 100101, Peoples R China.</t>
  </si>
  <si>
    <t xml:space="preserve">dingfy.14s@igsnrr.ac.cn; fujy@igsnrr.ac.cn; jiangd@igsnrr.ac.cn; haomm.16b@igsnrr.ac.cn; ling@lreis.ac.cn</t>
  </si>
  <si>
    <t xml:space="preserve">Ding, Fangyu/AAD-8830-2022</t>
  </si>
  <si>
    <t xml:space="preserve">Ding, Fangyu/0000-0002-4082-8545; Ding, Fangyu/0000-0003-1821-531X</t>
  </si>
  <si>
    <t xml:space="preserve">Ministry of Science and Technology of China [2016YFC1201300]</t>
  </si>
  <si>
    <t xml:space="preserve">Ministry of Science and Technology of China(Ministry of Science and Technology, China)</t>
  </si>
  <si>
    <t xml:space="preserve">This research was supported and funded by the Ministry of Science and Technology of China (2016YFC1201300). We are grateful to all the data providers. We also appreciate editors and reviewers for their constructive comments and suggestions.</t>
  </si>
  <si>
    <t xml:space="preserve">10.1016/j.actatropica.2017.11.020</t>
  </si>
  <si>
    <t xml:space="preserve">FU1YB</t>
  </si>
  <si>
    <t xml:space="preserve">WOS:000423644300025</t>
  </si>
  <si>
    <t xml:space="preserve">Jiang, D; Hao, MM; Ding, FY; Fu, JY; Li, M</t>
  </si>
  <si>
    <t xml:space="preserve">Jiang, Dong; Hao, Mengmeng; Ding, Fangyu; Fu, Jingying; Li, Meng</t>
  </si>
  <si>
    <t xml:space="preserve">Mapping the transmission risk of Zika virus using machine learning models</t>
  </si>
  <si>
    <t xml:space="preserve">Zika virus, which has been linked to severe congenital abnormalities, is exacerbating global public health problems with its rapid transnational expansion fueled by increased global travel and trade. Suitability mapping of the transmission risk of Zika virus is essential for drafting public health plans and disease control strategies, which are especially important in areas where medical resources are relatively scarce. Predicting the risk of Zika virus outbreak has been studied in recent years, but the published literature rarely includes multiple model comparisons or predictive uncertainty analysis. Here, three relatively popular machine learning models including backward propagation neural network (BPNN), gradient boosting machine (GBM) and random forest (RF) were adopted to map the probability of Zika epidemic outbreak at the global level, pairing high-dimensional multidisciplinary covariate layers with comprehensive location data on recorded Zika virus infection in humans. The results show that the predicted high-risk areas for Zika transmission are concentrated in four regions: Southeastern North America, Eastern South America, Central Africa and Eastern Asia. To evaluate the performance of machine learning models, the 50 modeling processes were conducted based on a training dataset. The BPNN model obtained the highest predictive accuracy with a 10-fold cross-validation area under the curve (AUC) of 0.966 [95% confidence interval (CI) 0.965-0.967], followed by the GBM model (10-fold cross-validation AUC = 0.964[0.963-0.965]) and the RF model (10-fold cross-validation AUC = 0.963[0.962-0.964]). Based on training samples, compared with the BPNN-based model, we find that significant differences (p = 0.0258* and p = 0.0001***, respectively) are observed for prediction accuracies achieved by the GBM and RF models. Importantly, the prediction uncertainty introduced by the selection of absence data was quantified and could provide more accurate fundamental and scientific information for further study on disease transmission prediction and risk assessment.</t>
  </si>
  <si>
    <t xml:space="preserve">Backward propagation neural network (BPNN), Gradient boosting machine (GBM), Random forest (RF)</t>
  </si>
  <si>
    <t xml:space="preserve">Zika virus; Transmission risk; Machine learning; Significant differences; Prediction uncertainty</t>
  </si>
  <si>
    <t xml:space="preserve">AEDES-AEGYPTI DIPTERA; VECTOR-BORNE DISEASE; SPATIAL-DISTRIBUTION; OUTBREAK; HISTORY; ISOLATIONS; ALBOPICTUS; CULICIDAE; INFECTION; EPIDEMIC</t>
  </si>
  <si>
    <t xml:space="preserve">[Jiang, Dong; Hao, Mengmeng; Ding, Fangyu; Fu, Jingying; Li, Meng] Chinese Acad Sci, Inst Geog Sci &amp; Nat Resources Res, State Key Lab Resources &amp; Environm Informat Syst, Beijing 100101, Peoples R China; [Jiang, Dong; Hao, Mengmeng; Ding, Fangyu; Fu, Jingying; Li, Meng] Univ Chinese Acad Sci, Coll Resources &amp; Environm, Beijing 100049, Peoples R China</t>
  </si>
  <si>
    <t xml:space="preserve">Ding, FY (corresponding author), Chinese Acad Sci, Inst Geog Sci &amp; Nat Resources Res, State Key Lab Resources &amp; Environm Informat Syst, Beijing 100101, Peoples R China.</t>
  </si>
  <si>
    <t xml:space="preserve">jiangd@igsnrr.ac.cn; haomm.16b@igsnrr.ac.cn; dingfy.17b@igsnrr.ac.cn; fujy@igsnrr.ac.cn; lim.17b@igsnrr.ac.cn</t>
  </si>
  <si>
    <t xml:space="preserve">We thank Qiaoling Zhu for providing the valuable suggestions. This research was supported and funded by the Ministry of Science and Technology of China (2016YFC1201300).</t>
  </si>
  <si>
    <t xml:space="preserve">10.1016/j.actatropica.2018.06.021</t>
  </si>
  <si>
    <t xml:space="preserve">GO6ED</t>
  </si>
  <si>
    <t xml:space="preserve">WOS:000440126000054</t>
  </si>
  <si>
    <t xml:space="preserve">Scavuzzo, JM; Trucco, F; Espinosa, M; Tauro, CB; Abril, M; Scavuzzo, CM; Frery, AC</t>
  </si>
  <si>
    <t xml:space="preserve">Scavuzzo, Juan M.; Trucco, Francisco; Espinosa, Manuel; Tauro, Carolina B.; Abril, Marcelo; Scavuzzo, Carlos M.; Frery, Alejandro C.</t>
  </si>
  <si>
    <t xml:space="preserve">Modeling Dengue vector population using remotely sensed data and machine learning</t>
  </si>
  <si>
    <t xml:space="preserve">Mosquitoes are vectors of many human diseases. In particular, Aedes cegypti (Linnaeus) is the main vector for Chikungunya, Dengue, and Zika viruses in Latin America and it represents a global threat. Public health policies that aim at combating this vector require dependable and timely information, which is usually expensive to obtain with field campaigns. For this reason, several efforts have been done to use remote sensing due to its reduced cost. The present work includes the temporal modeling of the oviposition activity (measured weekly on 50 ovitraps in a north Argentinean city) of Aedes cegypti (Linnaeus), based on time series of data extracted from operational earth observation satellite images. We use are NDVI, NDWI, LST night, LST day and TRMM-GPM rain from 2012 to 2016 as predictive variables. In contrast to previous works which use linear models, we employ Machine Learning techniques using completely accessible open source toolkits. These models have the advantages of being non-parametric and capable of describing nonlinear relationships between variables. Specifically, in addition to two linear approaches, we assess a support vector machine, an artificial neural networks, a K-nearest neighbors and a decision tree regressor. Considerations are made on parameter tuning and the validation and training approach. The results are compared to linear models used in previous works with similar data sets for generating temporal predictive models. These new tools perform better than linear approaches, in particular nearest neighbor regression (KNNR) performs the best. These results provide better alternatives to be implemented operatively on the Argentine geospatial risk system that is running since 2012.</t>
  </si>
  <si>
    <t xml:space="preserve">Argentina, Brazil</t>
  </si>
  <si>
    <t xml:space="preserve">ELSEVIER SCIENCE BV</t>
  </si>
  <si>
    <t xml:space="preserve">Remote sensing; Time series; Machine learning; Dengue population; Aedes irgypti (Linnaeus)</t>
  </si>
  <si>
    <t xml:space="preserve">DIFFERENCE WATER INDEX; AEDES-AEGYPTI; NEURAL-NETWORKS; IMAGE CLASSIFICATION; CORDOBA CITY; EPIDEMIOLOGY; DYNAMICS; OUTBREAK; VALIDATION; PREDICTION</t>
  </si>
  <si>
    <t xml:space="preserve">[Scavuzzo, Juan M.; Trucco, Francisco] Univ Nacl Cordoba, Fac Maremat Atron Fis &amp; Comp, Cordoba, Argentina; [Tauro, Carolina B.; Scavuzzo, Carlos M.] Univ Nacl Cordoba, Comis Nacl Actividades Espaciales, Inst Altos Estudios Espaciales Mario Gulich, Cordoba, Argentina; [Espinosa, Manuel; Abril, Marcelo] Fdn Mundo Sano, Buenos Aires, DF, Argentina; [Frery, Alejandro C.] Univ Fed Alagoas, Maceio, Brazil</t>
  </si>
  <si>
    <t xml:space="preserve">National University of Cordoba; National University of Cordoba; Universidade Federal de Alagoas</t>
  </si>
  <si>
    <t xml:space="preserve">Scavuzzo, CM (corresponding author), Univ Nacl Cordoba, Comis Nacl Actividades Espaciales, Inst Altos Estudios Espaciales Mario Gulich, Cordoba, Argentina.</t>
  </si>
  <si>
    <t xml:space="preserve">scavuzzocm@gmail.com</t>
  </si>
  <si>
    <t xml:space="preserve">scavuzzo, carlos/M-9829-2015; Frery, Alejandro/A-8855-2008</t>
  </si>
  <si>
    <t xml:space="preserve">carlos marcelo, scavuzzo/0000-0003-0905-6361</t>
  </si>
  <si>
    <t xml:space="preserve">PO BOX 211, 1000 AE AMSTERDAM, NETHERLANDS</t>
  </si>
  <si>
    <t xml:space="preserve">10.1016/j.actatropica.2018.05.003</t>
  </si>
  <si>
    <t xml:space="preserve">WOS:000440126000023</t>
  </si>
  <si>
    <t xml:space="preserve">Zhang, YB; Koydemir, HC; Shimogawa, MM; Yalcin, S; Guziak, A; Liu, TR; Oguz, I; Huang, YJ; Bai, BJ; Luo, YL; Luo, Y; Wei, ZS; Wang, HD; Bianco, V; Zhang, BH; Nadkarni, R; Hill, K; Ozcan, A</t>
  </si>
  <si>
    <t xml:space="preserve">Zhang, Yibo; Koydemir, Hatice Ceylan; Shimogawa, Michelle M.; Yalcin, Sener; Guziak, Alexander; Liu, Tairan; Oguz, Ilker; Huang, Yujia; Bai, Bijie; Luo, Yilin; Luo, Yi; Wei, Zhensong; Wang, Hongda; Bianco, Vittorio; Zhang, Bohan; Nadkarni, Rohan; Hill, Kent; Ozcan, Aydogan</t>
  </si>
  <si>
    <t xml:space="preserve">Motility-based label-free detection of parasites in bodily fluids using holographic speckle analysis and deep learning</t>
  </si>
  <si>
    <t xml:space="preserve">Parasitic infections constitute a major global public health issue. Existing screening methods that are based on manual microscopic examination often struggle to provide sufficient volumetric throughput and sensitivity to facilitate early diagnosis. Here, we demonstrate a motility-based label-free computational imaging platform to rapidly detect motile parasites in optically dense bodily fluids by utilizing the locomotion of the parasites as a specific biomarker and endogenous contrast mechanism. Based on this principle, a cost-effective and mobile instrument, which rapidly screens similar to 3.2 mL of fluid sample in three dimensions, was built to automatically detect and count motile microorganisms using their holographic time-lapse speckle patterns. We demonstrate the capabilities of our platform by detecting trypanosomes, which are motile protozoan parasites, with various species that cause deadly diseases affecting millions of people worldwide. Using a holographic speckle analysis algorithm combined with deep learningbased classification, we demonstrate sensitive and label-free detection of trypanosomes within spiked whole blood and artificial cerebrospinal fluid (CSF) samples, achieving a limit of detection of ten trypanosomes per mL of whole blood (similar to five-fold better than the current state-of-the-art parasitological method) and three trypanosomes per mL of CSF. We further demonstrate that this platform can be applied to detect other motile parasites by imaging Trichomonas vaginalis, the causative agent of trichomoniasis, which affects 275 million people worldwide. With its costeffective, portable design and rapid screening time, this unique platform has the potential to be applied for sensitive and timely diagnosis of neglected tropical diseases caused by motile parasites and other parasitic infections in resource-limited regions.</t>
  </si>
  <si>
    <t xml:space="preserve">LIGHT-SCIENCE &amp; APPLICATIONS</t>
  </si>
  <si>
    <t xml:space="preserve">TRYPANOSOMA-CRUZI; TRICHOMONAS-VAGINALIS; CHAGAS-DISEASE; DIAGNOSIS; SENSITIVITY; INFECTIONS; VIRULENCE; BLOOD</t>
  </si>
  <si>
    <t xml:space="preserve">[Zhang, Yibo; Koydemir, Hatice Ceylan; Yalcin, Sener; Liu, Tairan; Oguz, Ilker; Huang, Yujia; Bai, Bijie; Luo, Yilin; Luo, Yi; Wei, Zhensong; Wang, Hongda; Bianco, Vittorio; Zhang, Bohan; Ozcan, Aydogan] Univ Calif Los Angeles, Elect &amp; Comp Engn Dept, Los Angeles, CA 90095 USA; [Zhang, Yibo; Koydemir, Hatice Ceylan; Liu, Tairan; Luo, Yi; Wang, Hongda; Nadkarni, Rohan; Ozcan, Aydogan] Univ Calif Los Angeles, Dept Bioengn, Los Angeles, CA 90095 USA; [Zhang, Yibo; Koydemir, Hatice Ceylan; Liu, Tairan; Luo, Yi; Wang, Hongda; Hill, Kent; Ozcan, Aydogan] Univ Calif Los Angeles, Calif NanoSyst Inst, Los Angeles, CA 90095 USA; [Shimogawa, Michelle M.; Hill, Kent] Univ Calif Los Angeles, Dept Microbiol Immunol &amp; Mol Genet, Los Angeles, CA 90095 USA; [Guziak, Alexander] Univ Calif Los Angeles, Dept Phys &amp; Astron, Los Angeles, CA 90095 USA; [Hill, Kent] Univ Calif Los Angeles, Mol Biol Inst, Los Angeles, CA 90095 USA; [Ozcan, Aydogan] Univ Calif Los Angeles, David Geffen Sch Med, Dept Surg, Los Angeles, CA 90095 USA</t>
  </si>
  <si>
    <t xml:space="preserve">University of California System; University of California Los Angeles; University of California System; University of California Los Angeles; University of California System; University of California Los Angeles; University of California System; University of California Los Angeles; University of California System; University of California Los Angeles; University of California System; University of California Los Angeles; University of California System; University of California Los Angeles; University of California Los Angeles Medical Center; David Geffen School of Medicine at UCLA</t>
  </si>
  <si>
    <t xml:space="preserve">Ozcan, A (corresponding author), Univ Calif Los Angeles, Elect &amp; Comp Engn Dept, Los Angeles, CA 90095 USA.;Ozcan, A (corresponding author), Univ Calif Los Angeles, Dept Bioengn, Los Angeles, CA 90095 USA.;Ozcan, A (corresponding author), Univ Calif Los Angeles, Calif NanoSyst Inst, Los Angeles, CA 90095 USA.;Ozcan, A (corresponding author), Univ Calif Los Angeles, David Geffen Sch Med, Dept Surg, Los Angeles, CA 90095 USA.</t>
  </si>
  <si>
    <t xml:space="preserve">ozcan@ucla.edu</t>
  </si>
  <si>
    <r>
      <rPr>
        <sz val="11"/>
        <color theme="1"/>
        <rFont val="Aptos Narrow"/>
        <family val="0"/>
        <charset val="1"/>
      </rPr>
      <t xml:space="preserve">Yalcin Kuzu, Serpil/ABI-2571-2020; Liu, Tairan/ACK-0792-2022; Bianco, Vittorio/AAX-5440-2020; Luo, Yilin/IZE-6907-2023; Koydemir, Hatice/O-2866-2014; </t>
    </r>
    <r>
      <rPr>
        <sz val="11"/>
        <color theme="1"/>
        <rFont val="PingFang SC"/>
        <family val="0"/>
        <charset val="1"/>
      </rPr>
      <t xml:space="preserve">张</t>
    </r>
    <r>
      <rPr>
        <sz val="11"/>
        <color theme="1"/>
        <rFont val="Aptos Narrow"/>
        <family val="0"/>
        <charset val="1"/>
      </rPr>
      <t xml:space="preserve">, </t>
    </r>
    <r>
      <rPr>
        <sz val="11"/>
        <color theme="1"/>
        <rFont val="PingFang SC"/>
        <family val="0"/>
        <charset val="1"/>
      </rPr>
      <t xml:space="preserve">博涵</t>
    </r>
    <r>
      <rPr>
        <sz val="11"/>
        <color theme="1"/>
        <rFont val="Aptos Narrow"/>
        <family val="0"/>
        <charset val="1"/>
      </rPr>
      <t xml:space="preserve">/GRS-9128-2022; Luo, Yi/AAP-2859-2021; Wang, Hongda/ABE-8338-2020; Ozcan, Aydogan/I-2608-2013</t>
    </r>
  </si>
  <si>
    <t xml:space="preserve">Shimogawa, Michelle/0000-0001-6359-6006; Ozcan, Aydogan/0000-0002-0717-683X; Luo, Yilin/0000-0002-4611-3049; Ceylan Koydemir, Hatice/0000-0002-8612-5167; Oguz, Ilker/0000-0003-2674-684X</t>
  </si>
  <si>
    <t xml:space="preserve">NSF Engineering Research Center (ERC, PATHS-UP); ARO Life Sciences Division; Howard Hughes Medical Institute (HHMI); US National Institutes of Health (NIH) [AI052348]; National Institute of Allergy and Infectious Diseases [R01AI052348] Funding Source: NIH RePORTER</t>
  </si>
  <si>
    <t xml:space="preserve">NSF Engineering Research Center (ERC, PATHS-UP); ARO Life Sciences Division; Howard Hughes Medical Institute (HHMI)(Howard Hughes Medical Institute); US National Institutes of Health (NIH)(United States Department of Health &amp; Human ServicesNational Institutes of Health (NIH) - USA); National Institute of Allergy and Infectious Diseases(United States Department of Health &amp; Human ServicesNational Institutes of Health (NIH) - USANIH National Institute of Allergy &amp; Infectious Diseases (NIAID))</t>
  </si>
  <si>
    <t xml:space="preserve">The Ozcan Research Group at UCLA acknowledges the support of the NSF Engineering Research Center (ERC, PATHS-UP), the ARO Life Sciences Division and the Howard Hughes Medical Institute (HHMI). K.H. is supported by the US National Institutes of Health (NIH) grant AI052348. We are grateful to Dr. Sharon Baumel-Alterzon and Dr. Patricia J. Johnson at UCLA's Molecular Biology and Genetics Department for providing T. vaginalis samples. We also thank Yichen Wu, Sabiha Tok, and Alborz Feizi for their help with our experiments.</t>
  </si>
  <si>
    <t xml:space="preserve">2095-5545</t>
  </si>
  <si>
    <t xml:space="preserve">2047-7538</t>
  </si>
  <si>
    <t xml:space="preserve">LIGHT-SCI APPL</t>
  </si>
  <si>
    <t xml:space="preserve">Light-Sci. Appl.</t>
  </si>
  <si>
    <t xml:space="preserve">DEC 12</t>
  </si>
  <si>
    <t xml:space="preserve">10.1038/s41377-018-0110-1</t>
  </si>
  <si>
    <t xml:space="preserve">HD9YF</t>
  </si>
  <si>
    <t xml:space="preserve">WOS:000452920800005</t>
  </si>
  <si>
    <t xml:space="preserve">Sturrock, HJW; Woolheater, K; Bennett, AF; Andrade-Pacheco, R; Midekisa, A</t>
  </si>
  <si>
    <t xml:space="preserve">Sturrock, Hugh J. W.; Woolheater, Katelyn; Bennett, Adam F.; Andrade-Pacheco, Ricardo; Midekisa, Alemayehu</t>
  </si>
  <si>
    <t xml:space="preserve">Predicting residential structures from open source remotely enumerated data using machine learning</t>
  </si>
  <si>
    <t xml:space="preserve">Having accurate maps depicting the locations of residential buildings across a region benefits a range of sectors. This is particularly true for public health programs focused on delivering services at the household level, such as indoor residual spraying with insecticide to help prevent malaria. While open source data from OpenStreetMap (OSM) depicting the locations and shapes of buildings is rapidly improving in terms of quality and completeness globally, even in settings where all buildings have been mapped, information on whether these buildings are residential, commercial or another type is often only available for a small subset. Using OSM building data from Botswana and Swaziland, we identified buildings for which 'type' was indicated, generated via on the ground observations, and classified these into two classes, sprayable and not-sprayable. Ensemble machine learning, using building characteristics such as size, shape and proximity to neighbouring features, was then used to form a model to predict which of these 2 classes every building in these two countries fell into. Results show that an ensemble machine learning approach performed marginally, but statistically, better than the best individual model and that using this ensemble model we were able to correctly classify &gt;86% (using independent test data) of structures correctly as sprayable and not-sprayable across both countries.</t>
  </si>
  <si>
    <t xml:space="preserve">Botswana, Swaziland</t>
  </si>
  <si>
    <t xml:space="preserve">BUILDING TYPE; CLASSIFICATION; ENSEMBLE</t>
  </si>
  <si>
    <t xml:space="preserve">[Sturrock, Hugh J. W.; Bennett, Adam F.; Andrade-Pacheco, Ricardo; Midekisa, Alemayehu] Univ Calif San Francisco, Global Hlth Grp, San Francisco, CA 94143 USA; [Woolheater, Katelyn] Clinton Hlth Access Initiat, Boston, MA USA</t>
  </si>
  <si>
    <t xml:space="preserve">University of California System; University of California San Francisco</t>
  </si>
  <si>
    <t xml:space="preserve">Sturrock, HJW (corresponding author), Univ Calif San Francisco, Global Hlth Grp, San Francisco, CA 94143 USA.</t>
  </si>
  <si>
    <t xml:space="preserve">hugh.sturrock@ucsf.edu</t>
  </si>
  <si>
    <t xml:space="preserve">Sturrock, Hugh/0000-0002-0029-3101; Midekisa, Alemayehu/0000-0003-2558-6952</t>
  </si>
  <si>
    <t xml:space="preserve">Bill and Melinda Gates Foundation [OPP1132900, OPP1089413, OPP1116450, OPP1158299]; Bill and Melinda Gates Foundation [OPP1158299, OPP1116450, OPP1132900, OPP1089413] Funding Source: Bill and Melinda Gates Foundation</t>
  </si>
  <si>
    <t xml:space="preserve">Bill and Melinda Gates Foundation(Bill &amp; Melinda Gates Foundation); Bill and Melinda Gates Foundation(Bill &amp; Melinda Gates Foundation)</t>
  </si>
  <si>
    <t xml:space="preserve">This work was funded by grants from the Bill and Melinda Gates Foundation, Numbers OPP1132900, OPP1089413, OPP1116450 and OPP1158299 (https://www.gatesfoundation.org) to HJWS, KW, AFB, RAP and AM. The funder had no role in study design, data collection and analysis, decision to publish, or preparation of the manuscript.HJWS, KW, AFB, RAP and AM are funded by grants from the Bill and Melinda Gates Foundation (Numbers OPP1132900, OPP1089413, OPP1116450 and OPP1158299).</t>
  </si>
  <si>
    <t xml:space="preserve">e0204399</t>
  </si>
  <si>
    <t xml:space="preserve">10.1371/journal.pone.0204399</t>
  </si>
  <si>
    <t xml:space="preserve">GU5MM</t>
  </si>
  <si>
    <t xml:space="preserve">WOS:000445329700046</t>
  </si>
  <si>
    <t xml:space="preserve">Joao, EAC; Ferreira, OD; Gouvêa, MI; Teixeira, MDB; Tanuri, A; Higa, LM; Costa, DA; Mohana-Borges, R; Arruda, MB; Matos, HJ; Cruz, ML; Mendes-Silva, W; Read, JS</t>
  </si>
  <si>
    <t xml:space="preserve">Joao, Esau A. C.; Ferreira, Orlando da C., Jr.; Gouvea, Maria Isabel; Teixeira, Maria de Lourdes B.; Tanuri, Amilcar; Higa, Luiza M.; Costa, Deise A.; Mohana-Borges, Ronaldo; Arruda, Monica B.; Matos, Haroldo J.; Cruz, Maria Leticia; Mendes-Silva, Wallace; Read, Jennifer S.</t>
  </si>
  <si>
    <t xml:space="preserve">Pregnant women co-infected with HIV and Zika: Outcomes and birth defects in infants according to maternal symptomatology</t>
  </si>
  <si>
    <t xml:space="preserve">Background Zika virus (ZIKV) was first isolated in Uganda in 1947. In Brazil, the first reported case of ZIKV infection was in May 2015. Additionally, dengue (DENV) is endemic and there has been a recent outbreak of chikungunya (CHIKV). Since the clinical manifestations of different arboviral infections (AI) can be similar, definitive diagnosis requires laboratory testing. Objectives To determine the prevalence of ZIKV, DENV, and CHIKV infections in a Brazilian cohort of HIV-infected pregnant women, to assess clinical/immunological characteristics and pregnancy outcomes of women with evidence of recent AI. Study design Laboratory diagnosis of ZIKV, DENV and CHIKV infections utilized serological assays, RT-PCR and PRNT. The tests were performed at the first visit, 34-36 weeks of gestation and at any time if a woman had symptoms suggestive of AI. Mann-Whitney tests were used for comparison of medians, Chi-square or Fisher's to compare proportions; p&lt;0.05 was considered statistically significant. Poisson regression was used to analyze risk factors for central nervous system (CNS) malformations in the infant according to maternal symptomatology. Results Of 219 HIV-infected pregnant women enrolled, 92% were DENV IgG+; 47(22%) had laboratory evidence of recent AI. Of these, 34 (72%) were ZIKV+, nine (19%) CHIKV+, and two (4%) DENV+. Symptoms consistent with AI were observed in 23 (10%) women, of whom 10 (43%) were ZIKV+, eight (35%) CHIKV+. No CNS abnormalities were observed among infants of DENV+ or CHIKV+ women; four infants with CNS abnormalities were born to ZIKV+ women (three symptomatic). Infants born to ZIKV+ women had a higher risk of CNS malformations if the mother was symptomatic (RR = 7.20), albeit not statistically significant (p = 0.066). Conclusions Among HIV-infected pregnant women with laboratory evidence of a recent AI, 72% were ZIKV-infected. In this cohort, CNS malformations occurred among infants born to both symptomatic and asymptomatic pregnant women with Zika infection.</t>
  </si>
  <si>
    <t xml:space="preserve">Brazil, United States of America</t>
  </si>
  <si>
    <t xml:space="preserve">HIV and Zika</t>
  </si>
  <si>
    <t xml:space="preserve">RIO-DE-JANEIRO; VIRUS-INFECTION; BRAZIL</t>
  </si>
  <si>
    <t xml:space="preserve">[Joao, Esau A. C.; Gouvea, Maria Isabel; Teixeira, Maria de Lourdes B.; Cruz, Maria Leticia] Hosp Fed Servidores Estado, Dept Infect Dis, Rio De Janeiro, RJ, Brazil; [Ferreira, Orlando da C., Jr.; Tanuri, Amilcar; Higa, Luiza M.; Arruda, Monica B.] Univ Fed Rio de Janeiro, Inst Biol, Dept Genet, Lab Biol Mol, Rio De Janeiro, RJ, Brazil; [Gouvea, Maria Isabel; Teixeira, Maria de Lourdes B.] Fundacao Oswaldo Cruz, Inst Nacl Infectol Evandro Chagas, Rio De Janeiro, RJ, Brazil; [Costa, Deise A.; Mohana-Borges, Ronaldo] Univ Fed Rio de Janeiro, Inst Biofis Carlos Chagas Filho, Lab Genom Estrutural, Rio De Janeiro, RJ, Brazil; [Matos, Haroldo J.] Inst Evandro Chagas, Dept Epidemiol, Belem, Para, Brazil; [Mendes-Silva, Wallace] Hosp Fed Servidores Estado, Maternal Fetal Unit, Rio De Janeiro, RJ, Brazil; [Read, Jennifer S.] Univ Calif San Francisco, Dept Epidemiol &amp; Biostat, San Francisco, CA 94143 USA</t>
  </si>
  <si>
    <t xml:space="preserve">Universidade Federal do Rio de Janeiro; Fundacao Oswaldo Cruz; Universidade Federal do Rio de Janeiro; Instituto Evandro Chagas; University of California System; University of California San Francisco</t>
  </si>
  <si>
    <t xml:space="preserve">Joao, EAC (corresponding author), Hosp Fed Servidores Estado, Dept Infect Dis, Rio De Janeiro, RJ, Brazil.</t>
  </si>
  <si>
    <t xml:space="preserve">esaujoao@gmail.com</t>
  </si>
  <si>
    <t xml:space="preserve">Cruz, Maria/Y-5632-2019; Higa, Luiza/W-2698-2019; Tanuri, Amilcar/AAM-8601-2021; Borges, Ronaldo/C-5575-2013</t>
  </si>
  <si>
    <t xml:space="preserve">Joao, Esau/0000-0002-2412-0627; Mendes da Silva, Wallace/0000-0002-5195-4061; /0000-0002-6896-0089</t>
  </si>
  <si>
    <t xml:space="preserve">JUL 6</t>
  </si>
  <si>
    <t xml:space="preserve">e0200168</t>
  </si>
  <si>
    <t xml:space="preserve">10.1371/journal.pone.0200168</t>
  </si>
  <si>
    <t xml:space="preserve">GM1FJ</t>
  </si>
  <si>
    <t xml:space="preserve">WOS:000437809500071</t>
  </si>
  <si>
    <t xml:space="preserve">Rajaraman, S; Antani, SK; Poostchi, M; Silamut, K; Hossain, MA; Maude, RJ; Jaeger, S; Thoma, GR</t>
  </si>
  <si>
    <t xml:space="preserve">Rajaraman, Sivaramakrishnan; Antani, Sameer K.; Poostchi, Mahdieh; Silamut, Kamolrat; Hossain, Md. A.; Maude, Richard J.; Jaeger, Stefan; Thoma, George R.</t>
  </si>
  <si>
    <t xml:space="preserve">Pre-trained convolutional neural networks as feature extractors toward improved malaria parasite detection in thin blood smear images</t>
  </si>
  <si>
    <t xml:space="preserve">Malaria is a blood disease caused by the Plasmodium parasites transmitted through the bite of female Anopheles mosquito. Microscopists commonly examine thick and thin blood smears to diagnose disease and compute parasitemia. However, their accuracy depends on smear quality and expertise in classifying and counting parasitized and uninfected cells. Such an examination could be arduous for large-scale diagnoses resulting in poor quality. State-of-the-art image-analysis based computer-aided diagnosis (CADx) methods using machine learning (ML) techniques, applied to microscopic images of the smears using hand-engineered features demand expertise in analyzing morphological, textural, and positional variations of the region of interest (ROI). In contrast, Convolutional Neural Networks (CNN), a class of deep learning (DL) models promise highly scalable and superior results with end-to-end feature extraction and classification. Automated malaria screening using DL techniques could, therefore, serve as an effective diagnostic aid. In this study, we evaluate the performance of pre-trained CNN based DL models as feature extractors toward classifying parasitized and uninfected cells to aid in improved disease screening. We experimentally determine the optimal model layers for feature extraction from the underlying data. Statistical validation of the results demonstrates the use of pre-trained CNNs as a promising tool for feature extraction for this purpose.</t>
  </si>
  <si>
    <t xml:space="preserve">United States of America, Thailand, Bangladesh, United Kingdom</t>
  </si>
  <si>
    <t xml:space="preserve"> Convolutional Neural Networks (CNN)</t>
  </si>
  <si>
    <t xml:space="preserve">Deep Learning; Convolutional Neural Networks; Machine Learning; Malaria; Blood smear; Pre-trained models; Feature extraction; Screening; Computer-aided diagnosis</t>
  </si>
  <si>
    <t xml:space="preserve">[Rajaraman, Sivaramakrishnan; Antani, Sameer K.; Poostchi, Mahdieh; Jaeger, Stefan; Thoma, George R.] Natl Lib Med, Lister Hill Natl Ctr Biomed Commun, Bethesda, MD 20894 USA; [Silamut, Kamolrat; Maude, Richard J.] Mahidol Univ, Mahidol Oxford Trop Med Res Unit, Bangkok, Thailand; [Hossain, Md. A.] Chittagong Med Hosp, Dept Med, Chittagong, Bangladesh; [Maude, Richard J.] Univ Oxford, Ctr Trop Med &amp; Global Hlth, Nuffield Dept Med, Oxford, England; [Maude, Richard J.] Harvard Univ, Harvard TH Chan Sch Publ Hlth, Boston, MA 02115 USA</t>
  </si>
  <si>
    <t xml:space="preserve">National Institutes of Health (NIH) - USA; NIH National Library of Medicine (NLM); Mahidol University; Mahidol Oxford Tropical Medicine Research Unit (MORU); Chittagong Medical College; University of Oxford; Harvard University; Harvard T.H. Chan School of Public Health</t>
  </si>
  <si>
    <t xml:space="preserve">Rajaraman, S (corresponding author), Natl Lib Med, Lister Hill Natl Ctr Biomed Commun, Bethesda, MD 20894 USA.</t>
  </si>
  <si>
    <t xml:space="preserve">Maude, Richard/AAV-3567-2020; Rajaraman, Sivaramakrishnan/D-3727-2017; Antani, Sameer/GVS-8371-2022</t>
  </si>
  <si>
    <t xml:space="preserve">Rajaraman, Sivaramakrishnan/0000-0003-0871-8634; Antani, Sameer/0000-0002-0040-1387; Maude, Richard/0000-0002-5355-0562</t>
  </si>
  <si>
    <t xml:space="preserve">Intramural Research Program of the National Library of Medicine (NLM); National Institutes of Health (NIH); Lister Hill National Center for Biomedical Communications (LHNCBC); Wellcome Trust of Great Britain</t>
  </si>
  <si>
    <t xml:space="preserve">Intramural Research Program of the National Library of Medicine (NLM); National Institutes of Health (NIH)(United States Department of Health &amp; Human ServicesNational Institutes of Health (NIH) - USA); Lister Hill National Center for Biomedical Communications (LHNCBC); Wellcome Trust of Great Britain(Wellcome Trust)</t>
  </si>
  <si>
    <t xml:space="preserve">This work was supported in part by the Intramural Research Program of the National Library of Medicine (NLM), National Institutes of Health (NIH) and the Lister Hill National Center for Biomedical Communications (LHNCBC). The NIH dictated study design, data collection/analysis, decision to publish and/or preparation of the manuscript. The Mahidol-Oxford Tropical Medicine Research Unit is funded by the Wellcome Trust of Great Britain. The Wellcome Trust of Great Britain had no role in study design, data collection and analysis, decision to publish, or preparation of the manuscript.</t>
  </si>
  <si>
    <t xml:space="preserve">e4568</t>
  </si>
  <si>
    <t xml:space="preserve">10.7717/peerj.4568</t>
  </si>
  <si>
    <t xml:space="preserve">GD2BW</t>
  </si>
  <si>
    <t xml:space="preserve">WOS:000430306100002</t>
  </si>
  <si>
    <t xml:space="preserve">Phillips, AE; Gazzinelli-Guimaraes, PH; Aurelio, HO; Dhanani, N; Ferro, J; Nala, R; Deol, A; Fenwick, A</t>
  </si>
  <si>
    <t xml:space="preserve">Phillips, Anna E.; Gazzinelli-Guimaraes, Pedro H.; Aurelio, Herminio O.; Dhanani, Neerav; Ferro, Josefo; Nala, Rassul; Deol, Arminder; Fenwick, Alan</t>
  </si>
  <si>
    <t xml:space="preserve">Urogenital schistosomiasis in Cabo Delgado, northern Mozambique: baseline findings from the SCORE study</t>
  </si>
  <si>
    <t xml:space="preserve">Background: The results presented here are part of a five-year cluster-randomised intervention trial that was implemented to understand how best to gain and sustain control of schistosomiasis through different preventive chemotherapy strategies. This paper presents baseline data that were collected in ten districts of Cabo Delgado province, northern Mozambique, before treatment. Methods: A cross-sectional study of 19,039 individuals was sampled from 144 villages from May to September 2011. In each village prevalence and intensity of S. haematobium were investigated in 100 children first-year students (aged 5-8 years), 100 school children aged 9-12 years (from classes 2 to 7) and 50 adults (20-55 years). Prevalence and intensity of S. haematobium infection were evaluated microscopically by two filtrations, each of 10 ml, from a single urine specimen. Given that individual and community perceptions of schistosomiasis influence control efforts, community knowledge and environmental risk factors were collected using a face-to-face interview. Data were entered onto mobile phones using EpiCollect. Data summary was made using descriptive statistics. Chi-square and logistic regression were used to determine the association between dependent and independent variables. Results: The overall prevalence of urogenital schistosomiasis was 60.4% with an arithmetic mean intensity of infection of 55.8 eggs/10 ml of urine. Heavy infections were detected in 17.7%, of which 235 individuals (6.97%) had an egg count of 1000 eggs/10 ml or more. There was a significantly higher likelihood of males being infected than females across all ages (62% vs 58%; P &lt; 0.0005). Adolescents aged 9-12 years had a higher prevalence (66.6%) and mean infection intensity (71.9 eggs/10 ml) than first-year students (63.1%; 58.2 eggs/10 ml). This is the first study in Mozambique looking at infection rates among adults. Although children had higher levels of infection, it was found here that adults had a high average prevalence and intensity of infection (44.5%; 23.9 eggs/10 ml). Awareness of schistosomiasis was relatively high (68.6%); however, correct knowledge of how schistosomiasis is acquired was low (23.2%) among those who had heard of the disease. Schistosomiasis risk behaviour such as washing (91.3%) and bathing (86.7%) in open water sources likely to be infested with host snails was high. Conclusions: Urogenital schistosomiasis is widespread in Cabo Delgado. In addition, poor community knowledge about the causes of schistosomiasis and how to prevent it increases the significant public health challenge for the national control program. This was the first study in Mozambique that examined infection levels among adults, where results showed that S. haematobium infection was also extremely high. Given that this controlled trial aims to understand the impact of different combinations of schistosomiasis control through treatment of communities, schools, and treatment holidays over a five-year period, these findings highlight the importance of examining the impact of different treatment approaches also in adults.</t>
  </si>
  <si>
    <t xml:space="preserve">UK, Mozambique</t>
  </si>
  <si>
    <t xml:space="preserve">Schistosomiasis; Schistosoma haematobium; School-based treatment; Community-wide treatment; Mozambique</t>
  </si>
  <si>
    <t xml:space="preserve">HAEMATOBIUM INFECTION; URINARY SCHISTOSOMIASIS; RISK-FACTORS; SCHOOLCHILDREN; AGE; EPIDEMIOLOGY; PERFORMANCE; PREVALENCE; PATTERNS; DISEASES</t>
  </si>
  <si>
    <t xml:space="preserve">[Phillips, Anna E.; Gazzinelli-Guimaraes, Pedro H.; Aurelio, Herminio O.; Dhanani, Neerav; Deol, Arminder; Fenwick, Alan] Imperial Coll London, Schistosomiasis Control Initiat, Dept Infect Dis Epidemiol, London W2 1PG, England; [Aurelio, Herminio O.; Ferro, Josefo] UCM, Fac Hlth Sci, Beira, Mozambique; [Nala, Rassul] Minist Saude, Maputo, Mozambique</t>
  </si>
  <si>
    <t xml:space="preserve">Imperial College London</t>
  </si>
  <si>
    <t xml:space="preserve">Phillips, AE (corresponding author), Imperial Coll London, Schistosomiasis Control Initiat, Dept Infect Dis Epidemiol, London W2 1PG, England.</t>
  </si>
  <si>
    <t xml:space="preserve">a.phillips05@imperial.ac.uk</t>
  </si>
  <si>
    <t xml:space="preserve">Gazzinelli-Guimarães, Pedro/E-7693-2013</t>
  </si>
  <si>
    <t xml:space="preserve">Deol, Arminder/0000-0002-7154-5505</t>
  </si>
  <si>
    <t xml:space="preserve">Bill &amp; Melinda Gates Foundation through the Schistosomiasis Consortium for Operational Research and Evaluation (SCORE) based at the University of Georgia in Athens, United States of America [RR3/4-053/4893196]</t>
  </si>
  <si>
    <t xml:space="preserve">Bill &amp; Melinda Gates Foundation through the Schistosomiasis Consortium for Operational Research and Evaluation (SCORE) based at the University of Georgia in Athens, United States of America</t>
  </si>
  <si>
    <t xml:space="preserve">This research was financially supported by the Bill &amp; Melinda Gates Foundation through the Schistosomiasis Consortium for Operational Research and Evaluation (SCORE) based at the University of Georgia in Athens, United States of America, Grant RR3/4-053/4893196. Praziquantel tablets for schistosomiasis treatment are donated by the Schistosomiasis Control Initiative (SCI) based at Imperial College London, United Kingdom.</t>
  </si>
  <si>
    <t xml:space="preserve">JAN 10</t>
  </si>
  <si>
    <t xml:space="preserve">10.1186/s13071-017-2592-8</t>
  </si>
  <si>
    <t xml:space="preserve">FS3MP</t>
  </si>
  <si>
    <t xml:space="preserve">WOS:000419686300001</t>
  </si>
  <si>
    <t xml:space="preserve">De Moraes, CM; Wanjiku, C; Stanczyk, NM; Pulido, H; Sims, JW; Betz, HS; Read, AF; Torto, B; Mescher, MC</t>
  </si>
  <si>
    <t xml:space="preserve">De Moraes, Consuelo M.; Wanjiku, Caroline; Stanczyk, Nina M.; Pulido, Hannier; Sims, James W.; Betz, Heike S.; Read, Andrew F.; Torto, Baldwyn; Mescher, Mark C.</t>
  </si>
  <si>
    <t xml:space="preserve">Volatile biomarkers of symptomatic and asymptomatic malaria infection in humans</t>
  </si>
  <si>
    <t xml:space="preserve">Malaria remains among the world's deadliest diseases, and control efforts depend critically on the availability of effective diagnostic tools, particularly for the identification of asymptomatic infections, which play a key role in disease persistence and may account for most instances of transmission but often evade detection by current screening methods. Research on humans and in animal models has shown that infection by malaria parasites elicits changes in host odors that influence vector attraction, suggesting that such changes might yield robust biomarkers of infection status. Here we present findings based on extensive collections of skin volatiles from human populations with high rates of malaria infection in Kenya. We report broad and consistent effects of malaria infection on human volatile profiles, as well as significant divergence in the effects of symptomatic and asymptomatic infections. Furthermore, predictive models based on machine learning algorithms reliably determined infection status based on volatile biomarkers. Critically, our models identified asymptomatic infections with 100% sensitivity, even in the case of low-level infections not detectable by microscopy, far exceeding the performance of currently available rapid diagnostic tests in this regard. We also identified a set of individual compounds that emerged as consistently important predictors of infection status. These findings suggest that volatile biomarkers may have significant potential for the development of a robust, noninvasive screening method for detecting malaria infections under field conditions.</t>
  </si>
  <si>
    <t xml:space="preserve">Switzerland, Kenya, United States</t>
  </si>
  <si>
    <t xml:space="preserve">malaria; disease biomarkers; diagnostics; volatiles; asymptomatic infection</t>
  </si>
  <si>
    <t xml:space="preserve">ANOPHELES-GAMBIAE; ORGANIC-COMPOUNDS; MOSQUITO; ATTRACTIVENESS; PARASITEMIA; ODORS; ARRAY</t>
  </si>
  <si>
    <t xml:space="preserve">[De Moraes, Consuelo M.; Stanczyk, Nina M.; Pulido, Hannier; Sims, James W.; Mescher, Mark C.] Swiss Fed Inst Technol, Dept Environm Syst Sci, CH-8092 Zurich, Switzerland; [Wanjiku, Caroline; Torto, Baldwyn] Int Ctr Insect Physiol &amp; Ecol, Behav &amp; Chem Ecol Unit, Nairobi, Kenya; [Betz, Heike S.; Read, Andrew F.] Penn State Univ, Dept Biol, University Pk, PA 16802 USA; [Read, Andrew F.] Penn State Univ, Dept Entomol, University Pk, PA 16802 USA</t>
  </si>
  <si>
    <t xml:space="preserve">Swiss Federal Institutes of Technology Domain; ETH Zurich; International Centre of Insect Physiology &amp; Ecology (ICIPE); Pennsylvania Commonwealth System of Higher Education (PCSHE); Pennsylvania State University; Pennsylvania State University - University Park; Pennsylvania Commonwealth System of Higher Education (PCSHE); Pennsylvania State University; Pennsylvania State University - University Park</t>
  </si>
  <si>
    <t xml:space="preserve">Mescher, MC (corresponding author), Swiss Fed Inst Technol, Dept Environm Syst Sci, CH-8092 Zurich, Switzerland.</t>
  </si>
  <si>
    <t xml:space="preserve">mescher@usys.ethz.ch</t>
  </si>
  <si>
    <t xml:space="preserve">; Read, Andrew/E-7298-2018</t>
  </si>
  <si>
    <t xml:space="preserve">De Moraes, Consuelo/0000-0001-6737-9842; Kung'u, Caroline Wanjiku/0000-0003-3861-4190; Mescher, Mark/0000-0002-7908-3309; Sims, James/0000-0003-3472-1642; Torto, Baldwyn/0000-0002-5080-9903; Read, Andrew/0000-0001-7604-7903</t>
  </si>
  <si>
    <t xml:space="preserve">Bill and Melinda Gates Foundation [OPP1060415]; David and Lucile Packard Foundation; ETH Zurich; Bill and Melinda Gates Foundation [OPP1060415] Funding Source: Bill and Melinda Gates Foundation</t>
  </si>
  <si>
    <t xml:space="preserve">Bill and Melinda Gates Foundation(Bill &amp; Melinda Gates Foundation); David and Lucile Packard Foundation(The David &amp; Lucile Packard Foundation); ETH Zurich(ETH Zurich); Bill and Melinda Gates Foundation(Bill &amp; Melinda Gates Foundation)</t>
  </si>
  <si>
    <t xml:space="preserve">We thank Patrick Sawa, Bob Odoyo, Dr. Jandouwe Villinger, Victorine Achieng, Robin Migiro, George Omweri, and Robinson Kisero at the International Centre of Insect Physiology and Ecology's Thomas Odhiambo campus in Mbita. Funding was provided by Bill and Melinda Gates Foundation Grant OPP1060415, the David and Lucile Packard Foundation, and ETH Zurich.</t>
  </si>
  <si>
    <t xml:space="preserve">MAY 29</t>
  </si>
  <si>
    <t xml:space="preserve">10.1073/pnas.1801512115</t>
  </si>
  <si>
    <t xml:space="preserve">GH3DX</t>
  </si>
  <si>
    <t xml:space="preserve">WOS:000433283700068</t>
  </si>
  <si>
    <t xml:space="preserve">Dakappa, PH; Prasad, K; Rao, SB; Bolumbu, G; Bhat, GK; Mahabala, C</t>
  </si>
  <si>
    <t xml:space="preserve">Dakappa, Pradeepa H.; Prasad, Keerthana; Rao, Sathish B.; Bolumbu, Ganaraja; Bhat, Gopalkrishna K.; Mahabala, Chakrapani</t>
  </si>
  <si>
    <t xml:space="preserve">A Predictive Model to Classify Undifferentiated Fever Cases Based on Twenty-Four-Hour Continuous Tympanic Temperature Recording</t>
  </si>
  <si>
    <t xml:space="preserve">Diagnosis of undifferentiated fever is a major challenging task to the physician which often remains undiagnosed and delays the treatment. The aim of the study was to record and analyze a 24-hour continuous tympanic temperature and evaluate its utility in the diagnosis of undifferentiated fevers. This was an observational study conducted in the Kasturba Medical College and Hospitals, Mangaluru, India. A total of ninety-six (n = 96) patients were presented with undifferentiated fever. Their tympanic temperature was recorded continuously for 24 hours. Temperature data were preprocessed and various signal characteristic features were extracted and trained in classification machine learning algorithms using MATLAB software. The quadratic support vector machine algorithm yielded an overall accuracy of 71.9% in differentiating the fevers into four major categories, namely, tuberculosis, intracellular bacterial infections, dengue fever, and noninfectious diseases. The area under ROC curve for tuberculosis, intracellular bacterial infections, dengue fever, and noninfectious diseases was found to be 0.961, 0.801, 0.815, and 0.818, respectively. Good agreement was observed [kappa = 0.618 (p &lt; 0 001, 95% CI (0.498-0.737))] between the actual diagnosis of cases and the quadratic support vector machine learning algorithm. The 24-hour continuous tympanic temperature recording with supervised machine learning algorithm appears to be a promising noninvasive and reliable diagnostic tool.</t>
  </si>
  <si>
    <t xml:space="preserve">MULTISCALE ENTROPY; CURVE COMPLEXITY; DENGUE-FEVER; DIAGNOSIS; SURVIVAL; SEPSIS</t>
  </si>
  <si>
    <t xml:space="preserve">[Dakappa, Pradeepa H.; Rao, Sathish B.; Mahabala, Chakrapani] Manipal Univ, Dept Internal Med, Kasturba Med Coll, Mangaluru, Karnataka, India; [Prasad, Keerthana] Manipal Univ, Manipal Inst Technol, Sch Informat Sci, Manipal, Karnataka, India; [Bolumbu, Ganaraja] Manipal Univ, Dept Physiol, Kasturba Med Coll, Mangaluru, Karnataka, India; [Bhat, Gopalkrishna K.] Manipal Univ, Dept Microbiol, Kasturba Med Coll, Mangaluru, Karnataka, India</t>
  </si>
  <si>
    <t xml:space="preserve">Manipal Academy of Higher Education (MAHE); Kasturba Medical College, Mangalore; Manipal Academy of Higher Education (MAHE); Manipal Academy of Higher Education (MAHE); Kasturba Medical College, Mangalore; Manipal Academy of Higher Education (MAHE); Kasturba Medical College, Mangalore</t>
  </si>
  <si>
    <t xml:space="preserve">Mahabala, C (corresponding author), Manipal Univ, Dept Internal Med, Kasturba Med Coll, Mangaluru, Karnataka, India.</t>
  </si>
  <si>
    <t xml:space="preserve">chakrapani.m@manipal.edu</t>
  </si>
  <si>
    <t xml:space="preserve">Rao, Satish/D-8400-2016; Mahabala, Chakrapani/H-1403-2015</t>
  </si>
  <si>
    <t xml:space="preserve">Rao, Satish/0000-0002-7353-333X; Mahabala, Chakrapani/0000-0002-0460-7913; H Dakappa, Pradeepa/0000-0002-5741-1885</t>
  </si>
  <si>
    <t xml:space="preserve">Kasturba Medical College and Hospitals, Manipal University, Mangaluru, Karnataka, India</t>
  </si>
  <si>
    <t xml:space="preserve">This research was supported by the Kasturba Medical College and Hospitals, Manipal University, Mangaluru, Karnataka, India.</t>
  </si>
  <si>
    <t xml:space="preserve">10.1155/2017/5707162</t>
  </si>
  <si>
    <t xml:space="preserve">FN6CN</t>
  </si>
  <si>
    <t xml:space="preserve">WOS:000416099800001</t>
  </si>
  <si>
    <t xml:space="preserve">Korotcov, A; Tkachenko, V; Russo, DP; Ekins, S</t>
  </si>
  <si>
    <t xml:space="preserve">Korotcov, Alexandru; Tkachenko, Valery; Russo, Daniel P.; Ekins, Sean</t>
  </si>
  <si>
    <t xml:space="preserve">Comparison of Deep Learning With Multiple Machine Learning Methods and Metrics Using Diverse Drug Discovery Data Sets</t>
  </si>
  <si>
    <t xml:space="preserve">Machine learning methods have been applied to many data sets in pharmaceutical research for several decades. The relative ease and availability of fingerprint type molecular descriptors paired with Bayesian methods resulted in the widespread use of this approach for a diverse array of end points relevant to drug discovery. Deep learning is the latest machine learning algorithm attracting attention for many of pharmaceutical applications from docking to virtual screening. Deep learning is based on an artificial neural network with multiple hidden layers and has found considerable traction for many artificial intelligence applications. We have previously suggested the need for a comparison of different machine learning methods with deep learning across an array of varying data sets that is applicable to pharmaceutical research. End points relevant to pharmaceutical research include absorption, distribution, metabolism, excretion, and toxicity (ADME/Tox) properties, as well as activity against pathogens and drug discovery data sets. In this study, we have used data sets for solubility, probe-likeness, hERG, KCNQ1, bubonic plague, Chagas, tuberculosis, and malaria to compare different machine learning methods using FCFP6 fingerprints. These data sets represent whole cell screens, individual proteins, physicochemical properties as well as a data set with a complex end point. Our aim was to assess whether deep learning offered any improvement in testing when assessed using an array of metrics including AUC, F1 score, Cohens kappa, Matthews correlation coefficient and others. Based on ranked normalized scores for the metrics or data sets Deep Neural Networks (DNN) ranked higher than SVM, which in turn was ranked higher than all the other machine learning methods. Visualizing these properties for training and test sets using radar type plots indicates when models are inferior or perhaps over trained. These results also suggest the need for assessing deep learning further using multiple metrics with much larger scale comparisons, prospective testing as well as assessment of different fingerprints and DNN architectures beyond those used.</t>
  </si>
  <si>
    <t xml:space="preserve">Bernoulli Naive Bayes, Linear logistic regression, AdaBoost decision tree, Random forest, Support vector machine</t>
  </si>
  <si>
    <t xml:space="preserve">MOLECULAR PHARMACEUTICS</t>
  </si>
  <si>
    <t xml:space="preserve">deep learning; drug discovery; machine learning; pharmaceutics; support vector machine</t>
  </si>
  <si>
    <t xml:space="preserve">IN-SILICO PHARMACOLOGY; ADMET EVALUATION; METABOLIC STABILITY; DISTRIBUTION VALUES; AQUEOUS SOLUBILITY; PREDICTION MODELS; SYSTEMS-ADME/TOX; NEURAL-NETWORKS; BAYESIAN MODELS; BASIC DRUGS</t>
  </si>
  <si>
    <t xml:space="preserve">[Korotcov, Alexandru; Tkachenko, Valery] Sci Data Software LLC, 14914 Bradwill Court, Rockville, MD 20850 USA; [Russo, Daniel P.; Ekins, Sean] Collaborat Pharmaceut Inc, 840 Main Campus Dr,Lab 3510, Raleigh, NC 27606 USA; [Russo, Daniel P.] Rutgers Ctr Computat &amp; Integrat Biol, Camden, NJ 08102 USA</t>
  </si>
  <si>
    <t xml:space="preserve">Rutgers University System; Rutgers University Camden</t>
  </si>
  <si>
    <t xml:space="preserve">Tkachenko, V (corresponding author), Sci Data Software LLC, 14914 Bradwill Court, Rockville, MD 20850 USA.;Ekins, S (corresponding author), Collaborat Pharmaceut Inc, 840 Main Campus Dr,Lab 3510, Raleigh, NC 27606 USA.</t>
  </si>
  <si>
    <t xml:space="preserve">tkachenko.valery@gmail.com; collaborationspharma@gmail.com</t>
  </si>
  <si>
    <t xml:space="preserve">Tkachenko, Valery/P-3688-2016</t>
  </si>
  <si>
    <t xml:space="preserve">Korotcov, Alexandru/0000-0001-6289-5194; Russo, Daniel/0000-0003-0438-1667</t>
  </si>
  <si>
    <t xml:space="preserve">NIH from NIGMS [R43GM122196]; NCATS [R21TR001718]</t>
  </si>
  <si>
    <t xml:space="preserve">NIH from NIGMS; NCATS(United States Department of Health &amp; Human ServicesNational Institutes of Health (NIH) - USANIH National Center for Advancing Translational Sciences (NCATS))</t>
  </si>
  <si>
    <t xml:space="preserve">We acknowledge NIH funding R43GM122196 from NIGMS. The solubility data was obtained as part of R21TR001718 from NCATS.</t>
  </si>
  <si>
    <t xml:space="preserve">1543-8384</t>
  </si>
  <si>
    <t xml:space="preserve">1543-8392</t>
  </si>
  <si>
    <t xml:space="preserve">MOL PHARMACEUT</t>
  </si>
  <si>
    <t xml:space="preserve">Mol. Pharm.</t>
  </si>
  <si>
    <t xml:space="preserve">10.1021/acs.molpharmaceut.7b00578</t>
  </si>
  <si>
    <t xml:space="preserve">Medicine, Research &amp; Experimental; Pharmacology &amp; Pharmacy</t>
  </si>
  <si>
    <t xml:space="preserve">Research &amp; Experimental Medicine; Pharmacology &amp; Pharmacy</t>
  </si>
  <si>
    <t xml:space="preserve">FP1AO</t>
  </si>
  <si>
    <t xml:space="preserve">WOS:000417342400033</t>
  </si>
  <si>
    <t xml:space="preserve">Eshel, Y; Houri-Yafin, A; Benkuzari, H; Lezmy, N; Soni, M; Charles, M; Swaminathan, J; Solomon, H; Sampathkumar, P; Premji, Z; Mbithi, C; Nneka, Z; Onsongo, S; Maina, D; Levy-Schreier, S; Cohen, CL; Gluck, D; Pollak, JJ; Salpeter, SJ</t>
  </si>
  <si>
    <t xml:space="preserve">Eshel, Yochay; Houri-Yafin, Arnon; Benkuzari, Hagai; Lezmy, Natalie; Soni, Mamta; Charles, Malini; Swaminathan, Jayanthi; Solomon, Hilda; Sampathkumar, Pavithra; Premji, Zul; Mbithi, Caroline; Nneka, Zaitun; Onsongo, Simon; Maina, Daniel; Levy-Schreier, Sarah; Cohen, Caitlin Lee; Gluck, Dan; Pollak, Joseph Joel; Salpeter, Seth J.</t>
  </si>
  <si>
    <t xml:space="preserve">Evaluation of the Parasight Platform for Malaria Diagnosis</t>
  </si>
  <si>
    <t xml:space="preserve">The World Health Organization estimates that nearly 500 million malaria tests are performed annually. While microscopy and rapid diagnostic tests (RDTs) are the main diagnostic approaches, no single method is inexpensive, rapid, and highly accurate. Two recent studies from our group have demonstrated a prototype computer vision platform that meets those needs. Here we present the results from two clinical studies on the commercially available version of this technology, the Sight Diagnostics Parasight platform, which provides malaria diagnosis, species identification, and parasite quantification. We conducted a multisite trial in Chennai, India (Apollo Hospital [n = 205]), and Nairobi, Kenya (Aga Khan University Hospital [n = 263]), in which we compared the device to microscopy, RDTs, and PCR. For identification of malaria, the device performed similarly well in both contexts (sensitivity of 99% and specificity of 100% at the Indian site and sensitivity of 99.3% and specificity of 98.9% at the Kenyan site, compared to PCR). For species identification, the device correctly identified 100% of samples with Plasmodium vivax and 100% of samples with Plasmodium falciparum in India and 100% of samples with P. vivax and 96.1% of samples with P. falciparum in Kenya, compared to PCR. Lastly, comparisons of the device parasite counts with those of trained microscopists produced average Pearson correlation coefficients of 0.84 at the Indian site and 0.85 at the Kenyan site.</t>
  </si>
  <si>
    <t xml:space="preserve">Israel, India, Kenya</t>
  </si>
  <si>
    <t xml:space="preserve">India, Kenya</t>
  </si>
  <si>
    <t xml:space="preserve">Sensitivity of 99% and specificity of 100% at the Indian site
Sensitivity of 99.3% and specificity of 98.9% at the Kenyan site</t>
  </si>
  <si>
    <t xml:space="preserve">malaria; diagnosis; computer vision; machine learning</t>
  </si>
  <si>
    <t xml:space="preserve">MICROSCOPY; TESTS; PERFORMANCE; PREVALENCE; CHALLENGES; PROSPECTS; TANZANIA; TRIAL; AREA; PCR</t>
  </si>
  <si>
    <t xml:space="preserve">[Eshel, Yochay; Houri-Yafin, Arnon; Benkuzari, Hagai; Lezmy, Natalie; Levy-Schreier, Sarah; Cohen, Caitlin Lee; Gluck, Dan; Pollak, Joseph Joel; Salpeter, Seth J.] Sight Diagnost Ltd, Jerusalem, Israel; [Soni, Mamta; Charles, Malini; Sampathkumar, Pavithra] Apollo Hosp, Dept Pathol, Madras, Tamil Nadu, India; [Swaminathan, Jayanthi; Solomon, Hilda] Apollo Hosp, Apollo Res &amp; Innovat, Madras, Tamil Nadu, India; [Premji, Zul; Mbithi, Caroline; Nneka, Zaitun; Onsongo, Simon; Maina, Daniel] Aga Khan Univ Hosp, Dept Pathol, Nairobi, Kenya</t>
  </si>
  <si>
    <t xml:space="preserve">Salpeter, SJ (corresponding author), Sight Diagnost Ltd, Jerusalem, Israel.</t>
  </si>
  <si>
    <t xml:space="preserve">seth@sightdx.com</t>
  </si>
  <si>
    <t xml:space="preserve">Soni, Mamta/ABF-5266-2020; Maina, Daniel/AAK-2944-2021; /ABF-5167-2021</t>
  </si>
  <si>
    <t xml:space="preserve">Maina, Daniel/0000-0002-6282-9311; /0000-0001-5286-989X</t>
  </si>
  <si>
    <t xml:space="preserve">10.1128/JCM.02155-16</t>
  </si>
  <si>
    <t xml:space="preserve">EP7ZI</t>
  </si>
  <si>
    <t xml:space="preserve">WOS:000397595300014</t>
  </si>
  <si>
    <t xml:space="preserve">Holmström, O; Linder, N; Ngasala, B; Mårtensson, A; Linder, E; Lundin, M; Moilanen, H; Suutala, A; Diwan, V; Lundin, J</t>
  </si>
  <si>
    <t xml:space="preserve">Holmstrom, Oscar; Linder, Nina; Ngasala, Billy; Martensson, Andreas; Linder, Ewert; Lundin, Mikael; Moilanen, Hannu; Suutala, Antti; Diwan, Vinod; Lundin, Johan</t>
  </si>
  <si>
    <t xml:space="preserve">Point-of-care mobile digital microscopy and deep learning for the detection of soil-transmitted helminths and Schistosoma haematobium</t>
  </si>
  <si>
    <t xml:space="preserve">Background: Microscopy remains the gold standard in the diagnosis of neglected tropical diseases. As resource limited, rural areas often lack laboratory equipment and trained personnel, new diagnostic techniques are needed. Low-cost, point-of-care imaging devices show potential in the diagnosis of these diseases. Novel, digital image analysis algorithms can be utilized to automate sample analysis. Objective: Evaluation of the imaging performance of a miniature digital microscopy scanner for the diagnosis of soil-transmitted helminths and Schistosoma haematobium, and training of a deep learning-based image analysis algorithm for automated detection of soil-transmitted helminths in the captured images. Methods: A total of 13 iodine-stained stool samples containing Ascaris lumbricoides, Trichuris trichiura and hookworm eggs and 4 urine samples containing Schistosoma haematobium were digitized using a reference whole slide-scanner and the mobile microscopy scanner. Parasites in the images were identified by visual examination and by analysis with a deep learning-based image analysis algorithm in the stool samples. Results were compared between the digital and visual analysis of the images showing helminth eggs. Results: Parasite identification by visual analysis of digital slides captured with the mobile microscope was feasible for all analyzed parasites. Although the spatial resolution of the reference slide-scanner is higher, the resolution of the mobile microscope is sufficient for reliable identification and classification of all parasites studied. Digital image analysis of stool sample images captured with the mobile microscope showed high sensitivity for detection of all helminths studied (range of sensitivity = 83.3-100%) in the test set (n = 217) of manually labeled helminth eggs. Conclusions: In this proof-of-concept study, the imaging performance of a mobile, digital microscope was sufficient for visual detection of soil-transmitted helminths and Schistosoma haematobium. Furthermore, we show that deep learning-based image analysis can be utilized for the automated detection and classification of helminths in the captured images.</t>
  </si>
  <si>
    <t xml:space="preserve">Finland, Sweden, Tanzania</t>
  </si>
  <si>
    <t xml:space="preserve">Finland, Sweden</t>
  </si>
  <si>
    <t xml:space="preserve">Laboratory data</t>
  </si>
  <si>
    <t xml:space="preserve">Neglected tropical diseases; helminth; point-of-care; computer vision; global health</t>
  </si>
  <si>
    <t xml:space="preserve">NEGLECTED TROPICAL DISEASES; WIDE-FIELD; NEURAL-NETWORKS; DIAGNOSIS; INFECTIONS; CLASSIFICATION; AFRICA; LENSES; IMPACT; IMAGES</t>
  </si>
  <si>
    <t xml:space="preserve">[Holmstrom, Oscar; Linder, Nina; Lundin, Mikael; Suutala, Antti; Lundin, Johan] Univ Helsinki, Inst Mol Med Finland FIMM, POB 20, FI-00014 Helsinki, Finland; [Linder, Nina; Martensson, Andreas] Uppsala Univ, Dept Womens &amp; Childrens Hlth, IMCH, Uppsala, Sweden; [Ngasala, Billy] Muhimbili Univ Hlth &amp; Allied Sci, Sch Publ Hlth, Dept Med Entomol &amp; Parasitol, Dar Es Salaam, Tanzania; [Linder, Ewert; Moilanen, Hannu] Univ Oulu, Ctr Microscopy &amp; Nanotechnol, Oulu, Finland; [Diwan, Vinod; Lundin, Johan] Karolinska Inst, Dept Publ Hlth Sci, Stockholm, Sweden</t>
  </si>
  <si>
    <t xml:space="preserve">University of Helsinki; Uppsala University; Muhimbili University of Health &amp; Allied Sciences; University of Oulu; Karolinska Institutet</t>
  </si>
  <si>
    <t xml:space="preserve">Lundin, J (corresponding author), Univ Helsinki, Inst Mol Med Finland FIMM, POB 20, FI-00014 Helsinki, Finland.</t>
  </si>
  <si>
    <t xml:space="preserve">johan.lundin@helsinki.fi</t>
  </si>
  <si>
    <t xml:space="preserve">Diwan, Vinod/0000-0002-5831-2037; Linder, Nina/0000-0003-3930-0513; Lundin, Johan/0000-0002-2681-4139; Linder, Ewert/0000-0002-1175-9990</t>
  </si>
  <si>
    <t xml:space="preserve">Swedish Research Council; Sigrid Juselius Foundation; Finska Lakaresallskapet, Medicinska Understodsforeningen Liv och Halsa rf; Tekes - the Finnish Funding Agency for Innovation; 'European Advanced Translational Research Infrastructure in Medicine' (EATRIS)/Academy of Finland</t>
  </si>
  <si>
    <t xml:space="preserve">Swedish Research Council(Swedish Research Council); Sigrid Juselius Foundation(Sigrid Juselius Foundation); Finska Lakaresallskapet, Medicinska Understodsforeningen Liv och Halsa rf; Tekes - the Finnish Funding Agency for Innovation(Finnish Funding Agency for Technology &amp; Innovation (TEKES)); 'European Advanced Translational Research Infrastructure in Medicine' (EATRIS)/Academy of Finland(EATRIS)</t>
  </si>
  <si>
    <t xml:space="preserve">This work was supported by grants from the Swedish Research Council, Sigrid Juselius Foundation, Finska Lakaresallskapet, Medicinska Understodsforeningen Liv och Halsa rf and Tekes - the Finnish Funding Agency for Innovation. In addition, this study has received funding from the 'European Advanced Translational Research Infrastructure in Medicine' (EATRIS)/Academy of Finland. The funders had no role in study design, data collection and analysis, decision to publish, or preparation of the manuscript.</t>
  </si>
  <si>
    <t xml:space="preserve">10.1080/16549716.2017.1337325</t>
  </si>
  <si>
    <t xml:space="preserve">FO9IH</t>
  </si>
  <si>
    <t xml:space="preserve">WOS:000417200700010</t>
  </si>
  <si>
    <t xml:space="preserve">Maity, M; Dhane, D; Mungle, T; Maiti, AK; Chakraborty, C</t>
  </si>
  <si>
    <t xml:space="preserve">Maity, Maitreya y; Dhane, Dhiraj; Mungle, Tushar; Maiti, A. K.; Chakraborty, Chandan</t>
  </si>
  <si>
    <t xml:space="preserve">Web-Enabled Distributed Health-Care Framework for Automated Malaria Parasite Classification: an E-Health Approach</t>
  </si>
  <si>
    <t xml:space="preserve">Web-enabled e-healthcare system or computer assisted disease diagnosis has a potential to improve the quality and service of conventional healthcare delivery approach. The article describes the design and development of a web-based distributed healthcare management system for medical information and quantitative evaluation of microscopic images using machine learning approach for malaria. In the proposed study, all the health-care centres are connected in a distributed computer network. Each peripheral centre manages its' own health-care service independently and communicates with the central server for remote assistance. The proposed methodology for automated evaluation of parasites includes pre-processing of blood smear microscopic images followed by erythrocytes segmentation. To differentiate between different parasites; a total of 138 quantitative features characterising colour, morphology, and texture are extracted from segmented erythrocytes. An integrated pattern classification framework is designed where four feature selection methods viz. Correlation-based Feature Selection (CFS), Chi-square, Information Gain, and RELIEF are employed with three different classifiers i.e. Naive Bayes', C4.5, and Instance-Based Learning (IB1) individually. Optimal features subset with the best classifier is selected for achieving maximum diagnostic precision. It is seen that the proposed method achieved with 99.2% sensitivity and 99.6% specificity by combining CFS and C4.5 in comparison with other methods. Moreover, the web-based tool is entirely designed using open standards like Java for a web application, ImageJ for image processing, and WEKA for data mining considering its feasibility in rural places with minimal health care facilities.</t>
  </si>
  <si>
    <t xml:space="preserve">Naive Bayes’, C4.5, Instance-Based Learning (IB1)</t>
  </si>
  <si>
    <t xml:space="preserve">- Sensitivity  = 99.2% 
- Specificity = 99.6% </t>
  </si>
  <si>
    <t xml:space="preserve">JOURNAL OF MEDICAL SYSTEMS</t>
  </si>
  <si>
    <t xml:space="preserve">Electronic healthcare system; Computer-aided diagnosis; Malaria screening; Feature extraction; Feature selection; Supervised classification</t>
  </si>
  <si>
    <t xml:space="preserve">IMAGE; SYSTEM; TESTS</t>
  </si>
  <si>
    <t xml:space="preserve">[Maity, Maitreya y; Dhane, Dhiraj; Mungle, Tushar; Chakraborty, Chandan] Indian Inst Technol Kharagpur, Sch Med Sci &amp; Technol, Kharagpur, W Bengal, India; [Maiti, A. K.] Midnapur Med Coll &amp; Hosp, Dept Pathol, Medinipur, W Bengal, India</t>
  </si>
  <si>
    <t xml:space="preserve">Indian Institute of Technology System (IIT System); Indian Institute of Technology (IIT) - Kharagpur; Midnapore Medical College</t>
  </si>
  <si>
    <t xml:space="preserve">Chakraborty, C (corresponding author), Indian Inst Technol Kharagpur, Sch Med Sci &amp; Technol, Kharagpur, W Bengal, India.</t>
  </si>
  <si>
    <t xml:space="preserve">chandanc@smst.iitkgp.ernet.in</t>
  </si>
  <si>
    <t xml:space="preserve">Dhane, Dhiraj/GSE-3473-2022; Dhane, Dhiraj/HPF-6406-2023; Maity, Maitreya/O-1040-2017</t>
  </si>
  <si>
    <t xml:space="preserve">Maity, Maitreya/0000-0002-8161-4105; Mungle, Tushar/0000-0002-2109-3248; Dhane, Dhiraj Manohar/0000-0003-2188-4389</t>
  </si>
  <si>
    <t xml:space="preserve">Council of Scientific and Industrial Research [09/81(1223)/2014/EMR-I]; Dept. of Information Technology, Govt. of India [IIT/SRIC/SMST/DPR/2009-10/15]</t>
  </si>
  <si>
    <t xml:space="preserve">Council of Scientific and Industrial Research(Council of Scientific &amp; Industrial Research (CSIR) - IndiaSpanish Government); Dept. of Information Technology, Govt. of India(Ministry of Electronics and Information Technology (MEITY), Government of India)</t>
  </si>
  <si>
    <t xml:space="preserve">The authors thank the Dept. of Pathology, Midnapur Medical College and Hospital for providing the pathological images and clinical know-how. The first author acknowledges the Council of Scientific and Industrial Research for providing financial support to carry out this research work under the award no. 09/81(1223)/2014/EMR-I dt. 12-08-2014. Authors also acknowledge to Dept. of Information Technology, Govt. of India for financial assistance (Ref. No. IIT/SRIC/SMST/DPR/2009-10/15) to carry out the work.</t>
  </si>
  <si>
    <t xml:space="preserve">0148-5598</t>
  </si>
  <si>
    <t xml:space="preserve">1573-689X</t>
  </si>
  <si>
    <t xml:space="preserve">J MED SYST</t>
  </si>
  <si>
    <t xml:space="preserve">10.1007/s10916-017-0834-0</t>
  </si>
  <si>
    <t xml:space="preserve">FK7GR</t>
  </si>
  <si>
    <t xml:space="preserve">WOS:000413673900008</t>
  </si>
  <si>
    <t xml:space="preserve">Siriyasatien, P; Phumee, A; Ongruk, P; Jampachaisri, K; Kesorn, K</t>
  </si>
  <si>
    <t xml:space="preserve">Siriyasatien, Padet; Phumee, Atchara; Ongruk, Phatsavee; Jampachaisri, Katechan; Kesorn, Kraisak</t>
  </si>
  <si>
    <t xml:space="preserve">Analysis of significant factors for dengue fever incidence prediction</t>
  </si>
  <si>
    <t xml:space="preserve">Background: Many popular dengue forecasting techniques have been used by several researchers to extrapolate dengue incidence rates, including the K-H model, support vector machines (SVM), and artificial neural networks (ANN). The time series analysis methodology, particularly ARIMA and SARIMA, has been increasingly applied to the field of epidemiological research for dengue fever, dengue hemorrhagic fever, and other infectious diseases. The main drawback of these methods is that they do not consider other variables that are associated with the dependent variable. Additionally, new factors correlated to the disease are needed to enhance the prediction accuracy of the model when it is applied to areas of similar climates, where weather factors such as temperature, total rainfall, and humidity are not substantially different. Such drawbacks may consequently lower the predictive power for the outbreak. Results: The predictive power of the forecasting model-assessed by Akaike's information criterion (AIC), Bayesian information criterion (BIC), and the mean absolute percentage error (MAPE)-is improved by including the new parameters for dengue outbreak prediction. This study's selected model outperforms all three other competing models with the lowest AIC, the lowest BIC, and a small MAPE value. The exclusive use of climate factors from similar locations decreases a model's prediction power. The multivariate Poisson regression, however, effectively forecasts even when climate variables are slightly different. Female mosquitoes and seasons were strongly correlated with dengue cases. Therefore, the dengue incidence trends provided by this model will assist the optimization of dengue prevention. Conclusions: The present work demonstrates the important roles of female mosquito infection rates from the previous season and climate factors (represented as seasons) in dengue outbreaks. Incorporating these two factors in the model significantly improves the predictive power of dengue hemorrhagic fever forecasting models, as confirmed by AIC, BIC, and MAPE.</t>
  </si>
  <si>
    <t xml:space="preserve">Dengue hemorrhagic fever; Forecasting model; Prediction model; Multivariate poisson regression; Climate factor analysis</t>
  </si>
  <si>
    <t xml:space="preserve">ALBOPICTUS DIPTERA-CULICIDAE; AEDES-AEGYPTI; TRANSMISSION; VIRUSES; ASSOCIATION; THAILAND; INDEXES; MODEL; RISK</t>
  </si>
  <si>
    <t xml:space="preserve">[Siriyasatien, Padet; Phumee, Atchara] Chulalongkorn Univ, Fac Med, Dept Parasitol, Bangkok 10330, Thailand; [Siriyasatien, Padet] King Chulalongkorn Mem Hosp, Red Cross Soc, Excellence Ctr Emerging Infect Dis, Bangkok 10330, Thailand; [Ongruk, Phatsavee; Kesorn, Kraisak] Naresuan Univ, Fac Sci, Dept Comp Sci &amp; Informat Technol, Phitsanulok 65000, Thailand; [Jampachaisri, Katechan] Naresuan Univ, Fac Sci, Dept Math, Phitsanulok 65000, Thailand</t>
  </si>
  <si>
    <t xml:space="preserve">Chulalongkorn University; Chulalongkorn University; Thai Red Cross Society; Naresuan University; Naresuan University</t>
  </si>
  <si>
    <t xml:space="preserve">Kesorn, K (corresponding author), Naresuan Univ, Fac Sci, Dept Comp Sci &amp; Informat Technol, Phitsanulok 65000, Thailand.</t>
  </si>
  <si>
    <t xml:space="preserve">kraisakk@nu.ac.th</t>
  </si>
  <si>
    <t xml:space="preserve">PHUMEE, ATCHARA/AAG-4881-2020; siriyasatien, padet/F-3936-2012; Kesorn, Kraisak/AAU-2475-2020</t>
  </si>
  <si>
    <t xml:space="preserve">Kesorn, Kraisak/0000-0002-5195-8038; Siriyasatien, Padet/0000-0002-9248-1678; PHUMEE, ATCHARA/0000-0001-8243-7406</t>
  </si>
  <si>
    <t xml:space="preserve">National Research Council Thailand [Phor Khor/2555-125]; National Science and Technology Development Agency (Thailand)</t>
  </si>
  <si>
    <t xml:space="preserve">National Research Council Thailand; National Science and Technology Development Agency (Thailand)</t>
  </si>
  <si>
    <t xml:space="preserve">This research has been supported by the National Research Council Thailand. Project no: Phor Khor/2555-125 and National Science and Technology Development Agency (Thailand), for a Research Chair Grant. The sponsors had no role in the design and conduct of the research; data collection, analysis, and interpretation of the data; or preparation, review, or approval of the manuscript.</t>
  </si>
  <si>
    <t xml:space="preserve">10.1186/s12859-016-1034-5</t>
  </si>
  <si>
    <t xml:space="preserve">DJ5WC</t>
  </si>
  <si>
    <t xml:space="preserve">WOS:000374280500003</t>
  </si>
  <si>
    <t xml:space="preserve">Nilar, SH; Lakshminarayana, SB; Ma, NL; Keller, TH; Blasco, F; Smith, PW</t>
  </si>
  <si>
    <t xml:space="preserve">Nilar, Shahul H.; Lakshminarayana, Suresh B.; Ma, Ngai Ling; Keller, Thomas H.; Blasco, Francesca; Smith, Paul W.</t>
  </si>
  <si>
    <t xml:space="preserve">Artificial Neural Network Analysis of Pharmacokinetic and Toxicity Properties of Lead Molecules for Dengue Fever, Tuberculosis and Malaria</t>
  </si>
  <si>
    <t xml:space="preserve">Poor pharmacokinetic and toxicity profiles are major reasons for the low rate of advancing lead drug candidates into efficacy studies. The In-silico prediction of primary pharmacokinetic and toxicity properties in the drug discovery and development process can be used as guidance in the design of candidates. In-silico parameters can also be used to choose suitable compounds for in-vivo testing thereby reducing the number of animals used in experiments. At the Novartis Institute for Tropical Diseases, a data set has been curated from in-house measurements in the disease areas of Dengue, Tuberculosis and Malaria. Volume of distribution, half-life, total in-vivo clearance, in-vitro human plasma protein binding and in-vivo oral bioavailability have been measured for molecules in the lead optimization stage in each of these three disease areas. Data for the inhibition of the hERG channel using the radio ligand binding dofetilide assay was determined for a set of 300 molecules in these therapeutic areas. Based on this data, Artificial Neural Networks were used to construct In-silico models for each of the properties listed above that can be used to prioritize candidates for lead optimization and to assist in selecting promising molecules for in-vivo pharmacokinetic studies.</t>
  </si>
  <si>
    <t xml:space="preserve">Dengue Fever, Tuberculosis, Malaria</t>
  </si>
  <si>
    <t xml:space="preserve">Artificial Neural Networks</t>
  </si>
  <si>
    <t xml:space="preserve">CURRENT COMPUTER-AIDED DRUG DESIGN</t>
  </si>
  <si>
    <t xml:space="preserve">BENTHAM SCIENCE PUBL LTD</t>
  </si>
  <si>
    <t xml:space="preserve">Neural Networks; computational ADME; computer aided drug design; molecular diversity; pharmacokinetics; mathematical models; molecular modeling</t>
  </si>
  <si>
    <t xml:space="preserve">SUPPORT VECTOR MACHINE; IN-SILICO PREDICTION; ORAL BIOAVAILABILITY; DRUG DISCOVERY; CLASSIFICATION MODEL; CLEARANCE; STRATEGIES; PHARMACODYNAMICS; VALIDATION; SOLUBILITY</t>
  </si>
  <si>
    <t xml:space="preserve">[Nilar, Shahul H.; Lakshminarayana, Suresh B.; Ma, Ngai Ling; Keller, Thomas H.; Blasco, Francesca; Smith, Paul W.] Novartis Inst Trop Dis, 10 Biopolis Rd,05-01 Chromos, Singapore 138670, Singapore; [Keller, Thomas H.] Ctr Expt Therapeut, 31 Biopolis Way, Singapore 138669, Singapore</t>
  </si>
  <si>
    <t xml:space="preserve">Novartis; Novartis Singapore; Agency for Science Technology &amp; Research (A*STAR); A*STAR - Experimental Drug Development Centre (EDDC); Experimental Therapeutics Centre</t>
  </si>
  <si>
    <t xml:space="preserve">Lakshminarayana, SB (corresponding author), Novartis Inst Trop Dis, 10 Biopolis Rd,05-01 Chromos, Singapore 138670, Singapore.</t>
  </si>
  <si>
    <t xml:space="preserve">suresh.b_lakshminarayana@novartis.com</t>
  </si>
  <si>
    <t xml:space="preserve">Keller, Thomas/0000-0002-7553-6235</t>
  </si>
  <si>
    <t xml:space="preserve">NITD</t>
  </si>
  <si>
    <t xml:space="preserve">This work was funded in part by NITD. Suresh B. Lakshminarayana, Francesca Blasco and Paul W. Smith are employees of NITD. Shahul H. Nilar, Ngai Ling Ma and Thomas H. Keller were employees of NITD. The authors confirm that this article content has no conflict of interest.</t>
  </si>
  <si>
    <t xml:space="preserve">SHARJAH</t>
  </si>
  <si>
    <t xml:space="preserve">EXECUTIVE STE Y-2, PO BOX 7917, SAIF ZONE, 1200 BR SHARJAH, U ARAB EMIRATES</t>
  </si>
  <si>
    <t xml:space="preserve">1573-4099</t>
  </si>
  <si>
    <t xml:space="preserve">1875-6697</t>
  </si>
  <si>
    <t xml:space="preserve">CURR COMPUT-AID DRUG</t>
  </si>
  <si>
    <t xml:space="preserve">Curr. Comput.-Aided Drug Des.</t>
  </si>
  <si>
    <t xml:space="preserve">10.2174/1573409912999160112113539</t>
  </si>
  <si>
    <t xml:space="preserve">Chemistry, Medicinal; Computer Science, Interdisciplinary Applications</t>
  </si>
  <si>
    <t xml:space="preserve">Pharmacology &amp; Pharmacy; Computer Science</t>
  </si>
  <si>
    <t xml:space="preserve">DH1NG</t>
  </si>
  <si>
    <t xml:space="preserve">WOS:000372550900006</t>
  </si>
  <si>
    <t xml:space="preserve">Scotti, L; Ishiki, H; Mendonca, FJB; da Silva, MS; Scotti, MT</t>
  </si>
  <si>
    <t xml:space="preserve">Scotti, Luciana; Ishiki, Hamilton; Mendonca Junior, Francisco J. B.; da Silva, Marcelo S.; Scotti, Marcus T.</t>
  </si>
  <si>
    <t xml:space="preserve">Artificial Neural Network Methods Applied to Drug Discovery for Neglected Diseases</t>
  </si>
  <si>
    <t xml:space="preserve">Among the chemometric tools used in rational drug design, we find artificial neural network methods (ANNs), a statistical learning algorithm similar to the human brain, to be quite powerful. Some ANN applications use biological and molecular data of the training series that are inserted to ensure the machine learning, and to generate robust and predictive models. In drug discovery, researchers use this methodology, looking to find new chemotherapeutic agents for various diseases. The neglected diseases are a group of tropical parasitic diseases that primarily affect poor countries in Africa, Asia, and South America. Current drugs against these diseases cause side effects, are ineffective during the chronic stages of the disease, and are often not available to the needy population, have relative high toxicity, and face developing resistance. Faced with so many problems, new chemotherapeutic agents to treat these infections are much needed. The present review reports on neural network research, which studies new ligands against Chagas' disease, sleeping sickness, malaria, tuberculosis, and leishmaniasis; a few of the neglected diseases.</t>
  </si>
  <si>
    <t xml:space="preserve">COMBINATORIAL CHEMISTRY &amp; HIGH THROUGHPUT SCREENING</t>
  </si>
  <si>
    <t xml:space="preserve">Artificial neural network; Chagas' disease; chemometrics tools; drug discovery; leishmaniasis; malaria; sleeping sickness; tuberculosis</t>
  </si>
  <si>
    <t xml:space="preserve">SELF-ORGANIZING MAPS; IN-SILICO ANALYSES; TROPICAL DISEASES; TRYPANOSOMA-BRUCEI; SECONDARY METABOLITES; 6-PHOSPHOGLUCONATE DEHYDROGENASE; SESQUITERPENE LACTONES; POTENTIAL INHIBITORS; CHEMICAL SPACE; MODELS</t>
  </si>
  <si>
    <t xml:space="preserve">[Scotti, Luciana; da Silva, Marcelo S.] Univ Fed Paraiba, Hlth Sci Ctr, BR-58051970 Joao Pessoa, Paraiba, Brazil; [Ishiki, Hamilton] Univ Western Sao Paulo Unoeste, Presidente Prudente, SP, Brazil; [Mendonca Junior, Francisco J. B.] State Univ Paraiba, Biol Sci Dept, Joao Pessoa, Paraiba, Brazil; [Scotti, Marcus T.] Univ Fed Paraiba, Rio Tinto, PB, Brazil</t>
  </si>
  <si>
    <t xml:space="preserve">Universidade Federal da Paraiba; Universidade do Oeste Paulista; Universidade Estadual da Paraiba; Universidade Federal da Paraiba</t>
  </si>
  <si>
    <t xml:space="preserve">Scotti, L (corresponding author), Univ Fed Paraiba, Hlth Sci Ctr, Campus 1, BR-58051970 Joao Pessoa, Paraiba, Brazil.</t>
  </si>
  <si>
    <t xml:space="preserve">luciana.scotti@gmail.com</t>
  </si>
  <si>
    <t xml:space="preserve">MENDONÇA, FRANCISCO/J-2926-2015; Ishiki, Hamilton/F-9071-2016; Sobral da Silva, Marcelo/U-5853-2019; SCOTTI, LUCIANA/C-7811-2013; Scotti, Marcus Tullius/G-2981-2012</t>
  </si>
  <si>
    <t xml:space="preserve">Ishiki, Hamilton/0000-0001-5707-7656; Sobral da Silva, Marcelo/0000-0003-3451-8468; SCOTTI, LUCIANA/0000-0003-1866-4107; Scotti, Marcus Tullius/0000-0003-4863-8057</t>
  </si>
  <si>
    <t xml:space="preserve">We would like to thank both CNPq and Capes for financial support.</t>
  </si>
  <si>
    <t xml:space="preserve">1386-2073</t>
  </si>
  <si>
    <t xml:space="preserve">1875-5402</t>
  </si>
  <si>
    <t xml:space="preserve">COMB CHEM HIGH T SCR</t>
  </si>
  <si>
    <t xml:space="preserve">Comb. Chem. High Throughput Screen</t>
  </si>
  <si>
    <t xml:space="preserve">10.2174/1386207318666150803141219</t>
  </si>
  <si>
    <t xml:space="preserve">Biochemical Research Methods; Chemistry, Applied; Pharmacology &amp; Pharmacy</t>
  </si>
  <si>
    <t xml:space="preserve">CQ9LG</t>
  </si>
  <si>
    <t xml:space="preserve">WOS:000360935600011</t>
  </si>
  <si>
    <t xml:space="preserve">Wicht, KJ; Combrinck, JM; Smith, PJ; Egan, TJ</t>
  </si>
  <si>
    <t xml:space="preserve">Wicht, Kathryn J.; Combrinck, Jill M.; Smith, Peter J.; Egan, Timothy J.</t>
  </si>
  <si>
    <t xml:space="preserve">Bayesian models trained with HTS data for predicting β-haematin inhibition and in vitro antimalarial activity</t>
  </si>
  <si>
    <t xml:space="preserve">A large quantity of high throughput screening (HTS) data for antimalarial activity has become available in recent years. This includes both phenotypic and target-based activity. Realising the maximum value of these data remains a challenge. In this respect, methods that allow such data to be used for virtual screening maximise efficiency and reduce costs. In this study both in vitro antimalarial activity and inhibitory data for beta-haematin formation, largely obtained from publically available sources, has been used to develop Bayesian models for inhibitors of beta-haematinformation and in vitro antimalarial activity. These models were used to screen two in silico compound libraries. In the first, the 1510 U.S. Food and Drug Administration approved drugs available on PubChem were ranked from highest to lowest Bayesian score based on a training set of beta-haematin inhibiting compounds active against Plasmodium falciparum that did not include any of the clinical antimalarials or close analogues. The six known clinical antimalarials that inhibit beta-haematin formation were ranked in the top 2.1% of compounds. Furthermore, the in vitro antimalarial hit-rate for this prioritised set of compounds was found to be 81% in the case of the subset where activity data are available in PubChem. In the second, a library of about 5000 commercially available compounds (Aldrich(CPR)) was virtually screened for ability to inhibit beta-haematin formation and then for in vitro antimalarial activity. A selection of 34 compounds was purchased and tested, of which 24 were predicted to be beta-haematin inhibitors. The hit rate for inhibition of beta-haematin formation was found to be 25% and a third of these were active against P. falciparum, corresponding to enrichments estimated at about 25-and 140-fold relative to random screening, respectively. (C) 2014 Elsevier Ltd. All rights reserved.</t>
  </si>
  <si>
    <t xml:space="preserve">BIOORGANIC &amp; MEDICINAL CHEMISTRY</t>
  </si>
  <si>
    <t xml:space="preserve">Malaria; Antimalarial; Haemozoin; beta-Haematin; In silico screening; Bayesian statistics; Machine learning</t>
  </si>
  <si>
    <t xml:space="preserve">PLASMODIUM-FALCIPARUM; DRUG DISCOVERY; MALARIA; CLASSIFICATION; ASSAY; IDENTIFICATION; RESISTANCE; CHEMISTRY; INSIGHTS; BIOLOGY</t>
  </si>
  <si>
    <t xml:space="preserve">[Wicht, Kathryn J.; Combrinck, Jill M.; Egan, Timothy J.] Univ Cape Town, Dept Chem, ZA-7701 Rondebosch, South Africa; [Combrinck, Jill M.; Smith, Peter J.] Univ Cape Town, Div Pharmacol, Dept Med, Fac Hlth Sci, ZA-7925 Observatory, South Africa</t>
  </si>
  <si>
    <t xml:space="preserve">University of Cape Town; University of Cape Town</t>
  </si>
  <si>
    <t xml:space="preserve">Egan, TJ (corresponding author), Univ Cape Town, Dept Chem, ZA-7701 Rondebosch, South Africa.</t>
  </si>
  <si>
    <t xml:space="preserve">timothy.egan@uct.ac.za</t>
  </si>
  <si>
    <t xml:space="preserve">Wicht, Kathryn J./0000-0001-6145-9956; Combrinck, Jill/0000-0003-0936-1761</t>
  </si>
  <si>
    <t xml:space="preserve">National Institute of Allergy and Infectious Diseases of the National Institutes of Health [R01AI110329]</t>
  </si>
  <si>
    <t xml:space="preserve">National Institute of Allergy and Infectious Diseases of the National Institutes of Health(United States Department of Health &amp; Human ServicesNational Institutes of Health (NIH) - USANIH National Institute of Allergy &amp; Infectious Diseases (NIAID))</t>
  </si>
  <si>
    <t xml:space="preserve">Research reported in this publication was supported by the National Institute of Allergy and Infectious Diseases of the National Institutes of Health under Award Number R01AI110329. The content is solely the responsibility of the authors and does not necessarily represent the official views of the National Institutes of Health. We thank the Centre for High Performance Computing (CHPC) for use of Discovery Studio. We thank David W. Wright, Rebecca D. Sandlin and Kim Y. Fong, Department of Chemistry, Vanderbilt University, Nashville, Tennessee and Aneesa Omar, Roger Hunter and Fabrizio L'abbate, Department of Chemistry, University of Cape Town for as yet unpublished data incorporated in the training sets.</t>
  </si>
  <si>
    <t xml:space="preserve">0968-0896</t>
  </si>
  <si>
    <t xml:space="preserve">1464-3391</t>
  </si>
  <si>
    <t xml:space="preserve">BIOORGAN MED CHEM</t>
  </si>
  <si>
    <t xml:space="preserve">Bioorg. Med. Chem.</t>
  </si>
  <si>
    <t xml:space="preserve">AUG 15</t>
  </si>
  <si>
    <t xml:space="preserve">10.1016/j.bmc.2014.12.020</t>
  </si>
  <si>
    <t xml:space="preserve">Biochemistry &amp; Molecular Biology; Chemistry, Medicinal; Chemistry, Organic</t>
  </si>
  <si>
    <t xml:space="preserve">Biochemistry &amp; Molecular Biology; Pharmacology &amp; Pharmacy; Chemistry</t>
  </si>
  <si>
    <t xml:space="preserve">CO6WW</t>
  </si>
  <si>
    <t xml:space="preserve">WOS:000359299100014</t>
  </si>
  <si>
    <t xml:space="preserve">Williams, K; Bilsland, E; Sparkes, A; Aubrey, W; Young, M; Soldatova, LN; De Grave, K; Ramon, J; de Clare, M; Sirawaraporn, W; Oliver, SG; King, RD</t>
  </si>
  <si>
    <t xml:space="preserve">Williams, Kevin; Bilsland, Elizabeth; Sparkes, Andrew; Aubrey, Wayne; Young, Michael; Soldatova, Larisa N.; De Grave, Kurt; Ramon, Jan; de Clare, Michaela; Sirawaraporn, Worachart; Oliver, Stephen G.; King, Ross D.</t>
  </si>
  <si>
    <t xml:space="preserve">Cheaper faster drug development validated by the repositioning of drugs against neglected tropical diseases</t>
  </si>
  <si>
    <t xml:space="preserve">There is an urgent need to make drug discovery cheaper and faster. This will enable the development of treatments for diseases currently neglected for economic reasons, such as tropical and orphan diseases, and generally increase the supply of new drugs. Here, we report the Robot Scientist 'Eve' designed to make drug discovery more economical. A Robot Scientist is a laboratory automation system that uses artificial intelligence (AI) techniques to discover scientific knowledge through cycles of experimentation. Eve integrates and automates library-screening, hit-confirmation, and lead generation through cycles of quantitative structure activity relationship learning and testing. Using econometric modelling we demonstrate that the use of AI to select compounds economically outperforms standard drug screening. For further efficiency Eve uses a standardized form of assay to compute Boolean functions of compound properties. These assays can be quickly and cheaply engineered using synthetic biology, enabling more targets to be assayed for a given budget. Eve has repositioned several drugs against specific targets in parasites that cause tropical diseases. One validated discovery is that the anti-cancer compound TNP-470 is a potent inhibitor of dihydrofolate reductase from the malaria-causing parasite Plasmodium vivax.</t>
  </si>
  <si>
    <t xml:space="preserve">UK, Brazil, Belgium, Thailand</t>
  </si>
  <si>
    <t xml:space="preserve">drug design; artificial intelligence; quantitative structure activity relationship</t>
  </si>
  <si>
    <t xml:space="preserve">DIHYDROFOLATE-REDUCTASE; FUMAGILLIN; RESISTANCE; MALARIA</t>
  </si>
  <si>
    <t xml:space="preserve">[Williams, Kevin; Sparkes, Andrew; Aubrey, Wayne] Aberystwyth Univ, Dept Comp Sci, Aberystwyth SY23 3DB, Dyfed, Wales; [Bilsland, Elizabeth; de Clare, Michaela; Oliver, Stephen G.] Univ Cambridge, Cambridge Syst Biol Ctr, Cambridge CB2 1GA, England; [Bilsland, Elizabeth; de Clare, Michaela; Oliver, Stephen G.] Univ Cambridge, Dept Biochem, Cambridge CB2 1GA, England; [Bilsland, Elizabeth] Univ Estadual Campinas, Dept Struct &amp; Funct Biol, BR-13083865 Sao Paulo, Brazil; [Young, Michael] Aberystwyth Univ, Inst Biol Environm &amp; Rural Sci, Aberystwyth SY23 3DD, Dyfed, Wales; [Soldatova, Larisa N.] Brunel Univ, Dept Comp Sci, London UB8 3PH, England; [De Grave, Kurt; Ramon, Jan] Katholieke Univ Leuven, Dept Comp Sci, B-3001 Heverlee, Belgium; [Sirawaraporn, Worachart] Mahidol Univ, Dept Biochem, Bangkok 10700, Thailand; [King, Ross D.] Univ Manchester, Manchester Inst Biotechnol, Manchester M1 7DN, Lancs, England; [King, Ross D.] Univ Manchester, Sch Comp Sci, Manchester M1 7DN, Lancs, England</t>
  </si>
  <si>
    <t xml:space="preserve">Aberystwyth University; University of Cambridge; University of Cambridge; Universidade Estadual de Campinas; UK Research &amp; Innovation (UKRI); Biotechnology and Biological Sciences Research Council (BBSRC); Institute of Biological, Environmental, Rural &amp; Sciences (IBERS); Aberystwyth University; Brunel University; KU Leuven; Mahidol University; University of Manchester; University of Manchester</t>
  </si>
  <si>
    <t xml:space="preserve">King, RD (corresponding author), Univ Manchester, Manchester Inst Biotechnol, Manchester M1 7DN, Lancs, England.</t>
  </si>
  <si>
    <t xml:space="preserve">ross.king@manchester.ac.uk</t>
  </si>
  <si>
    <t xml:space="preserve">Aubrey, Wayne/AAE-7321-2021; Bilsland, Elizabeth/H-3523-2014; Ramon, Jan/E-8956-2010; Soldatova, Larisa/AAE-4656-2020; Oliver, Stephen/AAQ-5992-2021</t>
  </si>
  <si>
    <t xml:space="preserve">King, Ross/0000-0001-7208-4387; Bilsland, Elizabeth/0000-0002-8697-3553; Soldatova, Larisa/0000-0001-6489-3029</t>
  </si>
  <si>
    <t xml:space="preserve">UK Biotechnology and Biological Sciences Research Council [BB/F008228/1]; European Commission under the FP7 Collaborative Programme, UNICELLSYS; KU Leuven [GOA/08/008]; ERC [240186]; BBSRC [BB/F008228/1] Funding Source: UKRI; EPSRC [EP/M015661/1, EP/K030469/1] Funding Source: UKRI</t>
  </si>
  <si>
    <t xml:space="preserve">UK Biotechnology and Biological Sciences Research Council(UK Research &amp; Innovation (UKRI)Biotechnology and Biological Sciences Research Council (BBSRC)); European Commission under the FP7 Collaborative Programme, UNICELLSYS; KU Leuven(KU Leuven); ERC(European Research Council (ERC)); BBSRC(UK Research &amp; Innovation (UKRI)Biotechnology and Biological Sciences Research Council (BBSRC)); EPSRC(UK Research &amp; Innovation (UKRI)Engineering &amp; Physical Sciences Research Council (EPSRC))</t>
  </si>
  <si>
    <t xml:space="preserve">This work was supported by grant BB/F008228/1 from the UK Biotechnology and Biological Sciences Research Council and a contract from the European Commission under the FP7 Collaborative Programme, UNICELLSYS, both to S.G.O. and R.D.K. K.D.G. and J.R. were supported partially by KU Leuven GOA/08/008 and partially by ERC Starting Grant 240186.</t>
  </si>
  <si>
    <t xml:space="preserve">10.1098/rsif.2014.1289</t>
  </si>
  <si>
    <t xml:space="preserve">CD6VC</t>
  </si>
  <si>
    <t xml:space="preserve">Green Published, Green Accepted, hybrid</t>
  </si>
  <si>
    <t xml:space="preserve">WOS:000351227000030</t>
  </si>
  <si>
    <t xml:space="preserve">Maindola, P; Jamal, S; Grover, A</t>
  </si>
  <si>
    <t xml:space="preserve">Maindola, Priyank; Jamal, Salma; Grover, Abhinav</t>
  </si>
  <si>
    <t xml:space="preserve">Cheminformatics Based Machine Learning Models for AMA1-RON2 Abrogators for Inhibiting Plasmodium falciparum Erythrocyte Invasion</t>
  </si>
  <si>
    <t xml:space="preserve">Malaria remains a dreadful disease by putting every year about 3.4 billion people at risk and resulting into mortality of 627 thousand people worldwide. Existing therapies based upon Quinines and Artemisinin-based combination therapies have started showing resistance, pressing the need for search of anti-malarials with different mechanisms of action. In this respect erythrocyte invasion by Plasmodium is immensely crucial, as being obligate intracellular parasite it must invade host cells. This process is mediated by interaction between conserved Apical Membrane Antigen (AMA1) and Rhoptry Neck (RON2) protein, which is compulsory for successful invasion of erythrocyte by Plasmodium and manifestation of the disease Malaria. Here, using the physicochemical properties of the compounds available from a confirmatory high throughput screening, which were tested for their disruption capability of this crucial molecular interaction, we trained supervised classifiers and validated their robustness by various statistical parameters. Best model was used for screening new compounds from Traditional Chinese Medicine Database. Some of the best hits already find their use as anti-malarials and the model predicts that an essential part of their effectiveness is likely due to inhibition of AMA1-RON2 interaction. Pharmacophoric features have also been identified to ease further designing of possible leads in an effective way.</t>
  </si>
  <si>
    <t xml:space="preserve">Naïve Bayes (NB),Random Forest (RF), J48, Sequential Minimization Opti-mization (SMO</t>
  </si>
  <si>
    <t xml:space="preserve">MOLECULAR INFORMATICS</t>
  </si>
  <si>
    <t xml:space="preserve">Cheminformatics; Drug discovery; Machine learning; Malaria; Plasmodium</t>
  </si>
  <si>
    <t xml:space="preserve">HOST-CELL INVASION; MOVING JUNCTION; APICOMPLEXAN PARASITES; ARTEMISININ RESISTANCE; MALARIA; DISCOVERY; ABUNDANCE; REVEALS; AMA1; TOOL</t>
  </si>
  <si>
    <t xml:space="preserve">[Maindola, Priyank; Jamal, Salma; Grover, Abhinav] Jawaharlal Nehru Univ, Sch Biotechnol, New Delhi 110067, India</t>
  </si>
  <si>
    <t xml:space="preserve">Jawaharlal Nehru University, New Delhi</t>
  </si>
  <si>
    <t xml:space="preserve">Grover, A (corresponding author), Jawaharlal Nehru Univ, Sch Biotechnol, New Delhi 110067, India.</t>
  </si>
  <si>
    <t xml:space="preserve">agrover@jnu.ac.in</t>
  </si>
  <si>
    <t xml:space="preserve">Grover, Anil/D-4875-2014</t>
  </si>
  <si>
    <t xml:space="preserve">Grover, Abhinav/0000-0002-3296-7860; Jamal, Salma/0000-0003-2628-194X</t>
  </si>
  <si>
    <t xml:space="preserve">1868-1743</t>
  </si>
  <si>
    <t xml:space="preserve">1868-1751</t>
  </si>
  <si>
    <t xml:space="preserve">MOL INFORM</t>
  </si>
  <si>
    <t xml:space="preserve">Mol. Inf.</t>
  </si>
  <si>
    <t xml:space="preserve">10.1002/minf.201400139</t>
  </si>
  <si>
    <t xml:space="preserve">Chemistry, Medicinal; Computer Science, Interdisciplinary Applications; Mathematical &amp; Computational Biology</t>
  </si>
  <si>
    <t xml:space="preserve">Pharmacology &amp; Pharmacy; Computer Science; Mathematical &amp; Computational Biology</t>
  </si>
  <si>
    <t xml:space="preserve">CW9LJ</t>
  </si>
  <si>
    <t xml:space="preserve">WOS:000365319900001</t>
  </si>
  <si>
    <t xml:space="preserve">Conroy, AL; Gélvez, M; Hawkes, M; Rajwans, N; Tran, V; Liles, WC; Villar-Centeno, LA; Kain, KC</t>
  </si>
  <si>
    <t xml:space="preserve">Conroy, Andrea L.; Gelvez, Margarita; Hawkes, Michael; Rajwans, Nimerta; Tran, Vanessa; Liles, W. Conrad; Angel Villar-Centeno, Luis; Kain, Kevin C.</t>
  </si>
  <si>
    <t xml:space="preserve">Host biomarkers are associated with progression to dengue haemorrhagic fever: a nested case-control study</t>
  </si>
  <si>
    <t xml:space="preserve">Objectives: Dengue represents the most important arboviral infection worldwide. Onset of circulatory collapse can be unpredictable. Biomarkers that can identify individuals at risk of plasma leakage may facilitate better triage and clinical management. Design: Using a nested case-control design, we randomly selected subjects from a prospective cohort study of dengue in Colombia (n = 1582). Using serum collected within 96 hours of fever onset, we tested 19 biomarkers by ELISA in cases (developed dengue hemorrhagic fever or dengue shock syndrome (DHF/DSS); n = 46), and controls (uncomplicated dengue fever (DF); n = 65) and healthy controls (HC); n = 15. Results: Ang-1 levels were lower and angptl3, sKDR, sEng, sICAM-1, CRP, CXCL10/IP-10, IL-18 binding protein, CHI3L1, C5a and Factor D levels were increased in dengue compared to HC. sICAM-1, sEng and CXCL10/IP-10 were further elevated in subjects who subsequently developed DHF/DSS (p = 0.008, p = 0.028 and p = 0.025, respectively). In a logistic regression model, age (odds ratio (OR) (95% CI): 0.95 (0.92-0.98), p = 0.001), hyperesthesia/hyperalgesia (OR; 3.8 (1.4-10.4), p = 0.008) and elevated sICAM-1 (&gt;298ng/mL: OR; 6.3 (1.5-25.7), p = 0.011) at presentation were independently associated with progression to DHF/DSS. Conclusions: These results suggest that inflammation and endothelial activation are important pathways in the pathogenesis of dengue and sICAM-1 levels may identify individuals at risk of plasma leakage. (C) 2015 The Authors. Published by Elsevier Ltd on behalf of International Society for Infectious Diseases.</t>
  </si>
  <si>
    <t xml:space="preserve">Canada, Colombia, USA</t>
  </si>
  <si>
    <t xml:space="preserve">INTERNATIONAL JOURNAL OF INFECTIOUS DISEASES</t>
  </si>
  <si>
    <t xml:space="preserve">dengue; biomarkers; pathogenesis; sICAM-1; soluble endoglin; CXCL10</t>
  </si>
  <si>
    <t xml:space="preserve">CELL-ADHESION MOLECULES; MICROVASCULAR ENDOTHELIAL-CELLS; PLASMODIUM-FALCIPARUM MALARIA; VIRUS-INFECTION; INFLAMMATORY CYTOKINES; SOLUBLE ENDOGLIN; ELEVATED LEVELS; PLASMA LEAKAGE; POTENTIAL ROLE; ACTIVATION</t>
  </si>
  <si>
    <t xml:space="preserve">[Conroy, Andrea L.; Rajwans, Nimerta; Tran, Vanessa; Kain, Kevin C.] Univ Toronto, Sandra Rotman Ctr, Sandra A Rotman Labs, Univ Hlth Network,Toronto Gen Hosp, Toronto, ON M5G 1L7, Canada; [Gelvez, Margarita; Angel Villar-Centeno, Luis] Univ Ind Santander, Fac Salud, Ctr Invest Epidemiol, Bucaramanga, Colombia; [Hawkes, Michael] Univ Alberta, Dept Pediat, Edmonton, AB T6G 2E1, Canada; [Liles, W. Conrad] Univ Washington, Dept Med, Seattle, WA 98195 USA; [Kain, Kevin C.] Univ Toronto, Div Infect Dis, Dept Med, Trop Dis Unit, Toronto, ON M5G 2C4, Canada</t>
  </si>
  <si>
    <t xml:space="preserve">University of Toronto; University Health Network Toronto; Toronto General Hospital; Universidad Industrial de Santander; University of Alberta; University of Washington; University of Washington Seattle; University of Toronto</t>
  </si>
  <si>
    <t xml:space="preserve">Kain, KC (corresponding author), MaRS Ctr, Sandra Rotman Ctr Global Hlth, Sandra Rotman Labs, Toronto Med Discovery Tower,Suite 10-360A, Toronto, ON M5G 1L7, Canada.</t>
  </si>
  <si>
    <t xml:space="preserve">andrea.conroy@utoronto.ca; margarita.gelvez@hotmail.com; mthawkes@ualberta.ca; nrajwans@uhnresearch.ca; vanessa.tran@utoronto.ca; WCLiles@medicine.washington.edu; luisangelvillarc@gmail.com; kevin.kain@uhn.ca</t>
  </si>
  <si>
    <t xml:space="preserve">, Michael/AAP-3049-2020; Conroy, Andrea/ABC-5715-2020</t>
  </si>
  <si>
    <t xml:space="preserve">Kain, Kevin/0000-0001-6068-1272; Conroy, Andrea/0000-0002-5328-6511; Villar, Luis/0000-0002-3873-0901; Hawkes, Michael/0000-0002-4122-0937</t>
  </si>
  <si>
    <t xml:space="preserve">Colciencias [1102-459-21561]; Canadian Institutes of Health Research [MOP-115160, MOP-136813, MOP-13721]; Canada Research Chairs; Clinician Scientist Training Award</t>
  </si>
  <si>
    <t xml:space="preserve">Colciencias(Departamento Administrativo de Ciencia, Tecnologia e Innovacion Colciencias); Canadian Institutes of Health Research(Canadian Institutes of Health Research (CIHR)); Canada Research Chairs(Canada Research ChairsCGIAR); Clinician Scientist Training Award</t>
  </si>
  <si>
    <t xml:space="preserve">This work was supported by Colciencias [1102-459-21561 to LAVC] and the Canadian Institutes of Health Research [MOP-115160, MOP-136813 and MOP-13721 to KCK; Canada Research Chairs to KCK and WCL; Clinician Scientist Training Award to MH; Fellowship award to ALC]. The funders had no role is study design, data collection and analysis, decision to publish, or preparation of the manuscript.</t>
  </si>
  <si>
    <t xml:space="preserve">1201-9712</t>
  </si>
  <si>
    <t xml:space="preserve">1878-3511</t>
  </si>
  <si>
    <t xml:space="preserve">INT J INFECT DIS</t>
  </si>
  <si>
    <t xml:space="preserve">Int. J. Infect. Dis.</t>
  </si>
  <si>
    <t xml:space="preserve">10.1016/j.ijid.2015.07.027</t>
  </si>
  <si>
    <t xml:space="preserve">CX3UL</t>
  </si>
  <si>
    <t xml:space="preserve">WOS:000365624800010</t>
  </si>
  <si>
    <t xml:space="preserve">Ekins, S; de Siqueira-Neto, JL; McCall, LI; Sarker, M; Yadav, M; Ponder, EL; Kallel, EA; Kellar, D; Chen, S; Arkin, M; Bunin, BA; McKerrow, JH; Talcott, C</t>
  </si>
  <si>
    <t xml:space="preserve">Ekins, Sean; de Siqueira-Neto, Jair Lage; McCall, Laura-Isobel; Sarker, Malabika; Yadav, Maneesh; Ponder, Elizabeth L.; Kallel, E. Adam; Kellar, Danielle; Chen, Steven; Arkin, Michelle; Bunin, Barry A.; McKerrow, James H.; Talcott, Carolyn</t>
  </si>
  <si>
    <t xml:space="preserve">Machine Learning Models and Pathway Genome Data Base for Trypanosoma cruzi Drug Discovery</t>
  </si>
  <si>
    <t xml:space="preserve">Background Chagas disease is a neglected tropical disease (NTD) caused by the eukaryotic parasite Trypanosoma cruzi. The current clinical and preclinical pipeline for T. cruzi is extremely sparse and lacks drug target diversity. Methodology/Principal Findings In the present study we developed a computational approach that utilized data from several public whole- cell, phenotypic high throughput screens that have been completed for T. cruzi by the Broad Institute, including a single screen of over 300,000 molecules in the search for chemical probes as part of the NIH Molecular Libraries program. We have also compiled and curated relevant biological and chemical compound screening data including (i) compounds and biological activity data from the literature, (ii) high throughput screening datasets, and (iii) predicted metabolites of T. cruzi metabolic pathways. This information was used to help us identify compounds and their potential targets. We have constructed a Pathway Genome Data Base for T. cruzi. In addition, we have developed Bayesian machine learning models that were used to virtually screen libraries of compounds. Ninety-seven compounds were selected for in vitro testing, and 11 of these were found to have EC50 &lt; 10 mu M. We progressed five compounds to an in vivo mouse efficacy model of Chagas disease and validated that the machine learning model could identify in vitro active compounds not in the training set, as well as known positive controls. The antimalarial pyronaridine possessed 85.2% efficacy in the acute Chagas mouse model. We have also proposed potential targets (for future verification) for this compound based on structural similarity to known compounds with targets in T. cruzi. Conclusions/Significance We have demonstrated how combining chemoinformatics and bioinformatics for T. cruzi drug discovery can bring interesting in vivo active molecules to light that may have been overlooked. The approach we have taken is broadly applicable to other NTDs.</t>
  </si>
  <si>
    <t xml:space="preserve">Genome Data</t>
  </si>
  <si>
    <t xml:space="preserve">CHRONIC CHAGAS-DISEASE; IN-VIVO; MYCOBACTERIUM-TUBERCULOSIS; BAYESIAN MODELS; TB MOBILE; ANTITRYPANOSOMAL COMPOUNDS; TRYPANOTHIONE REDUCTASE; MULTIDRUG-RESISTANCE; METABOLIC PATHWAYS; BIOCYC COLLECTION</t>
  </si>
  <si>
    <t xml:space="preserve">[Ekins, Sean; Kallel, E. Adam; Bunin, Barry A.] Collaborat Drug Discovery, Burlingame, CA 94010 USA; [Ekins, Sean] Collaborat Chem, Fuquay Varina, NC USA; [de Siqueira-Neto, Jair Lage; McCall, Laura-Isobel; McKerrow, James H.] Univ Calif San Diego, Skaggs Sch Pharm &amp; Pharmaceut Sci, San Diego, CA 92103 USA; [Sarker, Malabika; Yadav, Maneesh; Talcott, Carolyn] SRI Int, Menlo Pk, CA 94025 USA; [Ponder, Elizabeth L.] Chem Engn &amp; Med Human Hlth ChEM H, Stanford, CA USA; [Kellar, Danielle] Univ Calif San Francisco, Dept Pathol, San Francisco, CA 94140 USA; [Chen, Steven; Arkin, Michelle] Univ Calif San Francisco, Small Mol Discovery Ctr, San Francisco, CA 94143 USA; [Chen, Steven; Arkin, Michelle] Univ Calif San Francisco, Dept Pharmaceut Chem, San Francisco, CA USA</t>
  </si>
  <si>
    <t xml:space="preserve">University of California System; University of California San Diego; SRI International; University of California System; University of California San Francisco; University of California System; University of California San Francisco; University of California System; University of California San Francisco</t>
  </si>
  <si>
    <t xml:space="preserve">Ekins, S (corresponding author), Collaborat Drug Discovery, Burlingame, CA 94010 USA.</t>
  </si>
  <si>
    <t xml:space="preserve">ekinssean@yahoo.com</t>
  </si>
  <si>
    <t xml:space="preserve">Ponder, Elizabeth/E-5147-2011; Sarker, Mohammad/JBR-8207-2023; Arkin, Michelle/AAO-2009-2021; Siqueira-Neto, Jair/D-6040-2012</t>
  </si>
  <si>
    <t xml:space="preserve">Siqueira-Neto, Jair/0000-0001-9574-8174; Arkin, Michelle/0000-0002-9366-6770; McCall, Laura-Isobel/0000-0002-1243-8953</t>
  </si>
  <si>
    <t xml:space="preserve">NIH National Institute of Allergy and Infectious Diseases [R41-AI108003-01]; Fonds de Recherche Sante-Quebec [29361]</t>
  </si>
  <si>
    <t xml:space="preserve">NIH National Institute of Allergy and Infectious Diseases(United States Department of Health &amp; Human ServicesNational Institutes of Health (NIH) - USANIH National Institute of Allergy &amp; Infectious Diseases (NIAID)); Fonds de Recherche Sante-Quebec</t>
  </si>
  <si>
    <t xml:space="preserve">This study was funded by NIH National Institute of Allergy and Infectious Diseases grant R41-AI108003-01 Identification and validation of targets of phenotypic high throughput screening. LIM acknowledges receiving a postdoctoral fellowship from the Fonds de Recherche Sante-Quebec (29361, http://www.frqs.gouv.qc.ca/en/). The funders had no role in study design, data collection and analysis, decision to publish, or preparation of the manuscript.</t>
  </si>
  <si>
    <t xml:space="preserve">e0003878</t>
  </si>
  <si>
    <t xml:space="preserve">10.1371/journal.pntd.0003878</t>
  </si>
  <si>
    <t xml:space="preserve">CM0VX</t>
  </si>
  <si>
    <t xml:space="preserve">WOS:000357398100060</t>
  </si>
</sst>
</file>

<file path=xl/styles.xml><?xml version="1.0" encoding="utf-8"?>
<styleSheet xmlns="http://schemas.openxmlformats.org/spreadsheetml/2006/main">
  <numFmts count="5">
    <numFmt numFmtId="164" formatCode="General"/>
    <numFmt numFmtId="165" formatCode="d\ mmmm"/>
    <numFmt numFmtId="166" formatCode="yyyy\-mmmm"/>
    <numFmt numFmtId="167" formatCode="d\ mmmm\ yyyy"/>
    <numFmt numFmtId="168" formatCode="m\-d"/>
  </numFmts>
  <fonts count="18">
    <font>
      <sz val="11"/>
      <color theme="1"/>
      <name val="Aptos Narrow"/>
      <family val="0"/>
      <charset val="1"/>
    </font>
    <font>
      <sz val="10"/>
      <name val="Arial"/>
      <family val="0"/>
    </font>
    <font>
      <sz val="10"/>
      <name val="Arial"/>
      <family val="0"/>
    </font>
    <font>
      <sz val="10"/>
      <name val="Arial"/>
      <family val="0"/>
    </font>
    <font>
      <b val="true"/>
      <sz val="11"/>
      <color theme="1"/>
      <name val="Arial"/>
      <family val="0"/>
      <charset val="1"/>
    </font>
    <font>
      <b val="true"/>
      <sz val="11"/>
      <color theme="1"/>
      <name val="Aptos Narrow"/>
      <family val="0"/>
      <charset val="1"/>
    </font>
    <font>
      <b val="true"/>
      <sz val="11"/>
      <color theme="1"/>
      <name val="Arial"/>
      <family val="0"/>
    </font>
    <font>
      <sz val="11"/>
      <color theme="1"/>
      <name val="Arial"/>
      <family val="0"/>
      <charset val="1"/>
    </font>
    <font>
      <u val="single"/>
      <sz val="11"/>
      <color rgb="FF0000FF"/>
      <name val="Arial"/>
      <family val="0"/>
      <charset val="1"/>
    </font>
    <font>
      <sz val="11"/>
      <color theme="1"/>
      <name val="PingFang SC"/>
      <family val="0"/>
      <charset val="1"/>
    </font>
    <font>
      <sz val="11"/>
      <color rgb="FF000000"/>
      <name val="Aptos Narrow"/>
      <family val="0"/>
      <charset val="1"/>
    </font>
    <font>
      <sz val="11"/>
      <color rgb="FF000000"/>
      <name val="Arial"/>
      <family val="0"/>
      <charset val="1"/>
    </font>
    <font>
      <u val="single"/>
      <sz val="11"/>
      <color rgb="FF000000"/>
      <name val="Arial"/>
      <family val="0"/>
      <charset val="1"/>
    </font>
    <font>
      <sz val="11"/>
      <color theme="1"/>
      <name val="Arial Unicode MS"/>
      <family val="0"/>
      <charset val="1"/>
    </font>
    <font>
      <sz val="11"/>
      <color theme="9"/>
      <name val="Arial"/>
      <family val="0"/>
      <charset val="1"/>
    </font>
    <font>
      <u val="single"/>
      <sz val="11"/>
      <color theme="1"/>
      <name val="Aptos Narrow"/>
      <family val="0"/>
      <charset val="1"/>
    </font>
    <font>
      <u val="single"/>
      <sz val="11"/>
      <color rgb="FF0000FF"/>
      <name val="Cambria"/>
      <family val="0"/>
      <charset val="1"/>
    </font>
    <font>
      <sz val="11"/>
      <color theme="1"/>
      <name val="Cambria"/>
      <family val="0"/>
      <charset val="1"/>
    </font>
  </fonts>
  <fills count="7">
    <fill>
      <patternFill patternType="none"/>
    </fill>
    <fill>
      <patternFill patternType="gray125"/>
    </fill>
    <fill>
      <patternFill patternType="solid">
        <fgColor rgb="FFFFC000"/>
        <bgColor rgb="FFFF9900"/>
      </patternFill>
    </fill>
    <fill>
      <patternFill patternType="solid">
        <fgColor theme="0"/>
        <bgColor rgb="FFFFFFCC"/>
      </patternFill>
    </fill>
    <fill>
      <patternFill patternType="solid">
        <fgColor rgb="FF980000"/>
        <bgColor rgb="FF800000"/>
      </patternFill>
    </fill>
    <fill>
      <patternFill patternType="solid">
        <fgColor rgb="FF83CAEB"/>
        <bgColor rgb="FFC0C0C0"/>
      </patternFill>
    </fill>
    <fill>
      <patternFill patternType="solid">
        <fgColor rgb="FFFFFF00"/>
        <bgColor rgb="FFFFFF00"/>
      </patternFill>
    </fill>
  </fills>
  <borders count="1">
    <border diagonalUp="false" diagonalDown="false">
      <left/>
      <right/>
      <top/>
      <bottom/>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43">
    <xf numFmtId="164" fontId="0" fillId="0" borderId="0" xfId="0" applyFont="fals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true">
      <alignment horizontal="general" vertical="bottom" textRotation="0" wrapText="false" indent="0" shrinkToFit="false"/>
      <protection locked="true" hidden="false"/>
    </xf>
    <xf numFmtId="164" fontId="4" fillId="2" borderId="0" xfId="0" applyFont="true" applyBorder="true" applyAlignment="true" applyProtection="true">
      <alignment horizontal="center" vertical="bottom" textRotation="0" wrapText="false" indent="0" shrinkToFit="false"/>
      <protection locked="true" hidden="false"/>
    </xf>
    <xf numFmtId="164" fontId="5" fillId="2" borderId="0" xfId="0" applyFont="true" applyBorder="true" applyAlignment="true" applyProtection="true">
      <alignment horizontal="center" vertical="bottom" textRotation="0" wrapText="false" indent="0" shrinkToFit="false"/>
      <protection locked="true" hidden="false"/>
    </xf>
    <xf numFmtId="164" fontId="4" fillId="2" borderId="0" xfId="0" applyFont="true" applyBorder="true" applyAlignment="true" applyProtection="true">
      <alignment horizontal="center" vertical="bottom" textRotation="0" wrapText="true" indent="0" shrinkToFit="false"/>
      <protection locked="true" hidden="false"/>
    </xf>
    <xf numFmtId="164" fontId="6" fillId="2" borderId="0" xfId="0" applyFont="true" applyBorder="true" applyAlignment="true" applyProtection="true">
      <alignment horizontal="center" vertical="bottom" textRotation="0" wrapText="false" indent="0" shrinkToFit="false"/>
      <protection locked="true" hidden="false"/>
    </xf>
    <xf numFmtId="164" fontId="7" fillId="0" borderId="0" xfId="0" applyFont="true" applyBorder="false" applyAlignment="true" applyProtection="true">
      <alignment horizontal="general" vertical="bottom" textRotation="0" wrapText="false" indent="0" shrinkToFit="false"/>
      <protection locked="true" hidden="false"/>
    </xf>
    <xf numFmtId="164" fontId="0" fillId="0" borderId="0" xfId="0" applyFont="true" applyBorder="false" applyAlignment="true" applyProtection="true">
      <alignment horizontal="general" vertical="bottom" textRotation="0" wrapText="false" indent="0" shrinkToFit="false"/>
      <protection locked="true" hidden="false"/>
    </xf>
    <xf numFmtId="164" fontId="7" fillId="0" borderId="0" xfId="0" applyFont="true" applyBorder="false" applyAlignment="true" applyProtection="true">
      <alignment horizontal="general" vertical="bottom" textRotation="0" wrapText="true" indent="0" shrinkToFit="false"/>
      <protection locked="true" hidden="false"/>
    </xf>
    <xf numFmtId="164" fontId="8" fillId="0" borderId="0" xfId="0" applyFont="true" applyBorder="false" applyAlignment="true" applyProtection="true">
      <alignment horizontal="general" vertical="bottom" textRotation="0" wrapText="false" indent="0" shrinkToFit="false"/>
      <protection locked="true" hidden="false"/>
    </xf>
    <xf numFmtId="164" fontId="0" fillId="0" borderId="0" xfId="0" applyFont="true" applyBorder="false" applyAlignment="true" applyProtection="true">
      <alignment horizontal="general" vertical="bottom" textRotation="0" wrapText="true" indent="0" shrinkToFit="false"/>
      <protection locked="true" hidden="false"/>
    </xf>
    <xf numFmtId="165" fontId="0" fillId="0" borderId="0" xfId="0" applyFont="true" applyBorder="false" applyAlignment="true" applyProtection="true">
      <alignment horizontal="general" vertical="bottom" textRotation="0" wrapText="false" indent="0" shrinkToFit="false"/>
      <protection locked="true" hidden="false"/>
    </xf>
    <xf numFmtId="166" fontId="0" fillId="0" borderId="0" xfId="0" applyFont="true" applyBorder="false" applyAlignment="true" applyProtection="true">
      <alignment horizontal="general" vertical="bottom" textRotation="0" wrapText="false" indent="0" shrinkToFit="false"/>
      <protection locked="true" hidden="false"/>
    </xf>
    <xf numFmtId="164" fontId="10" fillId="3" borderId="0" xfId="0" applyFont="true" applyBorder="false" applyAlignment="true" applyProtection="true">
      <alignment horizontal="general" vertical="bottom" textRotation="0" wrapText="false" indent="0" shrinkToFit="false"/>
      <protection locked="true" hidden="false"/>
    </xf>
    <xf numFmtId="164" fontId="11" fillId="3" borderId="0" xfId="0" applyFont="true" applyBorder="false" applyAlignment="true" applyProtection="true">
      <alignment horizontal="general" vertical="bottom" textRotation="0" wrapText="true" indent="0" shrinkToFit="false"/>
      <protection locked="true" hidden="false"/>
    </xf>
    <xf numFmtId="164" fontId="11" fillId="3" borderId="0" xfId="0" applyFont="true" applyBorder="false" applyAlignment="true" applyProtection="true">
      <alignment horizontal="general" vertical="bottom" textRotation="0" wrapText="false" indent="0" shrinkToFit="false"/>
      <protection locked="true" hidden="false"/>
    </xf>
    <xf numFmtId="164" fontId="12" fillId="3" borderId="0" xfId="0" applyFont="true" applyBorder="false" applyAlignment="true" applyProtection="true">
      <alignment horizontal="general" vertical="bottom" textRotation="0" wrapText="false" indent="0" shrinkToFit="false"/>
      <protection locked="true" hidden="false"/>
    </xf>
    <xf numFmtId="164" fontId="10" fillId="3" borderId="0" xfId="0" applyFont="true" applyBorder="false" applyAlignment="true" applyProtection="true">
      <alignment horizontal="general" vertical="bottom" textRotation="0" wrapText="true" indent="0" shrinkToFit="false"/>
      <protection locked="true" hidden="false"/>
    </xf>
    <xf numFmtId="164" fontId="0" fillId="4" borderId="0" xfId="0" applyFont="true" applyBorder="false" applyAlignment="true" applyProtection="true">
      <alignment horizontal="general" vertical="bottom" textRotation="0" wrapText="false" indent="0" shrinkToFit="false"/>
      <protection locked="true" hidden="false"/>
    </xf>
    <xf numFmtId="164" fontId="7" fillId="4" borderId="0" xfId="0" applyFont="true" applyBorder="false" applyAlignment="true" applyProtection="true">
      <alignment horizontal="general" vertical="bottom" textRotation="0" wrapText="true" indent="0" shrinkToFit="false"/>
      <protection locked="true" hidden="false"/>
    </xf>
    <xf numFmtId="164" fontId="7" fillId="4" borderId="0" xfId="0" applyFont="true" applyBorder="false" applyAlignment="true" applyProtection="true">
      <alignment horizontal="general" vertical="bottom" textRotation="0" wrapText="false" indent="0" shrinkToFit="false"/>
      <protection locked="true" hidden="false"/>
    </xf>
    <xf numFmtId="164" fontId="0" fillId="4" borderId="0" xfId="0" applyFont="true" applyBorder="false" applyAlignment="true" applyProtection="true">
      <alignment horizontal="general" vertical="bottom" textRotation="0" wrapText="true" indent="0" shrinkToFit="false"/>
      <protection locked="true" hidden="false"/>
    </xf>
    <xf numFmtId="167" fontId="0" fillId="0" borderId="0" xfId="0" applyFont="true" applyBorder="false" applyAlignment="true" applyProtection="true">
      <alignment horizontal="general" vertical="bottom" textRotation="0" wrapText="false" indent="0" shrinkToFit="false"/>
      <protection locked="true" hidden="false"/>
    </xf>
    <xf numFmtId="168" fontId="0" fillId="0" borderId="0" xfId="0" applyFont="true" applyBorder="false" applyAlignment="true" applyProtection="true">
      <alignment horizontal="general" vertical="bottom" textRotation="0" wrapText="false" indent="0" shrinkToFit="false"/>
      <protection locked="true" hidden="false"/>
    </xf>
    <xf numFmtId="164" fontId="14" fillId="0" borderId="0" xfId="0" applyFont="true" applyBorder="false" applyAlignment="true" applyProtection="true">
      <alignment horizontal="general" vertical="bottom" textRotation="0" wrapText="false" indent="0" shrinkToFit="false"/>
      <protection locked="true" hidden="false"/>
    </xf>
    <xf numFmtId="164" fontId="15" fillId="0" borderId="0" xfId="0" applyFont="true" applyBorder="false" applyAlignment="true" applyProtection="true">
      <alignment horizontal="general" vertical="bottom" textRotation="0" wrapText="true" indent="0" shrinkToFit="false"/>
      <protection locked="true" hidden="false"/>
    </xf>
    <xf numFmtId="164" fontId="4" fillId="5" borderId="0" xfId="0" applyFont="true" applyBorder="true" applyAlignment="true" applyProtection="true">
      <alignment horizontal="general" vertical="bottom" textRotation="0" wrapText="false" indent="0" shrinkToFit="false"/>
      <protection locked="true" hidden="false"/>
    </xf>
    <xf numFmtId="164" fontId="5" fillId="5" borderId="0" xfId="0" applyFont="true" applyBorder="true" applyAlignment="true" applyProtection="true">
      <alignment horizontal="general" vertical="bottom" textRotation="0" wrapText="false" indent="0" shrinkToFit="false"/>
      <protection locked="true" hidden="false"/>
    </xf>
    <xf numFmtId="164" fontId="4" fillId="5" borderId="0" xfId="0" applyFont="true" applyBorder="true" applyAlignment="true" applyProtection="true">
      <alignment horizontal="general" vertical="bottom" textRotation="0" wrapText="true" indent="0" shrinkToFit="false"/>
      <protection locked="true" hidden="false"/>
    </xf>
    <xf numFmtId="164" fontId="6" fillId="5" borderId="0" xfId="0" applyFont="true" applyBorder="true" applyAlignment="true" applyProtection="true">
      <alignment horizontal="general" vertical="bottom" textRotation="0" wrapText="true" indent="0" shrinkToFit="false"/>
      <protection locked="true" hidden="false"/>
    </xf>
    <xf numFmtId="164" fontId="16" fillId="0" borderId="0" xfId="0" applyFont="true" applyBorder="false" applyAlignment="true" applyProtection="true">
      <alignment horizontal="general" vertical="bottom" textRotation="0" wrapText="false" indent="0" shrinkToFit="false"/>
      <protection locked="true" hidden="false"/>
    </xf>
    <xf numFmtId="164" fontId="0" fillId="6" borderId="0" xfId="0" applyFont="true" applyBorder="true" applyAlignment="true" applyProtection="true">
      <alignment horizontal="general" vertical="bottom" textRotation="0" wrapText="false" indent="0" shrinkToFit="false"/>
      <protection locked="true" hidden="false"/>
    </xf>
    <xf numFmtId="164" fontId="7" fillId="6" borderId="0" xfId="0" applyFont="true" applyBorder="true" applyAlignment="true" applyProtection="true">
      <alignment horizontal="general" vertical="bottom" textRotation="0" wrapText="true" indent="0" shrinkToFit="false"/>
      <protection locked="true" hidden="false"/>
    </xf>
    <xf numFmtId="164" fontId="7" fillId="6" borderId="0" xfId="0" applyFont="true" applyBorder="true" applyAlignment="true" applyProtection="true">
      <alignment horizontal="general" vertical="bottom" textRotation="0" wrapText="false" indent="0" shrinkToFit="false"/>
      <protection locked="true" hidden="false"/>
    </xf>
    <xf numFmtId="164" fontId="0" fillId="6" borderId="0" xfId="0" applyFont="true" applyBorder="true" applyAlignment="true" applyProtection="true">
      <alignment horizontal="general" vertical="bottom" textRotation="0" wrapText="true" indent="0" shrinkToFit="false"/>
      <protection locked="true" hidden="false"/>
    </xf>
    <xf numFmtId="164" fontId="16" fillId="6" borderId="0" xfId="0" applyFont="true" applyBorder="true" applyAlignment="true" applyProtection="true">
      <alignment horizontal="general" vertical="bottom" textRotation="0" wrapText="false" indent="0" shrinkToFit="false"/>
      <protection locked="true" hidden="false"/>
    </xf>
    <xf numFmtId="164" fontId="15" fillId="6" borderId="0" xfId="0" applyFont="true" applyBorder="true" applyAlignment="true" applyProtection="true">
      <alignment horizontal="general" vertical="bottom" textRotation="0" wrapText="false" indent="0" shrinkToFit="false"/>
      <protection locked="true" hidden="false"/>
    </xf>
    <xf numFmtId="164" fontId="9" fillId="6" borderId="0" xfId="0" applyFont="true" applyBorder="true" applyAlignment="true" applyProtection="true">
      <alignment horizontal="general" vertical="bottom" textRotation="0" wrapText="false" indent="0" shrinkToFit="false"/>
      <protection locked="true" hidden="false"/>
    </xf>
    <xf numFmtId="164" fontId="0" fillId="4" borderId="0" xfId="0" applyFont="true" applyBorder="true" applyAlignment="true" applyProtection="true">
      <alignment horizontal="general" vertical="bottom" textRotation="0" wrapText="false" indent="0" shrinkToFit="false"/>
      <protection locked="true" hidden="false"/>
    </xf>
    <xf numFmtId="164" fontId="0" fillId="4" borderId="0" xfId="0" applyFont="true" applyBorder="true" applyAlignment="true" applyProtection="true">
      <alignment horizontal="general" vertical="bottom" textRotation="0" wrapText="true" indent="0" shrinkToFit="false"/>
      <protection locked="true" hidden="false"/>
    </xf>
    <xf numFmtId="164" fontId="7" fillId="4" borderId="0" xfId="0" applyFont="true" applyBorder="true" applyAlignment="true" applyProtection="true">
      <alignment horizontal="general" vertical="bottom" textRotation="0" wrapText="false" indent="0" shrinkToFit="false"/>
      <protection locked="true" hidden="false"/>
    </xf>
    <xf numFmtId="164" fontId="7" fillId="4" borderId="0" xfId="0" applyFont="true" applyBorder="true" applyAlignment="true" applyProtection="true">
      <alignment horizontal="general" vertical="bottom" textRotation="0" wrapText="true" indent="0" shrinkToFit="false"/>
      <protection locked="true" hidden="false"/>
    </xf>
    <xf numFmtId="164" fontId="17" fillId="4" borderId="0" xfId="0" applyFont="true" applyBorder="true" applyAlignment="true" applyProtection="true">
      <alignment horizontal="general" vertical="bottom" textRotation="0" wrapText="fals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dxfs count="4">
    <dxf>
      <fill>
        <patternFill patternType="solid">
          <fgColor rgb="FF980000"/>
          <bgColor rgb="FF000000"/>
        </patternFill>
      </fill>
    </dxf>
    <dxf>
      <fill>
        <patternFill patternType="solid">
          <fgColor rgb="FFFFC000"/>
          <bgColor rgb="FF000000"/>
        </patternFill>
      </fill>
    </dxf>
    <dxf>
      <fill>
        <patternFill patternType="solid">
          <bgColor rgb="FF000000"/>
        </patternFill>
      </fill>
    </dxf>
    <dxf>
      <fill>
        <patternFill patternType="solid">
          <fgColor rgb="FF000000"/>
          <bgColor rgb="FF000000"/>
        </patternFill>
      </fill>
    </dxf>
  </dxfs>
  <colors>
    <indexedColors>
      <rgbColor rgb="FF000000"/>
      <rgbColor rgb="FFFFFFFF"/>
      <rgbColor rgb="FFFF0000"/>
      <rgbColor rgb="FF00FF00"/>
      <rgbColor rgb="FF0000FF"/>
      <rgbColor rgb="FFFFFF00"/>
      <rgbColor rgb="FFFF00FF"/>
      <rgbColor rgb="FF00FFFF"/>
      <rgbColor rgb="FF98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83CAEB"/>
      <rgbColor rgb="FFFF99CC"/>
      <rgbColor rgb="FFCC99FF"/>
      <rgbColor rgb="FFFFCC99"/>
      <rgbColor rgb="FF3366FF"/>
      <rgbColor rgb="FF33CCCC"/>
      <rgbColor rgb="FF99CC00"/>
      <rgbColor rgb="FFFFC000"/>
      <rgbColor rgb="FFFF9900"/>
      <rgbColor rgb="FFFF6600"/>
      <rgbColor rgb="FF666699"/>
      <rgbColor rgb="FF969696"/>
      <rgbColor rgb="FF003366"/>
      <rgbColor rgb="FF4EA72E"/>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sharedStrings" Target="sharedStrings.xml"/>
</Relationships>
</file>

<file path=xl/drawings/drawing1.xml><?xml version="1.0" encoding="utf-8"?>
<xdr:wsDr xmlns:xdr="http://schemas.openxmlformats.org/drawingml/2006/spreadsheetDrawing" xmlns:a="http://schemas.openxmlformats.org/drawingml/2006/main" xmlns:r="http://schemas.openxmlformats.org/officeDocument/2006/relationships"/>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467886"/>
      </a:folHlink>
    </a:clrScheme>
    <a:fontScheme name="Sheets">
      <a:majorFont>
        <a:latin typeface="Aptos Narrow" pitchFamily="0" charset="1"/>
        <a:ea typeface="Aptos Narrow" pitchFamily="0" charset="1"/>
        <a:cs typeface="Aptos Narrow" pitchFamily="0" charset="1"/>
      </a:majorFont>
      <a:minorFont>
        <a:latin typeface="Aptos Narrow" pitchFamily="0" charset="1"/>
        <a:ea typeface="Aptos Narrow" pitchFamily="0" charset="1"/>
        <a:cs typeface="Aptos Narrow" pitchFamily="0" charset="1"/>
      </a:minorFont>
    </a:fontScheme>
    <a:fmtScheme>
      <a:fillStyleLst>
        <a:solidFill>
          <a:schemeClr val="phClr"/>
        </a:solidFill>
        <a:gradFill>
          <a:gsLst>
            <a:gs pos="0">
              <a:schemeClr val="phClr">
                <a:lumMod val="110000"/>
                <a:tint val="67000"/>
              </a:schemeClr>
            </a:gs>
            <a:gs pos="50000">
              <a:schemeClr val="phClr">
                <a:lumMod val="105000"/>
                <a:tint val="73000"/>
              </a:schemeClr>
            </a:gs>
            <a:gs pos="100000">
              <a:schemeClr val="phClr">
                <a:lumMod val="105000"/>
                <a:tint val="81000"/>
              </a:schemeClr>
            </a:gs>
          </a:gsLst>
          <a:lin ang="5400000" scaled="0"/>
          <a:tileRect l="0" t="0" r="0" b="0"/>
        </a:gradFill>
        <a:gradFill>
          <a:gsLst>
            <a:gs pos="0">
              <a:schemeClr val="phClr">
                <a:lumMod val="102000"/>
                <a:tint val="94000"/>
              </a:schemeClr>
            </a:gs>
            <a:gs pos="50000">
              <a:schemeClr val="phClr">
                <a:lumMod val="100000"/>
                <a:shade val="100000"/>
              </a:schemeClr>
            </a:gs>
            <a:gs pos="100000">
              <a:schemeClr val="phClr">
                <a:lumMod val="99000"/>
                <a:shade val="78000"/>
              </a:schemeClr>
            </a:gs>
          </a:gsLst>
          <a:lin ang="5400000" scaled="0"/>
          <a:tileRect l="0" t="0" r="0" b="0"/>
        </a:gradFill>
      </a:fillStyleLst>
      <a:lnStyleLst>
        <a:ln w="6350" cap="flat" cmpd="sng" algn="ctr">
          <a:prstDash val="solid"/>
          <a:miter lim="800000"/>
        </a:ln>
        <a:ln w="12700" cap="flat" cmpd="sng" algn="ctr">
          <a:prstDash val="solid"/>
          <a:miter lim="800000"/>
        </a:ln>
        <a:ln w="19050" cap="flat" cmpd="sng" algn="ctr">
          <a:prstDash val="solid"/>
          <a:miter lim="800000"/>
        </a:ln>
      </a:lnStyleLst>
      <a:effectStyleLst>
        <a:effectStyle>
          <a:effectLst/>
        </a:effectStyle>
        <a:effectStyle>
          <a:effectLst/>
        </a:effectStyle>
        <a:effectStyle>
          <a:effectLst/>
        </a:effectStyle>
      </a:effectStyleLst>
      <a:bgFillStyleLst>
        <a:solidFill>
          <a:schemeClr val="phClr"/>
        </a:solidFill>
        <a:solidFill>
          <a:schemeClr val="phClr">
            <a:tint val="95000"/>
          </a:schemeClr>
        </a:solidFill>
        <a:gradFill>
          <a:gsLst>
            <a:gs pos="0">
              <a:schemeClr val="phClr">
                <a:tint val="93000"/>
                <a:shade val="98000"/>
                <a:lumMod val="102000"/>
              </a:schemeClr>
            </a:gs>
            <a:gs pos="50000">
              <a:schemeClr val="phClr">
                <a:tint val="98000"/>
                <a:shade val="90000"/>
                <a:lumMod val="103000"/>
              </a:schemeClr>
            </a:gs>
            <a:gs pos="100000">
              <a:schemeClr val="phClr">
                <a:shade val="63000"/>
              </a:schemeClr>
            </a:gs>
          </a:gsLst>
          <a:lin ang="5400000" scaled="0"/>
          <a:tileRect l="0" t="0" r="0" b="0"/>
        </a:gradFill>
      </a:bgFillStyleLst>
    </a:fmtScheme>
  </a:themeElements>
</a:theme>
</file>

<file path=xl/worksheets/_rels/sheet1.xml.rels><?xml version="1.0" encoding="UTF-8"?>
<Relationships xmlns="http://schemas.openxmlformats.org/package/2006/relationships"><Relationship Id="rId1" Type="http://schemas.openxmlformats.org/officeDocument/2006/relationships/hyperlink" Target="https://www.scopus.com/inward/record.uri?eid=2-s2.0-85212564580&amp;doi=10.1016%2Fj.compbiomed.2024.109547&amp;partnerID=40&amp;md5=d6dd80812460785109f2568a363bd840" TargetMode="External"/><Relationship Id="rId2" Type="http://schemas.openxmlformats.org/officeDocument/2006/relationships/hyperlink" Target="https://www.scopus.com/inward/record.uri?eid=2-s2.0-85216015146&amp;doi=10.1016%2Fj.compbiomed.2025.109704&amp;partnerID=40&amp;md5=aa4cbde137bb1833c54f232d1c7e79e0" TargetMode="External"/><Relationship Id="rId3" Type="http://schemas.openxmlformats.org/officeDocument/2006/relationships/hyperlink" Target="https://www.scopus.com/inward/record.uri?eid=2-s2.0-85216740526&amp;doi=10.47738%2Fjads.v6i1.445&amp;partnerID=40&amp;md5=64e5b60a12da29c312c22a1801c4972e" TargetMode="External"/><Relationship Id="rId4" Type="http://schemas.openxmlformats.org/officeDocument/2006/relationships/hyperlink" Target="https://www.scopus.com/inward/record.uri?eid=2-s2.0-85215974669&amp;doi=10.3390%2Fijerph22010047&amp;partnerID=40&amp;md5=555c779bad1c779d9642eaeb78ed6736" TargetMode="External"/><Relationship Id="rId5" Type="http://schemas.openxmlformats.org/officeDocument/2006/relationships/hyperlink" Target="https://www.scopus.com/inward/record.uri?eid=2-s2.0-85212537406&amp;doi=10.1016%2Fj.compbiomed.2024.109593&amp;partnerID=40&amp;md5=429996f78d2a4e78d388c870de3e7779" TargetMode="External"/><Relationship Id="rId6" Type="http://schemas.openxmlformats.org/officeDocument/2006/relationships/hyperlink" Target="https://www.scopus.com/inward/record.uri?eid=2-s2.0-85208324910&amp;doi=10.1016%2Fj.idm.2024.10.005&amp;partnerID=40&amp;md5=be2cff9b9eb2263ba6a23f350d2096fe" TargetMode="External"/><Relationship Id="rId7" Type="http://schemas.openxmlformats.org/officeDocument/2006/relationships/hyperlink" Target="https://www.scopus.com/inward/record.uri?eid=2-s2.0-85216609892&amp;doi=10.1016%2Fj.compbiolchem.2025.108365&amp;partnerID=40&amp;md5=313236a923d8db621582b1a7e82a0254" TargetMode="External"/><Relationship Id="rId8" Type="http://schemas.openxmlformats.org/officeDocument/2006/relationships/hyperlink" Target="https://www.scopus.com/inward/record.uri?eid=2-s2.0-85217008047&amp;doi=10.1109%2FACCESS.2025.3537168&amp;partnerID=40&amp;md5=73e52740ea866acc08c71c1e04f9643b" TargetMode="External"/><Relationship Id="rId9" Type="http://schemas.openxmlformats.org/officeDocument/2006/relationships/hyperlink" Target="https://www.scopus.com/inward/record.uri?eid=2-s2.0-85216770548&amp;doi=10.1016%2Fj.mex.2025.103198&amp;partnerID=40&amp;md5=616ae2073e642a5c37dd2a8210601d1c" TargetMode="External"/><Relationship Id="rId10" Type="http://schemas.openxmlformats.org/officeDocument/2006/relationships/hyperlink" Target="https://www.scopus.com/inward/record.uri?eid=2-s2.0-85206513035&amp;doi=10.1016%2Fj.ijcard.2024.132636&amp;partnerID=40&amp;md5=94de8b8ab246ee3330acf8f0983a684e" TargetMode="External"/><Relationship Id="rId11" Type="http://schemas.openxmlformats.org/officeDocument/2006/relationships/hyperlink" Target="https://www.scopus.com/inward/record.uri?eid=2-s2.0-85216565754&amp;doi=10.62110%2Fsciencein.jist.2025.v13.1055&amp;partnerID=40&amp;md5=77e58d5011d771dcabe9b80276b4b4a6" TargetMode="External"/><Relationship Id="rId12" Type="http://schemas.openxmlformats.org/officeDocument/2006/relationships/hyperlink" Target="https://www.scopus.com/inward/record.uri?eid=2-s2.0-85216768961&amp;doi=10.1007%2F978-3-031-72215-8_4&amp;partnerID=40&amp;md5=9fb4874a6a8780f173690cc81e0dc766" TargetMode="External"/><Relationship Id="rId13" Type="http://schemas.openxmlformats.org/officeDocument/2006/relationships/hyperlink" Target="https://www.scopus.com/inward/record.uri?eid=2-s2.0-85216826738&amp;doi=10.1201%2F9781003606635-24&amp;partnerID=40&amp;md5=7435845e428a449ab57cb0b2a06d7e09" TargetMode="External"/><Relationship Id="rId14" Type="http://schemas.openxmlformats.org/officeDocument/2006/relationships/hyperlink" Target="https://www.scopus.com/inward/record.uri?eid=2-s2.0-85216702360&amp;doi=10.1201%2F9781003487012-4&amp;partnerID=40&amp;md5=acaaba70619720328790648fea50f9a7" TargetMode="External"/><Relationship Id="rId15" Type="http://schemas.openxmlformats.org/officeDocument/2006/relationships/hyperlink" Target="https://www.scopus.com/inward/record.uri?eid=2-s2.0-85209561129&amp;doi=10.1007%2F978-981-97-9793-6_19&amp;partnerID=40&amp;md5=5a532f2a3adc174f919138f030774d1c" TargetMode="External"/><Relationship Id="rId16" Type="http://schemas.openxmlformats.org/officeDocument/2006/relationships/hyperlink" Target="https://www.scopus.com/inward/record.uri?eid=2-s2.0-85209224900&amp;doi=10.1201%2F9781003561651-49&amp;partnerID=40&amp;md5=575f762b2d704760eb4f7d082b1fc81d" TargetMode="External"/><Relationship Id="rId17" Type="http://schemas.openxmlformats.org/officeDocument/2006/relationships/hyperlink" Target="https://www.scopus.com/inward/record.uri?eid=2-s2.0-85207851845&amp;doi=10.1007%2F978-981-97-3937-0_41&amp;partnerID=40&amp;md5=9cdd3a752b25032dab90ac295768f316" TargetMode="External"/><Relationship Id="rId18" Type="http://schemas.openxmlformats.org/officeDocument/2006/relationships/hyperlink" Target="https://www.scopus.com/inward/record.uri?eid=2-s2.0-85208016847&amp;doi=10.1007%2F978-3-031-70906-7_28&amp;partnerID=40&amp;md5=45c835086c79e2470855892a0e0c3dda" TargetMode="External"/><Relationship Id="rId19" Type="http://schemas.openxmlformats.org/officeDocument/2006/relationships/hyperlink" Target="https://www.scopus.com/inward/record.uri?eid=2-s2.0-85196596893&amp;doi=10.1093%2Fbiomtc%2Fujae057&amp;partnerID=40&amp;md5=3e5cb1a6056cb6a5c5b7baa9e7edc56a" TargetMode="External"/><Relationship Id="rId20" Type="http://schemas.openxmlformats.org/officeDocument/2006/relationships/hyperlink" Target="https://www.scopus.com/inward/record.uri?eid=2-s2.0-85186253543&amp;doi=10.11591%2Feei.v13i1.5485&amp;partnerID=40&amp;md5=5de24fc4191832cbb9921b4699e18edb" TargetMode="External"/><Relationship Id="rId21" Type="http://schemas.openxmlformats.org/officeDocument/2006/relationships/hyperlink" Target="https://www.scopus.com/inward/record.uri?eid=2-s2.0-85188424290&amp;doi=10.1109%2FACCESS.2024.3378575&amp;partnerID=40&amp;md5=df9c47e783e0c5a6509445543af8b711" TargetMode="External"/><Relationship Id="rId22" Type="http://schemas.openxmlformats.org/officeDocument/2006/relationships/hyperlink" Target="https://www.scopus.com/inward/record.uri?eid=2-s2.0-85200886209&amp;doi=10.1007%2Fs00521-024-10219-w&amp;partnerID=40&amp;md5=282ae4ef1d81a8bd793ab074229d3660" TargetMode="External"/><Relationship Id="rId23" Type="http://schemas.openxmlformats.org/officeDocument/2006/relationships/hyperlink" Target="https://www.scopus.com/inward/record.uri?eid=2-s2.0-85213037753&amp;doi=10.1002%2Flrh2.10478&amp;partnerID=40&amp;md5=af0d5da9dd43142ddd28ddfe34b3a13f" TargetMode="External"/><Relationship Id="rId24" Type="http://schemas.openxmlformats.org/officeDocument/2006/relationships/hyperlink" Target="https://www.scopus.com/inward/record.uri?eid=2-s2.0-85208467725&amp;doi=10.4103%2Fjnsbm.JNSBM_15_2_23&amp;partnerID=40&amp;md5=f56e0214c0e3395cfbe5ef6e942bfa1a" TargetMode="External"/><Relationship Id="rId25" Type="http://schemas.openxmlformats.org/officeDocument/2006/relationships/hyperlink" Target="https://www.scopus.com/inward/record.uri?eid=2-s2.0-85200592819&amp;doi=10.1371%2Fjournal.pcbi.1012327&amp;partnerID=40&amp;md5=aeaff8122177125a1055d6e0fe5d702e" TargetMode="External"/><Relationship Id="rId26" Type="http://schemas.openxmlformats.org/officeDocument/2006/relationships/hyperlink" Target="https://www.scopus.com/inward/record.uri?eid=2-s2.0-85186665389&amp;partnerID=40&amp;md5=35d0bc64fd6a948112a52c781007b510" TargetMode="External"/><Relationship Id="rId27" Type="http://schemas.openxmlformats.org/officeDocument/2006/relationships/hyperlink" Target="https://www.scopus.com/inward/record.uri?eid=2-s2.0-85181836810&amp;doi=10.1021%2Facs.jcim.3c01410&amp;partnerID=40&amp;md5=fb2a46fc0d6bed85672170c71c75ebd7" TargetMode="External"/><Relationship Id="rId28" Type="http://schemas.openxmlformats.org/officeDocument/2006/relationships/hyperlink" Target="https://www.scopus.com/inward/record.uri?eid=2-s2.0-85215396895&amp;partnerID=40&amp;md5=513184694688e2076ca15161fa32665e" TargetMode="External"/><Relationship Id="rId29" Type="http://schemas.openxmlformats.org/officeDocument/2006/relationships/hyperlink" Target="https://www.scopus.com/inward/record.uri?eid=2-s2.0-85214095556&amp;doi=10.22354%2F24223794.1201&amp;partnerID=40&amp;md5=d455437fc1cc546004965cdf99ef2c0f" TargetMode="External"/><Relationship Id="rId30" Type="http://schemas.openxmlformats.org/officeDocument/2006/relationships/hyperlink" Target="https://www.scopus.com/inward/record.uri?eid=2-s2.0-85190757480&amp;doi=10.1007%2Fs11042-024-19062-6&amp;partnerID=40&amp;md5=6541a78669dafc592017ea52d5cff7f2" TargetMode="External"/><Relationship Id="rId31" Type="http://schemas.openxmlformats.org/officeDocument/2006/relationships/hyperlink" Target="https://www.scopus.com/inward/record.uri?eid=2-s2.0-85208771777&amp;doi=10.4269%2Fajtmh.24-0135&amp;partnerID=40&amp;md5=c8671630f07771e7a38c4df9c7886fc5" TargetMode="External"/><Relationship Id="rId32" Type="http://schemas.openxmlformats.org/officeDocument/2006/relationships/hyperlink" Target="https://www.scopus.com/inward/record.uri?eid=2-s2.0-85203098471&amp;doi=10.4103%2Ftp.tp_66_23&amp;partnerID=40&amp;md5=b68a4778f47cb14a232c4c35f144f451" TargetMode="External"/><Relationship Id="rId33" Type="http://schemas.openxmlformats.org/officeDocument/2006/relationships/hyperlink" Target="https://www.scopus.com/inward/record.uri?eid=2-s2.0-85211123747&amp;doi=10.3934%2Fmath.20241599&amp;partnerID=40&amp;md5=f4a6c4d9868f3ffd02b8c13c47a0bf69" TargetMode="External"/><Relationship Id="rId34" Type="http://schemas.openxmlformats.org/officeDocument/2006/relationships/hyperlink" Target="https://www.scopus.com/inward/record.uri?eid=2-s2.0-85188649701&amp;doi=10.4108%2Feetpht.10.5439&amp;partnerID=40&amp;md5=d0e529a7ada839414bfaaa89bdf0570f" TargetMode="External"/><Relationship Id="rId35" Type="http://schemas.openxmlformats.org/officeDocument/2006/relationships/hyperlink" Target="https://www.scopus.com/inward/record.uri?eid=2-s2.0-85196920908&amp;doi=10.1371%2Fjournal.pntd.0011811&amp;partnerID=40&amp;md5=1999e368af66dba51c507aa226797729" TargetMode="External"/><Relationship Id="rId36" Type="http://schemas.openxmlformats.org/officeDocument/2006/relationships/hyperlink" Target="https://www.scopus.com/inward/record.uri?eid=2-s2.0-85191899804&amp;doi=10.1371%2Fjournal.pntd.0012089&amp;partnerID=40&amp;md5=d2736ee45655602ec6683d742d2da2e0" TargetMode="External"/><Relationship Id="rId37" Type="http://schemas.openxmlformats.org/officeDocument/2006/relationships/hyperlink" Target="https://www.scopus.com/inward/record.uri?eid=2-s2.0-85199963200&amp;doi=10.1016%2Fj.heliyon.2024.e35276&amp;partnerID=40&amp;md5=838c9d7f2bf1d3341e39e5de9a8676a8" TargetMode="External"/><Relationship Id="rId38" Type="http://schemas.openxmlformats.org/officeDocument/2006/relationships/hyperlink" Target="https://www.scopus.com/inward/record.uri?eid=2-s2.0-85206999763&amp;doi=10.62527%2Fjoiv.8.3.2154&amp;partnerID=40&amp;md5=a9bf0b0ea1742cdd958a8ee0be6d9811" TargetMode="External"/><Relationship Id="rId39" Type="http://schemas.openxmlformats.org/officeDocument/2006/relationships/hyperlink" Target="https://www.scopus.com/inward/record.uri?eid=2-s2.0-85196370559&amp;doi=10.1038%2Fs41467-024-48335-9&amp;partnerID=40&amp;md5=45815f23a2a58e55a6f64716c6498c4d" TargetMode="External"/><Relationship Id="rId40" Type="http://schemas.openxmlformats.org/officeDocument/2006/relationships/hyperlink" Target="https://www.scopus.com/inward/record.uri?eid=2-s2.0-85186170897&amp;doi=10.18576%2Famis%2F180113&amp;partnerID=40&amp;md5=7f4b909b5c435f3cde08983f9592e956" TargetMode="External"/><Relationship Id="rId41" Type="http://schemas.openxmlformats.org/officeDocument/2006/relationships/hyperlink" Target="https://www.scopus.com/inward/record.uri?eid=2-s2.0-85186924162&amp;doi=10.12785%2Fijcds%2F150168&amp;partnerID=40&amp;md5=e26eef04874262251b7d3d7077994db1" TargetMode="External"/><Relationship Id="rId42" Type="http://schemas.openxmlformats.org/officeDocument/2006/relationships/hyperlink" Target="https://www.scopus.com/inward/record.uri?eid=2-s2.0-85184068430&amp;doi=10.1016%2Fj.ecoinf.2024.102495&amp;partnerID=40&amp;md5=4b1bc9a888229073f8d9314c7ef3a521" TargetMode="External"/><Relationship Id="rId43" Type="http://schemas.openxmlformats.org/officeDocument/2006/relationships/hyperlink" Target="https://www.scopus.com/inward/record.uri?eid=2-s2.0-85191653611&amp;doi=10.4108%2Feetpht.10.5551&amp;partnerID=40&amp;md5=0091c368e4d3005b4bf0fae56c0ee4bd" TargetMode="External"/><Relationship Id="rId44" Type="http://schemas.openxmlformats.org/officeDocument/2006/relationships/hyperlink" Target="https://www.scopus.com/inward/record.uri?eid=2-s2.0-85184617331&amp;doi=10.1016%2Fj.heliyon.2024.e25773&amp;partnerID=40&amp;md5=7711bbbf7c8ab49a824f4a37f51cc178" TargetMode="External"/><Relationship Id="rId45" Type="http://schemas.openxmlformats.org/officeDocument/2006/relationships/hyperlink" Target="https://www.scopus.com/inward/record.uri?eid=2-s2.0-85188964829&amp;doi=10.3390%2Fdiagnostics14060624&amp;partnerID=40&amp;md5=cefc04d3da6b0146774c5d458d476699" TargetMode="External"/><Relationship Id="rId46" Type="http://schemas.openxmlformats.org/officeDocument/2006/relationships/hyperlink" Target="https://www.scopus.com/inward/record.uri?eid=2-s2.0-85187805925&amp;doi=10.4108%2Feetpht.10.5269&amp;partnerID=40&amp;md5=50aaef078d361df51f985b666f334032" TargetMode="External"/><Relationship Id="rId47" Type="http://schemas.openxmlformats.org/officeDocument/2006/relationships/hyperlink" Target="https://www.scopus.com/inward/record.uri?eid=2-s2.0-85208112711&amp;doi=10.1016%2Fj.jim.2024.113769&amp;partnerID=40&amp;md5=00d4908a0656e41d4190a88f4e5c5f76" TargetMode="External"/><Relationship Id="rId48" Type="http://schemas.openxmlformats.org/officeDocument/2006/relationships/hyperlink" Target="https://www.scopus.com/inward/record.uri?eid=2-s2.0-85197194938&amp;doi=10.1186%2Fs12936-024-05029-3&amp;partnerID=40&amp;md5=60ca698b21f148f7421322f483987fd0" TargetMode="External"/><Relationship Id="rId49" Type="http://schemas.openxmlformats.org/officeDocument/2006/relationships/hyperlink" Target="https://www.scopus.com/inward/record.uri?eid=2-s2.0-85192911294&amp;doi=10.1002%2Fjmv.29666&amp;partnerID=40&amp;md5=fd70000338ab8e194195add257cfeecf" TargetMode="External"/><Relationship Id="rId50" Type="http://schemas.openxmlformats.org/officeDocument/2006/relationships/hyperlink" Target="https://www.scopus.com/inward/record.uri?eid=2-s2.0-85205064310&amp;doi=10.3390%2Finformatics11030069&amp;partnerID=40&amp;md5=1676d990247f3ee9b7f8049f21f2657c" TargetMode="External"/><Relationship Id="rId51" Type="http://schemas.openxmlformats.org/officeDocument/2006/relationships/hyperlink" Target="https://www.scopus.com/inward/record.uri?eid=2-s2.0-85182400309&amp;doi=10.1016%2Fj.artmed.2023.102753&amp;partnerID=40&amp;md5=58e7e42bbd0def526ddc00c63c22ec5f" TargetMode="External"/><Relationship Id="rId52" Type="http://schemas.openxmlformats.org/officeDocument/2006/relationships/hyperlink" Target="https://www.scopus.com/inward/record.uri?eid=2-s2.0-85198061552&amp;doi=10.12688%2Ff1000research.149577.1&amp;partnerID=40&amp;md5=6f17aa997f4c76cb3e0e11336537a076" TargetMode="External"/><Relationship Id="rId53" Type="http://schemas.openxmlformats.org/officeDocument/2006/relationships/hyperlink" Target="https://www.scopus.com/inward/record.uri?eid=2-s2.0-85208378126&amp;doi=10.1371%2Fjournal.pone.0310372&amp;partnerID=40&amp;md5=8996a606a75572b12d7c7c58ed0001e4" TargetMode="External"/><Relationship Id="rId54" Type="http://schemas.openxmlformats.org/officeDocument/2006/relationships/hyperlink" Target="https://www.scopus.com/inward/record.uri?eid=2-s2.0-85189929582&amp;doi=10.1016%2Fj.compbiomed.2024.108146&amp;partnerID=40&amp;md5=8cdb271a4117bf34dd464bb63cbf8270" TargetMode="External"/><Relationship Id="rId55" Type="http://schemas.openxmlformats.org/officeDocument/2006/relationships/hyperlink" Target="https://www.scopus.com/inward/record.uri?eid=2-s2.0-85212515275&amp;doi=10.1186%2Fs13071-024-06587-w&amp;partnerID=40&amp;md5=4fc5c502b29a53725cb00c8964cfbd48" TargetMode="External"/><Relationship Id="rId56" Type="http://schemas.openxmlformats.org/officeDocument/2006/relationships/hyperlink" Target="https://www.scopus.com/inward/record.uri?eid=2-s2.0-85192453138&amp;doi=10.11591%2Fijaas.v13.i1.pp46-53&amp;partnerID=40&amp;md5=109b8c3a940571e89d18480c531b9f98" TargetMode="External"/><Relationship Id="rId57" Type="http://schemas.openxmlformats.org/officeDocument/2006/relationships/hyperlink" Target="https://www.scopus.com/inward/record.uri?eid=2-s2.0-85214305262&amp;doi=10.18517%2Fijaseit.14.6.20691&amp;partnerID=40&amp;md5=e5fbd507ddb804985aeca6bb7bcc3da5" TargetMode="External"/><Relationship Id="rId58" Type="http://schemas.openxmlformats.org/officeDocument/2006/relationships/hyperlink" Target="https://www.scopus.com/inward/record.uri?eid=2-s2.0-85209150673&amp;doi=10.1097%2FDAD.0000000000002875&amp;partnerID=40&amp;md5=d816a1d140203dadcd0e144c53b8aec5" TargetMode="External"/><Relationship Id="rId59" Type="http://schemas.openxmlformats.org/officeDocument/2006/relationships/hyperlink" Target="https://www.scopus.com/inward/record.uri?eid=2-s2.0-85187207591&amp;doi=10.1093%2Fg3journal%2Fjkae008&amp;partnerID=40&amp;md5=57be9f07c71b08c2c2eb1edc80a3307f" TargetMode="External"/><Relationship Id="rId60" Type="http://schemas.openxmlformats.org/officeDocument/2006/relationships/hyperlink" Target="https://www.scopus.com/inward/record.uri?eid=2-s2.0-85195012560&amp;doi=10.1371%2Fjournal.pone.0304789&amp;partnerID=40&amp;md5=3437d9fdc18431c820e955fa4b9d9aaf" TargetMode="External"/><Relationship Id="rId61" Type="http://schemas.openxmlformats.org/officeDocument/2006/relationships/hyperlink" Target="https://www.scopus.com/inward/record.uri?eid=2-s2.0-85206002891&amp;doi=10.1186%2Fs13071-024-06510-3&amp;partnerID=40&amp;md5=1bf01b7476d4adda0b461558301893d5" TargetMode="External"/><Relationship Id="rId62" Type="http://schemas.openxmlformats.org/officeDocument/2006/relationships/hyperlink" Target="https://www.scopus.com/inward/record.uri?eid=2-s2.0-85195623826&amp;doi=10.3346%2Fjkms.2024.39.e176&amp;partnerID=40&amp;md5=412b4ea552dad1565d40e1e746ef6907" TargetMode="External"/><Relationship Id="rId63" Type="http://schemas.openxmlformats.org/officeDocument/2006/relationships/hyperlink" Target="https://www.scopus.com/inward/record.uri?eid=2-s2.0-85186168419&amp;doi=10.1109%2FACCESS.2024.3364818&amp;partnerID=40&amp;md5=1d4e8f517ad17468de8e0507f61de97e" TargetMode="External"/><Relationship Id="rId64" Type="http://schemas.openxmlformats.org/officeDocument/2006/relationships/hyperlink" Target="https://www.scopus.com/inward/record.uri?eid=2-s2.0-85208182819&amp;doi=10.1016%2Fj.sasc.2024.200160&amp;partnerID=40&amp;md5=605e80ce7978009dd8d76dfcd2390299" TargetMode="External"/><Relationship Id="rId65" Type="http://schemas.openxmlformats.org/officeDocument/2006/relationships/hyperlink" Target="https://www.scopus.com/inward/record.uri?eid=2-s2.0-85209902762&amp;doi=10.1371%2Fjournal.pcbi.1012581&amp;partnerID=40&amp;md5=c943802a3321c2e407fb9412670f3038" TargetMode="External"/><Relationship Id="rId66" Type="http://schemas.openxmlformats.org/officeDocument/2006/relationships/hyperlink" Target="https://www.scopus.com/inward/record.uri?eid=2-s2.0-85211968289&amp;doi=10.1371%2Fjournal.pone.0315327&amp;partnerID=40&amp;md5=1e7ebed92162893d0db6b38c56e9c0c1" TargetMode="External"/><Relationship Id="rId67" Type="http://schemas.openxmlformats.org/officeDocument/2006/relationships/hyperlink" Target="https://www.scopus.com/inward/record.uri?eid=2-s2.0-85189562203&amp;doi=10.2147%2FJBM.S453015&amp;partnerID=40&amp;md5=f5f9c116bf731ad3eb9567f5a48a5415" TargetMode="External"/><Relationship Id="rId68" Type="http://schemas.openxmlformats.org/officeDocument/2006/relationships/hyperlink" Target="https://www.scopus.com/inward/record.uri?eid=2-s2.0-85200024676&amp;doi=10.1007%2Fs42979-024-03053-3&amp;partnerID=40&amp;md5=decc6273c2294a8ea23afc4fcb3899c3" TargetMode="External"/><Relationship Id="rId69" Type="http://schemas.openxmlformats.org/officeDocument/2006/relationships/hyperlink" Target="https://www.scopus.com/inward/record.uri?eid=2-s2.0-85201438414&amp;doi=10.1093%2Finfdis%2Fjiae041&amp;partnerID=40&amp;md5=82961e38e2a135c3ea2fb21abf33a227" TargetMode="External"/><Relationship Id="rId70" Type="http://schemas.openxmlformats.org/officeDocument/2006/relationships/hyperlink" Target="https://www.scopus.com/inward/record.uri?eid=2-s2.0-85181201258&amp;doi=10.32629%2Fjai.v7i2.797&amp;partnerID=40&amp;md5=c3abbfdaa4e3e7cf522cd2611cbfc74e" TargetMode="External"/><Relationship Id="rId71" Type="http://schemas.openxmlformats.org/officeDocument/2006/relationships/hyperlink" Target="https://www.scopus.com/inward/record.uri?eid=2-s2.0-85190450918&amp;doi=10.3389%2Ffimmu.2024.1368904&amp;partnerID=40&amp;md5=aad2106c9db78a707758b45708c3783a" TargetMode="External"/><Relationship Id="rId72" Type="http://schemas.openxmlformats.org/officeDocument/2006/relationships/hyperlink" Target="https://www.scopus.com/inward/record.uri?eid=2-s2.0-85211821653&amp;doi=10.2147%2FJIR.S491315&amp;partnerID=40&amp;md5=2fa3665621a5d4ce3c86a51f59a2f1b2" TargetMode="External"/><Relationship Id="rId73" Type="http://schemas.openxmlformats.org/officeDocument/2006/relationships/hyperlink" Target="https://www.scopus.com/inward/record.uri?eid=2-s2.0-85200392219&amp;doi=10.1111%2Fjcmm.18511&amp;partnerID=40&amp;md5=3a5cd6e1c04619a77928bd0da2383ef1" TargetMode="External"/><Relationship Id="rId74" Type="http://schemas.openxmlformats.org/officeDocument/2006/relationships/hyperlink" Target="https://www.scopus.com/inward/record.uri?eid=2-s2.0-85214003679&amp;doi=10.1136%2Fbmjgh-2024-015374&amp;partnerID=40&amp;md5=90bd8c57d3547d5ea335a26251835819" TargetMode="External"/><Relationship Id="rId75" Type="http://schemas.openxmlformats.org/officeDocument/2006/relationships/hyperlink" Target="https://www.scopus.com/inward/record.uri?eid=2-s2.0-85214508608&amp;doi=10.61186%2Fijrr.22.4.109&amp;partnerID=40&amp;md5=fe023cfd6539979c6c9d9164bdea921e" TargetMode="External"/><Relationship Id="rId76" Type="http://schemas.openxmlformats.org/officeDocument/2006/relationships/hyperlink" Target="https://www.scopus.com/inward/record.uri?eid=2-s2.0-85192055431&amp;doi=10.1016%2Fj.medntd.2024.100304&amp;partnerID=40&amp;md5=0d4470b1c4e7fd68a8380c943bf4c171" TargetMode="External"/><Relationship Id="rId77" Type="http://schemas.openxmlformats.org/officeDocument/2006/relationships/hyperlink" Target="https://www.scopus.com/inward/record.uri?eid=2-s2.0-85201697496&amp;partnerID=40&amp;md5=af7cb8a3d6a2551b9b6ede439ad1f450" TargetMode="External"/><Relationship Id="rId78" Type="http://schemas.openxmlformats.org/officeDocument/2006/relationships/hyperlink" Target="https://www.scopus.com/inward/record.uri?eid=2-s2.0-85205916087&amp;doi=10.1111%2Fdom.15933&amp;partnerID=40&amp;md5=92e3de53f56043a3045d2ae890ed1df2" TargetMode="External"/><Relationship Id="rId79" Type="http://schemas.openxmlformats.org/officeDocument/2006/relationships/hyperlink" Target="https://www.scopus.com/inward/record.uri?eid=2-s2.0-85213545048&amp;doi=10.3390%2Fantib13040087&amp;partnerID=40&amp;md5=f0070c022fce64622aed951c3d60be6f" TargetMode="External"/><Relationship Id="rId80" Type="http://schemas.openxmlformats.org/officeDocument/2006/relationships/hyperlink" Target="https://www.scopus.com/inward/record.uri?eid=2-s2.0-85209927190&amp;doi=10.1186%2Fs13071-024-06577-y&amp;partnerID=40&amp;md5=9193b9ed7c8f147fcecac99e9e10ecc3" TargetMode="External"/><Relationship Id="rId81" Type="http://schemas.openxmlformats.org/officeDocument/2006/relationships/hyperlink" Target="https://www.scopus.com/inward/record.uri?eid=2-s2.0-85200837273&amp;doi=10.1007%2Fs13337-024-00885-8&amp;partnerID=40&amp;md5=517917577046e7c8c962b2c53b62808e" TargetMode="External"/><Relationship Id="rId82" Type="http://schemas.openxmlformats.org/officeDocument/2006/relationships/hyperlink" Target="https://www.scopus.com/inward/record.uri?eid=2-s2.0-85194383917&amp;doi=10.2478%2Famns-2024-1223&amp;partnerID=40&amp;md5=eeaf5687d6339670414b00a6c86a1366" TargetMode="External"/><Relationship Id="rId83" Type="http://schemas.openxmlformats.org/officeDocument/2006/relationships/hyperlink" Target="https://www.scopus.com/inward/record.uri?eid=2-s2.0-85186237930&amp;doi=10.2147%2FJBM.S442240&amp;partnerID=40&amp;md5=e7081afec7807fcd4e9d9ab1c30bfbe1" TargetMode="External"/><Relationship Id="rId84" Type="http://schemas.openxmlformats.org/officeDocument/2006/relationships/hyperlink" Target="https://www.scopus.com/inward/record.uri?eid=2-s2.0-85191017733&amp;doi=10.11591%2Fijeecs.v34.i3.pp2078-2086&amp;partnerID=40&amp;md5=3953cd3ffe1b4fae5f4cdb34f5c614ab" TargetMode="External"/><Relationship Id="rId85" Type="http://schemas.openxmlformats.org/officeDocument/2006/relationships/hyperlink" Target="https://www.scopus.com/inward/record.uri?eid=2-s2.0-85199015343&amp;doi=10.1371%2Fjournal.pntd.0012291&amp;partnerID=40&amp;md5=e8385191067e37ac9d9b585d4acfce0b" TargetMode="External"/><Relationship Id="rId86" Type="http://schemas.openxmlformats.org/officeDocument/2006/relationships/hyperlink" Target="https://www.scopus.com/inward/record.uri?eid=2-s2.0-85195695760&amp;doi=10.1016%2Fj.compbiomed.2024.108707&amp;partnerID=40&amp;md5=71f3af58390062bd8d24444ee1c98874" TargetMode="External"/><Relationship Id="rId87" Type="http://schemas.openxmlformats.org/officeDocument/2006/relationships/hyperlink" Target="https://www.scopus.com/inward/record.uri?eid=2-s2.0-85188461604&amp;doi=10.7717%2Fpeerj-cs.1744&amp;partnerID=40&amp;md5=ed79e5ea8b30cb24733013122f64c445" TargetMode="External"/><Relationship Id="rId88" Type="http://schemas.openxmlformats.org/officeDocument/2006/relationships/hyperlink" Target="https://www.scopus.com/inward/record.uri?eid=2-s2.0-85192481693&amp;doi=10.1016%2Fj.xcrm.2024.101535&amp;partnerID=40&amp;md5=f203e1a9c5ef7bc225980704aee3ca3c" TargetMode="External"/><Relationship Id="rId89" Type="http://schemas.openxmlformats.org/officeDocument/2006/relationships/hyperlink" Target="https://www.scopus.com/inward/record.uri?eid=2-s2.0-85204958059&amp;doi=10.70135%2Fseejph.vi.868&amp;partnerID=40&amp;md5=2f4d878ee46aa6189d42b71d38e619c6" TargetMode="External"/><Relationship Id="rId90" Type="http://schemas.openxmlformats.org/officeDocument/2006/relationships/hyperlink" Target="https://www.scopus.com/inward/record.uri?eid=2-s2.0-85203650314&amp;doi=10.1063%2F5.0229111&amp;partnerID=40&amp;md5=50baf63425cc9072ace4853cbbddc8eb" TargetMode="External"/><Relationship Id="rId91" Type="http://schemas.openxmlformats.org/officeDocument/2006/relationships/hyperlink" Target="https://www.scopus.com/inward/record.uri?eid=2-s2.0-85185278633&amp;doi=10.1142%2FS2047684124500027&amp;partnerID=40&amp;md5=6a9cca49338dbbaac07d73594fc5e4e2" TargetMode="External"/><Relationship Id="rId92" Type="http://schemas.openxmlformats.org/officeDocument/2006/relationships/hyperlink" Target="https://www.scopus.com/inward/record.uri?eid=2-s2.0-85207032570&amp;doi=10.3389%2Ffncom.2024.1456771&amp;partnerID=40&amp;md5=c77abed3d2b8fb7ddb38d15e942a42ec" TargetMode="External"/><Relationship Id="rId93" Type="http://schemas.openxmlformats.org/officeDocument/2006/relationships/hyperlink" Target="https://www.scopus.com/inward/record.uri?eid=2-s2.0-85201241855&amp;doi=10.1038%2Fs41598-024-68819-4&amp;partnerID=40&amp;md5=2deb12a09b4d6d1293bb80e857be295e" TargetMode="External"/><Relationship Id="rId94" Type="http://schemas.openxmlformats.org/officeDocument/2006/relationships/hyperlink" Target="https://www.scopus.com/inward/record.uri?eid=2-s2.0-85210433775&amp;doi=10.1111%2Feva.70044&amp;partnerID=40&amp;md5=c162fab8d2a6baee2ddf3aad7bca4f3f" TargetMode="External"/><Relationship Id="rId95" Type="http://schemas.openxmlformats.org/officeDocument/2006/relationships/hyperlink" Target="https://www.scopus.com/inward/record.uri?eid=2-s2.0-85208141487&amp;doi=10.1016%2Fj.ailsci.2024.100116&amp;partnerID=40&amp;md5=a9be8325ce1a317f0bd0211f860b9261" TargetMode="External"/><Relationship Id="rId96" Type="http://schemas.openxmlformats.org/officeDocument/2006/relationships/hyperlink" Target="https://www.scopus.com/inward/record.uri?eid=2-s2.0-85190830254&amp;doi=10.1016%2FS2542-5196%2824%2900082-2&amp;partnerID=40&amp;md5=e47559fe39439dcbbe365a30fe94cf78" TargetMode="External"/><Relationship Id="rId97" Type="http://schemas.openxmlformats.org/officeDocument/2006/relationships/hyperlink" Target="https://www.scopus.com/inward/record.uri?eid=2-s2.0-85210933641&amp;doi=10.1371%2Fjournal.pone.0309702&amp;partnerID=40&amp;md5=52c2d39da7e91f8f62ce9dcc04e572e4" TargetMode="External"/><Relationship Id="rId98" Type="http://schemas.openxmlformats.org/officeDocument/2006/relationships/hyperlink" Target="https://www.scopus.com/inward/record.uri?eid=2-s2.0-85195314521&amp;doi=10.11591%2Fijece.v14i4.pp4518-4530&amp;partnerID=40&amp;md5=a0d391ef85e013ed4d0e4bfa674e6e45" TargetMode="External"/><Relationship Id="rId99" Type="http://schemas.openxmlformats.org/officeDocument/2006/relationships/hyperlink" Target="https://www.scopus.com/inward/record.uri?eid=2-s2.0-85205000200&amp;doi=10.70135%2Fseejph.vi.944&amp;partnerID=40&amp;md5=148fdba0c5c8d0c2fc46a1153267361c" TargetMode="External"/><Relationship Id="rId100" Type="http://schemas.openxmlformats.org/officeDocument/2006/relationships/hyperlink" Target="https://www.scopus.com/inward/record.uri?eid=2-s2.0-85213596325&amp;doi=10.1371%2Fjournal.pntd.0012730&amp;partnerID=40&amp;md5=c75e2212b0a3f02bd926b4e87d2b2bdf" TargetMode="External"/><Relationship Id="rId101" Type="http://schemas.openxmlformats.org/officeDocument/2006/relationships/hyperlink" Target="https://www.scopus.com/inward/record.uri?eid=2-s2.0-85196123992&amp;doi=10.1186%2Fs12936-024-05011-z&amp;partnerID=40&amp;md5=c8874128081848fbb3be0f559b206991" TargetMode="External"/><Relationship Id="rId102" Type="http://schemas.openxmlformats.org/officeDocument/2006/relationships/hyperlink" Target="https://www.scopus.com/inward/record.uri?eid=2-s2.0-85212431835&amp;doi=10.3389%2Ffdgth.2024.1505483&amp;partnerID=40&amp;md5=60e1c47f5db35c93074f8d44fe7f67da" TargetMode="External"/><Relationship Id="rId103" Type="http://schemas.openxmlformats.org/officeDocument/2006/relationships/hyperlink" Target="https://www.scopus.com/inward/record.uri?eid=2-s2.0-85212688370&amp;doi=10.3389%2Ffcvm.2024.1406662&amp;partnerID=40&amp;md5=ba93a2ad518eb899b925aa7188e6b488" TargetMode="External"/><Relationship Id="rId104" Type="http://schemas.openxmlformats.org/officeDocument/2006/relationships/hyperlink" Target="https://www.scopus.com/inward/record.uri?eid=2-s2.0-85194519768&amp;doi=10.4081%2Fgh.2024.1279&amp;partnerID=40&amp;md5=954eba005dbab356edf234657594d7b8" TargetMode="External"/><Relationship Id="rId105" Type="http://schemas.openxmlformats.org/officeDocument/2006/relationships/hyperlink" Target="https://www.scopus.com/inward/record.uri?eid=2-s2.0-85193031980&amp;doi=10.1016%2Fj.actatropica.2024.107225&amp;partnerID=40&amp;md5=d05e18a33ac476b239033261cd61c587" TargetMode="External"/><Relationship Id="rId106" Type="http://schemas.openxmlformats.org/officeDocument/2006/relationships/hyperlink" Target="https://www.scopus.com/inward/record.uri?eid=2-s2.0-85200438977&amp;doi=10.1371%2Fjournal.pgph.0002224&amp;partnerID=40&amp;md5=073cb3f915540fbd20c3b002f37dd171" TargetMode="External"/><Relationship Id="rId107" Type="http://schemas.openxmlformats.org/officeDocument/2006/relationships/hyperlink" Target="https://www.scopus.com/inward/record.uri?eid=2-s2.0-85204365199&amp;doi=10.1371%2Fjournal.pone.0308452&amp;partnerID=40&amp;md5=68c85e6c11aeac2ff3c2fdf129c27cb3" TargetMode="External"/><Relationship Id="rId108" Type="http://schemas.openxmlformats.org/officeDocument/2006/relationships/hyperlink" Target="https://www.scopus.com/inward/record.uri?eid=2-s2.0-85205792970&amp;doi=10.1186%2Fs13071-024-06504-1&amp;partnerID=40&amp;md5=b9a710becc39ae8d1933bcaede32d1dc" TargetMode="External"/><Relationship Id="rId109" Type="http://schemas.openxmlformats.org/officeDocument/2006/relationships/hyperlink" Target="https://www.scopus.com/inward/record.uri?eid=2-s2.0-85184426203&amp;doi=10.1177%2F09622802231224638&amp;partnerID=40&amp;md5=9a76dc3ea25b0de42e6afddefa246343" TargetMode="External"/><Relationship Id="rId110" Type="http://schemas.openxmlformats.org/officeDocument/2006/relationships/hyperlink" Target="https://www.scopus.com/inward/record.uri?eid=2-s2.0-85188453586&amp;doi=10.3389%2Ffmed.2024.1338598&amp;partnerID=40&amp;md5=5b3e50813729e4caebaf0c1f34cd95b7" TargetMode="External"/><Relationship Id="rId111" Type="http://schemas.openxmlformats.org/officeDocument/2006/relationships/hyperlink" Target="https://www.scopus.com/inward/record.uri?eid=2-s2.0-85193803022&amp;doi=10.7717%2FPEERJ.17045&amp;partnerID=40&amp;md5=f56125fe02b7303e9701061f82c79185" TargetMode="External"/><Relationship Id="rId112" Type="http://schemas.openxmlformats.org/officeDocument/2006/relationships/hyperlink" Target="https://www.scopus.com/inward/record.uri?eid=2-s2.0-85193676355&amp;doi=10.1186%2Fs12942-024-00371-w&amp;partnerID=40&amp;md5=b28234edbdffdade98b373124186c970" TargetMode="External"/><Relationship Id="rId113" Type="http://schemas.openxmlformats.org/officeDocument/2006/relationships/hyperlink" Target="https://www.scopus.com/inward/record.uri?eid=2-s2.0-85182954087&amp;doi=10.1371%2Fjournal.pntd.0011892&amp;partnerID=40&amp;md5=67ea0779c1acef80d7eeeda89a76ea85" TargetMode="External"/><Relationship Id="rId114" Type="http://schemas.openxmlformats.org/officeDocument/2006/relationships/hyperlink" Target="https://www.scopus.com/inward/record.uri?eid=2-s2.0-85197179427&amp;doi=10.1186%2Fs12936-024-05020-y&amp;partnerID=40&amp;md5=8d49af29239f0a1b414f1557349fc074" TargetMode="External"/><Relationship Id="rId115" Type="http://schemas.openxmlformats.org/officeDocument/2006/relationships/hyperlink" Target="https://www.scopus.com/inward/record.uri?eid=2-s2.0-85205336534&amp;doi=10.1186%2Fs12879-024-09892-y&amp;partnerID=40&amp;md5=99cd051d955e40a7cd41e8f1ea41e7e3" TargetMode="External"/><Relationship Id="rId116" Type="http://schemas.openxmlformats.org/officeDocument/2006/relationships/hyperlink" Target="https://www.scopus.com/inward/record.uri?eid=2-s2.0-85189798960&amp;doi=10.4018%2F979-8-3693-2238-3.ch009&amp;partnerID=40&amp;md5=aac275c6fcb394de4ed8075391b42d83" TargetMode="External"/><Relationship Id="rId117" Type="http://schemas.openxmlformats.org/officeDocument/2006/relationships/hyperlink" Target="https://www.scopus.com/inward/record.uri?eid=2-s2.0-85202749528&amp;doi=10.4018%2F979-8-3693-7462-7.ch010&amp;partnerID=40&amp;md5=8f23300287979241ea5a798abac6c9fe" TargetMode="External"/><Relationship Id="rId118" Type="http://schemas.openxmlformats.org/officeDocument/2006/relationships/hyperlink" Target="https://www.scopus.com/inward/record.uri?eid=2-s2.0-85204445705&amp;doi=10.1201%2F9781032667508-3&amp;partnerID=40&amp;md5=d34db086cfb1cc89cff1185ab0fbe5c5" TargetMode="External"/><Relationship Id="rId119" Type="http://schemas.openxmlformats.org/officeDocument/2006/relationships/hyperlink" Target="https://www.scopus.com/inward/record.uri?eid=2-s2.0-85192992401&amp;doi=10.1016%2Fbs.pmbts.2024.02.005&amp;partnerID=40&amp;md5=728e1622e866ebf0be5c36f36e121712" TargetMode="External"/><Relationship Id="rId120" Type="http://schemas.openxmlformats.org/officeDocument/2006/relationships/hyperlink" Target="https://www.scopus.com/inward/record.uri?eid=2-s2.0-85191436930&amp;doi=10.1007%2F978-3-031-47942-7_33&amp;partnerID=40&amp;md5=c582ade8d50231077be6c90ab8c347cd" TargetMode="External"/><Relationship Id="rId121" Type="http://schemas.openxmlformats.org/officeDocument/2006/relationships/hyperlink" Target="https://www.scopus.com/inward/record.uri?eid=2-s2.0-85193580971&amp;doi=10.1109%2FINOCON60754.2024.10512173&amp;partnerID=40&amp;md5=c5b3ae2a0cc8f09fb4ec8abcf4526aab" TargetMode="External"/><Relationship Id="rId122" Type="http://schemas.openxmlformats.org/officeDocument/2006/relationships/hyperlink" Target="https://www.scopus.com/inward/record.uri?eid=2-s2.0-85217282987&amp;doi=10.1109%2FBIBM62325.2024.10822323&amp;partnerID=40&amp;md5=5e1c18afff71cb66753f72a96c0c848a" TargetMode="External"/><Relationship Id="rId123" Type="http://schemas.openxmlformats.org/officeDocument/2006/relationships/hyperlink" Target="https://www.scopus.com/inward/record.uri?eid=2-s2.0-85191535908&amp;doi=10.1109%2FICoSEIT60086.2024.10497463&amp;partnerID=40&amp;md5=aff5c7d44c3b18326e278b1f99fe3f83" TargetMode="External"/><Relationship Id="rId124" Type="http://schemas.openxmlformats.org/officeDocument/2006/relationships/hyperlink" Target="https://www.scopus.com/inward/record.uri?eid=2-s2.0-85203648310&amp;doi=10.31893%2Fmultiscience.2024ss0602&amp;partnerID=40&amp;md5=166070a381e4d12dc2abf42ea1e23458" TargetMode="External"/><Relationship Id="rId125" Type="http://schemas.openxmlformats.org/officeDocument/2006/relationships/hyperlink" Target="https://www.scopus.com/inward/record.uri?eid=2-s2.0-85202980611&amp;doi=10.1109%2FSEB4SDG60871.2024.10629694&amp;partnerID=40&amp;md5=bd6eff5efa6ea43ba00146bdadce5a28" TargetMode="External"/><Relationship Id="rId126" Type="http://schemas.openxmlformats.org/officeDocument/2006/relationships/hyperlink" Target="https://www.scopus.com/inward/record.uri?eid=2-s2.0-85210598889&amp;doi=10.1109%2FiThings-GreenCom-CPSCom-SmartData-Cybermatics62450.2024.00060&amp;partnerID=40&amp;md5=72b82a7a013dd807d48d0e66d24a2ea4" TargetMode="External"/><Relationship Id="rId127" Type="http://schemas.openxmlformats.org/officeDocument/2006/relationships/hyperlink" Target="https://www.scopus.com/inward/record.uri?eid=2-s2.0-85201303667&amp;doi=10.1109%2FICKECS61492.2024.10617005&amp;partnerID=40&amp;md5=313546d1cb8822b2d52e0e5f18795201" TargetMode="External"/><Relationship Id="rId128" Type="http://schemas.openxmlformats.org/officeDocument/2006/relationships/hyperlink" Target="https://www.scopus.com/inward/record.uri?eid=2-s2.0-85202972911&amp;doi=10.1109%2FSEB4SDG60871.2024.10629733&amp;partnerID=40&amp;md5=c884313635dd4049317c1b2c53f7bd1a" TargetMode="External"/><Relationship Id="rId129" Type="http://schemas.openxmlformats.org/officeDocument/2006/relationships/hyperlink" Target="https://www.scopus.com/inward/record.uri?eid=2-s2.0-85216089018&amp;doi=10.1109%2FISITDI62380.2024.10796353&amp;partnerID=40&amp;md5=39e67b9fe5a329a4885b001254becdd4" TargetMode="External"/><Relationship Id="rId130" Type="http://schemas.openxmlformats.org/officeDocument/2006/relationships/hyperlink" Target="https://www.scopus.com/inward/record.uri?eid=2-s2.0-85207062594&amp;doi=10.1109%2FIVIT62102.2024.10692960&amp;partnerID=40&amp;md5=55484430b7e62692b7d2933eca3d2a0f" TargetMode="External"/><Relationship Id="rId131" Type="http://schemas.openxmlformats.org/officeDocument/2006/relationships/hyperlink" Target="https://www.scopus.com/inward/record.uri?eid=2-s2.0-85203601914&amp;doi=10.1109%2FITC-CSCC62988.2024.10628435&amp;partnerID=40&amp;md5=4e7d6f60f222f1aa8945c8e792c8edfa" TargetMode="External"/><Relationship Id="rId132" Type="http://schemas.openxmlformats.org/officeDocument/2006/relationships/hyperlink" Target="https://www.scopus.com/inward/record.uri?eid=2-s2.0-85207458858&amp;doi=10.1109%2FWCONF61366.2024.10692067&amp;partnerID=40&amp;md5=68bb5a209a31b405433628862a86a947" TargetMode="External"/><Relationship Id="rId133" Type="http://schemas.openxmlformats.org/officeDocument/2006/relationships/hyperlink" Target="https://www.scopus.com/inward/record.uri?eid=2-s2.0-85211165967&amp;doi=10.1109%2FICCCNT61001.2024.10724604&amp;partnerID=40&amp;md5=3b68d8d62ca43feed6aeb2ac341752c6" TargetMode="External"/><Relationship Id="rId134" Type="http://schemas.openxmlformats.org/officeDocument/2006/relationships/hyperlink" Target="https://www.scopus.com/inward/record.uri?eid=2-s2.0-85187781952&amp;doi=10.1007%2F978-981-99-7814-4_29&amp;partnerID=40&amp;md5=990d841717d1439c0104b291ea25e8d3" TargetMode="External"/><Relationship Id="rId135" Type="http://schemas.openxmlformats.org/officeDocument/2006/relationships/hyperlink" Target="https://www.scopus.com/inward/record.uri?eid=2-s2.0-85193564897&amp;doi=10.1109%2FINOCON60754.2024.10512161&amp;partnerID=40&amp;md5=dbaf4535987d6c9baa3264f9b1f70717" TargetMode="External"/><Relationship Id="rId136" Type="http://schemas.openxmlformats.org/officeDocument/2006/relationships/hyperlink" Target="https://www.scopus.com/inward/record.uri?eid=2-s2.0-85193626159&amp;doi=10.1109%2FINOCON60754.2024.10511323&amp;partnerID=40&amp;md5=a190fc2d7f8145b2d8f78cb063d26c42" TargetMode="External"/><Relationship Id="rId137" Type="http://schemas.openxmlformats.org/officeDocument/2006/relationships/hyperlink" Target="https://www.scopus.com/inward/record.uri?eid=2-s2.0-85183581536&amp;doi=10.3233%2FSHTI231091&amp;partnerID=40&amp;md5=16e1f1c4f0a78fef39871727ec38c0ed" TargetMode="External"/><Relationship Id="rId138" Type="http://schemas.openxmlformats.org/officeDocument/2006/relationships/hyperlink" Target="https://www.scopus.com/inward/record.uri?eid=2-s2.0-85191725008&amp;doi=10.1109%2FICICACS60521.2024.10498794&amp;partnerID=40&amp;md5=53446e7ee74cc1e17d6d69df840570f2" TargetMode="External"/><Relationship Id="rId139" Type="http://schemas.openxmlformats.org/officeDocument/2006/relationships/hyperlink" Target="https://www.scopus.com/inward/record.uri?eid=2-s2.0-85217260945&amp;doi=10.1109%2FDASA63652.2024.10836383&amp;partnerID=40&amp;md5=badaf272c443db14a8b948e0427d395f" TargetMode="External"/><Relationship Id="rId140" Type="http://schemas.openxmlformats.org/officeDocument/2006/relationships/hyperlink" Target="https://www.scopus.com/inward/record.uri?eid=2-s2.0-85208574132&amp;doi=10.1109%2FI-SMAC61858.2024.10714608&amp;partnerID=40&amp;md5=380ecbaf35833ddc74f27376f93016ca" TargetMode="External"/><Relationship Id="rId141" Type="http://schemas.openxmlformats.org/officeDocument/2006/relationships/hyperlink" Target="https://www.scopus.com/inward/record.uri?eid=2-s2.0-85197853721&amp;doi=10.1109%2FICSTEM61137.2024.10560969&amp;partnerID=40&amp;md5=16e2684ea3a02107047f6fc351d6f6aa" TargetMode="External"/><Relationship Id="rId142" Type="http://schemas.openxmlformats.org/officeDocument/2006/relationships/hyperlink" Target="https://www.scopus.com/inward/record.uri?eid=2-s2.0-85213356648&amp;doi=10.1109%2FICSSAS64001.2024.10760361&amp;partnerID=40&amp;md5=c228f38c566d9798792ce546a5e550a9" TargetMode="External"/><Relationship Id="rId143" Type="http://schemas.openxmlformats.org/officeDocument/2006/relationships/hyperlink" Target="https://www.scopus.com/inward/record.uri?eid=2-s2.0-85202634935&amp;doi=10.1007%2F978-981-97-4581-4_12&amp;partnerID=40&amp;md5=f547918f1276ce162542c2c33ad382f5" TargetMode="External"/><Relationship Id="rId144" Type="http://schemas.openxmlformats.org/officeDocument/2006/relationships/hyperlink" Target="https://www.scopus.com/inward/record.uri?eid=2-s2.0-85212083145&amp;doi=10.1109%2FTIACOMP64125.2024.00065&amp;partnerID=40&amp;md5=5322ec7bd5584c36ffa3c1ba891a6a1c" TargetMode="External"/><Relationship Id="rId145" Type="http://schemas.openxmlformats.org/officeDocument/2006/relationships/hyperlink" Target="https://www.scopus.com/inward/record.uri?eid=2-s2.0-85192992291&amp;doi=10.1109%2FASSIC60049.2024.10507970&amp;partnerID=40&amp;md5=949cab4e123c8c615d569cd5fb06b49b" TargetMode="External"/><Relationship Id="rId146" Type="http://schemas.openxmlformats.org/officeDocument/2006/relationships/hyperlink" Target="https://www.scopus.com/inward/record.uri?eid=2-s2.0-85216863711&amp;doi=10.1109%2FICIP51287.2024.10647834&amp;partnerID=40&amp;md5=241fb76ee67c40f3ac111ff56b3160d9" TargetMode="External"/><Relationship Id="rId147" Type="http://schemas.openxmlformats.org/officeDocument/2006/relationships/hyperlink" Target="https://www.scopus.com/inward/record.uri?eid=2-s2.0-85202963209&amp;doi=10.1109%2FSEB4SDG60871.2024.10630308&amp;partnerID=40&amp;md5=94cc8e735150330b54afd808e3fffb5e" TargetMode="External"/><Relationship Id="rId148" Type="http://schemas.openxmlformats.org/officeDocument/2006/relationships/hyperlink" Target="https://www.scopus.com/inward/record.uri?eid=2-s2.0-85196069664&amp;doi=10.1109%2FICICT60155.2024.10544901&amp;partnerID=40&amp;md5=d22a43ff1700d5a4afb25682c55d944e" TargetMode="External"/><Relationship Id="rId149" Type="http://schemas.openxmlformats.org/officeDocument/2006/relationships/hyperlink" Target="https://www.scopus.com/inward/record.uri?eid=2-s2.0-85215667362&amp;doi=10.1109%2FSSITCON62437.2024.10797182&amp;partnerID=40&amp;md5=57809e5b65d0b54e86fcad30779dabe3" TargetMode="External"/><Relationship Id="rId150" Type="http://schemas.openxmlformats.org/officeDocument/2006/relationships/hyperlink" Target="https://www.scopus.com/inward/record.uri?eid=2-s2.0-85192390964&amp;doi=10.1007%2F978-3-031-57963-9_2&amp;partnerID=40&amp;md5=e2c82b207b5b1d79f0631b804e9952f7" TargetMode="External"/><Relationship Id="rId151" Type="http://schemas.openxmlformats.org/officeDocument/2006/relationships/hyperlink" Target="https://www.scopus.com/inward/record.uri?eid=2-s2.0-85197873673&amp;doi=10.1109%2FICSSES62373.2024.10561382&amp;partnerID=40&amp;md5=1eb118a172b4417ada785286b9e97841" TargetMode="External"/><Relationship Id="rId152" Type="http://schemas.openxmlformats.org/officeDocument/2006/relationships/hyperlink" Target="https://www.scopus.com/inward/record.uri?eid=2-s2.0-85199793887&amp;doi=10.1007%2F978-3-031-60665-6_27&amp;partnerID=40&amp;md5=6d6c0fc0e95179079734b0beccd575cb" TargetMode="External"/><Relationship Id="rId153" Type="http://schemas.openxmlformats.org/officeDocument/2006/relationships/hyperlink" Target="https://www.scopus.com/inward/record.uri?eid=2-s2.0-85206927743&amp;doi=10.1109%2FOTCON60325.2024.10688374&amp;partnerID=40&amp;md5=b4f24a320d855bbd15546bc619c1b1f7" TargetMode="External"/><Relationship Id="rId154" Type="http://schemas.openxmlformats.org/officeDocument/2006/relationships/hyperlink" Target="https://www.scopus.com/inward/record.uri?eid=2-s2.0-85187800701&amp;doi=10.1007%2F978-981-99-7820-5_36&amp;partnerID=40&amp;md5=77c202a3f2cbe7ba5e34695bbb131672" TargetMode="External"/><Relationship Id="rId155" Type="http://schemas.openxmlformats.org/officeDocument/2006/relationships/hyperlink" Target="https://www.scopus.com/inward/record.uri?eid=2-s2.0-85201196508&amp;doi=10.1109%2FMetroLivEnv60384.2024.10615511&amp;partnerID=40&amp;md5=b17781336bba3308401e237dc3763ad2" TargetMode="External"/><Relationship Id="rId156" Type="http://schemas.openxmlformats.org/officeDocument/2006/relationships/hyperlink" Target="https://www.scopus.com/inward/record.uri?eid=2-s2.0-85210225427&amp;doi=10.1063%2F5.0232813&amp;partnerID=40&amp;md5=b62bfd0c6f08c511dacc74f585a852f3" TargetMode="External"/><Relationship Id="rId157" Type="http://schemas.openxmlformats.org/officeDocument/2006/relationships/hyperlink" Target="https://www.scopus.com/inward/record.uri?eid=2-s2.0-85180622001&amp;doi=10.1007%2F978-981-99-7622-5_19&amp;partnerID=40&amp;md5=ee767a13d5539c43980bc7964f276e90" TargetMode="External"/><Relationship Id="rId158" Type="http://schemas.openxmlformats.org/officeDocument/2006/relationships/hyperlink" Target="https://www.scopus.com/inward/record.uri?eid=2-s2.0-85216416893&amp;doi=10.1109%2FPEEIACON63629.2024.10800616&amp;partnerID=40&amp;md5=27da8204d69963ab7f0982e03f7b65b2" TargetMode="External"/><Relationship Id="rId159" Type="http://schemas.openxmlformats.org/officeDocument/2006/relationships/hyperlink" Target="https://www.scopus.com/inward/record.uri?eid=2-s2.0-85214673875&amp;doi=10.1109%2FICITACEE62763.2024.10762785&amp;partnerID=40&amp;md5=5481b8ce84925496e635de42eba95e49" TargetMode="External"/><Relationship Id="rId160" Type="http://schemas.openxmlformats.org/officeDocument/2006/relationships/hyperlink" Target="https://www.scopus.com/inward/record.uri?eid=2-s2.0-85207380418&amp;doi=10.1109%2FWCONF61366.2024.10692082&amp;partnerID=40&amp;md5=31185eafd1475a0722f4f78c129dd040" TargetMode="External"/><Relationship Id="rId161" Type="http://schemas.openxmlformats.org/officeDocument/2006/relationships/hyperlink" Target="https://www.scopus.com/inward/record.uri?eid=2-s2.0-85214685175&amp;doi=10.1109%2FEECSI63442.2024.10776138&amp;partnerID=40&amp;md5=3b388c6149fc244e6dbeb006516d51e0" TargetMode="External"/><Relationship Id="rId162" Type="http://schemas.openxmlformats.org/officeDocument/2006/relationships/hyperlink" Target="https://www.scopus.com/inward/record.uri?eid=2-s2.0-85200144303&amp;doi=10.1109%2FICDSIS61070.2024.10594018&amp;partnerID=40&amp;md5=a2fb5a0af12bf011600a063d76df3fc3" TargetMode="External"/><Relationship Id="rId163" Type="http://schemas.openxmlformats.org/officeDocument/2006/relationships/hyperlink" Target="https://www.scopus.com/inward/record.uri?eid=2-s2.0-85204764107&amp;doi=10.1109%2FICIPCN63822.2024.00081&amp;partnerID=40&amp;md5=66795109422d2ab22ed72f0208f20733" TargetMode="External"/><Relationship Id="rId164" Type="http://schemas.openxmlformats.org/officeDocument/2006/relationships/hyperlink" Target="https://www.scopus.com/inward/record.uri?eid=2-s2.0-85204072709&amp;doi=10.1109%2FCOMPSAC61105.2024.00203&amp;partnerID=40&amp;md5=5295cca0864cddce88a87be9d4ca8151" TargetMode="External"/><Relationship Id="rId165" Type="http://schemas.openxmlformats.org/officeDocument/2006/relationships/hyperlink" Target="https://www.scopus.com/inward/record.uri?eid=2-s2.0-85215527153&amp;doi=10.1109%2FCOMPAS60761.2024.10796965&amp;partnerID=40&amp;md5=f4e2a1a23a01f299e4f79b6712f1e681" TargetMode="External"/><Relationship Id="rId166" Type="http://schemas.openxmlformats.org/officeDocument/2006/relationships/hyperlink" Target="https://www.scopus.com/inward/record.uri?eid=2-s2.0-85213035804&amp;doi=10.1109%2FICCCNT61001.2024.10725616&amp;partnerID=40&amp;md5=8ebc2aa215b9537d564bfafcea215cf2" TargetMode="External"/><Relationship Id="rId167" Type="http://schemas.openxmlformats.org/officeDocument/2006/relationships/hyperlink" Target="https://www.scopus.com/inward/record.uri?eid=2-s2.0-85200994142&amp;doi=10.1109%2FINCET61516.2024.10593540&amp;partnerID=40&amp;md5=f2f5971cba96169577e03db09227f6ee" TargetMode="External"/><Relationship Id="rId168" Type="http://schemas.openxmlformats.org/officeDocument/2006/relationships/hyperlink" Target="https://www.scopus.com/inward/record.uri?eid=2-s2.0-85212526574&amp;doi=10.5194%2Fisprs-archives-XLVIII-4-2024-431-2024&amp;partnerID=40&amp;md5=507bca84dfd842f35d4f7f33ee49383a" TargetMode="External"/><Relationship Id="rId169" Type="http://schemas.openxmlformats.org/officeDocument/2006/relationships/hyperlink" Target="https://www.scopus.com/inward/record.uri?eid=2-s2.0-85181533100&amp;doi=10.1007%2F978-981-99-6755-1_19&amp;partnerID=40&amp;md5=c015e044b87c62828caf4439888eda15" TargetMode="External"/><Relationship Id="rId170" Type="http://schemas.openxmlformats.org/officeDocument/2006/relationships/hyperlink" Target="https://www.scopus.com/inward/record.uri?eid=2-s2.0-85216583562&amp;doi=10.1109%2FICICEC62498.2024.10808865&amp;partnerID=40&amp;md5=6d53b1259d7672af273e246849087223" TargetMode="External"/><Relationship Id="rId171" Type="http://schemas.openxmlformats.org/officeDocument/2006/relationships/hyperlink" Target="https://www.scopus.com/inward/record.uri?eid=2-s2.0-85196528573&amp;doi=10.1117%2F12.3012771&amp;partnerID=40&amp;md5=3c5361680c231091d992957d1fb47797" TargetMode="External"/><Relationship Id="rId172" Type="http://schemas.openxmlformats.org/officeDocument/2006/relationships/hyperlink" Target="https://www.scopus.com/inward/record.uri?eid=2-s2.0-85203363945&amp;doi=10.1109%2FISBI56570.2024.10635899&amp;partnerID=40&amp;md5=9b5fc1f4db740133964ef9bc115326b4" TargetMode="External"/><Relationship Id="rId173" Type="http://schemas.openxmlformats.org/officeDocument/2006/relationships/hyperlink" Target="https://www.scopus.com/inward/record.uri?eid=2-s2.0-85216002869&amp;doi=10.1109%2FICECCME62383.2024.10796584&amp;partnerID=40&amp;md5=403495dbbf4dcb4bfa02c21509a23092" TargetMode="External"/><Relationship Id="rId174" Type="http://schemas.openxmlformats.org/officeDocument/2006/relationships/hyperlink" Target="https://www.scopus.com/inward/record.uri?eid=2-s2.0-85212710441&amp;doi=10.5194%2Fisprs-archives-XLVIII-3-W3-2024-63-2024&amp;partnerID=40&amp;md5=06b5ec4127f48b8d74e8833f695a5adf" TargetMode="External"/><Relationship Id="rId175" Type="http://schemas.openxmlformats.org/officeDocument/2006/relationships/hyperlink" Target="https://www.scopus.com/inward/record.uri?eid=2-s2.0-85197343455&amp;doi=10.5194%2Fisprs-archives-XLVIII-2-2024-387-2024&amp;partnerID=40&amp;md5=ebea03bc5b92669383413d6b5b5be8fa" TargetMode="External"/><Relationship Id="rId176" Type="http://schemas.openxmlformats.org/officeDocument/2006/relationships/hyperlink" Target="https://www.scopus.com/inward/record.uri?eid=2-s2.0-85200653804&amp;doi=10.1007%2F978-3-031-66955-2_14&amp;partnerID=40&amp;md5=b66bcbdae82a2cebd632ee15780ef48a" TargetMode="External"/><Relationship Id="rId177" Type="http://schemas.openxmlformats.org/officeDocument/2006/relationships/hyperlink" Target="https://www.scopus.com/inward/record.uri?eid=2-s2.0-85210264237&amp;doi=10.1109%2FASET60340.2024.10708757&amp;partnerID=40&amp;md5=3daab00874b4f2fef4ed37a1b118fff5" TargetMode="External"/><Relationship Id="rId178" Type="http://schemas.openxmlformats.org/officeDocument/2006/relationships/hyperlink" Target="https://www.scopus.com/inward/record.uri?eid=2-s2.0-85196734657&amp;doi=10.1109%2FIC3IoT60841.2024.10550234&amp;partnerID=40&amp;md5=56450030f1f3779e00828ae6978453c1" TargetMode="External"/><Relationship Id="rId179" Type="http://schemas.openxmlformats.org/officeDocument/2006/relationships/hyperlink" Target="https://www.scopus.com/inward/record.uri?eid=2-s2.0-85207069420&amp;doi=10.1109%2FICITRI62858.2024.10699220&amp;partnerID=40&amp;md5=158151beaf8a96ba4fbdda55a721e1bf" TargetMode="External"/><Relationship Id="rId180" Type="http://schemas.openxmlformats.org/officeDocument/2006/relationships/hyperlink" Target="https://www.scopus.com/inward/record.uri?eid=2-s2.0-85201155935&amp;doi=10.1109%2FSASI-ITE58663.2024.00030&amp;partnerID=40&amp;md5=215c72fb942b4dd251b61b2afcb17ad1" TargetMode="External"/><Relationship Id="rId181" Type="http://schemas.openxmlformats.org/officeDocument/2006/relationships/hyperlink" Target="https://www.scopus.com/inward/record.uri?eid=2-s2.0-85210847079&amp;doi=10.1145%2F3675888.3676092&amp;partnerID=40&amp;md5=7488a7963878995fc0982113d3d93f12" TargetMode="External"/><Relationship Id="rId182" Type="http://schemas.openxmlformats.org/officeDocument/2006/relationships/hyperlink" Target="https://www.scopus.com/inward/record.uri?eid=2-s2.0-85195237543&amp;doi=10.1109%2FICEEICT62016.2024.10534415&amp;partnerID=40&amp;md5=2ede01102a797937404f24771329e445" TargetMode="External"/><Relationship Id="rId183" Type="http://schemas.openxmlformats.org/officeDocument/2006/relationships/hyperlink" Target="https://www.scopus.com/inward/record.uri?eid=2-s2.0-85192258042&amp;doi=10.1109%2FICTAS59620.2024.10507142&amp;partnerID=40&amp;md5=2a76f2ac9cfca5edae2ccf6abdadd204" TargetMode="External"/><Relationship Id="rId184" Type="http://schemas.openxmlformats.org/officeDocument/2006/relationships/hyperlink" Target="https://www.scopus.com/inward/record.uri?eid=2-s2.0-85191247761&amp;doi=10.1109%2FICDT61202.2024.10489408&amp;partnerID=40&amp;md5=b9d2c4483ef4a339d4b75f6979ffe130" TargetMode="External"/><Relationship Id="rId185" Type="http://schemas.openxmlformats.org/officeDocument/2006/relationships/hyperlink" Target="https://www.scopus.com/inward/record.uri?eid=2-s2.0-85207407833&amp;doi=10.1109%2FNMITCON62075.2024.10699300&amp;partnerID=40&amp;md5=91377c3e6ea9352dd5800148b5fa61e8" TargetMode="External"/><Relationship Id="rId186" Type="http://schemas.openxmlformats.org/officeDocument/2006/relationships/hyperlink" Target="https://www.scopus.com/inward/record.uri?eid=2-s2.0-85211125559&amp;doi=10.1109%2FICCCNT61001.2024.10724659&amp;partnerID=40&amp;md5=a5587a3ee448a4d7aebf7be992869698" TargetMode="External"/><Relationship Id="rId187" Type="http://schemas.openxmlformats.org/officeDocument/2006/relationships/hyperlink" Target="https://www.scopus.com/inward/record.uri?eid=2-s2.0-85198991970&amp;doi=10.1117%2F12.3014636&amp;partnerID=40&amp;md5=95ae66eee029bdd8fea23e42b308cb8e" TargetMode="External"/><Relationship Id="rId188" Type="http://schemas.openxmlformats.org/officeDocument/2006/relationships/hyperlink" Target="https://www.scopus.com/inward/record.uri?eid=2-s2.0-85208615244&amp;doi=10.1109%2FICACCS60874.2024.10716951&amp;partnerID=40&amp;md5=2cc3c0bcecbb2aac6009470730a93320" TargetMode="External"/><Relationship Id="rId189" Type="http://schemas.openxmlformats.org/officeDocument/2006/relationships/hyperlink" Target="https://www.scopus.com/inward/record.uri?eid=2-s2.0-85193573883&amp;doi=10.1109%2FINOCON60754.2024.10511476&amp;partnerID=40&amp;md5=6c3c6790c695e89473228e9bee82ea98" TargetMode="External"/><Relationship Id="rId190" Type="http://schemas.openxmlformats.org/officeDocument/2006/relationships/hyperlink" Target="https://www.scopus.com/inward/record.uri?eid=2-s2.0-85196123738&amp;doi=10.1109%2FICICT60155.2024.10544705&amp;partnerID=40&amp;md5=a30f7594298798535f64ccf1c32363a4" TargetMode="External"/><Relationship Id="rId191" Type="http://schemas.openxmlformats.org/officeDocument/2006/relationships/hyperlink" Target="https://www.scopus.com/inward/record.uri?eid=2-s2.0-85201283001&amp;doi=10.1109%2FICKECS61492.2024.10616908&amp;partnerID=40&amp;md5=4c73939750cbccc7cf2a90b2189c5645" TargetMode="External"/><Relationship Id="rId192" Type="http://schemas.openxmlformats.org/officeDocument/2006/relationships/hyperlink" Target="https://www.scopus.com/inward/record.uri?eid=2-s2.0-85184284861&amp;doi=10.1007%2F978-981-99-7817-5_23&amp;partnerID=40&amp;md5=8df5a136dfb00ee30ccbd86892076b00" TargetMode="External"/><Relationship Id="rId193" Type="http://schemas.openxmlformats.org/officeDocument/2006/relationships/hyperlink" Target="https://www.scopus.com/inward/record.uri?eid=2-s2.0-85190575919&amp;doi=10.1109%2FAUTOCOM60220.2024.10486136&amp;partnerID=40&amp;md5=591d633c45b8ab432462a05eabae21b9" TargetMode="External"/><Relationship Id="rId194" Type="http://schemas.openxmlformats.org/officeDocument/2006/relationships/hyperlink" Target="https://www.scopus.com/inward/record.uri?eid=2-s2.0-85184131229&amp;doi=10.1007%2F978-3-031-51026-7_6&amp;partnerID=40&amp;md5=7e538c913e1150d619afeb7a070d977e" TargetMode="External"/><Relationship Id="rId195" Type="http://schemas.openxmlformats.org/officeDocument/2006/relationships/hyperlink" Target="https://www.scopus.com/inward/record.uri?eid=2-s2.0-85200964294&amp;doi=10.1109%2FINCET61516.2024.10593442&amp;partnerID=40&amp;md5=0c9e63679959808faaeeac3a9d637293" TargetMode="External"/><Relationship Id="rId196" Type="http://schemas.openxmlformats.org/officeDocument/2006/relationships/hyperlink" Target="https://www.scopus.com/inward/record.uri?eid=2-s2.0-85217265118&amp;doi=10.1109%2FICCSC62048.2024.10830422&amp;partnerID=40&amp;md5=88cd36f802ca46dffbc90ba75b04f375" TargetMode="External"/><Relationship Id="rId197" Type="http://schemas.openxmlformats.org/officeDocument/2006/relationships/hyperlink" Target="https://www.scopus.com/inward/record.uri?eid=2-s2.0-85180540501&amp;doi=10.1007%2F978-3-031-48774-3_22&amp;partnerID=40&amp;md5=8d52e7cfcf81a677e8bccdba730a7867" TargetMode="External"/><Relationship Id="rId198" Type="http://schemas.openxmlformats.org/officeDocument/2006/relationships/hyperlink" Target="https://www.scopus.com/inward/record.uri?eid=2-s2.0-85191702497&amp;doi=10.23919%2FINDIACom61295.2024.10499095&amp;partnerID=40&amp;md5=8cbaa733d99a06283251cfc26fba843f" TargetMode="External"/><Relationship Id="rId199" Type="http://schemas.openxmlformats.org/officeDocument/2006/relationships/hyperlink" Target="https://www.scopus.com/inward/record.uri?eid=2-s2.0-85200106839&amp;doi=10.1117%2F12.3017136&amp;partnerID=40&amp;md5=974ef431178d4ded4c37acf720e67906" TargetMode="External"/><Relationship Id="rId200" Type="http://schemas.openxmlformats.org/officeDocument/2006/relationships/hyperlink" Target="https://www.scopus.com/inward/record.uri?eid=2-s2.0-85216236614&amp;doi=10.2312%2Fstag.20241338&amp;partnerID=40&amp;md5=52b44366a0db40ddd77fec77b841928c" TargetMode="External"/><Relationship Id="rId201" Type="http://schemas.openxmlformats.org/officeDocument/2006/relationships/hyperlink" Target="https://www.scopus.com/inward/record.uri?eid=2-s2.0-85216417385&amp;doi=10.1109%2FPEEIACON63629.2024.10800576&amp;partnerID=40&amp;md5=428fe39dad605f0bf179e10e3e4ce113" TargetMode="External"/><Relationship Id="rId202" Type="http://schemas.openxmlformats.org/officeDocument/2006/relationships/hyperlink" Target="https://www.scopus.com/inward/record.uri?eid=2-s2.0-85199609550&amp;doi=10.1007%2F978-3-031-63999-9_9&amp;partnerID=40&amp;md5=2f362b608c66dfbf3a4ee21e929ea010" TargetMode="External"/><Relationship Id="rId203" Type="http://schemas.openxmlformats.org/officeDocument/2006/relationships/hyperlink" Target="https://www.scopus.com/inward/record.uri?eid=2-s2.0-85190531939&amp;doi=10.1109%2FICETSIS61505.2024.10459646&amp;partnerID=40&amp;md5=035163d98b109ebebdb49f25120cb80b" TargetMode="External"/><Relationship Id="rId204" Type="http://schemas.openxmlformats.org/officeDocument/2006/relationships/hyperlink" Target="https://www.scopus.com/inward/record.uri?eid=2-s2.0-85208829258&amp;doi=10.1117%2F12.3037975&amp;partnerID=40&amp;md5=f734cb526c5dd2ea79782da12b500c07" TargetMode="External"/><Relationship Id="rId205" Type="http://schemas.openxmlformats.org/officeDocument/2006/relationships/hyperlink" Target="https://www.scopus.com/inward/record.uri?eid=2-s2.0-85207647839&amp;doi=10.1007%2F978-3-031-72083-3_40&amp;partnerID=40&amp;md5=3c3f66a76feebe52694b60847f8eb965" TargetMode="External"/><Relationship Id="rId206" Type="http://schemas.openxmlformats.org/officeDocument/2006/relationships/hyperlink" Target="https://www.scopus.com/inward/record.uri?eid=2-s2.0-85215304665&amp;doi=10.1109%2FSPICES62143.2024.10779897&amp;partnerID=40&amp;md5=06d74eaa885b489be567cac7f935fa5c" TargetMode="External"/><Relationship Id="rId207" Type="http://schemas.openxmlformats.org/officeDocument/2006/relationships/hyperlink" Target="https://www.scopus.com/inward/record.uri?eid=2-s2.0-85195177527&amp;doi=10.1109%2FADICS58448.2024.10533454&amp;partnerID=40&amp;md5=054303e411c3a3d0e3acc21577648a8c" TargetMode="External"/><Relationship Id="rId208" Type="http://schemas.openxmlformats.org/officeDocument/2006/relationships/hyperlink" Target="https://www.scopus.com/inward/record.uri?eid=2-s2.0-85191308984&amp;doi=10.5220%2F0012325500003660&amp;partnerID=40&amp;md5=6e016676022649a78c9eac4517b81b1e" TargetMode="External"/><Relationship Id="rId209" Type="http://schemas.openxmlformats.org/officeDocument/2006/relationships/hyperlink" Target="https://www.scopus.com/inward/record.uri?eid=2-s2.0-85213362574&amp;doi=10.5194%2Fisprs-archives-XLVIII-3-2024-539-2024&amp;partnerID=40&amp;md5=1e170f5a40559c73a23c7962cec95f6e" TargetMode="External"/><Relationship Id="rId210" Type="http://schemas.openxmlformats.org/officeDocument/2006/relationships/hyperlink" Target="https://www.scopus.com/inward/record.uri?eid=2-s2.0-85214534153&amp;doi=10.1109%2FICTIIA61827.2024.10761789&amp;partnerID=40&amp;md5=8205aa779deba4a85658337d18067ae7" TargetMode="External"/><Relationship Id="rId211" Type="http://schemas.openxmlformats.org/officeDocument/2006/relationships/hyperlink" Target="https://www.scopus.com/inward/record.uri?eid=2-s2.0-85212474134&amp;doi=10.5194%2Fisprs-archives-XLVIII-4-2024-397-2024&amp;partnerID=40&amp;md5=88dae55808b2b3e284cb246d1762b239" TargetMode="External"/><Relationship Id="rId212" Type="http://schemas.openxmlformats.org/officeDocument/2006/relationships/hyperlink" Target="https://www.scopus.com/inward/record.uri?eid=2-s2.0-85200403067&amp;doi=10.1063%2F5.0221423&amp;partnerID=40&amp;md5=d2e2c3a3b9bdacd0b4dbcc1731200487" TargetMode="External"/><Relationship Id="rId213" Type="http://schemas.openxmlformats.org/officeDocument/2006/relationships/hyperlink" Target="https://www.scopus.com/inward/record.uri?eid=2-s2.0-85195143518&amp;doi=10.1109%2FAIMLA59606.2024.10531528&amp;partnerID=40&amp;md5=fbe7cf56bc22ab5aeb3284c4ce282b52" TargetMode="External"/><Relationship Id="rId214" Type="http://schemas.openxmlformats.org/officeDocument/2006/relationships/hyperlink" Target="https://www.scopus.com/inward/record.uri?eid=2-s2.0-85216412317&amp;doi=10.1109%2FPEEIACON63629.2024.10800244&amp;partnerID=40&amp;md5=a20dbeeb28f1a625caed68ff37709d42" TargetMode="External"/><Relationship Id="rId215" Type="http://schemas.openxmlformats.org/officeDocument/2006/relationships/hyperlink" Target="https://www.scopus.com/inward/record.uri?eid=2-s2.0-85162130669&amp;doi=10.1002%2Fpul2.12237&amp;partnerID=40&amp;md5=c7892eb68a3b2dff0eaaf9cffb6b36b9" TargetMode="External"/><Relationship Id="rId216" Type="http://schemas.openxmlformats.org/officeDocument/2006/relationships/hyperlink" Target="https://www.scopus.com/inward/record.uri?eid=2-s2.0-85149661713&amp;doi=10.3390%2Fijerph20054130&amp;partnerID=40&amp;md5=ff03394f1ee689a6d79a2c4a3d5f7239" TargetMode="External"/><Relationship Id="rId217" Type="http://schemas.openxmlformats.org/officeDocument/2006/relationships/hyperlink" Target="https://www.scopus.com/inward/record.uri?eid=2-s2.0-85143118785&amp;doi=10.1016%2Fj.sintl.2022.100209&amp;partnerID=40&amp;md5=098be0eb15c05e50f4b12f15c71ab3b0" TargetMode="External"/><Relationship Id="rId218" Type="http://schemas.openxmlformats.org/officeDocument/2006/relationships/hyperlink" Target="https://www.scopus.com/inward/record.uri?eid=2-s2.0-85146759399&amp;doi=10.3390%2Ftropicalmed8010033&amp;partnerID=40&amp;md5=77ec4233d21e3b90fbf75cb6b3292476" TargetMode="External"/><Relationship Id="rId219" Type="http://schemas.openxmlformats.org/officeDocument/2006/relationships/hyperlink" Target="https://www.scopus.com/inward/record.uri?eid=2-s2.0-85175606028&amp;doi=10.1186%2Fs12920-023-01711-8&amp;partnerID=40&amp;md5=7f34826fac2fec7fa254071c5a544b85" TargetMode="External"/><Relationship Id="rId220" Type="http://schemas.openxmlformats.org/officeDocument/2006/relationships/hyperlink" Target="https://www.scopus.com/inward/record.uri?eid=2-s2.0-85178045123&amp;doi=10.1016%2Fj.dajour.2023.100352&amp;partnerID=40&amp;md5=dea5f89747761a95797e79912f4eb5c8" TargetMode="External"/><Relationship Id="rId221" Type="http://schemas.openxmlformats.org/officeDocument/2006/relationships/hyperlink" Target="https://www.scopus.com/inward/record.uri?eid=2-s2.0-85159602257&amp;doi=10.1016%2Fj.lana.2023.100511&amp;partnerID=40&amp;md5=ed2d9d383ef0dd63879563b051ffd7f0" TargetMode="External"/><Relationship Id="rId222" Type="http://schemas.openxmlformats.org/officeDocument/2006/relationships/hyperlink" Target="https://www.scopus.com/inward/record.uri?eid=2-s2.0-85171807129&amp;doi=10.1371%2Fjournal.pntd.0011613&amp;partnerID=40&amp;md5=b75b4bad9ab5e5ae18b721b8e5711cd6" TargetMode="External"/><Relationship Id="rId223" Type="http://schemas.openxmlformats.org/officeDocument/2006/relationships/hyperlink" Target="https://www.scopus.com/inward/record.uri?eid=2-s2.0-85175335771&amp;partnerID=40&amp;md5=703139190be43ab6b77d4d8d5db9a1d4" TargetMode="External"/><Relationship Id="rId224" Type="http://schemas.openxmlformats.org/officeDocument/2006/relationships/hyperlink" Target="https://www.scopus.com/inward/record.uri?eid=2-s2.0-85167790799&amp;doi=10.1109%2FJIOT.2023.3304526&amp;partnerID=40&amp;md5=ea4d365703c491b3f6a1e6ede98ea40c" TargetMode="External"/><Relationship Id="rId225" Type="http://schemas.openxmlformats.org/officeDocument/2006/relationships/hyperlink" Target="https://www.scopus.com/inward/record.uri?eid=2-s2.0-85159894999&amp;doi=10.1016%2Fj.lanwpc.2023.100792&amp;partnerID=40&amp;md5=42e0182f3d4af5c314ca6ffc5f177701" TargetMode="External"/><Relationship Id="rId226" Type="http://schemas.openxmlformats.org/officeDocument/2006/relationships/hyperlink" Target="https://www.scopus.com/inward/record.uri?eid=2-s2.0-85160079201&amp;doi=10.1016%2Fj.socscimed.2023.115949&amp;partnerID=40&amp;md5=8e03fc03da12d47c0669fd98cb373dfb" TargetMode="External"/><Relationship Id="rId227" Type="http://schemas.openxmlformats.org/officeDocument/2006/relationships/hyperlink" Target="https://www.scopus.com/inward/record.uri?eid=2-s2.0-85163762489&amp;doi=10.1038%2Fs41598-023-37574-3&amp;partnerID=40&amp;md5=55edb6462cb3c54ff0d2abf98111d641" TargetMode="External"/><Relationship Id="rId228" Type="http://schemas.openxmlformats.org/officeDocument/2006/relationships/hyperlink" Target="https://www.scopus.com/inward/record.uri?eid=2-s2.0-85172163619&amp;doi=10.3390%2Fchildren10091508&amp;partnerID=40&amp;md5=a170f754873cf8715984d0ca8779bd60" TargetMode="External"/><Relationship Id="rId229" Type="http://schemas.openxmlformats.org/officeDocument/2006/relationships/hyperlink" Target="https://www.scopus.com/inward/record.uri?eid=2-s2.0-85173439748&amp;doi=10.1093%2Ftropej%2Ffmad032&amp;partnerID=40&amp;md5=4ce4a2d4c574003d58e8c7e852ee3844" TargetMode="External"/><Relationship Id="rId230" Type="http://schemas.openxmlformats.org/officeDocument/2006/relationships/hyperlink" Target="https://www.scopus.com/inward/record.uri?eid=2-s2.0-85175231725&amp;doi=10.5334%2Fcstp.616&amp;partnerID=40&amp;md5=9acd1f5619cbaa4e3225e403b0d620c0" TargetMode="External"/><Relationship Id="rId231" Type="http://schemas.openxmlformats.org/officeDocument/2006/relationships/hyperlink" Target="https://www.scopus.com/inward/record.uri?eid=2-s2.0-85162958910&amp;doi=10.30630%2Fjoiv.7.2.1301&amp;partnerID=40&amp;md5=f92eba55c03db99b3fbfbb10f04d40aa" TargetMode="External"/><Relationship Id="rId232" Type="http://schemas.openxmlformats.org/officeDocument/2006/relationships/hyperlink" Target="https://www.scopus.com/inward/record.uri?eid=2-s2.0-85161830885&amp;doi=10.19153%2Fcleiej.26.1.4&amp;partnerID=40&amp;md5=c30859f153a7157d7fd38c475a356051" TargetMode="External"/><Relationship Id="rId233" Type="http://schemas.openxmlformats.org/officeDocument/2006/relationships/hyperlink" Target="https://www.scopus.com/inward/record.uri?eid=2-s2.0-85173117681&amp;doi=10.1186%2Fs12936-023-04713-0&amp;partnerID=40&amp;md5=55fa9fd7c4962291ad33046c702dc180" TargetMode="External"/><Relationship Id="rId234" Type="http://schemas.openxmlformats.org/officeDocument/2006/relationships/hyperlink" Target="https://www.scopus.com/inward/record.uri?eid=2-s2.0-85161705074&amp;doi=10.1016%2Fj.puhe.2023.05.010&amp;partnerID=40&amp;md5=b7c806b7ab981cc711c93c619abdb9a8" TargetMode="External"/><Relationship Id="rId235" Type="http://schemas.openxmlformats.org/officeDocument/2006/relationships/hyperlink" Target="https://www.scopus.com/inward/record.uri?eid=2-s2.0-85179014853&amp;doi=10.1371%2Fjournal.pone.0287702&amp;partnerID=40&amp;md5=42ae182a7cbaece57bbbb8c32c56ef97" TargetMode="External"/><Relationship Id="rId236" Type="http://schemas.openxmlformats.org/officeDocument/2006/relationships/hyperlink" Target="https://www.scopus.com/inward/record.uri?eid=2-s2.0-85170044755&amp;doi=10.19101%2FIJATEE.2023.10101218&amp;partnerID=40&amp;md5=cb38551a4cfe31f765492166ba8ffa58" TargetMode="External"/><Relationship Id="rId237" Type="http://schemas.openxmlformats.org/officeDocument/2006/relationships/hyperlink" Target="https://www.scopus.com/inward/record.uri?eid=2-s2.0-85173869069&amp;doi=10.3390%2Felectronics12194144&amp;partnerID=40&amp;md5=2264183d35456269a0b44a61e709299e" TargetMode="External"/><Relationship Id="rId238" Type="http://schemas.openxmlformats.org/officeDocument/2006/relationships/hyperlink" Target="https://www.scopus.com/inward/record.uri?eid=2-s2.0-85195692107&amp;doi=10.1371%2Fjournal.pgph.0001950&amp;partnerID=40&amp;md5=766e52b3fe5aac2b26462f189cfda196" TargetMode="External"/><Relationship Id="rId239" Type="http://schemas.openxmlformats.org/officeDocument/2006/relationships/hyperlink" Target="https://www.scopus.com/inward/record.uri?eid=2-s2.0-85161384036&amp;partnerID=40&amp;md5=45eedd122f92001247c6a188179c5803" TargetMode="External"/><Relationship Id="rId240" Type="http://schemas.openxmlformats.org/officeDocument/2006/relationships/hyperlink" Target="https://www.scopus.com/inward/record.uri?eid=2-s2.0-85134239714&amp;doi=10.1007%2Fs41060-022-00344-x&amp;partnerID=40&amp;md5=fbc15dd735951dfc38e044dcc0179f56" TargetMode="External"/><Relationship Id="rId241" Type="http://schemas.openxmlformats.org/officeDocument/2006/relationships/hyperlink" Target="https://www.scopus.com/inward/record.uri?eid=2-s2.0-85153714354&amp;doi=10.3390%2Ftropicalmed8040184&amp;partnerID=40&amp;md5=34f90149a355dcea964e6e353b2fbce3" TargetMode="External"/><Relationship Id="rId242" Type="http://schemas.openxmlformats.org/officeDocument/2006/relationships/hyperlink" Target="https://www.scopus.com/inward/record.uri?eid=2-s2.0-85179117180&amp;doi=10.59556%2Fjapi.71.0379&amp;partnerID=40&amp;md5=576eba7f67f9d8acc5be9b457c98b763" TargetMode="External"/><Relationship Id="rId243" Type="http://schemas.openxmlformats.org/officeDocument/2006/relationships/hyperlink" Target="https://www.scopus.com/inward/record.uri?eid=2-s2.0-85161037433&amp;doi=10.1109%2FACCESS.2023.3280191&amp;partnerID=40&amp;md5=c19b2a4a42f0f33d3a839980c7273620" TargetMode="External"/><Relationship Id="rId244" Type="http://schemas.openxmlformats.org/officeDocument/2006/relationships/hyperlink" Target="https://www.scopus.com/inward/record.uri?eid=2-s2.0-85147023475&amp;doi=10.1186%2Fs12917-023-03582-8&amp;partnerID=40&amp;md5=c7360b8153a1bd49983bc1179a6bba2a" TargetMode="External"/><Relationship Id="rId245" Type="http://schemas.openxmlformats.org/officeDocument/2006/relationships/hyperlink" Target="https://www.scopus.com/inward/record.uri?eid=2-s2.0-85146193409&amp;doi=10.4269%2Fajtmh.22-0527&amp;partnerID=40&amp;md5=d79aec0009fe31d5fb87cae7a89d2170" TargetMode="External"/><Relationship Id="rId246" Type="http://schemas.openxmlformats.org/officeDocument/2006/relationships/hyperlink" Target="https://www.scopus.com/inward/record.uri?eid=2-s2.0-85162049436&amp;doi=10.1016%2Fj.crmeth.2023.100516&amp;partnerID=40&amp;md5=ec19efbd0653dfe32f51c48af07e397f" TargetMode="External"/><Relationship Id="rId247" Type="http://schemas.openxmlformats.org/officeDocument/2006/relationships/hyperlink" Target="https://www.scopus.com/inward/record.uri?eid=2-s2.0-85167839627&amp;doi=10.1109%2FACCESS.2023.3303966&amp;partnerID=40&amp;md5=1c61e4caff242209fc073cfa8fac24ac" TargetMode="External"/><Relationship Id="rId248" Type="http://schemas.openxmlformats.org/officeDocument/2006/relationships/hyperlink" Target="https://www.scopus.com/inward/record.uri?eid=2-s2.0-85168777940&amp;doi=10.3390%2Faudiolres13040048&amp;partnerID=40&amp;md5=eb3eb92cbe810efa4138ef9f4fb05063" TargetMode="External"/><Relationship Id="rId249" Type="http://schemas.openxmlformats.org/officeDocument/2006/relationships/hyperlink" Target="https://www.scopus.com/inward/record.uri?eid=2-s2.0-85180900866&amp;doi=10.3389%2Ffphar.2023.1271618&amp;partnerID=40&amp;md5=6c196530b836d94ce0645cd389841ec6" TargetMode="External"/><Relationship Id="rId250" Type="http://schemas.openxmlformats.org/officeDocument/2006/relationships/hyperlink" Target="https://www.scopus.com/inward/record.uri?eid=2-s2.0-85180519737&amp;doi=10.1080%2F01969722.2023.2296254&amp;partnerID=40&amp;md5=294f5cda4256a3697830e40a605f4ccb" TargetMode="External"/><Relationship Id="rId251" Type="http://schemas.openxmlformats.org/officeDocument/2006/relationships/hyperlink" Target="https://www.scopus.com/inward/record.uri?eid=2-s2.0-85186448340&amp;doi=10.3390%2FASEC2023-15924&amp;partnerID=40&amp;md5=7978df8051bccf0240c2c03034b18601" TargetMode="External"/><Relationship Id="rId252" Type="http://schemas.openxmlformats.org/officeDocument/2006/relationships/hyperlink" Target="https://www.scopus.com/inward/record.uri?eid=2-s2.0-85176414247&amp;doi=10.1007%2Fs13312-023-2982-6&amp;partnerID=40&amp;md5=0f67e5eef389796f5ccce2600eab265b" TargetMode="External"/><Relationship Id="rId253" Type="http://schemas.openxmlformats.org/officeDocument/2006/relationships/hyperlink" Target="https://www.scopus.com/inward/record.uri?eid=2-s2.0-85187100941&amp;doi=10.1183%2F2312508X.10001523&amp;partnerID=40&amp;md5=c866c82b94959a09a1335837437c9c35" TargetMode="External"/><Relationship Id="rId254" Type="http://schemas.openxmlformats.org/officeDocument/2006/relationships/hyperlink" Target="https://www.scopus.com/inward/record.uri?eid=2-s2.0-85168705871&amp;doi=10.3389%2Ffimmu.2023.1243516&amp;partnerID=40&amp;md5=d1b0958f8a390fa34a8859bf8f8c38f8" TargetMode="External"/><Relationship Id="rId255" Type="http://schemas.openxmlformats.org/officeDocument/2006/relationships/hyperlink" Target="https://www.scopus.com/inward/record.uri?eid=2-s2.0-85179018170&amp;doi=10.1590%2F1519-6984.276872&amp;partnerID=40&amp;md5=93c585007bef094b80f9f97909403e15" TargetMode="External"/><Relationship Id="rId256" Type="http://schemas.openxmlformats.org/officeDocument/2006/relationships/hyperlink" Target="https://www.scopus.com/inward/record.uri?eid=2-s2.0-85176494943&amp;doi=10.4269%2Fajtmh.23-0277&amp;partnerID=40&amp;md5=d69c9c7624bbb3fb87e796fca2bf0ea2" TargetMode="External"/><Relationship Id="rId257" Type="http://schemas.openxmlformats.org/officeDocument/2006/relationships/hyperlink" Target="https://www.scopus.com/inward/record.uri?eid=2-s2.0-85165312691&amp;doi=10.17762%2Fijritcc.v11i5s.6647&amp;partnerID=40&amp;md5=dff521d9ccafd7a4564d8a0acdb592c9" TargetMode="External"/><Relationship Id="rId258" Type="http://schemas.openxmlformats.org/officeDocument/2006/relationships/hyperlink" Target="https://www.scopus.com/inward/record.uri?eid=2-s2.0-85160228149&amp;doi=10.55730%2F1300-0179.3127&amp;partnerID=40&amp;md5=af75d5207360d1c6740d1c2e0a2df866" TargetMode="External"/><Relationship Id="rId259" Type="http://schemas.openxmlformats.org/officeDocument/2006/relationships/hyperlink" Target="https://www.scopus.com/inward/record.uri?eid=2-s2.0-85195671660&amp;doi=10.1371%2Fjournal.pgph.0001840&amp;partnerID=40&amp;md5=c844c31835d3e25c5f77a4cb2cb8e16c" TargetMode="External"/><Relationship Id="rId260" Type="http://schemas.openxmlformats.org/officeDocument/2006/relationships/hyperlink" Target="https://www.scopus.com/inward/record.uri?eid=2-s2.0-85149298523&amp;doi=10.3389%2Ffimmu.2023.1071023&amp;partnerID=40&amp;md5=6aef4783281f8b6aba438b0d7b2a42c7" TargetMode="External"/><Relationship Id="rId261" Type="http://schemas.openxmlformats.org/officeDocument/2006/relationships/hyperlink" Target="https://www.scopus.com/inward/record.uri?eid=2-s2.0-85201864455&amp;doi=10.3390%2Fecsa-10-16246&amp;partnerID=40&amp;md5=2920812af98c18fc08090861a8d5e18a" TargetMode="External"/><Relationship Id="rId262" Type="http://schemas.openxmlformats.org/officeDocument/2006/relationships/hyperlink" Target="https://www.scopus.com/inward/record.uri?eid=2-s2.0-85176459059&amp;doi=10.1186%2Fs13071-023-06001-x&amp;partnerID=40&amp;md5=061d0ec4a06c9ff5ffbb8f84ecfd94c4" TargetMode="External"/><Relationship Id="rId263" Type="http://schemas.openxmlformats.org/officeDocument/2006/relationships/hyperlink" Target="https://www.scopus.com/inward/record.uri?eid=2-s2.0-85147234509&amp;doi=10.1093%2Ftrstmh%2Ftrac090&amp;partnerID=40&amp;md5=2e4deb61522db5078240eb03b025963a" TargetMode="External"/><Relationship Id="rId264" Type="http://schemas.openxmlformats.org/officeDocument/2006/relationships/hyperlink" Target="https://www.scopus.com/inward/record.uri?eid=2-s2.0-85174143428&amp;doi=10.26538%2Ftjnpr%2Fv7i9.33&amp;partnerID=40&amp;md5=0ac7ba49a29ee859ea42942dfbc314bf" TargetMode="External"/><Relationship Id="rId265" Type="http://schemas.openxmlformats.org/officeDocument/2006/relationships/hyperlink" Target="https://www.scopus.com/inward/record.uri?eid=2-s2.0-85148111154&amp;doi=10.3233%2FJIFS-221252&amp;partnerID=40&amp;md5=a916541cf745d1e5ca91d2dd423d79ac" TargetMode="External"/><Relationship Id="rId266" Type="http://schemas.openxmlformats.org/officeDocument/2006/relationships/hyperlink" Target="https://www.scopus.com/inward/record.uri?eid=2-s2.0-85178370050&amp;doi=10.3390%2Fdiagnostics13223441&amp;partnerID=40&amp;md5=df939f466d2bec39ba132a1f90f65172" TargetMode="External"/><Relationship Id="rId267" Type="http://schemas.openxmlformats.org/officeDocument/2006/relationships/hyperlink" Target="https://www.scopus.com/inward/record.uri?eid=2-s2.0-85179915985&amp;doi=10.1186%2Fs40794-023-00208-7&amp;partnerID=40&amp;md5=4dd9d31e2b1eb57ef201e6e106445346" TargetMode="External"/><Relationship Id="rId268" Type="http://schemas.openxmlformats.org/officeDocument/2006/relationships/hyperlink" Target="https://www.scopus.com/inward/record.uri?eid=2-s2.0-85174817433&amp;doi=10.1186%2Fs13071-023-05952-5&amp;partnerID=40&amp;md5=18484da8e8eb4a0d3de7a9a2814c1ff0" TargetMode="External"/><Relationship Id="rId269" Type="http://schemas.openxmlformats.org/officeDocument/2006/relationships/hyperlink" Target="https://www.scopus.com/inward/record.uri?eid=2-s2.0-85167517458&amp;doi=10.3389%2Ffmed.2023.1233220&amp;partnerID=40&amp;md5=cf5dd40ce73effd6dbed15d6ce40d4b7" TargetMode="External"/><Relationship Id="rId270" Type="http://schemas.openxmlformats.org/officeDocument/2006/relationships/hyperlink" Target="https://www.scopus.com/inward/record.uri?eid=2-s2.0-85149172045&amp;doi=10.1371%2Fjournal.pntd.0011132&amp;partnerID=40&amp;md5=c237ef2a5637a36b9260ccab5155211a" TargetMode="External"/><Relationship Id="rId271" Type="http://schemas.openxmlformats.org/officeDocument/2006/relationships/hyperlink" Target="https://www.scopus.com/inward/record.uri?eid=2-s2.0-85147461219&amp;doi=10.1186%2Fs40249-023-01060-9&amp;partnerID=40&amp;md5=c8eb6143b6fefd1279f884bd02a82ce1" TargetMode="External"/><Relationship Id="rId272" Type="http://schemas.openxmlformats.org/officeDocument/2006/relationships/hyperlink" Target="https://www.scopus.com/inward/record.uri?eid=2-s2.0-85163913638&amp;doi=10.1128%2Fspectrum.05222-22&amp;partnerID=40&amp;md5=54d62ecb079978b0ec6136794e375b5f" TargetMode="External"/><Relationship Id="rId273" Type="http://schemas.openxmlformats.org/officeDocument/2006/relationships/hyperlink" Target="https://www.scopus.com/inward/record.uri?eid=2-s2.0-85136827718&amp;doi=10.1007%2Fs15010-022-01906-8&amp;partnerID=40&amp;md5=7e63a1f903c1592d5c00ad299ef316b5" TargetMode="External"/><Relationship Id="rId274" Type="http://schemas.openxmlformats.org/officeDocument/2006/relationships/hyperlink" Target="https://www.scopus.com/inward/record.uri?eid=2-s2.0-85164040851&amp;doi=10.1371%2Fjournal.pntd.0011423&amp;partnerID=40&amp;md5=bdb80a7cc810083bf836c776badc5845" TargetMode="External"/><Relationship Id="rId275" Type="http://schemas.openxmlformats.org/officeDocument/2006/relationships/hyperlink" Target="https://www.scopus.com/inward/record.uri?eid=2-s2.0-85179333996&amp;doi=10.3389%2Ffvets.2023.1294049&amp;partnerID=40&amp;md5=4ee3894c93ee9c599805a18878443d92" TargetMode="External"/><Relationship Id="rId276" Type="http://schemas.openxmlformats.org/officeDocument/2006/relationships/hyperlink" Target="https://www.scopus.com/inward/record.uri?eid=2-s2.0-85195218575&amp;doi=10.1371%2Fjournal.pgph.0002514&amp;partnerID=40&amp;md5=73d5b9dc31eae28dd7f6e842c15f0144" TargetMode="External"/><Relationship Id="rId277" Type="http://schemas.openxmlformats.org/officeDocument/2006/relationships/hyperlink" Target="https://www.scopus.com/inward/record.uri?eid=2-s2.0-85183434286&amp;doi=10.1016%2Fj.mjafi.2023.10.007&amp;partnerID=40&amp;md5=8b08560f9344a9c387815e8cb28cfe34" TargetMode="External"/><Relationship Id="rId278" Type="http://schemas.openxmlformats.org/officeDocument/2006/relationships/hyperlink" Target="https://www.scopus.com/inward/record.uri?eid=2-s2.0-85149951595&amp;doi=10.1002%2Fcpe.7597&amp;partnerID=40&amp;md5=3b3450ed9abe82921f47c8ec1560f8c2" TargetMode="External"/><Relationship Id="rId279" Type="http://schemas.openxmlformats.org/officeDocument/2006/relationships/hyperlink" Target="https://www.scopus.com/inward/record.uri?eid=2-s2.0-85178230208&amp;doi=10.1186%2Fs12936-023-04795-w&amp;partnerID=40&amp;md5=15cde9abb6cb6803281544cd515d1d4f" TargetMode="External"/><Relationship Id="rId280" Type="http://schemas.openxmlformats.org/officeDocument/2006/relationships/hyperlink" Target="https://www.scopus.com/inward/record.uri?eid=2-s2.0-85171430343&amp;doi=10.18178%2Fjoig.11.3.288-293&amp;partnerID=40&amp;md5=5ce854c69b8b508762d91f650b8ec0b9" TargetMode="External"/><Relationship Id="rId281" Type="http://schemas.openxmlformats.org/officeDocument/2006/relationships/hyperlink" Target="https://www.scopus.com/inward/record.uri?eid=2-s2.0-85180018205&amp;doi=10.1201%2F9781003393580-57&amp;partnerID=40&amp;md5=7e2b02db1da1a0912cf357b287633581" TargetMode="External"/><Relationship Id="rId282" Type="http://schemas.openxmlformats.org/officeDocument/2006/relationships/hyperlink" Target="https://www.scopus.com/inward/record.uri?eid=2-s2.0-85169027890&amp;doi=10.1007%2F978-3-031-36118-0_41&amp;partnerID=40&amp;md5=45889df0be107d6c4b4d008aaca04427" TargetMode="External"/><Relationship Id="rId283" Type="http://schemas.openxmlformats.org/officeDocument/2006/relationships/hyperlink" Target="https://www.scopus.com/inward/record.uri?eid=2-s2.0-85158118671&amp;doi=10.1007%2F978-981-99-0248-4_32&amp;partnerID=40&amp;md5=adbb9e830e505c237c32dbe9de0c6cec" TargetMode="External"/><Relationship Id="rId284" Type="http://schemas.openxmlformats.org/officeDocument/2006/relationships/hyperlink" Target="https://www.scopus.com/inward/record.uri?eid=2-s2.0-85140245365&amp;doi=10.1007%2F978-981-19-3035-5_13&amp;partnerID=40&amp;md5=3195717c813087f1cf3219505b35ccde" TargetMode="External"/><Relationship Id="rId285" Type="http://schemas.openxmlformats.org/officeDocument/2006/relationships/hyperlink" Target="https://www.scopus.com/inward/record.uri?eid=2-s2.0-85135067868&amp;doi=10.1007%2F978-981-19-0151-5_11&amp;partnerID=40&amp;md5=115bf46c1ce402a4c17960817978723d" TargetMode="External"/><Relationship Id="rId286" Type="http://schemas.openxmlformats.org/officeDocument/2006/relationships/hyperlink" Target="https://www.scopus.com/inward/record.uri?eid=2-s2.0-85183801852&amp;doi=10.4018%2F979-8-3693-1479-1.ch010&amp;partnerID=40&amp;md5=c3e065a3ccc695291d9293b4ae8892f3" TargetMode="External"/><Relationship Id="rId287" Type="http://schemas.openxmlformats.org/officeDocument/2006/relationships/hyperlink" Target="https://www.scopus.com/inward/record.uri?eid=2-s2.0-85150207463&amp;doi=10.1007%2F978-3-031-22456-0_14&amp;partnerID=40&amp;md5=2caa8ec1e2b26a5dbd71de6f887de88e" TargetMode="External"/><Relationship Id="rId288" Type="http://schemas.openxmlformats.org/officeDocument/2006/relationships/hyperlink" Target="https://www.scopus.com/inward/record.uri?eid=2-s2.0-85182729457&amp;doi=10.1109%2FTIPTEKNO59875.2023.10359193&amp;partnerID=40&amp;md5=2f799f50f2d23aa3fd7ef3c28af0acd4" TargetMode="External"/><Relationship Id="rId289" Type="http://schemas.openxmlformats.org/officeDocument/2006/relationships/hyperlink" Target="https://www.scopus.com/inward/record.uri?eid=2-s2.0-85193918564&amp;doi=10.1109%2FIEEECONF58110.2023.10520640&amp;partnerID=40&amp;md5=9993112d88900d904746211e9779e082" TargetMode="External"/><Relationship Id="rId290" Type="http://schemas.openxmlformats.org/officeDocument/2006/relationships/hyperlink" Target="https://www.scopus.com/inward/record.uri?eid=2-s2.0-85161386702&amp;doi=10.1063%2F5.0113581&amp;partnerID=40&amp;md5=5899b637afee19acb5d5b44094b838fa" TargetMode="External"/><Relationship Id="rId291" Type="http://schemas.openxmlformats.org/officeDocument/2006/relationships/hyperlink" Target="https://www.scopus.com/inward/record.uri?eid=2-s2.0-85182399458&amp;doi=10.1109%2FNAECON58068.2023.10365991&amp;partnerID=40&amp;md5=ee465b6d8e04dffcbe8e414e8d91c2d5" TargetMode="External"/><Relationship Id="rId292" Type="http://schemas.openxmlformats.org/officeDocument/2006/relationships/hyperlink" Target="https://www.scopus.com/inward/record.uri?eid=2-s2.0-85150682491&amp;doi=10.1109%2FICSSIT55814.2023.10061060&amp;partnerID=40&amp;md5=b7d36b5cafae84c70bfb5123aa9fb00b" TargetMode="External"/><Relationship Id="rId293" Type="http://schemas.openxmlformats.org/officeDocument/2006/relationships/hyperlink" Target="https://www.scopus.com/inward/record.uri?eid=2-s2.0-85163359197&amp;doi=10.1007%2F978-3-031-33545-7_1&amp;partnerID=40&amp;md5=2d906ad2104eb9d7340d87b0e850f746" TargetMode="External"/><Relationship Id="rId294" Type="http://schemas.openxmlformats.org/officeDocument/2006/relationships/hyperlink" Target="https://www.scopus.com/inward/record.uri?eid=2-s2.0-85179844245&amp;doi=10.1109%2FICCCNT56998.2023.10306840&amp;partnerID=40&amp;md5=44c81823ff66b3faa3e2acef8e1bf40a" TargetMode="External"/><Relationship Id="rId295" Type="http://schemas.openxmlformats.org/officeDocument/2006/relationships/hyperlink" Target="https://www.scopus.com/inward/record.uri?eid=2-s2.0-85181405299&amp;doi=10.1109%2FICSCC59169.2023.10335055&amp;partnerID=40&amp;md5=2baa894badb52c7d127cb7dc9b93fe3a" TargetMode="External"/><Relationship Id="rId296" Type="http://schemas.openxmlformats.org/officeDocument/2006/relationships/hyperlink" Target="https://www.scopus.com/inward/record.uri?eid=2-s2.0-85186698823&amp;doi=10.1109%2FICERCS57948.2023.10434247&amp;partnerID=40&amp;md5=45922b991a609ca4f44c937f205ae186" TargetMode="External"/><Relationship Id="rId297" Type="http://schemas.openxmlformats.org/officeDocument/2006/relationships/hyperlink" Target="https://www.scopus.com/inward/record.uri?eid=2-s2.0-85149949902&amp;doi=10.1007%2F978-981-19-9968-0_120&amp;partnerID=40&amp;md5=b2d0e06b52e8c084406aed84a2c0e68a" TargetMode="External"/><Relationship Id="rId298" Type="http://schemas.openxmlformats.org/officeDocument/2006/relationships/hyperlink" Target="https://www.scopus.com/inward/record.uri?eid=2-s2.0-85177208310&amp;doi=10.1007%2F978-3-031-47451-4_22&amp;partnerID=40&amp;md5=9fea2a4e81ab482ab008a66aa3ebe6e2" TargetMode="External"/><Relationship Id="rId299" Type="http://schemas.openxmlformats.org/officeDocument/2006/relationships/hyperlink" Target="https://www.scopus.com/inward/record.uri?eid=2-s2.0-85174414626&amp;partnerID=40&amp;md5=846dcc6c8651fdaf7507cd9dcd3f7e13" TargetMode="External"/><Relationship Id="rId300" Type="http://schemas.openxmlformats.org/officeDocument/2006/relationships/hyperlink" Target="https://www.scopus.com/inward/record.uri?eid=2-s2.0-85190542019&amp;doi=10.1109%2FICSES60034.2023.10465510&amp;partnerID=40&amp;md5=73e61cba9511b6c815eb8d20f755d738" TargetMode="External"/><Relationship Id="rId301" Type="http://schemas.openxmlformats.org/officeDocument/2006/relationships/hyperlink" Target="https://www.scopus.com/inward/record.uri?eid=2-s2.0-85175626683&amp;doi=10.1109%2FASIANCON58793.2023.10270637&amp;partnerID=40&amp;md5=0acdadd484fddc726ba71f86466043fd" TargetMode="External"/><Relationship Id="rId302" Type="http://schemas.openxmlformats.org/officeDocument/2006/relationships/hyperlink" Target="https://www.scopus.com/inward/record.uri?eid=2-s2.0-85151156562&amp;doi=10.1007%2F978-3-031-26254-8_25&amp;partnerID=40&amp;md5=48097843f37d540517e8007d06090518" TargetMode="External"/><Relationship Id="rId303" Type="http://schemas.openxmlformats.org/officeDocument/2006/relationships/hyperlink" Target="https://www.scopus.com/inward/record.uri?eid=2-s2.0-85161230933&amp;doi=10.1109%2FICOEI56765.2023.10126059&amp;partnerID=40&amp;md5=b27e46f9be024ec50ade4d7249b688be" TargetMode="External"/><Relationship Id="rId304" Type="http://schemas.openxmlformats.org/officeDocument/2006/relationships/hyperlink" Target="https://www.scopus.com/inward/record.uri?eid=2-s2.0-85181531993&amp;doi=10.1109%2FCSITSS60515.2023.10334096&amp;partnerID=40&amp;md5=7c4dea06add2139974c9474fbf8eefca" TargetMode="External"/><Relationship Id="rId305" Type="http://schemas.openxmlformats.org/officeDocument/2006/relationships/hyperlink" Target="https://www.scopus.com/inward/record.uri?eid=2-s2.0-85163340496&amp;doi=10.1007%2F978-981-99-1414-2_64&amp;partnerID=40&amp;md5=54804dacee8a52c388ee7b999d10882e" TargetMode="External"/><Relationship Id="rId306" Type="http://schemas.openxmlformats.org/officeDocument/2006/relationships/hyperlink" Target="https://www.scopus.com/inward/record.uri?eid=2-s2.0-85149651211&amp;doi=10.1007%2F978-981-19-7874-6_15&amp;partnerID=40&amp;md5=e8c930980c625066400edd6bd96d94f1" TargetMode="External"/><Relationship Id="rId307" Type="http://schemas.openxmlformats.org/officeDocument/2006/relationships/hyperlink" Target="https://www.scopus.com/inward/record.uri?eid=2-s2.0-85163447215&amp;doi=10.1109%2FICICT57646.2023.10134430&amp;partnerID=40&amp;md5=a5b3f4fab7364023a064ee6659574798" TargetMode="External"/><Relationship Id="rId308" Type="http://schemas.openxmlformats.org/officeDocument/2006/relationships/hyperlink" Target="https://www.scopus.com/inward/record.uri?eid=2-s2.0-85191493610&amp;doi=10.1109%2FICAIIHI57871.2023.10489504&amp;partnerID=40&amp;md5=106b94aeb3762e62553522301dc7cbe8" TargetMode="External"/><Relationship Id="rId309" Type="http://schemas.openxmlformats.org/officeDocument/2006/relationships/hyperlink" Target="https://www.scopus.com/inward/record.uri?eid=2-s2.0-85189941566&amp;doi=10.1109%2FIWAIIP58158.2023.10462761&amp;partnerID=40&amp;md5=a238c009c8752a7752ebced389981d34" TargetMode="External"/><Relationship Id="rId310" Type="http://schemas.openxmlformats.org/officeDocument/2006/relationships/hyperlink" Target="https://www.scopus.com/inward/record.uri?eid=2-s2.0-85181136248&amp;doi=10.1109%2FICSSAS57918.2023.10331758&amp;partnerID=40&amp;md5=046ca68612eaae2772c69e2c0cb6cecb" TargetMode="External"/><Relationship Id="rId311" Type="http://schemas.openxmlformats.org/officeDocument/2006/relationships/hyperlink" Target="https://www.scopus.com/inward/record.uri?eid=2-s2.0-85164976634&amp;doi=10.1007%2F978-3-031-36402-0_27&amp;partnerID=40&amp;md5=fbc0b996d8b3b0d7a0148e00ff01ae02" TargetMode="External"/><Relationship Id="rId312" Type="http://schemas.openxmlformats.org/officeDocument/2006/relationships/hyperlink" Target="https://www.scopus.com/inward/record.uri?eid=2-s2.0-85181404557&amp;doi=10.1109%2FICSCC59169.2023.10335049&amp;partnerID=40&amp;md5=24258fb4cea24cecaa79ec13531c2040" TargetMode="External"/><Relationship Id="rId313" Type="http://schemas.openxmlformats.org/officeDocument/2006/relationships/hyperlink" Target="https://www.scopus.com/inward/record.uri?eid=2-s2.0-85168307637&amp;doi=10.1109%2FICESC57686.2023.10193462&amp;partnerID=40&amp;md5=e6fd96c31a6d61897682017147b5b2c4" TargetMode="External"/><Relationship Id="rId314" Type="http://schemas.openxmlformats.org/officeDocument/2006/relationships/hyperlink" Target="https://www.scopus.com/inward/record.uri?eid=2-s2.0-85182319906&amp;doi=10.22489%2FCinC.2023.273&amp;partnerID=40&amp;md5=4d11eb4667291f6fe0eac52e0c375795" TargetMode="External"/><Relationship Id="rId315" Type="http://schemas.openxmlformats.org/officeDocument/2006/relationships/hyperlink" Target="https://www.scopus.com/inward/record.uri?eid=2-s2.0-85175656003&amp;doi=10.1109%2FICITACEE58587.2023.10276849&amp;partnerID=40&amp;md5=addb842410105119a349bd54f52bffce" TargetMode="External"/><Relationship Id="rId316" Type="http://schemas.openxmlformats.org/officeDocument/2006/relationships/hyperlink" Target="https://www.scopus.com/inward/record.uri?eid=2-s2.0-85182283954&amp;doi=10.1088%2F1742-6596%2F2622%2F1%2F012011&amp;partnerID=40&amp;md5=042613e255ba4957c84fff3a43c0f68f" TargetMode="External"/><Relationship Id="rId317" Type="http://schemas.openxmlformats.org/officeDocument/2006/relationships/hyperlink" Target="https://www.scopus.com/inward/record.uri?eid=2-s2.0-85173522638&amp;doi=10.1109%2FSIU59756.2023.10223735&amp;partnerID=40&amp;md5=437dcfbbf2ca085d582865eb62f97ab2" TargetMode="External"/><Relationship Id="rId318" Type="http://schemas.openxmlformats.org/officeDocument/2006/relationships/hyperlink" Target="https://www.scopus.com/inward/record.uri?eid=2-s2.0-85191435259&amp;doi=10.1109%2FICAIIHI57871.2023.10488938&amp;partnerID=40&amp;md5=b9a53acf2c8f3325bd8c6d727ec8cde4" TargetMode="External"/><Relationship Id="rId319" Type="http://schemas.openxmlformats.org/officeDocument/2006/relationships/hyperlink" Target="https://www.scopus.com/inward/record.uri?eid=2-s2.0-85144917616&amp;doi=10.1007%2F978-3-031-20859-1_27&amp;partnerID=40&amp;md5=089e4483af5826500795ecd2cd912851" TargetMode="External"/><Relationship Id="rId320" Type="http://schemas.openxmlformats.org/officeDocument/2006/relationships/hyperlink" Target="https://www.scopus.com/inward/record.uri?eid=2-s2.0-85194173072&amp;doi=10.1109%2FICCAMS60113.2023.10525750&amp;partnerID=40&amp;md5=713207c37813dc5aaa49a74e6ed81d2e" TargetMode="External"/><Relationship Id="rId321" Type="http://schemas.openxmlformats.org/officeDocument/2006/relationships/hyperlink" Target="https://www.scopus.com/inward/record.uri?eid=2-s2.0-85174541317&amp;doi=10.1109%2FAIC57670.2023.10263950&amp;partnerID=40&amp;md5=870f5e4acc1e7772bc26b4ad1aa41274" TargetMode="External"/><Relationship Id="rId322" Type="http://schemas.openxmlformats.org/officeDocument/2006/relationships/hyperlink" Target="https://www.scopus.com/inward/record.uri?eid=2-s2.0-85172214299&amp;doi=10.1007%2F978-3-031-37963-5_5&amp;partnerID=40&amp;md5=4136ed43993749b1ef13b807df180e96" TargetMode="External"/><Relationship Id="rId323" Type="http://schemas.openxmlformats.org/officeDocument/2006/relationships/hyperlink" Target="https://www.scopus.com/inward/record.uri?eid=2-s2.0-85176272204&amp;doi=10.1088%2F1742-6596%2F2571%2F1%2F012005&amp;partnerID=40&amp;md5=44c0fc7fa6c7d4a2ccbddf41afcf277d" TargetMode="External"/><Relationship Id="rId324" Type="http://schemas.openxmlformats.org/officeDocument/2006/relationships/hyperlink" Target="https://www.scopus.com/inward/record.uri?eid=2-s2.0-85175398236&amp;doi=10.1109%2FNMITCON58196.2023.10276279&amp;partnerID=40&amp;md5=020a088be1d31f9e10cab9fc2b5e6c4d" TargetMode="External"/><Relationship Id="rId325" Type="http://schemas.openxmlformats.org/officeDocument/2006/relationships/hyperlink" Target="https://www.scopus.com/inward/record.uri?eid=2-s2.0-85163602927&amp;doi=10.1109%2FICAAIC56838.2023.10140337&amp;partnerID=40&amp;md5=08ac0027beec163d4ab390c582859145" TargetMode="External"/><Relationship Id="rId326" Type="http://schemas.openxmlformats.org/officeDocument/2006/relationships/hyperlink" Target="https://www.scopus.com/inward/record.uri?eid=2-s2.0-85172011122&amp;doi=10.1007%2F978-3-031-36886-8_10&amp;partnerID=40&amp;md5=895ab33ea99ce4944221366aa95c78c8" TargetMode="External"/><Relationship Id="rId327" Type="http://schemas.openxmlformats.org/officeDocument/2006/relationships/hyperlink" Target="https://www.scopus.com/inward/record.uri?eid=2-s2.0-85191464440&amp;doi=10.1109%2FICAIIHI57871.2023.10489681&amp;partnerID=40&amp;md5=0dc3bcb448f21d39a27ceb12e87016c2" TargetMode="External"/><Relationship Id="rId328" Type="http://schemas.openxmlformats.org/officeDocument/2006/relationships/hyperlink" Target="https://www.scopus.com/inward/record.uri?eid=2-s2.0-85183315974&amp;doi=10.1109%2FCISP-BMEI60920.2023.10373282&amp;partnerID=40&amp;md5=d3df448b382593958d4806a678408573" TargetMode="External"/><Relationship Id="rId329" Type="http://schemas.openxmlformats.org/officeDocument/2006/relationships/hyperlink" Target="https://www.scopus.com/inward/record.uri?eid=2-s2.0-85171147296&amp;partnerID=40&amp;md5=a7160619d9d535319ff9b33704f88872" TargetMode="External"/><Relationship Id="rId330" Type="http://schemas.openxmlformats.org/officeDocument/2006/relationships/hyperlink" Target="https://www.scopus.com/inward/record.uri?eid=2-s2.0-85163280874&amp;doi=10.1007%2F978-981-99-0085-5_57&amp;partnerID=40&amp;md5=3a1247688bdc56f7ffc5f3a004a5865d" TargetMode="External"/><Relationship Id="rId331" Type="http://schemas.openxmlformats.org/officeDocument/2006/relationships/hyperlink" Target="https://www.scopus.com/inward/record.uri?eid=2-s2.0-85171789070&amp;doi=10.1109%2FIMSA58542.2023.10217455&amp;partnerID=40&amp;md5=5a9da1985b90e0c0636daf18b909eab3" TargetMode="External"/><Relationship Id="rId332" Type="http://schemas.openxmlformats.org/officeDocument/2006/relationships/hyperlink" Target="https://www.scopus.com/inward/record.uri?eid=2-s2.0-85183468079&amp;doi=10.1109%2FSIPAIM56729.2023.10373464&amp;partnerID=40&amp;md5=b72c81779e082a07f16e9b5999b1bff5" TargetMode="External"/><Relationship Id="rId333" Type="http://schemas.openxmlformats.org/officeDocument/2006/relationships/hyperlink" Target="https://www.scopus.com/inward/record.uri?eid=2-s2.0-85179891077&amp;doi=10.1109%2FICITEE59582.2023.10317719&amp;partnerID=40&amp;md5=7a15a0120755808f46d925e6cce45f93" TargetMode="External"/><Relationship Id="rId334" Type="http://schemas.openxmlformats.org/officeDocument/2006/relationships/hyperlink" Target="https://www.scopus.com/inward/record.uri?eid=2-s2.0-85160015365&amp;doi=10.1109%2FICIPTM57143.2023.10118264&amp;partnerID=40&amp;md5=cd2756d834cc5efdc466e1c9857bdca7" TargetMode="External"/><Relationship Id="rId335" Type="http://schemas.openxmlformats.org/officeDocument/2006/relationships/hyperlink" Target="https://www.scopus.com/inward/record.uri?eid=2-s2.0-85159777827&amp;doi=10.1109%2FOTCON56053.2023.10114031&amp;partnerID=40&amp;md5=7376832427074864c4b57a4ae35a62af" TargetMode="External"/><Relationship Id="rId336" Type="http://schemas.openxmlformats.org/officeDocument/2006/relationships/hyperlink" Target="https://www.scopus.com/inward/record.uri?eid=2-s2.0-85187391454&amp;doi=10.1109%2FGLOBECOM54140.2023.10437674&amp;partnerID=40&amp;md5=0d8650a4a2a84e5aadaf22df3588fe2f" TargetMode="External"/><Relationship Id="rId337" Type="http://schemas.openxmlformats.org/officeDocument/2006/relationships/hyperlink" Target="https://www.scopus.com/inward/record.uri?eid=2-s2.0-85174216626&amp;doi=10.1109%2FICoAC59537.2023.10249606&amp;partnerID=40&amp;md5=3fe619f3c5aefe7ce8e78d964109c31c" TargetMode="External"/><Relationship Id="rId338" Type="http://schemas.openxmlformats.org/officeDocument/2006/relationships/hyperlink" Target="https://www.scopus.com/inward/record.uri?eid=2-s2.0-85186995317&amp;doi=10.1109%2FICMNWC60182.2023.10436006&amp;partnerID=40&amp;md5=e137b4baf75e466be0e4403cb0e32a51" TargetMode="External"/><Relationship Id="rId339" Type="http://schemas.openxmlformats.org/officeDocument/2006/relationships/hyperlink" Target="https://www.scopus.com/inward/record.uri?eid=2-s2.0-85181150699&amp;doi=10.1109%2FCW58918.2023.00059&amp;partnerID=40&amp;md5=0179c72e929c19e6e5ba753f41f3107c" TargetMode="External"/><Relationship Id="rId340" Type="http://schemas.openxmlformats.org/officeDocument/2006/relationships/hyperlink" Target="https://www.scopus.com/inward/record.uri?eid=2-s2.0-85191440770&amp;doi=10.1109%2FICTP60248.2023.10490800&amp;partnerID=40&amp;md5=a67c7c98ae5fe0a6b103a1165c4529a2" TargetMode="External"/><Relationship Id="rId341" Type="http://schemas.openxmlformats.org/officeDocument/2006/relationships/hyperlink" Target="https://www.scopus.com/inward/record.uri?eid=2-s2.0-85168763565&amp;doi=10.1007%2F978-981-99-1479-1_31&amp;partnerID=40&amp;md5=33f9f860e19769182b76b22d64ddff9d" TargetMode="External"/><Relationship Id="rId342" Type="http://schemas.openxmlformats.org/officeDocument/2006/relationships/hyperlink" Target="https://www.scopus.com/inward/record.uri?eid=2-s2.0-85161360186&amp;doi=10.1007%2F978-981-19-5191-6_3&amp;partnerID=40&amp;md5=1e298dba93cea955eeb23be7b76c93d7" TargetMode="External"/><Relationship Id="rId343" Type="http://schemas.openxmlformats.org/officeDocument/2006/relationships/hyperlink" Target="https://www.scopus.com/inward/record.uri?eid=2-s2.0-85166671323&amp;doi=10.1109%2FICECCT56650.2023.10179665&amp;partnerID=40&amp;md5=4d40e7dc2f37b9927dc05e755f2ef99c" TargetMode="External"/><Relationship Id="rId344" Type="http://schemas.openxmlformats.org/officeDocument/2006/relationships/hyperlink" Target="https://www.scopus.com/inward/record.uri?eid=2-s2.0-85186757601&amp;doi=10.1109%2FIKT62039.2023.10433016&amp;partnerID=40&amp;md5=3bb84e67e298a3c3bd8f6e2cdce51a65" TargetMode="External"/><Relationship Id="rId345" Type="http://schemas.openxmlformats.org/officeDocument/2006/relationships/hyperlink" Target="https://www.scopus.com/inward/record.uri?eid=2-s2.0-85158927818&amp;doi=10.1109%2FiCoMET57998.2023.10099260&amp;partnerID=40&amp;md5=f2624452e8d92fc04d277f34451e7aa6" TargetMode="External"/><Relationship Id="rId346" Type="http://schemas.openxmlformats.org/officeDocument/2006/relationships/hyperlink" Target="https://www.scopus.com/inward/record.uri?eid=2-s2.0-85164260379&amp;doi=10.1109%2FICSTSN57873.2023.10151538&amp;partnerID=40&amp;md5=d7e27c98f88f1309a32992bbb074bdde" TargetMode="External"/><Relationship Id="rId347" Type="http://schemas.openxmlformats.org/officeDocument/2006/relationships/hyperlink" Target="https://www.scopus.com/inward/record.uri?eid=2-s2.0-85159096925&amp;doi=10.1109%2FICSCDS56580.2023.10104958&amp;partnerID=40&amp;md5=b4c651ea70228b5967489dee532756d4" TargetMode="External"/><Relationship Id="rId348" Type="http://schemas.openxmlformats.org/officeDocument/2006/relationships/hyperlink" Target="https://www.scopus.com/inward/record.uri?eid=2-s2.0-85179557317&amp;doi=10.1109%2FINISTA59065.2023.10310367&amp;partnerID=40&amp;md5=56f70367bb50e34c2c2eec5ee9738883" TargetMode="External"/><Relationship Id="rId349" Type="http://schemas.openxmlformats.org/officeDocument/2006/relationships/hyperlink" Target="https://www.scopus.com/inward/record.uri?eid=2-s2.0-85170422992&amp;doi=10.1007%2F978-3-031-35314-7_30&amp;partnerID=40&amp;md5=94d209997b1564d0a2d3b867afe78cc2" TargetMode="External"/><Relationship Id="rId350" Type="http://schemas.openxmlformats.org/officeDocument/2006/relationships/hyperlink" Target="https://www.scopus.com/inward/record.uri?eid=2-s2.0-85144204858&amp;doi=10.1007%2F978-3-031-12127-2_14&amp;partnerID=40&amp;md5=9ff25ccf2602cdd1d43989eba164092e" TargetMode="External"/><Relationship Id="rId351" Type="http://schemas.openxmlformats.org/officeDocument/2006/relationships/hyperlink" Target="https://www.scopus.com/inward/record.uri?eid=2-s2.0-85187364699&amp;doi=10.1109%2FINCOFT60753.2023.10425678&amp;partnerID=40&amp;md5=f446e6846befe54facdbfda0f5a3913f" TargetMode="External"/><Relationship Id="rId352" Type="http://schemas.openxmlformats.org/officeDocument/2006/relationships/hyperlink" Target="https://www.scopus.com/inward/record.uri?eid=2-s2.0-85189143600&amp;doi=10.1109%2FICCEBS58601.2023.10448699&amp;partnerID=40&amp;md5=7ff697068c04f62da62d7ed66f9f67be" TargetMode="External"/><Relationship Id="rId353" Type="http://schemas.openxmlformats.org/officeDocument/2006/relationships/hyperlink" Target="https://www.scopus.com/inward/record.uri?eid=2-s2.0-85183472504&amp;doi=10.1109%2FICMEAS58693.2023.10379206&amp;partnerID=40&amp;md5=f9d91610d822006e55f6131472f9047d" TargetMode="External"/><Relationship Id="rId354" Type="http://schemas.openxmlformats.org/officeDocument/2006/relationships/hyperlink" Target="https://www.scopus.com/inward/record.uri?eid=2-s2.0-85174492522&amp;doi=10.1109%2FAIC57670.2023.10263918&amp;partnerID=40&amp;md5=ec166ac0d33593c22d58e4ea8972f0f4" TargetMode="External"/><Relationship Id="rId355" Type="http://schemas.openxmlformats.org/officeDocument/2006/relationships/hyperlink" Target="https://www.scopus.com/inward/record.uri?eid=2-s2.0-85177883580&amp;doi=10.1007%2F978-981-99-4634-1_43&amp;partnerID=40&amp;md5=299df4cea8e8cf5671d6e84a128099d3" TargetMode="External"/><Relationship Id="rId356" Type="http://schemas.openxmlformats.org/officeDocument/2006/relationships/hyperlink" Target="https://www.scopus.com/inward/record.uri?eid=2-s2.0-85158923067&amp;doi=10.1109%2FECCE57851.2023.10101524&amp;partnerID=40&amp;md5=478c5dd0e9d32b072e7077a93bed0dd3" TargetMode="External"/><Relationship Id="rId357" Type="http://schemas.openxmlformats.org/officeDocument/2006/relationships/hyperlink" Target="https://www.scopus.com/inward/record.uri?eid=2-s2.0-85191693109&amp;doi=10.1109%2FGCITC60406.2023.10426537&amp;partnerID=40&amp;md5=f0aeb30f4a167d4a687042a6a202a810" TargetMode="External"/><Relationship Id="rId358" Type="http://schemas.openxmlformats.org/officeDocument/2006/relationships/hyperlink" Target="https://www.scopus.com/inward/record.uri?eid=2-s2.0-85184848779&amp;doi=10.1109%2FAESPC59761.2023.10390095&amp;partnerID=40&amp;md5=52e0ab1f0a470fa61c5402efe9cf9f1b" TargetMode="External"/><Relationship Id="rId359" Type="http://schemas.openxmlformats.org/officeDocument/2006/relationships/hyperlink" Target="https://www.scopus.com/inward/record.uri?eid=2-s2.0-85159860271&amp;doi=10.1109%2FICCI57424.2023.10112327&amp;partnerID=40&amp;md5=c05d53f1787eaaca52c264620e74438d" TargetMode="External"/><Relationship Id="rId360" Type="http://schemas.openxmlformats.org/officeDocument/2006/relationships/hyperlink" Target="https://www.scopus.com/inward/record.uri?eid=2-s2.0-85187799804&amp;doi=10.1109%2FICAST59062.2023.10455036&amp;partnerID=40&amp;md5=f70bec78d57a87a44b0ae69280972d3d" TargetMode="External"/><Relationship Id="rId361" Type="http://schemas.openxmlformats.org/officeDocument/2006/relationships/hyperlink" Target="https://www.scopus.com/inward/record.uri?eid=2-s2.0-85163805656&amp;doi=10.1109%2FICICCS56967.2023.10142766&amp;partnerID=40&amp;md5=a8b3e7c0a68a492ea6a5036b4e997e16" TargetMode="External"/><Relationship Id="rId362" Type="http://schemas.openxmlformats.org/officeDocument/2006/relationships/hyperlink" Target="https://www.scopus.com/inward/record.uri?eid=2-s2.0-85182331484&amp;doi=10.22489%2FCinC.2023.143&amp;partnerID=40&amp;md5=a6fdf3f8a7c70e36bfc9228cc79b6c42" TargetMode="External"/><Relationship Id="rId363" Type="http://schemas.openxmlformats.org/officeDocument/2006/relationships/hyperlink" Target="https://www.scopus.com/inward/record.uri?eid=2-s2.0-85168686434&amp;doi=10.1109%2FACCESS57397.2023.10200876&amp;partnerID=40&amp;md5=3f9c9991ed4e6ced01de2aee6a297dba" TargetMode="External"/><Relationship Id="rId364" Type="http://schemas.openxmlformats.org/officeDocument/2006/relationships/hyperlink" Target="https://www.scopus.com/inward/record.uri?eid=2-s2.0-85174362453&amp;doi=10.1049%2Ficp.2023.1494&amp;partnerID=40&amp;md5=eb2a613545f7b1a743d92cfb56c8fd42" TargetMode="External"/><Relationship Id="rId365" Type="http://schemas.openxmlformats.org/officeDocument/2006/relationships/hyperlink" Target="https://www.scopus.com/inward/record.uri?eid=2-s2.0-85170081248&amp;doi=10.1109%2FSCSE59836.2023.10214984&amp;partnerID=40&amp;md5=e819207a4ab7010ac8a56110c62495cc" TargetMode="External"/><Relationship Id="rId366" Type="http://schemas.openxmlformats.org/officeDocument/2006/relationships/hyperlink" Target="https://www.scopus.com/inward/record.uri?eid=2-s2.0-85183463939&amp;doi=10.1109%2FSIPAIM56729.2023.10373424&amp;partnerID=40&amp;md5=94e1ae52254f8987a19270f9cd9c74a8" TargetMode="External"/><Relationship Id="rId367" Type="http://schemas.openxmlformats.org/officeDocument/2006/relationships/hyperlink" Target="https://www.scopus.com/inward/record.uri?eid=2-s2.0-85173003509&amp;doi=10.1109%2FWCONF58270.2023.10235056&amp;partnerID=40&amp;md5=9f6ea0c7a58966ef0e276d3816cc46ae" TargetMode="External"/><Relationship Id="rId368" Type="http://schemas.openxmlformats.org/officeDocument/2006/relationships/hyperlink" Target="https://www.scopus.com/inward/record.uri?eid=2-s2.0-85152386934&amp;doi=10.1109%2FICAIS56108.2023.10073793&amp;partnerID=40&amp;md5=4e7ed67026395c8239fd393fad176e18" TargetMode="External"/><Relationship Id="rId369" Type="http://schemas.openxmlformats.org/officeDocument/2006/relationships/hyperlink" Target="https://www.scopus.com/inward/record.uri?eid=2-s2.0-85165492412&amp;doi=10.1109%2FBioSMART58455.2023.10162108&amp;partnerID=40&amp;md5=7fcc0b6fdc63014a1ea3746f47f5871c" TargetMode="External"/><Relationship Id="rId370" Type="http://schemas.openxmlformats.org/officeDocument/2006/relationships/hyperlink" Target="https://www.scopus.com/inward/record.uri?eid=2-s2.0-85153535731&amp;doi=10.1109%2FAISC56616.2023.10085407&amp;partnerID=40&amp;md5=90e23e4a40ba4ff32e44bcdd0c7a7ea6" TargetMode="External"/><Relationship Id="rId371" Type="http://schemas.openxmlformats.org/officeDocument/2006/relationships/hyperlink" Target="https://www.scopus.com/inward/record.uri?eid=2-s2.0-85164003286&amp;doi=10.1007%2F978-3-031-34344-5_36&amp;partnerID=40&amp;md5=aa8ee2b71d9d22f37f1db352ab488501" TargetMode="External"/><Relationship Id="rId372" Type="http://schemas.openxmlformats.org/officeDocument/2006/relationships/hyperlink" Target="https://www.scopus.com/inward/record.uri?eid=2-s2.0-85174798631&amp;doi=10.1109%2FINDISCON58499.2023.10270348&amp;partnerID=40&amp;md5=4701025cd22805f863d1b98eae1e1f54" TargetMode="External"/><Relationship Id="rId373" Type="http://schemas.openxmlformats.org/officeDocument/2006/relationships/hyperlink" Target="https://www.scopus.com/inward/record.uri?eid=2-s2.0-85192385230&amp;doi=10.1109%2FIAECST60924.2023.10502526&amp;partnerID=40&amp;md5=5a376d8a478d38a36dd747b94bc71732" TargetMode="External"/><Relationship Id="rId374" Type="http://schemas.openxmlformats.org/officeDocument/2006/relationships/hyperlink" Target="https://www.scopus.com/inward/record.uri?eid=2-s2.0-85166216848&amp;doi=10.1109%2FICSCSS57650.2023.10169586&amp;partnerID=40&amp;md5=cbab22fe097154b3b36306f950bc09b5" TargetMode="External"/><Relationship Id="rId375" Type="http://schemas.openxmlformats.org/officeDocument/2006/relationships/hyperlink" Target="https://www.scopus.com/inward/record.uri?eid=2-s2.0-85173564705&amp;doi=10.1007%2F978-3-031-31327-1_8&amp;partnerID=40&amp;md5=484bf165ac6a6eb7c1821df50f3ef819" TargetMode="External"/><Relationship Id="rId376" Type="http://schemas.openxmlformats.org/officeDocument/2006/relationships/hyperlink" Target="https://www.scopus.com/inward/record.uri?eid=2-s2.0-85178117522&amp;doi=10.1109%2FeSmarTA59349.2023.10293518&amp;partnerID=40&amp;md5=e3add50827732de494677171f9002fb6" TargetMode="External"/><Relationship Id="rId377" Type="http://schemas.openxmlformats.org/officeDocument/2006/relationships/hyperlink" Target="https://www.scopus.com/inward/record.uri?eid=2-s2.0-85181536775&amp;doi=10.1049%2Ficp.2023.1793&amp;partnerID=40&amp;md5=b4422dfefb5bcf70bcbbe1e37274140f" TargetMode="External"/><Relationship Id="rId378" Type="http://schemas.openxmlformats.org/officeDocument/2006/relationships/hyperlink" Target="https://www.scopus.com/inward/record.uri?eid=2-s2.0-85168711192&amp;doi=10.1109%2FCAI54212.2023.00136&amp;partnerID=40&amp;md5=60d35f037ff190d3b4b74a4b790f7297" TargetMode="External"/><Relationship Id="rId379" Type="http://schemas.openxmlformats.org/officeDocument/2006/relationships/hyperlink" Target="https://www.scopus.com/inward/record.uri?eid=2-s2.0-85178631959&amp;doi=10.1007%2F978-981-99-6550-2_12&amp;partnerID=40&amp;md5=6f9fa68a1c7dc592c742bfcad8e56649" TargetMode="External"/><Relationship Id="rId380" Type="http://schemas.openxmlformats.org/officeDocument/2006/relationships/hyperlink" Target="https://www.scopus.com/inward/record.uri?eid=2-s2.0-85159776808&amp;doi=10.1109%2FSoutheastCon51012.2023.10115109&amp;partnerID=40&amp;md5=b885a8fe12523241ca6af53af0a3d044" TargetMode="External"/><Relationship Id="rId381" Type="http://schemas.openxmlformats.org/officeDocument/2006/relationships/hyperlink" Target="https://www.scopus.com/inward/record.uri?eid=2-s2.0-85170054616&amp;doi=10.1109%2FACCAI58221.2023.10199840&amp;partnerID=40&amp;md5=350b411a6c3010e47e950ca82da2a517" TargetMode="External"/><Relationship Id="rId382" Type="http://schemas.openxmlformats.org/officeDocument/2006/relationships/hyperlink" Target="https://www.scopus.com/inward/record.uri?eid=2-s2.0-85164266206&amp;doi=10.1007%2F978-3-031-35501-1_49&amp;partnerID=40&amp;md5=0aae4fa0976031f21bf40d0861fdf0a3" TargetMode="External"/><Relationship Id="rId383" Type="http://schemas.openxmlformats.org/officeDocument/2006/relationships/hyperlink" Target="https://www.scopus.com/inward/record.uri?eid=2-s2.0-85134361512&amp;doi=10.1097%2FPCC.0000000000002968&amp;partnerID=40&amp;md5=c0b0752a2e387dc1964c53eca57d124d" TargetMode="External"/><Relationship Id="rId384" Type="http://schemas.openxmlformats.org/officeDocument/2006/relationships/hyperlink" Target="https://www.scopus.com/inward/record.uri?eid=2-s2.0-85196408747&amp;doi=10.35377%2Fsaucis.05.03.1197119&amp;partnerID=40&amp;md5=db5cd6325283ed652c46a521d4fbae71" TargetMode="External"/><Relationship Id="rId385" Type="http://schemas.openxmlformats.org/officeDocument/2006/relationships/hyperlink" Target="https://www.scopus.com/inward/record.uri?eid=2-s2.0-85133927487&amp;doi=10.1186%2Fs12936-022-04237-z&amp;partnerID=40&amp;md5=0133e4b7204e409937c7f7ec31f1902f" TargetMode="External"/><Relationship Id="rId386" Type="http://schemas.openxmlformats.org/officeDocument/2006/relationships/hyperlink" Target="https://www.scopus.com/inward/record.uri?eid=2-s2.0-85125092338&amp;doi=10.21817%2Findjcse%2F2022%2Fv13i1%2F221301107&amp;partnerID=40&amp;md5=3988e0c59b8f676f9c7a82167603bede" TargetMode="External"/><Relationship Id="rId387" Type="http://schemas.openxmlformats.org/officeDocument/2006/relationships/hyperlink" Target="https://www.scopus.com/inward/record.uri?eid=2-s2.0-85128263227&amp;doi=10.1007%2Fs00521-022-06924-z&amp;partnerID=40&amp;md5=19fe15bdda44e83ff403babd16a441d7" TargetMode="External"/><Relationship Id="rId388" Type="http://schemas.openxmlformats.org/officeDocument/2006/relationships/hyperlink" Target="https://www.scopus.com/inward/record.uri?eid=2-s2.0-85128595090&amp;partnerID=40&amp;md5=ce26adf1448c9640401dc7c2179c92da" TargetMode="External"/><Relationship Id="rId389" Type="http://schemas.openxmlformats.org/officeDocument/2006/relationships/hyperlink" Target="https://www.scopus.com/inward/record.uri?eid=2-s2.0-85137365674&amp;doi=10.3390%2Fmicroorganisms10081602&amp;partnerID=40&amp;md5=89aa42ecfa15db3bbf423020fce5dc6b" TargetMode="External"/><Relationship Id="rId390" Type="http://schemas.openxmlformats.org/officeDocument/2006/relationships/hyperlink" Target="https://www.scopus.com/inward/record.uri?eid=2-s2.0-85120913699&amp;doi=10.1097%2FQAD.0000000000003086&amp;partnerID=40&amp;md5=a6c8b4fe2aff700b8df76f2bacd9ae58" TargetMode="External"/><Relationship Id="rId391" Type="http://schemas.openxmlformats.org/officeDocument/2006/relationships/hyperlink" Target="https://www.scopus.com/inward/record.uri?eid=2-s2.0-85135267910&amp;doi=10.11591%2Fijece.v12i5.pp5036-5048&amp;partnerID=40&amp;md5=fa0e3374d253294462466f6c25f994c7" TargetMode="External"/><Relationship Id="rId392" Type="http://schemas.openxmlformats.org/officeDocument/2006/relationships/hyperlink" Target="https://www.scopus.com/inward/record.uri?eid=2-s2.0-85139131004&amp;doi=10.1186%2Fs12879-022-07757-w&amp;partnerID=40&amp;md5=36c23e60b8a3e8726ef30bfe8905b9a2" TargetMode="External"/><Relationship Id="rId393" Type="http://schemas.openxmlformats.org/officeDocument/2006/relationships/hyperlink" Target="https://www.scopus.com/inward/record.uri?eid=2-s2.0-85138002278&amp;partnerID=40&amp;md5=e7c21bc39861e2871c0d2eefff0cc4ab" TargetMode="External"/><Relationship Id="rId394" Type="http://schemas.openxmlformats.org/officeDocument/2006/relationships/hyperlink" Target="https://www.scopus.com/inward/record.uri?eid=2-s2.0-85164594052&amp;doi=10.46829%2Fhsijournal.2022.6.3.1.320-326&amp;partnerID=40&amp;md5=79532eb59969213d0a7675183e17fd2c" TargetMode="External"/><Relationship Id="rId395" Type="http://schemas.openxmlformats.org/officeDocument/2006/relationships/hyperlink" Target="https://www.scopus.com/inward/record.uri?eid=2-s2.0-85127181456&amp;doi=10.1016%2Fj.jmoldx.2021.12.005&amp;partnerID=40&amp;md5=846b5b356f7acb328c15238bc6a8482c" TargetMode="External"/><Relationship Id="rId396" Type="http://schemas.openxmlformats.org/officeDocument/2006/relationships/hyperlink" Target="https://www.scopus.com/inward/record.uri?eid=2-s2.0-85140632398&amp;doi=10.1504%2Fijica.2022.125655&amp;partnerID=40&amp;md5=488542b840038c54653b86ffd05c8bd7" TargetMode="External"/><Relationship Id="rId397" Type="http://schemas.openxmlformats.org/officeDocument/2006/relationships/hyperlink" Target="https://www.scopus.com/inward/record.uri?eid=2-s2.0-85135828841&amp;doi=10.1097%2FICO.0000000000003012&amp;partnerID=40&amp;md5=e9c9fe569919163651be5b7c03098fd8" TargetMode="External"/><Relationship Id="rId398" Type="http://schemas.openxmlformats.org/officeDocument/2006/relationships/hyperlink" Target="https://www.scopus.com/inward/record.uri?eid=2-s2.0-85135186213&amp;doi=10.1016%2Fj.jbi.2022.104148&amp;partnerID=40&amp;md5=fff1d32a0ce99c8eb2b8f25fccaa536c" TargetMode="External"/><Relationship Id="rId399" Type="http://schemas.openxmlformats.org/officeDocument/2006/relationships/hyperlink" Target="https://www.scopus.com/inward/record.uri?eid=2-s2.0-85127353941&amp;doi=10.1016%2Fj.bios.2022.114219&amp;partnerID=40&amp;md5=aa52d723b54e0993f7282d14d348ec18" TargetMode="External"/><Relationship Id="rId400" Type="http://schemas.openxmlformats.org/officeDocument/2006/relationships/hyperlink" Target="https://www.scopus.com/inward/record.uri?eid=2-s2.0-85133143096&amp;doi=10.11591%2Fijai.v11.i3.pp1119-1129&amp;partnerID=40&amp;md5=bb545de68f445fa4338eb035004a62f7" TargetMode="External"/><Relationship Id="rId401" Type="http://schemas.openxmlformats.org/officeDocument/2006/relationships/hyperlink" Target="https://www.scopus.com/inward/record.uri?eid=2-s2.0-85141557747&amp;doi=10.1007%2Fs13755-022-00202-x&amp;partnerID=40&amp;md5=6fe47cbcc562e9380a6499e8252468bb" TargetMode="External"/><Relationship Id="rId402" Type="http://schemas.openxmlformats.org/officeDocument/2006/relationships/hyperlink" Target="https://www.scopus.com/inward/record.uri?eid=2-s2.0-85124987611&amp;doi=10.24996%2Fijs.2022.63.1.35&amp;partnerID=40&amp;md5=f2c152106aad0d46d52c445411adb531" TargetMode="External"/><Relationship Id="rId403" Type="http://schemas.openxmlformats.org/officeDocument/2006/relationships/hyperlink" Target="https://www.scopus.com/inward/record.uri?eid=2-s2.0-85131061964&amp;doi=10.1021%2Fjasms.2c00015&amp;partnerID=40&amp;md5=f8afb3fa2185da16a329fe29b3ca272e" TargetMode="External"/><Relationship Id="rId404" Type="http://schemas.openxmlformats.org/officeDocument/2006/relationships/hyperlink" Target="https://www.scopus.com/inward/record.uri?eid=2-s2.0-85132373580&amp;doi=10.18196%2Fjrc.v3i3.14387&amp;partnerID=40&amp;md5=daa95f816a8c65b1e38ec7ebfbd65a2a" TargetMode="External"/><Relationship Id="rId405" Type="http://schemas.openxmlformats.org/officeDocument/2006/relationships/hyperlink" Target="https://www.scopus.com/inward/record.uri?eid=2-s2.0-85138152646&amp;doi=10.1007%2Fs13205-022-03334-9&amp;partnerID=40&amp;md5=23b4d69d2e8d7c8370d7042cad229224" TargetMode="External"/><Relationship Id="rId406" Type="http://schemas.openxmlformats.org/officeDocument/2006/relationships/hyperlink" Target="https://www.scopus.com/inward/record.uri?eid=2-s2.0-85125438990&amp;doi=10.1007%2Fs11517-022-02537-9&amp;partnerID=40&amp;md5=ddb02e55d9c30fc6f9bc593961faca5c" TargetMode="External"/><Relationship Id="rId407" Type="http://schemas.openxmlformats.org/officeDocument/2006/relationships/hyperlink" Target="https://www.scopus.com/inward/record.uri?eid=2-s2.0-85140939619&amp;doi=10.1186%2Fs13071-022-05537-8&amp;partnerID=40&amp;md5=a2e348509662382e56990226fcc8d646" TargetMode="External"/><Relationship Id="rId408" Type="http://schemas.openxmlformats.org/officeDocument/2006/relationships/hyperlink" Target="https://www.scopus.com/inward/record.uri?eid=2-s2.0-85120979710&amp;doi=10.32890%2Fjict2022.21.1.6&amp;partnerID=40&amp;md5=c05260107eb17c1124fab55d201c7398" TargetMode="External"/><Relationship Id="rId409" Type="http://schemas.openxmlformats.org/officeDocument/2006/relationships/hyperlink" Target="https://www.scopus.com/inward/record.uri?eid=2-s2.0-85119195807&amp;doi=10.1007%2Fs12639-021-01458-y&amp;partnerID=40&amp;md5=b2dc19f1e6cb231ee639e48e7ba95f53" TargetMode="External"/><Relationship Id="rId410" Type="http://schemas.openxmlformats.org/officeDocument/2006/relationships/hyperlink" Target="https://www.scopus.com/inward/record.uri?eid=2-s2.0-85124138181&amp;doi=10.1016%2Fj.idm.2022.01.004&amp;partnerID=40&amp;md5=4cca60b59620d3a0e6aa9c9a9621aeeb" TargetMode="External"/><Relationship Id="rId411" Type="http://schemas.openxmlformats.org/officeDocument/2006/relationships/hyperlink" Target="https://www.scopus.com/inward/record.uri?eid=2-s2.0-85140899932&amp;doi=10.3390%2Fijerph192013555&amp;partnerID=40&amp;md5=8c1c834d62cca8ece0cd66e34ca2c10f" TargetMode="External"/><Relationship Id="rId412" Type="http://schemas.openxmlformats.org/officeDocument/2006/relationships/hyperlink" Target="https://www.scopus.com/inward/record.uri?eid=2-s2.0-85143498513&amp;doi=10.1038%2Fs41598-022-25568-6&amp;partnerID=40&amp;md5=170c5ea8a8b467c565238153d9e0aeea" TargetMode="External"/><Relationship Id="rId413" Type="http://schemas.openxmlformats.org/officeDocument/2006/relationships/hyperlink" Target="https://www.scopus.com/inward/record.uri?eid=2-s2.0-85133363276&amp;doi=10.3324%2Fhaematol.2021.279316&amp;partnerID=40&amp;md5=d968193223071f7b553d8dc068c667c7" TargetMode="External"/><Relationship Id="rId414" Type="http://schemas.openxmlformats.org/officeDocument/2006/relationships/hyperlink" Target="https://www.scopus.com/inward/record.uri?eid=2-s2.0-85130042829&amp;doi=10.1186%2Fs12951-022-01417-6&amp;partnerID=40&amp;md5=c77e726bc396bc92ef66563fd3780bfe" TargetMode="External"/><Relationship Id="rId415" Type="http://schemas.openxmlformats.org/officeDocument/2006/relationships/hyperlink" Target="https://www.scopus.com/inward/record.uri?eid=2-s2.0-85156192553&amp;doi=10.1093%2Fjac%2Fdkac287&amp;partnerID=40&amp;md5=d3b1bc83852f187a0f1bcfacfdf923ef" TargetMode="External"/><Relationship Id="rId416" Type="http://schemas.openxmlformats.org/officeDocument/2006/relationships/hyperlink" Target="https://www.scopus.com/inward/record.uri?eid=2-s2.0-85133261121&amp;doi=10.1016%2Fj.bspc.2022.103882&amp;partnerID=40&amp;md5=a14f33b276f9ebdf7d16bcb949928b5a" TargetMode="External"/><Relationship Id="rId417" Type="http://schemas.openxmlformats.org/officeDocument/2006/relationships/hyperlink" Target="https://www.scopus.com/inward/record.uri?eid=2-s2.0-85144729704&amp;doi=10.3390%2Fvaccines10121985&amp;partnerID=40&amp;md5=d2d8a52ce9bd953d76a86e83c3b61940" TargetMode="External"/><Relationship Id="rId418" Type="http://schemas.openxmlformats.org/officeDocument/2006/relationships/hyperlink" Target="https://www.scopus.com/inward/record.uri?eid=2-s2.0-85127850556&amp;doi=10.1038%2Fs41598-022-09848-9&amp;partnerID=40&amp;md5=0b94884bfd78f3b9f91e47da50bc7815" TargetMode="External"/><Relationship Id="rId419" Type="http://schemas.openxmlformats.org/officeDocument/2006/relationships/hyperlink" Target="https://www.scopus.com/inward/record.uri?eid=2-s2.0-85136517011&amp;doi=10.1016%2Fj.actatropica.2022.106657&amp;partnerID=40&amp;md5=6f4aece898ec0154d4f9dac035889992" TargetMode="External"/><Relationship Id="rId420" Type="http://schemas.openxmlformats.org/officeDocument/2006/relationships/hyperlink" Target="https://www.scopus.com/inward/record.uri?eid=2-s2.0-85139339873&amp;doi=10.1371%2Fjournal.pone.0275370&amp;partnerID=40&amp;md5=cbe60bd959149e7050623571ec26f6f7" TargetMode="External"/><Relationship Id="rId421" Type="http://schemas.openxmlformats.org/officeDocument/2006/relationships/hyperlink" Target="https://www.scopus.com/inward/record.uri?eid=2-s2.0-85134399605&amp;doi=10.2196%2F34583&amp;partnerID=40&amp;md5=34f5db0e35105ebf3637f8c2bf9ea326" TargetMode="External"/><Relationship Id="rId422" Type="http://schemas.openxmlformats.org/officeDocument/2006/relationships/hyperlink" Target="https://www.scopus.com/inward/record.uri?eid=2-s2.0-85141934927&amp;doi=10.1007%2Fs40314-022-02101-z&amp;partnerID=40&amp;md5=f245eee6d45965e04e6464ee77130a72" TargetMode="External"/><Relationship Id="rId423" Type="http://schemas.openxmlformats.org/officeDocument/2006/relationships/hyperlink" Target="https://www.scopus.com/inward/record.uri?eid=2-s2.0-85139108670&amp;doi=10.11591%2Feei.v11i6.4225&amp;partnerID=40&amp;md5=cae597994c7a74c6e6489af46c53bc1b" TargetMode="External"/><Relationship Id="rId424" Type="http://schemas.openxmlformats.org/officeDocument/2006/relationships/hyperlink" Target="https://www.scopus.com/inward/record.uri?eid=2-s2.0-85140621984&amp;doi=10.3390%2Fpathogens11101182&amp;partnerID=40&amp;md5=8a56d0a750282b70b33f9f64a9bf06c2" TargetMode="External"/><Relationship Id="rId425" Type="http://schemas.openxmlformats.org/officeDocument/2006/relationships/hyperlink" Target="https://www.scopus.com/inward/record.uri?eid=2-s2.0-85159151151&amp;doi=10.24271%2Fpsr.2022.161045&amp;partnerID=40&amp;md5=b23fbf594858c827b4bf847ba571a11d" TargetMode="External"/><Relationship Id="rId426" Type="http://schemas.openxmlformats.org/officeDocument/2006/relationships/hyperlink" Target="https://www.scopus.com/inward/record.uri?eid=2-s2.0-85126704969&amp;doi=10.1128%2Faac.01821-21&amp;partnerID=40&amp;md5=d1ca563ff83eb45f3edbfa0eff463b7b" TargetMode="External"/><Relationship Id="rId427" Type="http://schemas.openxmlformats.org/officeDocument/2006/relationships/hyperlink" Target="https://www.scopus.com/inward/record.uri?eid=2-s2.0-85135549686&amp;doi=10.1155%2F2022%2F4449696&amp;partnerID=40&amp;md5=e3509481a888534d5e1097b4be580d5c" TargetMode="External"/><Relationship Id="rId428" Type="http://schemas.openxmlformats.org/officeDocument/2006/relationships/hyperlink" Target="https://www.scopus.com/inward/record.uri?eid=2-s2.0-85132870299&amp;doi=10.1038%2Fs41598-022-14291-x&amp;partnerID=40&amp;md5=ebf886874525b08caa5087992a78f0d1" TargetMode="External"/><Relationship Id="rId429" Type="http://schemas.openxmlformats.org/officeDocument/2006/relationships/hyperlink" Target="https://www.scopus.com/inward/record.uri?eid=2-s2.0-85124508072&amp;doi=10.3389%2Ffimmu.2022.793882&amp;partnerID=40&amp;md5=9a5518cea2e39fb94a50ecfe9c891d17" TargetMode="External"/><Relationship Id="rId430" Type="http://schemas.openxmlformats.org/officeDocument/2006/relationships/hyperlink" Target="https://www.scopus.com/inward/record.uri?eid=2-s2.0-85143182926&amp;doi=10.1186%2Fs12936-022-04383-4&amp;partnerID=40&amp;md5=b4cea284c390072ded3d2764d5b27603" TargetMode="External"/><Relationship Id="rId431" Type="http://schemas.openxmlformats.org/officeDocument/2006/relationships/hyperlink" Target="https://www.scopus.com/inward/record.uri?eid=2-s2.0-85133699912&amp;doi=10.2147%2FJBM.S369583&amp;partnerID=40&amp;md5=349324ca8741d5f0e4ff46249eff047c" TargetMode="External"/><Relationship Id="rId432" Type="http://schemas.openxmlformats.org/officeDocument/2006/relationships/hyperlink" Target="https://www.scopus.com/inward/record.uri?eid=2-s2.0-85128357136&amp;doi=10.1039%2Fd1lc01068a&amp;partnerID=40&amp;md5=15e68d25b6850995829eaaeb969ca692" TargetMode="External"/><Relationship Id="rId433" Type="http://schemas.openxmlformats.org/officeDocument/2006/relationships/hyperlink" Target="https://www.scopus.com/inward/record.uri?eid=2-s2.0-85119125816&amp;doi=10.1007%2Fs10668-021-01920-0&amp;partnerID=40&amp;md5=8754813229465bb7405a256453aa3ef5" TargetMode="External"/><Relationship Id="rId434" Type="http://schemas.openxmlformats.org/officeDocument/2006/relationships/hyperlink" Target="https://www.scopus.com/inward/record.uri?eid=2-s2.0-85127717810&amp;doi=10.1371%2Fjournal.pntd.0010273&amp;partnerID=40&amp;md5=78c70c9eefe18084977c86f03042ed95" TargetMode="External"/><Relationship Id="rId435" Type="http://schemas.openxmlformats.org/officeDocument/2006/relationships/hyperlink" Target="https://www.scopus.com/inward/record.uri?eid=2-s2.0-85083587053&amp;doi=10.1080%2F09603123.2020.1745763&amp;partnerID=40&amp;md5=69a667733260e56f033da5653d6c0402" TargetMode="External"/><Relationship Id="rId436" Type="http://schemas.openxmlformats.org/officeDocument/2006/relationships/hyperlink" Target="https://www.scopus.com/inward/record.uri?eid=2-s2.0-85148215845&amp;doi=10.4269%2Fajtmh.21-1107&amp;partnerID=40&amp;md5=230b3301bae09ee8fee27dba8ba2de41" TargetMode="External"/><Relationship Id="rId437" Type="http://schemas.openxmlformats.org/officeDocument/2006/relationships/hyperlink" Target="https://www.scopus.com/inward/record.uri?eid=2-s2.0-85126783850&amp;doi=10.1038%2Fs41467-022-28980-8&amp;partnerID=40&amp;md5=d918cc4593b335c15c4f596f97868deb" TargetMode="External"/><Relationship Id="rId438" Type="http://schemas.openxmlformats.org/officeDocument/2006/relationships/hyperlink" Target="https://www.scopus.com/inward/record.uri?eid=2-s2.0-85142308583&amp;doi=10.1016%2Fj.imu.2022.101132&amp;partnerID=40&amp;md5=9ff3b6aa8186b976754c786bb58a8c63" TargetMode="External"/><Relationship Id="rId439" Type="http://schemas.openxmlformats.org/officeDocument/2006/relationships/hyperlink" Target="https://www.scopus.com/inward/record.uri?eid=2-s2.0-85132529831&amp;doi=10.1155%2F2022%2F5669580&amp;partnerID=40&amp;md5=3543685f78cb7a11df6b95b233a9812c" TargetMode="External"/><Relationship Id="rId440" Type="http://schemas.openxmlformats.org/officeDocument/2006/relationships/hyperlink" Target="https://www.scopus.com/inward/record.uri?eid=2-s2.0-85144045414&amp;doi=10.3389%2Ffonc.2022.962272&amp;partnerID=40&amp;md5=641563195157c5b59f7f139eb47b4e89" TargetMode="External"/><Relationship Id="rId441" Type="http://schemas.openxmlformats.org/officeDocument/2006/relationships/hyperlink" Target="https://www.scopus.com/inward/record.uri?eid=2-s2.0-85130153624&amp;doi=10.32604%2Fcmc.2022.027487&amp;partnerID=40&amp;md5=f421d233626ce54789baf910688c34e1" TargetMode="External"/><Relationship Id="rId442" Type="http://schemas.openxmlformats.org/officeDocument/2006/relationships/hyperlink" Target="https://www.scopus.com/inward/record.uri?eid=2-s2.0-85124714000&amp;doi=10.1017%2Fjns.2022.5&amp;partnerID=40&amp;md5=8826010359335031c3612c91502c2ba7" TargetMode="External"/><Relationship Id="rId443" Type="http://schemas.openxmlformats.org/officeDocument/2006/relationships/hyperlink" Target="https://www.scopus.com/inward/record.uri?eid=2-s2.0-85124766526&amp;doi=10.1007%2Fs42600-022-00202-6&amp;partnerID=40&amp;md5=d1feca4e40237e9b97e2da5f1e5c409f" TargetMode="External"/><Relationship Id="rId444" Type="http://schemas.openxmlformats.org/officeDocument/2006/relationships/hyperlink" Target="https://www.scopus.com/inward/record.uri?eid=2-s2.0-85137193451&amp;doi=10.3390%2Fv14071537&amp;partnerID=40&amp;md5=75b1fc7f17853a2a9b24ef0698179480" TargetMode="External"/><Relationship Id="rId445" Type="http://schemas.openxmlformats.org/officeDocument/2006/relationships/hyperlink" Target="https://www.scopus.com/inward/record.uri?eid=2-s2.0-85133145625&amp;doi=10.3389%2Ffimmu.2022.899296&amp;partnerID=40&amp;md5=23ad61bd5b743000a3490cba803acc74" TargetMode="External"/><Relationship Id="rId446" Type="http://schemas.openxmlformats.org/officeDocument/2006/relationships/hyperlink" Target="https://www.scopus.com/inward/record.uri?eid=2-s2.0-85135400948&amp;doi=10.1186%2Fs12936-022-04245-z&amp;partnerID=40&amp;md5=433ed2056982e679275676f0492775e6" TargetMode="External"/><Relationship Id="rId447" Type="http://schemas.openxmlformats.org/officeDocument/2006/relationships/hyperlink" Target="https://www.scopus.com/inward/record.uri?eid=2-s2.0-85127212771&amp;doi=10.3389%2Ffcell.2022.839781&amp;partnerID=40&amp;md5=796f8d1b5e32ad2ae28708a84974f2ce" TargetMode="External"/><Relationship Id="rId448" Type="http://schemas.openxmlformats.org/officeDocument/2006/relationships/hyperlink" Target="https://www.scopus.com/inward/record.uri?eid=2-s2.0-85135282244&amp;doi=10.1371%2Fjournal.pone.0271569&amp;partnerID=40&amp;md5=7b6ea1c76ef6b27dd2318bc35b714414" TargetMode="External"/><Relationship Id="rId449" Type="http://schemas.openxmlformats.org/officeDocument/2006/relationships/hyperlink" Target="https://www.scopus.com/inward/record.uri?eid=2-s2.0-85124073562&amp;doi=10.1080%2F23744235.2022.2032823&amp;partnerID=40&amp;md5=b1fe6e72eeadaa178131fb6c8a52f874" TargetMode="External"/><Relationship Id="rId450" Type="http://schemas.openxmlformats.org/officeDocument/2006/relationships/hyperlink" Target="https://www.scopus.com/inward/record.uri?eid=2-s2.0-85145426091&amp;doi=10.1371%2Fjournal.pone.0265472&amp;partnerID=40&amp;md5=45c562480d6b21b4dd721ba63a1cbe93" TargetMode="External"/><Relationship Id="rId451" Type="http://schemas.openxmlformats.org/officeDocument/2006/relationships/hyperlink" Target="https://www.scopus.com/inward/record.uri?eid=2-s2.0-85119694109&amp;doi=10.1007%2F978-981-16-6285-0_23&amp;partnerID=40&amp;md5=9dd2c661996aaee2e9e08c195e9ca213" TargetMode="External"/><Relationship Id="rId452" Type="http://schemas.openxmlformats.org/officeDocument/2006/relationships/hyperlink" Target="https://www.scopus.com/inward/record.uri?eid=2-s2.0-85159020846&amp;doi=10.1007%2F978-3-030-64573-1_273&amp;partnerID=40&amp;md5=603d20a30f4897ea1c02296281cf0c1b" TargetMode="External"/><Relationship Id="rId453" Type="http://schemas.openxmlformats.org/officeDocument/2006/relationships/hyperlink" Target="https://www.scopus.com/inward/record.uri?eid=2-s2.0-85152977464&amp;partnerID=40&amp;md5=78b92428e1d9de6a13a10b1ac03dd603" TargetMode="External"/><Relationship Id="rId454" Type="http://schemas.openxmlformats.org/officeDocument/2006/relationships/hyperlink" Target="https://www.scopus.com/inward/record.uri?eid=2-s2.0-85158963572&amp;doi=10.1007%2F978-981-16-5993-5_1&amp;partnerID=40&amp;md5=593d7d09cebd232e1c4a959de82acb2c" TargetMode="External"/><Relationship Id="rId455" Type="http://schemas.openxmlformats.org/officeDocument/2006/relationships/hyperlink" Target="https://www.scopus.com/inward/record.uri?eid=2-s2.0-85119702254&amp;doi=10.1007%2F978-981-16-6285-0_37&amp;partnerID=40&amp;md5=684beac8ccb80f1602b1492ba05a0a0f" TargetMode="External"/><Relationship Id="rId456" Type="http://schemas.openxmlformats.org/officeDocument/2006/relationships/hyperlink" Target="https://www.scopus.com/inward/record.uri?eid=2-s2.0-85130861893&amp;doi=10.1007%2F978-981-16-8969-7_2&amp;partnerID=40&amp;md5=cd2b4e0b1839b91f5befec074a48bd85" TargetMode="External"/><Relationship Id="rId457" Type="http://schemas.openxmlformats.org/officeDocument/2006/relationships/hyperlink" Target="https://www.scopus.com/inward/record.uri?eid=2-s2.0-85140187463&amp;doi=10.1201%2F9781003046431-10&amp;partnerID=40&amp;md5=bd2f6871ee5baf422afdfe940cc81b11" TargetMode="External"/><Relationship Id="rId458" Type="http://schemas.openxmlformats.org/officeDocument/2006/relationships/hyperlink" Target="https://www.scopus.com/inward/record.uri?eid=2-s2.0-85125948123&amp;doi=10.1201%2F9781003226147-11&amp;partnerID=40&amp;md5=998d56f81c14bd783b75223c4dd8fc57" TargetMode="External"/><Relationship Id="rId459" Type="http://schemas.openxmlformats.org/officeDocument/2006/relationships/hyperlink" Target="https://www.scopus.com/inward/record.uri?eid=2-s2.0-85119693690&amp;doi=10.1007%2F978-981-16-6285-0_3&amp;partnerID=40&amp;md5=f4ef1c27701998587ee95c2a29fe7f1a" TargetMode="External"/><Relationship Id="rId460" Type="http://schemas.openxmlformats.org/officeDocument/2006/relationships/hyperlink" Target="https://www.scopus.com/inward/record.uri?eid=2-s2.0-85127852770&amp;doi=10.1007%2F978-3-030-92245-0_7&amp;partnerID=40&amp;md5=a8b785ab99415d917f0b9c3b8cf0b4f5" TargetMode="External"/><Relationship Id="rId461" Type="http://schemas.openxmlformats.org/officeDocument/2006/relationships/hyperlink" Target="https://www.scopus.com/inward/record.uri?eid=2-s2.0-85137595507&amp;doi=10.1007%2F978-981-19-2948-9_27&amp;partnerID=40&amp;md5=43d719aff593598966ea157fe6e8af00" TargetMode="External"/><Relationship Id="rId462" Type="http://schemas.openxmlformats.org/officeDocument/2006/relationships/hyperlink" Target="https://www.scopus.com/inward/record.uri?eid=2-s2.0-85125702552&amp;doi=10.1007%2F978-981-16-5685-9_26&amp;partnerID=40&amp;md5=99e6d265a256d6dae4acab0c68e9d27f" TargetMode="External"/><Relationship Id="rId463" Type="http://schemas.openxmlformats.org/officeDocument/2006/relationships/hyperlink" Target="https://www.scopus.com/inward/record.uri?eid=2-s2.0-85130953590&amp;doi=10.1007%2F978-3-031-06430-2_30&amp;partnerID=40&amp;md5=13ca8b1989ce4c3a8b01a71fc33666a6" TargetMode="External"/><Relationship Id="rId464" Type="http://schemas.openxmlformats.org/officeDocument/2006/relationships/hyperlink" Target="https://www.scopus.com/inward/record.uri?eid=2-s2.0-85139564211&amp;doi=10.1109%2FICESC54411.2022.9885376&amp;partnerID=40&amp;md5=f8c81a732aa2cc6aa92a0facbc3289ac" TargetMode="External"/><Relationship Id="rId465" Type="http://schemas.openxmlformats.org/officeDocument/2006/relationships/hyperlink" Target="https://www.scopus.com/inward/record.uri?eid=2-s2.0-85150678781&amp;doi=10.1109%2FICERECT56837.2022.10059648&amp;partnerID=40&amp;md5=26b4fc901595039a38e03513a228a1df" TargetMode="External"/><Relationship Id="rId466" Type="http://schemas.openxmlformats.org/officeDocument/2006/relationships/hyperlink" Target="https://www.scopus.com/inward/record.uri?eid=2-s2.0-85152942331&amp;doi=10.22489%2FCinC.2022.313&amp;partnerID=40&amp;md5=f5b475f93b75294c9918e35f4d82aecc" TargetMode="External"/><Relationship Id="rId467" Type="http://schemas.openxmlformats.org/officeDocument/2006/relationships/hyperlink" Target="https://www.scopus.com/inward/record.uri?eid=2-s2.0-85127530288&amp;doi=10.1109%2FIMCOM53663.2022.9721753&amp;partnerID=40&amp;md5=c95f16671956dbb9260c59d98f300c17" TargetMode="External"/><Relationship Id="rId468" Type="http://schemas.openxmlformats.org/officeDocument/2006/relationships/hyperlink" Target="https://www.scopus.com/inward/record.uri?eid=2-s2.0-85130322818&amp;doi=10.1145%2F3477314.3507019&amp;partnerID=40&amp;md5=7ee6870a649732eece0308ee1bde02c4" TargetMode="External"/><Relationship Id="rId469" Type="http://schemas.openxmlformats.org/officeDocument/2006/relationships/hyperlink" Target="https://www.scopus.com/inward/record.uri?eid=2-s2.0-85137168481&amp;doi=10.1016%2Fj.ifacol.2022.06.013&amp;partnerID=40&amp;md5=cca326cf2834604ec141d6a518c97dc7" TargetMode="External"/><Relationship Id="rId470" Type="http://schemas.openxmlformats.org/officeDocument/2006/relationships/hyperlink" Target="https://www.scopus.com/inward/record.uri?eid=2-s2.0-85148487429&amp;doi=10.1109%2FICORIS56080.2022.10031575&amp;partnerID=40&amp;md5=6f07ec48510048c3e5edc137d12d29f7" TargetMode="External"/><Relationship Id="rId471" Type="http://schemas.openxmlformats.org/officeDocument/2006/relationships/hyperlink" Target="https://www.scopus.com/inward/record.uri?eid=2-s2.0-85145434618&amp;doi=10.1109%2FGCAT55367.2022.9972167&amp;partnerID=40&amp;md5=eec52f96573643c379fe49a60bb1c511" TargetMode="External"/><Relationship Id="rId472" Type="http://schemas.openxmlformats.org/officeDocument/2006/relationships/hyperlink" Target="https://www.scopus.com/inward/record.uri?eid=2-s2.0-85139212675&amp;doi=10.1109%2FIAICT55358.2022.9887391&amp;partnerID=40&amp;md5=0aad991000b467fefa68a6293364be99" TargetMode="External"/><Relationship Id="rId473" Type="http://schemas.openxmlformats.org/officeDocument/2006/relationships/hyperlink" Target="https://www.scopus.com/inward/record.uri?eid=2-s2.0-85147544065&amp;doi=10.1109%2FAPWiMob56856.2022.10014256&amp;partnerID=40&amp;md5=fc6bfcfffae3ffbeb235085ba107bc8e" TargetMode="External"/><Relationship Id="rId474" Type="http://schemas.openxmlformats.org/officeDocument/2006/relationships/hyperlink" Target="https://www.scopus.com/inward/record.uri?eid=2-s2.0-85152914334&amp;doi=10.22489%2FCinC.2022.311&amp;partnerID=40&amp;md5=27ae40e62d98986abf3835b17d922ba5" TargetMode="External"/><Relationship Id="rId475" Type="http://schemas.openxmlformats.org/officeDocument/2006/relationships/hyperlink" Target="https://www.scopus.com/inward/record.uri?eid=2-s2.0-85137486986&amp;doi=10.1109%2FCOM-IT-CON54601.2022.9850923&amp;partnerID=40&amp;md5=09185014e98c9a56434512a8ed1a8771" TargetMode="External"/><Relationship Id="rId476" Type="http://schemas.openxmlformats.org/officeDocument/2006/relationships/hyperlink" Target="https://www.scopus.com/inward/record.uri?eid=2-s2.0-85147735191&amp;doi=10.1109%2FICDM54844.2022.00135&amp;partnerID=40&amp;md5=83fdca93171aec73e3aa1eaff522d9db" TargetMode="External"/><Relationship Id="rId477" Type="http://schemas.openxmlformats.org/officeDocument/2006/relationships/hyperlink" Target="https://www.scopus.com/inward/record.uri?eid=2-s2.0-85139018184&amp;doi=10.1109%2FICHI54592.2022.00065&amp;partnerID=40&amp;md5=7b39ff7ba8e259a641a7d18db2a82435" TargetMode="External"/><Relationship Id="rId478" Type="http://schemas.openxmlformats.org/officeDocument/2006/relationships/hyperlink" Target="https://www.scopus.com/inward/record.uri?eid=2-s2.0-85146497711&amp;doi=10.1109%2FICCR56254.2022.9996009&amp;partnerID=40&amp;md5=1a26ccebcdd560258015fece8670eae5" TargetMode="External"/><Relationship Id="rId479" Type="http://schemas.openxmlformats.org/officeDocument/2006/relationships/hyperlink" Target="https://www.scopus.com/inward/record.uri?eid=2-s2.0-85122491306&amp;doi=10.1007%2F978-3-030-93247-3_45&amp;partnerID=40&amp;md5=641e2c455b4d95d560430f0995266464" TargetMode="External"/><Relationship Id="rId480" Type="http://schemas.openxmlformats.org/officeDocument/2006/relationships/hyperlink" Target="https://www.scopus.com/inward/record.uri?eid=2-s2.0-85142689601&amp;doi=10.1109%2FICECAA55415.2022.9936219&amp;partnerID=40&amp;md5=3b12ebe431f3fe8cebc357a4672daf2b" TargetMode="External"/><Relationship Id="rId481" Type="http://schemas.openxmlformats.org/officeDocument/2006/relationships/hyperlink" Target="https://www.scopus.com/inward/record.uri?eid=2-s2.0-85163136400&amp;doi=10.1109%2FNKCon56289.2022.10126660&amp;partnerID=40&amp;md5=01a2d92b62e5978453278beb417c0729" TargetMode="External"/><Relationship Id="rId482" Type="http://schemas.openxmlformats.org/officeDocument/2006/relationships/hyperlink" Target="https://www.scopus.com/inward/record.uri?eid=2-s2.0-85145359557&amp;doi=10.1109%2FMysuruCon55714.2022.9972568&amp;partnerID=40&amp;md5=2b95813fb43611f89adac2b013a841c6" TargetMode="External"/><Relationship Id="rId483" Type="http://schemas.openxmlformats.org/officeDocument/2006/relationships/hyperlink" Target="https://www.scopus.com/inward/record.uri?eid=2-s2.0-85130558581&amp;doi=10.1149%2F10701.12325ecst&amp;partnerID=40&amp;md5=df9ba705065239c8830e302881a6f2b3" TargetMode="External"/><Relationship Id="rId484" Type="http://schemas.openxmlformats.org/officeDocument/2006/relationships/hyperlink" Target="https://www.scopus.com/inward/record.uri?eid=2-s2.0-85149184900&amp;doi=10.1109%2FICAST55766.2022.10039594&amp;partnerID=40&amp;md5=475290f285e62f140eedaf8ded0cf635" TargetMode="External"/><Relationship Id="rId485" Type="http://schemas.openxmlformats.org/officeDocument/2006/relationships/hyperlink" Target="https://www.scopus.com/inward/record.uri?eid=2-s2.0-85124645375&amp;doi=10.1007%2F978-3-030-95630-1_6&amp;partnerID=40&amp;md5=9172b76f7c2aad875d3c112ff5eef4b7" TargetMode="External"/><Relationship Id="rId486" Type="http://schemas.openxmlformats.org/officeDocument/2006/relationships/hyperlink" Target="https://www.scopus.com/inward/record.uri?eid=2-s2.0-85153679371&amp;doi=10.1109%2FSMARTGENCON56628.2022.10083613&amp;partnerID=40&amp;md5=0ac04fc55df33b0825e0abebf159579e" TargetMode="External"/><Relationship Id="rId487" Type="http://schemas.openxmlformats.org/officeDocument/2006/relationships/hyperlink" Target="https://www.scopus.com/inward/record.uri?eid=2-s2.0-85149928934&amp;doi=10.1109%2FITED56637.2022.10051510&amp;partnerID=40&amp;md5=c786fa01e2b03f5e2ab8f3cda0c1ebb1" TargetMode="External"/><Relationship Id="rId488" Type="http://schemas.openxmlformats.org/officeDocument/2006/relationships/hyperlink" Target="https://www.scopus.com/inward/record.uri?eid=2-s2.0-85138786166&amp;doi=10.1007%2F978-981-19-2281-7_56&amp;partnerID=40&amp;md5=0afba40e1f6351ee01be48c682610953" TargetMode="External"/><Relationship Id="rId489" Type="http://schemas.openxmlformats.org/officeDocument/2006/relationships/hyperlink" Target="https://www.scopus.com/inward/record.uri?eid=2-s2.0-85123273187&amp;doi=10.1007%2F978-3-030-92127-9_19&amp;partnerID=40&amp;md5=7e25d3b6e40badac2eb062a20c3bcf55" TargetMode="External"/><Relationship Id="rId490" Type="http://schemas.openxmlformats.org/officeDocument/2006/relationships/hyperlink" Target="https://www.scopus.com/inward/record.uri?eid=2-s2.0-85127642774&amp;doi=10.1007%2F978-981-16-8987-1_55&amp;partnerID=40&amp;md5=48392ff2eb9c044db8803cb030ba6da1" TargetMode="External"/><Relationship Id="rId491" Type="http://schemas.openxmlformats.org/officeDocument/2006/relationships/hyperlink" Target="https://www.scopus.com/inward/record.uri?eid=2-s2.0-85141836398&amp;doi=10.1109%2FICSIMA55652.2022.9928992&amp;partnerID=40&amp;md5=2d0eb72bf69d016a6dbdc4b7d21958b9" TargetMode="External"/><Relationship Id="rId492" Type="http://schemas.openxmlformats.org/officeDocument/2006/relationships/hyperlink" Target="https://www.scopus.com/inward/record.uri?eid=2-s2.0-85137259510&amp;doi=10.1109%2FCONIT55038.2022.9848328&amp;partnerID=40&amp;md5=2527200fe2049cf6a664fcec9f46c563" TargetMode="External"/><Relationship Id="rId493" Type="http://schemas.openxmlformats.org/officeDocument/2006/relationships/hyperlink" Target="https://www.scopus.com/inward/record.uri?eid=2-s2.0-85148475915&amp;doi=10.1109%2FICCITM56309.2022.10031978&amp;partnerID=40&amp;md5=d99ed1ab02d4690d1c2bcf69e30e68b8" TargetMode="External"/><Relationship Id="rId494" Type="http://schemas.openxmlformats.org/officeDocument/2006/relationships/hyperlink" Target="https://www.scopus.com/inward/record.uri?eid=2-s2.0-85136117794&amp;doi=10.1109%2FICIP46576.2022.9897846&amp;partnerID=40&amp;md5=8d4300ebc947c61548a4289db9e760fa" TargetMode="External"/><Relationship Id="rId495" Type="http://schemas.openxmlformats.org/officeDocument/2006/relationships/hyperlink" Target="https://www.scopus.com/inward/record.uri?eid=2-s2.0-85135750144&amp;doi=10.1109%2FCCGrid54584.2022.00114&amp;partnerID=40&amp;md5=d2f62e3eafe4e8235eeb0f8614705b4f" TargetMode="External"/><Relationship Id="rId496" Type="http://schemas.openxmlformats.org/officeDocument/2006/relationships/hyperlink" Target="https://www.scopus.com/inward/record.uri?eid=2-s2.0-85160214228&amp;doi=10.1109%2FICECTE57896.2022.10114535&amp;partnerID=40&amp;md5=c704f9ead3f6553e65cef79b07805d19" TargetMode="External"/><Relationship Id="rId497" Type="http://schemas.openxmlformats.org/officeDocument/2006/relationships/hyperlink" Target="https://www.scopus.com/inward/record.uri?eid=2-s2.0-85127642085&amp;doi=10.1007%2F978-981-16-8987-1_34&amp;partnerID=40&amp;md5=a36091542424eda16e7c0f9fe404c1eb" TargetMode="External"/><Relationship Id="rId498" Type="http://schemas.openxmlformats.org/officeDocument/2006/relationships/hyperlink" Target="https://www.scopus.com/inward/record.uri?eid=2-s2.0-85133215760&amp;doi=10.1109%2FCVPR52688.2022.02003&amp;partnerID=40&amp;md5=484b878af3e685b576484cfb4c44797c" TargetMode="External"/><Relationship Id="rId499" Type="http://schemas.openxmlformats.org/officeDocument/2006/relationships/hyperlink" Target="https://www.scopus.com/inward/record.uri?eid=2-s2.0-85134228985&amp;doi=10.1109%2FISDFS55398.2022.9800796&amp;partnerID=40&amp;md5=2c0f7d2082c01acc27e543dbc5ca55e4" TargetMode="External"/><Relationship Id="rId500" Type="http://schemas.openxmlformats.org/officeDocument/2006/relationships/hyperlink" Target="https://www.scopus.com/inward/record.uri?eid=2-s2.0-85129809722&amp;doi=10.1038%2Fs41597-022-01312-7&amp;partnerID=40&amp;md5=21a03b512018d400e906ba46d04a4ba2" TargetMode="External"/><Relationship Id="rId501" Type="http://schemas.openxmlformats.org/officeDocument/2006/relationships/hyperlink" Target="https://www.scopus.com/inward/record.uri?eid=2-s2.0-85110523917&amp;doi=10.1088%2F2057-1976%2Fac0e74&amp;partnerID=40&amp;md5=e4eecadf576daa817d7bac541c2f70a5" TargetMode="External"/><Relationship Id="rId502" Type="http://schemas.openxmlformats.org/officeDocument/2006/relationships/hyperlink" Target="https://www.scopus.com/inward/record.uri?eid=2-s2.0-85110451070&amp;doi=10.1161%2FCIR.0000000000000981&amp;partnerID=40&amp;md5=2d9b2169378efc8586f47f19c26fba7f" TargetMode="External"/><Relationship Id="rId503" Type="http://schemas.openxmlformats.org/officeDocument/2006/relationships/hyperlink" Target="https://www.scopus.com/inward/record.uri?eid=2-s2.0-85110498409&amp;doi=10.33166%2FAETiC.2021.03.002&amp;partnerID=40&amp;md5=f8f6878dbcadcb19b0981be3477f2ffb" TargetMode="External"/><Relationship Id="rId504" Type="http://schemas.openxmlformats.org/officeDocument/2006/relationships/hyperlink" Target="https://www.scopus.com/inward/record.uri?eid=2-s2.0-85119863021&amp;doi=10.3233%2FAPC210119&amp;partnerID=40&amp;md5=94e98cfd3dd42bfcde66109c65219bf9" TargetMode="External"/><Relationship Id="rId505" Type="http://schemas.openxmlformats.org/officeDocument/2006/relationships/hyperlink" Target="https://www.scopus.com/inward/record.uri?eid=2-s2.0-85124213382&amp;doi=10.1007%2Fs42979-021-00763-w&amp;partnerID=40&amp;md5=7ea81aaed03d8a3cea5fa87db621e8e4" TargetMode="External"/><Relationship Id="rId506" Type="http://schemas.openxmlformats.org/officeDocument/2006/relationships/hyperlink" Target="https://www.scopus.com/inward/record.uri?eid=2-s2.0-85107471612&amp;doi=10.1038%2Fs41551-021-00733-w&amp;partnerID=40&amp;md5=58e48498df3141e97bf6045e461265cf" TargetMode="External"/><Relationship Id="rId507" Type="http://schemas.openxmlformats.org/officeDocument/2006/relationships/hyperlink" Target="https://www.scopus.com/inward/record.uri?eid=2-s2.0-85116261490&amp;doi=10.3389%2Ffcell.2021.732370&amp;partnerID=40&amp;md5=7dec8353b99f0e626ea791ef1a43d045" TargetMode="External"/><Relationship Id="rId508" Type="http://schemas.openxmlformats.org/officeDocument/2006/relationships/hyperlink" Target="https://www.scopus.com/inward/record.uri?eid=2-s2.0-85106029853&amp;doi=10.1371%2Fjournal.pone.0251403&amp;partnerID=40&amp;md5=c73996828670e439e09aae1ad9d05ec6" TargetMode="External"/><Relationship Id="rId509" Type="http://schemas.openxmlformats.org/officeDocument/2006/relationships/hyperlink" Target="https://www.scopus.com/inward/record.uri?eid=2-s2.0-85115024017&amp;doi=10.7754%2FClin.Lab.2021.201141&amp;partnerID=40&amp;md5=78dab0595335a668a2458c988633c351" TargetMode="External"/><Relationship Id="rId510" Type="http://schemas.openxmlformats.org/officeDocument/2006/relationships/hyperlink" Target="https://www.scopus.com/inward/record.uri?eid=2-s2.0-85103308190&amp;doi=10.3389%2Ffimmu.2021.628113&amp;partnerID=40&amp;md5=a62f69d27307a6829cd7d719ecc247f7" TargetMode="External"/><Relationship Id="rId511" Type="http://schemas.openxmlformats.org/officeDocument/2006/relationships/hyperlink" Target="https://www.scopus.com/inward/record.uri?eid=2-s2.0-85122781891&amp;doi=10.1016%2Fj.imu.2021.100743&amp;partnerID=40&amp;md5=45ce92c466725f387414ef66c220cd23" TargetMode="External"/><Relationship Id="rId512" Type="http://schemas.openxmlformats.org/officeDocument/2006/relationships/hyperlink" Target="https://www.scopus.com/inward/record.uri?eid=2-s2.0-85106500404&amp;doi=10.3390%2Finformatics8020027&amp;partnerID=40&amp;md5=6fbb3c328d286ba93413d3f06c20f145" TargetMode="External"/><Relationship Id="rId513" Type="http://schemas.openxmlformats.org/officeDocument/2006/relationships/hyperlink" Target="https://www.scopus.com/inward/record.uri?eid=2-s2.0-85107711748&amp;doi=10.1542%2Fpeds.2020-027003&amp;partnerID=40&amp;md5=3158178481b4d1a482fa6ceda842cb82" TargetMode="External"/><Relationship Id="rId514" Type="http://schemas.openxmlformats.org/officeDocument/2006/relationships/hyperlink" Target="https://www.scopus.com/inward/record.uri?eid=2-s2.0-85097264860&amp;doi=10.1142%2FS0218001421570044&amp;partnerID=40&amp;md5=59a5e9f985e7b72c98d38ad5854f8831" TargetMode="External"/><Relationship Id="rId515" Type="http://schemas.openxmlformats.org/officeDocument/2006/relationships/hyperlink" Target="https://www.scopus.com/inward/record.uri?eid=2-s2.0-85107349943&amp;doi=10.1111%2Fddg.14510&amp;partnerID=40&amp;md5=e103f505209fbaa01a8abd3210c96a4c" TargetMode="External"/><Relationship Id="rId516" Type="http://schemas.openxmlformats.org/officeDocument/2006/relationships/hyperlink" Target="https://www.scopus.com/inward/record.uri?eid=2-s2.0-85140083408&amp;doi=10.1007%2Fs43615-021-00060-x&amp;partnerID=40&amp;md5=cad83e3f1dfcf283dbbcbfa256a8c051" TargetMode="External"/><Relationship Id="rId517" Type="http://schemas.openxmlformats.org/officeDocument/2006/relationships/hyperlink" Target="https://www.scopus.com/inward/record.uri?eid=2-s2.0-85113343103&amp;doi=10.1371%2Fjournal.pone.0255615&amp;partnerID=40&amp;md5=1d36c4b50efe534196638cb8734c76ba" TargetMode="External"/><Relationship Id="rId518" Type="http://schemas.openxmlformats.org/officeDocument/2006/relationships/hyperlink" Target="https://www.scopus.com/inward/record.uri?eid=2-s2.0-85109456238&amp;doi=10.23736%2FS0393-3660.19.04199-8&amp;partnerID=40&amp;md5=e5b24b0ae5eec40b9b30f10981aee1a0" TargetMode="External"/><Relationship Id="rId519" Type="http://schemas.openxmlformats.org/officeDocument/2006/relationships/hyperlink" Target="https://www.scopus.com/inward/record.uri?eid=2-s2.0-85115018842&amp;doi=10.1371%2Fjournal.pmed.1003739&amp;partnerID=40&amp;md5=91c28cbed1f8d5f2712898a71f0b53d4" TargetMode="External"/><Relationship Id="rId520" Type="http://schemas.openxmlformats.org/officeDocument/2006/relationships/hyperlink" Target="https://www.scopus.com/inward/record.uri?eid=2-s2.0-85097938162&amp;doi=10.1109%2FJBHI.2020.3037027&amp;partnerID=40&amp;md5=6f07dbf624ed534aa4a5843f196ce7a0" TargetMode="External"/><Relationship Id="rId521" Type="http://schemas.openxmlformats.org/officeDocument/2006/relationships/hyperlink" Target="https://www.scopus.com/inward/record.uri?eid=2-s2.0-85114386452&amp;doi=10.3390%2Fpathogens10070783&amp;partnerID=40&amp;md5=fee8174d222b0c6911b6a0a84a2943a5" TargetMode="External"/><Relationship Id="rId522" Type="http://schemas.openxmlformats.org/officeDocument/2006/relationships/hyperlink" Target="https://www.scopus.com/inward/record.uri?eid=2-s2.0-85121525420&amp;doi=10.3390%2Fmolecules26247494&amp;partnerID=40&amp;md5=707db05a4b2db930b5df9adc98605eb8" TargetMode="External"/><Relationship Id="rId523" Type="http://schemas.openxmlformats.org/officeDocument/2006/relationships/hyperlink" Target="https://www.scopus.com/inward/record.uri?eid=2-s2.0-85099960265&amp;doi=10.1590%2F0037-8682-0519-2020&amp;partnerID=40&amp;md5=bd70069e336e31bbae532b63f3e7271d" TargetMode="External"/><Relationship Id="rId524" Type="http://schemas.openxmlformats.org/officeDocument/2006/relationships/hyperlink" Target="https://www.scopus.com/inward/record.uri?eid=2-s2.0-85113597383&amp;doi=10.1186%2Fs13063-021-05478-0&amp;partnerID=40&amp;md5=ef3f1fbe40b668cba25a92bb1b452065" TargetMode="External"/><Relationship Id="rId525" Type="http://schemas.openxmlformats.org/officeDocument/2006/relationships/hyperlink" Target="https://www.scopus.com/inward/record.uri?eid=2-s2.0-85122323286&amp;doi=10.1038%2Fs41467-021-27486-z&amp;partnerID=40&amp;md5=c080693f46a4138d007e7f741f03b22e" TargetMode="External"/><Relationship Id="rId526" Type="http://schemas.openxmlformats.org/officeDocument/2006/relationships/hyperlink" Target="https://www.scopus.com/inward/record.uri?eid=2-s2.0-85104320320&amp;doi=10.1080%2F21645515.2021.1911215&amp;partnerID=40&amp;md5=a0c933c52a205a3262712632d9b7a791" TargetMode="External"/><Relationship Id="rId527" Type="http://schemas.openxmlformats.org/officeDocument/2006/relationships/hyperlink" Target="https://www.scopus.com/inward/record.uri?eid=2-s2.0-85118795326&amp;doi=10.1016%2Fj.ijmmb.2021.06.011&amp;partnerID=40&amp;md5=e94cf5d735aa10781b7edc13e7f6c94d" TargetMode="External"/><Relationship Id="rId528" Type="http://schemas.openxmlformats.org/officeDocument/2006/relationships/hyperlink" Target="https://www.scopus.com/inward/record.uri?eid=2-s2.0-85101633655&amp;doi=10.1155%2F2021%2F6650596&amp;partnerID=40&amp;md5=b2b12a5032f452477100a7975e4bfbb7" TargetMode="External"/><Relationship Id="rId529" Type="http://schemas.openxmlformats.org/officeDocument/2006/relationships/hyperlink" Target="https://www.scopus.com/inward/record.uri?eid=2-s2.0-85107594243&amp;doi=10.5603%2FRPOR.a2021.0035&amp;partnerID=40&amp;md5=a8f65e72102e101dfcb5b862689ac457" TargetMode="External"/><Relationship Id="rId530" Type="http://schemas.openxmlformats.org/officeDocument/2006/relationships/hyperlink" Target="https://www.scopus.com/inward/record.uri?eid=2-s2.0-85103197815&amp;doi=10.1186%2Fs12879-021-05971-6&amp;partnerID=40&amp;md5=31ed3ef0185d7eba3c2a68b3c4101012" TargetMode="External"/><Relationship Id="rId531" Type="http://schemas.openxmlformats.org/officeDocument/2006/relationships/hyperlink" Target="https://www.scopus.com/inward/record.uri?eid=2-s2.0-85102329873&amp;doi=10.36660%2Fabc.20190403&amp;partnerID=40&amp;md5=4a7dc2d2a26006563c70581edcc6bc02" TargetMode="External"/><Relationship Id="rId532" Type="http://schemas.openxmlformats.org/officeDocument/2006/relationships/hyperlink" Target="https://www.scopus.com/inward/record.uri?eid=2-s2.0-85109695834&amp;doi=10.1186%2Fs40249-021-00874-9&amp;partnerID=40&amp;md5=d1adc82ad1d0ad1464bcc0eaeab5ba1b" TargetMode="External"/><Relationship Id="rId533" Type="http://schemas.openxmlformats.org/officeDocument/2006/relationships/hyperlink" Target="https://www.scopus.com/inward/record.uri?eid=2-s2.0-85117474846&amp;doi=10.17420%2Fap6702.334&amp;partnerID=40&amp;md5=04bd534a1ecf106f5d8c73f08b83975e" TargetMode="External"/><Relationship Id="rId534" Type="http://schemas.openxmlformats.org/officeDocument/2006/relationships/hyperlink" Target="https://www.scopus.com/inward/record.uri?eid=2-s2.0-85106664868&amp;doi=10.1186%2Fs40249-021-00852-1&amp;partnerID=40&amp;md5=06ce6ff9dee6f7d788695bc83d62fe48" TargetMode="External"/><Relationship Id="rId535" Type="http://schemas.openxmlformats.org/officeDocument/2006/relationships/hyperlink" Target="https://www.scopus.com/inward/record.uri?eid=2-s2.0-85106764136&amp;doi=10.1371%2Fjournal.pone.0252220&amp;partnerID=40&amp;md5=3a172ab5e2ac0c60485e0828755b5018" TargetMode="External"/><Relationship Id="rId536" Type="http://schemas.openxmlformats.org/officeDocument/2006/relationships/hyperlink" Target="https://www.scopus.com/inward/record.uri?eid=2-s2.0-85094805687&amp;doi=10.1016%2Fj.jep.2020.113449&amp;partnerID=40&amp;md5=5dc036a1d16366d71bce7dbba0ac21ba" TargetMode="External"/><Relationship Id="rId537" Type="http://schemas.openxmlformats.org/officeDocument/2006/relationships/hyperlink" Target="https://www.scopus.com/inward/record.uri?eid=2-s2.0-85138974702&amp;doi=10.4314%2Fijbcs.v15i1.25&amp;partnerID=40&amp;md5=d1fb0a3c4ebd33eff33d132ef401b3e9" TargetMode="External"/><Relationship Id="rId538" Type="http://schemas.openxmlformats.org/officeDocument/2006/relationships/hyperlink" Target="https://www.scopus.com/inward/record.uri?eid=2-s2.0-85122532262&amp;doi=10.1371%2Fjournal.pntd.0009974&amp;partnerID=40&amp;md5=cf2f9de1a0044e99e0937af164e27359" TargetMode="External"/><Relationship Id="rId539" Type="http://schemas.openxmlformats.org/officeDocument/2006/relationships/hyperlink" Target="https://www.scopus.com/inward/record.uri?eid=2-s2.0-85116853639&amp;doi=10.1371%2Fjournal.pntd.0009688&amp;partnerID=40&amp;md5=1006df354b1db6942c19574066073073" TargetMode="External"/><Relationship Id="rId540" Type="http://schemas.openxmlformats.org/officeDocument/2006/relationships/hyperlink" Target="https://www.scopus.com/inward/record.uri?eid=2-s2.0-85110546941&amp;doi=10.1016%2Fj.imu.2021.100592&amp;partnerID=40&amp;md5=8dedef041e2875227d3ff17d8a8cc20f" TargetMode="External"/><Relationship Id="rId541" Type="http://schemas.openxmlformats.org/officeDocument/2006/relationships/hyperlink" Target="https://www.scopus.com/inward/record.uri?eid=2-s2.0-85108583313&amp;doi=10.1088%2F1361-6579%2Fac010e&amp;partnerID=40&amp;md5=963d5ddd863aa88e0e67d9317240723f" TargetMode="External"/><Relationship Id="rId542" Type="http://schemas.openxmlformats.org/officeDocument/2006/relationships/hyperlink" Target="https://www.scopus.com/inward/record.uri?eid=2-s2.0-85101304464&amp;doi=10.1186%2Fs13321-021-00487-2&amp;partnerID=40&amp;md5=8ad6e1d8e7ad88e2082962f0109af085" TargetMode="External"/><Relationship Id="rId543" Type="http://schemas.openxmlformats.org/officeDocument/2006/relationships/hyperlink" Target="https://www.scopus.com/inward/record.uri?eid=2-s2.0-85109328351&amp;doi=10.14445%2F22315381%2FIJETT-V69I7P222&amp;partnerID=40&amp;md5=a697e4817b1bb6294eb1820b44233f94" TargetMode="External"/><Relationship Id="rId544" Type="http://schemas.openxmlformats.org/officeDocument/2006/relationships/hyperlink" Target="https://www.scopus.com/inward/record.uri?eid=2-s2.0-85099779949&amp;doi=10.3390%2Fa14010017&amp;partnerID=40&amp;md5=3c6517ef01041d2c79b1b62d55cc778a" TargetMode="External"/><Relationship Id="rId545" Type="http://schemas.openxmlformats.org/officeDocument/2006/relationships/hyperlink" Target="https://www.scopus.com/inward/record.uri?eid=2-s2.0-85115177844&amp;doi=10.1016%2Fj.compbiomed.2021.104856&amp;partnerID=40&amp;md5=04b6377b85b82de31774ccf0425b4fe5" TargetMode="External"/><Relationship Id="rId546" Type="http://schemas.openxmlformats.org/officeDocument/2006/relationships/hyperlink" Target="https://www.scopus.com/inward/record.uri?eid=2-s2.0-85099233220&amp;doi=10.1016%2Fj.imu.2020.100508&amp;partnerID=40&amp;md5=069b62fb4c322c363ca4dbe278f67ac3" TargetMode="External"/><Relationship Id="rId547" Type="http://schemas.openxmlformats.org/officeDocument/2006/relationships/hyperlink" Target="https://www.scopus.com/inward/record.uri?eid=2-s2.0-85158160117&amp;doi=10.30699%2Ffhi.v10i1.278&amp;partnerID=40&amp;md5=933041a7733fb32d0af93b4d83f2cd16" TargetMode="External"/><Relationship Id="rId548" Type="http://schemas.openxmlformats.org/officeDocument/2006/relationships/hyperlink" Target="https://www.scopus.com/inward/record.uri?eid=2-s2.0-85096182147&amp;doi=10.1007%2Fs12639-020-01313-6&amp;partnerID=40&amp;md5=dc59ec468221cb8783bdeb5bf78c2aca" TargetMode="External"/><Relationship Id="rId549" Type="http://schemas.openxmlformats.org/officeDocument/2006/relationships/hyperlink" Target="https://www.scopus.com/inward/record.uri?eid=2-s2.0-85102443934&amp;doi=10.3389%2Ffimmu.2021.610108&amp;partnerID=40&amp;md5=8df9d98eb78eca507aef530cac7d7d2f" TargetMode="External"/><Relationship Id="rId550" Type="http://schemas.openxmlformats.org/officeDocument/2006/relationships/hyperlink" Target="https://www.scopus.com/inward/record.uri?eid=2-s2.0-85123006962&amp;doi=10.52711%2F0974-360X.2021.01153&amp;partnerID=40&amp;md5=baa04f8cc66d50cb3e8400483915cfde" TargetMode="External"/><Relationship Id="rId551" Type="http://schemas.openxmlformats.org/officeDocument/2006/relationships/hyperlink" Target="https://www.scopus.com/inward/record.uri?eid=2-s2.0-85105085458&amp;doi=10.1007%2F978-981-16-0538-3_12&amp;partnerID=40&amp;md5=9f4fba89279e5f4dcded1766e4b438f4" TargetMode="External"/><Relationship Id="rId552" Type="http://schemas.openxmlformats.org/officeDocument/2006/relationships/hyperlink" Target="https://www.scopus.com/inward/record.uri?eid=2-s2.0-85116959196&amp;doi=10.1007%2F978-981-15-8335-3_45&amp;partnerID=40&amp;md5=d86707a3077faa79ff125c9265509077" TargetMode="External"/><Relationship Id="rId553" Type="http://schemas.openxmlformats.org/officeDocument/2006/relationships/hyperlink" Target="https://www.scopus.com/inward/record.uri?eid=2-s2.0-85109468526&amp;partnerID=40&amp;md5=65b5936b40b3375b2e66d8c1af58bd4c" TargetMode="External"/><Relationship Id="rId554" Type="http://schemas.openxmlformats.org/officeDocument/2006/relationships/hyperlink" Target="https://www.scopus.com/inward/record.uri?eid=2-s2.0-85101043968&amp;doi=10.1007%2F978-981-15-9612-4_5&amp;partnerID=40&amp;md5=52a788017ba76bb0c779a5071ccb4c2c" TargetMode="External"/><Relationship Id="rId555" Type="http://schemas.openxmlformats.org/officeDocument/2006/relationships/hyperlink" Target="https://www.scopus.com/inward/record.uri?eid=2-s2.0-85123668954&amp;doi=10.1016%2FB978-0-12-821633-0.00007-6&amp;partnerID=40&amp;md5=083e4bad9835e7f6c369ecf3a5bcce0f" TargetMode="External"/><Relationship Id="rId556" Type="http://schemas.openxmlformats.org/officeDocument/2006/relationships/hyperlink" Target="https://www.scopus.com/inward/record.uri?eid=2-s2.0-85122319189&amp;doi=10.1002%2F9781119792611.ch12&amp;partnerID=40&amp;md5=164c8323c705fded24ace233d6da2898" TargetMode="External"/><Relationship Id="rId557" Type="http://schemas.openxmlformats.org/officeDocument/2006/relationships/hyperlink" Target="https://www.scopus.com/inward/record.uri?eid=2-s2.0-85101144337&amp;doi=10.1007%2F978-981-15-9735-0_2&amp;partnerID=40&amp;md5=e2a4e977c73cd58d38d2c3035bb466d2" TargetMode="External"/><Relationship Id="rId558" Type="http://schemas.openxmlformats.org/officeDocument/2006/relationships/hyperlink" Target="https://www.scopus.com/inward/record.uri?eid=2-s2.0-85158929967&amp;doi=10.1007%2F978-3-030-79753-9_18&amp;partnerID=40&amp;md5=d1c2a3e7166a55dfe1016388b0906620" TargetMode="External"/><Relationship Id="rId559" Type="http://schemas.openxmlformats.org/officeDocument/2006/relationships/hyperlink" Target="https://www.scopus.com/inward/record.uri?eid=2-s2.0-85107238380&amp;doi=10.3233%2FSHTI210196&amp;partnerID=40&amp;md5=b0ba8837d217d7762cd23ac8a33b28ea" TargetMode="External"/><Relationship Id="rId560" Type="http://schemas.openxmlformats.org/officeDocument/2006/relationships/hyperlink" Target="https://www.scopus.com/inward/record.uri?eid=2-s2.0-85150116779&amp;doi=10.1007%2F978-3-030-45240-7_8&amp;partnerID=40&amp;md5=f3de998390e0014cb16422e6571a05c3" TargetMode="External"/><Relationship Id="rId561" Type="http://schemas.openxmlformats.org/officeDocument/2006/relationships/hyperlink" Target="https://www.scopus.com/inward/record.uri?eid=2-s2.0-85111451174&amp;doi=10.1007%2F978-3-030-71221-1_5&amp;partnerID=40&amp;md5=91ac1ad437bdc17892c03e6bfcc03476" TargetMode="External"/><Relationship Id="rId562" Type="http://schemas.openxmlformats.org/officeDocument/2006/relationships/hyperlink" Target="https://www.scopus.com/inward/record.uri?eid=2-s2.0-85150561934&amp;doi=10.1007%2F978-981-16-0811-7_9&amp;partnerID=40&amp;md5=c32bc1d236eefd61e06ab9dccf7e22cf" TargetMode="External"/><Relationship Id="rId563" Type="http://schemas.openxmlformats.org/officeDocument/2006/relationships/hyperlink" Target="https://www.scopus.com/inward/record.uri?eid=2-s2.0-85111642801&amp;doi=10.1007%2F978-3-030-66519-7_9&amp;partnerID=40&amp;md5=f1e5902e31c8440a616420cccf30f6ba" TargetMode="External"/><Relationship Id="rId564" Type="http://schemas.openxmlformats.org/officeDocument/2006/relationships/hyperlink" Target="https://www.scopus.com/inward/record.uri?eid=2-s2.0-85104899775&amp;doi=10.1007%2F978-981-15-9516-5_1&amp;partnerID=40&amp;md5=617d0d8a5e3d0eb03fcc0c24887e0b0f" TargetMode="External"/><Relationship Id="rId565" Type="http://schemas.openxmlformats.org/officeDocument/2006/relationships/hyperlink" Target="https://www.scopus.com/inward/record.uri?eid=2-s2.0-85124698705&amp;doi=10.1109%2FCSNT51715.2021.9509619&amp;partnerID=40&amp;md5=8291a1bf3c17a02541bd7ec88dd04715" TargetMode="External"/><Relationship Id="rId566" Type="http://schemas.openxmlformats.org/officeDocument/2006/relationships/hyperlink" Target="https://www.scopus.com/inward/record.uri?eid=2-s2.0-85116942156&amp;doi=10.1109%2FICIRCA51532.2021.9544862&amp;partnerID=40&amp;md5=25377e7cdad87d4e0d570226ac375f33" TargetMode="External"/><Relationship Id="rId567" Type="http://schemas.openxmlformats.org/officeDocument/2006/relationships/hyperlink" Target="https://www.scopus.com/inward/record.uri?eid=2-s2.0-85101746583&amp;doi=10.1088%2F1742-6596%2F1767%2F1%2F012038&amp;partnerID=40&amp;md5=74e827627f8d45640b91fe655973c3b8" TargetMode="External"/><Relationship Id="rId568" Type="http://schemas.openxmlformats.org/officeDocument/2006/relationships/hyperlink" Target="https://www.scopus.com/inward/record.uri?eid=2-s2.0-85115426679&amp;doi=10.1145%2F3462203.3475908&amp;partnerID=40&amp;md5=dd91fbb237462130649a01bb4e8938bb" TargetMode="External"/><Relationship Id="rId569" Type="http://schemas.openxmlformats.org/officeDocument/2006/relationships/hyperlink" Target="https://www.scopus.com/inward/record.uri?eid=2-s2.0-85126949184&amp;doi=10.1109%2FICAC3N53548.2021.9725539&amp;partnerID=40&amp;md5=0c0c117073b598f828a185bebef126c2" TargetMode="External"/><Relationship Id="rId570" Type="http://schemas.openxmlformats.org/officeDocument/2006/relationships/hyperlink" Target="https://www.scopus.com/inward/record.uri?eid=2-s2.0-85136203208&amp;doi=10.1109%2FWIECON-ECE54711.2021.9829560&amp;partnerID=40&amp;md5=c5c30ae3d2a5d0d5f217616ef727c954" TargetMode="External"/><Relationship Id="rId571" Type="http://schemas.openxmlformats.org/officeDocument/2006/relationships/hyperlink" Target="https://www.scopus.com/inward/record.uri?eid=2-s2.0-85114668140&amp;doi=10.1109%2FISDFS52919.2021.9486315&amp;partnerID=40&amp;md5=84dfba65c1a0f785cc393cedeadcbb20" TargetMode="External"/><Relationship Id="rId572" Type="http://schemas.openxmlformats.org/officeDocument/2006/relationships/hyperlink" Target="https://www.scopus.com/inward/record.uri?eid=2-s2.0-85124373382&amp;doi=10.1109%2FICFTIC54370.2021.9647411&amp;partnerID=40&amp;md5=8f9c6ba59125c283fd9359c814ecb89e" TargetMode="External"/><Relationship Id="rId573" Type="http://schemas.openxmlformats.org/officeDocument/2006/relationships/hyperlink" Target="https://www.scopus.com/inward/record.uri?eid=2-s2.0-85129581656&amp;doi=10.1109%2FAIPR52630.2021.9762068&amp;partnerID=40&amp;md5=09869461c01afe50cb0d492073f24e69" TargetMode="External"/><Relationship Id="rId574" Type="http://schemas.openxmlformats.org/officeDocument/2006/relationships/hyperlink" Target="https://www.scopus.com/inward/record.uri?eid=2-s2.0-85126391952&amp;doi=10.1109%2FINDICON52576.2021.9691666&amp;partnerID=40&amp;md5=27a221444711e26312ed7e787f3c0d76" TargetMode="External"/><Relationship Id="rId575" Type="http://schemas.openxmlformats.org/officeDocument/2006/relationships/hyperlink" Target="https://www.scopus.com/inward/record.uri?eid=2-s2.0-85107524721&amp;doi=10.1109%2FICICCS51141.2021.9432301&amp;partnerID=40&amp;md5=293f2e530393bd266838c61fe0629b7a" TargetMode="External"/><Relationship Id="rId576" Type="http://schemas.openxmlformats.org/officeDocument/2006/relationships/hyperlink" Target="https://www.scopus.com/inward/record.uri?eid=2-s2.0-85125336957&amp;doi=10.1109%2FIISEC54230.2021.9672447&amp;partnerID=40&amp;md5=438c6ee7312176530d024b8f37845f6f" TargetMode="External"/><Relationship Id="rId577" Type="http://schemas.openxmlformats.org/officeDocument/2006/relationships/hyperlink" Target="https://www.scopus.com/inward/record.uri?eid=2-s2.0-85097593189&amp;doi=10.1007%2F978-981-15-7834-2_45&amp;partnerID=40&amp;md5=ef72f4bfad0cbef0905a1e6fb29f6a59" TargetMode="External"/><Relationship Id="rId578" Type="http://schemas.openxmlformats.org/officeDocument/2006/relationships/hyperlink" Target="https://www.scopus.com/inward/record.uri?eid=2-s2.0-85123345485&amp;doi=10.1109%2FCONECCT52877.2021.9622608&amp;partnerID=40&amp;md5=72147c83864ebc90f1548cc946aecadd" TargetMode="External"/><Relationship Id="rId579" Type="http://schemas.openxmlformats.org/officeDocument/2006/relationships/hyperlink" Target="https://www.scopus.com/inward/record.uri?eid=2-s2.0-85124431927&amp;doi=10.1007%2F978-3-030-64058-3_78&amp;partnerID=40&amp;md5=fb90253fef06404e1d516651673529f0" TargetMode="External"/><Relationship Id="rId580" Type="http://schemas.openxmlformats.org/officeDocument/2006/relationships/hyperlink" Target="https://www.scopus.com/inward/record.uri?eid=2-s2.0-85125013678&amp;doi=10.1109%2FICCIT54785.2021.9689816&amp;partnerID=40&amp;md5=5a25840922c45ffd471b9035d6adef59" TargetMode="External"/><Relationship Id="rId581" Type="http://schemas.openxmlformats.org/officeDocument/2006/relationships/hyperlink" Target="https://www.scopus.com/inward/record.uri?eid=2-s2.0-85128392730&amp;doi=10.1109%2FICATME50232.2021.9732705&amp;partnerID=40&amp;md5=d0fa007a72edd911dd51716820466968" TargetMode="External"/><Relationship Id="rId582" Type="http://schemas.openxmlformats.org/officeDocument/2006/relationships/hyperlink" Target="https://www.scopus.com/inward/record.uri?eid=2-s2.0-85116419681&amp;doi=10.1007%2F978-3-030-87722-4_14&amp;partnerID=40&amp;md5=6904b3c40dddbfa242379c1521fe8cd3" TargetMode="External"/><Relationship Id="rId583" Type="http://schemas.openxmlformats.org/officeDocument/2006/relationships/hyperlink" Target="https://www.scopus.com/inward/record.uri?eid=2-s2.0-85124175820&amp;doi=10.1109%2FI-SMAC52330.2021.9640905&amp;partnerID=40&amp;md5=eba1be8770c7017698a18def2918beb8" TargetMode="External"/><Relationship Id="rId584" Type="http://schemas.openxmlformats.org/officeDocument/2006/relationships/hyperlink" Target="https://www.scopus.com/inward/record.uri?eid=2-s2.0-85113871918&amp;doi=10.1109%2FSACI51354.2021.9465636&amp;partnerID=40&amp;md5=0eaafb686fd26f70f78109ffda1de87b" TargetMode="External"/><Relationship Id="rId585" Type="http://schemas.openxmlformats.org/officeDocument/2006/relationships/hyperlink" Target="https://www.scopus.com/inward/record.uri?eid=2-s2.0-85122543947&amp;doi=10.1109%2FEMBC46164.2021.9630868&amp;partnerID=40&amp;md5=c2687b12950cf6f936a9fa6be832f4af" TargetMode="External"/><Relationship Id="rId586" Type="http://schemas.openxmlformats.org/officeDocument/2006/relationships/hyperlink" Target="https://www.scopus.com/inward/record.uri?eid=2-s2.0-85164027341&amp;partnerID=40&amp;md5=ebcb972ce5b5b6ab23e70d2d053a8c8e" TargetMode="External"/><Relationship Id="rId587" Type="http://schemas.openxmlformats.org/officeDocument/2006/relationships/hyperlink" Target="https://www.scopus.com/inward/record.uri?eid=2-s2.0-85122530870&amp;doi=10.1109%2FEMBC46164.2021.9629563&amp;partnerID=40&amp;md5=b1cd578e6a691ef2640d30c1a75606e8" TargetMode="External"/><Relationship Id="rId588" Type="http://schemas.openxmlformats.org/officeDocument/2006/relationships/hyperlink" Target="https://www.scopus.com/inward/record.uri?eid=2-s2.0-85098254913&amp;doi=10.1007%2F978-981-33-4673-4_20&amp;partnerID=40&amp;md5=c4c8dc5281c32d2762719db5d51089e6" TargetMode="External"/><Relationship Id="rId589" Type="http://schemas.openxmlformats.org/officeDocument/2006/relationships/hyperlink" Target="https://www.scopus.com/inward/record.uri?eid=2-s2.0-85127001821&amp;doi=10.1109%2FQIR54354.2021.9716198&amp;partnerID=40&amp;md5=4a1ecbcf73ed091727fb8ce8d0be6f17" TargetMode="External"/><Relationship Id="rId590" Type="http://schemas.openxmlformats.org/officeDocument/2006/relationships/hyperlink" Target="https://www.scopus.com/inward/record.uri?eid=2-s2.0-85126714092&amp;partnerID=40&amp;md5=07790976c0367b46fcb084aa28a45d79" TargetMode="External"/><Relationship Id="rId591" Type="http://schemas.openxmlformats.org/officeDocument/2006/relationships/hyperlink" Target="https://www.scopus.com/inward/record.uri?eid=2-s2.0-85129653208&amp;doi=10.1109%2FAIPR52630.2021.9762109&amp;partnerID=40&amp;md5=a4e27bbfc7fca47e855d38ddf0ce0f0e" TargetMode="External"/><Relationship Id="rId592" Type="http://schemas.openxmlformats.org/officeDocument/2006/relationships/hyperlink" Target="https://www.scopus.com/inward/record.uri?eid=2-s2.0-85096467069&amp;doi=10.1007%2F978-981-15-4409-5_43&amp;partnerID=40&amp;md5=378632aff189517a985f428f4f21b29d" TargetMode="External"/><Relationship Id="rId593" Type="http://schemas.openxmlformats.org/officeDocument/2006/relationships/hyperlink" Target="https://www.scopus.com/inward/record.uri?eid=2-s2.0-85089722189&amp;doi=10.1007%2F978-981-15-5113-0_98&amp;partnerID=40&amp;md5=737446bcbe0d06f9f0fffb77c7df6857" TargetMode="External"/><Relationship Id="rId594" Type="http://schemas.openxmlformats.org/officeDocument/2006/relationships/hyperlink" Target="https://www.scopus.com/inward/record.uri?eid=2-s2.0-85133487272&amp;doi=10.1109%2FGC-ElecEng52322.2021.9788131&amp;partnerID=40&amp;md5=6e50ddc4bb8ba9de4afdb4ad7385210a" TargetMode="External"/><Relationship Id="rId595" Type="http://schemas.openxmlformats.org/officeDocument/2006/relationships/hyperlink" Target="https://www.scopus.com/inward/record.uri?eid=2-s2.0-85116044566&amp;doi=10.1109%2FHSI52170.2021.9538688&amp;partnerID=40&amp;md5=13e5670eb50567ba0e040b56f349b99e" TargetMode="External"/><Relationship Id="rId596" Type="http://schemas.openxmlformats.org/officeDocument/2006/relationships/hyperlink" Target="https://www.scopus.com/inward/record.uri?eid=2-s2.0-85113329314&amp;doi=10.1109%2FINCET51464.2021.9456172&amp;partnerID=40&amp;md5=19406733c9e7ce5770fccdcbe77fa181" TargetMode="External"/><Relationship Id="rId597" Type="http://schemas.openxmlformats.org/officeDocument/2006/relationships/hyperlink" Target="https://www.scopus.com/inward/record.uri?eid=2-s2.0-85113828603&amp;doi=10.1109%2FICICS52457.2021.9464619&amp;partnerID=40&amp;md5=d30b65e2442e86b3487276be46054488" TargetMode="External"/><Relationship Id="rId598" Type="http://schemas.openxmlformats.org/officeDocument/2006/relationships/hyperlink" Target="https://www.scopus.com/inward/record.uri?eid=2-s2.0-85105930264&amp;doi=10.1007%2F978-981-33-4501-0_73&amp;partnerID=40&amp;md5=ae882a82a2f41af2a29550ab77d111e3" TargetMode="External"/><Relationship Id="rId599" Type="http://schemas.openxmlformats.org/officeDocument/2006/relationships/hyperlink" Target="https://www.scopus.com/inward/record.uri?eid=2-s2.0-85113583182&amp;doi=10.1007%2F978-3-030-82269-9_1&amp;partnerID=40&amp;md5=c15d61c9f4640ba73e78ff7a883c9348" TargetMode="External"/><Relationship Id="rId600" Type="http://schemas.openxmlformats.org/officeDocument/2006/relationships/hyperlink" Target="https://www.scopus.com/inward/record.uri?eid=2-s2.0-85104595218&amp;doi=10.1109%2FESCI50559.2021.9396850&amp;partnerID=40&amp;md5=f3a903585dff8602e86843b5c6f21435" TargetMode="External"/><Relationship Id="rId601" Type="http://schemas.openxmlformats.org/officeDocument/2006/relationships/hyperlink" Target="https://www.scopus.com/inward/record.uri?eid=2-s2.0-85129858458&amp;doi=10.1109%2FIGARSS47720.2021.9554704&amp;partnerID=40&amp;md5=89205d3b6639adb403147779fbbf4c73" TargetMode="External"/><Relationship Id="rId602" Type="http://schemas.openxmlformats.org/officeDocument/2006/relationships/hyperlink" Target="https://www.scopus.com/inward/record.uri?eid=2-s2.0-85123680199&amp;doi=10.1109%2FICIC54025.2021.9632998&amp;partnerID=40&amp;md5=cfaa2b95913116517a7ecc90e1476f7d" TargetMode="External"/><Relationship Id="rId603" Type="http://schemas.openxmlformats.org/officeDocument/2006/relationships/hyperlink" Target="https://www.scopus.com/inward/record.uri?eid=2-s2.0-85087005403&amp;doi=10.1007%2F978-981-15-3383-9_17&amp;partnerID=40&amp;md5=8b0d2905601b7853bdcb8e6bf94fd39e" TargetMode="External"/><Relationship Id="rId604" Type="http://schemas.openxmlformats.org/officeDocument/2006/relationships/hyperlink" Target="https://www.scopus.com/inward/record.uri?eid=2-s2.0-85126914274&amp;doi=10.1109%2FICAC3N53548.2021.9725557&amp;partnerID=40&amp;md5=b76861af18a5160820fe5507ef426120" TargetMode="External"/><Relationship Id="rId605" Type="http://schemas.openxmlformats.org/officeDocument/2006/relationships/hyperlink" Target="https://www.scopus.com/inward/record.uri?eid=2-s2.0-85124423571&amp;doi=10.1109%2FICVEE54186.2021.9649688&amp;partnerID=40&amp;md5=de5af2d96ba81a95163dd14db2859848" TargetMode="External"/><Relationship Id="rId606" Type="http://schemas.openxmlformats.org/officeDocument/2006/relationships/hyperlink" Target="https://www.scopus.com/inward/record.uri?eid=2-s2.0-85126433001&amp;doi=10.1109%2FICCICA52458.2021.9697307&amp;partnerID=40&amp;md5=de46065b8d08b5463c9c63c2d4728a5c" TargetMode="External"/><Relationship Id="rId607" Type="http://schemas.openxmlformats.org/officeDocument/2006/relationships/hyperlink" Target="https://www.scopus.com/inward/record.uri?eid=2-s2.0-85126649532&amp;doi=10.1109%2FICSIPA52582.2021.9576814&amp;partnerID=40&amp;md5=f5474c10513d8742bd253a4644b1e82d" TargetMode="External"/><Relationship Id="rId608" Type="http://schemas.openxmlformats.org/officeDocument/2006/relationships/hyperlink" Target="https://www.scopus.com/inward/record.uri?eid=2-s2.0-85122022697&amp;doi=10.1088%2F1742-6596%2F2107%2F1%2F012031&amp;partnerID=40&amp;md5=b9b5040c806a162bf3075b6ef4b4644b" TargetMode="External"/><Relationship Id="rId609" Type="http://schemas.openxmlformats.org/officeDocument/2006/relationships/hyperlink" Target="https://www.scopus.com/inward/record.uri?eid=2-s2.0-85101567510&amp;doi=10.1007%2F978-981-15-9689-6_78&amp;partnerID=40&amp;md5=5cf1a0ce5d75e74039228a6b7329a682" TargetMode="External"/><Relationship Id="rId610" Type="http://schemas.openxmlformats.org/officeDocument/2006/relationships/hyperlink" Target="https://www.scopus.com/inward/record.uri?eid=2-s2.0-85098218236&amp;doi=10.1007%2F978-981-15-8354-4_17&amp;partnerID=40&amp;md5=f2538fd38ab2643f3277f094f4f4f2c0" TargetMode="External"/><Relationship Id="rId611" Type="http://schemas.openxmlformats.org/officeDocument/2006/relationships/hyperlink" Target="https://www.scopus.com/inward/record.uri?eid=2-s2.0-85125017771&amp;doi=10.1109%2FICAC54203.2021.9671097&amp;partnerID=40&amp;md5=0a8fcb0ee425b12cf4a83dd8cd8f8d9f" TargetMode="External"/><Relationship Id="rId612" Type="http://schemas.openxmlformats.org/officeDocument/2006/relationships/hyperlink" Target="https://www.scopus.com/inward/record.uri?eid=2-s2.0-85126767443&amp;doi=10.1109%2FICET54505.2021.9689785&amp;partnerID=40&amp;md5=b77661919b9b3eb5d3e6800b1c5d80e3" TargetMode="External"/><Relationship Id="rId613" Type="http://schemas.openxmlformats.org/officeDocument/2006/relationships/hyperlink" Target="https://www.scopus.com/inward/record.uri?eid=2-s2.0-85109051144&amp;doi=10.1088%2F1742-6596%2F1898%2F1%2F012027&amp;partnerID=40&amp;md5=65c962c305812fd8c4f15ce40ee3a081" TargetMode="External"/><Relationship Id="rId614" Type="http://schemas.openxmlformats.org/officeDocument/2006/relationships/hyperlink" Target="https://www.scopus.com/inward/record.uri?eid=2-s2.0-85113260199&amp;doi=10.1007%2F978-981-16-1244-2_36&amp;partnerID=40&amp;md5=131bfffa50e2d4ad78c6e1c06bfa3130" TargetMode="External"/><Relationship Id="rId615" Type="http://schemas.openxmlformats.org/officeDocument/2006/relationships/hyperlink" Target="https://www.scopus.com/inward/record.uri?eid=2-s2.0-85115077479&amp;doi=10.1109%2FeSmarTA52612.2021.9515718&amp;partnerID=40&amp;md5=342f059635e737f862a64beaf179ec6a" TargetMode="External"/><Relationship Id="rId616" Type="http://schemas.openxmlformats.org/officeDocument/2006/relationships/hyperlink" Target="https://www.scopus.com/inward/record.uri?eid=2-s2.0-85112686056&amp;doi=10.1007%2F978-981-16-1502-3_40&amp;partnerID=40&amp;md5=cb2e23cbe594c133a1ead19bf1540def" TargetMode="External"/><Relationship Id="rId617" Type="http://schemas.openxmlformats.org/officeDocument/2006/relationships/hyperlink" Target="https://www.scopus.com/inward/record.uri?eid=2-s2.0-85102771513&amp;doi=10.1007%2F978-3-030-69143-1_4&amp;partnerID=40&amp;md5=440482e954397d28125a2d41f7c9c20b" TargetMode="External"/><Relationship Id="rId618" Type="http://schemas.openxmlformats.org/officeDocument/2006/relationships/hyperlink" Target="https://www.scopus.com/inward/record.uri?eid=2-s2.0-85106045467&amp;doi=10.1109%2FICCMC51019.2021.9418228&amp;partnerID=40&amp;md5=53abdaf30f200fdfc486aec54a5c0b21" TargetMode="External"/><Relationship Id="rId619" Type="http://schemas.openxmlformats.org/officeDocument/2006/relationships/hyperlink" Target="https://www.scopus.com/inward/record.uri?eid=2-s2.0-85105432948&amp;doi=10.1109%2FICAIIC51459.2021.9415183&amp;partnerID=40&amp;md5=b27746a00e9d0b481a581ff6fec197a3" TargetMode="External"/><Relationship Id="rId620" Type="http://schemas.openxmlformats.org/officeDocument/2006/relationships/hyperlink" Target="https://www.scopus.com/inward/record.uri?eid=2-s2.0-85108842965&amp;doi=10.1117%2F12.2583919&amp;partnerID=40&amp;md5=3580b1f05bc575a04da976b0aab49d13" TargetMode="External"/><Relationship Id="rId621" Type="http://schemas.openxmlformats.org/officeDocument/2006/relationships/hyperlink" Target="https://www.scopus.com/inward/record.uri?eid=2-s2.0-85125301332&amp;doi=10.1109%2FBigData52589.2021.9671853&amp;partnerID=40&amp;md5=058eb6b28a829fe46048ad7693cc06d9" TargetMode="External"/><Relationship Id="rId622" Type="http://schemas.openxmlformats.org/officeDocument/2006/relationships/hyperlink" Target="https://www.scopus.com/inward/record.uri?eid=2-s2.0-85128507739&amp;doi=10.1145%2F3498851.3498972&amp;partnerID=40&amp;md5=996818fa5eeb29ca6767f0ae69c299d8" TargetMode="External"/><Relationship Id="rId623" Type="http://schemas.openxmlformats.org/officeDocument/2006/relationships/hyperlink" Target="https://www.scopus.com/inward/record.uri?eid=2-s2.0-85124078710&amp;doi=10.1109%2FICCTEIE54047.2021.9650646&amp;partnerID=40&amp;md5=6487460f373e277b42f5fa124a4f5f57" TargetMode="External"/><Relationship Id="rId624" Type="http://schemas.openxmlformats.org/officeDocument/2006/relationships/hyperlink" Target="https://www.scopus.com/inward/record.uri?eid=2-s2.0-85123839702&amp;doi=10.1109%2FCLEI53233.2021.9640130&amp;partnerID=40&amp;md5=018d4a58f3ba634f160d4a62f37906b3" TargetMode="External"/><Relationship Id="rId625" Type="http://schemas.openxmlformats.org/officeDocument/2006/relationships/hyperlink" Target="https://www.scopus.com/inward/record.uri?eid=2-s2.0-85103460089&amp;doi=10.1109%2FCCWC51732.2021.9376061&amp;partnerID=40&amp;md5=0adec42253db44c0cca52873cd395934" TargetMode="External"/><Relationship Id="rId626" Type="http://schemas.openxmlformats.org/officeDocument/2006/relationships/hyperlink" Target="https://www.scopus.com/inward/record.uri?eid=2-s2.0-85079823747&amp;doi=10.1097%2FMD.0000000000019218&amp;partnerID=40&amp;md5=6fb875b8bebaa04ee3e7d975d08f6f9b" TargetMode="External"/><Relationship Id="rId627" Type="http://schemas.openxmlformats.org/officeDocument/2006/relationships/hyperlink" Target="https://www.scopus.com/inward/record.uri?eid=2-s2.0-85169582508&amp;doi=10.3390%2Fai1030027&amp;partnerID=40&amp;md5=eb17875596618f25138323128866394d" TargetMode="External"/><Relationship Id="rId628" Type="http://schemas.openxmlformats.org/officeDocument/2006/relationships/hyperlink" Target="https://www.scopus.com/inward/record.uri?eid=2-s2.0-85085006143&amp;partnerID=40&amp;md5=01158b0de1eb4045e56d4027b1c95cb4" TargetMode="External"/><Relationship Id="rId629" Type="http://schemas.openxmlformats.org/officeDocument/2006/relationships/hyperlink" Target="https://www.scopus.com/inward/record.uri?eid=2-s2.0-85084855667&amp;doi=10.1007%2Fs13721-020-00239-6&amp;partnerID=40&amp;md5=0099c901d007bb451c4681cf22dbaf97" TargetMode="External"/><Relationship Id="rId630" Type="http://schemas.openxmlformats.org/officeDocument/2006/relationships/hyperlink" Target="https://www.scopus.com/inward/record.uri?eid=2-s2.0-85118309853&amp;doi=10.1007%2F978-981-15-8097-0_10&amp;partnerID=40&amp;md5=e9b6c6e30689b15fffbd5888e0e96a96" TargetMode="External"/><Relationship Id="rId631" Type="http://schemas.openxmlformats.org/officeDocument/2006/relationships/hyperlink" Target="https://www.scopus.com/inward/record.uri?eid=2-s2.0-85063472785&amp;doi=10.1080%2F17538157.2019.1582056&amp;partnerID=40&amp;md5=8e2e9fa99c3518870672d0c7c5e74366" TargetMode="External"/><Relationship Id="rId632" Type="http://schemas.openxmlformats.org/officeDocument/2006/relationships/hyperlink" Target="https://www.scopus.com/inward/record.uri?eid=2-s2.0-85082324221&amp;partnerID=40&amp;md5=ac50abcb5ed5e60c1f5be9ff86554a31" TargetMode="External"/><Relationship Id="rId633" Type="http://schemas.openxmlformats.org/officeDocument/2006/relationships/hyperlink" Target="https://www.scopus.com/inward/record.uri?eid=2-s2.0-85101343029&amp;partnerID=40&amp;md5=df9fdbabf56aee388e69a577007825ab" TargetMode="External"/><Relationship Id="rId634" Type="http://schemas.openxmlformats.org/officeDocument/2006/relationships/hyperlink" Target="https://www.scopus.com/inward/record.uri?eid=2-s2.0-85091884645&amp;doi=10.1504%2FIJIIDS.2020.109470&amp;partnerID=40&amp;md5=f4b6d94e0f817ab92890fe8a0acfa951" TargetMode="External"/><Relationship Id="rId635" Type="http://schemas.openxmlformats.org/officeDocument/2006/relationships/hyperlink" Target="https://www.scopus.com/inward/record.uri?eid=2-s2.0-85077866061&amp;doi=10.3390%2Fijerph17020453&amp;partnerID=40&amp;md5=cc55eb4f66c249b8642041dcdfed088f" TargetMode="External"/><Relationship Id="rId636" Type="http://schemas.openxmlformats.org/officeDocument/2006/relationships/hyperlink" Target="https://www.scopus.com/inward/record.uri?eid=2-s2.0-85081273284&amp;doi=10.14569%2Fijacsa.2020.0110235&amp;partnerID=40&amp;md5=a8956f3a80337456309a03abe453b39b" TargetMode="External"/><Relationship Id="rId637" Type="http://schemas.openxmlformats.org/officeDocument/2006/relationships/hyperlink" Target="https://www.scopus.com/inward/record.uri?eid=2-s2.0-85097480012&amp;doi=10.18280%2Fria.340506&amp;partnerID=40&amp;md5=c64179708f856555c6812c2668ad2813" TargetMode="External"/><Relationship Id="rId638" Type="http://schemas.openxmlformats.org/officeDocument/2006/relationships/hyperlink" Target="https://www.scopus.com/inward/record.uri?eid=2-s2.0-85089163705&amp;doi=10.18280%2Fisi.250306&amp;partnerID=40&amp;md5=7b1300fde04745ac6128de44cce74613" TargetMode="External"/><Relationship Id="rId639" Type="http://schemas.openxmlformats.org/officeDocument/2006/relationships/hyperlink" Target="https://www.scopus.com/inward/record.uri?eid=2-s2.0-85085627372&amp;doi=10.11591%2Feei.v9i4.2390&amp;partnerID=40&amp;md5=adbd7d37b959d59c5b92595990f804b5" TargetMode="External"/><Relationship Id="rId640" Type="http://schemas.openxmlformats.org/officeDocument/2006/relationships/hyperlink" Target="https://www.scopus.com/inward/record.uri?eid=2-s2.0-85087785574&amp;doi=10.1016%2Fj.patrec.2020.07.002&amp;partnerID=40&amp;md5=2fbb441a068c198da61f5f206f70e72d" TargetMode="External"/><Relationship Id="rId641" Type="http://schemas.openxmlformats.org/officeDocument/2006/relationships/hyperlink" Target="https://www.scopus.com/inward/record.uri?eid=2-s2.0-85084027252&amp;doi=10.1128%2FJCM.01879-19&amp;partnerID=40&amp;md5=2032fb8edd9e0588d718146448024084" TargetMode="External"/><Relationship Id="rId642" Type="http://schemas.openxmlformats.org/officeDocument/2006/relationships/hyperlink" Target="https://www.scopus.com/inward/record.uri?eid=2-s2.0-85074781347&amp;doi=10.1007%2Fs13198-019-00863-0&amp;partnerID=40&amp;md5=43a6d3c556cc545fbd936e512ce3c3ec" TargetMode="External"/><Relationship Id="rId643" Type="http://schemas.openxmlformats.org/officeDocument/2006/relationships/hyperlink" Target="https://www.scopus.com/inward/record.uri?eid=2-s2.0-85086906038&amp;doi=10.3390%2Fijerph17124509&amp;partnerID=40&amp;md5=7704bf089487d9899d1896dcdcc33db3" TargetMode="External"/><Relationship Id="rId644" Type="http://schemas.openxmlformats.org/officeDocument/2006/relationships/hyperlink" Target="https://www.scopus.com/inward/record.uri?eid=2-s2.0-85086360538&amp;doi=10.4103%2Fijmr.ijmr_324_18&amp;partnerID=40&amp;md5=99651a27a4be22edaffbe5a80a742a84" TargetMode="External"/><Relationship Id="rId645" Type="http://schemas.openxmlformats.org/officeDocument/2006/relationships/hyperlink" Target="https://www.scopus.com/inward/record.uri?eid=2-s2.0-85082147290&amp;doi=10.1371%2Fjournal.pntd.0008147&amp;partnerID=40&amp;md5=57308f06cf75350037a008c0fd468fcb" TargetMode="External"/><Relationship Id="rId646" Type="http://schemas.openxmlformats.org/officeDocument/2006/relationships/hyperlink" Target="https://www.scopus.com/inward/record.uri?eid=2-s2.0-85081924166&amp;doi=10.1186%2Fs12879-020-4902-6&amp;partnerID=40&amp;md5=ab3841b8305b6d5415f8734ee9cfd034" TargetMode="External"/><Relationship Id="rId647" Type="http://schemas.openxmlformats.org/officeDocument/2006/relationships/hyperlink" Target="https://www.scopus.com/inward/record.uri?eid=2-s2.0-85089143664&amp;doi=10.1002%2Fbies.202000011&amp;partnerID=40&amp;md5=2705c05f7c013b25ff92b396318f43a6" TargetMode="External"/><Relationship Id="rId648" Type="http://schemas.openxmlformats.org/officeDocument/2006/relationships/hyperlink" Target="https://www.scopus.com/inward/record.uri?eid=2-s2.0-85099555366&amp;doi=10.4018%2F978-1-7998-3095-5.ch010&amp;partnerID=40&amp;md5=785d73b5af43ed59c8d045cfd1e3e040" TargetMode="External"/><Relationship Id="rId649" Type="http://schemas.openxmlformats.org/officeDocument/2006/relationships/hyperlink" Target="https://www.scopus.com/inward/record.uri?eid=2-s2.0-85103678833&amp;doi=10.1007%2F978-3-030-33966-1_11&amp;partnerID=40&amp;md5=3e2a160c0117bd8a353b5ed2786e9e86" TargetMode="External"/><Relationship Id="rId650" Type="http://schemas.openxmlformats.org/officeDocument/2006/relationships/hyperlink" Target="https://www.scopus.com/inward/record.uri?eid=2-s2.0-85137516592&amp;doi=10.4018%2F978-1-7998-5071-7.ch009&amp;partnerID=40&amp;md5=8a4a9012b075397e13f76a540feaf6ba" TargetMode="External"/><Relationship Id="rId651" Type="http://schemas.openxmlformats.org/officeDocument/2006/relationships/hyperlink" Target="https://www.scopus.com/inward/record.uri?eid=2-s2.0-85118764308&amp;doi=10.1016%2FB978-0-12-822314-7.00012-2&amp;partnerID=40&amp;md5=d4519ee39047fbc87eaeba3d524aa81b" TargetMode="External"/><Relationship Id="rId652" Type="http://schemas.openxmlformats.org/officeDocument/2006/relationships/hyperlink" Target="https://www.scopus.com/inward/record.uri?eid=2-s2.0-85106201258&amp;doi=10.1109%2FAIPR50011.2020.9425053&amp;partnerID=40&amp;md5=9da840bf662581335a2608b1a38aa8fc" TargetMode="External"/><Relationship Id="rId653" Type="http://schemas.openxmlformats.org/officeDocument/2006/relationships/hyperlink" Target="https://www.scopus.com/inward/record.uri?eid=2-s2.0-85082299083&amp;doi=10.1007%2F978-981-15-2475-2_9&amp;partnerID=40&amp;md5=76569995f016a071f4ac8976996e9967" TargetMode="External"/><Relationship Id="rId654" Type="http://schemas.openxmlformats.org/officeDocument/2006/relationships/hyperlink" Target="https://www.scopus.com/inward/record.uri?eid=2-s2.0-85098831738&amp;doi=10.1109%2FICHI48887.2020.9374384&amp;partnerID=40&amp;md5=c664e5e046087eb5a99373abddb86635" TargetMode="External"/><Relationship Id="rId655" Type="http://schemas.openxmlformats.org/officeDocument/2006/relationships/hyperlink" Target="https://www.scopus.com/inward/record.uri?eid=2-s2.0-85092747756&amp;doi=10.1007%2F978-3-030-59722-1_22&amp;partnerID=40&amp;md5=a57bec779b7721e7e500426eefa3f1a7" TargetMode="External"/><Relationship Id="rId656" Type="http://schemas.openxmlformats.org/officeDocument/2006/relationships/hyperlink" Target="https://www.scopus.com/inward/record.uri?eid=2-s2.0-85090160037&amp;doi=10.1109%2FCVPRW50498.2020.00500&amp;partnerID=40&amp;md5=68203bfdd13d566308a1ddb643e12779" TargetMode="External"/><Relationship Id="rId657" Type="http://schemas.openxmlformats.org/officeDocument/2006/relationships/hyperlink" Target="https://www.scopus.com/inward/record.uri?eid=2-s2.0-85098784995&amp;doi=10.1109%2FICTAI50040.2020.00096&amp;partnerID=40&amp;md5=90622b40d8993a020af54d71b8d9dd74" TargetMode="External"/><Relationship Id="rId658" Type="http://schemas.openxmlformats.org/officeDocument/2006/relationships/hyperlink" Target="https://www.scopus.com/inward/record.uri?eid=2-s2.0-85097947517&amp;doi=10.1145%2F3388142.3388158&amp;partnerID=40&amp;md5=0bd0434e44d19678a7ac69b8311e3afd" TargetMode="External"/><Relationship Id="rId659" Type="http://schemas.openxmlformats.org/officeDocument/2006/relationships/hyperlink" Target="https://www.scopus.com/inward/record.uri?eid=2-s2.0-85079087152&amp;doi=10.1007%2F978-3-030-39343-4_37&amp;partnerID=40&amp;md5=15b851cb1ff21a27e99bf972e0b21968" TargetMode="External"/><Relationship Id="rId660" Type="http://schemas.openxmlformats.org/officeDocument/2006/relationships/hyperlink" Target="https://www.scopus.com/inward/record.uri?eid=2-s2.0-85089340682&amp;doi=10.1145%2F3378393.3402265&amp;partnerID=40&amp;md5=4b9c5947a1285129edf0953e8b433411" TargetMode="External"/><Relationship Id="rId661" Type="http://schemas.openxmlformats.org/officeDocument/2006/relationships/hyperlink" Target="https://www.scopus.com/inward/record.uri?eid=2-s2.0-85091152400&amp;doi=10.1109%2FCBMS49503.2020.00038&amp;partnerID=40&amp;md5=aaba50351bc7bbb69e2f8e82c4934a45" TargetMode="External"/><Relationship Id="rId662" Type="http://schemas.openxmlformats.org/officeDocument/2006/relationships/hyperlink" Target="https://www.scopus.com/inward/record.uri?eid=2-s2.0-85098963602&amp;doi=10.1109%2FTENCON50793.2020.9293746&amp;partnerID=40&amp;md5=0f9f8926f8a2933be3bd410c8bb5422e" TargetMode="External"/><Relationship Id="rId663" Type="http://schemas.openxmlformats.org/officeDocument/2006/relationships/hyperlink" Target="https://www.scopus.com/inward/record.uri?eid=2-s2.0-85085474477&amp;doi=10.1109%2FSSIAI49293.2020.9094595&amp;partnerID=40&amp;md5=15acb7a7c8a71f75dcda22cd9616ca68" TargetMode="External"/><Relationship Id="rId664" Type="http://schemas.openxmlformats.org/officeDocument/2006/relationships/hyperlink" Target="https://www.scopus.com/inward/record.uri?eid=2-s2.0-85087392280&amp;doi=10.1145%2F3399637.3399641&amp;partnerID=40&amp;md5=4db203d6e05bef0d3c7bfe14bee9fc08" TargetMode="External"/><Relationship Id="rId665" Type="http://schemas.openxmlformats.org/officeDocument/2006/relationships/hyperlink" Target="https://www.scopus.com/inward/record.uri?eid=2-s2.0-85088583060&amp;doi=10.1007%2F978-981-15-5199-4_15&amp;partnerID=40&amp;md5=ae841412b8b882ccec9d1ff929af2d18" TargetMode="External"/><Relationship Id="rId666" Type="http://schemas.openxmlformats.org/officeDocument/2006/relationships/hyperlink" Target="https://www.scopus.com/inward/record.uri?eid=2-s2.0-85096959116&amp;doi=10.1109%2FiCCECE49321.2020.9231235&amp;partnerID=40&amp;md5=6f381a9c64576b9e0fb65b39699d24a8" TargetMode="External"/><Relationship Id="rId667" Type="http://schemas.openxmlformats.org/officeDocument/2006/relationships/hyperlink" Target="https://www.scopus.com/inward/record.uri?eid=2-s2.0-85099569717&amp;doi=10.1109%2FINOCON50539.2020.9298425&amp;partnerID=40&amp;md5=02ad2613b10c18cc1a4ec71c4f32f994" TargetMode="External"/><Relationship Id="rId668" Type="http://schemas.openxmlformats.org/officeDocument/2006/relationships/hyperlink" Target="https://www.scopus.com/inward/record.uri?eid=2-s2.0-85085498019&amp;doi=10.1117%2F12.2549701&amp;partnerID=40&amp;md5=6aa93e0d0b68218c2a239440018036e4" TargetMode="External"/><Relationship Id="rId669" Type="http://schemas.openxmlformats.org/officeDocument/2006/relationships/hyperlink" Target="https://www.scopus.com/inward/record.uri?eid=2-s2.0-85084007645&amp;doi=10.1109%2FConfluence47617.2020.9058048&amp;partnerID=40&amp;md5=3bc57ee3e50a968cbf7b2c16431775d6" TargetMode="External"/><Relationship Id="rId670" Type="http://schemas.openxmlformats.org/officeDocument/2006/relationships/hyperlink" Target="https://www.scopus.com/inward/record.uri?eid=2-s2.0-85092026753&amp;doi=10.1109%2FICIRCA48905.2020.9182944&amp;partnerID=40&amp;md5=1f6f4b0cf5596a830c0c227c3a5ec73e" TargetMode="External"/><Relationship Id="rId671" Type="http://schemas.openxmlformats.org/officeDocument/2006/relationships/hyperlink" Target="https://www.scopus.com/inward/record.uri?eid=2-s2.0-85082474723&amp;doi=10.1007%2F978-3-030-43364-2_11&amp;partnerID=40&amp;md5=7c3d48866fa0ae50df697ab2cd8404d1" TargetMode="External"/><Relationship Id="rId672" Type="http://schemas.openxmlformats.org/officeDocument/2006/relationships/hyperlink" Target="https://www.scopus.com/inward/record.uri?eid=2-s2.0-85106193836&amp;doi=10.1109%2FAIPR50011.2020.9425273&amp;partnerID=40&amp;md5=bf05e3690452749cba8d83d55624999c" TargetMode="External"/><Relationship Id="rId673" Type="http://schemas.openxmlformats.org/officeDocument/2006/relationships/hyperlink" Target="https://www.scopus.com/inward/record.uri?eid=2-s2.0-85098963145&amp;doi=10.1109%2FTENCON50793.2020.9293753&amp;partnerID=40&amp;md5=d70a361644d8e808b5037a5d81347212" TargetMode="External"/><Relationship Id="rId674" Type="http://schemas.openxmlformats.org/officeDocument/2006/relationships/hyperlink" Target="https://www.scopus.com/inward/record.uri?eid=2-s2.0-85102047453&amp;doi=10.1109%2FR10-HTC49770.2020.9357035&amp;partnerID=40&amp;md5=648a9c0fa5c1fae56a5398fe7502fe40" TargetMode="External"/><Relationship Id="rId675" Type="http://schemas.openxmlformats.org/officeDocument/2006/relationships/hyperlink" Target="https://www.scopus.com/inward/record.uri?eid=2-s2.0-85081138708&amp;doi=10.1117%2F12.2542277&amp;partnerID=40&amp;md5=d8e54e7bc1cde562a1f8203fd3b9534c" TargetMode="External"/><Relationship Id="rId676" Type="http://schemas.openxmlformats.org/officeDocument/2006/relationships/hyperlink" Target="https://www.scopus.com/inward/record.uri?eid=2-s2.0-85112643525&amp;doi=10.1109%2FIBIOMED50285.2020.9487603&amp;partnerID=40&amp;md5=01acc30c2881af6e793b3feaf8909f81" TargetMode="External"/><Relationship Id="rId677" Type="http://schemas.openxmlformats.org/officeDocument/2006/relationships/hyperlink" Target="https://www.scopus.com/inward/record.uri?eid=2-s2.0-85092630966&amp;doi=10.1007%2F978-3-030-58817-5_32&amp;partnerID=40&amp;md5=06c7625f539ae0387234e47741909abc" TargetMode="External"/><Relationship Id="rId678" Type="http://schemas.openxmlformats.org/officeDocument/2006/relationships/hyperlink" Target="https://www.scopus.com/inward/record.uri?eid=2-s2.0-85129488169&amp;doi=10.1109%2FISFEE51261.2020.9756173&amp;partnerID=40&amp;md5=e343470f6009ddea9f3fb160365a551e" TargetMode="External"/><Relationship Id="rId679" Type="http://schemas.openxmlformats.org/officeDocument/2006/relationships/hyperlink" Target="https://www.scopus.com/inward/record.uri?eid=2-s2.0-85112590469&amp;doi=10.1109%2FIBIOMED50285.2020.9487632&amp;partnerID=40&amp;md5=1bc096f73eb0eccb28af4d109d03e836" TargetMode="External"/><Relationship Id="rId680" Type="http://schemas.openxmlformats.org/officeDocument/2006/relationships/hyperlink" Target="https://www.scopus.com/inward/record.uri?eid=2-s2.0-85090578965&amp;doi=10.1109%2FMWSCAS48704.2020.9184535&amp;partnerID=40&amp;md5=616df25b635e5610820a01d42a6f5f17" TargetMode="External"/><Relationship Id="rId681" Type="http://schemas.openxmlformats.org/officeDocument/2006/relationships/hyperlink" Target="https://www.scopus.com/inward/record.uri?eid=2-s2.0-85094324426&amp;partnerID=40&amp;md5=02a5d8d14cf0fcc41d9791808804f412" TargetMode="External"/><Relationship Id="rId682" Type="http://schemas.openxmlformats.org/officeDocument/2006/relationships/hyperlink" Target="https://www.scopus.com/inward/record.uri?eid=2-s2.0-85096491877&amp;doi=10.1007%2F978-3-030-62015-8_4&amp;partnerID=40&amp;md5=9b2db071119126ab363cd2abc5db8887" TargetMode="External"/><Relationship Id="rId683" Type="http://schemas.openxmlformats.org/officeDocument/2006/relationships/hyperlink" Target="https://www.scopus.com/inward/record.uri?eid=2-s2.0-85103685348&amp;doi=10.1109%2FUPCON50219.2020.9376417&amp;partnerID=40&amp;md5=a2127a7db0aaa143257351fb2880a1c2" TargetMode="External"/><Relationship Id="rId684" Type="http://schemas.openxmlformats.org/officeDocument/2006/relationships/hyperlink" Target="https://www.scopus.com/inward/record.uri?eid=2-s2.0-85089960273&amp;doi=10.1109%2FICOEI48184.2020.9143023&amp;partnerID=40&amp;md5=49a55f15ff1ab8c84d4a95aafdd85a84" TargetMode="External"/><Relationship Id="rId685" Type="http://schemas.openxmlformats.org/officeDocument/2006/relationships/hyperlink" Target="https://www.scopus.com/inward/record.uri?eid=2-s2.0-85087437903&amp;doi=10.1109%2FICICCS48265.2020.9121073&amp;partnerID=40&amp;md5=4e14ac39e2a689c74558d1ce29a9eff3" TargetMode="External"/><Relationship Id="rId686" Type="http://schemas.openxmlformats.org/officeDocument/2006/relationships/hyperlink" Target="https://www.scopus.com/inward/record.uri?eid=2-s2.0-85080864592&amp;doi=10.1007%2F978-3-030-36664-3_31&amp;partnerID=40&amp;md5=7c552b8cb7f154904126344d8c2d1bf1" TargetMode="External"/><Relationship Id="rId687" Type="http://schemas.openxmlformats.org/officeDocument/2006/relationships/hyperlink" Target="https://www.scopus.com/inward/record.uri?eid=2-s2.0-85086360117&amp;doi=10.1088%2F1742-6596%2F1494%2F1%2F012002&amp;partnerID=40&amp;md5=5789c0aae4d966b6edc96041b5bc343d" TargetMode="External"/><Relationship Id="rId688" Type="http://schemas.openxmlformats.org/officeDocument/2006/relationships/hyperlink" Target="https://www.scopus.com/inward/record.uri?eid=2-s2.0-85091039639&amp;doi=10.1109%2FEMBC44109.2020.9176003&amp;partnerID=40&amp;md5=7bbcdc2432c5796ee2cd04b7fff13b98" TargetMode="External"/><Relationship Id="rId689" Type="http://schemas.openxmlformats.org/officeDocument/2006/relationships/hyperlink" Target="https://www.scopus.com/inward/record.uri?eid=2-s2.0-85076849192&amp;doi=10.1007%2F978-981-15-0184-5_24&amp;partnerID=40&amp;md5=a9d863bba729c302ac8a38e9a1ea92c1" TargetMode="External"/><Relationship Id="rId690" Type="http://schemas.openxmlformats.org/officeDocument/2006/relationships/hyperlink" Target="https://www.scopus.com/inward/record.uri?eid=2-s2.0-85096757342&amp;doi=10.1109%2FIES50839.2020.9231728&amp;partnerID=40&amp;md5=d04de86831b8183dbef2891ada6ac6de" TargetMode="External"/><Relationship Id="rId691" Type="http://schemas.openxmlformats.org/officeDocument/2006/relationships/hyperlink" Target="https://www.scopus.com/inward/record.uri?eid=2-s2.0-85098201544&amp;doi=10.1007%2F978-3-030-64556-4_29&amp;partnerID=40&amp;md5=e7fa6c6592c96eb8291717bf3ef4097b" TargetMode="External"/><Relationship Id="rId692" Type="http://schemas.openxmlformats.org/officeDocument/2006/relationships/hyperlink" Target="https://www.scopus.com/inward/record.uri?eid=2-s2.0-85091968395&amp;doi=10.1109%2FCyberSecurity49315.2020.9138880&amp;partnerID=40&amp;md5=e2ee7b99c0a2991dab378130a59b4fae" TargetMode="External"/><Relationship Id="rId693" Type="http://schemas.openxmlformats.org/officeDocument/2006/relationships/hyperlink" Target="https://www.scopus.com/inward/record.uri?eid=2-s2.0-85087765306&amp;doi=10.1088%2F1742-6596%2F1566%2F1%2F012019&amp;partnerID=40&amp;md5=b31ae4ffaa430766f4a0caae7c910510" TargetMode="External"/><Relationship Id="rId694" Type="http://schemas.openxmlformats.org/officeDocument/2006/relationships/hyperlink" Target="https://www.scopus.com/inward/record.uri?eid=2-s2.0-85091709223&amp;doi=10.1109%2FISITIA49792.2020.9163708&amp;partnerID=40&amp;md5=ba7570c151e99dd5d964bd86226b0c8d" TargetMode="External"/><Relationship Id="rId695" Type="http://schemas.openxmlformats.org/officeDocument/2006/relationships/hyperlink" Target="https://www.scopus.com/inward/record.uri?eid=2-s2.0-85077782766&amp;doi=10.1007%2F978-3-030-33582-3_32&amp;partnerID=40&amp;md5=30e073e61bda576ba59caf899d4885df" TargetMode="External"/><Relationship Id="rId696" Type="http://schemas.openxmlformats.org/officeDocument/2006/relationships/hyperlink" Target="https://www.scopus.com/inward/record.uri?eid=2-s2.0-85096297786&amp;doi=10.1145%2F3418688.3418700&amp;partnerID=40&amp;md5=2cdf72a94484ddbe80cb33852c397e65" TargetMode="External"/><Relationship Id="rId697" Type="http://schemas.openxmlformats.org/officeDocument/2006/relationships/hyperlink" Target="https://www.scopus.com/inward/record.uri?eid=2-s2.0-85078448177&amp;doi=10.1007%2F978-981-15-1097-7_64&amp;partnerID=40&amp;md5=f4456affeda948f8ea03747b4e1d8992" TargetMode="External"/><Relationship Id="rId698" Type="http://schemas.openxmlformats.org/officeDocument/2006/relationships/hyperlink" Target="https://www.scopus.com/inward/record.uri?eid=2-s2.0-85096413077&amp;doi=10.1109%2FTENSYMP50017.2020.9230832&amp;partnerID=40&amp;md5=0c8fcb4f064496f6edde3c542c321d17" TargetMode="External"/><Relationship Id="rId699" Type="http://schemas.openxmlformats.org/officeDocument/2006/relationships/hyperlink" Target="https://www.scopus.com/inward/record.uri?eid=2-s2.0-85089777173&amp;doi=10.1109%2FICCSEA49143.2020.9132879&amp;partnerID=40&amp;md5=1c988341c5963aee55ec81dbb3279768" TargetMode="External"/><Relationship Id="rId700" Type="http://schemas.openxmlformats.org/officeDocument/2006/relationships/hyperlink" Target="https://www.scopus.com/inward/record.uri?eid=2-s2.0-85095983663&amp;doi=10.1109%2FGHTC46280.2020.9342871&amp;partnerID=40&amp;md5=b2a1167999b5014c4323171458517269" TargetMode="External"/><Relationship Id="rId701" Type="http://schemas.openxmlformats.org/officeDocument/2006/relationships/hyperlink" Target="https://www.scopus.com/inward/record.uri?eid=2-s2.0-85085515310&amp;doi=10.1007%2F978-981-15-1420-3_6&amp;partnerID=40&amp;md5=db6cac76b114912856101fe4cf16b43e" TargetMode="External"/><Relationship Id="rId702" Type="http://schemas.openxmlformats.org/officeDocument/2006/relationships/hyperlink" Target="https://www.scopus.com/inward/record.uri?eid=2-s2.0-85093120418&amp;doi=10.1007%2F978-3-030-60365-6_18&amp;partnerID=40&amp;md5=70fdd2f807d8970a910e4f3f3a74f291" TargetMode="External"/><Relationship Id="rId703" Type="http://schemas.openxmlformats.org/officeDocument/2006/relationships/hyperlink" Target="https://www.scopus.com/inward/record.uri?eid=2-s2.0-85083080980&amp;doi=10.1109%2FCCWC47524.2020.9031201&amp;partnerID=40&amp;md5=b4ec11143b5c390d54b58c3005025c91" TargetMode="External"/><Relationship Id="rId704" Type="http://schemas.openxmlformats.org/officeDocument/2006/relationships/hyperlink" Target="https://www.scopus.com/inward/record.uri?eid=2-s2.0-85088749501&amp;doi=10.1007%2F978-3-030-50334-5_4&amp;partnerID=40&amp;md5=148e3c6a2b5a8b08ce89bbea3b044259" TargetMode="External"/><Relationship Id="rId705" Type="http://schemas.openxmlformats.org/officeDocument/2006/relationships/hyperlink" Target="https://www.scopus.com/inward/record.uri?eid=2-s2.0-85099481885&amp;doi=10.1109%2FICSTCEE49637.2020.9277286&amp;partnerID=40&amp;md5=922d3414d401b8e17c12927466371443" TargetMode="External"/><Relationship Id="rId706" Type="http://schemas.openxmlformats.org/officeDocument/2006/relationships/hyperlink" Target="https://www.scopus.com/inward/record.uri?eid=2-s2.0-85076065345&amp;doi=10.5935%2Fabc.20190155&amp;partnerID=40&amp;md5=6238f88706d0517a841e5097711356dc" TargetMode="External"/><Relationship Id="rId707" Type="http://schemas.openxmlformats.org/officeDocument/2006/relationships/hyperlink" Target="https://www.scopus.com/inward/record.uri?eid=2-s2.0-85071222952&amp;doi=10.30534%2Fijatcse%2F2019%2F94832019&amp;partnerID=40&amp;md5=ca5eacd7272cdc631cc222a761f3ac08" TargetMode="External"/><Relationship Id="rId708" Type="http://schemas.openxmlformats.org/officeDocument/2006/relationships/hyperlink" Target="https://www.scopus.com/inward/record.uri?eid=2-s2.0-85071770137&amp;doi=10.1186%2Fs12916-019-1389-3&amp;partnerID=40&amp;md5=0529f7f52f932e450337770e90d40c76" TargetMode="External"/><Relationship Id="rId709" Type="http://schemas.openxmlformats.org/officeDocument/2006/relationships/hyperlink" Target="https://www.scopus.com/inward/record.uri?eid=2-s2.0-85141105729&amp;doi=10.21833%2Fijaas.2019.10.011&amp;partnerID=40&amp;md5=56d933190e0b6df8b5e3cc400a41cef8" TargetMode="External"/><Relationship Id="rId710" Type="http://schemas.openxmlformats.org/officeDocument/2006/relationships/hyperlink" Target="https://www.scopus.com/inward/record.uri?eid=2-s2.0-85074814452&amp;doi=10.22667%2FJOWUA.2019.06.30.037&amp;partnerID=40&amp;md5=3c342b1ff1378e5351b5c9200307c0b8" TargetMode="External"/><Relationship Id="rId711" Type="http://schemas.openxmlformats.org/officeDocument/2006/relationships/hyperlink" Target="https://www.scopus.com/inward/record.uri?eid=2-s2.0-85043527530&amp;doi=10.1016%2Fj.cegh.2018.03.001&amp;partnerID=40&amp;md5=af3898fda258b794a67ffdead03739b6" TargetMode="External"/><Relationship Id="rId712" Type="http://schemas.openxmlformats.org/officeDocument/2006/relationships/hyperlink" Target="https://www.scopus.com/inward/record.uri?eid=2-s2.0-85067979725&amp;doi=10.5958%2F0976-5506.2019.01209.9&amp;partnerID=40&amp;md5=fd87549da71d66cc0551d17d8699eb3b" TargetMode="External"/><Relationship Id="rId713" Type="http://schemas.openxmlformats.org/officeDocument/2006/relationships/hyperlink" Target="https://www.scopus.com/inward/record.uri?eid=2-s2.0-85073184126&amp;doi=10.1093%2Fjamia%2Focz112&amp;partnerID=40&amp;md5=ba9167ee14ce4b2603974ec7d03b9126" TargetMode="External"/><Relationship Id="rId714" Type="http://schemas.openxmlformats.org/officeDocument/2006/relationships/hyperlink" Target="https://www.scopus.com/inward/record.uri?eid=2-s2.0-85060099986&amp;doi=10.1016%2Fj.vetpar.2018.12.018&amp;partnerID=40&amp;md5=393a4875d58f1764c2c48c3eef880809" TargetMode="External"/><Relationship Id="rId715" Type="http://schemas.openxmlformats.org/officeDocument/2006/relationships/hyperlink" Target="https://www.scopus.com/inward/record.uri?eid=2-s2.0-85071372299&amp;doi=10.15252%2Femmm.201910431&amp;partnerID=40&amp;md5=5d348731ac93f656edb7e39a3e3adfe6" TargetMode="External"/><Relationship Id="rId716" Type="http://schemas.openxmlformats.org/officeDocument/2006/relationships/hyperlink" Target="https://www.scopus.com/inward/record.uri?eid=2-s2.0-85058407994&amp;doi=10.1016%2Fj.ejmech.2018.11.062&amp;partnerID=40&amp;md5=408341be36495f2627a8943e87c0f495" TargetMode="External"/><Relationship Id="rId717" Type="http://schemas.openxmlformats.org/officeDocument/2006/relationships/hyperlink" Target="https://www.scopus.com/inward/record.uri?eid=2-s2.0-85074958098&amp;doi=10.4081%2Fgh.2019.786&amp;partnerID=40&amp;md5=922adcfae978066d23723b0aaacfacd6" TargetMode="External"/><Relationship Id="rId718" Type="http://schemas.openxmlformats.org/officeDocument/2006/relationships/hyperlink" Target="https://www.scopus.com/inward/record.uri?eid=2-s2.0-85059800143&amp;doi=10.1016%2Fj.actatropica.2019.01.004&amp;partnerID=40&amp;md5=0b75313af2356cd0e0fccd5c14d813fc" TargetMode="External"/><Relationship Id="rId719" Type="http://schemas.openxmlformats.org/officeDocument/2006/relationships/hyperlink" Target="https://www.scopus.com/inward/record.uri?eid=2-s2.0-85073355538&amp;doi=10.35940%2Fijitee.I1131.0789S19&amp;partnerID=40&amp;md5=95965269c6413c54bf91c95711f4df76" TargetMode="External"/><Relationship Id="rId720" Type="http://schemas.openxmlformats.org/officeDocument/2006/relationships/hyperlink" Target="https://www.scopus.com/inward/record.uri?eid=2-s2.0-85075476143&amp;partnerID=40&amp;md5=3af1047aac55883fff13691f62de58a6" TargetMode="External"/><Relationship Id="rId721" Type="http://schemas.openxmlformats.org/officeDocument/2006/relationships/hyperlink" Target="https://www.scopus.com/inward/record.uri?eid=2-s2.0-85172405285&amp;doi=10.4314%2Fijbcs.v13i3.1&amp;partnerID=40&amp;md5=58dc1f4f767bc6d0d628cdeaa00832a5" TargetMode="External"/><Relationship Id="rId722" Type="http://schemas.openxmlformats.org/officeDocument/2006/relationships/hyperlink" Target="https://www.scopus.com/inward/record.uri?eid=2-s2.0-85076097119&amp;doi=10.1364%2FBOE.10.006351&amp;partnerID=40&amp;md5=5958bb89663f76f0f4ea887815af4263" TargetMode="External"/><Relationship Id="rId723" Type="http://schemas.openxmlformats.org/officeDocument/2006/relationships/hyperlink" Target="https://www.scopus.com/inward/record.uri?eid=2-s2.0-85072143238&amp;doi=10.1371%2Fjournal.pone.0222382&amp;partnerID=40&amp;md5=d5fe99dab5c479b3c5cdc03fb8e6648f" TargetMode="External"/><Relationship Id="rId724" Type="http://schemas.openxmlformats.org/officeDocument/2006/relationships/hyperlink" Target="https://www.scopus.com/inward/record.uri?eid=2-s2.0-85077159756&amp;doi=10.31449%2Finf.v43i1.1548&amp;partnerID=40&amp;md5=485b21e37d28ffa231281c63cc6941b6" TargetMode="External"/><Relationship Id="rId725" Type="http://schemas.openxmlformats.org/officeDocument/2006/relationships/hyperlink" Target="https://www.scopus.com/inward/record.uri?eid=2-s2.0-85072218798&amp;doi=10.1186%2Fs13071-019-3682-6&amp;partnerID=40&amp;md5=848df2f29f6c9793ebe9819b443263b1" TargetMode="External"/><Relationship Id="rId726" Type="http://schemas.openxmlformats.org/officeDocument/2006/relationships/hyperlink" Target="https://www.scopus.com/inward/record.uri?eid=2-s2.0-85073039729&amp;doi=10.5958%2F0976-5506.2019.00898.2&amp;partnerID=40&amp;md5=75f9ec8ef05eeb7609806a80fd967fdb" TargetMode="External"/><Relationship Id="rId727" Type="http://schemas.openxmlformats.org/officeDocument/2006/relationships/hyperlink" Target="https://www.scopus.com/inward/record.uri?eid=2-s2.0-85056329945&amp;doi=10.1111%2Fajt.15145&amp;partnerID=40&amp;md5=1256686b034058302dae0dd492d262c1" TargetMode="External"/><Relationship Id="rId728" Type="http://schemas.openxmlformats.org/officeDocument/2006/relationships/hyperlink" Target="https://www.scopus.com/inward/record.uri?eid=2-s2.0-85070894598&amp;doi=10.1007%2F978-981-13-2035-4_28&amp;partnerID=40&amp;md5=6fac5ac28102ccd848b287936b8a2924" TargetMode="External"/><Relationship Id="rId729" Type="http://schemas.openxmlformats.org/officeDocument/2006/relationships/hyperlink" Target="https://www.scopus.com/inward/record.uri?eid=2-s2.0-85078961171&amp;doi=10.1166%2Fjctn.2019.8570&amp;partnerID=40&amp;md5=345f99bf37bffab9c0fa8899b1d547e1" TargetMode="External"/><Relationship Id="rId730" Type="http://schemas.openxmlformats.org/officeDocument/2006/relationships/hyperlink" Target="https://www.scopus.com/inward/record.uri?eid=2-s2.0-85075395032&amp;partnerID=40&amp;md5=d3f39d7d26060b49b6990d62210e8218" TargetMode="External"/><Relationship Id="rId731" Type="http://schemas.openxmlformats.org/officeDocument/2006/relationships/hyperlink" Target="https://www.scopus.com/inward/record.uri?eid=2-s2.0-85067407983&amp;doi=10.1371%2Fjournal.pone.0218024&amp;partnerID=40&amp;md5=7a24d0847b1a5a65e5f4156682ce1139" TargetMode="External"/><Relationship Id="rId732" Type="http://schemas.openxmlformats.org/officeDocument/2006/relationships/hyperlink" Target="https://www.scopus.com/inward/record.uri?eid=2-s2.0-85075926985&amp;doi=10.1186%2Fs40249-019-0612-y&amp;partnerID=40&amp;md5=619d3a1ba188f6dcfd3b831dccaf9219" TargetMode="External"/><Relationship Id="rId733" Type="http://schemas.openxmlformats.org/officeDocument/2006/relationships/hyperlink" Target="https://www.scopus.com/inward/record.uri?eid=2-s2.0-85074959972&amp;doi=10.4081%2Fgh.2019.771&amp;partnerID=40&amp;md5=ff46709c0f61e61a5925d9b83c5a2c78" TargetMode="External"/><Relationship Id="rId734" Type="http://schemas.openxmlformats.org/officeDocument/2006/relationships/hyperlink" Target="https://www.scopus.com/inward/record.uri?eid=2-s2.0-85076474594&amp;doi=10.1093%2Fmilmed%2Fusz048&amp;partnerID=40&amp;md5=b93e87b1b56414f0d4fce1279f0c0630" TargetMode="External"/><Relationship Id="rId735" Type="http://schemas.openxmlformats.org/officeDocument/2006/relationships/hyperlink" Target="https://www.scopus.com/inward/record.uri?eid=2-s2.0-85068185382&amp;doi=10.1016%2Fj.biologicals.2019.06.007&amp;partnerID=40&amp;md5=38c0f7ea4152836c45cebb3615004cc7" TargetMode="External"/><Relationship Id="rId736" Type="http://schemas.openxmlformats.org/officeDocument/2006/relationships/hyperlink" Target="https://www.scopus.com/inward/record.uri?eid=2-s2.0-85096614450&amp;doi=10.1016%2FB978-0-12-818004-4.00005-4&amp;partnerID=40&amp;md5=58b6236179c891669a0fedc2a04774fb" TargetMode="External"/><Relationship Id="rId737" Type="http://schemas.openxmlformats.org/officeDocument/2006/relationships/hyperlink" Target="https://www.scopus.com/inward/record.uri?eid=2-s2.0-85060255005&amp;doi=10.1007%2F978-3-030-00665-5_5&amp;partnerID=40&amp;md5=3b6b5cd8b364d2aa5b3c00f5095d4e0a" TargetMode="External"/><Relationship Id="rId738" Type="http://schemas.openxmlformats.org/officeDocument/2006/relationships/hyperlink" Target="https://www.scopus.com/inward/record.uri?eid=2-s2.0-85068391764&amp;doi=10.1109%2FICEDEG.2019.8734354&amp;partnerID=40&amp;md5=629c5a3e0ae36b65673c6125a25c1f18" TargetMode="External"/><Relationship Id="rId739" Type="http://schemas.openxmlformats.org/officeDocument/2006/relationships/hyperlink" Target="https://www.scopus.com/inward/record.uri?eid=2-s2.0-85083095877&amp;doi=10.1109%2FLA-CCI47412.2019.9037029&amp;partnerID=40&amp;md5=efb836f12a3969ba08b7a89659741c65" TargetMode="External"/><Relationship Id="rId740" Type="http://schemas.openxmlformats.org/officeDocument/2006/relationships/hyperlink" Target="https://www.scopus.com/inward/record.uri?eid=2-s2.0-85062778682&amp;doi=10.1109%2FIECBES.2018.8626669&amp;partnerID=40&amp;md5=fdddd843baf869ef18509450852c2705" TargetMode="External"/><Relationship Id="rId741" Type="http://schemas.openxmlformats.org/officeDocument/2006/relationships/hyperlink" Target="https://www.scopus.com/inward/record.uri?eid=2-s2.0-85070588431&amp;doi=10.1007%2F978-3-030-26630-1_5&amp;partnerID=40&amp;md5=051c54529cd800bc74325d35688b85c7" TargetMode="External"/><Relationship Id="rId742" Type="http://schemas.openxmlformats.org/officeDocument/2006/relationships/hyperlink" Target="https://www.scopus.com/inward/record.uri?eid=2-s2.0-85083081417&amp;doi=10.1109%2FICOICE48418.2019.9035166&amp;partnerID=40&amp;md5=f2e92c69150256362307c5697a673020" TargetMode="External"/><Relationship Id="rId743" Type="http://schemas.openxmlformats.org/officeDocument/2006/relationships/hyperlink" Target="https://www.scopus.com/inward/record.uri?eid=2-s2.0-85082381765&amp;doi=10.1109%2FTIMES-iCON47539.2019.9024438&amp;partnerID=40&amp;md5=2c28ec411b288f220eb7c9df10a2aaa2" TargetMode="External"/><Relationship Id="rId744" Type="http://schemas.openxmlformats.org/officeDocument/2006/relationships/hyperlink" Target="https://www.scopus.com/inward/record.uri?eid=2-s2.0-85065912964&amp;doi=10.1109%2FSAS.2019.8705968&amp;partnerID=40&amp;md5=8f3ca1088ea7ea56f62be665332b7cdd" TargetMode="External"/><Relationship Id="rId745" Type="http://schemas.openxmlformats.org/officeDocument/2006/relationships/hyperlink" Target="https://www.scopus.com/inward/record.uri?eid=2-s2.0-85058271601&amp;doi=10.1007%2F978-981-13-2673-8_1&amp;partnerID=40&amp;md5=838d2cea8f4581a13e87b731cf18a760" TargetMode="External"/><Relationship Id="rId746" Type="http://schemas.openxmlformats.org/officeDocument/2006/relationships/hyperlink" Target="https://www.scopus.com/inward/record.uri?eid=2-s2.0-85067827432&amp;doi=10.1088%2F1742-6596%2F1175%2F1%2F012065&amp;partnerID=40&amp;md5=c288d48f974675bebee57bab64e3aa13" TargetMode="External"/><Relationship Id="rId747" Type="http://schemas.openxmlformats.org/officeDocument/2006/relationships/hyperlink" Target="https://www.scopus.com/inward/record.uri?eid=2-s2.0-85089227969&amp;doi=10.1145%2F3375959.3375970&amp;partnerID=40&amp;md5=77ad44e2a56bca949e62859a31049958" TargetMode="External"/><Relationship Id="rId748" Type="http://schemas.openxmlformats.org/officeDocument/2006/relationships/hyperlink" Target="https://www.scopus.com/inward/record.uri?eid=2-s2.0-85084377268&amp;doi=10.1109%2FISAECT47714.2019.9069724&amp;partnerID=40&amp;md5=f798ccb57e4e003249e50bad8e4e12a4" TargetMode="External"/><Relationship Id="rId749" Type="http://schemas.openxmlformats.org/officeDocument/2006/relationships/hyperlink" Target="https://www.scopus.com/inward/record.uri?eid=2-s2.0-85087178548&amp;doi=10.3850%2F38WC092019-1883&amp;partnerID=40&amp;md5=231071f67f51fa034be0ecd70984eecf" TargetMode="External"/><Relationship Id="rId750" Type="http://schemas.openxmlformats.org/officeDocument/2006/relationships/hyperlink" Target="https://www.scopus.com/inward/record.uri?eid=2-s2.0-85074325339&amp;doi=10.1109%2FICECCT.2019.8869103&amp;partnerID=40&amp;md5=9ba20a76e1b3c50154d0244d834dc0f1" TargetMode="External"/><Relationship Id="rId751" Type="http://schemas.openxmlformats.org/officeDocument/2006/relationships/hyperlink" Target="https://www.scopus.com/inward/record.uri?eid=2-s2.0-85076890187&amp;doi=10.1007%2F978-981-15-1925-3_34&amp;partnerID=40&amp;md5=4875e0bff89bbd3a22b1aba266bea645" TargetMode="External"/><Relationship Id="rId752" Type="http://schemas.openxmlformats.org/officeDocument/2006/relationships/hyperlink" Target="https://www.scopus.com/inward/record.uri?eid=2-s2.0-85076862463&amp;doi=10.1145%2F3371238.3371273&amp;partnerID=40&amp;md5=6338491d25de69157cd3e11256c72240" TargetMode="External"/><Relationship Id="rId753" Type="http://schemas.openxmlformats.org/officeDocument/2006/relationships/hyperlink" Target="https://www.scopus.com/inward/record.uri?eid=2-s2.0-85091624012&amp;partnerID=40&amp;md5=285b3e482fa6f7ddbe739d458c75aab0" TargetMode="External"/><Relationship Id="rId754" Type="http://schemas.openxmlformats.org/officeDocument/2006/relationships/hyperlink" Target="https://www.scopus.com/inward/record.uri?eid=2-s2.0-85082240416&amp;doi=10.1109%2FComComAp46287.2019.9018770&amp;partnerID=40&amp;md5=85d246c190e9709470b9cfc3bd8c45a8" TargetMode="External"/><Relationship Id="rId755" Type="http://schemas.openxmlformats.org/officeDocument/2006/relationships/hyperlink" Target="https://www.scopus.com/inward/record.uri?eid=2-s2.0-85081543542&amp;doi=10.1109%2FICICT47744.2019.9001959&amp;partnerID=40&amp;md5=04a67d70a9c13cb0ada63d89b0eb3793" TargetMode="External"/><Relationship Id="rId756" Type="http://schemas.openxmlformats.org/officeDocument/2006/relationships/hyperlink" Target="https://www.scopus.com/inward/record.uri?eid=2-s2.0-85075230962&amp;doi=10.1007%2F978-981-15-0108-1_3&amp;partnerID=40&amp;md5=43c2cd763f469f74b842923258e5813c" TargetMode="External"/><Relationship Id="rId757" Type="http://schemas.openxmlformats.org/officeDocument/2006/relationships/hyperlink" Target="https://www.scopus.com/inward/record.uri?eid=2-s2.0-85079280685&amp;doi=10.1109%2FICCT46177.2019.8969046&amp;partnerID=40&amp;md5=494f6da580fe510a5df7510173e5c2df" TargetMode="External"/><Relationship Id="rId758" Type="http://schemas.openxmlformats.org/officeDocument/2006/relationships/hyperlink" Target="https://www.scopus.com/inward/record.uri?eid=2-s2.0-85084075173&amp;doi=10.1109%2FBECITHCON48839.2019.9063179&amp;partnerID=40&amp;md5=46395445bbb6e1b822ed5966ad0c1a9a" TargetMode="External"/><Relationship Id="rId759" Type="http://schemas.openxmlformats.org/officeDocument/2006/relationships/hyperlink" Target="https://www.scopus.com/inward/record.uri?eid=2-s2.0-85090214595&amp;doi=10.1109%2FICETAS48360.2019.9117446&amp;partnerID=40&amp;md5=c78ddf2a18f34457079f08fc7c24d443" TargetMode="External"/><Relationship Id="rId760" Type="http://schemas.openxmlformats.org/officeDocument/2006/relationships/hyperlink" Target="https://www.scopus.com/inward/record.uri?eid=2-s2.0-85076095921&amp;doi=10.1007%2F978-3-030-31321-0_21&amp;partnerID=40&amp;md5=dbe7a82a2fa5b43f0dc3acf37ca59366" TargetMode="External"/><Relationship Id="rId761" Type="http://schemas.openxmlformats.org/officeDocument/2006/relationships/hyperlink" Target="https://www.scopus.com/inward/record.uri?eid=2-s2.0-85078861766&amp;doi=10.1145%2F3341161.3343694&amp;partnerID=40&amp;md5=d183e3f96ecee73548aceca91e43c2d4" TargetMode="External"/><Relationship Id="rId762" Type="http://schemas.openxmlformats.org/officeDocument/2006/relationships/hyperlink" Target="https://www.scopus.com/inward/record.uri?eid=2-s2.0-85090825075&amp;doi=10.1109%2FAIPR47015.2019.9174565&amp;partnerID=40&amp;md5=11a5ec25f5174dc82e0a432c0fd4222a" TargetMode="External"/><Relationship Id="rId763" Type="http://schemas.openxmlformats.org/officeDocument/2006/relationships/hyperlink" Target="https://www.scopus.com/inward/record.uri?eid=2-s2.0-85076490083&amp;doi=10.1088%2F1742-6596%2F1372%2F1%2F012064&amp;partnerID=40&amp;md5=619a72ddd2804e71f901b2a30aa1b74d" TargetMode="External"/><Relationship Id="rId764" Type="http://schemas.openxmlformats.org/officeDocument/2006/relationships/hyperlink" Target="https://www.scopus.com/inward/record.uri?eid=2-s2.0-85088374262&amp;doi=10.1109%2FAFRICON46755.2019.9133937&amp;partnerID=40&amp;md5=3a0675c359f9bd4e0e355cb62f184ad8" TargetMode="External"/><Relationship Id="rId765" Type="http://schemas.openxmlformats.org/officeDocument/2006/relationships/hyperlink" Target="https://www.scopus.com/inward/record.uri?eid=2-s2.0-85075683656&amp;doi=10.1007%2F978-3-030-32692-0_9&amp;partnerID=40&amp;md5=ee5d6026458014fe7b99c0c81d046d19" TargetMode="External"/><Relationship Id="rId766" Type="http://schemas.openxmlformats.org/officeDocument/2006/relationships/hyperlink" Target="https://www.scopus.com/inward/record.uri?eid=2-s2.0-85076117149&amp;doi=10.1007%2F978-3-030-31332-6_35&amp;partnerID=40&amp;md5=abcb73f9260359b887178ba00a8b47c2" TargetMode="External"/><Relationship Id="rId767" Type="http://schemas.openxmlformats.org/officeDocument/2006/relationships/hyperlink" Target="https://www.scopus.com/inward/record.uri?eid=2-s2.0-85078327540&amp;partnerID=40&amp;md5=2d0318e2dd90fd8036d77bf6b4521f4c" TargetMode="External"/><Relationship Id="rId768" Type="http://schemas.openxmlformats.org/officeDocument/2006/relationships/hyperlink" Target="https://www.scopus.com/inward/record.uri?eid=2-s2.0-85065556797&amp;doi=10.1109%2FICCSP.2019.8697909&amp;partnerID=40&amp;md5=7c143a259057588c1d76f79d7e848da2" TargetMode="External"/><Relationship Id="rId769" Type="http://schemas.openxmlformats.org/officeDocument/2006/relationships/hyperlink" Target="https://www.scopus.com/inward/record.uri?eid=2-s2.0-85064337314&amp;doi=10.1109%2FCITSM.2018.8674364&amp;partnerID=40&amp;md5=65110d78907d0d0390e3680018164bd2" TargetMode="External"/><Relationship Id="rId770" Type="http://schemas.openxmlformats.org/officeDocument/2006/relationships/hyperlink" Target="https://www.scopus.com/inward/record.uri?eid=2-s2.0-85072844219&amp;doi=10.1109%2FI2MTC.2019.8826860&amp;partnerID=40&amp;md5=105b7b74b807f05fb29bbee337ae59e2" TargetMode="External"/><Relationship Id="rId771" Type="http://schemas.openxmlformats.org/officeDocument/2006/relationships/hyperlink" Target="https://www.scopus.com/inward/record.uri?eid=2-s2.0-85069494889&amp;partnerID=40&amp;md5=9ec4e765439bea90b768f53f239b2993" TargetMode="External"/><Relationship Id="rId772" Type="http://schemas.openxmlformats.org/officeDocument/2006/relationships/hyperlink" Target="https://www.scopus.com/inward/record.uri?eid=2-s2.0-85076611670&amp;doi=10.1145%2F3357729.3357738&amp;partnerID=40&amp;md5=30b26a7ad421a4f8d9d812a9193e3014" TargetMode="External"/><Relationship Id="rId773" Type="http://schemas.openxmlformats.org/officeDocument/2006/relationships/hyperlink" Target="https://www.scopus.com/inward/record.uri?eid=2-s2.0-85046454010&amp;partnerID=40&amp;md5=6c418e111e6ce87b39d1350f69da9264" TargetMode="External"/><Relationship Id="rId774" Type="http://schemas.openxmlformats.org/officeDocument/2006/relationships/hyperlink" Target="https://www.scopus.com/inward/record.uri?eid=2-s2.0-85045136243&amp;doi=10.1186%2Fs12936-018-2294-5&amp;partnerID=40&amp;md5=1f4338750c9152c43d64aca6555d79bd" TargetMode="External"/><Relationship Id="rId775" Type="http://schemas.openxmlformats.org/officeDocument/2006/relationships/hyperlink" Target="https://www.scopus.com/inward/record.uri?eid=2-s2.0-85047089917&amp;doi=10.1016%2Fj.talanta.2018.04.086&amp;partnerID=40&amp;md5=21d12df9a033862df04f5fcf8d8380de" TargetMode="External"/><Relationship Id="rId776" Type="http://schemas.openxmlformats.org/officeDocument/2006/relationships/hyperlink" Target="https://www.scopus.com/inward/record.uri?eid=2-s2.0-85050645086&amp;doi=10.1093%2Fjn%2Fnxx052&amp;partnerID=40&amp;md5=7002361cfbd0ee2e871c3c39721c737e" TargetMode="External"/><Relationship Id="rId777" Type="http://schemas.openxmlformats.org/officeDocument/2006/relationships/hyperlink" Target="https://www.scopus.com/inward/record.uri?eid=2-s2.0-85060778665&amp;doi=10.3390%2Ftropicalmed3010005&amp;partnerID=40&amp;md5=841409c40b19497da5965585f131ed3d" TargetMode="External"/><Relationship Id="rId778" Type="http://schemas.openxmlformats.org/officeDocument/2006/relationships/hyperlink" Target="https://www.scopus.com/inward/record.uri?eid=2-s2.0-85044388649&amp;doi=10.3233%2FIDT-180330&amp;partnerID=40&amp;md5=467e1a1e26e6bf9d4b3a065d4714d78a" TargetMode="External"/><Relationship Id="rId779" Type="http://schemas.openxmlformats.org/officeDocument/2006/relationships/hyperlink" Target="https://www.scopus.com/inward/record.uri?eid=2-s2.0-85044268576&amp;doi=10.1097%2FPCC.0000000000001411&amp;partnerID=40&amp;md5=9f4b5498e64a11ec972588444fd7c7ce" TargetMode="External"/><Relationship Id="rId780" Type="http://schemas.openxmlformats.org/officeDocument/2006/relationships/hyperlink" Target="http://creativecommons.org/licenses/by/4.0/" TargetMode="External"/><Relationship Id="rId781" Type="http://schemas.openxmlformats.org/officeDocument/2006/relationships/hyperlink" Target="https://www.scopus.com/inward/record.uri?eid=2-s2.0-85047854976&amp;doi=10.1371%2Fjournal.pntd.0006485&amp;partnerID=40&amp;md5=556248050e719dd34c2e338eb08a0181" TargetMode="External"/><Relationship Id="rId782" Type="http://schemas.openxmlformats.org/officeDocument/2006/relationships/hyperlink" Target="https://www.scopus.com/inward/record.uri?eid=2-s2.0-85078044463&amp;doi=10.1007%2Fs13755-018-0047-z&amp;partnerID=40&amp;md5=439e06d085b678b92e4869000a30c824" TargetMode="External"/><Relationship Id="rId783" Type="http://schemas.openxmlformats.org/officeDocument/2006/relationships/hyperlink" Target="https://www.scopus.com/inward/record.uri?eid=2-s2.0-85044373255&amp;doi=10.1371%2Fjournal.pntd.0006262&amp;partnerID=40&amp;md5=34f69357bbe32a27439e5fc7f2592f4b" TargetMode="External"/><Relationship Id="rId784" Type="http://schemas.openxmlformats.org/officeDocument/2006/relationships/hyperlink" Target="https://www.scopus.com/inward/record.uri?eid=2-s2.0-85056124929&amp;doi=10.4066%2Fbiomedicalresearch.29-18-970&amp;partnerID=40&amp;md5=c62d318563783f8cef46fcd73bd60a46" TargetMode="External"/><Relationship Id="rId785" Type="http://schemas.openxmlformats.org/officeDocument/2006/relationships/hyperlink" Target="https://www.scopus.com/inward/record.uri?eid=2-s2.0-85034114814&amp;doi=10.1002%2Fjbio.201700003&amp;partnerID=40&amp;md5=3d1173ed1b3acc1df8d631248d9d84d7" TargetMode="External"/><Relationship Id="rId786" Type="http://schemas.openxmlformats.org/officeDocument/2006/relationships/hyperlink" Target="https://www.scopus.com/inward/record.uri?eid=2-s2.0-85080997152&amp;doi=10.5958%2F0974-360X.2018.00805.3&amp;partnerID=40&amp;md5=a9eff0b3c7b6eea42cddd4d95215acce" TargetMode="External"/><Relationship Id="rId787" Type="http://schemas.openxmlformats.org/officeDocument/2006/relationships/hyperlink" Target="https://www.scopus.com/inward/record.uri?eid=2-s2.0-85046543189&amp;doi=10.1007%2Fs10916-018-0962-1&amp;partnerID=40&amp;md5=85d8b0fdf7ac779ca30e70d0890f7fe6" TargetMode="External"/><Relationship Id="rId788" Type="http://schemas.openxmlformats.org/officeDocument/2006/relationships/hyperlink" Target="https://www.scopus.com/inward/record.uri?eid=2-s2.0-85034846787&amp;doi=10.1016%2Fj.cmi.2017.10.019&amp;partnerID=40&amp;md5=f280c2980745537b1a53e6cbf26de37c" TargetMode="External"/><Relationship Id="rId789" Type="http://schemas.openxmlformats.org/officeDocument/2006/relationships/hyperlink" Target="https://www.scopus.com/inward/record.uri?eid=2-s2.0-85126702785&amp;doi=10.1007%2Fs13755-018-0059-8&amp;partnerID=40&amp;md5=5423e8b6b6a0e8535658390b1ad9bf4d" TargetMode="External"/><Relationship Id="rId790" Type="http://schemas.openxmlformats.org/officeDocument/2006/relationships/hyperlink" Target="https://www.scopus.com/inward/record.uri?eid=2-s2.0-85015162185&amp;doi=10.1007%2Fs00521-017-2937-4&amp;partnerID=40&amp;md5=a00663e3c6bb1fd0cf8a746e2a89f2d5" TargetMode="External"/><Relationship Id="rId791" Type="http://schemas.openxmlformats.org/officeDocument/2006/relationships/hyperlink" Target="https://www.scopus.com/inward/record.uri?eid=2-s2.0-85040196971&amp;doi=10.1002%2Fjemt.22985&amp;partnerID=40&amp;md5=cd14d567b09d40c1c77982e530e7b8ce" TargetMode="External"/><Relationship Id="rId792" Type="http://schemas.openxmlformats.org/officeDocument/2006/relationships/hyperlink" Target="https://www.scopus.com/inward/record.uri?eid=2-s2.0-85044176475&amp;doi=10.1186%2Fs12942-018-0128-x&amp;partnerID=40&amp;md5=6a7a78fc9522b66f310e34e6e352f510" TargetMode="External"/><Relationship Id="rId793" Type="http://schemas.openxmlformats.org/officeDocument/2006/relationships/hyperlink" Target="https://www.scopus.com/inward/record.uri?eid=2-s2.0-85072067501&amp;doi=10.3390%2Ftropicalmed3040105&amp;partnerID=40&amp;md5=e187c656d24cbccfb6036c86123ca25b" TargetMode="External"/><Relationship Id="rId794" Type="http://schemas.openxmlformats.org/officeDocument/2006/relationships/hyperlink" Target="https://www.scopus.com/inward/record.uri?eid=2-s2.0-85041721543&amp;doi=10.5958%2F0976-5506.2018.00045.1&amp;partnerID=40&amp;md5=b79ee1797483c00d07e7d29efdd14beb" TargetMode="External"/><Relationship Id="rId795" Type="http://schemas.openxmlformats.org/officeDocument/2006/relationships/hyperlink" Target="https://www.scopus.com/inward/record.uri?eid=2-s2.0-85058824984&amp;doi=10.1117%2F1.JMI.5.4.044506&amp;partnerID=40&amp;md5=b8bb061f11f6389f48d9fb3e6f32335d" TargetMode="External"/><Relationship Id="rId796" Type="http://schemas.openxmlformats.org/officeDocument/2006/relationships/hyperlink" Target="https://www.scopus.com/inward/record.uri?eid=2-s2.0-85041309278&amp;doi=10.3389%2Ffbioe.2017.00084&amp;partnerID=40&amp;md5=3557cee67de4411250d4b235af645269" TargetMode="External"/><Relationship Id="rId797" Type="http://schemas.openxmlformats.org/officeDocument/2006/relationships/hyperlink" Target="https://www.scopus.com/inward/record.uri?eid=2-s2.0-85043583439&amp;doi=10.4103%2Fsni.sni_297_17&amp;partnerID=40&amp;md5=b46d9ad266f8967ace81b1de445e0d95" TargetMode="External"/><Relationship Id="rId798" Type="http://schemas.openxmlformats.org/officeDocument/2006/relationships/hyperlink" Target="https://www.scopus.com/inward/record.uri?eid=2-s2.0-85062721372&amp;doi=10.1186%2Fs40488-018-0086-7&amp;partnerID=40&amp;md5=c57d945c4c8c2bbc26df4cd42ed9936a" TargetMode="External"/><Relationship Id="rId799" Type="http://schemas.openxmlformats.org/officeDocument/2006/relationships/hyperlink" Target="https://www.scopus.com/inward/record.uri?eid=2-s2.0-85062430199&amp;doi=10.4103%2FJPN.JPN_15_18&amp;partnerID=40&amp;md5=e6b002c826e0c4f751fa88f6be2b6f56" TargetMode="External"/><Relationship Id="rId800" Type="http://schemas.openxmlformats.org/officeDocument/2006/relationships/hyperlink" Target="https://www.scopus.com/inward/record.uri?eid=2-s2.0-85053409235&amp;doi=10.1039%2Fc8an01374h&amp;partnerID=40&amp;md5=87f1bb36f808b50b5ea22752f1e62281" TargetMode="External"/><Relationship Id="rId801" Type="http://schemas.openxmlformats.org/officeDocument/2006/relationships/hyperlink" Target="https://www.scopus.com/inward/record.uri?eid=2-s2.0-85050977874&amp;doi=10.3390%2Fijerph15081596&amp;partnerID=40&amp;md5=987799957f8a9b686eef36f9d1b666ad" TargetMode="External"/><Relationship Id="rId802" Type="http://schemas.openxmlformats.org/officeDocument/2006/relationships/hyperlink" Target="https://www.scopus.com/inward/record.uri?eid=2-s2.0-85052961566&amp;doi=10.1142%2FS1469026818500128&amp;partnerID=40&amp;md5=7a5a51e2bd68ed4fe4b655d81ddb58d9" TargetMode="External"/><Relationship Id="rId803" Type="http://schemas.openxmlformats.org/officeDocument/2006/relationships/hyperlink" Target="https://www.scopus.com/inward/record.uri?eid=2-s2.0-85070318884&amp;doi=10.4314%2Fnjpar.v39i2.7&amp;partnerID=40&amp;md5=64e546d2df123242e3a57c22e451896e" TargetMode="External"/><Relationship Id="rId804" Type="http://schemas.openxmlformats.org/officeDocument/2006/relationships/hyperlink" Target="https://www.scopus.com/inward/record.uri?eid=2-s2.0-85032941789&amp;doi=10.1007%2Fs10554-017-1266-0&amp;partnerID=40&amp;md5=028eee6732a0f038e68b18ec2c38a1d9" TargetMode="External"/><Relationship Id="rId805" Type="http://schemas.openxmlformats.org/officeDocument/2006/relationships/hyperlink" Target="https://www.scopus.com/inward/record.uri?eid=2-s2.0-85055665055&amp;doi=10.21037%2Fjtd.2018.07.78&amp;partnerID=40&amp;md5=3d9a693408214c6221ed7db78b3ae77a" TargetMode="External"/><Relationship Id="rId806" Type="http://schemas.openxmlformats.org/officeDocument/2006/relationships/hyperlink" Target="https://www.scopus.com/inward/record.uri?eid=2-s2.0-85030863640&amp;doi=10.1016%2Fj.neunet.2017.09.002&amp;partnerID=40&amp;md5=26c523926082719558e4926d61215bf1" TargetMode="External"/><Relationship Id="rId807" Type="http://schemas.openxmlformats.org/officeDocument/2006/relationships/hyperlink" Target="https://www.scopus.com/inward/record.uri?eid=2-s2.0-85045433038&amp;doi=10.4269%2Fajtmh.17-0637&amp;partnerID=40&amp;md5=6af1f1f9a0dc50e33bea2a8d4bc275a0" TargetMode="External"/><Relationship Id="rId808" Type="http://schemas.openxmlformats.org/officeDocument/2006/relationships/hyperlink" Target="https://www.scopus.com/inward/record.uri?eid=2-s2.0-85043503884&amp;doi=10.4269%2Fajtmh.17-0728&amp;partnerID=40&amp;md5=2f82d325295495e9a6e5871005a11fb7" TargetMode="External"/><Relationship Id="rId809" Type="http://schemas.openxmlformats.org/officeDocument/2006/relationships/hyperlink" Target="https://www.scopus.com/inward/record.uri?eid=2-s2.0-85051702358&amp;doi=10.1002%2Fajpa.23479&amp;partnerID=40&amp;md5=6e64cb319e86a7c3ef360d6f285e662c" TargetMode="External"/><Relationship Id="rId810" Type="http://schemas.openxmlformats.org/officeDocument/2006/relationships/hyperlink" Target="https://www.scopus.com/inward/record.uri?eid=2-s2.0-85037563667&amp;doi=10.1016%2Fj.artmed.2017.12.002&amp;partnerID=40&amp;md5=90c53c16b63d0a70ffabe1b68dc90ff1" TargetMode="External"/><Relationship Id="rId811" Type="http://schemas.openxmlformats.org/officeDocument/2006/relationships/hyperlink" Target="https://www.scopus.com/inward/record.uri?eid=2-s2.0-85045874948&amp;doi=10.4018%2FIJHISI.2018070101&amp;partnerID=40&amp;md5=8400a622c6f83d811b9702efcece3903" TargetMode="External"/><Relationship Id="rId812" Type="http://schemas.openxmlformats.org/officeDocument/2006/relationships/hyperlink" Target="https://www.scopus.com/inward/record.uri?eid=2-s2.0-85049657614&amp;doi=10.4269%2Fajtmh.18-0135&amp;partnerID=40&amp;md5=1e929a797086637ce54a0e5b6120f13c" TargetMode="External"/><Relationship Id="rId813" Type="http://schemas.openxmlformats.org/officeDocument/2006/relationships/hyperlink" Target="https://www.scopus.com/inward/record.uri?eid=2-s2.0-85044538905&amp;doi=10.1016%2Fj.jbi.2018.02.014&amp;partnerID=40&amp;md5=6386048f778ba8373a400b28d3b48e3c" TargetMode="External"/><Relationship Id="rId814" Type="http://schemas.openxmlformats.org/officeDocument/2006/relationships/hyperlink" Target="https://www.scopus.com/inward/record.uri?eid=2-s2.0-85056256725&amp;doi=10.1371%2Fjournal.pone.0206926&amp;partnerID=40&amp;md5=5ad7544a28c93af99b5bcf210cfbf3f3" TargetMode="External"/><Relationship Id="rId815" Type="http://schemas.openxmlformats.org/officeDocument/2006/relationships/hyperlink" Target="https://www.scopus.com/inward/record.uri?eid=2-s2.0-85050652206&amp;doi=10.1117%2F1.JMI.5.3.034501&amp;partnerID=40&amp;md5=43ddebb6c05f590b6caaba8c64aefefb" TargetMode="External"/><Relationship Id="rId816" Type="http://schemas.openxmlformats.org/officeDocument/2006/relationships/hyperlink" Target="https://www.scopus.com/inward/record.uri?eid=2-s2.0-85042861366&amp;doi=10.1016%2Fj.actatropica.2018.02.029&amp;partnerID=40&amp;md5=3696947aa5bffd1355793900c66e8898" TargetMode="External"/><Relationship Id="rId817" Type="http://schemas.openxmlformats.org/officeDocument/2006/relationships/hyperlink" Target="https://www.scopus.com/inward/record.uri?eid=2-s2.0-85045153768&amp;doi=10.1007%2F978-981-10-7200-0_35&amp;partnerID=40&amp;md5=bced9e3921baac3899cfdb868ac25e20" TargetMode="External"/><Relationship Id="rId818" Type="http://schemas.openxmlformats.org/officeDocument/2006/relationships/hyperlink" Target="https://www.scopus.com/inward/record.uri?eid=2-s2.0-85051169681&amp;partnerID=40&amp;md5=cb54a7ac042ce2691778478194cf2055" TargetMode="External"/><Relationship Id="rId819" Type="http://schemas.openxmlformats.org/officeDocument/2006/relationships/hyperlink" Target="https://www.scopus.com/inward/record.uri?eid=2-s2.0-85043586258&amp;doi=10.1007%2F978-3-319-75420-8_45&amp;partnerID=40&amp;md5=67a34456d7eb1d4c67d6102915646134" TargetMode="External"/><Relationship Id="rId820" Type="http://schemas.openxmlformats.org/officeDocument/2006/relationships/hyperlink" Target="https://www.scopus.com/inward/record.uri?eid=2-s2.0-85074202925&amp;doi=10.1109%2FISRITI.2018.8864475&amp;partnerID=40&amp;md5=6772130876c28111bfcf66028e8e373f" TargetMode="External"/><Relationship Id="rId821" Type="http://schemas.openxmlformats.org/officeDocument/2006/relationships/hyperlink" Target="https://www.scopus.com/inward/record.uri?eid=2-s2.0-85059079021&amp;doi=10.1007%2F978-3-030-05918-7_12&amp;partnerID=40&amp;md5=345a7ae24cb40ab220ab1e43b080e717" TargetMode="External"/><Relationship Id="rId822" Type="http://schemas.openxmlformats.org/officeDocument/2006/relationships/hyperlink" Target="https://www.scopus.com/inward/record.uri?eid=2-s2.0-85053557708&amp;doi=10.1109%2FSNPD.2018.8441095&amp;partnerID=40&amp;md5=df3af24d1242d34e082dd65cf4465fc2" TargetMode="External"/><Relationship Id="rId823" Type="http://schemas.openxmlformats.org/officeDocument/2006/relationships/hyperlink" Target="https://www.scopus.com/inward/record.uri?eid=2-s2.0-85057089239&amp;doi=10.1007%2F978-3-030-03928-8_15&amp;partnerID=40&amp;md5=eb0deb2a1d840b5ff71ebabd700ffa29" TargetMode="External"/><Relationship Id="rId824" Type="http://schemas.openxmlformats.org/officeDocument/2006/relationships/hyperlink" Target="https://www.scopus.com/inward/record.uri?eid=2-s2.0-85070553311&amp;doi=10.1109%2FICACCAF.2018.8776790&amp;partnerID=40&amp;md5=0aa9f9fbdb5133247121444f9e61a4d2" TargetMode="External"/><Relationship Id="rId825" Type="http://schemas.openxmlformats.org/officeDocument/2006/relationships/hyperlink" Target="https://www.scopus.com/inward/record.uri?eid=2-s2.0-85064512903&amp;doi=10.1145%2F3293614.3293640&amp;partnerID=40&amp;md5=d568f2b428a7fb73737542c15967d88a" TargetMode="External"/><Relationship Id="rId826" Type="http://schemas.openxmlformats.org/officeDocument/2006/relationships/hyperlink" Target="https://www.scopus.com/inward/record.uri?eid=2-s2.0-85057340148&amp;doi=10.3233%2F978-1-61499-927-0-465&amp;partnerID=40&amp;md5=d1ba6ebd060891cc8bc417dd55d2240c" TargetMode="External"/><Relationship Id="rId827" Type="http://schemas.openxmlformats.org/officeDocument/2006/relationships/hyperlink" Target="https://www.scopus.com/inward/record.uri?eid=2-s2.0-85048558271&amp;partnerID=40&amp;md5=579b7406ed7ae51b88538af9a4c782ef" TargetMode="External"/><Relationship Id="rId828" Type="http://schemas.openxmlformats.org/officeDocument/2006/relationships/hyperlink" Target="https://www.scopus.com/inward/record.uri?eid=2-s2.0-85049879879&amp;doi=10.1007%2F978-3-319-95153-9_3&amp;partnerID=40&amp;md5=f8c9c0363c6e88cd26e2e3a3c57f3ecb" TargetMode="External"/><Relationship Id="rId829" Type="http://schemas.openxmlformats.org/officeDocument/2006/relationships/hyperlink" Target="https://www.scopus.com/inward/record.uri?eid=2-s2.0-85060661093&amp;doi=10.1109%2FUBMK.2018.8566549&amp;partnerID=40&amp;md5=6e6091ddd4482385d6ffd5e2cfd967fa" TargetMode="External"/><Relationship Id="rId830" Type="http://schemas.openxmlformats.org/officeDocument/2006/relationships/hyperlink" Target="https://www.scopus.com/inward/record.uri?eid=2-s2.0-85060472737&amp;partnerID=40&amp;md5=e2b4cdfc599fed7902667524ba2f51ec" TargetMode="External"/><Relationship Id="rId831" Type="http://schemas.openxmlformats.org/officeDocument/2006/relationships/hyperlink" Target="https://www.scopus.com/inward/record.uri?eid=2-s2.0-85051141269&amp;doi=10.1007%2F978-981-10-8228-3_21&amp;partnerID=40&amp;md5=6d4187b08390493779ad514b0193e148" TargetMode="External"/><Relationship Id="rId832" Type="http://schemas.openxmlformats.org/officeDocument/2006/relationships/hyperlink" Target="https://www.scopus.com/inward/record.uri?eid=2-s2.0-85018244215&amp;doi=10.1007%2Fs10772-017-9413-5&amp;partnerID=40&amp;md5=828b131b45f1680c380e4eb7c2356148" TargetMode="External"/><Relationship Id="rId833" Type="http://schemas.openxmlformats.org/officeDocument/2006/relationships/hyperlink" Target="https://www.scopus.com/inward/record.uri?eid=2-s2.0-85029694086&amp;doi=10.1016%2Fj.jtbi.2017.09.013&amp;partnerID=40&amp;md5=42f8fba6b589570fe2c56e7800dcf19a" TargetMode="External"/><Relationship Id="rId834" Type="http://schemas.openxmlformats.org/officeDocument/2006/relationships/hyperlink" Target="https://www.scopus.com/inward/record.uri?eid=2-s2.0-85024388040&amp;partnerID=40&amp;md5=209e225c0ed1175ba7633b6c40a1d5cb" TargetMode="External"/><Relationship Id="rId835" Type="http://schemas.openxmlformats.org/officeDocument/2006/relationships/hyperlink" Target="https://www.scopus.com/inward/record.uri?eid=2-s2.0-85057644700&amp;partnerID=40&amp;md5=b058a412bd18b70bfb7b1c369764086f" TargetMode="External"/><Relationship Id="rId836" Type="http://schemas.openxmlformats.org/officeDocument/2006/relationships/hyperlink" Target="https://www.scopus.com/inward/record.uri?eid=2-s2.0-85032616578&amp;doi=10.1039%2Fc7ay01645j&amp;partnerID=40&amp;md5=eb82704808c4b100c0086bec8ad48db5" TargetMode="External"/><Relationship Id="rId837" Type="http://schemas.openxmlformats.org/officeDocument/2006/relationships/hyperlink" Target="https://www.scopus.com/inward/record.uri?eid=2-s2.0-85032721183&amp;doi=10.1371%2Fjournal.pcbi.1005812&amp;partnerID=40&amp;md5=acf0538a444bb97fd04a6fce455961bb" TargetMode="External"/><Relationship Id="rId838" Type="http://schemas.openxmlformats.org/officeDocument/2006/relationships/hyperlink" Target="https://www.scopus.com/inward/record.uri?eid=2-s2.0-85013007926&amp;partnerID=40&amp;md5=7319f36432cf63c89fd6ad5c407f9c01" TargetMode="External"/><Relationship Id="rId839" Type="http://schemas.openxmlformats.org/officeDocument/2006/relationships/hyperlink" Target="https://www.scopus.com/inward/record.uri?eid=2-s2.0-85016451210&amp;doi=10.1111%2Ftmi.12857&amp;partnerID=40&amp;md5=d8ee2e7b71b32a9b06fc1f5a8a4751c3" TargetMode="External"/><Relationship Id="rId840" Type="http://schemas.openxmlformats.org/officeDocument/2006/relationships/hyperlink" Target="https://www.scopus.com/inward/record.uri?eid=2-s2.0-85019629828&amp;doi=10.12980%2Fapjtd.7.2017D6-397&amp;partnerID=40&amp;md5=65dc993df6bceecd65b3be0aa6d564f3" TargetMode="External"/><Relationship Id="rId841" Type="http://schemas.openxmlformats.org/officeDocument/2006/relationships/hyperlink" Target="https://www.scopus.com/inward/record.uri?eid=2-s2.0-85019109204&amp;doi=10.1631%2Fjzus.B1600273&amp;partnerID=40&amp;md5=5d8394da076d45e750b394025da1c32e" TargetMode="External"/><Relationship Id="rId842" Type="http://schemas.openxmlformats.org/officeDocument/2006/relationships/hyperlink" Target="https://www.scopus.com/inward/record.uri?eid=2-s2.0-85019552754&amp;doi=10.12980%2Fapjtd.7.2017D6-461&amp;partnerID=40&amp;md5=4f949dc567b6003e38d96674556b3892" TargetMode="External"/><Relationship Id="rId843" Type="http://schemas.openxmlformats.org/officeDocument/2006/relationships/hyperlink" Target="https://www.scopus.com/inward/record.uri?eid=2-s2.0-85018701199&amp;doi=10.5935%2Fabc.20170027&amp;partnerID=40&amp;md5=ccbc2af27b44ca7eae2690e0d6187618" TargetMode="External"/><Relationship Id="rId844" Type="http://schemas.openxmlformats.org/officeDocument/2006/relationships/hyperlink" Target="https://www.scopus.com/inward/record.uri?eid=2-s2.0-85032356902&amp;doi=10.1016%2Fj.nhtm.2017.10.001&amp;partnerID=40&amp;md5=751343cc9d3592346f2cdc39d703c393" TargetMode="External"/><Relationship Id="rId845" Type="http://schemas.openxmlformats.org/officeDocument/2006/relationships/hyperlink" Target="https://www.scopus.com/inward/record.uri?eid=2-s2.0-85010928059&amp;doi=10.1111%2Ftmi.12813&amp;partnerID=40&amp;md5=d3eef0b2c1ef897ebda7241cf6a19391" TargetMode="External"/><Relationship Id="rId846" Type="http://schemas.openxmlformats.org/officeDocument/2006/relationships/hyperlink" Target="https://www.scopus.com/inward/record.uri?eid=2-s2.0-85020873910&amp;doi=10.1021%2Facs.analchem.6b04827&amp;partnerID=40&amp;md5=6a0209d086d24c9007448d9327356f9e" TargetMode="External"/><Relationship Id="rId847" Type="http://schemas.openxmlformats.org/officeDocument/2006/relationships/hyperlink" Target="https://www.scopus.com/inward/record.uri?eid=2-s2.0-85025075857&amp;doi=10.1021%2Facs.jcim.6b00572&amp;partnerID=40&amp;md5=93c566ff2bb99bad4d41b7b81371a415" TargetMode="External"/><Relationship Id="rId848" Type="http://schemas.openxmlformats.org/officeDocument/2006/relationships/hyperlink" Target="https://www.scopus.com/inward/record.uri?eid=2-s2.0-85030448488&amp;doi=10.1371%2Fjournal.pntd.0005868&amp;partnerID=40&amp;md5=bb4edb253e089baea280b485550a742f" TargetMode="External"/><Relationship Id="rId849" Type="http://schemas.openxmlformats.org/officeDocument/2006/relationships/hyperlink" Target="https://www.scopus.com/inward/record.uri?eid=2-s2.0-85041797419&amp;doi=10.2196%2Fresprot.6758&amp;partnerID=40&amp;md5=dac93dbf63522c9bd0060e4bbfe49661" TargetMode="External"/><Relationship Id="rId850" Type="http://schemas.openxmlformats.org/officeDocument/2006/relationships/hyperlink" Target="https://www.scopus.com/inward/record.uri?eid=2-s2.0-85027699126&amp;doi=10.3390%2Fapp7080836&amp;partnerID=40&amp;md5=e3598050aa02f47a6a9ebbf804605981" TargetMode="External"/><Relationship Id="rId851" Type="http://schemas.openxmlformats.org/officeDocument/2006/relationships/hyperlink" Target="https://www.scopus.com/inward/record.uri?eid=2-s2.0-85019159638&amp;doi=10.1016%2Fj.phymed.2017.04.013&amp;partnerID=40&amp;md5=509095fe695953647b7a85ba68645e2d" TargetMode="External"/><Relationship Id="rId852" Type="http://schemas.openxmlformats.org/officeDocument/2006/relationships/hyperlink" Target="https://www.scopus.com/inward/record.uri?eid=2-s2.0-85046935619&amp;partnerID=40&amp;md5=56d5512dd124e0378f1cd767c7a2c3bb" TargetMode="External"/><Relationship Id="rId853" Type="http://schemas.openxmlformats.org/officeDocument/2006/relationships/hyperlink" Target="https://www.scopus.com/inward/record.uri?eid=2-s2.0-85045831651&amp;doi=10.2196%2Fpublichealth.7157&amp;partnerID=40&amp;md5=ca1063caef744f3c0ad52d68fefaf8b9" TargetMode="External"/><Relationship Id="rId854" Type="http://schemas.openxmlformats.org/officeDocument/2006/relationships/hyperlink" Target="https://www.scopus.com/inward/record.uri?eid=2-s2.0-85020448679&amp;doi=10.1007%2F978-981-10-3770-2_68&amp;partnerID=40&amp;md5=2a911d0d9c69521c2b1008266eb490ad" TargetMode="External"/><Relationship Id="rId855" Type="http://schemas.openxmlformats.org/officeDocument/2006/relationships/hyperlink" Target="https://www.scopus.com/inward/record.uri?eid=2-s2.0-85047491202&amp;doi=10.1109%2FICCMC.2017.8282721&amp;partnerID=40&amp;md5=41507130695457b27fe2f34b476c4bfe" TargetMode="External"/><Relationship Id="rId856" Type="http://schemas.openxmlformats.org/officeDocument/2006/relationships/hyperlink" Target="https://www.scopus.com/inward/record.uri?eid=2-s2.0-85020278206&amp;doi=10.1117%2F12.2249845&amp;partnerID=40&amp;md5=96525f32bdcbb9ea68d92b518a3cace1" TargetMode="External"/><Relationship Id="rId857" Type="http://schemas.openxmlformats.org/officeDocument/2006/relationships/hyperlink" Target="https://www.scopus.com/inward/record.uri?eid=2-s2.0-85013270066&amp;doi=10.1109%2FBIBM.2016.7822567&amp;partnerID=40&amp;md5=2f57a021507142f5928e37f3010683b8" TargetMode="External"/><Relationship Id="rId858" Type="http://schemas.openxmlformats.org/officeDocument/2006/relationships/hyperlink" Target="https://www.scopus.com/inward/record.uri?eid=2-s2.0-85032838116&amp;doi=10.1109%2FSPIN.2017.8050013&amp;partnerID=40&amp;md5=76d6a1f47a50d3bb12903ee9a55a3ccd" TargetMode="External"/><Relationship Id="rId859" Type="http://schemas.openxmlformats.org/officeDocument/2006/relationships/hyperlink" Target="https://www.scopus.com/inward/record.uri?eid=2-s2.0-85046248728&amp;doi=10.1109%2FICCVW.2017.22&amp;partnerID=40&amp;md5=6345cab30c6cee6770d917a1b8e455d3" TargetMode="External"/><Relationship Id="rId860" Type="http://schemas.openxmlformats.org/officeDocument/2006/relationships/hyperlink" Target="https://www.scopus.com/inward/record.uri?eid=2-s2.0-85016034787&amp;doi=10.1109%2FSSCI.2016.7849891&amp;partnerID=40&amp;md5=eca9cc4606ad69ea99422948d759b7da" TargetMode="External"/><Relationship Id="rId861" Type="http://schemas.openxmlformats.org/officeDocument/2006/relationships/hyperlink" Target="https://www.scopus.com/inward/record.uri?eid=2-s2.0-85057518759&amp;doi=10.1109%2FAIPR.2017.8457970&amp;partnerID=40&amp;md5=1d938e701bce0475f0ca3047f39d10ba" TargetMode="External"/><Relationship Id="rId862" Type="http://schemas.openxmlformats.org/officeDocument/2006/relationships/hyperlink" Target="https://www.scopus.com/inward/record.uri?eid=2-s2.0-85016550508&amp;doi=10.1109%2FICCCCEE.2017.7867644&amp;partnerID=40&amp;md5=de9293b8ac54ea610fc3c7aae4336b16" TargetMode="External"/><Relationship Id="rId863" Type="http://schemas.openxmlformats.org/officeDocument/2006/relationships/hyperlink" Target="https://www.scopus.com/inward/record.uri?eid=2-s2.0-85045841173&amp;doi=10.1109%2FISPCC.2017.8269721&amp;partnerID=40&amp;md5=a968056f9ca44a32ba4656bd0ea8a412" TargetMode="External"/><Relationship Id="rId864" Type="http://schemas.openxmlformats.org/officeDocument/2006/relationships/hyperlink" Target="https://www.scopus.com/inward/record.uri?eid=2-s2.0-85018418812&amp;doi=10.1109%2FBHI.2017.7897215&amp;partnerID=40&amp;md5=2a8496d12b28ffbea9b5582fe31c9261" TargetMode="External"/><Relationship Id="rId865" Type="http://schemas.openxmlformats.org/officeDocument/2006/relationships/hyperlink" Target="https://www.scopus.com/inward/record.uri?eid=2-s2.0-85028893106&amp;doi=10.1007%2F978-3-319-66562-7_34&amp;partnerID=40&amp;md5=ed64300e6ef9b86cdd1591835b97554b" TargetMode="External"/><Relationship Id="rId866" Type="http://schemas.openxmlformats.org/officeDocument/2006/relationships/hyperlink" Target="https://www.scopus.com/inward/record.uri?eid=2-s2.0-85019413870&amp;doi=10.1109%2FPCS.2016.7906393&amp;partnerID=40&amp;md5=62bbbe9e38759c919cfe02b9f5cf99c1" TargetMode="External"/><Relationship Id="rId867" Type="http://schemas.openxmlformats.org/officeDocument/2006/relationships/hyperlink" Target="https://www.scopus.com/inward/record.uri?eid=2-s2.0-85029374922&amp;doi=10.1109%2FCHASE.2017.51&amp;partnerID=40&amp;md5=5f581d0313c89426c3f656b31ccb7f00" TargetMode="External"/><Relationship Id="rId868" Type="http://schemas.openxmlformats.org/officeDocument/2006/relationships/hyperlink" Target="https://www.scopus.com/inward/record.uri?eid=2-s2.0-85042513865&amp;doi=10.1109%2FICMLC.2017.8107772&amp;partnerID=40&amp;md5=5df8aa5a9cc5c9e8bf1dff9d8393ac50" TargetMode="External"/><Relationship Id="rId869" Type="http://schemas.openxmlformats.org/officeDocument/2006/relationships/hyperlink" Target="https://www.scopus.com/inward/record.uri?eid=2-s2.0-85032187261&amp;doi=10.1109%2FEMBC.2017.8037457&amp;partnerID=40&amp;md5=a452bb83075d6a0403e1392de337f2f3" TargetMode="External"/><Relationship Id="rId870" Type="http://schemas.openxmlformats.org/officeDocument/2006/relationships/hyperlink" Target="https://www.scopus.com/inward/record.uri?eid=2-s2.0-85018486323&amp;doi=10.1007%2F978-3-319-54430-4_41&amp;partnerID=40&amp;md5=1f1653f2700c5f35f967037a7ae32188" TargetMode="External"/><Relationship Id="rId871" Type="http://schemas.openxmlformats.org/officeDocument/2006/relationships/hyperlink" Target="https://www.scopus.com/inward/record.uri?eid=2-s2.0-84979035646&amp;doi=10.1371%2Fjournal.pntd.0004768&amp;partnerID=40&amp;md5=c8672649d830f30b6af8b5281893cc24" TargetMode="External"/><Relationship Id="rId872" Type="http://schemas.openxmlformats.org/officeDocument/2006/relationships/hyperlink" Target="https://www.scopus.com/inward/record.uri?eid=2-s2.0-84957109437&amp;doi=10.1371%2Fjournal.pntd.0004341&amp;partnerID=40&amp;md5=a6b693f10fafc640f7c086ae6ebe2f38" TargetMode="External"/><Relationship Id="rId873" Type="http://schemas.openxmlformats.org/officeDocument/2006/relationships/hyperlink" Target="https://www.scopus.com/inward/record.uri?eid=2-s2.0-85002874455&amp;doi=10.1016%2Fj.ecoinf.2015.08.011&amp;partnerID=40&amp;md5=bfaeb0d7b679c9b329f847e5d690f3ee" TargetMode="External"/><Relationship Id="rId874" Type="http://schemas.openxmlformats.org/officeDocument/2006/relationships/hyperlink" Target="https://www.scopus.com/inward/record.uri?eid=2-s2.0-84960417441&amp;doi=10.1016%2Fj.ijcha.2016.03.004&amp;partnerID=40&amp;md5=1caecad13f4eb5dce1e21d60a3e4300b" TargetMode="External"/><Relationship Id="rId875" Type="http://schemas.openxmlformats.org/officeDocument/2006/relationships/hyperlink" Target="https://www.scopus.com/inward/record.uri?eid=2-s2.0-85021851723&amp;partnerID=40&amp;md5=21d639be0bf25bbc6a2b4dab50bab720" TargetMode="External"/><Relationship Id="rId876" Type="http://schemas.openxmlformats.org/officeDocument/2006/relationships/hyperlink" Target="https://www.scopus.com/inward/record.uri?eid=2-s2.0-84936857326&amp;doi=10.1111%2Fliv.12891&amp;partnerID=40&amp;md5=c93bbe3f58eb198ebc16443d94b6e31a" TargetMode="External"/><Relationship Id="rId877" Type="http://schemas.openxmlformats.org/officeDocument/2006/relationships/hyperlink" Target="https://www.scopus.com/inward/record.uri?eid=2-s2.0-84959870506&amp;doi=10.2174%2F187231281001160212150630&amp;partnerID=40&amp;md5=face156dc882e2d84468c12bcbefcf8c" TargetMode="External"/><Relationship Id="rId878" Type="http://schemas.openxmlformats.org/officeDocument/2006/relationships/hyperlink" Target="https://www.scopus.com/inward/record.uri?eid=2-s2.0-85006990941&amp;doi=10.3390%2Fijerph13121235&amp;partnerID=40&amp;md5=d9d414f9627bfca2e3e9c5535d52fb49" TargetMode="External"/><Relationship Id="rId879" Type="http://schemas.openxmlformats.org/officeDocument/2006/relationships/hyperlink" Target="https://www.scopus.com/inward/record.uri?eid=2-s2.0-84958778405&amp;doi=10.3109%2F14756366.2016.1144593&amp;partnerID=40&amp;md5=11f3a7bc41a92aa674caf92ebb8cc6d6" TargetMode="External"/><Relationship Id="rId880" Type="http://schemas.openxmlformats.org/officeDocument/2006/relationships/hyperlink" Target="https://www.scopus.com/inward/record.uri?eid=2-s2.0-84982306919&amp;doi=10.1186%2Fs12874-016-0207-2&amp;partnerID=40&amp;md5=7eefd46fd1e27310905924acda0f54b9" TargetMode="External"/><Relationship Id="rId881" Type="http://schemas.openxmlformats.org/officeDocument/2006/relationships/hyperlink" Target="https://www.scopus.com/inward/record.uri?eid=2-s2.0-85006511787&amp;doi=10.1093%2Finfdis%2Fjiw427&amp;partnerID=40&amp;md5=65e8579a551fbb8637289e3d505cfdc7" TargetMode="External"/><Relationship Id="rId882" Type="http://schemas.openxmlformats.org/officeDocument/2006/relationships/hyperlink" Target="https://www.scopus.com/inward/record.uri?eid=2-s2.0-84984861320&amp;doi=10.3844%2Fjcssp.2016.300.306&amp;partnerID=40&amp;md5=7ff3f75a6a87bd1c072e851db59329db" TargetMode="External"/><Relationship Id="rId883" Type="http://schemas.openxmlformats.org/officeDocument/2006/relationships/hyperlink" Target="https://www.scopus.com/inward/record.uri?eid=2-s2.0-84990032623&amp;doi=10.1016%2FS1473-3099%2816%2930161-X&amp;partnerID=40&amp;md5=b9dfeda9d1d4e288dcb4523ca632b982" TargetMode="External"/><Relationship Id="rId884" Type="http://schemas.openxmlformats.org/officeDocument/2006/relationships/hyperlink" Target="https://www.scopus.com/inward/record.uri?eid=2-s2.0-84953314375&amp;doi=10.2471%2FBLT.15.161885&amp;partnerID=40&amp;md5=a25bfa246225b9eae2534eb7ec3474d3" TargetMode="External"/><Relationship Id="rId885" Type="http://schemas.openxmlformats.org/officeDocument/2006/relationships/hyperlink" Target="https://www.scopus.com/inward/record.uri?eid=2-s2.0-85055078912&amp;doi=10.12816%2F0033990&amp;partnerID=40&amp;md5=d7df04b96588a779684cc7abb8c5a625" TargetMode="External"/><Relationship Id="rId886" Type="http://schemas.openxmlformats.org/officeDocument/2006/relationships/hyperlink" Target="https://www.scopus.com/inward/record.uri?eid=2-s2.0-84979729478&amp;doi=10.1186%2Fs12906-016-1191-0&amp;partnerID=40&amp;md5=9d9770ea7c3e03089576d2ff22596cf0" TargetMode="External"/><Relationship Id="rId887" Type="http://schemas.openxmlformats.org/officeDocument/2006/relationships/hyperlink" Target="https://www.scopus.com/inward/record.uri?eid=2-s2.0-84959303844&amp;doi=10.1371%2Fjournal.pntd.0004407&amp;partnerID=40&amp;md5=d63b553a2ce5cd0ce0da6193de441309" TargetMode="External"/><Relationship Id="rId888" Type="http://schemas.openxmlformats.org/officeDocument/2006/relationships/hyperlink" Target="https://www.scopus.com/inward/record.uri?eid=2-s2.0-85015640781&amp;doi=10.1109%2FIECBES.2016.7843421&amp;partnerID=40&amp;md5=89c089c97b58bf2cdac4e6607a018ed7" TargetMode="External"/><Relationship Id="rId889" Type="http://schemas.openxmlformats.org/officeDocument/2006/relationships/hyperlink" Target="https://www.scopus.com/inward/record.uri?eid=2-s2.0-84983471886&amp;doi=10.1109%2FMicroCom.2016.7522513&amp;partnerID=40&amp;md5=65a4a8bc168462838ba4b6a32f126662" TargetMode="External"/><Relationship Id="rId890" Type="http://schemas.openxmlformats.org/officeDocument/2006/relationships/hyperlink" Target="https://www.scopus.com/inward/record.uri?eid=2-s2.0-85042720027&amp;doi=10.1109%2FCINE.2016.19&amp;partnerID=40&amp;md5=47b8fb71035f137de2615ae4c2c06066" TargetMode="External"/><Relationship Id="rId891" Type="http://schemas.openxmlformats.org/officeDocument/2006/relationships/hyperlink" Target="https://www.scopus.com/inward/record.uri?eid=2-s2.0-85021149384&amp;doi=10.1109%2FICMLC.2016.7860891&amp;partnerID=40&amp;md5=ddf6b3a2121c544c4a21c725fe2dad94" TargetMode="External"/><Relationship Id="rId892" Type="http://schemas.openxmlformats.org/officeDocument/2006/relationships/hyperlink" Target="https://www.scopus.com/inward/record.uri?eid=2-s2.0-84928713457&amp;doi=10.1186%2Fs13000-015-0275-3&amp;partnerID=40&amp;md5=79e5ffe0322f969d7fd162e8353bd533" TargetMode="External"/><Relationship Id="rId893" Type="http://schemas.openxmlformats.org/officeDocument/2006/relationships/hyperlink" Target="https://www.scopus.com/inward/record.uri?eid=2-s2.0-84942190751&amp;doi=10.1016%2Fj.bjorl.2015.07.014&amp;partnerID=40&amp;md5=e86ed08b4844cc408cd8cd5e073e4476" TargetMode="External"/><Relationship Id="rId894" Type="http://schemas.openxmlformats.org/officeDocument/2006/relationships/hyperlink" Target="https://www.scopus.com/inward/record.uri?eid=2-s2.0-84937197583&amp;doi=10.1186%2Fs12967-015-0600-3&amp;partnerID=40&amp;md5=06839883ba29587be55dacbb3feb01da" TargetMode="External"/><Relationship Id="rId895" Type="http://schemas.openxmlformats.org/officeDocument/2006/relationships/hyperlink" Target="https://www.scopus.com/inward/record.uri?eid=2-s2.0-84950140271&amp;doi=10.1001%2Fjama.2015.13977&amp;partnerID=40&amp;md5=69b89efbcb208100652b701c097bd8d4" TargetMode="External"/><Relationship Id="rId896" Type="http://schemas.openxmlformats.org/officeDocument/2006/relationships/hyperlink" Target="https://www.scopus.com/inward/record.uri?eid=2-s2.0-84924031840&amp;doi=10.1371%2Fjournal.pntd.0003465&amp;partnerID=40&amp;md5=afb3d34a67e52b3f21f519d96edbd7b1" TargetMode="External"/><Relationship Id="rId897" Type="http://schemas.openxmlformats.org/officeDocument/2006/relationships/hyperlink" Target="https://www.scopus.com/inward/record.uri?eid=2-s2.0-84936997090&amp;doi=10.1002%2Fem.21942&amp;partnerID=40&amp;md5=f3ce15b2e71779e839f2197fa32077c0" TargetMode="External"/><Relationship Id="rId898" Type="http://schemas.openxmlformats.org/officeDocument/2006/relationships/hyperlink" Target="https://www.scopus.com/inward/record.uri?eid=2-s2.0-84948768377&amp;doi=10.1007%2Fs12639-013-0411-5&amp;partnerID=40&amp;md5=02d44babf73c5fcd5c7a2cc78e46fe49" TargetMode="External"/><Relationship Id="rId899" Type="http://schemas.openxmlformats.org/officeDocument/2006/relationships/hyperlink" Target="https://www.scopus.com/inward/record.uri?eid=2-s2.0-84934783353&amp;doi=10.1371%2Fjournal.pntd.0003825&amp;partnerID=40&amp;md5=eac5a3bd46780d17ecf8fcf6afa54ca3" TargetMode="External"/><Relationship Id="rId900" Type="http://schemas.openxmlformats.org/officeDocument/2006/relationships/hyperlink" Target="https://www.scopus.com/inward/record.uri?eid=2-s2.0-84928012342&amp;doi=10.1504%2FIJCBDD.2015.068783&amp;partnerID=40&amp;md5=0861f6766ae66282e76b6de6fd42d6bd" TargetMode="External"/><Relationship Id="rId901" Type="http://schemas.openxmlformats.org/officeDocument/2006/relationships/hyperlink" Target="https://www.scopus.com/inward/record.uri?eid=2-s2.0-84934779976&amp;doi=10.1371%2Fjournal.pntd.0003835&amp;partnerID=40&amp;md5=2dd5743a326c872cd0d415186b80db56" TargetMode="External"/><Relationship Id="rId902" Type="http://schemas.openxmlformats.org/officeDocument/2006/relationships/hyperlink" Target="https://www.scopus.com/inward/record.uri?eid=2-s2.0-84940900089&amp;doi=10.1111%2Fjth.13060&amp;partnerID=40&amp;md5=14ab211ef9566dbb2e5ed4fb35481f45" TargetMode="External"/><Relationship Id="rId903" Type="http://schemas.openxmlformats.org/officeDocument/2006/relationships/hyperlink" Target="https://www.scopus.com/inward/record.uri?eid=2-s2.0-84939213336&amp;doi=10.5935%2Fabc.20150042&amp;partnerID=40&amp;md5=e39f0bd78c5a2890f0eb2cbd16aaf97f" TargetMode="External"/><Relationship Id="rId904" Type="http://schemas.openxmlformats.org/officeDocument/2006/relationships/hyperlink" Target="https://www.scopus.com/inward/record.uri?eid=2-s2.0-84942746292&amp;doi=10.1515%2Fap-2015-0105&amp;partnerID=40&amp;md5=6aac00c366d7e292978435ec08d498cb" TargetMode="External"/><Relationship Id="rId905" Type="http://schemas.openxmlformats.org/officeDocument/2006/relationships/hyperlink" Target="https://www.scopus.com/inward/record.uri?eid=2-s2.0-84969141960&amp;doi=10.1186%2F1471-2164-16-S7-S9&amp;partnerID=40&amp;md5=f671fdec5e7897c212d486c86e61cbf9" TargetMode="External"/><Relationship Id="rId906" Type="http://schemas.openxmlformats.org/officeDocument/2006/relationships/hyperlink" Target="https://www.scopus.com/inward/record.uri?eid=2-s2.0-84924860610&amp;doi=10.1186%2Fs12941-015-0064-6&amp;partnerID=40&amp;md5=aea62d3f7947c492156cb32d86631e9f" TargetMode="External"/><Relationship Id="rId907" Type="http://schemas.openxmlformats.org/officeDocument/2006/relationships/hyperlink" Target="https://www.scopus.com/inward/record.uri?eid=2-s2.0-84959548860&amp;doi=10.2174%2F1574893610666151008011042&amp;partnerID=40&amp;md5=466a8428c9c8979eb64490732ab51963" TargetMode="External"/><Relationship Id="rId908" Type="http://schemas.openxmlformats.org/officeDocument/2006/relationships/hyperlink" Target="https://www.scopus.com/inward/record.uri?eid=2-s2.0-84919742349&amp;doi=10.3945%2Fjn.114.201566&amp;partnerID=40&amp;md5=671ed41d7b3794acd8daf1a9ffdf5ead" TargetMode="External"/><Relationship Id="rId909" Type="http://schemas.openxmlformats.org/officeDocument/2006/relationships/hyperlink" Target="https://www.scopus.com/inward/record.uri?eid=2-s2.0-84960408606&amp;doi=10.1109%2FGHTC.2015.7344002&amp;partnerID=40&amp;md5=9a3d0c3493a50d77a0153ad80d3cb730" TargetMode="External"/><Relationship Id="rId910" Type="http://schemas.openxmlformats.org/officeDocument/2006/relationships/hyperlink" Target="https://www.scopus.com/inward/record.uri?eid=2-s2.0-84960453636&amp;doi=10.1109%2FGHTC.2015.7344000&amp;partnerID=40&amp;md5=d2d0711f5f890a1ce97e478240ca5ee4" TargetMode="External"/><Relationship Id="rId911" Type="http://schemas.openxmlformats.org/officeDocument/2006/relationships/drawing" Target="../drawings/drawing1.xml"/>
</Relationships>
</file>

<file path=xl/worksheets/_rels/sheet2.xml.rels><?xml version="1.0" encoding="UTF-8"?>
<Relationships xmlns="http://schemas.openxmlformats.org/package/2006/relationships"><Relationship Id="rId1" Type="http://schemas.openxmlformats.org/officeDocument/2006/relationships/hyperlink" Target="https://github.com/Mr-TalhaIlyas/FARS." TargetMode="Externa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BI914"/>
  <sheetViews>
    <sheetView showFormulas="false" showGridLines="true" showRowColHeaders="true" showZeros="true" rightToLeft="false" tabSelected="false" showOutlineSymbols="true" defaultGridColor="true" view="normal" topLeftCell="H1" colorId="64" zoomScale="100" zoomScaleNormal="100" zoomScalePageLayoutView="100" workbookViewId="0">
      <selection pane="topLeft" activeCell="L3" activeCellId="0" sqref="L3"/>
    </sheetView>
  </sheetViews>
  <sheetFormatPr defaultColWidth="12.6328125" defaultRowHeight="15" customHeight="true" zeroHeight="false" outlineLevelRow="0" outlineLevelCol="0"/>
  <cols>
    <col collapsed="false" customWidth="true" hidden="false" outlineLevel="0" max="1" min="1" style="1" width="21.88"/>
    <col collapsed="false" customWidth="true" hidden="false" outlineLevel="0" max="2" min="2" style="1" width="16.75"/>
    <col collapsed="false" customWidth="true" hidden="false" outlineLevel="0" max="3" min="3" style="1" width="12.75"/>
    <col collapsed="false" customWidth="true" hidden="false" outlineLevel="0" max="4" min="4" style="1" width="18.5"/>
    <col collapsed="false" customWidth="true" hidden="false" outlineLevel="0" max="5" min="5" style="1" width="7.38"/>
    <col collapsed="false" customWidth="true" hidden="false" outlineLevel="0" max="6" min="6" style="1" width="90.13"/>
    <col collapsed="false" customWidth="true" hidden="false" outlineLevel="0" max="7" min="7" style="1" width="22.25"/>
    <col collapsed="false" customWidth="true" hidden="false" outlineLevel="0" max="8" min="8" style="1" width="41"/>
    <col collapsed="false" customWidth="true" hidden="false" outlineLevel="0" max="14" min="9" style="1" width="21.25"/>
    <col collapsed="false" customWidth="true" hidden="false" outlineLevel="0" max="15" min="15" style="1" width="12.75"/>
    <col collapsed="false" customWidth="true" hidden="false" outlineLevel="0" max="16" min="16" style="1" width="14.88"/>
    <col collapsed="false" customWidth="true" hidden="false" outlineLevel="0" max="17" min="17" style="1" width="17.88"/>
    <col collapsed="false" customWidth="true" hidden="false" outlineLevel="0" max="19" min="19" style="1" width="14.63"/>
    <col collapsed="false" customWidth="true" hidden="false" outlineLevel="0" max="21" min="21" style="1" width="16.5"/>
    <col collapsed="false" customWidth="true" hidden="false" outlineLevel="0" max="25" min="22" style="1" width="12.75"/>
    <col collapsed="false" customWidth="true" hidden="false" outlineLevel="0" max="26" min="26" style="1" width="37.88"/>
    <col collapsed="false" customWidth="true" hidden="false" outlineLevel="0" max="36" min="36" style="1" width="23.38"/>
    <col collapsed="false" customWidth="true" hidden="false" outlineLevel="0" max="43" min="43" style="1" width="15.5"/>
    <col collapsed="false" customWidth="true" hidden="false" outlineLevel="0" max="47" min="45" style="1" width="12.75"/>
    <col collapsed="false" customWidth="true" hidden="false" outlineLevel="0" max="49" min="49" style="1" width="12.75"/>
  </cols>
  <sheetData>
    <row r="1" customFormat="false" ht="55.5" hidden="false" customHeight="true" outlineLevel="0" collapsed="false">
      <c r="A1" s="2" t="s">
        <v>0</v>
      </c>
      <c r="B1" s="3" t="s">
        <v>1</v>
      </c>
      <c r="C1" s="3" t="s">
        <v>2</v>
      </c>
      <c r="D1" s="3" t="s">
        <v>3</v>
      </c>
      <c r="E1" s="3" t="s">
        <v>4</v>
      </c>
      <c r="F1" s="4" t="s">
        <v>5</v>
      </c>
      <c r="G1" s="2" t="s">
        <v>6</v>
      </c>
      <c r="H1" s="2" t="s">
        <v>7</v>
      </c>
      <c r="I1" s="2" t="s">
        <v>8</v>
      </c>
      <c r="J1" s="2" t="s">
        <v>9</v>
      </c>
      <c r="K1" s="5" t="s">
        <v>10</v>
      </c>
      <c r="L1" s="2" t="s">
        <v>11</v>
      </c>
      <c r="M1" s="2" t="s">
        <v>12</v>
      </c>
      <c r="N1" s="2" t="s">
        <v>13</v>
      </c>
      <c r="O1" s="2" t="s">
        <v>14</v>
      </c>
      <c r="P1" s="2" t="s">
        <v>15</v>
      </c>
      <c r="Q1" s="3" t="s">
        <v>16</v>
      </c>
      <c r="R1" s="3" t="s">
        <v>17</v>
      </c>
      <c r="S1" s="3" t="s">
        <v>18</v>
      </c>
      <c r="T1" s="3" t="s">
        <v>19</v>
      </c>
      <c r="U1" s="3" t="s">
        <v>20</v>
      </c>
      <c r="V1" s="3" t="s">
        <v>21</v>
      </c>
      <c r="W1" s="3" t="s">
        <v>22</v>
      </c>
      <c r="X1" s="3" t="s">
        <v>23</v>
      </c>
      <c r="Y1" s="3" t="s">
        <v>24</v>
      </c>
      <c r="Z1" s="3" t="s">
        <v>25</v>
      </c>
      <c r="AA1" s="3" t="s">
        <v>26</v>
      </c>
      <c r="AB1" s="2" t="s">
        <v>27</v>
      </c>
      <c r="AC1" s="3" t="s">
        <v>28</v>
      </c>
      <c r="AD1" s="3" t="s">
        <v>29</v>
      </c>
      <c r="AE1" s="3" t="s">
        <v>30</v>
      </c>
      <c r="AF1" s="3" t="s">
        <v>31</v>
      </c>
      <c r="AG1" s="3" t="s">
        <v>32</v>
      </c>
      <c r="AH1" s="3" t="s">
        <v>33</v>
      </c>
      <c r="AI1" s="3" t="s">
        <v>34</v>
      </c>
      <c r="AJ1" s="4" t="s">
        <v>35</v>
      </c>
      <c r="AK1" s="2" t="s">
        <v>36</v>
      </c>
      <c r="AL1" s="3" t="s">
        <v>37</v>
      </c>
      <c r="AM1" s="3" t="s">
        <v>38</v>
      </c>
      <c r="AN1" s="3" t="s">
        <v>39</v>
      </c>
      <c r="AO1" s="3" t="s">
        <v>40</v>
      </c>
      <c r="AP1" s="3" t="s">
        <v>41</v>
      </c>
      <c r="AQ1" s="3" t="s">
        <v>42</v>
      </c>
      <c r="AR1" s="3" t="s">
        <v>43</v>
      </c>
      <c r="AS1" s="3" t="s">
        <v>44</v>
      </c>
      <c r="AT1" s="3" t="s">
        <v>45</v>
      </c>
      <c r="AU1" s="3" t="s">
        <v>46</v>
      </c>
      <c r="AV1" s="3" t="s">
        <v>47</v>
      </c>
      <c r="AW1" s="3" t="s">
        <v>48</v>
      </c>
      <c r="AX1" s="3" t="s">
        <v>49</v>
      </c>
      <c r="AY1" s="3" t="s">
        <v>50</v>
      </c>
      <c r="AZ1" s="3" t="s">
        <v>51</v>
      </c>
      <c r="BA1" s="3" t="s">
        <v>52</v>
      </c>
      <c r="BB1" s="3" t="s">
        <v>53</v>
      </c>
      <c r="BC1" s="3"/>
      <c r="BD1" s="3"/>
      <c r="BE1" s="3"/>
      <c r="BF1" s="3"/>
      <c r="BG1" s="3"/>
      <c r="BH1" s="3"/>
      <c r="BI1" s="3"/>
    </row>
    <row r="2" customFormat="false" ht="15.75" hidden="false" customHeight="true" outlineLevel="0" collapsed="false">
      <c r="A2" s="6" t="s">
        <v>54</v>
      </c>
      <c r="B2" s="6" t="s">
        <v>55</v>
      </c>
      <c r="C2" s="6" t="s">
        <v>56</v>
      </c>
      <c r="D2" s="6" t="s">
        <v>57</v>
      </c>
      <c r="E2" s="7" t="n">
        <v>2025</v>
      </c>
      <c r="F2" s="8" t="s">
        <v>58</v>
      </c>
      <c r="G2" s="6" t="s">
        <v>59</v>
      </c>
      <c r="H2" s="6" t="s">
        <v>60</v>
      </c>
      <c r="I2" s="6"/>
      <c r="J2" s="7"/>
      <c r="K2" s="7"/>
      <c r="L2" s="7"/>
      <c r="M2" s="7"/>
      <c r="N2" s="7"/>
      <c r="O2" s="6"/>
      <c r="P2" s="7" t="s">
        <v>61</v>
      </c>
      <c r="Q2" s="7" t="s">
        <v>62</v>
      </c>
      <c r="R2" s="7" t="s">
        <v>63</v>
      </c>
      <c r="S2" s="7" t="n">
        <v>185</v>
      </c>
      <c r="T2" s="7" t="s">
        <v>64</v>
      </c>
      <c r="U2" s="7"/>
      <c r="V2" s="7" t="n">
        <v>109547</v>
      </c>
      <c r="W2" s="7"/>
      <c r="X2" s="7"/>
      <c r="Y2" s="7"/>
      <c r="Z2" s="6" t="s">
        <v>65</v>
      </c>
      <c r="AA2" s="9" t="s">
        <v>66</v>
      </c>
      <c r="AB2" s="7" t="s">
        <v>67</v>
      </c>
      <c r="AC2" s="7" t="s">
        <v>68</v>
      </c>
      <c r="AD2" s="7" t="s">
        <v>69</v>
      </c>
      <c r="AE2" s="7" t="s">
        <v>70</v>
      </c>
      <c r="AF2" s="7"/>
      <c r="AG2" s="7"/>
      <c r="AH2" s="7"/>
      <c r="AI2" s="7"/>
      <c r="AJ2" s="10"/>
      <c r="AK2" s="7"/>
      <c r="AL2" s="7" t="s">
        <v>71</v>
      </c>
      <c r="AM2" s="7" t="s">
        <v>72</v>
      </c>
      <c r="AN2" s="7"/>
      <c r="AO2" s="7"/>
      <c r="AP2" s="7"/>
      <c r="AQ2" s="7"/>
      <c r="AR2" s="7"/>
      <c r="AS2" s="7"/>
      <c r="AT2" s="7" t="n">
        <v>104825</v>
      </c>
      <c r="AU2" s="7"/>
      <c r="AV2" s="7" t="s">
        <v>73</v>
      </c>
      <c r="AW2" s="7" t="n">
        <v>39705794</v>
      </c>
      <c r="AX2" s="7" t="s">
        <v>74</v>
      </c>
      <c r="AY2" s="7" t="s">
        <v>75</v>
      </c>
      <c r="AZ2" s="7"/>
      <c r="BA2" s="7" t="s">
        <v>76</v>
      </c>
      <c r="BB2" s="7" t="s">
        <v>77</v>
      </c>
      <c r="BC2" s="7"/>
      <c r="BD2" s="7"/>
      <c r="BE2" s="7"/>
      <c r="BF2" s="7"/>
      <c r="BG2" s="7"/>
      <c r="BH2" s="7"/>
      <c r="BI2" s="7"/>
    </row>
    <row r="3" customFormat="false" ht="15.75" hidden="false" customHeight="true" outlineLevel="0" collapsed="false">
      <c r="A3" s="7" t="s">
        <v>78</v>
      </c>
      <c r="B3" s="7" t="s">
        <v>79</v>
      </c>
      <c r="C3" s="7" t="s">
        <v>80</v>
      </c>
      <c r="D3" s="7" t="s">
        <v>81</v>
      </c>
      <c r="E3" s="7" t="n">
        <v>2025</v>
      </c>
      <c r="F3" s="8" t="s">
        <v>82</v>
      </c>
      <c r="G3" s="6" t="s">
        <v>59</v>
      </c>
      <c r="H3" s="6"/>
      <c r="I3" s="6"/>
      <c r="J3" s="7"/>
      <c r="K3" s="7"/>
      <c r="L3" s="7"/>
      <c r="M3" s="7"/>
      <c r="N3" s="7"/>
      <c r="O3" s="6"/>
      <c r="P3" s="7" t="s">
        <v>61</v>
      </c>
      <c r="Q3" s="7" t="s">
        <v>62</v>
      </c>
      <c r="R3" s="7" t="s">
        <v>63</v>
      </c>
      <c r="S3" s="7" t="n">
        <v>186</v>
      </c>
      <c r="T3" s="7" t="s">
        <v>64</v>
      </c>
      <c r="U3" s="7"/>
      <c r="V3" s="7" t="n">
        <v>109704</v>
      </c>
      <c r="W3" s="7"/>
      <c r="X3" s="7"/>
      <c r="Y3" s="7"/>
      <c r="Z3" s="7" t="s">
        <v>83</v>
      </c>
      <c r="AA3" s="9" t="s">
        <v>84</v>
      </c>
      <c r="AB3" s="7" t="s">
        <v>85</v>
      </c>
      <c r="AC3" s="7" t="s">
        <v>86</v>
      </c>
      <c r="AD3" s="7" t="s">
        <v>87</v>
      </c>
      <c r="AE3" s="7" t="s">
        <v>88</v>
      </c>
      <c r="AF3" s="7"/>
      <c r="AG3" s="7"/>
      <c r="AH3" s="7"/>
      <c r="AI3" s="7"/>
      <c r="AJ3" s="10"/>
      <c r="AK3" s="7"/>
      <c r="AL3" s="7" t="s">
        <v>89</v>
      </c>
      <c r="AM3" s="7" t="s">
        <v>90</v>
      </c>
      <c r="AN3" s="7"/>
      <c r="AO3" s="7"/>
      <c r="AP3" s="7"/>
      <c r="AQ3" s="7"/>
      <c r="AR3" s="7"/>
      <c r="AS3" s="7"/>
      <c r="AT3" s="7" t="n">
        <v>104825</v>
      </c>
      <c r="AU3" s="7"/>
      <c r="AV3" s="7" t="s">
        <v>73</v>
      </c>
      <c r="AW3" s="7"/>
      <c r="AX3" s="7" t="s">
        <v>74</v>
      </c>
      <c r="AY3" s="7" t="s">
        <v>75</v>
      </c>
      <c r="AZ3" s="7"/>
      <c r="BA3" s="7" t="s">
        <v>76</v>
      </c>
      <c r="BB3" s="7" t="s">
        <v>91</v>
      </c>
      <c r="BC3" s="7"/>
      <c r="BD3" s="7"/>
      <c r="BE3" s="7"/>
      <c r="BF3" s="7"/>
      <c r="BG3" s="7"/>
      <c r="BH3" s="7"/>
      <c r="BI3" s="7"/>
    </row>
    <row r="4" customFormat="false" ht="15.75" hidden="false" customHeight="true" outlineLevel="0" collapsed="false">
      <c r="A4" s="7" t="s">
        <v>92</v>
      </c>
      <c r="B4" s="7" t="s">
        <v>93</v>
      </c>
      <c r="C4" s="7" t="s">
        <v>94</v>
      </c>
      <c r="D4" s="7" t="s">
        <v>95</v>
      </c>
      <c r="E4" s="7" t="n">
        <v>2025</v>
      </c>
      <c r="F4" s="8" t="s">
        <v>96</v>
      </c>
      <c r="G4" s="6" t="s">
        <v>59</v>
      </c>
      <c r="H4" s="7"/>
      <c r="I4" s="6"/>
      <c r="J4" s="7"/>
      <c r="K4" s="7"/>
      <c r="L4" s="7"/>
      <c r="M4" s="7"/>
      <c r="N4" s="7"/>
      <c r="O4" s="7"/>
      <c r="P4" s="7" t="s">
        <v>61</v>
      </c>
      <c r="Q4" s="7" t="s">
        <v>62</v>
      </c>
      <c r="R4" s="7" t="s">
        <v>97</v>
      </c>
      <c r="S4" s="7" t="n">
        <v>6</v>
      </c>
      <c r="T4" s="7" t="s">
        <v>98</v>
      </c>
      <c r="U4" s="7" t="n">
        <v>1</v>
      </c>
      <c r="V4" s="7"/>
      <c r="W4" s="7" t="n">
        <v>47</v>
      </c>
      <c r="X4" s="7" t="n">
        <v>59</v>
      </c>
      <c r="Y4" s="7" t="n">
        <v>12</v>
      </c>
      <c r="Z4" s="7" t="s">
        <v>99</v>
      </c>
      <c r="AA4" s="9" t="s">
        <v>100</v>
      </c>
      <c r="AB4" s="7" t="s">
        <v>101</v>
      </c>
      <c r="AC4" s="7" t="s">
        <v>102</v>
      </c>
      <c r="AD4" s="7" t="s">
        <v>103</v>
      </c>
      <c r="AE4" s="7"/>
      <c r="AF4" s="7"/>
      <c r="AG4" s="7"/>
      <c r="AH4" s="7"/>
      <c r="AI4" s="7"/>
      <c r="AJ4" s="10"/>
      <c r="AK4" s="7"/>
      <c r="AL4" s="7" t="s">
        <v>104</v>
      </c>
      <c r="AM4" s="7" t="s">
        <v>105</v>
      </c>
      <c r="AN4" s="7"/>
      <c r="AO4" s="7"/>
      <c r="AP4" s="7"/>
      <c r="AQ4" s="7"/>
      <c r="AR4" s="7"/>
      <c r="AS4" s="7"/>
      <c r="AT4" s="7" t="n">
        <v>27236471</v>
      </c>
      <c r="AU4" s="7"/>
      <c r="AV4" s="7"/>
      <c r="AW4" s="7"/>
      <c r="AX4" s="7" t="s">
        <v>106</v>
      </c>
      <c r="AY4" s="7" t="s">
        <v>75</v>
      </c>
      <c r="AZ4" s="7" t="s">
        <v>107</v>
      </c>
      <c r="BA4" s="7" t="s">
        <v>76</v>
      </c>
      <c r="BB4" s="7" t="s">
        <v>108</v>
      </c>
      <c r="BC4" s="7"/>
      <c r="BD4" s="7"/>
      <c r="BE4" s="7"/>
      <c r="BF4" s="7"/>
      <c r="BG4" s="7"/>
      <c r="BH4" s="7"/>
      <c r="BI4" s="7"/>
    </row>
    <row r="5" customFormat="false" ht="15.75" hidden="false" customHeight="true" outlineLevel="0" collapsed="false">
      <c r="A5" s="7" t="s">
        <v>109</v>
      </c>
      <c r="B5" s="7" t="s">
        <v>110</v>
      </c>
      <c r="C5" s="7" t="s">
        <v>111</v>
      </c>
      <c r="D5" s="7" t="s">
        <v>112</v>
      </c>
      <c r="E5" s="7" t="n">
        <v>2025</v>
      </c>
      <c r="F5" s="8" t="s">
        <v>113</v>
      </c>
      <c r="G5" s="6" t="s">
        <v>59</v>
      </c>
      <c r="H5" s="6"/>
      <c r="I5" s="7"/>
      <c r="J5" s="7"/>
      <c r="K5" s="7"/>
      <c r="L5" s="7"/>
      <c r="M5" s="7"/>
      <c r="N5" s="7"/>
      <c r="O5" s="7"/>
      <c r="P5" s="7" t="s">
        <v>61</v>
      </c>
      <c r="Q5" s="7" t="s">
        <v>62</v>
      </c>
      <c r="R5" s="7" t="s">
        <v>114</v>
      </c>
      <c r="S5" s="7" t="n">
        <v>22</v>
      </c>
      <c r="T5" s="7" t="s">
        <v>115</v>
      </c>
      <c r="U5" s="7" t="n">
        <v>1</v>
      </c>
      <c r="V5" s="7" t="n">
        <v>47</v>
      </c>
      <c r="W5" s="7"/>
      <c r="X5" s="7"/>
      <c r="Y5" s="7"/>
      <c r="Z5" s="7" t="s">
        <v>116</v>
      </c>
      <c r="AA5" s="9" t="s">
        <v>117</v>
      </c>
      <c r="AB5" s="7" t="s">
        <v>118</v>
      </c>
      <c r="AC5" s="7" t="s">
        <v>119</v>
      </c>
      <c r="AD5" s="7" t="s">
        <v>120</v>
      </c>
      <c r="AE5" s="7" t="s">
        <v>121</v>
      </c>
      <c r="AF5" s="7"/>
      <c r="AG5" s="7"/>
      <c r="AH5" s="7" t="s">
        <v>122</v>
      </c>
      <c r="AI5" s="7" t="s">
        <v>123</v>
      </c>
      <c r="AJ5" s="10"/>
      <c r="AK5" s="7"/>
      <c r="AL5" s="7" t="s">
        <v>124</v>
      </c>
      <c r="AM5" s="7" t="s">
        <v>125</v>
      </c>
      <c r="AN5" s="7"/>
      <c r="AO5" s="7"/>
      <c r="AP5" s="7"/>
      <c r="AQ5" s="7"/>
      <c r="AR5" s="7"/>
      <c r="AS5" s="7"/>
      <c r="AT5" s="7" t="n">
        <v>16617827</v>
      </c>
      <c r="AU5" s="7"/>
      <c r="AV5" s="7"/>
      <c r="AW5" s="7" t="n">
        <v>39857500</v>
      </c>
      <c r="AX5" s="7" t="s">
        <v>126</v>
      </c>
      <c r="AY5" s="7" t="s">
        <v>75</v>
      </c>
      <c r="AZ5" s="7" t="s">
        <v>127</v>
      </c>
      <c r="BA5" s="7" t="s">
        <v>76</v>
      </c>
      <c r="BB5" s="7" t="s">
        <v>128</v>
      </c>
      <c r="BC5" s="7"/>
      <c r="BD5" s="7"/>
      <c r="BE5" s="7"/>
      <c r="BF5" s="7"/>
      <c r="BG5" s="7"/>
      <c r="BH5" s="7"/>
      <c r="BI5" s="7"/>
    </row>
    <row r="6" customFormat="false" ht="15.75" hidden="false" customHeight="true" outlineLevel="0" collapsed="false">
      <c r="A6" s="7" t="s">
        <v>129</v>
      </c>
      <c r="B6" s="7" t="s">
        <v>130</v>
      </c>
      <c r="C6" s="7" t="s">
        <v>131</v>
      </c>
      <c r="D6" s="7" t="s">
        <v>132</v>
      </c>
      <c r="E6" s="7" t="n">
        <v>2025</v>
      </c>
      <c r="F6" s="8" t="s">
        <v>133</v>
      </c>
      <c r="G6" s="6" t="s">
        <v>134</v>
      </c>
      <c r="H6" s="6"/>
      <c r="I6" s="6"/>
      <c r="J6" s="7"/>
      <c r="K6" s="7"/>
      <c r="L6" s="7"/>
      <c r="M6" s="7"/>
      <c r="N6" s="7"/>
      <c r="O6" s="7"/>
      <c r="P6" s="7" t="s">
        <v>61</v>
      </c>
      <c r="Q6" s="7" t="s">
        <v>62</v>
      </c>
      <c r="R6" s="7" t="s">
        <v>63</v>
      </c>
      <c r="S6" s="7" t="n">
        <v>185</v>
      </c>
      <c r="T6" s="7" t="s">
        <v>64</v>
      </c>
      <c r="U6" s="7"/>
      <c r="V6" s="7" t="n">
        <v>109593</v>
      </c>
      <c r="W6" s="7"/>
      <c r="X6" s="7"/>
      <c r="Y6" s="7"/>
      <c r="Z6" s="7" t="s">
        <v>135</v>
      </c>
      <c r="AA6" s="9" t="s">
        <v>136</v>
      </c>
      <c r="AB6" s="7" t="s">
        <v>137</v>
      </c>
      <c r="AC6" s="7" t="s">
        <v>138</v>
      </c>
      <c r="AD6" s="7" t="s">
        <v>139</v>
      </c>
      <c r="AE6" s="7" t="s">
        <v>140</v>
      </c>
      <c r="AF6" s="7"/>
      <c r="AG6" s="7"/>
      <c r="AH6" s="7"/>
      <c r="AI6" s="7"/>
      <c r="AJ6" s="10"/>
      <c r="AK6" s="7"/>
      <c r="AL6" s="7" t="s">
        <v>141</v>
      </c>
      <c r="AM6" s="7" t="s">
        <v>142</v>
      </c>
      <c r="AN6" s="7"/>
      <c r="AO6" s="7"/>
      <c r="AP6" s="7"/>
      <c r="AQ6" s="7"/>
      <c r="AR6" s="7"/>
      <c r="AS6" s="7"/>
      <c r="AT6" s="7" t="n">
        <v>104825</v>
      </c>
      <c r="AU6" s="7"/>
      <c r="AV6" s="7" t="s">
        <v>73</v>
      </c>
      <c r="AW6" s="7" t="n">
        <v>39709870</v>
      </c>
      <c r="AX6" s="7" t="s">
        <v>74</v>
      </c>
      <c r="AY6" s="7" t="s">
        <v>75</v>
      </c>
      <c r="AZ6" s="7"/>
      <c r="BA6" s="7" t="s">
        <v>76</v>
      </c>
      <c r="BB6" s="7" t="s">
        <v>143</v>
      </c>
      <c r="BC6" s="7"/>
      <c r="BD6" s="7"/>
      <c r="BE6" s="7"/>
      <c r="BF6" s="7"/>
      <c r="BG6" s="7"/>
      <c r="BH6" s="7"/>
      <c r="BI6" s="7"/>
    </row>
    <row r="7" customFormat="false" ht="15.75" hidden="false" customHeight="true" outlineLevel="0" collapsed="false">
      <c r="A7" s="7" t="s">
        <v>144</v>
      </c>
      <c r="B7" s="7" t="s">
        <v>145</v>
      </c>
      <c r="C7" s="7" t="s">
        <v>146</v>
      </c>
      <c r="D7" s="7" t="s">
        <v>147</v>
      </c>
      <c r="E7" s="7" t="n">
        <v>2025</v>
      </c>
      <c r="F7" s="8" t="s">
        <v>148</v>
      </c>
      <c r="G7" s="6" t="s">
        <v>149</v>
      </c>
      <c r="H7" s="7"/>
      <c r="I7" s="7"/>
      <c r="J7" s="7"/>
      <c r="K7" s="7"/>
      <c r="L7" s="7"/>
      <c r="M7" s="7"/>
      <c r="N7" s="7"/>
      <c r="O7" s="7"/>
      <c r="P7" s="7" t="s">
        <v>61</v>
      </c>
      <c r="Q7" s="7" t="s">
        <v>62</v>
      </c>
      <c r="R7" s="7" t="s">
        <v>150</v>
      </c>
      <c r="S7" s="7" t="n">
        <v>10</v>
      </c>
      <c r="T7" s="7" t="s">
        <v>151</v>
      </c>
      <c r="U7" s="7" t="n">
        <v>1</v>
      </c>
      <c r="V7" s="7"/>
      <c r="W7" s="7" t="n">
        <v>257</v>
      </c>
      <c r="X7" s="7" t="n">
        <v>267</v>
      </c>
      <c r="Y7" s="7" t="n">
        <v>10</v>
      </c>
      <c r="Z7" s="7" t="s">
        <v>152</v>
      </c>
      <c r="AA7" s="9" t="s">
        <v>153</v>
      </c>
      <c r="AB7" s="7" t="s">
        <v>154</v>
      </c>
      <c r="AC7" s="7" t="s">
        <v>155</v>
      </c>
      <c r="AD7" s="7" t="s">
        <v>156</v>
      </c>
      <c r="AE7" s="7" t="s">
        <v>157</v>
      </c>
      <c r="AF7" s="7"/>
      <c r="AG7" s="7"/>
      <c r="AH7" s="7"/>
      <c r="AI7" s="7"/>
      <c r="AJ7" s="10" t="s">
        <v>158</v>
      </c>
      <c r="AK7" s="7" t="s">
        <v>159</v>
      </c>
      <c r="AL7" s="7" t="s">
        <v>160</v>
      </c>
      <c r="AM7" s="7" t="s">
        <v>161</v>
      </c>
      <c r="AN7" s="7"/>
      <c r="AO7" s="7"/>
      <c r="AP7" s="7"/>
      <c r="AQ7" s="7"/>
      <c r="AR7" s="7"/>
      <c r="AS7" s="7"/>
      <c r="AT7" s="7" t="n">
        <v>24682152</v>
      </c>
      <c r="AU7" s="7"/>
      <c r="AV7" s="7"/>
      <c r="AW7" s="7"/>
      <c r="AX7" s="7" t="s">
        <v>162</v>
      </c>
      <c r="AY7" s="7" t="s">
        <v>75</v>
      </c>
      <c r="AZ7" s="7" t="s">
        <v>127</v>
      </c>
      <c r="BA7" s="7" t="s">
        <v>76</v>
      </c>
      <c r="BB7" s="7" t="s">
        <v>163</v>
      </c>
      <c r="BC7" s="7"/>
      <c r="BD7" s="7"/>
      <c r="BE7" s="7"/>
      <c r="BF7" s="7"/>
      <c r="BG7" s="7"/>
      <c r="BH7" s="7"/>
      <c r="BI7" s="7"/>
    </row>
    <row r="8" customFormat="false" ht="15.75" hidden="false" customHeight="true" outlineLevel="0" collapsed="false">
      <c r="A8" s="7" t="s">
        <v>164</v>
      </c>
      <c r="B8" s="7" t="s">
        <v>165</v>
      </c>
      <c r="C8" s="7" t="s">
        <v>166</v>
      </c>
      <c r="D8" s="7" t="s">
        <v>167</v>
      </c>
      <c r="E8" s="7" t="n">
        <v>2025</v>
      </c>
      <c r="F8" s="8" t="s">
        <v>168</v>
      </c>
      <c r="G8" s="6" t="s">
        <v>169</v>
      </c>
      <c r="H8" s="7"/>
      <c r="I8" s="7"/>
      <c r="J8" s="7"/>
      <c r="K8" s="7"/>
      <c r="L8" s="7"/>
      <c r="M8" s="7"/>
      <c r="N8" s="7"/>
      <c r="O8" s="7"/>
      <c r="P8" s="7" t="s">
        <v>61</v>
      </c>
      <c r="Q8" s="7" t="s">
        <v>62</v>
      </c>
      <c r="R8" s="7" t="s">
        <v>170</v>
      </c>
      <c r="S8" s="7" t="n">
        <v>115</v>
      </c>
      <c r="T8" s="7" t="s">
        <v>64</v>
      </c>
      <c r="U8" s="7"/>
      <c r="V8" s="7" t="n">
        <v>108365</v>
      </c>
      <c r="W8" s="7"/>
      <c r="X8" s="7"/>
      <c r="Y8" s="7"/>
      <c r="Z8" s="7" t="s">
        <v>171</v>
      </c>
      <c r="AA8" s="9" t="s">
        <v>172</v>
      </c>
      <c r="AB8" s="7" t="s">
        <v>173</v>
      </c>
      <c r="AC8" s="7" t="s">
        <v>174</v>
      </c>
      <c r="AD8" s="7" t="s">
        <v>175</v>
      </c>
      <c r="AE8" s="7" t="s">
        <v>176</v>
      </c>
      <c r="AF8" s="7"/>
      <c r="AG8" s="7"/>
      <c r="AH8" s="7"/>
      <c r="AI8" s="7"/>
      <c r="AJ8" s="10"/>
      <c r="AK8" s="7"/>
      <c r="AL8" s="7" t="s">
        <v>177</v>
      </c>
      <c r="AM8" s="7" t="s">
        <v>178</v>
      </c>
      <c r="AN8" s="7"/>
      <c r="AO8" s="7"/>
      <c r="AP8" s="7"/>
      <c r="AQ8" s="7"/>
      <c r="AR8" s="7"/>
      <c r="AS8" s="7"/>
      <c r="AT8" s="7" t="n">
        <v>14769271</v>
      </c>
      <c r="AU8" s="7"/>
      <c r="AV8" s="7"/>
      <c r="AW8" s="7"/>
      <c r="AX8" s="7" t="s">
        <v>179</v>
      </c>
      <c r="AY8" s="7" t="s">
        <v>75</v>
      </c>
      <c r="AZ8" s="7"/>
      <c r="BA8" s="7" t="s">
        <v>76</v>
      </c>
      <c r="BB8" s="7" t="s">
        <v>180</v>
      </c>
      <c r="BC8" s="7"/>
      <c r="BD8" s="7"/>
      <c r="BE8" s="7"/>
      <c r="BF8" s="7"/>
      <c r="BG8" s="7"/>
      <c r="BH8" s="7"/>
      <c r="BI8" s="7"/>
    </row>
    <row r="9" customFormat="false" ht="15.75" hidden="false" customHeight="true" outlineLevel="0" collapsed="false">
      <c r="A9" s="7" t="s">
        <v>181</v>
      </c>
      <c r="B9" s="7" t="s">
        <v>182</v>
      </c>
      <c r="C9" s="7" t="s">
        <v>183</v>
      </c>
      <c r="D9" s="7" t="s">
        <v>184</v>
      </c>
      <c r="E9" s="7" t="n">
        <v>2025</v>
      </c>
      <c r="F9" s="8" t="s">
        <v>185</v>
      </c>
      <c r="G9" s="6" t="s">
        <v>149</v>
      </c>
      <c r="H9" s="6"/>
      <c r="I9" s="7"/>
      <c r="J9" s="7"/>
      <c r="K9" s="7"/>
      <c r="L9" s="7"/>
      <c r="M9" s="7"/>
      <c r="N9" s="7"/>
      <c r="O9" s="7"/>
      <c r="P9" s="7" t="s">
        <v>61</v>
      </c>
      <c r="Q9" s="7" t="s">
        <v>62</v>
      </c>
      <c r="R9" s="7" t="s">
        <v>186</v>
      </c>
      <c r="S9" s="7"/>
      <c r="T9" s="7" t="s">
        <v>187</v>
      </c>
      <c r="U9" s="7"/>
      <c r="V9" s="7"/>
      <c r="W9" s="7"/>
      <c r="X9" s="7"/>
      <c r="Y9" s="7"/>
      <c r="Z9" s="7" t="s">
        <v>188</v>
      </c>
      <c r="AA9" s="9" t="s">
        <v>189</v>
      </c>
      <c r="AB9" s="7" t="s">
        <v>190</v>
      </c>
      <c r="AC9" s="7" t="s">
        <v>191</v>
      </c>
      <c r="AD9" s="7" t="s">
        <v>192</v>
      </c>
      <c r="AE9" s="7"/>
      <c r="AF9" s="7"/>
      <c r="AG9" s="7"/>
      <c r="AH9" s="7"/>
      <c r="AI9" s="7"/>
      <c r="AJ9" s="10"/>
      <c r="AK9" s="7"/>
      <c r="AL9" s="7" t="s">
        <v>193</v>
      </c>
      <c r="AM9" s="7"/>
      <c r="AN9" s="7"/>
      <c r="AO9" s="7"/>
      <c r="AP9" s="7"/>
      <c r="AQ9" s="7"/>
      <c r="AR9" s="7"/>
      <c r="AS9" s="7"/>
      <c r="AT9" s="7" t="n">
        <v>21693536</v>
      </c>
      <c r="AU9" s="7"/>
      <c r="AV9" s="7"/>
      <c r="AW9" s="7"/>
      <c r="AX9" s="7" t="s">
        <v>186</v>
      </c>
      <c r="AY9" s="7" t="s">
        <v>194</v>
      </c>
      <c r="AZ9" s="7" t="s">
        <v>127</v>
      </c>
      <c r="BA9" s="7" t="s">
        <v>76</v>
      </c>
      <c r="BB9" s="7" t="s">
        <v>195</v>
      </c>
      <c r="BC9" s="7"/>
      <c r="BD9" s="7"/>
      <c r="BE9" s="7"/>
      <c r="BF9" s="7"/>
      <c r="BG9" s="7"/>
      <c r="BH9" s="7"/>
      <c r="BI9" s="7"/>
    </row>
    <row r="10" customFormat="false" ht="15.75" hidden="false" customHeight="true" outlineLevel="0" collapsed="false">
      <c r="A10" s="7" t="s">
        <v>196</v>
      </c>
      <c r="B10" s="7" t="s">
        <v>197</v>
      </c>
      <c r="C10" s="7" t="s">
        <v>198</v>
      </c>
      <c r="D10" s="7" t="s">
        <v>199</v>
      </c>
      <c r="E10" s="7" t="n">
        <v>2025</v>
      </c>
      <c r="F10" s="8" t="s">
        <v>200</v>
      </c>
      <c r="G10" s="6" t="s">
        <v>149</v>
      </c>
      <c r="H10" s="6"/>
      <c r="I10" s="7"/>
      <c r="J10" s="7"/>
      <c r="K10" s="7"/>
      <c r="L10" s="7"/>
      <c r="M10" s="7"/>
      <c r="N10" s="7"/>
      <c r="O10" s="7"/>
      <c r="P10" s="7" t="s">
        <v>61</v>
      </c>
      <c r="Q10" s="7" t="s">
        <v>62</v>
      </c>
      <c r="R10" s="7" t="s">
        <v>201</v>
      </c>
      <c r="S10" s="7" t="n">
        <v>14</v>
      </c>
      <c r="T10" s="7" t="s">
        <v>202</v>
      </c>
      <c r="U10" s="7"/>
      <c r="V10" s="7" t="n">
        <v>103198</v>
      </c>
      <c r="W10" s="7"/>
      <c r="X10" s="7"/>
      <c r="Y10" s="7"/>
      <c r="Z10" s="7" t="s">
        <v>203</v>
      </c>
      <c r="AA10" s="9" t="s">
        <v>204</v>
      </c>
      <c r="AB10" s="7" t="s">
        <v>205</v>
      </c>
      <c r="AC10" s="7" t="s">
        <v>206</v>
      </c>
      <c r="AD10" s="7" t="s">
        <v>207</v>
      </c>
      <c r="AE10" s="7" t="s">
        <v>208</v>
      </c>
      <c r="AF10" s="7"/>
      <c r="AG10" s="7"/>
      <c r="AH10" s="7"/>
      <c r="AI10" s="7"/>
      <c r="AJ10" s="10"/>
      <c r="AK10" s="7"/>
      <c r="AL10" s="7" t="s">
        <v>209</v>
      </c>
      <c r="AM10" s="7" t="s">
        <v>210</v>
      </c>
      <c r="AN10" s="7"/>
      <c r="AO10" s="7"/>
      <c r="AP10" s="7"/>
      <c r="AQ10" s="7"/>
      <c r="AR10" s="7"/>
      <c r="AS10" s="7"/>
      <c r="AT10" s="7" t="n">
        <v>22150161</v>
      </c>
      <c r="AU10" s="7"/>
      <c r="AV10" s="7"/>
      <c r="AW10" s="7"/>
      <c r="AX10" s="7" t="s">
        <v>201</v>
      </c>
      <c r="AY10" s="7" t="s">
        <v>75</v>
      </c>
      <c r="AZ10" s="7" t="s">
        <v>127</v>
      </c>
      <c r="BA10" s="7" t="s">
        <v>76</v>
      </c>
      <c r="BB10" s="7" t="s">
        <v>211</v>
      </c>
      <c r="BC10" s="7"/>
      <c r="BD10" s="7"/>
      <c r="BE10" s="7"/>
      <c r="BF10" s="7"/>
      <c r="BG10" s="7"/>
      <c r="BH10" s="7"/>
      <c r="BI10" s="7"/>
    </row>
    <row r="11" customFormat="false" ht="15.75" hidden="false" customHeight="true" outlineLevel="0" collapsed="false">
      <c r="A11" s="7" t="s">
        <v>212</v>
      </c>
      <c r="B11" s="7" t="s">
        <v>213</v>
      </c>
      <c r="C11" s="7" t="s">
        <v>214</v>
      </c>
      <c r="D11" s="7" t="s">
        <v>215</v>
      </c>
      <c r="E11" s="7" t="n">
        <v>2025</v>
      </c>
      <c r="F11" s="8" t="s">
        <v>216</v>
      </c>
      <c r="G11" s="6" t="s">
        <v>169</v>
      </c>
      <c r="H11" s="6"/>
      <c r="I11" s="6"/>
      <c r="J11" s="7"/>
      <c r="K11" s="7"/>
      <c r="L11" s="7"/>
      <c r="M11" s="7"/>
      <c r="N11" s="7"/>
      <c r="O11" s="7"/>
      <c r="P11" s="7" t="s">
        <v>61</v>
      </c>
      <c r="Q11" s="7" t="s">
        <v>62</v>
      </c>
      <c r="R11" s="7" t="s">
        <v>217</v>
      </c>
      <c r="S11" s="7" t="n">
        <v>418</v>
      </c>
      <c r="T11" s="7" t="s">
        <v>218</v>
      </c>
      <c r="U11" s="7"/>
      <c r="V11" s="7" t="n">
        <v>132636</v>
      </c>
      <c r="W11" s="7"/>
      <c r="X11" s="7"/>
      <c r="Y11" s="7"/>
      <c r="Z11" s="7" t="s">
        <v>219</v>
      </c>
      <c r="AA11" s="9" t="s">
        <v>220</v>
      </c>
      <c r="AB11" s="7" t="s">
        <v>221</v>
      </c>
      <c r="AC11" s="7" t="s">
        <v>222</v>
      </c>
      <c r="AD11" s="7" t="s">
        <v>223</v>
      </c>
      <c r="AE11" s="7" t="s">
        <v>224</v>
      </c>
      <c r="AF11" s="7"/>
      <c r="AG11" s="7" t="s">
        <v>225</v>
      </c>
      <c r="AH11" s="7" t="s">
        <v>226</v>
      </c>
      <c r="AI11" s="7"/>
      <c r="AJ11" s="10" t="s">
        <v>227</v>
      </c>
      <c r="AK11" s="7" t="s">
        <v>228</v>
      </c>
      <c r="AL11" s="7" t="s">
        <v>229</v>
      </c>
      <c r="AM11" s="7" t="s">
        <v>230</v>
      </c>
      <c r="AN11" s="7"/>
      <c r="AO11" s="7"/>
      <c r="AP11" s="7"/>
      <c r="AQ11" s="7"/>
      <c r="AR11" s="7"/>
      <c r="AS11" s="7"/>
      <c r="AT11" s="7" t="n">
        <v>1675273</v>
      </c>
      <c r="AU11" s="7"/>
      <c r="AV11" s="7" t="s">
        <v>231</v>
      </c>
      <c r="AW11" s="7" t="n">
        <v>39395722</v>
      </c>
      <c r="AX11" s="7" t="s">
        <v>232</v>
      </c>
      <c r="AY11" s="7" t="s">
        <v>75</v>
      </c>
      <c r="AZ11" s="7"/>
      <c r="BA11" s="7" t="s">
        <v>76</v>
      </c>
      <c r="BB11" s="7" t="s">
        <v>233</v>
      </c>
      <c r="BC11" s="7"/>
      <c r="BD11" s="7"/>
      <c r="BE11" s="7"/>
      <c r="BF11" s="7"/>
      <c r="BG11" s="7"/>
      <c r="BH11" s="7"/>
      <c r="BI11" s="7"/>
    </row>
    <row r="12" customFormat="false" ht="15.75" hidden="false" customHeight="true" outlineLevel="0" collapsed="false">
      <c r="A12" s="7" t="s">
        <v>234</v>
      </c>
      <c r="B12" s="7" t="s">
        <v>235</v>
      </c>
      <c r="C12" s="7" t="s">
        <v>236</v>
      </c>
      <c r="D12" s="7" t="s">
        <v>237</v>
      </c>
      <c r="E12" s="7" t="n">
        <v>2025</v>
      </c>
      <c r="F12" s="8" t="s">
        <v>238</v>
      </c>
      <c r="G12" s="6" t="s">
        <v>169</v>
      </c>
      <c r="H12" s="6"/>
      <c r="I12" s="6"/>
      <c r="J12" s="7"/>
      <c r="K12" s="7"/>
      <c r="L12" s="7"/>
      <c r="M12" s="7"/>
      <c r="N12" s="7"/>
      <c r="O12" s="7"/>
      <c r="P12" s="7" t="s">
        <v>61</v>
      </c>
      <c r="Q12" s="7" t="s">
        <v>62</v>
      </c>
      <c r="R12" s="7" t="s">
        <v>239</v>
      </c>
      <c r="S12" s="7" t="n">
        <v>13</v>
      </c>
      <c r="T12" s="7" t="s">
        <v>240</v>
      </c>
      <c r="U12" s="7" t="n">
        <v>3</v>
      </c>
      <c r="V12" s="7" t="n">
        <v>1055</v>
      </c>
      <c r="W12" s="7"/>
      <c r="X12" s="7"/>
      <c r="Y12" s="7"/>
      <c r="Z12" s="7" t="s">
        <v>241</v>
      </c>
      <c r="AA12" s="9" t="s">
        <v>242</v>
      </c>
      <c r="AB12" s="7" t="s">
        <v>243</v>
      </c>
      <c r="AC12" s="7" t="s">
        <v>244</v>
      </c>
      <c r="AD12" s="7" t="s">
        <v>245</v>
      </c>
      <c r="AE12" s="7"/>
      <c r="AF12" s="7"/>
      <c r="AG12" s="7"/>
      <c r="AH12" s="7"/>
      <c r="AI12" s="7"/>
      <c r="AJ12" s="10"/>
      <c r="AK12" s="7"/>
      <c r="AL12" s="7" t="s">
        <v>246</v>
      </c>
      <c r="AM12" s="7" t="s">
        <v>247</v>
      </c>
      <c r="AN12" s="7"/>
      <c r="AO12" s="7"/>
      <c r="AP12" s="7"/>
      <c r="AQ12" s="7"/>
      <c r="AR12" s="7"/>
      <c r="AS12" s="7"/>
      <c r="AT12" s="7" t="n">
        <v>23214635</v>
      </c>
      <c r="AU12" s="7"/>
      <c r="AV12" s="7"/>
      <c r="AW12" s="7"/>
      <c r="AX12" s="7" t="s">
        <v>248</v>
      </c>
      <c r="AY12" s="7" t="s">
        <v>75</v>
      </c>
      <c r="AZ12" s="7"/>
      <c r="BA12" s="7" t="s">
        <v>76</v>
      </c>
      <c r="BB12" s="7" t="s">
        <v>249</v>
      </c>
      <c r="BC12" s="7"/>
      <c r="BD12" s="7"/>
      <c r="BE12" s="7"/>
      <c r="BF12" s="7"/>
      <c r="BG12" s="7"/>
      <c r="BH12" s="7"/>
      <c r="BI12" s="7"/>
    </row>
    <row r="13" customFormat="false" ht="15.75" hidden="false" customHeight="true" outlineLevel="0" collapsed="false">
      <c r="A13" s="7" t="s">
        <v>250</v>
      </c>
      <c r="B13" s="7" t="s">
        <v>251</v>
      </c>
      <c r="C13" s="7" t="s">
        <v>252</v>
      </c>
      <c r="D13" s="7" t="s">
        <v>253</v>
      </c>
      <c r="E13" s="7" t="n">
        <v>2025</v>
      </c>
      <c r="F13" s="8" t="s">
        <v>254</v>
      </c>
      <c r="G13" s="6" t="s">
        <v>149</v>
      </c>
      <c r="H13" s="7"/>
      <c r="I13" s="6"/>
      <c r="J13" s="7"/>
      <c r="K13" s="7"/>
      <c r="L13" s="7"/>
      <c r="M13" s="7"/>
      <c r="N13" s="7"/>
      <c r="O13" s="7"/>
      <c r="P13" s="7" t="s">
        <v>255</v>
      </c>
      <c r="Q13" s="7" t="s">
        <v>62</v>
      </c>
      <c r="R13" s="7" t="s">
        <v>256</v>
      </c>
      <c r="S13" s="7" t="s">
        <v>257</v>
      </c>
      <c r="T13" s="7" t="s">
        <v>258</v>
      </c>
      <c r="U13" s="7"/>
      <c r="V13" s="7"/>
      <c r="W13" s="7" t="n">
        <v>73</v>
      </c>
      <c r="X13" s="7" t="n">
        <v>109</v>
      </c>
      <c r="Y13" s="7" t="n">
        <v>36</v>
      </c>
      <c r="Z13" s="7" t="s">
        <v>259</v>
      </c>
      <c r="AA13" s="9" t="s">
        <v>260</v>
      </c>
      <c r="AB13" s="7" t="s">
        <v>261</v>
      </c>
      <c r="AC13" s="7" t="s">
        <v>262</v>
      </c>
      <c r="AD13" s="7" t="s">
        <v>263</v>
      </c>
      <c r="AE13" s="7"/>
      <c r="AF13" s="7"/>
      <c r="AG13" s="7"/>
      <c r="AH13" s="7"/>
      <c r="AI13" s="7"/>
      <c r="AJ13" s="10"/>
      <c r="AK13" s="7"/>
      <c r="AL13" s="7" t="s">
        <v>264</v>
      </c>
      <c r="AM13" s="7" t="s">
        <v>265</v>
      </c>
      <c r="AN13" s="7"/>
      <c r="AO13" s="7"/>
      <c r="AP13" s="7"/>
      <c r="AQ13" s="7"/>
      <c r="AR13" s="7"/>
      <c r="AS13" s="7"/>
      <c r="AT13" s="7" t="s">
        <v>266</v>
      </c>
      <c r="AU13" s="7"/>
      <c r="AV13" s="7"/>
      <c r="AW13" s="7"/>
      <c r="AX13" s="7" t="s">
        <v>267</v>
      </c>
      <c r="AY13" s="7" t="s">
        <v>75</v>
      </c>
      <c r="AZ13" s="7"/>
      <c r="BA13" s="7" t="s">
        <v>76</v>
      </c>
      <c r="BB13" s="7" t="s">
        <v>268</v>
      </c>
      <c r="BC13" s="7"/>
      <c r="BD13" s="7"/>
      <c r="BE13" s="7"/>
      <c r="BF13" s="7"/>
      <c r="BG13" s="7"/>
      <c r="BH13" s="7"/>
      <c r="BI13" s="7"/>
    </row>
    <row r="14" customFormat="false" ht="15.75" hidden="false" customHeight="true" outlineLevel="0" collapsed="false">
      <c r="A14" s="7" t="s">
        <v>269</v>
      </c>
      <c r="B14" s="7" t="s">
        <v>270</v>
      </c>
      <c r="C14" s="7" t="n">
        <v>57215723998</v>
      </c>
      <c r="D14" s="7" t="s">
        <v>271</v>
      </c>
      <c r="E14" s="7" t="n">
        <v>2025</v>
      </c>
      <c r="F14" s="8" t="s">
        <v>272</v>
      </c>
      <c r="G14" s="6" t="s">
        <v>134</v>
      </c>
      <c r="H14" s="7"/>
      <c r="I14" s="7"/>
      <c r="J14" s="7"/>
      <c r="K14" s="7"/>
      <c r="L14" s="7"/>
      <c r="M14" s="7"/>
      <c r="N14" s="7"/>
      <c r="O14" s="7"/>
      <c r="P14" s="7" t="s">
        <v>255</v>
      </c>
      <c r="Q14" s="7" t="s">
        <v>62</v>
      </c>
      <c r="R14" s="7" t="s">
        <v>273</v>
      </c>
      <c r="S14" s="7"/>
      <c r="T14" s="7" t="s">
        <v>274</v>
      </c>
      <c r="U14" s="7"/>
      <c r="V14" s="7"/>
      <c r="W14" s="7" t="n">
        <v>157</v>
      </c>
      <c r="X14" s="7" t="n">
        <v>160</v>
      </c>
      <c r="Y14" s="7" t="n">
        <v>3</v>
      </c>
      <c r="Z14" s="7" t="s">
        <v>275</v>
      </c>
      <c r="AA14" s="9" t="s">
        <v>276</v>
      </c>
      <c r="AB14" s="7" t="s">
        <v>277</v>
      </c>
      <c r="AC14" s="7" t="s">
        <v>278</v>
      </c>
      <c r="AD14" s="7" t="s">
        <v>279</v>
      </c>
      <c r="AE14" s="7"/>
      <c r="AF14" s="7"/>
      <c r="AG14" s="7"/>
      <c r="AH14" s="7"/>
      <c r="AI14" s="7"/>
      <c r="AJ14" s="10"/>
      <c r="AK14" s="7"/>
      <c r="AL14" s="7" t="s">
        <v>280</v>
      </c>
      <c r="AM14" s="7" t="s">
        <v>281</v>
      </c>
      <c r="AN14" s="7"/>
      <c r="AO14" s="7"/>
      <c r="AP14" s="7"/>
      <c r="AQ14" s="7"/>
      <c r="AR14" s="7"/>
      <c r="AS14" s="7"/>
      <c r="AT14" s="7"/>
      <c r="AU14" s="7" t="s">
        <v>282</v>
      </c>
      <c r="AV14" s="7"/>
      <c r="AW14" s="7"/>
      <c r="AX14" s="7" t="s">
        <v>283</v>
      </c>
      <c r="AY14" s="7" t="s">
        <v>75</v>
      </c>
      <c r="AZ14" s="7"/>
      <c r="BA14" s="7" t="s">
        <v>76</v>
      </c>
      <c r="BB14" s="7" t="s">
        <v>284</v>
      </c>
      <c r="BC14" s="7"/>
      <c r="BD14" s="7"/>
      <c r="BE14" s="7"/>
      <c r="BF14" s="7"/>
      <c r="BG14" s="7"/>
      <c r="BH14" s="7"/>
      <c r="BI14" s="7"/>
    </row>
    <row r="15" customFormat="false" ht="15.75" hidden="false" customHeight="true" outlineLevel="0" collapsed="false">
      <c r="A15" s="7" t="s">
        <v>285</v>
      </c>
      <c r="B15" s="7" t="s">
        <v>286</v>
      </c>
      <c r="C15" s="7" t="s">
        <v>287</v>
      </c>
      <c r="D15" s="7" t="s">
        <v>288</v>
      </c>
      <c r="E15" s="7" t="n">
        <v>2025</v>
      </c>
      <c r="F15" s="8" t="s">
        <v>289</v>
      </c>
      <c r="G15" s="6" t="s">
        <v>290</v>
      </c>
      <c r="H15" s="7"/>
      <c r="I15" s="7"/>
      <c r="J15" s="7"/>
      <c r="K15" s="7"/>
      <c r="L15" s="7"/>
      <c r="M15" s="7"/>
      <c r="N15" s="7"/>
      <c r="O15" s="7"/>
      <c r="P15" s="7" t="s">
        <v>255</v>
      </c>
      <c r="Q15" s="7" t="s">
        <v>62</v>
      </c>
      <c r="R15" s="7" t="s">
        <v>291</v>
      </c>
      <c r="S15" s="7"/>
      <c r="T15" s="7" t="s">
        <v>274</v>
      </c>
      <c r="U15" s="7"/>
      <c r="V15" s="7"/>
      <c r="W15" s="7" t="n">
        <v>16</v>
      </c>
      <c r="X15" s="7" t="n">
        <v>17</v>
      </c>
      <c r="Y15" s="7" t="n">
        <v>1</v>
      </c>
      <c r="Z15" s="7" t="s">
        <v>292</v>
      </c>
      <c r="AA15" s="9" t="s">
        <v>293</v>
      </c>
      <c r="AB15" s="7" t="s">
        <v>294</v>
      </c>
      <c r="AC15" s="7" t="s">
        <v>295</v>
      </c>
      <c r="AD15" s="7"/>
      <c r="AE15" s="7"/>
      <c r="AF15" s="7"/>
      <c r="AG15" s="7"/>
      <c r="AH15" s="7"/>
      <c r="AI15" s="7"/>
      <c r="AJ15" s="10"/>
      <c r="AK15" s="7"/>
      <c r="AL15" s="7"/>
      <c r="AM15" s="7"/>
      <c r="AN15" s="7"/>
      <c r="AO15" s="7"/>
      <c r="AP15" s="7"/>
      <c r="AQ15" s="7"/>
      <c r="AR15" s="7"/>
      <c r="AS15" s="7"/>
      <c r="AT15" s="7"/>
      <c r="AU15" s="7" t="s">
        <v>296</v>
      </c>
      <c r="AV15" s="7"/>
      <c r="AW15" s="7"/>
      <c r="AX15" s="7" t="s">
        <v>297</v>
      </c>
      <c r="AY15" s="7" t="s">
        <v>75</v>
      </c>
      <c r="AZ15" s="7"/>
      <c r="BA15" s="7" t="s">
        <v>76</v>
      </c>
      <c r="BB15" s="7" t="s">
        <v>298</v>
      </c>
      <c r="BC15" s="7"/>
      <c r="BD15" s="7"/>
      <c r="BE15" s="7"/>
      <c r="BF15" s="7"/>
      <c r="BG15" s="7"/>
      <c r="BH15" s="7"/>
      <c r="BI15" s="7"/>
    </row>
    <row r="16" customFormat="false" ht="15.75" hidden="false" customHeight="true" outlineLevel="0" collapsed="false">
      <c r="A16" s="7" t="s">
        <v>299</v>
      </c>
      <c r="B16" s="7" t="s">
        <v>300</v>
      </c>
      <c r="C16" s="7" t="s">
        <v>301</v>
      </c>
      <c r="D16" s="7" t="s">
        <v>302</v>
      </c>
      <c r="E16" s="7" t="n">
        <v>2025</v>
      </c>
      <c r="F16" s="8" t="s">
        <v>303</v>
      </c>
      <c r="G16" s="6" t="s">
        <v>59</v>
      </c>
      <c r="H16" s="7"/>
      <c r="I16" s="7"/>
      <c r="J16" s="7"/>
      <c r="K16" s="7"/>
      <c r="L16" s="7"/>
      <c r="M16" s="7"/>
      <c r="N16" s="7"/>
      <c r="O16" s="7"/>
      <c r="P16" s="7" t="s">
        <v>304</v>
      </c>
      <c r="Q16" s="7" t="s">
        <v>62</v>
      </c>
      <c r="R16" s="7" t="s">
        <v>305</v>
      </c>
      <c r="S16" s="7" t="s">
        <v>306</v>
      </c>
      <c r="T16" s="7" t="s">
        <v>307</v>
      </c>
      <c r="U16" s="7"/>
      <c r="V16" s="7"/>
      <c r="W16" s="7" t="n">
        <v>280</v>
      </c>
      <c r="X16" s="7" t="n">
        <v>294</v>
      </c>
      <c r="Y16" s="7" t="n">
        <v>14</v>
      </c>
      <c r="Z16" s="7" t="s">
        <v>308</v>
      </c>
      <c r="AA16" s="9" t="s">
        <v>309</v>
      </c>
      <c r="AB16" s="7" t="s">
        <v>310</v>
      </c>
      <c r="AC16" s="7" t="s">
        <v>311</v>
      </c>
      <c r="AD16" s="7" t="s">
        <v>312</v>
      </c>
      <c r="AE16" s="7" t="s">
        <v>313</v>
      </c>
      <c r="AF16" s="7"/>
      <c r="AG16" s="7"/>
      <c r="AH16" s="7"/>
      <c r="AI16" s="7"/>
      <c r="AJ16" s="10"/>
      <c r="AK16" s="7"/>
      <c r="AL16" s="7" t="s">
        <v>314</v>
      </c>
      <c r="AM16" s="7" t="s">
        <v>315</v>
      </c>
      <c r="AN16" s="7" t="s">
        <v>316</v>
      </c>
      <c r="AO16" s="7"/>
      <c r="AP16" s="7" t="s">
        <v>317</v>
      </c>
      <c r="AQ16" s="7" t="s">
        <v>318</v>
      </c>
      <c r="AR16" s="7" t="s">
        <v>319</v>
      </c>
      <c r="AS16" s="7" t="n">
        <v>322469</v>
      </c>
      <c r="AT16" s="7" t="n">
        <v>18650929</v>
      </c>
      <c r="AU16" s="7" t="s">
        <v>320</v>
      </c>
      <c r="AV16" s="7"/>
      <c r="AW16" s="7"/>
      <c r="AX16" s="7" t="s">
        <v>321</v>
      </c>
      <c r="AY16" s="7" t="s">
        <v>75</v>
      </c>
      <c r="AZ16" s="7"/>
      <c r="BA16" s="7" t="s">
        <v>76</v>
      </c>
      <c r="BB16" s="7" t="s">
        <v>322</v>
      </c>
      <c r="BC16" s="7"/>
      <c r="BD16" s="7"/>
      <c r="BE16" s="7"/>
      <c r="BF16" s="7"/>
      <c r="BG16" s="7"/>
      <c r="BH16" s="7"/>
      <c r="BI16" s="7"/>
    </row>
    <row r="17" customFormat="false" ht="15.75" hidden="false" customHeight="true" outlineLevel="0" collapsed="false">
      <c r="A17" s="7" t="s">
        <v>323</v>
      </c>
      <c r="B17" s="7" t="s">
        <v>324</v>
      </c>
      <c r="C17" s="7" t="s">
        <v>325</v>
      </c>
      <c r="D17" s="7" t="s">
        <v>326</v>
      </c>
      <c r="E17" s="7" t="n">
        <v>2025</v>
      </c>
      <c r="F17" s="8" t="s">
        <v>327</v>
      </c>
      <c r="G17" s="6" t="s">
        <v>59</v>
      </c>
      <c r="H17" s="7"/>
      <c r="I17" s="7"/>
      <c r="J17" s="7"/>
      <c r="K17" s="7"/>
      <c r="L17" s="7"/>
      <c r="M17" s="7"/>
      <c r="N17" s="7"/>
      <c r="O17" s="7"/>
      <c r="P17" s="7" t="s">
        <v>304</v>
      </c>
      <c r="Q17" s="7" t="s">
        <v>62</v>
      </c>
      <c r="R17" s="7" t="s">
        <v>328</v>
      </c>
      <c r="S17" s="7" t="n">
        <v>2</v>
      </c>
      <c r="T17" s="7" t="s">
        <v>329</v>
      </c>
      <c r="U17" s="7"/>
      <c r="V17" s="7"/>
      <c r="W17" s="7" t="n">
        <v>343</v>
      </c>
      <c r="X17" s="7" t="n">
        <v>348</v>
      </c>
      <c r="Y17" s="7" t="n">
        <v>5</v>
      </c>
      <c r="Z17" s="7" t="s">
        <v>330</v>
      </c>
      <c r="AA17" s="9" t="s">
        <v>331</v>
      </c>
      <c r="AB17" s="7" t="s">
        <v>332</v>
      </c>
      <c r="AC17" s="7" t="s">
        <v>333</v>
      </c>
      <c r="AD17" s="7" t="s">
        <v>334</v>
      </c>
      <c r="AE17" s="7" t="s">
        <v>335</v>
      </c>
      <c r="AF17" s="7"/>
      <c r="AG17" s="7"/>
      <c r="AH17" s="7"/>
      <c r="AI17" s="7"/>
      <c r="AJ17" s="10"/>
      <c r="AK17" s="7"/>
      <c r="AL17" s="7" t="s">
        <v>336</v>
      </c>
      <c r="AM17" s="7"/>
      <c r="AN17" s="7" t="s">
        <v>337</v>
      </c>
      <c r="AO17" s="7"/>
      <c r="AP17" s="7" t="s">
        <v>338</v>
      </c>
      <c r="AQ17" s="7" t="s">
        <v>339</v>
      </c>
      <c r="AR17" s="7" t="s">
        <v>340</v>
      </c>
      <c r="AS17" s="7" t="n">
        <v>321169</v>
      </c>
      <c r="AT17" s="7"/>
      <c r="AU17" s="7" t="s">
        <v>341</v>
      </c>
      <c r="AV17" s="7"/>
      <c r="AW17" s="7"/>
      <c r="AX17" s="7" t="s">
        <v>342</v>
      </c>
      <c r="AY17" s="7" t="s">
        <v>75</v>
      </c>
      <c r="AZ17" s="7"/>
      <c r="BA17" s="7" t="s">
        <v>76</v>
      </c>
      <c r="BB17" s="7" t="s">
        <v>343</v>
      </c>
      <c r="BC17" s="7"/>
      <c r="BD17" s="7"/>
      <c r="BE17" s="7"/>
      <c r="BF17" s="7"/>
      <c r="BG17" s="7"/>
      <c r="BH17" s="7"/>
      <c r="BI17" s="7"/>
    </row>
    <row r="18" customFormat="false" ht="15.75" hidden="false" customHeight="true" outlineLevel="0" collapsed="false">
      <c r="A18" s="7" t="s">
        <v>344</v>
      </c>
      <c r="B18" s="7" t="s">
        <v>345</v>
      </c>
      <c r="C18" s="7" t="s">
        <v>346</v>
      </c>
      <c r="D18" s="7" t="s">
        <v>347</v>
      </c>
      <c r="E18" s="7" t="n">
        <v>2025</v>
      </c>
      <c r="F18" s="8" t="s">
        <v>348</v>
      </c>
      <c r="G18" s="6" t="s">
        <v>349</v>
      </c>
      <c r="H18" s="7"/>
      <c r="I18" s="7"/>
      <c r="J18" s="7"/>
      <c r="K18" s="7"/>
      <c r="L18" s="7"/>
      <c r="M18" s="7"/>
      <c r="N18" s="7"/>
      <c r="O18" s="7"/>
      <c r="P18" s="7" t="s">
        <v>304</v>
      </c>
      <c r="Q18" s="7" t="s">
        <v>62</v>
      </c>
      <c r="R18" s="7" t="s">
        <v>350</v>
      </c>
      <c r="S18" s="7" t="s">
        <v>351</v>
      </c>
      <c r="T18" s="7" t="s">
        <v>307</v>
      </c>
      <c r="U18" s="7"/>
      <c r="V18" s="7"/>
      <c r="W18" s="7" t="n">
        <v>599</v>
      </c>
      <c r="X18" s="7" t="n">
        <v>613</v>
      </c>
      <c r="Y18" s="7" t="n">
        <v>14</v>
      </c>
      <c r="Z18" s="7" t="s">
        <v>352</v>
      </c>
      <c r="AA18" s="9" t="s">
        <v>353</v>
      </c>
      <c r="AB18" s="7" t="s">
        <v>354</v>
      </c>
      <c r="AC18" s="7" t="s">
        <v>355</v>
      </c>
      <c r="AD18" s="7" t="s">
        <v>356</v>
      </c>
      <c r="AE18" s="7" t="s">
        <v>357</v>
      </c>
      <c r="AF18" s="7"/>
      <c r="AG18" s="7"/>
      <c r="AH18" s="7"/>
      <c r="AI18" s="7"/>
      <c r="AJ18" s="10"/>
      <c r="AK18" s="7"/>
      <c r="AL18" s="7" t="s">
        <v>358</v>
      </c>
      <c r="AM18" s="7" t="s">
        <v>359</v>
      </c>
      <c r="AN18" s="7" t="s">
        <v>360</v>
      </c>
      <c r="AO18" s="7"/>
      <c r="AP18" s="7" t="s">
        <v>361</v>
      </c>
      <c r="AQ18" s="7" t="s">
        <v>362</v>
      </c>
      <c r="AR18" s="7" t="s">
        <v>363</v>
      </c>
      <c r="AS18" s="7" t="n">
        <v>321719</v>
      </c>
      <c r="AT18" s="7" t="n">
        <v>23673370</v>
      </c>
      <c r="AU18" s="7" t="s">
        <v>364</v>
      </c>
      <c r="AV18" s="7"/>
      <c r="AW18" s="7"/>
      <c r="AX18" s="7" t="s">
        <v>365</v>
      </c>
      <c r="AY18" s="7" t="s">
        <v>75</v>
      </c>
      <c r="AZ18" s="7"/>
      <c r="BA18" s="7" t="s">
        <v>76</v>
      </c>
      <c r="BB18" s="7" t="s">
        <v>366</v>
      </c>
      <c r="BC18" s="7"/>
      <c r="BD18" s="7"/>
      <c r="BE18" s="7"/>
      <c r="BF18" s="7"/>
      <c r="BG18" s="7"/>
      <c r="BH18" s="7"/>
      <c r="BI18" s="7"/>
    </row>
    <row r="19" customFormat="false" ht="15.75" hidden="false" customHeight="true" outlineLevel="0" collapsed="false">
      <c r="A19" s="7" t="s">
        <v>367</v>
      </c>
      <c r="B19" s="7" t="s">
        <v>368</v>
      </c>
      <c r="C19" s="7" t="s">
        <v>369</v>
      </c>
      <c r="D19" s="7" t="s">
        <v>370</v>
      </c>
      <c r="E19" s="7" t="n">
        <v>2025</v>
      </c>
      <c r="F19" s="8" t="s">
        <v>371</v>
      </c>
      <c r="G19" s="6" t="s">
        <v>372</v>
      </c>
      <c r="H19" s="7"/>
      <c r="I19" s="7"/>
      <c r="J19" s="7"/>
      <c r="K19" s="7"/>
      <c r="L19" s="7"/>
      <c r="M19" s="7"/>
      <c r="N19" s="7"/>
      <c r="O19" s="7"/>
      <c r="P19" s="7" t="s">
        <v>304</v>
      </c>
      <c r="Q19" s="7" t="s">
        <v>62</v>
      </c>
      <c r="R19" s="7" t="s">
        <v>305</v>
      </c>
      <c r="S19" s="7" t="s">
        <v>373</v>
      </c>
      <c r="T19" s="7" t="s">
        <v>307</v>
      </c>
      <c r="U19" s="7"/>
      <c r="V19" s="7"/>
      <c r="W19" s="7" t="n">
        <v>334</v>
      </c>
      <c r="X19" s="7" t="n">
        <v>345</v>
      </c>
      <c r="Y19" s="7" t="n">
        <v>11</v>
      </c>
      <c r="Z19" s="7" t="s">
        <v>374</v>
      </c>
      <c r="AA19" s="9" t="s">
        <v>375</v>
      </c>
      <c r="AB19" s="7" t="s">
        <v>376</v>
      </c>
      <c r="AC19" s="7" t="s">
        <v>377</v>
      </c>
      <c r="AD19" s="7" t="s">
        <v>378</v>
      </c>
      <c r="AE19" s="7" t="s">
        <v>379</v>
      </c>
      <c r="AF19" s="7"/>
      <c r="AG19" s="7"/>
      <c r="AH19" s="7"/>
      <c r="AI19" s="7"/>
      <c r="AJ19" s="10"/>
      <c r="AK19" s="7"/>
      <c r="AL19" s="7" t="s">
        <v>380</v>
      </c>
      <c r="AM19" s="7" t="s">
        <v>381</v>
      </c>
      <c r="AN19" s="7" t="s">
        <v>382</v>
      </c>
      <c r="AO19" s="7"/>
      <c r="AP19" s="7" t="s">
        <v>383</v>
      </c>
      <c r="AQ19" s="7" t="s">
        <v>384</v>
      </c>
      <c r="AR19" s="7" t="s">
        <v>385</v>
      </c>
      <c r="AS19" s="7" t="n">
        <v>321709</v>
      </c>
      <c r="AT19" s="7" t="n">
        <v>18650929</v>
      </c>
      <c r="AU19" s="7" t="s">
        <v>386</v>
      </c>
      <c r="AV19" s="7"/>
      <c r="AW19" s="7"/>
      <c r="AX19" s="7" t="s">
        <v>321</v>
      </c>
      <c r="AY19" s="7" t="s">
        <v>75</v>
      </c>
      <c r="AZ19" s="7"/>
      <c r="BA19" s="7" t="s">
        <v>76</v>
      </c>
      <c r="BB19" s="7" t="s">
        <v>387</v>
      </c>
      <c r="BC19" s="7"/>
      <c r="BD19" s="7"/>
      <c r="BE19" s="7"/>
      <c r="BF19" s="7"/>
      <c r="BG19" s="7"/>
      <c r="BH19" s="7"/>
      <c r="BI19" s="7"/>
    </row>
    <row r="20" customFormat="false" ht="15.75" hidden="false" customHeight="true" outlineLevel="0" collapsed="false">
      <c r="A20" s="7" t="s">
        <v>388</v>
      </c>
      <c r="B20" s="7" t="s">
        <v>389</v>
      </c>
      <c r="C20" s="7" t="s">
        <v>390</v>
      </c>
      <c r="D20" s="7" t="s">
        <v>391</v>
      </c>
      <c r="E20" s="7" t="n">
        <v>2024</v>
      </c>
      <c r="F20" s="8" t="s">
        <v>392</v>
      </c>
      <c r="G20" s="6" t="s">
        <v>393</v>
      </c>
      <c r="H20" s="7"/>
      <c r="I20" s="7"/>
      <c r="J20" s="7"/>
      <c r="K20" s="7"/>
      <c r="L20" s="7"/>
      <c r="M20" s="7"/>
      <c r="N20" s="7"/>
      <c r="O20" s="7"/>
      <c r="P20" s="7" t="s">
        <v>61</v>
      </c>
      <c r="Q20" s="7" t="s">
        <v>62</v>
      </c>
      <c r="R20" s="7" t="s">
        <v>394</v>
      </c>
      <c r="S20" s="7" t="n">
        <v>80</v>
      </c>
      <c r="T20" s="7" t="s">
        <v>395</v>
      </c>
      <c r="U20" s="7" t="n">
        <v>2</v>
      </c>
      <c r="V20" s="7" t="s">
        <v>396</v>
      </c>
      <c r="W20" s="7"/>
      <c r="X20" s="7"/>
      <c r="Y20" s="7"/>
      <c r="Z20" s="7" t="s">
        <v>397</v>
      </c>
      <c r="AA20" s="9" t="s">
        <v>398</v>
      </c>
      <c r="AB20" s="7" t="s">
        <v>399</v>
      </c>
      <c r="AC20" s="7" t="s">
        <v>400</v>
      </c>
      <c r="AD20" s="7" t="s">
        <v>401</v>
      </c>
      <c r="AE20" s="7" t="s">
        <v>402</v>
      </c>
      <c r="AF20" s="7"/>
      <c r="AG20" s="7"/>
      <c r="AH20" s="7"/>
      <c r="AI20" s="7"/>
      <c r="AJ20" s="10" t="s">
        <v>403</v>
      </c>
      <c r="AK20" s="7" t="s">
        <v>404</v>
      </c>
      <c r="AL20" s="7" t="s">
        <v>405</v>
      </c>
      <c r="AM20" s="7" t="s">
        <v>406</v>
      </c>
      <c r="AN20" s="7"/>
      <c r="AO20" s="7"/>
      <c r="AP20" s="7"/>
      <c r="AQ20" s="7"/>
      <c r="AR20" s="7"/>
      <c r="AS20" s="7"/>
      <c r="AT20" s="7" t="s">
        <v>407</v>
      </c>
      <c r="AU20" s="7"/>
      <c r="AV20" s="7" t="s">
        <v>408</v>
      </c>
      <c r="AW20" s="7" t="n">
        <v>38888097</v>
      </c>
      <c r="AX20" s="7" t="s">
        <v>394</v>
      </c>
      <c r="AY20" s="7" t="s">
        <v>75</v>
      </c>
      <c r="AZ20" s="7" t="s">
        <v>409</v>
      </c>
      <c r="BA20" s="7" t="s">
        <v>76</v>
      </c>
      <c r="BB20" s="7" t="s">
        <v>410</v>
      </c>
      <c r="BC20" s="7"/>
      <c r="BD20" s="7"/>
      <c r="BE20" s="7"/>
      <c r="BF20" s="7"/>
      <c r="BG20" s="7"/>
      <c r="BH20" s="7"/>
      <c r="BI20" s="7"/>
    </row>
    <row r="21" customFormat="false" ht="15.75" hidden="false" customHeight="true" outlineLevel="0" collapsed="false">
      <c r="A21" s="7" t="s">
        <v>411</v>
      </c>
      <c r="B21" s="7" t="s">
        <v>412</v>
      </c>
      <c r="C21" s="7" t="s">
        <v>413</v>
      </c>
      <c r="D21" s="7" t="s">
        <v>414</v>
      </c>
      <c r="E21" s="7" t="n">
        <v>2024</v>
      </c>
      <c r="F21" s="8" t="s">
        <v>415</v>
      </c>
      <c r="G21" s="6" t="s">
        <v>134</v>
      </c>
      <c r="H21" s="7"/>
      <c r="I21" s="7"/>
      <c r="J21" s="7"/>
      <c r="K21" s="7"/>
      <c r="L21" s="7"/>
      <c r="M21" s="7"/>
      <c r="N21" s="7"/>
      <c r="O21" s="7"/>
      <c r="P21" s="7" t="s">
        <v>61</v>
      </c>
      <c r="Q21" s="7" t="s">
        <v>62</v>
      </c>
      <c r="R21" s="7" t="s">
        <v>416</v>
      </c>
      <c r="S21" s="7" t="n">
        <v>13</v>
      </c>
      <c r="T21" s="7" t="s">
        <v>417</v>
      </c>
      <c r="U21" s="7" t="n">
        <v>1</v>
      </c>
      <c r="V21" s="7"/>
      <c r="W21" s="7" t="n">
        <v>292</v>
      </c>
      <c r="X21" s="7" t="n">
        <v>299</v>
      </c>
      <c r="Y21" s="7" t="n">
        <v>7</v>
      </c>
      <c r="Z21" s="7" t="s">
        <v>418</v>
      </c>
      <c r="AA21" s="9" t="s">
        <v>419</v>
      </c>
      <c r="AB21" s="7" t="s">
        <v>420</v>
      </c>
      <c r="AC21" s="7" t="s">
        <v>421</v>
      </c>
      <c r="AD21" s="7" t="s">
        <v>422</v>
      </c>
      <c r="AE21" s="7"/>
      <c r="AF21" s="7"/>
      <c r="AG21" s="7"/>
      <c r="AH21" s="7"/>
      <c r="AI21" s="7"/>
      <c r="AJ21" s="10"/>
      <c r="AK21" s="7"/>
      <c r="AL21" s="7" t="s">
        <v>423</v>
      </c>
      <c r="AM21" s="7" t="s">
        <v>424</v>
      </c>
      <c r="AN21" s="7"/>
      <c r="AO21" s="7"/>
      <c r="AP21" s="7"/>
      <c r="AQ21" s="7"/>
      <c r="AR21" s="7"/>
      <c r="AS21" s="7"/>
      <c r="AT21" s="7" t="n">
        <v>20893191</v>
      </c>
      <c r="AU21" s="7"/>
      <c r="AV21" s="7"/>
      <c r="AW21" s="7"/>
      <c r="AX21" s="7" t="s">
        <v>425</v>
      </c>
      <c r="AY21" s="7" t="s">
        <v>75</v>
      </c>
      <c r="AZ21" s="7" t="s">
        <v>127</v>
      </c>
      <c r="BA21" s="7" t="s">
        <v>76</v>
      </c>
      <c r="BB21" s="7" t="s">
        <v>426</v>
      </c>
      <c r="BC21" s="7"/>
      <c r="BD21" s="7"/>
      <c r="BE21" s="7"/>
      <c r="BF21" s="7"/>
      <c r="BG21" s="7"/>
      <c r="BH21" s="7"/>
      <c r="BI21" s="7"/>
    </row>
    <row r="22" customFormat="false" ht="15.75" hidden="false" customHeight="true" outlineLevel="0" collapsed="false">
      <c r="A22" s="7" t="s">
        <v>427</v>
      </c>
      <c r="B22" s="7" t="s">
        <v>428</v>
      </c>
      <c r="C22" s="7" t="s">
        <v>429</v>
      </c>
      <c r="D22" s="7" t="s">
        <v>430</v>
      </c>
      <c r="E22" s="7" t="n">
        <v>2024</v>
      </c>
      <c r="F22" s="8" t="s">
        <v>431</v>
      </c>
      <c r="G22" s="6" t="s">
        <v>134</v>
      </c>
      <c r="H22" s="7"/>
      <c r="I22" s="7"/>
      <c r="J22" s="7"/>
      <c r="K22" s="7"/>
      <c r="L22" s="7"/>
      <c r="M22" s="7"/>
      <c r="N22" s="7"/>
      <c r="O22" s="7"/>
      <c r="P22" s="7" t="s">
        <v>61</v>
      </c>
      <c r="Q22" s="7" t="s">
        <v>62</v>
      </c>
      <c r="R22" s="7" t="s">
        <v>186</v>
      </c>
      <c r="S22" s="7" t="n">
        <v>12</v>
      </c>
      <c r="T22" s="7" t="s">
        <v>187</v>
      </c>
      <c r="U22" s="7"/>
      <c r="V22" s="7"/>
      <c r="W22" s="7" t="n">
        <v>51995</v>
      </c>
      <c r="X22" s="7" t="n">
        <v>52015</v>
      </c>
      <c r="Y22" s="7" t="n">
        <v>20</v>
      </c>
      <c r="Z22" s="7" t="s">
        <v>432</v>
      </c>
      <c r="AA22" s="9" t="s">
        <v>433</v>
      </c>
      <c r="AB22" s="7" t="s">
        <v>434</v>
      </c>
      <c r="AC22" s="7" t="s">
        <v>435</v>
      </c>
      <c r="AD22" s="7" t="s">
        <v>436</v>
      </c>
      <c r="AE22" s="7" t="s">
        <v>437</v>
      </c>
      <c r="AF22" s="7"/>
      <c r="AG22" s="7"/>
      <c r="AH22" s="7"/>
      <c r="AI22" s="7"/>
      <c r="AJ22" s="10"/>
      <c r="AK22" s="7"/>
      <c r="AL22" s="7" t="s">
        <v>438</v>
      </c>
      <c r="AM22" s="7" t="s">
        <v>439</v>
      </c>
      <c r="AN22" s="7"/>
      <c r="AO22" s="7"/>
      <c r="AP22" s="7"/>
      <c r="AQ22" s="7"/>
      <c r="AR22" s="7"/>
      <c r="AS22" s="7"/>
      <c r="AT22" s="7" t="n">
        <v>21693536</v>
      </c>
      <c r="AU22" s="7"/>
      <c r="AV22" s="7"/>
      <c r="AW22" s="7"/>
      <c r="AX22" s="7" t="s">
        <v>186</v>
      </c>
      <c r="AY22" s="7" t="s">
        <v>75</v>
      </c>
      <c r="AZ22" s="7" t="s">
        <v>127</v>
      </c>
      <c r="BA22" s="7" t="s">
        <v>76</v>
      </c>
      <c r="BB22" s="7" t="s">
        <v>440</v>
      </c>
      <c r="BC22" s="7"/>
      <c r="BD22" s="7"/>
      <c r="BE22" s="7"/>
      <c r="BF22" s="7"/>
      <c r="BG22" s="7"/>
      <c r="BH22" s="7"/>
      <c r="BI22" s="7"/>
    </row>
    <row r="23" customFormat="false" ht="15.75" hidden="false" customHeight="true" outlineLevel="0" collapsed="false">
      <c r="A23" s="7" t="s">
        <v>441</v>
      </c>
      <c r="B23" s="7" t="s">
        <v>442</v>
      </c>
      <c r="C23" s="7" t="s">
        <v>443</v>
      </c>
      <c r="D23" s="7" t="s">
        <v>444</v>
      </c>
      <c r="E23" s="7" t="n">
        <v>2024</v>
      </c>
      <c r="F23" s="8" t="s">
        <v>445</v>
      </c>
      <c r="G23" s="6" t="s">
        <v>446</v>
      </c>
      <c r="H23" s="7"/>
      <c r="I23" s="7"/>
      <c r="J23" s="7"/>
      <c r="K23" s="7"/>
      <c r="L23" s="7"/>
      <c r="M23" s="7"/>
      <c r="N23" s="7"/>
      <c r="O23" s="7"/>
      <c r="P23" s="7" t="s">
        <v>61</v>
      </c>
      <c r="Q23" s="7" t="s">
        <v>62</v>
      </c>
      <c r="R23" s="7" t="s">
        <v>447</v>
      </c>
      <c r="S23" s="7" t="n">
        <v>36</v>
      </c>
      <c r="T23" s="7" t="s">
        <v>307</v>
      </c>
      <c r="U23" s="7" t="n">
        <v>31</v>
      </c>
      <c r="V23" s="7"/>
      <c r="W23" s="7" t="n">
        <v>19795</v>
      </c>
      <c r="X23" s="7" t="n">
        <v>19805</v>
      </c>
      <c r="Y23" s="7" t="n">
        <v>10</v>
      </c>
      <c r="Z23" s="7" t="s">
        <v>448</v>
      </c>
      <c r="AA23" s="9" t="s">
        <v>449</v>
      </c>
      <c r="AB23" s="7" t="s">
        <v>450</v>
      </c>
      <c r="AC23" s="7" t="s">
        <v>451</v>
      </c>
      <c r="AD23" s="7" t="s">
        <v>452</v>
      </c>
      <c r="AE23" s="7" t="s">
        <v>453</v>
      </c>
      <c r="AF23" s="7"/>
      <c r="AG23" s="7"/>
      <c r="AH23" s="7"/>
      <c r="AI23" s="7"/>
      <c r="AJ23" s="10" t="s">
        <v>454</v>
      </c>
      <c r="AK23" s="7" t="s">
        <v>455</v>
      </c>
      <c r="AL23" s="7" t="s">
        <v>456</v>
      </c>
      <c r="AM23" s="7" t="s">
        <v>457</v>
      </c>
      <c r="AN23" s="7"/>
      <c r="AO23" s="7"/>
      <c r="AP23" s="7"/>
      <c r="AQ23" s="7"/>
      <c r="AR23" s="7"/>
      <c r="AS23" s="7"/>
      <c r="AT23" s="7" t="n">
        <v>9410643</v>
      </c>
      <c r="AU23" s="7"/>
      <c r="AV23" s="7"/>
      <c r="AW23" s="7"/>
      <c r="AX23" s="7" t="s">
        <v>458</v>
      </c>
      <c r="AY23" s="7" t="s">
        <v>75</v>
      </c>
      <c r="AZ23" s="7"/>
      <c r="BA23" s="7" t="s">
        <v>76</v>
      </c>
      <c r="BB23" s="7" t="s">
        <v>459</v>
      </c>
      <c r="BC23" s="7"/>
      <c r="BD23" s="7"/>
      <c r="BE23" s="7"/>
      <c r="BF23" s="7"/>
      <c r="BG23" s="7"/>
      <c r="BH23" s="7"/>
      <c r="BI23" s="7"/>
    </row>
    <row r="24" customFormat="false" ht="15.75" hidden="false" customHeight="true" outlineLevel="0" collapsed="false">
      <c r="A24" s="7" t="s">
        <v>460</v>
      </c>
      <c r="B24" s="7" t="s">
        <v>461</v>
      </c>
      <c r="C24" s="7" t="s">
        <v>462</v>
      </c>
      <c r="D24" s="7" t="s">
        <v>463</v>
      </c>
      <c r="E24" s="7" t="n">
        <v>2024</v>
      </c>
      <c r="F24" s="8" t="s">
        <v>464</v>
      </c>
      <c r="G24" s="6" t="s">
        <v>169</v>
      </c>
      <c r="H24" s="7"/>
      <c r="I24" s="7"/>
      <c r="J24" s="7"/>
      <c r="K24" s="7"/>
      <c r="L24" s="7"/>
      <c r="M24" s="7"/>
      <c r="N24" s="7"/>
      <c r="O24" s="7"/>
      <c r="P24" s="7" t="s">
        <v>61</v>
      </c>
      <c r="Q24" s="7" t="s">
        <v>62</v>
      </c>
      <c r="R24" s="7" t="s">
        <v>465</v>
      </c>
      <c r="S24" s="7"/>
      <c r="T24" s="7" t="s">
        <v>466</v>
      </c>
      <c r="U24" s="7"/>
      <c r="V24" s="7"/>
      <c r="W24" s="7"/>
      <c r="X24" s="7"/>
      <c r="Y24" s="7"/>
      <c r="Z24" s="7" t="s">
        <v>467</v>
      </c>
      <c r="AA24" s="9" t="s">
        <v>468</v>
      </c>
      <c r="AB24" s="7" t="s">
        <v>469</v>
      </c>
      <c r="AC24" s="7" t="s">
        <v>470</v>
      </c>
      <c r="AD24" s="7" t="s">
        <v>471</v>
      </c>
      <c r="AE24" s="7"/>
      <c r="AF24" s="7"/>
      <c r="AG24" s="7"/>
      <c r="AH24" s="7"/>
      <c r="AI24" s="7"/>
      <c r="AJ24" s="10"/>
      <c r="AK24" s="7"/>
      <c r="AL24" s="7" t="s">
        <v>472</v>
      </c>
      <c r="AM24" s="7" t="s">
        <v>473</v>
      </c>
      <c r="AN24" s="7"/>
      <c r="AO24" s="7"/>
      <c r="AP24" s="7"/>
      <c r="AQ24" s="7"/>
      <c r="AR24" s="7"/>
      <c r="AS24" s="7"/>
      <c r="AT24" s="7" t="n">
        <v>23796146</v>
      </c>
      <c r="AU24" s="7"/>
      <c r="AV24" s="7"/>
      <c r="AW24" s="7"/>
      <c r="AX24" s="7" t="s">
        <v>474</v>
      </c>
      <c r="AY24" s="7" t="s">
        <v>194</v>
      </c>
      <c r="AZ24" s="7" t="s">
        <v>127</v>
      </c>
      <c r="BA24" s="7" t="s">
        <v>76</v>
      </c>
      <c r="BB24" s="7" t="s">
        <v>475</v>
      </c>
      <c r="BC24" s="7"/>
      <c r="BD24" s="7"/>
      <c r="BE24" s="7"/>
      <c r="BF24" s="7"/>
      <c r="BG24" s="7"/>
      <c r="BH24" s="7"/>
      <c r="BI24" s="7"/>
    </row>
    <row r="25" customFormat="false" ht="14.25" hidden="false" customHeight="true" outlineLevel="0" collapsed="false">
      <c r="A25" s="7" t="s">
        <v>476</v>
      </c>
      <c r="B25" s="7" t="s">
        <v>477</v>
      </c>
      <c r="C25" s="7" t="s">
        <v>478</v>
      </c>
      <c r="D25" s="7" t="s">
        <v>479</v>
      </c>
      <c r="E25" s="7" t="n">
        <v>2024</v>
      </c>
      <c r="F25" s="8" t="s">
        <v>480</v>
      </c>
      <c r="G25" s="6" t="s">
        <v>134</v>
      </c>
      <c r="H25" s="7"/>
      <c r="I25" s="7"/>
      <c r="J25" s="7"/>
      <c r="K25" s="7"/>
      <c r="L25" s="7"/>
      <c r="M25" s="7"/>
      <c r="N25" s="7"/>
      <c r="O25" s="7"/>
      <c r="P25" s="7" t="s">
        <v>61</v>
      </c>
      <c r="Q25" s="7" t="s">
        <v>62</v>
      </c>
      <c r="R25" s="7" t="s">
        <v>481</v>
      </c>
      <c r="S25" s="7" t="n">
        <v>15</v>
      </c>
      <c r="T25" s="7" t="s">
        <v>482</v>
      </c>
      <c r="U25" s="7" t="n">
        <v>2</v>
      </c>
      <c r="V25" s="7"/>
      <c r="W25" s="7" t="n">
        <v>376</v>
      </c>
      <c r="X25" s="7" t="n">
        <v>388</v>
      </c>
      <c r="Y25" s="7" t="n">
        <v>12</v>
      </c>
      <c r="Z25" s="7" t="s">
        <v>483</v>
      </c>
      <c r="AA25" s="9" t="s">
        <v>484</v>
      </c>
      <c r="AB25" s="7" t="s">
        <v>485</v>
      </c>
      <c r="AC25" s="7" t="s">
        <v>486</v>
      </c>
      <c r="AD25" s="7" t="s">
        <v>487</v>
      </c>
      <c r="AE25" s="7"/>
      <c r="AF25" s="7"/>
      <c r="AG25" s="7"/>
      <c r="AH25" s="7"/>
      <c r="AI25" s="7"/>
      <c r="AJ25" s="10" t="s">
        <v>488</v>
      </c>
      <c r="AK25" s="7" t="s">
        <v>489</v>
      </c>
      <c r="AL25" s="7" t="s">
        <v>490</v>
      </c>
      <c r="AM25" s="7" t="s">
        <v>491</v>
      </c>
      <c r="AN25" s="7"/>
      <c r="AO25" s="7"/>
      <c r="AP25" s="7"/>
      <c r="AQ25" s="7"/>
      <c r="AR25" s="7"/>
      <c r="AS25" s="7"/>
      <c r="AT25" s="7" t="n">
        <v>9769668</v>
      </c>
      <c r="AU25" s="7"/>
      <c r="AV25" s="7"/>
      <c r="AW25" s="7"/>
      <c r="AX25" s="7" t="s">
        <v>492</v>
      </c>
      <c r="AY25" s="7" t="s">
        <v>75</v>
      </c>
      <c r="AZ25" s="7"/>
      <c r="BA25" s="7" t="s">
        <v>76</v>
      </c>
      <c r="BB25" s="7" t="s">
        <v>493</v>
      </c>
      <c r="BC25" s="7"/>
      <c r="BD25" s="7"/>
      <c r="BE25" s="7"/>
      <c r="BF25" s="7"/>
      <c r="BG25" s="7"/>
      <c r="BH25" s="7"/>
      <c r="BI25" s="7"/>
    </row>
    <row r="26" customFormat="false" ht="14.25" hidden="false" customHeight="true" outlineLevel="0" collapsed="false">
      <c r="A26" s="7" t="s">
        <v>494</v>
      </c>
      <c r="B26" s="7" t="s">
        <v>495</v>
      </c>
      <c r="C26" s="7" t="s">
        <v>496</v>
      </c>
      <c r="D26" s="7" t="s">
        <v>497</v>
      </c>
      <c r="E26" s="7" t="n">
        <v>2024</v>
      </c>
      <c r="F26" s="8" t="s">
        <v>498</v>
      </c>
      <c r="G26" s="6" t="s">
        <v>134</v>
      </c>
      <c r="H26" s="7"/>
      <c r="I26" s="7"/>
      <c r="J26" s="7"/>
      <c r="K26" s="7"/>
      <c r="L26" s="7"/>
      <c r="M26" s="7"/>
      <c r="N26" s="7"/>
      <c r="O26" s="7"/>
      <c r="P26" s="7" t="s">
        <v>61</v>
      </c>
      <c r="Q26" s="7" t="s">
        <v>62</v>
      </c>
      <c r="R26" s="7" t="s">
        <v>499</v>
      </c>
      <c r="S26" s="7" t="n">
        <v>20</v>
      </c>
      <c r="T26" s="7" t="s">
        <v>500</v>
      </c>
      <c r="U26" s="11" t="n">
        <v>45877</v>
      </c>
      <c r="V26" s="7" t="s">
        <v>501</v>
      </c>
      <c r="W26" s="7"/>
      <c r="X26" s="7"/>
      <c r="Y26" s="7"/>
      <c r="Z26" s="7" t="s">
        <v>502</v>
      </c>
      <c r="AA26" s="9" t="s">
        <v>503</v>
      </c>
      <c r="AB26" s="7" t="s">
        <v>504</v>
      </c>
      <c r="AC26" s="7" t="s">
        <v>505</v>
      </c>
      <c r="AD26" s="7"/>
      <c r="AE26" s="7" t="s">
        <v>506</v>
      </c>
      <c r="AF26" s="7"/>
      <c r="AG26" s="7"/>
      <c r="AH26" s="7" t="s">
        <v>507</v>
      </c>
      <c r="AI26" s="7"/>
      <c r="AJ26" s="10"/>
      <c r="AK26" s="7"/>
      <c r="AL26" s="7" t="s">
        <v>508</v>
      </c>
      <c r="AM26" s="7" t="s">
        <v>509</v>
      </c>
      <c r="AN26" s="7"/>
      <c r="AO26" s="7"/>
      <c r="AP26" s="7"/>
      <c r="AQ26" s="7"/>
      <c r="AR26" s="7"/>
      <c r="AS26" s="7"/>
      <c r="AT26" s="7" t="s">
        <v>510</v>
      </c>
      <c r="AU26" s="7"/>
      <c r="AV26" s="7"/>
      <c r="AW26" s="7" t="n">
        <v>39102445</v>
      </c>
      <c r="AX26" s="7" t="s">
        <v>511</v>
      </c>
      <c r="AY26" s="7" t="s">
        <v>75</v>
      </c>
      <c r="AZ26" s="7" t="s">
        <v>127</v>
      </c>
      <c r="BA26" s="7" t="s">
        <v>76</v>
      </c>
      <c r="BB26" s="7" t="s">
        <v>512</v>
      </c>
      <c r="BC26" s="7"/>
      <c r="BD26" s="7"/>
      <c r="BE26" s="7"/>
      <c r="BF26" s="7"/>
      <c r="BG26" s="7"/>
      <c r="BH26" s="7"/>
      <c r="BI26" s="7"/>
    </row>
    <row r="27" customFormat="false" ht="14.25" hidden="false" customHeight="true" outlineLevel="0" collapsed="false">
      <c r="A27" s="7" t="s">
        <v>513</v>
      </c>
      <c r="B27" s="7" t="s">
        <v>514</v>
      </c>
      <c r="C27" s="7" t="s">
        <v>515</v>
      </c>
      <c r="D27" s="7" t="s">
        <v>516</v>
      </c>
      <c r="E27" s="7" t="n">
        <v>2024</v>
      </c>
      <c r="F27" s="8" t="s">
        <v>517</v>
      </c>
      <c r="G27" s="6" t="s">
        <v>134</v>
      </c>
      <c r="H27" s="7"/>
      <c r="I27" s="7"/>
      <c r="J27" s="7"/>
      <c r="K27" s="7"/>
      <c r="L27" s="7"/>
      <c r="M27" s="7"/>
      <c r="N27" s="7"/>
      <c r="O27" s="7"/>
      <c r="P27" s="7" t="s">
        <v>61</v>
      </c>
      <c r="Q27" s="7" t="s">
        <v>62</v>
      </c>
      <c r="R27" s="7" t="s">
        <v>518</v>
      </c>
      <c r="S27" s="7" t="n">
        <v>102</v>
      </c>
      <c r="T27" s="7" t="s">
        <v>519</v>
      </c>
      <c r="U27" s="7" t="n">
        <v>4</v>
      </c>
      <c r="V27" s="7"/>
      <c r="W27" s="7" t="n">
        <v>1619</v>
      </c>
      <c r="X27" s="7" t="n">
        <v>1632</v>
      </c>
      <c r="Y27" s="7" t="n">
        <v>13</v>
      </c>
      <c r="Z27" s="7"/>
      <c r="AA27" s="9" t="s">
        <v>520</v>
      </c>
      <c r="AB27" s="7" t="s">
        <v>521</v>
      </c>
      <c r="AC27" s="7" t="s">
        <v>522</v>
      </c>
      <c r="AD27" s="7" t="s">
        <v>523</v>
      </c>
      <c r="AE27" s="7"/>
      <c r="AF27" s="7"/>
      <c r="AG27" s="7"/>
      <c r="AH27" s="7"/>
      <c r="AI27" s="7"/>
      <c r="AJ27" s="10"/>
      <c r="AK27" s="7"/>
      <c r="AL27" s="7" t="s">
        <v>524</v>
      </c>
      <c r="AM27" s="7"/>
      <c r="AN27" s="7"/>
      <c r="AO27" s="7"/>
      <c r="AP27" s="7"/>
      <c r="AQ27" s="7"/>
      <c r="AR27" s="7"/>
      <c r="AS27" s="7"/>
      <c r="AT27" s="7" t="n">
        <v>19928645</v>
      </c>
      <c r="AU27" s="7"/>
      <c r="AV27" s="7"/>
      <c r="AW27" s="7"/>
      <c r="AX27" s="7" t="s">
        <v>525</v>
      </c>
      <c r="AY27" s="7" t="s">
        <v>75</v>
      </c>
      <c r="AZ27" s="7"/>
      <c r="BA27" s="7" t="s">
        <v>76</v>
      </c>
      <c r="BB27" s="7" t="s">
        <v>526</v>
      </c>
      <c r="BC27" s="7"/>
      <c r="BD27" s="7"/>
      <c r="BE27" s="7"/>
      <c r="BF27" s="7"/>
      <c r="BG27" s="7"/>
      <c r="BH27" s="7"/>
      <c r="BI27" s="7"/>
    </row>
    <row r="28" customFormat="false" ht="14.25" hidden="false" customHeight="true" outlineLevel="0" collapsed="false">
      <c r="A28" s="7" t="s">
        <v>527</v>
      </c>
      <c r="B28" s="7" t="s">
        <v>528</v>
      </c>
      <c r="C28" s="7" t="s">
        <v>529</v>
      </c>
      <c r="D28" s="7" t="s">
        <v>530</v>
      </c>
      <c r="E28" s="7" t="n">
        <v>2024</v>
      </c>
      <c r="F28" s="8" t="s">
        <v>531</v>
      </c>
      <c r="G28" s="6" t="s">
        <v>290</v>
      </c>
      <c r="H28" s="7"/>
      <c r="I28" s="7"/>
      <c r="J28" s="7"/>
      <c r="K28" s="7"/>
      <c r="L28" s="7"/>
      <c r="M28" s="7"/>
      <c r="N28" s="7"/>
      <c r="O28" s="7"/>
      <c r="P28" s="7" t="s">
        <v>61</v>
      </c>
      <c r="Q28" s="7" t="s">
        <v>62</v>
      </c>
      <c r="R28" s="7" t="s">
        <v>532</v>
      </c>
      <c r="S28" s="7" t="n">
        <v>64</v>
      </c>
      <c r="T28" s="7" t="s">
        <v>533</v>
      </c>
      <c r="U28" s="7" t="n">
        <v>7</v>
      </c>
      <c r="V28" s="7"/>
      <c r="W28" s="7" t="n">
        <v>2565</v>
      </c>
      <c r="X28" s="7" t="n">
        <v>2576</v>
      </c>
      <c r="Y28" s="7" t="n">
        <v>11</v>
      </c>
      <c r="Z28" s="7" t="s">
        <v>534</v>
      </c>
      <c r="AA28" s="9" t="s">
        <v>535</v>
      </c>
      <c r="AB28" s="7" t="s">
        <v>536</v>
      </c>
      <c r="AC28" s="7" t="s">
        <v>537</v>
      </c>
      <c r="AD28" s="7"/>
      <c r="AE28" s="7" t="s">
        <v>538</v>
      </c>
      <c r="AF28" s="7"/>
      <c r="AG28" s="7" t="s">
        <v>539</v>
      </c>
      <c r="AH28" s="7"/>
      <c r="AI28" s="7"/>
      <c r="AJ28" s="10" t="s">
        <v>540</v>
      </c>
      <c r="AK28" s="7" t="s">
        <v>541</v>
      </c>
      <c r="AL28" s="7" t="s">
        <v>542</v>
      </c>
      <c r="AM28" s="7" t="s">
        <v>543</v>
      </c>
      <c r="AN28" s="7"/>
      <c r="AO28" s="7"/>
      <c r="AP28" s="7"/>
      <c r="AQ28" s="7"/>
      <c r="AR28" s="7"/>
      <c r="AS28" s="7"/>
      <c r="AT28" s="7" t="n">
        <v>15499596</v>
      </c>
      <c r="AU28" s="7"/>
      <c r="AV28" s="7" t="s">
        <v>544</v>
      </c>
      <c r="AW28" s="7" t="n">
        <v>38148604</v>
      </c>
      <c r="AX28" s="7" t="s">
        <v>545</v>
      </c>
      <c r="AY28" s="7" t="s">
        <v>75</v>
      </c>
      <c r="AZ28" s="7"/>
      <c r="BA28" s="7" t="s">
        <v>76</v>
      </c>
      <c r="BB28" s="7" t="s">
        <v>546</v>
      </c>
      <c r="BC28" s="7"/>
      <c r="BD28" s="7"/>
      <c r="BE28" s="7"/>
      <c r="BF28" s="7"/>
      <c r="BG28" s="7"/>
      <c r="BH28" s="7"/>
      <c r="BI28" s="7"/>
    </row>
    <row r="29" customFormat="false" ht="14.25" hidden="false" customHeight="true" outlineLevel="0" collapsed="false">
      <c r="A29" s="7" t="s">
        <v>547</v>
      </c>
      <c r="B29" s="7" t="s">
        <v>548</v>
      </c>
      <c r="C29" s="7" t="s">
        <v>549</v>
      </c>
      <c r="D29" s="7" t="s">
        <v>550</v>
      </c>
      <c r="E29" s="7" t="n">
        <v>2024</v>
      </c>
      <c r="F29" s="8" t="s">
        <v>551</v>
      </c>
      <c r="G29" s="6" t="s">
        <v>134</v>
      </c>
      <c r="H29" s="7"/>
      <c r="I29" s="7"/>
      <c r="J29" s="7"/>
      <c r="K29" s="7"/>
      <c r="L29" s="7"/>
      <c r="M29" s="7"/>
      <c r="N29" s="7"/>
      <c r="O29" s="7"/>
      <c r="P29" s="7" t="s">
        <v>61</v>
      </c>
      <c r="Q29" s="7" t="s">
        <v>62</v>
      </c>
      <c r="R29" s="7" t="s">
        <v>552</v>
      </c>
      <c r="S29" s="7" t="n">
        <v>22</v>
      </c>
      <c r="T29" s="7" t="s">
        <v>553</v>
      </c>
      <c r="U29" s="7"/>
      <c r="V29" s="7"/>
      <c r="W29" s="7" t="n">
        <v>76</v>
      </c>
      <c r="X29" s="7" t="n">
        <v>80</v>
      </c>
      <c r="Y29" s="7" t="n">
        <v>4</v>
      </c>
      <c r="Z29" s="7"/>
      <c r="AA29" s="9" t="s">
        <v>554</v>
      </c>
      <c r="AB29" s="7" t="s">
        <v>555</v>
      </c>
      <c r="AC29" s="7" t="s">
        <v>556</v>
      </c>
      <c r="AD29" s="7" t="s">
        <v>557</v>
      </c>
      <c r="AE29" s="7" t="s">
        <v>558</v>
      </c>
      <c r="AF29" s="7"/>
      <c r="AG29" s="7"/>
      <c r="AH29" s="7"/>
      <c r="AI29" s="7"/>
      <c r="AJ29" s="10"/>
      <c r="AK29" s="7"/>
      <c r="AL29" s="7" t="s">
        <v>559</v>
      </c>
      <c r="AM29" s="7" t="s">
        <v>560</v>
      </c>
      <c r="AN29" s="7"/>
      <c r="AO29" s="7"/>
      <c r="AP29" s="7"/>
      <c r="AQ29" s="7"/>
      <c r="AR29" s="7"/>
      <c r="AS29" s="7"/>
      <c r="AT29" s="7" t="n">
        <v>15548716</v>
      </c>
      <c r="AU29" s="7"/>
      <c r="AV29" s="7"/>
      <c r="AW29" s="7"/>
      <c r="AX29" s="7" t="s">
        <v>561</v>
      </c>
      <c r="AY29" s="7" t="s">
        <v>75</v>
      </c>
      <c r="AZ29" s="7"/>
      <c r="BA29" s="7" t="s">
        <v>76</v>
      </c>
      <c r="BB29" s="7" t="s">
        <v>562</v>
      </c>
      <c r="BC29" s="7"/>
      <c r="BD29" s="7"/>
      <c r="BE29" s="7"/>
      <c r="BF29" s="7"/>
      <c r="BG29" s="7"/>
      <c r="BH29" s="7"/>
      <c r="BI29" s="7"/>
    </row>
    <row r="30" customFormat="false" ht="14.25" hidden="false" customHeight="true" outlineLevel="0" collapsed="false">
      <c r="A30" s="7" t="s">
        <v>563</v>
      </c>
      <c r="B30" s="7" t="s">
        <v>564</v>
      </c>
      <c r="C30" s="7" t="s">
        <v>565</v>
      </c>
      <c r="D30" s="7" t="s">
        <v>566</v>
      </c>
      <c r="E30" s="7" t="n">
        <v>2024</v>
      </c>
      <c r="F30" s="8" t="s">
        <v>567</v>
      </c>
      <c r="G30" s="6" t="s">
        <v>134</v>
      </c>
      <c r="H30" s="7"/>
      <c r="I30" s="7"/>
      <c r="J30" s="7"/>
      <c r="K30" s="7"/>
      <c r="L30" s="7"/>
      <c r="M30" s="7"/>
      <c r="N30" s="7"/>
      <c r="O30" s="7"/>
      <c r="P30" s="7" t="s">
        <v>61</v>
      </c>
      <c r="Q30" s="7" t="s">
        <v>62</v>
      </c>
      <c r="R30" s="7" t="s">
        <v>568</v>
      </c>
      <c r="S30" s="7" t="n">
        <v>28</v>
      </c>
      <c r="T30" s="7" t="s">
        <v>569</v>
      </c>
      <c r="U30" s="7" t="n">
        <v>4</v>
      </c>
      <c r="V30" s="7"/>
      <c r="W30" s="7" t="n">
        <v>235</v>
      </c>
      <c r="X30" s="7" t="n">
        <v>240</v>
      </c>
      <c r="Y30" s="7" t="n">
        <v>5</v>
      </c>
      <c r="Z30" s="7" t="s">
        <v>570</v>
      </c>
      <c r="AA30" s="9" t="s">
        <v>571</v>
      </c>
      <c r="AB30" s="7" t="s">
        <v>572</v>
      </c>
      <c r="AC30" s="7" t="s">
        <v>573</v>
      </c>
      <c r="AD30" s="7" t="s">
        <v>574</v>
      </c>
      <c r="AE30" s="7" t="s">
        <v>575</v>
      </c>
      <c r="AF30" s="7"/>
      <c r="AG30" s="7" t="s">
        <v>576</v>
      </c>
      <c r="AH30" s="7"/>
      <c r="AI30" s="7"/>
      <c r="AJ30" s="10"/>
      <c r="AK30" s="7"/>
      <c r="AL30" s="7" t="s">
        <v>577</v>
      </c>
      <c r="AM30" s="7" t="s">
        <v>578</v>
      </c>
      <c r="AN30" s="7"/>
      <c r="AO30" s="7"/>
      <c r="AP30" s="7"/>
      <c r="AQ30" s="7"/>
      <c r="AR30" s="7"/>
      <c r="AS30" s="7"/>
      <c r="AT30" s="7" t="n">
        <v>1239392</v>
      </c>
      <c r="AU30" s="7"/>
      <c r="AV30" s="7"/>
      <c r="AW30" s="7"/>
      <c r="AX30" s="7" t="s">
        <v>568</v>
      </c>
      <c r="AY30" s="7" t="s">
        <v>75</v>
      </c>
      <c r="AZ30" s="7" t="s">
        <v>127</v>
      </c>
      <c r="BA30" s="7" t="s">
        <v>76</v>
      </c>
      <c r="BB30" s="7" t="s">
        <v>579</v>
      </c>
      <c r="BC30" s="7"/>
      <c r="BD30" s="7"/>
      <c r="BE30" s="7"/>
      <c r="BF30" s="7"/>
      <c r="BG30" s="7"/>
      <c r="BH30" s="7"/>
      <c r="BI30" s="7"/>
    </row>
    <row r="31" customFormat="false" ht="14.25" hidden="false" customHeight="true" outlineLevel="0" collapsed="false">
      <c r="A31" s="7" t="s">
        <v>580</v>
      </c>
      <c r="B31" s="7" t="s">
        <v>581</v>
      </c>
      <c r="C31" s="7" t="s">
        <v>582</v>
      </c>
      <c r="D31" s="7" t="s">
        <v>583</v>
      </c>
      <c r="E31" s="7" t="n">
        <v>2024</v>
      </c>
      <c r="F31" s="8" t="s">
        <v>584</v>
      </c>
      <c r="G31" s="6" t="s">
        <v>134</v>
      </c>
      <c r="H31" s="7"/>
      <c r="I31" s="7"/>
      <c r="J31" s="7"/>
      <c r="K31" s="7"/>
      <c r="L31" s="7"/>
      <c r="M31" s="7"/>
      <c r="N31" s="7"/>
      <c r="O31" s="7"/>
      <c r="P31" s="7" t="s">
        <v>61</v>
      </c>
      <c r="Q31" s="7" t="s">
        <v>62</v>
      </c>
      <c r="R31" s="7" t="s">
        <v>585</v>
      </c>
      <c r="S31" s="7"/>
      <c r="T31" s="7" t="s">
        <v>586</v>
      </c>
      <c r="U31" s="7"/>
      <c r="V31" s="7"/>
      <c r="W31" s="7"/>
      <c r="X31" s="7"/>
      <c r="Y31" s="7"/>
      <c r="Z31" s="7" t="s">
        <v>587</v>
      </c>
      <c r="AA31" s="9" t="s">
        <v>588</v>
      </c>
      <c r="AB31" s="7" t="s">
        <v>589</v>
      </c>
      <c r="AC31" s="7" t="s">
        <v>590</v>
      </c>
      <c r="AD31" s="7" t="s">
        <v>591</v>
      </c>
      <c r="AE31" s="7" t="s">
        <v>592</v>
      </c>
      <c r="AF31" s="7"/>
      <c r="AG31" s="7"/>
      <c r="AH31" s="7"/>
      <c r="AI31" s="7"/>
      <c r="AJ31" s="10"/>
      <c r="AK31" s="7"/>
      <c r="AL31" s="7" t="s">
        <v>593</v>
      </c>
      <c r="AM31" s="7" t="s">
        <v>594</v>
      </c>
      <c r="AN31" s="7"/>
      <c r="AO31" s="7"/>
      <c r="AP31" s="7"/>
      <c r="AQ31" s="7"/>
      <c r="AR31" s="7"/>
      <c r="AS31" s="7"/>
      <c r="AT31" s="7" t="n">
        <v>13807501</v>
      </c>
      <c r="AU31" s="7"/>
      <c r="AV31" s="7" t="s">
        <v>595</v>
      </c>
      <c r="AW31" s="7"/>
      <c r="AX31" s="7" t="s">
        <v>596</v>
      </c>
      <c r="AY31" s="7" t="s">
        <v>194</v>
      </c>
      <c r="AZ31" s="7"/>
      <c r="BA31" s="7" t="s">
        <v>76</v>
      </c>
      <c r="BB31" s="7" t="s">
        <v>597</v>
      </c>
      <c r="BC31" s="7"/>
      <c r="BD31" s="7"/>
      <c r="BE31" s="7"/>
      <c r="BF31" s="7"/>
      <c r="BG31" s="7"/>
      <c r="BH31" s="7"/>
      <c r="BI31" s="7"/>
    </row>
    <row r="32" customFormat="false" ht="14.25" hidden="false" customHeight="true" outlineLevel="0" collapsed="false">
      <c r="A32" s="7" t="s">
        <v>598</v>
      </c>
      <c r="B32" s="7" t="s">
        <v>599</v>
      </c>
      <c r="C32" s="7" t="s">
        <v>600</v>
      </c>
      <c r="D32" s="7" t="s">
        <v>601</v>
      </c>
      <c r="E32" s="7" t="n">
        <v>2024</v>
      </c>
      <c r="F32" s="8" t="s">
        <v>602</v>
      </c>
      <c r="G32" s="6" t="s">
        <v>393</v>
      </c>
      <c r="H32" s="7"/>
      <c r="I32" s="7"/>
      <c r="J32" s="7"/>
      <c r="K32" s="7"/>
      <c r="L32" s="7"/>
      <c r="M32" s="7"/>
      <c r="N32" s="7"/>
      <c r="O32" s="7"/>
      <c r="P32" s="7" t="s">
        <v>61</v>
      </c>
      <c r="Q32" s="7" t="s">
        <v>62</v>
      </c>
      <c r="R32" s="7" t="s">
        <v>603</v>
      </c>
      <c r="S32" s="7" t="n">
        <v>111</v>
      </c>
      <c r="T32" s="7" t="s">
        <v>604</v>
      </c>
      <c r="U32" s="7" t="n">
        <v>5</v>
      </c>
      <c r="V32" s="7"/>
      <c r="W32" s="7" t="n">
        <v>967</v>
      </c>
      <c r="X32" s="7" t="n">
        <v>976</v>
      </c>
      <c r="Y32" s="7" t="n">
        <v>9</v>
      </c>
      <c r="Z32" s="7" t="s">
        <v>605</v>
      </c>
      <c r="AA32" s="9" t="s">
        <v>606</v>
      </c>
      <c r="AB32" s="7" t="s">
        <v>607</v>
      </c>
      <c r="AC32" s="7" t="s">
        <v>608</v>
      </c>
      <c r="AD32" s="7"/>
      <c r="AE32" s="7" t="s">
        <v>609</v>
      </c>
      <c r="AF32" s="7"/>
      <c r="AG32" s="7"/>
      <c r="AH32" s="7" t="s">
        <v>610</v>
      </c>
      <c r="AI32" s="7" t="s">
        <v>611</v>
      </c>
      <c r="AJ32" s="10" t="s">
        <v>612</v>
      </c>
      <c r="AK32" s="7" t="s">
        <v>613</v>
      </c>
      <c r="AL32" s="7" t="s">
        <v>614</v>
      </c>
      <c r="AM32" s="7" t="s">
        <v>615</v>
      </c>
      <c r="AN32" s="7"/>
      <c r="AO32" s="7"/>
      <c r="AP32" s="7"/>
      <c r="AQ32" s="7"/>
      <c r="AR32" s="7"/>
      <c r="AS32" s="7"/>
      <c r="AT32" s="7" t="n">
        <v>29637</v>
      </c>
      <c r="AU32" s="7"/>
      <c r="AV32" s="7" t="s">
        <v>616</v>
      </c>
      <c r="AW32" s="7" t="n">
        <v>39255803</v>
      </c>
      <c r="AX32" s="7" t="s">
        <v>617</v>
      </c>
      <c r="AY32" s="7" t="s">
        <v>75</v>
      </c>
      <c r="AZ32" s="7" t="s">
        <v>409</v>
      </c>
      <c r="BA32" s="7" t="s">
        <v>76</v>
      </c>
      <c r="BB32" s="7" t="s">
        <v>618</v>
      </c>
      <c r="BC32" s="7"/>
      <c r="BD32" s="7"/>
      <c r="BE32" s="7"/>
      <c r="BF32" s="7"/>
      <c r="BG32" s="7"/>
      <c r="BH32" s="7"/>
      <c r="BI32" s="7"/>
    </row>
    <row r="33" customFormat="false" ht="14.25" hidden="false" customHeight="true" outlineLevel="0" collapsed="false">
      <c r="A33" s="7" t="s">
        <v>619</v>
      </c>
      <c r="B33" s="7" t="s">
        <v>620</v>
      </c>
      <c r="C33" s="7" t="s">
        <v>621</v>
      </c>
      <c r="D33" s="7" t="s">
        <v>622</v>
      </c>
      <c r="E33" s="7" t="n">
        <v>2024</v>
      </c>
      <c r="F33" s="8" t="s">
        <v>623</v>
      </c>
      <c r="G33" s="6" t="s">
        <v>624</v>
      </c>
      <c r="H33" s="7"/>
      <c r="I33" s="7"/>
      <c r="J33" s="7"/>
      <c r="K33" s="7"/>
      <c r="L33" s="7"/>
      <c r="M33" s="7"/>
      <c r="N33" s="7"/>
      <c r="O33" s="7"/>
      <c r="P33" s="7" t="s">
        <v>61</v>
      </c>
      <c r="Q33" s="7" t="s">
        <v>62</v>
      </c>
      <c r="R33" s="7" t="s">
        <v>625</v>
      </c>
      <c r="S33" s="7" t="n">
        <v>14</v>
      </c>
      <c r="T33" s="7" t="s">
        <v>626</v>
      </c>
      <c r="U33" s="7" t="n">
        <v>1</v>
      </c>
      <c r="V33" s="7"/>
      <c r="W33" s="7" t="n">
        <v>2</v>
      </c>
      <c r="X33" s="7" t="n">
        <v>7</v>
      </c>
      <c r="Y33" s="7" t="n">
        <v>5</v>
      </c>
      <c r="Z33" s="7" t="s">
        <v>627</v>
      </c>
      <c r="AA33" s="9" t="s">
        <v>628</v>
      </c>
      <c r="AB33" s="7" t="s">
        <v>629</v>
      </c>
      <c r="AC33" s="7" t="s">
        <v>630</v>
      </c>
      <c r="AD33" s="7" t="s">
        <v>631</v>
      </c>
      <c r="AE33" s="7" t="s">
        <v>632</v>
      </c>
      <c r="AF33" s="7"/>
      <c r="AG33" s="7"/>
      <c r="AH33" s="7"/>
      <c r="AI33" s="7"/>
      <c r="AJ33" s="10"/>
      <c r="AK33" s="7"/>
      <c r="AL33" s="7" t="s">
        <v>633</v>
      </c>
      <c r="AM33" s="7" t="s">
        <v>634</v>
      </c>
      <c r="AN33" s="7"/>
      <c r="AO33" s="7"/>
      <c r="AP33" s="7"/>
      <c r="AQ33" s="7"/>
      <c r="AR33" s="7"/>
      <c r="AS33" s="7"/>
      <c r="AT33" s="7" t="n">
        <v>22295070</v>
      </c>
      <c r="AU33" s="7"/>
      <c r="AV33" s="7"/>
      <c r="AW33" s="7"/>
      <c r="AX33" s="7" t="s">
        <v>635</v>
      </c>
      <c r="AY33" s="7" t="s">
        <v>75</v>
      </c>
      <c r="AZ33" s="7" t="s">
        <v>636</v>
      </c>
      <c r="BA33" s="7" t="s">
        <v>76</v>
      </c>
      <c r="BB33" s="7" t="s">
        <v>637</v>
      </c>
      <c r="BC33" s="7"/>
      <c r="BD33" s="7"/>
      <c r="BE33" s="7"/>
      <c r="BF33" s="7"/>
      <c r="BG33" s="7"/>
      <c r="BH33" s="7"/>
      <c r="BI33" s="7"/>
    </row>
    <row r="34" customFormat="false" ht="14.25" hidden="false" customHeight="true" outlineLevel="0" collapsed="false">
      <c r="A34" s="7" t="s">
        <v>638</v>
      </c>
      <c r="B34" s="7" t="s">
        <v>639</v>
      </c>
      <c r="C34" s="7" t="s">
        <v>640</v>
      </c>
      <c r="D34" s="7" t="s">
        <v>641</v>
      </c>
      <c r="E34" s="7" t="n">
        <v>2024</v>
      </c>
      <c r="F34" s="8" t="s">
        <v>642</v>
      </c>
      <c r="G34" s="6" t="s">
        <v>149</v>
      </c>
      <c r="H34" s="7"/>
      <c r="I34" s="7"/>
      <c r="J34" s="7"/>
      <c r="K34" s="7"/>
      <c r="L34" s="7"/>
      <c r="M34" s="7"/>
      <c r="N34" s="7"/>
      <c r="O34" s="7"/>
      <c r="P34" s="7" t="s">
        <v>61</v>
      </c>
      <c r="Q34" s="7" t="s">
        <v>62</v>
      </c>
      <c r="R34" s="7" t="s">
        <v>643</v>
      </c>
      <c r="S34" s="7" t="n">
        <v>9</v>
      </c>
      <c r="T34" s="7" t="s">
        <v>644</v>
      </c>
      <c r="U34" s="7" t="n">
        <v>12</v>
      </c>
      <c r="V34" s="7"/>
      <c r="W34" s="7" t="n">
        <v>33495</v>
      </c>
      <c r="X34" s="7" t="n">
        <v>33531</v>
      </c>
      <c r="Y34" s="7" t="n">
        <v>36</v>
      </c>
      <c r="Z34" s="7" t="s">
        <v>645</v>
      </c>
      <c r="AA34" s="9" t="s">
        <v>646</v>
      </c>
      <c r="AB34" s="7" t="s">
        <v>647</v>
      </c>
      <c r="AC34" s="7" t="s">
        <v>648</v>
      </c>
      <c r="AD34" s="7" t="s">
        <v>649</v>
      </c>
      <c r="AE34" s="7"/>
      <c r="AF34" s="7"/>
      <c r="AG34" s="7"/>
      <c r="AH34" s="7"/>
      <c r="AI34" s="7"/>
      <c r="AJ34" s="10" t="s">
        <v>650</v>
      </c>
      <c r="AK34" s="7" t="s">
        <v>651</v>
      </c>
      <c r="AL34" s="7" t="s">
        <v>652</v>
      </c>
      <c r="AM34" s="7" t="s">
        <v>653</v>
      </c>
      <c r="AN34" s="7"/>
      <c r="AO34" s="7"/>
      <c r="AP34" s="7"/>
      <c r="AQ34" s="7"/>
      <c r="AR34" s="7"/>
      <c r="AS34" s="7"/>
      <c r="AT34" s="7" t="n">
        <v>24736988</v>
      </c>
      <c r="AU34" s="7"/>
      <c r="AV34" s="7"/>
      <c r="AW34" s="7"/>
      <c r="AX34" s="7" t="s">
        <v>654</v>
      </c>
      <c r="AY34" s="7" t="s">
        <v>75</v>
      </c>
      <c r="AZ34" s="7"/>
      <c r="BA34" s="7" t="s">
        <v>76</v>
      </c>
      <c r="BB34" s="7" t="s">
        <v>655</v>
      </c>
      <c r="BC34" s="7"/>
      <c r="BD34" s="7"/>
      <c r="BE34" s="7"/>
      <c r="BF34" s="7"/>
      <c r="BG34" s="7"/>
      <c r="BH34" s="7"/>
      <c r="BI34" s="7"/>
    </row>
    <row r="35" customFormat="false" ht="14.25" hidden="false" customHeight="true" outlineLevel="0" collapsed="false">
      <c r="A35" s="7" t="s">
        <v>656</v>
      </c>
      <c r="B35" s="7" t="s">
        <v>657</v>
      </c>
      <c r="C35" s="7" t="s">
        <v>658</v>
      </c>
      <c r="D35" s="7" t="s">
        <v>659</v>
      </c>
      <c r="E35" s="7" t="n">
        <v>2024</v>
      </c>
      <c r="F35" s="8" t="s">
        <v>660</v>
      </c>
      <c r="G35" s="6" t="s">
        <v>134</v>
      </c>
      <c r="H35" s="7"/>
      <c r="I35" s="7"/>
      <c r="J35" s="7"/>
      <c r="K35" s="7"/>
      <c r="L35" s="7"/>
      <c r="M35" s="7"/>
      <c r="N35" s="7"/>
      <c r="O35" s="7"/>
      <c r="P35" s="7" t="s">
        <v>61</v>
      </c>
      <c r="Q35" s="7" t="s">
        <v>62</v>
      </c>
      <c r="R35" s="7" t="s">
        <v>661</v>
      </c>
      <c r="S35" s="7" t="n">
        <v>10</v>
      </c>
      <c r="T35" s="7" t="s">
        <v>662</v>
      </c>
      <c r="U35" s="7"/>
      <c r="V35" s="7"/>
      <c r="W35" s="7"/>
      <c r="X35" s="7"/>
      <c r="Y35" s="7"/>
      <c r="Z35" s="7" t="s">
        <v>663</v>
      </c>
      <c r="AA35" s="9" t="s">
        <v>664</v>
      </c>
      <c r="AB35" s="7" t="s">
        <v>665</v>
      </c>
      <c r="AC35" s="7" t="s">
        <v>666</v>
      </c>
      <c r="AD35" s="7" t="s">
        <v>667</v>
      </c>
      <c r="AE35" s="7" t="s">
        <v>668</v>
      </c>
      <c r="AF35" s="7"/>
      <c r="AG35" s="7"/>
      <c r="AH35" s="7"/>
      <c r="AI35" s="7"/>
      <c r="AJ35" s="10"/>
      <c r="AK35" s="7"/>
      <c r="AL35" s="7" t="s">
        <v>669</v>
      </c>
      <c r="AM35" s="7" t="s">
        <v>670</v>
      </c>
      <c r="AN35" s="7"/>
      <c r="AO35" s="7"/>
      <c r="AP35" s="7"/>
      <c r="AQ35" s="7"/>
      <c r="AR35" s="7"/>
      <c r="AS35" s="7"/>
      <c r="AT35" s="7" t="n">
        <v>24117145</v>
      </c>
      <c r="AU35" s="7"/>
      <c r="AV35" s="7"/>
      <c r="AW35" s="7"/>
      <c r="AX35" s="7" t="s">
        <v>671</v>
      </c>
      <c r="AY35" s="7" t="s">
        <v>75</v>
      </c>
      <c r="AZ35" s="7" t="s">
        <v>127</v>
      </c>
      <c r="BA35" s="7" t="s">
        <v>76</v>
      </c>
      <c r="BB35" s="7" t="s">
        <v>672</v>
      </c>
      <c r="BC35" s="7"/>
      <c r="BD35" s="7"/>
      <c r="BE35" s="7"/>
      <c r="BF35" s="7"/>
      <c r="BG35" s="7"/>
      <c r="BH35" s="7"/>
      <c r="BI35" s="7"/>
    </row>
    <row r="36" customFormat="false" ht="14.25" hidden="false" customHeight="true" outlineLevel="0" collapsed="false">
      <c r="A36" s="7" t="s">
        <v>673</v>
      </c>
      <c r="B36" s="7" t="s">
        <v>674</v>
      </c>
      <c r="C36" s="7" t="s">
        <v>675</v>
      </c>
      <c r="D36" s="7" t="s">
        <v>676</v>
      </c>
      <c r="E36" s="7" t="n">
        <v>2024</v>
      </c>
      <c r="F36" s="8" t="s">
        <v>677</v>
      </c>
      <c r="G36" s="6" t="s">
        <v>678</v>
      </c>
      <c r="H36" s="7"/>
      <c r="I36" s="7"/>
      <c r="J36" s="7"/>
      <c r="K36" s="7"/>
      <c r="L36" s="7"/>
      <c r="M36" s="7"/>
      <c r="N36" s="7"/>
      <c r="O36" s="7"/>
      <c r="P36" s="7" t="s">
        <v>61</v>
      </c>
      <c r="Q36" s="7" t="s">
        <v>62</v>
      </c>
      <c r="R36" s="7" t="s">
        <v>679</v>
      </c>
      <c r="S36" s="12" t="n">
        <v>45444</v>
      </c>
      <c r="T36" s="7" t="s">
        <v>500</v>
      </c>
      <c r="U36" s="7"/>
      <c r="V36" s="7" t="s">
        <v>680</v>
      </c>
      <c r="W36" s="7"/>
      <c r="X36" s="7"/>
      <c r="Y36" s="7"/>
      <c r="Z36" s="7" t="s">
        <v>681</v>
      </c>
      <c r="AA36" s="9" t="s">
        <v>682</v>
      </c>
      <c r="AB36" s="7" t="s">
        <v>683</v>
      </c>
      <c r="AC36" s="7" t="s">
        <v>684</v>
      </c>
      <c r="AD36" s="7"/>
      <c r="AE36" s="7" t="s">
        <v>685</v>
      </c>
      <c r="AF36" s="7"/>
      <c r="AG36" s="7"/>
      <c r="AH36" s="7"/>
      <c r="AI36" s="7"/>
      <c r="AJ36" s="10" t="s">
        <v>686</v>
      </c>
      <c r="AK36" s="7" t="s">
        <v>687</v>
      </c>
      <c r="AL36" s="7" t="s">
        <v>688</v>
      </c>
      <c r="AM36" s="7"/>
      <c r="AN36" s="7"/>
      <c r="AO36" s="7"/>
      <c r="AP36" s="7"/>
      <c r="AQ36" s="7"/>
      <c r="AR36" s="7"/>
      <c r="AS36" s="7"/>
      <c r="AT36" s="7" t="n">
        <v>19352727</v>
      </c>
      <c r="AU36" s="7"/>
      <c r="AV36" s="7"/>
      <c r="AW36" s="7" t="n">
        <v>38829905</v>
      </c>
      <c r="AX36" s="7" t="s">
        <v>689</v>
      </c>
      <c r="AY36" s="7" t="s">
        <v>75</v>
      </c>
      <c r="AZ36" s="7" t="s">
        <v>107</v>
      </c>
      <c r="BA36" s="7" t="s">
        <v>76</v>
      </c>
      <c r="BB36" s="7" t="s">
        <v>690</v>
      </c>
      <c r="BC36" s="7"/>
      <c r="BD36" s="7"/>
      <c r="BE36" s="7"/>
      <c r="BF36" s="7"/>
      <c r="BG36" s="7"/>
      <c r="BH36" s="7"/>
      <c r="BI36" s="7"/>
    </row>
    <row r="37" customFormat="false" ht="14.25" hidden="false" customHeight="true" outlineLevel="0" collapsed="false">
      <c r="A37" s="7" t="s">
        <v>691</v>
      </c>
      <c r="B37" s="7" t="s">
        <v>692</v>
      </c>
      <c r="C37" s="7" t="s">
        <v>693</v>
      </c>
      <c r="D37" s="7" t="s">
        <v>694</v>
      </c>
      <c r="E37" s="7" t="n">
        <v>2024</v>
      </c>
      <c r="F37" s="8" t="s">
        <v>695</v>
      </c>
      <c r="G37" s="6" t="s">
        <v>393</v>
      </c>
      <c r="H37" s="7"/>
      <c r="I37" s="7"/>
      <c r="J37" s="7"/>
      <c r="K37" s="7"/>
      <c r="L37" s="7"/>
      <c r="M37" s="7"/>
      <c r="N37" s="7"/>
      <c r="O37" s="7"/>
      <c r="P37" s="7" t="s">
        <v>61</v>
      </c>
      <c r="Q37" s="7" t="s">
        <v>62</v>
      </c>
      <c r="R37" s="7" t="s">
        <v>679</v>
      </c>
      <c r="S37" s="7" t="n">
        <v>18</v>
      </c>
      <c r="T37" s="7" t="s">
        <v>500</v>
      </c>
      <c r="U37" s="7" t="n">
        <v>4</v>
      </c>
      <c r="V37" s="7" t="s">
        <v>696</v>
      </c>
      <c r="W37" s="7"/>
      <c r="X37" s="7"/>
      <c r="Y37" s="7"/>
      <c r="Z37" s="7" t="s">
        <v>697</v>
      </c>
      <c r="AA37" s="9" t="s">
        <v>698</v>
      </c>
      <c r="AB37" s="7" t="s">
        <v>699</v>
      </c>
      <c r="AC37" s="7" t="s">
        <v>700</v>
      </c>
      <c r="AD37" s="7"/>
      <c r="AE37" s="7" t="s">
        <v>701</v>
      </c>
      <c r="AF37" s="7"/>
      <c r="AG37" s="7" t="s">
        <v>702</v>
      </c>
      <c r="AH37" s="7"/>
      <c r="AI37" s="7"/>
      <c r="AJ37" s="10" t="s">
        <v>703</v>
      </c>
      <c r="AK37" s="7" t="s">
        <v>704</v>
      </c>
      <c r="AL37" s="7" t="s">
        <v>705</v>
      </c>
      <c r="AM37" s="7" t="s">
        <v>706</v>
      </c>
      <c r="AN37" s="7"/>
      <c r="AO37" s="7"/>
      <c r="AP37" s="7"/>
      <c r="AQ37" s="7"/>
      <c r="AR37" s="7"/>
      <c r="AS37" s="7"/>
      <c r="AT37" s="7" t="n">
        <v>19352727</v>
      </c>
      <c r="AU37" s="7"/>
      <c r="AV37" s="7"/>
      <c r="AW37" s="7" t="n">
        <v>38635851</v>
      </c>
      <c r="AX37" s="7" t="s">
        <v>689</v>
      </c>
      <c r="AY37" s="7" t="s">
        <v>75</v>
      </c>
      <c r="AZ37" s="7" t="s">
        <v>107</v>
      </c>
      <c r="BA37" s="7" t="s">
        <v>76</v>
      </c>
      <c r="BB37" s="7" t="s">
        <v>707</v>
      </c>
      <c r="BC37" s="7"/>
      <c r="BD37" s="7"/>
      <c r="BE37" s="7"/>
      <c r="BF37" s="7"/>
      <c r="BG37" s="7"/>
      <c r="BH37" s="7"/>
      <c r="BI37" s="7"/>
    </row>
    <row r="38" customFormat="false" ht="14.25" hidden="false" customHeight="true" outlineLevel="0" collapsed="false">
      <c r="A38" s="7" t="s">
        <v>708</v>
      </c>
      <c r="B38" s="7" t="s">
        <v>709</v>
      </c>
      <c r="C38" s="7" t="s">
        <v>710</v>
      </c>
      <c r="D38" s="7" t="s">
        <v>711</v>
      </c>
      <c r="E38" s="7" t="n">
        <v>2024</v>
      </c>
      <c r="F38" s="8" t="s">
        <v>712</v>
      </c>
      <c r="G38" s="6" t="s">
        <v>713</v>
      </c>
      <c r="H38" s="7"/>
      <c r="I38" s="7"/>
      <c r="J38" s="7"/>
      <c r="K38" s="7"/>
      <c r="L38" s="7"/>
      <c r="M38" s="7"/>
      <c r="N38" s="7"/>
      <c r="O38" s="7"/>
      <c r="P38" s="7" t="s">
        <v>61</v>
      </c>
      <c r="Q38" s="7" t="s">
        <v>62</v>
      </c>
      <c r="R38" s="7" t="s">
        <v>714</v>
      </c>
      <c r="S38" s="7" t="n">
        <v>10</v>
      </c>
      <c r="T38" s="7" t="s">
        <v>64</v>
      </c>
      <c r="U38" s="7" t="n">
        <v>15</v>
      </c>
      <c r="V38" s="7" t="s">
        <v>715</v>
      </c>
      <c r="W38" s="7"/>
      <c r="X38" s="7"/>
      <c r="Y38" s="7"/>
      <c r="Z38" s="7" t="s">
        <v>716</v>
      </c>
      <c r="AA38" s="9" t="s">
        <v>717</v>
      </c>
      <c r="AB38" s="7" t="s">
        <v>718</v>
      </c>
      <c r="AC38" s="7" t="s">
        <v>719</v>
      </c>
      <c r="AD38" s="7" t="s">
        <v>720</v>
      </c>
      <c r="AE38" s="7"/>
      <c r="AF38" s="7"/>
      <c r="AG38" s="7"/>
      <c r="AH38" s="7"/>
      <c r="AI38" s="7"/>
      <c r="AJ38" s="10" t="s">
        <v>721</v>
      </c>
      <c r="AK38" s="7" t="s">
        <v>722</v>
      </c>
      <c r="AL38" s="7" t="s">
        <v>723</v>
      </c>
      <c r="AM38" s="7" t="s">
        <v>724</v>
      </c>
      <c r="AN38" s="7"/>
      <c r="AO38" s="7"/>
      <c r="AP38" s="7"/>
      <c r="AQ38" s="7"/>
      <c r="AR38" s="7"/>
      <c r="AS38" s="7"/>
      <c r="AT38" s="7" t="n">
        <v>24058440</v>
      </c>
      <c r="AU38" s="7"/>
      <c r="AV38" s="7"/>
      <c r="AW38" s="7"/>
      <c r="AX38" s="7" t="s">
        <v>714</v>
      </c>
      <c r="AY38" s="7" t="s">
        <v>75</v>
      </c>
      <c r="AZ38" s="7" t="s">
        <v>107</v>
      </c>
      <c r="BA38" s="7" t="s">
        <v>76</v>
      </c>
      <c r="BB38" s="7" t="s">
        <v>725</v>
      </c>
      <c r="BC38" s="7"/>
      <c r="BD38" s="7"/>
      <c r="BE38" s="7"/>
      <c r="BF38" s="7"/>
      <c r="BG38" s="7"/>
      <c r="BH38" s="7"/>
      <c r="BI38" s="7"/>
    </row>
    <row r="39" customFormat="false" ht="14.25" hidden="false" customHeight="true" outlineLevel="0" collapsed="false">
      <c r="A39" s="7" t="s">
        <v>726</v>
      </c>
      <c r="B39" s="7" t="s">
        <v>727</v>
      </c>
      <c r="C39" s="7" t="s">
        <v>728</v>
      </c>
      <c r="D39" s="7" t="s">
        <v>729</v>
      </c>
      <c r="E39" s="7" t="n">
        <v>2024</v>
      </c>
      <c r="F39" s="8" t="s">
        <v>730</v>
      </c>
      <c r="G39" s="6" t="s">
        <v>134</v>
      </c>
      <c r="H39" s="7"/>
      <c r="I39" s="7"/>
      <c r="J39" s="7"/>
      <c r="K39" s="7"/>
      <c r="L39" s="7"/>
      <c r="M39" s="7"/>
      <c r="N39" s="7"/>
      <c r="O39" s="7"/>
      <c r="P39" s="7" t="s">
        <v>61</v>
      </c>
      <c r="Q39" s="7" t="s">
        <v>62</v>
      </c>
      <c r="R39" s="7" t="s">
        <v>731</v>
      </c>
      <c r="S39" s="7" t="n">
        <v>8</v>
      </c>
      <c r="T39" s="7" t="s">
        <v>732</v>
      </c>
      <c r="U39" s="7" t="n">
        <v>3</v>
      </c>
      <c r="V39" s="7"/>
      <c r="W39" s="7" t="n">
        <v>1469</v>
      </c>
      <c r="X39" s="7" t="n">
        <v>1475</v>
      </c>
      <c r="Y39" s="7" t="n">
        <v>6</v>
      </c>
      <c r="Z39" s="7" t="s">
        <v>733</v>
      </c>
      <c r="AA39" s="9" t="s">
        <v>734</v>
      </c>
      <c r="AB39" s="7" t="s">
        <v>735</v>
      </c>
      <c r="AC39" s="7" t="s">
        <v>736</v>
      </c>
      <c r="AD39" s="7" t="s">
        <v>737</v>
      </c>
      <c r="AE39" s="7"/>
      <c r="AF39" s="7"/>
      <c r="AG39" s="7"/>
      <c r="AH39" s="7"/>
      <c r="AI39" s="7"/>
      <c r="AJ39" s="10"/>
      <c r="AK39" s="7"/>
      <c r="AL39" s="7" t="s">
        <v>738</v>
      </c>
      <c r="AM39" s="7" t="s">
        <v>739</v>
      </c>
      <c r="AN39" s="7"/>
      <c r="AO39" s="7"/>
      <c r="AP39" s="7"/>
      <c r="AQ39" s="7"/>
      <c r="AR39" s="7"/>
      <c r="AS39" s="7"/>
      <c r="AT39" s="7" t="n">
        <v>25499904</v>
      </c>
      <c r="AU39" s="7"/>
      <c r="AV39" s="7"/>
      <c r="AW39" s="7"/>
      <c r="AX39" s="7" t="s">
        <v>740</v>
      </c>
      <c r="AY39" s="7" t="s">
        <v>75</v>
      </c>
      <c r="AZ39" s="7" t="s">
        <v>127</v>
      </c>
      <c r="BA39" s="7" t="s">
        <v>76</v>
      </c>
      <c r="BB39" s="7" t="s">
        <v>741</v>
      </c>
      <c r="BC39" s="7"/>
      <c r="BD39" s="7"/>
      <c r="BE39" s="7"/>
      <c r="BF39" s="7"/>
      <c r="BG39" s="7"/>
      <c r="BH39" s="7"/>
      <c r="BI39" s="7"/>
    </row>
    <row r="40" customFormat="false" ht="14.25" hidden="false" customHeight="true" outlineLevel="0" collapsed="false">
      <c r="A40" s="7" t="s">
        <v>742</v>
      </c>
      <c r="B40" s="7" t="s">
        <v>743</v>
      </c>
      <c r="C40" s="7" t="s">
        <v>744</v>
      </c>
      <c r="D40" s="7" t="s">
        <v>745</v>
      </c>
      <c r="E40" s="7" t="n">
        <v>2024</v>
      </c>
      <c r="F40" s="8" t="s">
        <v>746</v>
      </c>
      <c r="G40" s="6" t="s">
        <v>747</v>
      </c>
      <c r="H40" s="7"/>
      <c r="I40" s="7"/>
      <c r="J40" s="7"/>
      <c r="K40" s="7"/>
      <c r="L40" s="7"/>
      <c r="M40" s="7"/>
      <c r="N40" s="7"/>
      <c r="O40" s="7"/>
      <c r="P40" s="7" t="s">
        <v>61</v>
      </c>
      <c r="Q40" s="7" t="s">
        <v>62</v>
      </c>
      <c r="R40" s="7" t="s">
        <v>748</v>
      </c>
      <c r="S40" s="7" t="n">
        <v>15</v>
      </c>
      <c r="T40" s="7" t="s">
        <v>749</v>
      </c>
      <c r="U40" s="7" t="n">
        <v>1</v>
      </c>
      <c r="V40" s="7" t="n">
        <v>4838</v>
      </c>
      <c r="W40" s="7"/>
      <c r="X40" s="7"/>
      <c r="Y40" s="7"/>
      <c r="Z40" s="7" t="s">
        <v>750</v>
      </c>
      <c r="AA40" s="9" t="s">
        <v>751</v>
      </c>
      <c r="AB40" s="7" t="s">
        <v>752</v>
      </c>
      <c r="AC40" s="7" t="s">
        <v>753</v>
      </c>
      <c r="AD40" s="7"/>
      <c r="AE40" s="7" t="s">
        <v>754</v>
      </c>
      <c r="AF40" s="7"/>
      <c r="AG40" s="7"/>
      <c r="AH40" s="7"/>
      <c r="AI40" s="7"/>
      <c r="AJ40" s="10" t="s">
        <v>755</v>
      </c>
      <c r="AK40" s="7" t="s">
        <v>756</v>
      </c>
      <c r="AL40" s="7" t="s">
        <v>757</v>
      </c>
      <c r="AM40" s="7" t="s">
        <v>758</v>
      </c>
      <c r="AN40" s="7"/>
      <c r="AO40" s="7"/>
      <c r="AP40" s="7"/>
      <c r="AQ40" s="7"/>
      <c r="AR40" s="7"/>
      <c r="AS40" s="7"/>
      <c r="AT40" s="7" t="n">
        <v>20411723</v>
      </c>
      <c r="AU40" s="7"/>
      <c r="AV40" s="7"/>
      <c r="AW40" s="7" t="n">
        <v>38898012</v>
      </c>
      <c r="AX40" s="7" t="s">
        <v>759</v>
      </c>
      <c r="AY40" s="7" t="s">
        <v>75</v>
      </c>
      <c r="AZ40" s="7" t="s">
        <v>107</v>
      </c>
      <c r="BA40" s="7" t="s">
        <v>76</v>
      </c>
      <c r="BB40" s="7" t="s">
        <v>760</v>
      </c>
      <c r="BC40" s="7"/>
      <c r="BD40" s="7"/>
      <c r="BE40" s="7"/>
      <c r="BF40" s="7"/>
      <c r="BG40" s="7"/>
      <c r="BH40" s="7"/>
      <c r="BI40" s="7"/>
    </row>
    <row r="41" customFormat="false" ht="14.25" hidden="false" customHeight="true" outlineLevel="0" collapsed="false">
      <c r="A41" s="7" t="s">
        <v>761</v>
      </c>
      <c r="B41" s="7" t="s">
        <v>762</v>
      </c>
      <c r="C41" s="7" t="n">
        <v>58895612300</v>
      </c>
      <c r="D41" s="7" t="s">
        <v>763</v>
      </c>
      <c r="E41" s="7" t="n">
        <v>2024</v>
      </c>
      <c r="F41" s="8" t="s">
        <v>764</v>
      </c>
      <c r="G41" s="6" t="s">
        <v>765</v>
      </c>
      <c r="H41" s="7"/>
      <c r="I41" s="7"/>
      <c r="J41" s="7"/>
      <c r="K41" s="7"/>
      <c r="L41" s="7"/>
      <c r="M41" s="7"/>
      <c r="N41" s="7"/>
      <c r="O41" s="7"/>
      <c r="P41" s="7" t="s">
        <v>61</v>
      </c>
      <c r="Q41" s="7" t="s">
        <v>62</v>
      </c>
      <c r="R41" s="7" t="s">
        <v>766</v>
      </c>
      <c r="S41" s="7" t="n">
        <v>18</v>
      </c>
      <c r="T41" s="7" t="s">
        <v>767</v>
      </c>
      <c r="U41" s="7" t="n">
        <v>1</v>
      </c>
      <c r="V41" s="7"/>
      <c r="W41" s="7" t="n">
        <v>125</v>
      </c>
      <c r="X41" s="7" t="n">
        <v>132</v>
      </c>
      <c r="Y41" s="7" t="n">
        <v>7</v>
      </c>
      <c r="Z41" s="7" t="s">
        <v>768</v>
      </c>
      <c r="AA41" s="9" t="s">
        <v>769</v>
      </c>
      <c r="AB41" s="7" t="s">
        <v>770</v>
      </c>
      <c r="AC41" s="7" t="s">
        <v>771</v>
      </c>
      <c r="AD41" s="7" t="s">
        <v>772</v>
      </c>
      <c r="AE41" s="7"/>
      <c r="AF41" s="7"/>
      <c r="AG41" s="7"/>
      <c r="AH41" s="7"/>
      <c r="AI41" s="7"/>
      <c r="AJ41" s="10" t="s">
        <v>773</v>
      </c>
      <c r="AK41" s="7" t="s">
        <v>774</v>
      </c>
      <c r="AL41" s="7" t="s">
        <v>775</v>
      </c>
      <c r="AM41" s="7" t="s">
        <v>776</v>
      </c>
      <c r="AN41" s="7"/>
      <c r="AO41" s="7"/>
      <c r="AP41" s="7"/>
      <c r="AQ41" s="7"/>
      <c r="AR41" s="7"/>
      <c r="AS41" s="7"/>
      <c r="AT41" s="7" t="n">
        <v>19350090</v>
      </c>
      <c r="AU41" s="7"/>
      <c r="AV41" s="7"/>
      <c r="AW41" s="7"/>
      <c r="AX41" s="7" t="s">
        <v>777</v>
      </c>
      <c r="AY41" s="7" t="s">
        <v>75</v>
      </c>
      <c r="AZ41" s="7"/>
      <c r="BA41" s="7" t="s">
        <v>76</v>
      </c>
      <c r="BB41" s="7" t="s">
        <v>778</v>
      </c>
      <c r="BC41" s="7"/>
      <c r="BD41" s="7"/>
      <c r="BE41" s="7"/>
      <c r="BF41" s="7"/>
      <c r="BG41" s="7"/>
      <c r="BH41" s="7"/>
      <c r="BI41" s="7"/>
    </row>
    <row r="42" customFormat="false" ht="14.25" hidden="false" customHeight="true" outlineLevel="0" collapsed="false">
      <c r="A42" s="7" t="s">
        <v>779</v>
      </c>
      <c r="B42" s="7" t="s">
        <v>780</v>
      </c>
      <c r="C42" s="7" t="s">
        <v>781</v>
      </c>
      <c r="D42" s="7" t="s">
        <v>782</v>
      </c>
      <c r="E42" s="7" t="n">
        <v>2024</v>
      </c>
      <c r="F42" s="8" t="s">
        <v>783</v>
      </c>
      <c r="G42" s="6" t="s">
        <v>713</v>
      </c>
      <c r="H42" s="7"/>
      <c r="I42" s="7"/>
      <c r="J42" s="7"/>
      <c r="K42" s="7"/>
      <c r="L42" s="7"/>
      <c r="M42" s="7"/>
      <c r="N42" s="7"/>
      <c r="O42" s="7"/>
      <c r="P42" s="7" t="s">
        <v>61</v>
      </c>
      <c r="Q42" s="7" t="s">
        <v>62</v>
      </c>
      <c r="R42" s="7" t="s">
        <v>784</v>
      </c>
      <c r="S42" s="7" t="n">
        <v>15</v>
      </c>
      <c r="T42" s="7" t="s">
        <v>785</v>
      </c>
      <c r="U42" s="7" t="n">
        <v>1</v>
      </c>
      <c r="V42" s="7"/>
      <c r="W42" s="7" t="n">
        <v>961</v>
      </c>
      <c r="X42" s="7" t="n">
        <v>973</v>
      </c>
      <c r="Y42" s="7" t="n">
        <v>12</v>
      </c>
      <c r="Z42" s="7" t="s">
        <v>786</v>
      </c>
      <c r="AA42" s="9" t="s">
        <v>787</v>
      </c>
      <c r="AB42" s="7" t="s">
        <v>788</v>
      </c>
      <c r="AC42" s="7" t="s">
        <v>789</v>
      </c>
      <c r="AD42" s="7" t="s">
        <v>790</v>
      </c>
      <c r="AE42" s="7"/>
      <c r="AF42" s="7"/>
      <c r="AG42" s="7"/>
      <c r="AH42" s="7"/>
      <c r="AI42" s="7"/>
      <c r="AJ42" s="10"/>
      <c r="AK42" s="7"/>
      <c r="AL42" s="7" t="s">
        <v>791</v>
      </c>
      <c r="AM42" s="7" t="s">
        <v>792</v>
      </c>
      <c r="AN42" s="7"/>
      <c r="AO42" s="7"/>
      <c r="AP42" s="7"/>
      <c r="AQ42" s="7"/>
      <c r="AR42" s="7"/>
      <c r="AS42" s="7"/>
      <c r="AT42" s="7" t="s">
        <v>793</v>
      </c>
      <c r="AU42" s="7"/>
      <c r="AV42" s="7"/>
      <c r="AW42" s="7"/>
      <c r="AX42" s="7" t="s">
        <v>794</v>
      </c>
      <c r="AY42" s="7" t="s">
        <v>75</v>
      </c>
      <c r="AZ42" s="7" t="s">
        <v>127</v>
      </c>
      <c r="BA42" s="7" t="s">
        <v>76</v>
      </c>
      <c r="BB42" s="7" t="s">
        <v>795</v>
      </c>
      <c r="BC42" s="7"/>
      <c r="BD42" s="7"/>
      <c r="BE42" s="7"/>
      <c r="BF42" s="7"/>
      <c r="BG42" s="7"/>
      <c r="BH42" s="7"/>
      <c r="BI42" s="7"/>
    </row>
    <row r="43" customFormat="false" ht="14.25" hidden="false" customHeight="true" outlineLevel="0" collapsed="false">
      <c r="A43" s="7" t="s">
        <v>796</v>
      </c>
      <c r="B43" s="7" t="s">
        <v>797</v>
      </c>
      <c r="C43" s="7" t="s">
        <v>798</v>
      </c>
      <c r="D43" s="7" t="s">
        <v>799</v>
      </c>
      <c r="E43" s="7" t="n">
        <v>2024</v>
      </c>
      <c r="F43" s="8" t="s">
        <v>800</v>
      </c>
      <c r="G43" s="6" t="s">
        <v>149</v>
      </c>
      <c r="H43" s="7"/>
      <c r="I43" s="7"/>
      <c r="J43" s="7"/>
      <c r="K43" s="7"/>
      <c r="L43" s="7"/>
      <c r="M43" s="7"/>
      <c r="N43" s="7"/>
      <c r="O43" s="7"/>
      <c r="P43" s="7" t="s">
        <v>61</v>
      </c>
      <c r="Q43" s="7" t="s">
        <v>62</v>
      </c>
      <c r="R43" s="7" t="s">
        <v>801</v>
      </c>
      <c r="S43" s="7" t="n">
        <v>80</v>
      </c>
      <c r="T43" s="7" t="s">
        <v>202</v>
      </c>
      <c r="U43" s="7"/>
      <c r="V43" s="7" t="n">
        <v>102495</v>
      </c>
      <c r="W43" s="7"/>
      <c r="X43" s="7"/>
      <c r="Y43" s="7"/>
      <c r="Z43" s="7" t="s">
        <v>802</v>
      </c>
      <c r="AA43" s="9" t="s">
        <v>803</v>
      </c>
      <c r="AB43" s="7" t="s">
        <v>804</v>
      </c>
      <c r="AC43" s="7" t="s">
        <v>805</v>
      </c>
      <c r="AD43" s="7" t="s">
        <v>806</v>
      </c>
      <c r="AE43" s="7" t="s">
        <v>807</v>
      </c>
      <c r="AF43" s="7"/>
      <c r="AG43" s="7"/>
      <c r="AH43" s="7"/>
      <c r="AI43" s="7"/>
      <c r="AJ43" s="10" t="s">
        <v>808</v>
      </c>
      <c r="AK43" s="7" t="s">
        <v>809</v>
      </c>
      <c r="AL43" s="7" t="s">
        <v>810</v>
      </c>
      <c r="AM43" s="7" t="s">
        <v>811</v>
      </c>
      <c r="AN43" s="7"/>
      <c r="AO43" s="7"/>
      <c r="AP43" s="7"/>
      <c r="AQ43" s="7"/>
      <c r="AR43" s="7"/>
      <c r="AS43" s="7"/>
      <c r="AT43" s="7" t="n">
        <v>15749541</v>
      </c>
      <c r="AU43" s="7"/>
      <c r="AV43" s="7"/>
      <c r="AW43" s="7"/>
      <c r="AX43" s="7" t="s">
        <v>812</v>
      </c>
      <c r="AY43" s="7" t="s">
        <v>75</v>
      </c>
      <c r="AZ43" s="7" t="s">
        <v>127</v>
      </c>
      <c r="BA43" s="7" t="s">
        <v>76</v>
      </c>
      <c r="BB43" s="7" t="s">
        <v>813</v>
      </c>
      <c r="BC43" s="7"/>
      <c r="BD43" s="7"/>
      <c r="BE43" s="7"/>
      <c r="BF43" s="7"/>
      <c r="BG43" s="7"/>
      <c r="BH43" s="7"/>
      <c r="BI43" s="7"/>
    </row>
    <row r="44" customFormat="false" ht="14.25" hidden="false" customHeight="true" outlineLevel="0" collapsed="false">
      <c r="A44" s="7" t="s">
        <v>814</v>
      </c>
      <c r="B44" s="7" t="s">
        <v>815</v>
      </c>
      <c r="C44" s="7" t="s">
        <v>816</v>
      </c>
      <c r="D44" s="7" t="s">
        <v>817</v>
      </c>
      <c r="E44" s="7" t="n">
        <v>2024</v>
      </c>
      <c r="F44" s="8" t="s">
        <v>818</v>
      </c>
      <c r="G44" s="6" t="s">
        <v>713</v>
      </c>
      <c r="H44" s="7"/>
      <c r="I44" s="7"/>
      <c r="J44" s="7"/>
      <c r="K44" s="7"/>
      <c r="L44" s="7"/>
      <c r="M44" s="7"/>
      <c r="N44" s="7"/>
      <c r="O44" s="7"/>
      <c r="P44" s="7" t="s">
        <v>61</v>
      </c>
      <c r="Q44" s="7" t="s">
        <v>62</v>
      </c>
      <c r="R44" s="7" t="s">
        <v>661</v>
      </c>
      <c r="S44" s="7" t="n">
        <v>10</v>
      </c>
      <c r="T44" s="7" t="s">
        <v>662</v>
      </c>
      <c r="U44" s="7"/>
      <c r="V44" s="7"/>
      <c r="W44" s="7"/>
      <c r="X44" s="7"/>
      <c r="Y44" s="7"/>
      <c r="Z44" s="7" t="s">
        <v>819</v>
      </c>
      <c r="AA44" s="9" t="s">
        <v>820</v>
      </c>
      <c r="AB44" s="7" t="s">
        <v>821</v>
      </c>
      <c r="AC44" s="7" t="s">
        <v>822</v>
      </c>
      <c r="AD44" s="7" t="s">
        <v>823</v>
      </c>
      <c r="AE44" s="7" t="s">
        <v>824</v>
      </c>
      <c r="AF44" s="7"/>
      <c r="AG44" s="7"/>
      <c r="AH44" s="7"/>
      <c r="AI44" s="7"/>
      <c r="AJ44" s="10"/>
      <c r="AK44" s="7"/>
      <c r="AL44" s="7" t="s">
        <v>825</v>
      </c>
      <c r="AM44" s="7" t="s">
        <v>826</v>
      </c>
      <c r="AN44" s="7"/>
      <c r="AO44" s="7"/>
      <c r="AP44" s="7"/>
      <c r="AQ44" s="7"/>
      <c r="AR44" s="7"/>
      <c r="AS44" s="7"/>
      <c r="AT44" s="7" t="n">
        <v>24117145</v>
      </c>
      <c r="AU44" s="7"/>
      <c r="AV44" s="7"/>
      <c r="AW44" s="7"/>
      <c r="AX44" s="7" t="s">
        <v>671</v>
      </c>
      <c r="AY44" s="7" t="s">
        <v>75</v>
      </c>
      <c r="AZ44" s="7" t="s">
        <v>127</v>
      </c>
      <c r="BA44" s="7" t="s">
        <v>76</v>
      </c>
      <c r="BB44" s="7" t="s">
        <v>827</v>
      </c>
      <c r="BC44" s="7"/>
      <c r="BD44" s="7"/>
      <c r="BE44" s="7"/>
      <c r="BF44" s="7"/>
      <c r="BG44" s="7"/>
      <c r="BH44" s="7"/>
      <c r="BI44" s="7"/>
    </row>
    <row r="45" customFormat="false" ht="14.25" hidden="false" customHeight="true" outlineLevel="0" collapsed="false">
      <c r="A45" s="7" t="s">
        <v>828</v>
      </c>
      <c r="B45" s="7" t="s">
        <v>829</v>
      </c>
      <c r="C45" s="7" t="s">
        <v>830</v>
      </c>
      <c r="D45" s="7" t="s">
        <v>831</v>
      </c>
      <c r="E45" s="7" t="n">
        <v>2024</v>
      </c>
      <c r="F45" s="8" t="s">
        <v>832</v>
      </c>
      <c r="G45" s="6" t="s">
        <v>169</v>
      </c>
      <c r="H45" s="7"/>
      <c r="I45" s="7"/>
      <c r="J45" s="7"/>
      <c r="K45" s="7"/>
      <c r="L45" s="7"/>
      <c r="M45" s="7"/>
      <c r="N45" s="7"/>
      <c r="O45" s="7"/>
      <c r="P45" s="7" t="s">
        <v>61</v>
      </c>
      <c r="Q45" s="7" t="s">
        <v>62</v>
      </c>
      <c r="R45" s="7" t="s">
        <v>714</v>
      </c>
      <c r="S45" s="7" t="n">
        <v>10</v>
      </c>
      <c r="T45" s="7" t="s">
        <v>64</v>
      </c>
      <c r="U45" s="7" t="n">
        <v>3</v>
      </c>
      <c r="V45" s="7" t="s">
        <v>833</v>
      </c>
      <c r="W45" s="7"/>
      <c r="X45" s="7"/>
      <c r="Y45" s="7"/>
      <c r="Z45" s="7" t="s">
        <v>834</v>
      </c>
      <c r="AA45" s="9" t="s">
        <v>835</v>
      </c>
      <c r="AB45" s="7" t="s">
        <v>836</v>
      </c>
      <c r="AC45" s="7" t="s">
        <v>837</v>
      </c>
      <c r="AD45" s="7" t="s">
        <v>838</v>
      </c>
      <c r="AE45" s="7"/>
      <c r="AF45" s="7"/>
      <c r="AG45" s="7"/>
      <c r="AH45" s="7"/>
      <c r="AI45" s="7"/>
      <c r="AJ45" s="10" t="s">
        <v>839</v>
      </c>
      <c r="AK45" s="7" t="s">
        <v>840</v>
      </c>
      <c r="AL45" s="7" t="s">
        <v>841</v>
      </c>
      <c r="AM45" s="7" t="s">
        <v>842</v>
      </c>
      <c r="AN45" s="7"/>
      <c r="AO45" s="7"/>
      <c r="AP45" s="7"/>
      <c r="AQ45" s="7"/>
      <c r="AR45" s="7"/>
      <c r="AS45" s="7"/>
      <c r="AT45" s="7" t="n">
        <v>24058440</v>
      </c>
      <c r="AU45" s="7"/>
      <c r="AV45" s="7"/>
      <c r="AW45" s="7"/>
      <c r="AX45" s="7" t="s">
        <v>714</v>
      </c>
      <c r="AY45" s="7" t="s">
        <v>75</v>
      </c>
      <c r="AZ45" s="7" t="s">
        <v>107</v>
      </c>
      <c r="BA45" s="7" t="s">
        <v>76</v>
      </c>
      <c r="BB45" s="7" t="s">
        <v>843</v>
      </c>
      <c r="BC45" s="7"/>
      <c r="BD45" s="7"/>
      <c r="BE45" s="7"/>
      <c r="BF45" s="7"/>
      <c r="BG45" s="7"/>
      <c r="BH45" s="7"/>
      <c r="BI45" s="7"/>
    </row>
    <row r="46" customFormat="false" ht="14.25" hidden="false" customHeight="true" outlineLevel="0" collapsed="false">
      <c r="A46" s="7" t="s">
        <v>844</v>
      </c>
      <c r="B46" s="7" t="s">
        <v>845</v>
      </c>
      <c r="C46" s="7" t="s">
        <v>846</v>
      </c>
      <c r="D46" s="7" t="s">
        <v>847</v>
      </c>
      <c r="E46" s="7" t="n">
        <v>2024</v>
      </c>
      <c r="F46" s="8" t="s">
        <v>848</v>
      </c>
      <c r="G46" s="6" t="s">
        <v>149</v>
      </c>
      <c r="H46" s="7"/>
      <c r="I46" s="7"/>
      <c r="J46" s="7"/>
      <c r="K46" s="7"/>
      <c r="L46" s="7"/>
      <c r="M46" s="7"/>
      <c r="N46" s="7"/>
      <c r="O46" s="7"/>
      <c r="P46" s="7" t="s">
        <v>61</v>
      </c>
      <c r="Q46" s="7" t="s">
        <v>62</v>
      </c>
      <c r="R46" s="7" t="s">
        <v>849</v>
      </c>
      <c r="S46" s="7" t="n">
        <v>14</v>
      </c>
      <c r="T46" s="7" t="s">
        <v>115</v>
      </c>
      <c r="U46" s="7" t="n">
        <v>6</v>
      </c>
      <c r="V46" s="7" t="n">
        <v>624</v>
      </c>
      <c r="W46" s="7"/>
      <c r="X46" s="7"/>
      <c r="Y46" s="7"/>
      <c r="Z46" s="7" t="s">
        <v>850</v>
      </c>
      <c r="AA46" s="9" t="s">
        <v>851</v>
      </c>
      <c r="AB46" s="7" t="s">
        <v>852</v>
      </c>
      <c r="AC46" s="7" t="s">
        <v>853</v>
      </c>
      <c r="AD46" s="7" t="s">
        <v>854</v>
      </c>
      <c r="AE46" s="7" t="s">
        <v>855</v>
      </c>
      <c r="AF46" s="7"/>
      <c r="AG46" s="7"/>
      <c r="AH46" s="7" t="s">
        <v>856</v>
      </c>
      <c r="AI46" s="7"/>
      <c r="AJ46" s="10" t="s">
        <v>857</v>
      </c>
      <c r="AK46" s="7" t="s">
        <v>858</v>
      </c>
      <c r="AL46" s="7" t="s">
        <v>859</v>
      </c>
      <c r="AM46" s="7" t="s">
        <v>860</v>
      </c>
      <c r="AN46" s="7"/>
      <c r="AO46" s="7"/>
      <c r="AP46" s="7"/>
      <c r="AQ46" s="7"/>
      <c r="AR46" s="7"/>
      <c r="AS46" s="7"/>
      <c r="AT46" s="7" t="n">
        <v>20754418</v>
      </c>
      <c r="AU46" s="7"/>
      <c r="AV46" s="7"/>
      <c r="AW46" s="7"/>
      <c r="AX46" s="7" t="s">
        <v>861</v>
      </c>
      <c r="AY46" s="7" t="s">
        <v>75</v>
      </c>
      <c r="AZ46" s="7" t="s">
        <v>107</v>
      </c>
      <c r="BA46" s="7" t="s">
        <v>76</v>
      </c>
      <c r="BB46" s="7" t="s">
        <v>862</v>
      </c>
      <c r="BC46" s="7"/>
      <c r="BD46" s="7"/>
      <c r="BE46" s="7"/>
      <c r="BF46" s="7"/>
      <c r="BG46" s="7"/>
      <c r="BH46" s="7"/>
      <c r="BI46" s="7"/>
    </row>
    <row r="47" customFormat="false" ht="14.25" hidden="false" customHeight="true" outlineLevel="0" collapsed="false">
      <c r="A47" s="7" t="s">
        <v>863</v>
      </c>
      <c r="B47" s="7" t="s">
        <v>864</v>
      </c>
      <c r="C47" s="7" t="s">
        <v>865</v>
      </c>
      <c r="D47" s="7" t="s">
        <v>866</v>
      </c>
      <c r="E47" s="7" t="n">
        <v>2024</v>
      </c>
      <c r="F47" s="8" t="s">
        <v>867</v>
      </c>
      <c r="G47" s="6" t="s">
        <v>713</v>
      </c>
      <c r="H47" s="7"/>
      <c r="I47" s="7"/>
      <c r="J47" s="7"/>
      <c r="K47" s="7"/>
      <c r="L47" s="7"/>
      <c r="M47" s="7"/>
      <c r="N47" s="7"/>
      <c r="O47" s="7"/>
      <c r="P47" s="7" t="s">
        <v>61</v>
      </c>
      <c r="Q47" s="7" t="s">
        <v>62</v>
      </c>
      <c r="R47" s="7" t="s">
        <v>661</v>
      </c>
      <c r="S47" s="7" t="n">
        <v>10</v>
      </c>
      <c r="T47" s="7" t="s">
        <v>662</v>
      </c>
      <c r="U47" s="7"/>
      <c r="V47" s="7"/>
      <c r="W47" s="7"/>
      <c r="X47" s="7"/>
      <c r="Y47" s="7"/>
      <c r="Z47" s="7" t="s">
        <v>868</v>
      </c>
      <c r="AA47" s="9" t="s">
        <v>869</v>
      </c>
      <c r="AB47" s="7" t="s">
        <v>870</v>
      </c>
      <c r="AC47" s="7" t="s">
        <v>871</v>
      </c>
      <c r="AD47" s="7" t="s">
        <v>872</v>
      </c>
      <c r="AE47" s="7" t="s">
        <v>873</v>
      </c>
      <c r="AF47" s="7"/>
      <c r="AG47" s="7"/>
      <c r="AH47" s="7"/>
      <c r="AI47" s="7"/>
      <c r="AJ47" s="10"/>
      <c r="AK47" s="7"/>
      <c r="AL47" s="7" t="s">
        <v>874</v>
      </c>
      <c r="AM47" s="7" t="s">
        <v>875</v>
      </c>
      <c r="AN47" s="7"/>
      <c r="AO47" s="7"/>
      <c r="AP47" s="7"/>
      <c r="AQ47" s="7"/>
      <c r="AR47" s="7"/>
      <c r="AS47" s="7"/>
      <c r="AT47" s="7" t="n">
        <v>24117145</v>
      </c>
      <c r="AU47" s="7"/>
      <c r="AV47" s="7"/>
      <c r="AW47" s="7"/>
      <c r="AX47" s="7" t="s">
        <v>671</v>
      </c>
      <c r="AY47" s="7" t="s">
        <v>75</v>
      </c>
      <c r="AZ47" s="7" t="s">
        <v>127</v>
      </c>
      <c r="BA47" s="7" t="s">
        <v>76</v>
      </c>
      <c r="BB47" s="7" t="s">
        <v>876</v>
      </c>
      <c r="BC47" s="7"/>
      <c r="BD47" s="7"/>
      <c r="BE47" s="7"/>
      <c r="BF47" s="7"/>
      <c r="BG47" s="7"/>
      <c r="BH47" s="7"/>
      <c r="BI47" s="7"/>
    </row>
    <row r="48" customFormat="false" ht="14.25" hidden="false" customHeight="true" outlineLevel="0" collapsed="false">
      <c r="A48" s="7" t="s">
        <v>877</v>
      </c>
      <c r="B48" s="7" t="s">
        <v>878</v>
      </c>
      <c r="C48" s="7" t="s">
        <v>879</v>
      </c>
      <c r="D48" s="7" t="s">
        <v>880</v>
      </c>
      <c r="E48" s="7" t="n">
        <v>2024</v>
      </c>
      <c r="F48" s="8" t="s">
        <v>881</v>
      </c>
      <c r="G48" s="6" t="s">
        <v>290</v>
      </c>
      <c r="H48" s="7"/>
      <c r="I48" s="7"/>
      <c r="J48" s="7"/>
      <c r="K48" s="7"/>
      <c r="L48" s="7"/>
      <c r="M48" s="7"/>
      <c r="N48" s="7"/>
      <c r="O48" s="7"/>
      <c r="P48" s="7" t="s">
        <v>61</v>
      </c>
      <c r="Q48" s="7" t="s">
        <v>62</v>
      </c>
      <c r="R48" s="7" t="s">
        <v>882</v>
      </c>
      <c r="S48" s="7" t="n">
        <v>534</v>
      </c>
      <c r="T48" s="7" t="s">
        <v>202</v>
      </c>
      <c r="U48" s="7"/>
      <c r="V48" s="7" t="n">
        <v>113769</v>
      </c>
      <c r="W48" s="7"/>
      <c r="X48" s="7"/>
      <c r="Y48" s="7"/>
      <c r="Z48" s="7" t="s">
        <v>883</v>
      </c>
      <c r="AA48" s="9" t="s">
        <v>884</v>
      </c>
      <c r="AB48" s="7" t="s">
        <v>885</v>
      </c>
      <c r="AC48" s="7" t="s">
        <v>886</v>
      </c>
      <c r="AD48" s="7" t="s">
        <v>887</v>
      </c>
      <c r="AE48" s="7" t="s">
        <v>888</v>
      </c>
      <c r="AF48" s="7"/>
      <c r="AG48" s="7" t="s">
        <v>889</v>
      </c>
      <c r="AH48" s="7"/>
      <c r="AI48" s="7"/>
      <c r="AJ48" s="10" t="s">
        <v>890</v>
      </c>
      <c r="AK48" s="7" t="s">
        <v>891</v>
      </c>
      <c r="AL48" s="7" t="s">
        <v>892</v>
      </c>
      <c r="AM48" s="7" t="s">
        <v>893</v>
      </c>
      <c r="AN48" s="7"/>
      <c r="AO48" s="7"/>
      <c r="AP48" s="7"/>
      <c r="AQ48" s="7"/>
      <c r="AR48" s="7"/>
      <c r="AS48" s="7"/>
      <c r="AT48" s="7" t="n">
        <v>221759</v>
      </c>
      <c r="AU48" s="7"/>
      <c r="AV48" s="7" t="s">
        <v>894</v>
      </c>
      <c r="AW48" s="7" t="n">
        <v>39447634</v>
      </c>
      <c r="AX48" s="7" t="s">
        <v>895</v>
      </c>
      <c r="AY48" s="7" t="s">
        <v>75</v>
      </c>
      <c r="AZ48" s="7"/>
      <c r="BA48" s="7" t="s">
        <v>76</v>
      </c>
      <c r="BB48" s="7" t="s">
        <v>896</v>
      </c>
      <c r="BC48" s="7"/>
      <c r="BD48" s="7"/>
      <c r="BE48" s="7"/>
      <c r="BF48" s="7"/>
      <c r="BG48" s="7"/>
      <c r="BH48" s="7"/>
      <c r="BI48" s="7"/>
    </row>
    <row r="49" customFormat="false" ht="14.25" hidden="false" customHeight="true" outlineLevel="0" collapsed="false">
      <c r="A49" s="7" t="s">
        <v>897</v>
      </c>
      <c r="B49" s="7" t="s">
        <v>898</v>
      </c>
      <c r="C49" s="7" t="s">
        <v>899</v>
      </c>
      <c r="D49" s="7" t="s">
        <v>900</v>
      </c>
      <c r="E49" s="7" t="n">
        <v>2024</v>
      </c>
      <c r="F49" s="8" t="s">
        <v>901</v>
      </c>
      <c r="G49" s="6" t="s">
        <v>713</v>
      </c>
      <c r="H49" s="7"/>
      <c r="I49" s="7"/>
      <c r="J49" s="7"/>
      <c r="K49" s="7"/>
      <c r="L49" s="7"/>
      <c r="M49" s="7"/>
      <c r="N49" s="7"/>
      <c r="O49" s="7"/>
      <c r="P49" s="7" t="s">
        <v>61</v>
      </c>
      <c r="Q49" s="7" t="s">
        <v>62</v>
      </c>
      <c r="R49" s="7" t="s">
        <v>902</v>
      </c>
      <c r="S49" s="7" t="n">
        <v>23</v>
      </c>
      <c r="T49" s="7" t="s">
        <v>903</v>
      </c>
      <c r="U49" s="7" t="n">
        <v>1</v>
      </c>
      <c r="V49" s="7" t="n">
        <v>200</v>
      </c>
      <c r="W49" s="7"/>
      <c r="X49" s="7"/>
      <c r="Y49" s="7"/>
      <c r="Z49" s="7" t="s">
        <v>904</v>
      </c>
      <c r="AA49" s="9" t="s">
        <v>905</v>
      </c>
      <c r="AB49" s="7" t="s">
        <v>906</v>
      </c>
      <c r="AC49" s="7" t="s">
        <v>907</v>
      </c>
      <c r="AD49" s="7" t="s">
        <v>908</v>
      </c>
      <c r="AE49" s="7" t="s">
        <v>909</v>
      </c>
      <c r="AF49" s="7"/>
      <c r="AG49" s="7"/>
      <c r="AH49" s="7"/>
      <c r="AI49" s="7"/>
      <c r="AJ49" s="10" t="s">
        <v>910</v>
      </c>
      <c r="AK49" s="7" t="s">
        <v>911</v>
      </c>
      <c r="AL49" s="7" t="s">
        <v>912</v>
      </c>
      <c r="AM49" s="7" t="s">
        <v>913</v>
      </c>
      <c r="AN49" s="7"/>
      <c r="AO49" s="7"/>
      <c r="AP49" s="7"/>
      <c r="AQ49" s="7"/>
      <c r="AR49" s="7"/>
      <c r="AS49" s="7"/>
      <c r="AT49" s="7" t="n">
        <v>14752875</v>
      </c>
      <c r="AU49" s="7"/>
      <c r="AV49" s="7"/>
      <c r="AW49" s="7" t="n">
        <v>38943203</v>
      </c>
      <c r="AX49" s="7" t="s">
        <v>914</v>
      </c>
      <c r="AY49" s="7" t="s">
        <v>75</v>
      </c>
      <c r="AZ49" s="7" t="s">
        <v>107</v>
      </c>
      <c r="BA49" s="7" t="s">
        <v>76</v>
      </c>
      <c r="BB49" s="7" t="s">
        <v>915</v>
      </c>
      <c r="BC49" s="7"/>
      <c r="BD49" s="7"/>
      <c r="BE49" s="7"/>
      <c r="BF49" s="7"/>
      <c r="BG49" s="7"/>
      <c r="BH49" s="7"/>
      <c r="BI49" s="7"/>
    </row>
    <row r="50" customFormat="false" ht="14.25" hidden="false" customHeight="true" outlineLevel="0" collapsed="false">
      <c r="A50" s="7" t="s">
        <v>916</v>
      </c>
      <c r="B50" s="7" t="s">
        <v>917</v>
      </c>
      <c r="C50" s="7" t="s">
        <v>918</v>
      </c>
      <c r="D50" s="7" t="s">
        <v>919</v>
      </c>
      <c r="E50" s="7" t="n">
        <v>2024</v>
      </c>
      <c r="F50" s="8" t="s">
        <v>920</v>
      </c>
      <c r="G50" s="6" t="s">
        <v>169</v>
      </c>
      <c r="H50" s="7"/>
      <c r="I50" s="7"/>
      <c r="J50" s="7"/>
      <c r="K50" s="7"/>
      <c r="L50" s="7"/>
      <c r="M50" s="7"/>
      <c r="N50" s="7"/>
      <c r="O50" s="7"/>
      <c r="P50" s="7" t="s">
        <v>61</v>
      </c>
      <c r="Q50" s="7" t="s">
        <v>62</v>
      </c>
      <c r="R50" s="7" t="s">
        <v>921</v>
      </c>
      <c r="S50" s="7" t="n">
        <v>96</v>
      </c>
      <c r="T50" s="7" t="s">
        <v>466</v>
      </c>
      <c r="U50" s="7" t="n">
        <v>5</v>
      </c>
      <c r="V50" s="7" t="s">
        <v>922</v>
      </c>
      <c r="W50" s="7"/>
      <c r="X50" s="7"/>
      <c r="Y50" s="7"/>
      <c r="Z50" s="7" t="s">
        <v>923</v>
      </c>
      <c r="AA50" s="9" t="s">
        <v>924</v>
      </c>
      <c r="AB50" s="7" t="s">
        <v>925</v>
      </c>
      <c r="AC50" s="7" t="s">
        <v>926</v>
      </c>
      <c r="AD50" s="7" t="s">
        <v>927</v>
      </c>
      <c r="AE50" s="7" t="s">
        <v>928</v>
      </c>
      <c r="AF50" s="7"/>
      <c r="AG50" s="7" t="s">
        <v>929</v>
      </c>
      <c r="AH50" s="7"/>
      <c r="AI50" s="7"/>
      <c r="AJ50" s="10" t="s">
        <v>930</v>
      </c>
      <c r="AK50" s="7" t="s">
        <v>931</v>
      </c>
      <c r="AL50" s="7" t="s">
        <v>932</v>
      </c>
      <c r="AM50" s="7" t="s">
        <v>933</v>
      </c>
      <c r="AN50" s="7"/>
      <c r="AO50" s="7"/>
      <c r="AP50" s="7"/>
      <c r="AQ50" s="7"/>
      <c r="AR50" s="7"/>
      <c r="AS50" s="7"/>
      <c r="AT50" s="7" t="n">
        <v>1466615</v>
      </c>
      <c r="AU50" s="7"/>
      <c r="AV50" s="7" t="s">
        <v>934</v>
      </c>
      <c r="AW50" s="7" t="n">
        <v>38738569</v>
      </c>
      <c r="AX50" s="7" t="s">
        <v>935</v>
      </c>
      <c r="AY50" s="7" t="s">
        <v>75</v>
      </c>
      <c r="AZ50" s="7" t="s">
        <v>409</v>
      </c>
      <c r="BA50" s="7" t="s">
        <v>76</v>
      </c>
      <c r="BB50" s="7" t="s">
        <v>936</v>
      </c>
      <c r="BC50" s="7"/>
      <c r="BD50" s="7"/>
      <c r="BE50" s="7"/>
      <c r="BF50" s="7"/>
      <c r="BG50" s="7"/>
      <c r="BH50" s="7"/>
      <c r="BI50" s="7"/>
    </row>
    <row r="51" customFormat="false" ht="14.25" hidden="false" customHeight="true" outlineLevel="0" collapsed="false">
      <c r="A51" s="7" t="s">
        <v>937</v>
      </c>
      <c r="B51" s="7" t="s">
        <v>938</v>
      </c>
      <c r="C51" s="7" t="s">
        <v>939</v>
      </c>
      <c r="D51" s="7" t="s">
        <v>940</v>
      </c>
      <c r="E51" s="7" t="n">
        <v>2024</v>
      </c>
      <c r="F51" s="8" t="s">
        <v>941</v>
      </c>
      <c r="G51" s="6" t="s">
        <v>713</v>
      </c>
      <c r="H51" s="7"/>
      <c r="I51" s="7"/>
      <c r="J51" s="7"/>
      <c r="K51" s="7"/>
      <c r="L51" s="7"/>
      <c r="M51" s="7"/>
      <c r="N51" s="7"/>
      <c r="O51" s="7"/>
      <c r="P51" s="7" t="s">
        <v>61</v>
      </c>
      <c r="Q51" s="7" t="s">
        <v>62</v>
      </c>
      <c r="R51" s="7" t="s">
        <v>942</v>
      </c>
      <c r="S51" s="7" t="n">
        <v>11</v>
      </c>
      <c r="T51" s="7" t="s">
        <v>115</v>
      </c>
      <c r="U51" s="7" t="n">
        <v>3</v>
      </c>
      <c r="V51" s="7" t="n">
        <v>69</v>
      </c>
      <c r="W51" s="7"/>
      <c r="X51" s="7"/>
      <c r="Y51" s="7"/>
      <c r="Z51" s="7" t="s">
        <v>943</v>
      </c>
      <c r="AA51" s="9" t="s">
        <v>944</v>
      </c>
      <c r="AB51" s="7" t="s">
        <v>945</v>
      </c>
      <c r="AC51" s="7" t="s">
        <v>946</v>
      </c>
      <c r="AD51" s="7" t="s">
        <v>947</v>
      </c>
      <c r="AE51" s="7"/>
      <c r="AF51" s="7"/>
      <c r="AG51" s="7"/>
      <c r="AH51" s="7"/>
      <c r="AI51" s="7"/>
      <c r="AJ51" s="10"/>
      <c r="AK51" s="7"/>
      <c r="AL51" s="7" t="s">
        <v>948</v>
      </c>
      <c r="AM51" s="7" t="s">
        <v>949</v>
      </c>
      <c r="AN51" s="7"/>
      <c r="AO51" s="7"/>
      <c r="AP51" s="7"/>
      <c r="AQ51" s="7"/>
      <c r="AR51" s="7"/>
      <c r="AS51" s="7"/>
      <c r="AT51" s="7" t="n">
        <v>22279709</v>
      </c>
      <c r="AU51" s="7"/>
      <c r="AV51" s="7"/>
      <c r="AW51" s="7"/>
      <c r="AX51" s="7" t="s">
        <v>942</v>
      </c>
      <c r="AY51" s="7" t="s">
        <v>75</v>
      </c>
      <c r="AZ51" s="7" t="s">
        <v>127</v>
      </c>
      <c r="BA51" s="7" t="s">
        <v>76</v>
      </c>
      <c r="BB51" s="7" t="s">
        <v>950</v>
      </c>
      <c r="BC51" s="7"/>
      <c r="BD51" s="7"/>
      <c r="BE51" s="7"/>
      <c r="BF51" s="7"/>
      <c r="BG51" s="7"/>
      <c r="BH51" s="7"/>
      <c r="BI51" s="7"/>
    </row>
    <row r="52" customFormat="false" ht="14.25" hidden="false" customHeight="true" outlineLevel="0" collapsed="false">
      <c r="A52" s="7" t="s">
        <v>951</v>
      </c>
      <c r="B52" s="7" t="s">
        <v>952</v>
      </c>
      <c r="C52" s="7" t="s">
        <v>953</v>
      </c>
      <c r="D52" s="7" t="s">
        <v>954</v>
      </c>
      <c r="E52" s="7" t="n">
        <v>2024</v>
      </c>
      <c r="F52" s="8" t="s">
        <v>955</v>
      </c>
      <c r="G52" s="6" t="s">
        <v>134</v>
      </c>
      <c r="H52" s="7"/>
      <c r="I52" s="7"/>
      <c r="J52" s="7"/>
      <c r="K52" s="7"/>
      <c r="L52" s="7"/>
      <c r="M52" s="7"/>
      <c r="N52" s="7"/>
      <c r="O52" s="7"/>
      <c r="P52" s="7" t="s">
        <v>61</v>
      </c>
      <c r="Q52" s="7" t="s">
        <v>62</v>
      </c>
      <c r="R52" s="7" t="s">
        <v>956</v>
      </c>
      <c r="S52" s="7" t="n">
        <v>148</v>
      </c>
      <c r="T52" s="7" t="s">
        <v>202</v>
      </c>
      <c r="U52" s="7"/>
      <c r="V52" s="7" t="n">
        <v>102753</v>
      </c>
      <c r="W52" s="7"/>
      <c r="X52" s="7"/>
      <c r="Y52" s="7"/>
      <c r="Z52" s="7" t="s">
        <v>957</v>
      </c>
      <c r="AA52" s="9" t="s">
        <v>958</v>
      </c>
      <c r="AB52" s="7" t="s">
        <v>959</v>
      </c>
      <c r="AC52" s="7" t="s">
        <v>960</v>
      </c>
      <c r="AD52" s="7" t="s">
        <v>961</v>
      </c>
      <c r="AE52" s="7" t="s">
        <v>962</v>
      </c>
      <c r="AF52" s="7"/>
      <c r="AG52" s="7"/>
      <c r="AH52" s="7"/>
      <c r="AI52" s="7"/>
      <c r="AJ52" s="10"/>
      <c r="AK52" s="7"/>
      <c r="AL52" s="7" t="s">
        <v>963</v>
      </c>
      <c r="AM52" s="7" t="s">
        <v>964</v>
      </c>
      <c r="AN52" s="7"/>
      <c r="AO52" s="7"/>
      <c r="AP52" s="7"/>
      <c r="AQ52" s="7"/>
      <c r="AR52" s="7"/>
      <c r="AS52" s="7"/>
      <c r="AT52" s="7" t="n">
        <v>9333657</v>
      </c>
      <c r="AU52" s="7"/>
      <c r="AV52" s="7" t="s">
        <v>965</v>
      </c>
      <c r="AW52" s="7" t="n">
        <v>38325931</v>
      </c>
      <c r="AX52" s="7" t="s">
        <v>966</v>
      </c>
      <c r="AY52" s="7" t="s">
        <v>75</v>
      </c>
      <c r="AZ52" s="7"/>
      <c r="BA52" s="7" t="s">
        <v>76</v>
      </c>
      <c r="BB52" s="7" t="s">
        <v>967</v>
      </c>
      <c r="BC52" s="7"/>
      <c r="BD52" s="7"/>
      <c r="BE52" s="7"/>
      <c r="BF52" s="7"/>
      <c r="BG52" s="7"/>
      <c r="BH52" s="7"/>
      <c r="BI52" s="7"/>
    </row>
    <row r="53" customFormat="false" ht="14.25" hidden="false" customHeight="true" outlineLevel="0" collapsed="false">
      <c r="A53" s="7" t="s">
        <v>968</v>
      </c>
      <c r="B53" s="7" t="s">
        <v>969</v>
      </c>
      <c r="C53" s="7" t="s">
        <v>970</v>
      </c>
      <c r="D53" s="7" t="s">
        <v>971</v>
      </c>
      <c r="E53" s="7" t="n">
        <v>2024</v>
      </c>
      <c r="F53" s="8" t="s">
        <v>972</v>
      </c>
      <c r="G53" s="6" t="s">
        <v>149</v>
      </c>
      <c r="H53" s="7"/>
      <c r="I53" s="7"/>
      <c r="J53" s="7"/>
      <c r="K53" s="7"/>
      <c r="L53" s="7"/>
      <c r="M53" s="7"/>
      <c r="N53" s="7"/>
      <c r="O53" s="7"/>
      <c r="P53" s="7" t="s">
        <v>61</v>
      </c>
      <c r="Q53" s="7" t="s">
        <v>62</v>
      </c>
      <c r="R53" s="7" t="s">
        <v>973</v>
      </c>
      <c r="S53" s="7" t="n">
        <v>13</v>
      </c>
      <c r="T53" s="7" t="s">
        <v>974</v>
      </c>
      <c r="U53" s="7"/>
      <c r="V53" s="7" t="n">
        <v>556</v>
      </c>
      <c r="W53" s="7"/>
      <c r="X53" s="7"/>
      <c r="Y53" s="7"/>
      <c r="Z53" s="7" t="s">
        <v>975</v>
      </c>
      <c r="AA53" s="9" t="s">
        <v>976</v>
      </c>
      <c r="AB53" s="7" t="s">
        <v>977</v>
      </c>
      <c r="AC53" s="7" t="s">
        <v>978</v>
      </c>
      <c r="AD53" s="7" t="s">
        <v>979</v>
      </c>
      <c r="AE53" s="7" t="s">
        <v>980</v>
      </c>
      <c r="AF53" s="7"/>
      <c r="AG53" s="7"/>
      <c r="AH53" s="7"/>
      <c r="AI53" s="7"/>
      <c r="AJ53" s="10" t="s">
        <v>981</v>
      </c>
      <c r="AK53" s="7" t="s">
        <v>982</v>
      </c>
      <c r="AL53" s="7" t="s">
        <v>983</v>
      </c>
      <c r="AM53" s="7" t="s">
        <v>984</v>
      </c>
      <c r="AN53" s="7"/>
      <c r="AO53" s="7"/>
      <c r="AP53" s="7"/>
      <c r="AQ53" s="7"/>
      <c r="AR53" s="7"/>
      <c r="AS53" s="7"/>
      <c r="AT53" s="7" t="n">
        <v>20461402</v>
      </c>
      <c r="AU53" s="7"/>
      <c r="AV53" s="7"/>
      <c r="AW53" s="7" t="n">
        <v>38984017</v>
      </c>
      <c r="AX53" s="7" t="s">
        <v>985</v>
      </c>
      <c r="AY53" s="7" t="s">
        <v>75</v>
      </c>
      <c r="AZ53" s="7" t="s">
        <v>127</v>
      </c>
      <c r="BA53" s="7" t="s">
        <v>76</v>
      </c>
      <c r="BB53" s="7" t="s">
        <v>986</v>
      </c>
      <c r="BC53" s="7"/>
      <c r="BD53" s="7"/>
      <c r="BE53" s="7"/>
      <c r="BF53" s="7"/>
      <c r="BG53" s="7"/>
      <c r="BH53" s="7"/>
      <c r="BI53" s="7"/>
    </row>
    <row r="54" customFormat="false" ht="14.25" hidden="false" customHeight="true" outlineLevel="0" collapsed="false">
      <c r="A54" s="7" t="s">
        <v>987</v>
      </c>
      <c r="B54" s="7" t="s">
        <v>988</v>
      </c>
      <c r="C54" s="7" t="s">
        <v>989</v>
      </c>
      <c r="D54" s="7" t="s">
        <v>990</v>
      </c>
      <c r="E54" s="7" t="n">
        <v>2024</v>
      </c>
      <c r="F54" s="8" t="s">
        <v>991</v>
      </c>
      <c r="G54" s="7" t="s">
        <v>992</v>
      </c>
      <c r="H54" s="7"/>
      <c r="I54" s="7"/>
      <c r="J54" s="7"/>
      <c r="K54" s="7"/>
      <c r="L54" s="7"/>
      <c r="M54" s="7"/>
      <c r="N54" s="7"/>
      <c r="O54" s="7"/>
      <c r="P54" s="7" t="s">
        <v>61</v>
      </c>
      <c r="Q54" s="7" t="s">
        <v>62</v>
      </c>
      <c r="R54" s="7" t="s">
        <v>993</v>
      </c>
      <c r="S54" s="7" t="n">
        <v>19</v>
      </c>
      <c r="T54" s="7" t="s">
        <v>500</v>
      </c>
      <c r="U54" s="11" t="n">
        <v>45972</v>
      </c>
      <c r="V54" s="7" t="s">
        <v>994</v>
      </c>
      <c r="W54" s="7"/>
      <c r="X54" s="7"/>
      <c r="Y54" s="7"/>
      <c r="Z54" s="7" t="s">
        <v>995</v>
      </c>
      <c r="AA54" s="9" t="s">
        <v>996</v>
      </c>
      <c r="AB54" s="7" t="s">
        <v>997</v>
      </c>
      <c r="AC54" s="7" t="s">
        <v>998</v>
      </c>
      <c r="AD54" s="7"/>
      <c r="AE54" s="7" t="s">
        <v>999</v>
      </c>
      <c r="AF54" s="7"/>
      <c r="AG54" s="7" t="s">
        <v>1000</v>
      </c>
      <c r="AH54" s="7" t="s">
        <v>1001</v>
      </c>
      <c r="AI54" s="7" t="s">
        <v>1002</v>
      </c>
      <c r="AJ54" s="10" t="s">
        <v>1003</v>
      </c>
      <c r="AK54" s="7" t="s">
        <v>1004</v>
      </c>
      <c r="AL54" s="7" t="s">
        <v>1005</v>
      </c>
      <c r="AM54" s="7" t="s">
        <v>1006</v>
      </c>
      <c r="AN54" s="7"/>
      <c r="AO54" s="7"/>
      <c r="AP54" s="7"/>
      <c r="AQ54" s="7"/>
      <c r="AR54" s="7"/>
      <c r="AS54" s="7"/>
      <c r="AT54" s="7" t="n">
        <v>19326203</v>
      </c>
      <c r="AU54" s="7"/>
      <c r="AV54" s="7" t="s">
        <v>1007</v>
      </c>
      <c r="AW54" s="7" t="n">
        <v>39495748</v>
      </c>
      <c r="AX54" s="7" t="s">
        <v>993</v>
      </c>
      <c r="AY54" s="7" t="s">
        <v>75</v>
      </c>
      <c r="AZ54" s="7" t="s">
        <v>127</v>
      </c>
      <c r="BA54" s="7" t="s">
        <v>76</v>
      </c>
      <c r="BB54" s="7" t="s">
        <v>1008</v>
      </c>
      <c r="BC54" s="7"/>
      <c r="BD54" s="7"/>
      <c r="BE54" s="7"/>
      <c r="BF54" s="7"/>
      <c r="BG54" s="7"/>
      <c r="BH54" s="7"/>
      <c r="BI54" s="7"/>
    </row>
    <row r="55" customFormat="false" ht="14.25" hidden="false" customHeight="true" outlineLevel="0" collapsed="false">
      <c r="A55" s="7" t="s">
        <v>1009</v>
      </c>
      <c r="B55" s="7" t="s">
        <v>1010</v>
      </c>
      <c r="C55" s="7" t="s">
        <v>1011</v>
      </c>
      <c r="D55" s="7" t="s">
        <v>1012</v>
      </c>
      <c r="E55" s="7" t="n">
        <v>2024</v>
      </c>
      <c r="F55" s="8" t="s">
        <v>1013</v>
      </c>
      <c r="G55" s="7" t="s">
        <v>849</v>
      </c>
      <c r="H55" s="7"/>
      <c r="I55" s="7"/>
      <c r="J55" s="7"/>
      <c r="K55" s="7"/>
      <c r="L55" s="7"/>
      <c r="M55" s="7"/>
      <c r="N55" s="7"/>
      <c r="O55" s="7"/>
      <c r="P55" s="7" t="s">
        <v>61</v>
      </c>
      <c r="Q55" s="7" t="s">
        <v>62</v>
      </c>
      <c r="R55" s="7" t="s">
        <v>63</v>
      </c>
      <c r="S55" s="7" t="n">
        <v>174</v>
      </c>
      <c r="T55" s="7" t="s">
        <v>64</v>
      </c>
      <c r="U55" s="7"/>
      <c r="V55" s="7" t="n">
        <v>108146</v>
      </c>
      <c r="W55" s="7"/>
      <c r="X55" s="7"/>
      <c r="Y55" s="7"/>
      <c r="Z55" s="7" t="s">
        <v>1014</v>
      </c>
      <c r="AA55" s="9" t="s">
        <v>1015</v>
      </c>
      <c r="AB55" s="7" t="s">
        <v>1016</v>
      </c>
      <c r="AC55" s="7" t="s">
        <v>1017</v>
      </c>
      <c r="AD55" s="7" t="s">
        <v>1018</v>
      </c>
      <c r="AE55" s="7" t="s">
        <v>1019</v>
      </c>
      <c r="AF55" s="7"/>
      <c r="AG55" s="7"/>
      <c r="AH55" s="7"/>
      <c r="AI55" s="7"/>
      <c r="AJ55" s="10" t="s">
        <v>1020</v>
      </c>
      <c r="AK55" s="7" t="s">
        <v>1021</v>
      </c>
      <c r="AL55" s="7" t="s">
        <v>1022</v>
      </c>
      <c r="AM55" s="7" t="s">
        <v>1023</v>
      </c>
      <c r="AN55" s="7"/>
      <c r="AO55" s="7"/>
      <c r="AP55" s="7"/>
      <c r="AQ55" s="7"/>
      <c r="AR55" s="7"/>
      <c r="AS55" s="7"/>
      <c r="AT55" s="7" t="n">
        <v>104825</v>
      </c>
      <c r="AU55" s="7"/>
      <c r="AV55" s="7" t="s">
        <v>73</v>
      </c>
      <c r="AW55" s="7" t="n">
        <v>38608320</v>
      </c>
      <c r="AX55" s="7" t="s">
        <v>74</v>
      </c>
      <c r="AY55" s="7" t="s">
        <v>75</v>
      </c>
      <c r="AZ55" s="7"/>
      <c r="BA55" s="7" t="s">
        <v>76</v>
      </c>
      <c r="BB55" s="7" t="s">
        <v>1024</v>
      </c>
      <c r="BC55" s="7"/>
      <c r="BD55" s="7"/>
      <c r="BE55" s="7"/>
      <c r="BF55" s="7"/>
      <c r="BG55" s="7"/>
      <c r="BH55" s="7"/>
      <c r="BI55" s="7"/>
    </row>
    <row r="56" customFormat="false" ht="14.25" hidden="false" customHeight="true" outlineLevel="0" collapsed="false">
      <c r="A56" s="7" t="s">
        <v>1025</v>
      </c>
      <c r="B56" s="7" t="s">
        <v>1026</v>
      </c>
      <c r="C56" s="7" t="s">
        <v>1027</v>
      </c>
      <c r="D56" s="7" t="s">
        <v>1028</v>
      </c>
      <c r="E56" s="7" t="n">
        <v>2024</v>
      </c>
      <c r="F56" s="8" t="s">
        <v>1029</v>
      </c>
      <c r="G56" s="7" t="s">
        <v>1030</v>
      </c>
      <c r="H56" s="7"/>
      <c r="I56" s="7"/>
      <c r="J56" s="7"/>
      <c r="K56" s="7"/>
      <c r="L56" s="7"/>
      <c r="M56" s="7"/>
      <c r="N56" s="7"/>
      <c r="O56" s="7"/>
      <c r="P56" s="7" t="s">
        <v>61</v>
      </c>
      <c r="Q56" s="7" t="s">
        <v>62</v>
      </c>
      <c r="R56" s="7" t="s">
        <v>1031</v>
      </c>
      <c r="S56" s="7" t="n">
        <v>17</v>
      </c>
      <c r="T56" s="7" t="s">
        <v>903</v>
      </c>
      <c r="U56" s="7" t="n">
        <v>1</v>
      </c>
      <c r="V56" s="7" t="n">
        <v>511</v>
      </c>
      <c r="W56" s="7"/>
      <c r="X56" s="7"/>
      <c r="Y56" s="7"/>
      <c r="Z56" s="7" t="s">
        <v>1032</v>
      </c>
      <c r="AA56" s="9" t="s">
        <v>1033</v>
      </c>
      <c r="AB56" s="7" t="s">
        <v>1034</v>
      </c>
      <c r="AC56" s="7" t="s">
        <v>1035</v>
      </c>
      <c r="AD56" s="7" t="s">
        <v>1036</v>
      </c>
      <c r="AE56" s="7" t="s">
        <v>1037</v>
      </c>
      <c r="AF56" s="7"/>
      <c r="AG56" s="7"/>
      <c r="AH56" s="7" t="s">
        <v>1038</v>
      </c>
      <c r="AI56" s="7" t="s">
        <v>1039</v>
      </c>
      <c r="AJ56" s="10" t="s">
        <v>1040</v>
      </c>
      <c r="AK56" s="7" t="s">
        <v>1041</v>
      </c>
      <c r="AL56" s="7" t="s">
        <v>1042</v>
      </c>
      <c r="AM56" s="7" t="s">
        <v>1043</v>
      </c>
      <c r="AN56" s="7"/>
      <c r="AO56" s="7"/>
      <c r="AP56" s="7"/>
      <c r="AQ56" s="7"/>
      <c r="AR56" s="7"/>
      <c r="AS56" s="7"/>
      <c r="AT56" s="7" t="n">
        <v>17563305</v>
      </c>
      <c r="AU56" s="7"/>
      <c r="AV56" s="7"/>
      <c r="AW56" s="7" t="n">
        <v>39696631</v>
      </c>
      <c r="AX56" s="7" t="s">
        <v>1044</v>
      </c>
      <c r="AY56" s="7" t="s">
        <v>75</v>
      </c>
      <c r="AZ56" s="7"/>
      <c r="BA56" s="7" t="s">
        <v>76</v>
      </c>
      <c r="BB56" s="7" t="s">
        <v>1045</v>
      </c>
      <c r="BC56" s="7"/>
      <c r="BD56" s="7"/>
      <c r="BE56" s="7"/>
      <c r="BF56" s="7"/>
      <c r="BG56" s="7"/>
      <c r="BH56" s="7"/>
      <c r="BI56" s="7"/>
    </row>
    <row r="57" customFormat="false" ht="14.25" hidden="false" customHeight="true" outlineLevel="0" collapsed="false">
      <c r="A57" s="7" t="s">
        <v>1046</v>
      </c>
      <c r="B57" s="7" t="s">
        <v>1047</v>
      </c>
      <c r="C57" s="7" t="s">
        <v>1048</v>
      </c>
      <c r="D57" s="7" t="s">
        <v>1049</v>
      </c>
      <c r="E57" s="7" t="n">
        <v>2024</v>
      </c>
      <c r="F57" s="8" t="s">
        <v>1050</v>
      </c>
      <c r="G57" s="7" t="s">
        <v>849</v>
      </c>
      <c r="H57" s="7"/>
      <c r="I57" s="7"/>
      <c r="J57" s="7"/>
      <c r="K57" s="7"/>
      <c r="L57" s="7"/>
      <c r="M57" s="7"/>
      <c r="N57" s="7"/>
      <c r="O57" s="7"/>
      <c r="P57" s="7" t="s">
        <v>61</v>
      </c>
      <c r="Q57" s="7" t="s">
        <v>62</v>
      </c>
      <c r="R57" s="7" t="s">
        <v>1051</v>
      </c>
      <c r="S57" s="7" t="n">
        <v>13</v>
      </c>
      <c r="T57" s="7" t="s">
        <v>1052</v>
      </c>
      <c r="U57" s="7" t="n">
        <v>1</v>
      </c>
      <c r="V57" s="7"/>
      <c r="W57" s="7" t="n">
        <v>46</v>
      </c>
      <c r="X57" s="7" t="n">
        <v>53</v>
      </c>
      <c r="Y57" s="7" t="n">
        <v>7</v>
      </c>
      <c r="Z57" s="7" t="s">
        <v>1053</v>
      </c>
      <c r="AA57" s="9" t="s">
        <v>1054</v>
      </c>
      <c r="AB57" s="7" t="s">
        <v>1055</v>
      </c>
      <c r="AC57" s="7" t="s">
        <v>1056</v>
      </c>
      <c r="AD57" s="7" t="s">
        <v>1057</v>
      </c>
      <c r="AE57" s="7"/>
      <c r="AF57" s="7"/>
      <c r="AG57" s="7"/>
      <c r="AH57" s="7"/>
      <c r="AI57" s="7"/>
      <c r="AJ57" s="10" t="s">
        <v>1058</v>
      </c>
      <c r="AK57" s="7" t="s">
        <v>1059</v>
      </c>
      <c r="AL57" s="7" t="s">
        <v>1060</v>
      </c>
      <c r="AM57" s="7" t="s">
        <v>1061</v>
      </c>
      <c r="AN57" s="7"/>
      <c r="AO57" s="7"/>
      <c r="AP57" s="7"/>
      <c r="AQ57" s="7"/>
      <c r="AR57" s="7"/>
      <c r="AS57" s="7"/>
      <c r="AT57" s="7" t="n">
        <v>22528814</v>
      </c>
      <c r="AU57" s="7"/>
      <c r="AV57" s="7"/>
      <c r="AW57" s="7"/>
      <c r="AX57" s="7" t="s">
        <v>1062</v>
      </c>
      <c r="AY57" s="7" t="s">
        <v>75</v>
      </c>
      <c r="AZ57" s="7" t="s">
        <v>127</v>
      </c>
      <c r="BA57" s="7" t="s">
        <v>76</v>
      </c>
      <c r="BB57" s="7" t="s">
        <v>1063</v>
      </c>
      <c r="BC57" s="7"/>
      <c r="BD57" s="7"/>
      <c r="BE57" s="7"/>
      <c r="BF57" s="7"/>
      <c r="BG57" s="7"/>
      <c r="BH57" s="7"/>
      <c r="BI57" s="7"/>
    </row>
    <row r="58" customFormat="false" ht="14.25" hidden="false" customHeight="true" outlineLevel="0" collapsed="false">
      <c r="A58" s="7" t="s">
        <v>1064</v>
      </c>
      <c r="B58" s="7" t="s">
        <v>1065</v>
      </c>
      <c r="C58" s="7" t="s">
        <v>1066</v>
      </c>
      <c r="D58" s="7" t="s">
        <v>1067</v>
      </c>
      <c r="E58" s="7" t="n">
        <v>2024</v>
      </c>
      <c r="F58" s="8" t="s">
        <v>1068</v>
      </c>
      <c r="G58" s="6" t="s">
        <v>149</v>
      </c>
      <c r="H58" s="7"/>
      <c r="I58" s="7"/>
      <c r="J58" s="7"/>
      <c r="K58" s="7"/>
      <c r="L58" s="7"/>
      <c r="M58" s="7"/>
      <c r="N58" s="7"/>
      <c r="O58" s="7"/>
      <c r="P58" s="7" t="s">
        <v>61</v>
      </c>
      <c r="Q58" s="7" t="s">
        <v>62</v>
      </c>
      <c r="R58" s="7" t="s">
        <v>1069</v>
      </c>
      <c r="S58" s="7" t="n">
        <v>14</v>
      </c>
      <c r="T58" s="7" t="s">
        <v>1070</v>
      </c>
      <c r="U58" s="7" t="n">
        <v>6</v>
      </c>
      <c r="V58" s="7"/>
      <c r="W58" s="7" t="n">
        <v>2001</v>
      </c>
      <c r="X58" s="7" t="n">
        <v>2007</v>
      </c>
      <c r="Y58" s="7" t="n">
        <v>6</v>
      </c>
      <c r="Z58" s="7" t="s">
        <v>1071</v>
      </c>
      <c r="AA58" s="9" t="s">
        <v>1072</v>
      </c>
      <c r="AB58" s="7" t="s">
        <v>1073</v>
      </c>
      <c r="AC58" s="7" t="s">
        <v>1074</v>
      </c>
      <c r="AD58" s="7" t="s">
        <v>1075</v>
      </c>
      <c r="AE58" s="7"/>
      <c r="AF58" s="7"/>
      <c r="AG58" s="7"/>
      <c r="AH58" s="7"/>
      <c r="AI58" s="7"/>
      <c r="AJ58" s="10"/>
      <c r="AK58" s="7"/>
      <c r="AL58" s="7" t="s">
        <v>1076</v>
      </c>
      <c r="AM58" s="7" t="s">
        <v>1077</v>
      </c>
      <c r="AN58" s="7"/>
      <c r="AO58" s="7"/>
      <c r="AP58" s="7"/>
      <c r="AQ58" s="7"/>
      <c r="AR58" s="7"/>
      <c r="AS58" s="7"/>
      <c r="AT58" s="7" t="n">
        <v>20885334</v>
      </c>
      <c r="AU58" s="7"/>
      <c r="AV58" s="7"/>
      <c r="AW58" s="7"/>
      <c r="AX58" s="7" t="s">
        <v>1078</v>
      </c>
      <c r="AY58" s="7" t="s">
        <v>75</v>
      </c>
      <c r="AZ58" s="7"/>
      <c r="BA58" s="7" t="s">
        <v>76</v>
      </c>
      <c r="BB58" s="7" t="s">
        <v>1079</v>
      </c>
      <c r="BC58" s="7"/>
      <c r="BD58" s="7"/>
      <c r="BE58" s="7"/>
      <c r="BF58" s="7"/>
      <c r="BG58" s="7"/>
      <c r="BH58" s="7"/>
      <c r="BI58" s="7"/>
    </row>
    <row r="59" customFormat="false" ht="14.25" hidden="false" customHeight="true" outlineLevel="0" collapsed="false">
      <c r="A59" s="7" t="s">
        <v>1080</v>
      </c>
      <c r="B59" s="7" t="s">
        <v>1081</v>
      </c>
      <c r="C59" s="7" t="s">
        <v>1082</v>
      </c>
      <c r="D59" s="7" t="s">
        <v>1083</v>
      </c>
      <c r="E59" s="7" t="n">
        <v>2024</v>
      </c>
      <c r="F59" s="8" t="s">
        <v>1084</v>
      </c>
      <c r="G59" s="6" t="s">
        <v>849</v>
      </c>
      <c r="H59" s="7"/>
      <c r="I59" s="7"/>
      <c r="J59" s="7"/>
      <c r="K59" s="7"/>
      <c r="L59" s="7"/>
      <c r="M59" s="7"/>
      <c r="N59" s="7"/>
      <c r="O59" s="7"/>
      <c r="P59" s="7" t="s">
        <v>61</v>
      </c>
      <c r="Q59" s="7" t="s">
        <v>62</v>
      </c>
      <c r="R59" s="7" t="s">
        <v>1085</v>
      </c>
      <c r="S59" s="7"/>
      <c r="T59" s="7" t="s">
        <v>1086</v>
      </c>
      <c r="U59" s="7"/>
      <c r="V59" s="7"/>
      <c r="W59" s="7"/>
      <c r="X59" s="7"/>
      <c r="Y59" s="7"/>
      <c r="Z59" s="7" t="s">
        <v>1087</v>
      </c>
      <c r="AA59" s="9" t="s">
        <v>1088</v>
      </c>
      <c r="AB59" s="7" t="s">
        <v>1089</v>
      </c>
      <c r="AC59" s="7" t="s">
        <v>1090</v>
      </c>
      <c r="AD59" s="7" t="s">
        <v>1091</v>
      </c>
      <c r="AE59" s="7"/>
      <c r="AF59" s="7"/>
      <c r="AG59" s="7"/>
      <c r="AH59" s="7"/>
      <c r="AI59" s="7"/>
      <c r="AJ59" s="10" t="s">
        <v>1092</v>
      </c>
      <c r="AK59" s="7" t="s">
        <v>1093</v>
      </c>
      <c r="AL59" s="7" t="s">
        <v>1094</v>
      </c>
      <c r="AM59" s="7" t="s">
        <v>1095</v>
      </c>
      <c r="AN59" s="7"/>
      <c r="AO59" s="7"/>
      <c r="AP59" s="7"/>
      <c r="AQ59" s="7"/>
      <c r="AR59" s="7"/>
      <c r="AS59" s="7"/>
      <c r="AT59" s="7" t="n">
        <v>1931091</v>
      </c>
      <c r="AU59" s="7"/>
      <c r="AV59" s="7" t="s">
        <v>1096</v>
      </c>
      <c r="AW59" s="7" t="n">
        <v>39498903</v>
      </c>
      <c r="AX59" s="7" t="s">
        <v>1097</v>
      </c>
      <c r="AY59" s="7" t="s">
        <v>194</v>
      </c>
      <c r="AZ59" s="7"/>
      <c r="BA59" s="7" t="s">
        <v>76</v>
      </c>
      <c r="BB59" s="7" t="s">
        <v>1098</v>
      </c>
      <c r="BC59" s="7"/>
      <c r="BD59" s="7"/>
      <c r="BE59" s="7"/>
      <c r="BF59" s="7"/>
      <c r="BG59" s="7"/>
      <c r="BH59" s="7"/>
      <c r="BI59" s="7"/>
    </row>
    <row r="60" customFormat="false" ht="14.25" hidden="false" customHeight="true" outlineLevel="0" collapsed="false">
      <c r="A60" s="7" t="s">
        <v>1099</v>
      </c>
      <c r="B60" s="7" t="s">
        <v>1100</v>
      </c>
      <c r="C60" s="7" t="s">
        <v>1101</v>
      </c>
      <c r="D60" s="7" t="s">
        <v>1102</v>
      </c>
      <c r="E60" s="7" t="n">
        <v>2024</v>
      </c>
      <c r="F60" s="8" t="s">
        <v>1103</v>
      </c>
      <c r="G60" s="6" t="s">
        <v>149</v>
      </c>
      <c r="H60" s="7"/>
      <c r="I60" s="7"/>
      <c r="J60" s="7"/>
      <c r="K60" s="7"/>
      <c r="L60" s="7"/>
      <c r="M60" s="7"/>
      <c r="N60" s="7"/>
      <c r="O60" s="7"/>
      <c r="P60" s="7" t="s">
        <v>61</v>
      </c>
      <c r="Q60" s="7" t="s">
        <v>62</v>
      </c>
      <c r="R60" s="7" t="s">
        <v>1104</v>
      </c>
      <c r="S60" s="7" t="n">
        <v>14</v>
      </c>
      <c r="T60" s="7" t="s">
        <v>1105</v>
      </c>
      <c r="U60" s="7" t="n">
        <v>3</v>
      </c>
      <c r="V60" s="7" t="s">
        <v>1106</v>
      </c>
      <c r="W60" s="7"/>
      <c r="X60" s="7"/>
      <c r="Y60" s="7"/>
      <c r="Z60" s="7" t="s">
        <v>1107</v>
      </c>
      <c r="AA60" s="9" t="s">
        <v>1108</v>
      </c>
      <c r="AB60" s="7" t="s">
        <v>1109</v>
      </c>
      <c r="AC60" s="7" t="s">
        <v>1110</v>
      </c>
      <c r="AD60" s="7" t="s">
        <v>1111</v>
      </c>
      <c r="AE60" s="7" t="s">
        <v>1112</v>
      </c>
      <c r="AF60" s="7"/>
      <c r="AG60" s="7"/>
      <c r="AH60" s="7"/>
      <c r="AI60" s="7"/>
      <c r="AJ60" s="10" t="s">
        <v>1113</v>
      </c>
      <c r="AK60" s="7" t="s">
        <v>1114</v>
      </c>
      <c r="AL60" s="7" t="s">
        <v>1115</v>
      </c>
      <c r="AM60" s="7" t="s">
        <v>1116</v>
      </c>
      <c r="AN60" s="7"/>
      <c r="AO60" s="7"/>
      <c r="AP60" s="7"/>
      <c r="AQ60" s="7"/>
      <c r="AR60" s="7"/>
      <c r="AS60" s="7"/>
      <c r="AT60" s="7" t="n">
        <v>21601836</v>
      </c>
      <c r="AU60" s="7"/>
      <c r="AV60" s="7"/>
      <c r="AW60" s="7" t="n">
        <v>38230808</v>
      </c>
      <c r="AX60" s="7" t="s">
        <v>1117</v>
      </c>
      <c r="AY60" s="7" t="s">
        <v>75</v>
      </c>
      <c r="AZ60" s="7" t="s">
        <v>107</v>
      </c>
      <c r="BA60" s="7" t="s">
        <v>76</v>
      </c>
      <c r="BB60" s="7" t="s">
        <v>1118</v>
      </c>
      <c r="BC60" s="7"/>
      <c r="BD60" s="7"/>
      <c r="BE60" s="7"/>
      <c r="BF60" s="7"/>
      <c r="BG60" s="7"/>
      <c r="BH60" s="7"/>
      <c r="BI60" s="7"/>
    </row>
    <row r="61" customFormat="false" ht="14.25" hidden="false" customHeight="true" outlineLevel="0" collapsed="false">
      <c r="A61" s="7" t="s">
        <v>1119</v>
      </c>
      <c r="B61" s="7" t="s">
        <v>1120</v>
      </c>
      <c r="C61" s="7" t="s">
        <v>1121</v>
      </c>
      <c r="D61" s="7" t="s">
        <v>1122</v>
      </c>
      <c r="E61" s="7" t="n">
        <v>2024</v>
      </c>
      <c r="F61" s="8" t="s">
        <v>1123</v>
      </c>
      <c r="G61" s="6" t="s">
        <v>713</v>
      </c>
      <c r="H61" s="7"/>
      <c r="I61" s="7"/>
      <c r="J61" s="7"/>
      <c r="K61" s="7"/>
      <c r="L61" s="7"/>
      <c r="M61" s="7"/>
      <c r="N61" s="7"/>
      <c r="O61" s="7"/>
      <c r="P61" s="7" t="s">
        <v>61</v>
      </c>
      <c r="Q61" s="7" t="s">
        <v>62</v>
      </c>
      <c r="R61" s="7" t="s">
        <v>993</v>
      </c>
      <c r="S61" s="7" t="n">
        <v>19</v>
      </c>
      <c r="T61" s="7" t="s">
        <v>500</v>
      </c>
      <c r="U61" s="11" t="n">
        <v>45814</v>
      </c>
      <c r="V61" s="7" t="s">
        <v>1124</v>
      </c>
      <c r="W61" s="7"/>
      <c r="X61" s="7"/>
      <c r="Y61" s="7"/>
      <c r="Z61" s="7" t="s">
        <v>1125</v>
      </c>
      <c r="AA61" s="9" t="s">
        <v>1126</v>
      </c>
      <c r="AB61" s="7" t="s">
        <v>1127</v>
      </c>
      <c r="AC61" s="7" t="s">
        <v>1128</v>
      </c>
      <c r="AD61" s="7"/>
      <c r="AE61" s="7" t="s">
        <v>1129</v>
      </c>
      <c r="AF61" s="7"/>
      <c r="AG61" s="7"/>
      <c r="AH61" s="7" t="s">
        <v>1130</v>
      </c>
      <c r="AI61" s="7" t="s">
        <v>1131</v>
      </c>
      <c r="AJ61" s="10"/>
      <c r="AK61" s="7"/>
      <c r="AL61" s="7" t="s">
        <v>1132</v>
      </c>
      <c r="AM61" s="7" t="s">
        <v>1133</v>
      </c>
      <c r="AN61" s="7"/>
      <c r="AO61" s="7"/>
      <c r="AP61" s="7"/>
      <c r="AQ61" s="7"/>
      <c r="AR61" s="7"/>
      <c r="AS61" s="7"/>
      <c r="AT61" s="7" t="n">
        <v>19326203</v>
      </c>
      <c r="AU61" s="7"/>
      <c r="AV61" s="7" t="s">
        <v>1007</v>
      </c>
      <c r="AW61" s="7" t="n">
        <v>38829858</v>
      </c>
      <c r="AX61" s="7" t="s">
        <v>993</v>
      </c>
      <c r="AY61" s="7" t="s">
        <v>75</v>
      </c>
      <c r="AZ61" s="7" t="s">
        <v>107</v>
      </c>
      <c r="BA61" s="7" t="s">
        <v>76</v>
      </c>
      <c r="BB61" s="7" t="s">
        <v>1134</v>
      </c>
      <c r="BC61" s="7"/>
      <c r="BD61" s="7"/>
      <c r="BE61" s="7"/>
      <c r="BF61" s="7"/>
      <c r="BG61" s="7"/>
      <c r="BH61" s="7"/>
      <c r="BI61" s="7"/>
    </row>
    <row r="62" customFormat="false" ht="14.25" hidden="false" customHeight="true" outlineLevel="0" collapsed="false">
      <c r="A62" s="7" t="s">
        <v>1135</v>
      </c>
      <c r="B62" s="7" t="s">
        <v>1136</v>
      </c>
      <c r="C62" s="7" t="s">
        <v>1137</v>
      </c>
      <c r="D62" s="7" t="s">
        <v>1138</v>
      </c>
      <c r="E62" s="7" t="n">
        <v>2024</v>
      </c>
      <c r="F62" s="8" t="s">
        <v>1139</v>
      </c>
      <c r="G62" s="6" t="s">
        <v>713</v>
      </c>
      <c r="H62" s="7"/>
      <c r="I62" s="7"/>
      <c r="J62" s="7"/>
      <c r="K62" s="7"/>
      <c r="L62" s="7"/>
      <c r="M62" s="7"/>
      <c r="N62" s="7"/>
      <c r="O62" s="7"/>
      <c r="P62" s="7" t="s">
        <v>61</v>
      </c>
      <c r="Q62" s="7" t="s">
        <v>62</v>
      </c>
      <c r="R62" s="7" t="s">
        <v>1031</v>
      </c>
      <c r="S62" s="7" t="n">
        <v>17</v>
      </c>
      <c r="T62" s="7" t="s">
        <v>903</v>
      </c>
      <c r="U62" s="7" t="n">
        <v>1</v>
      </c>
      <c r="V62" s="7" t="n">
        <v>423</v>
      </c>
      <c r="W62" s="7"/>
      <c r="X62" s="7"/>
      <c r="Y62" s="7"/>
      <c r="Z62" s="7" t="s">
        <v>1140</v>
      </c>
      <c r="AA62" s="9" t="s">
        <v>1141</v>
      </c>
      <c r="AB62" s="7" t="s">
        <v>1142</v>
      </c>
      <c r="AC62" s="7" t="s">
        <v>1143</v>
      </c>
      <c r="AD62" s="7" t="s">
        <v>1144</v>
      </c>
      <c r="AE62" s="7" t="s">
        <v>1145</v>
      </c>
      <c r="AF62" s="7"/>
      <c r="AG62" s="7" t="s">
        <v>1146</v>
      </c>
      <c r="AH62" s="7" t="s">
        <v>1147</v>
      </c>
      <c r="AI62" s="7" t="s">
        <v>1148</v>
      </c>
      <c r="AJ62" s="10" t="s">
        <v>1149</v>
      </c>
      <c r="AK62" s="7" t="s">
        <v>1150</v>
      </c>
      <c r="AL62" s="7" t="s">
        <v>1151</v>
      </c>
      <c r="AM62" s="7" t="s">
        <v>1152</v>
      </c>
      <c r="AN62" s="7"/>
      <c r="AO62" s="7"/>
      <c r="AP62" s="7"/>
      <c r="AQ62" s="7"/>
      <c r="AR62" s="7"/>
      <c r="AS62" s="7"/>
      <c r="AT62" s="7" t="n">
        <v>17563305</v>
      </c>
      <c r="AU62" s="7"/>
      <c r="AV62" s="7"/>
      <c r="AW62" s="7" t="n">
        <v>39380100</v>
      </c>
      <c r="AX62" s="7" t="s">
        <v>1044</v>
      </c>
      <c r="AY62" s="7" t="s">
        <v>75</v>
      </c>
      <c r="AZ62" s="7" t="s">
        <v>127</v>
      </c>
      <c r="BA62" s="7" t="s">
        <v>76</v>
      </c>
      <c r="BB62" s="7" t="s">
        <v>1153</v>
      </c>
      <c r="BC62" s="7"/>
      <c r="BD62" s="7"/>
      <c r="BE62" s="7"/>
      <c r="BF62" s="7"/>
      <c r="BG62" s="7"/>
      <c r="BH62" s="7"/>
      <c r="BI62" s="7"/>
    </row>
    <row r="63" customFormat="false" ht="14.25" hidden="false" customHeight="true" outlineLevel="0" collapsed="false">
      <c r="A63" s="7" t="s">
        <v>1154</v>
      </c>
      <c r="B63" s="7" t="s">
        <v>1155</v>
      </c>
      <c r="C63" s="7" t="s">
        <v>1156</v>
      </c>
      <c r="D63" s="7" t="s">
        <v>1157</v>
      </c>
      <c r="E63" s="7" t="n">
        <v>2024</v>
      </c>
      <c r="F63" s="8" t="s">
        <v>1158</v>
      </c>
      <c r="G63" s="6" t="s">
        <v>1159</v>
      </c>
      <c r="H63" s="7"/>
      <c r="I63" s="7"/>
      <c r="J63" s="7"/>
      <c r="K63" s="7"/>
      <c r="L63" s="7"/>
      <c r="M63" s="7"/>
      <c r="N63" s="7"/>
      <c r="O63" s="7"/>
      <c r="P63" s="7" t="s">
        <v>61</v>
      </c>
      <c r="Q63" s="7" t="s">
        <v>62</v>
      </c>
      <c r="R63" s="7" t="s">
        <v>1160</v>
      </c>
      <c r="S63" s="7" t="n">
        <v>39</v>
      </c>
      <c r="T63" s="7" t="s">
        <v>1161</v>
      </c>
      <c r="U63" s="7" t="n">
        <v>22</v>
      </c>
      <c r="V63" s="7"/>
      <c r="W63" s="7" t="n">
        <v>1</v>
      </c>
      <c r="X63" s="7" t="n">
        <v>16</v>
      </c>
      <c r="Y63" s="7" t="n">
        <v>15</v>
      </c>
      <c r="Z63" s="7" t="s">
        <v>1162</v>
      </c>
      <c r="AA63" s="9" t="s">
        <v>1163</v>
      </c>
      <c r="AB63" s="7" t="s">
        <v>1164</v>
      </c>
      <c r="AC63" s="7" t="s">
        <v>1165</v>
      </c>
      <c r="AD63" s="7" t="s">
        <v>1166</v>
      </c>
      <c r="AE63" s="7" t="s">
        <v>1167</v>
      </c>
      <c r="AF63" s="7"/>
      <c r="AG63" s="7"/>
      <c r="AH63" s="7"/>
      <c r="AI63" s="7"/>
      <c r="AJ63" s="10" t="s">
        <v>1168</v>
      </c>
      <c r="AK63" s="7" t="s">
        <v>1169</v>
      </c>
      <c r="AL63" s="7" t="s">
        <v>1170</v>
      </c>
      <c r="AM63" s="7" t="s">
        <v>1171</v>
      </c>
      <c r="AN63" s="7"/>
      <c r="AO63" s="7"/>
      <c r="AP63" s="7"/>
      <c r="AQ63" s="7"/>
      <c r="AR63" s="7"/>
      <c r="AS63" s="7"/>
      <c r="AT63" s="7" t="n">
        <v>10118934</v>
      </c>
      <c r="AU63" s="7"/>
      <c r="AV63" s="7" t="s">
        <v>1172</v>
      </c>
      <c r="AW63" s="7" t="n">
        <v>38859739</v>
      </c>
      <c r="AX63" s="7" t="s">
        <v>1173</v>
      </c>
      <c r="AY63" s="7" t="s">
        <v>75</v>
      </c>
      <c r="AZ63" s="7" t="s">
        <v>107</v>
      </c>
      <c r="BA63" s="7" t="s">
        <v>76</v>
      </c>
      <c r="BB63" s="7" t="s">
        <v>1174</v>
      </c>
      <c r="BC63" s="7"/>
      <c r="BD63" s="7"/>
      <c r="BE63" s="7"/>
      <c r="BF63" s="7"/>
      <c r="BG63" s="7"/>
      <c r="BH63" s="7"/>
      <c r="BI63" s="7"/>
    </row>
    <row r="64" customFormat="false" ht="14.25" hidden="false" customHeight="true" outlineLevel="0" collapsed="false">
      <c r="A64" s="7" t="s">
        <v>1175</v>
      </c>
      <c r="B64" s="7" t="s">
        <v>1176</v>
      </c>
      <c r="C64" s="7" t="s">
        <v>1177</v>
      </c>
      <c r="D64" s="7" t="s">
        <v>1178</v>
      </c>
      <c r="E64" s="7" t="n">
        <v>2024</v>
      </c>
      <c r="F64" s="8" t="s">
        <v>1179</v>
      </c>
      <c r="G64" s="6" t="s">
        <v>713</v>
      </c>
      <c r="H64" s="7"/>
      <c r="I64" s="7"/>
      <c r="J64" s="7"/>
      <c r="K64" s="7"/>
      <c r="L64" s="7"/>
      <c r="M64" s="7"/>
      <c r="N64" s="7"/>
      <c r="O64" s="7"/>
      <c r="P64" s="7" t="s">
        <v>61</v>
      </c>
      <c r="Q64" s="7" t="s">
        <v>62</v>
      </c>
      <c r="R64" s="7" t="s">
        <v>186</v>
      </c>
      <c r="S64" s="7" t="n">
        <v>12</v>
      </c>
      <c r="T64" s="7" t="s">
        <v>187</v>
      </c>
      <c r="U64" s="7"/>
      <c r="V64" s="7"/>
      <c r="W64" s="7" t="n">
        <v>26943</v>
      </c>
      <c r="X64" s="7" t="n">
        <v>26956</v>
      </c>
      <c r="Y64" s="7" t="n">
        <v>13</v>
      </c>
      <c r="Z64" s="7" t="s">
        <v>1180</v>
      </c>
      <c r="AA64" s="9" t="s">
        <v>1181</v>
      </c>
      <c r="AB64" s="7" t="s">
        <v>1182</v>
      </c>
      <c r="AC64" s="7" t="s">
        <v>1183</v>
      </c>
      <c r="AD64" s="7" t="s">
        <v>1184</v>
      </c>
      <c r="AE64" s="7" t="s">
        <v>1185</v>
      </c>
      <c r="AF64" s="7"/>
      <c r="AG64" s="7"/>
      <c r="AH64" s="7"/>
      <c r="AI64" s="7"/>
      <c r="AJ64" s="10"/>
      <c r="AK64" s="7"/>
      <c r="AL64" s="7" t="s">
        <v>1186</v>
      </c>
      <c r="AM64" s="7" t="s">
        <v>1187</v>
      </c>
      <c r="AN64" s="7"/>
      <c r="AO64" s="7"/>
      <c r="AP64" s="7"/>
      <c r="AQ64" s="7"/>
      <c r="AR64" s="7"/>
      <c r="AS64" s="7"/>
      <c r="AT64" s="7" t="n">
        <v>21693536</v>
      </c>
      <c r="AU64" s="7"/>
      <c r="AV64" s="7"/>
      <c r="AW64" s="7"/>
      <c r="AX64" s="7" t="s">
        <v>186</v>
      </c>
      <c r="AY64" s="7" t="s">
        <v>75</v>
      </c>
      <c r="AZ64" s="7" t="s">
        <v>127</v>
      </c>
      <c r="BA64" s="7" t="s">
        <v>76</v>
      </c>
      <c r="BB64" s="7" t="s">
        <v>1188</v>
      </c>
      <c r="BC64" s="7"/>
      <c r="BD64" s="7"/>
      <c r="BE64" s="7"/>
      <c r="BF64" s="7"/>
      <c r="BG64" s="7"/>
      <c r="BH64" s="7"/>
      <c r="BI64" s="7"/>
    </row>
    <row r="65" customFormat="false" ht="14.25" hidden="false" customHeight="true" outlineLevel="0" collapsed="false">
      <c r="A65" s="7" t="s">
        <v>1189</v>
      </c>
      <c r="B65" s="7" t="s">
        <v>1190</v>
      </c>
      <c r="C65" s="7" t="s">
        <v>1191</v>
      </c>
      <c r="D65" s="7" t="s">
        <v>1192</v>
      </c>
      <c r="E65" s="7" t="n">
        <v>2024</v>
      </c>
      <c r="F65" s="8" t="s">
        <v>1193</v>
      </c>
      <c r="G65" s="6" t="s">
        <v>713</v>
      </c>
      <c r="H65" s="7"/>
      <c r="I65" s="7"/>
      <c r="J65" s="7"/>
      <c r="K65" s="7"/>
      <c r="L65" s="7"/>
      <c r="M65" s="7"/>
      <c r="N65" s="7"/>
      <c r="O65" s="7"/>
      <c r="P65" s="7" t="s">
        <v>61</v>
      </c>
      <c r="Q65" s="7" t="s">
        <v>62</v>
      </c>
      <c r="R65" s="7" t="s">
        <v>1194</v>
      </c>
      <c r="S65" s="7" t="n">
        <v>6</v>
      </c>
      <c r="T65" s="7" t="s">
        <v>1195</v>
      </c>
      <c r="U65" s="7"/>
      <c r="V65" s="7" t="n">
        <v>200160</v>
      </c>
      <c r="W65" s="7"/>
      <c r="X65" s="7"/>
      <c r="Y65" s="7"/>
      <c r="Z65" s="7" t="s">
        <v>1196</v>
      </c>
      <c r="AA65" s="9" t="s">
        <v>1197</v>
      </c>
      <c r="AB65" s="7" t="s">
        <v>1198</v>
      </c>
      <c r="AC65" s="7" t="s">
        <v>1199</v>
      </c>
      <c r="AD65" s="7" t="s">
        <v>1200</v>
      </c>
      <c r="AE65" s="7" t="s">
        <v>1201</v>
      </c>
      <c r="AF65" s="7"/>
      <c r="AG65" s="7"/>
      <c r="AH65" s="7"/>
      <c r="AI65" s="7"/>
      <c r="AJ65" s="10"/>
      <c r="AK65" s="7"/>
      <c r="AL65" s="7" t="s">
        <v>1202</v>
      </c>
      <c r="AM65" s="7" t="s">
        <v>1203</v>
      </c>
      <c r="AN65" s="7"/>
      <c r="AO65" s="7"/>
      <c r="AP65" s="7"/>
      <c r="AQ65" s="7"/>
      <c r="AR65" s="7"/>
      <c r="AS65" s="7"/>
      <c r="AT65" s="7" t="n">
        <v>27729419</v>
      </c>
      <c r="AU65" s="7"/>
      <c r="AV65" s="7"/>
      <c r="AW65" s="7"/>
      <c r="AX65" s="7" t="s">
        <v>1204</v>
      </c>
      <c r="AY65" s="7" t="s">
        <v>75</v>
      </c>
      <c r="AZ65" s="7" t="s">
        <v>127</v>
      </c>
      <c r="BA65" s="7" t="s">
        <v>76</v>
      </c>
      <c r="BB65" s="7" t="s">
        <v>1205</v>
      </c>
      <c r="BC65" s="7"/>
      <c r="BD65" s="7"/>
      <c r="BE65" s="7"/>
      <c r="BF65" s="7"/>
      <c r="BG65" s="7"/>
      <c r="BH65" s="7"/>
      <c r="BI65" s="7"/>
    </row>
    <row r="66" customFormat="false" ht="14.25" hidden="false" customHeight="true" outlineLevel="0" collapsed="false">
      <c r="A66" s="7" t="s">
        <v>1206</v>
      </c>
      <c r="B66" s="7" t="s">
        <v>1207</v>
      </c>
      <c r="C66" s="7" t="s">
        <v>1208</v>
      </c>
      <c r="D66" s="7" t="s">
        <v>1209</v>
      </c>
      <c r="E66" s="7" t="n">
        <v>2024</v>
      </c>
      <c r="F66" s="8" t="s">
        <v>1210</v>
      </c>
      <c r="G66" s="6" t="s">
        <v>290</v>
      </c>
      <c r="H66" s="7"/>
      <c r="I66" s="7"/>
      <c r="J66" s="7"/>
      <c r="K66" s="7"/>
      <c r="L66" s="7"/>
      <c r="M66" s="7"/>
      <c r="N66" s="7"/>
      <c r="O66" s="7"/>
      <c r="P66" s="7" t="s">
        <v>61</v>
      </c>
      <c r="Q66" s="7" t="s">
        <v>62</v>
      </c>
      <c r="R66" s="7" t="s">
        <v>499</v>
      </c>
      <c r="S66" s="7" t="n">
        <v>20</v>
      </c>
      <c r="T66" s="7" t="s">
        <v>500</v>
      </c>
      <c r="U66" s="11" t="n">
        <v>45972</v>
      </c>
      <c r="V66" s="7" t="s">
        <v>1211</v>
      </c>
      <c r="W66" s="7"/>
      <c r="X66" s="7"/>
      <c r="Y66" s="7"/>
      <c r="Z66" s="7" t="s">
        <v>1212</v>
      </c>
      <c r="AA66" s="9" t="s">
        <v>1213</v>
      </c>
      <c r="AB66" s="7" t="s">
        <v>1214</v>
      </c>
      <c r="AC66" s="7" t="s">
        <v>1215</v>
      </c>
      <c r="AD66" s="7"/>
      <c r="AE66" s="7" t="s">
        <v>1216</v>
      </c>
      <c r="AF66" s="7"/>
      <c r="AG66" s="7" t="s">
        <v>1217</v>
      </c>
      <c r="AH66" s="7" t="s">
        <v>1218</v>
      </c>
      <c r="AI66" s="7" t="s">
        <v>1219</v>
      </c>
      <c r="AJ66" s="10" t="s">
        <v>1220</v>
      </c>
      <c r="AK66" s="7" t="s">
        <v>1221</v>
      </c>
      <c r="AL66" s="7" t="s">
        <v>1222</v>
      </c>
      <c r="AM66" s="7" t="s">
        <v>1223</v>
      </c>
      <c r="AN66" s="7"/>
      <c r="AO66" s="7"/>
      <c r="AP66" s="7"/>
      <c r="AQ66" s="7"/>
      <c r="AR66" s="7"/>
      <c r="AS66" s="7"/>
      <c r="AT66" s="7" t="s">
        <v>510</v>
      </c>
      <c r="AU66" s="7"/>
      <c r="AV66" s="7"/>
      <c r="AW66" s="7" t="n">
        <v>39541411</v>
      </c>
      <c r="AX66" s="7" t="s">
        <v>511</v>
      </c>
      <c r="AY66" s="7" t="s">
        <v>75</v>
      </c>
      <c r="AZ66" s="7"/>
      <c r="BA66" s="7" t="s">
        <v>76</v>
      </c>
      <c r="BB66" s="7" t="s">
        <v>1224</v>
      </c>
      <c r="BC66" s="7"/>
      <c r="BD66" s="7"/>
      <c r="BE66" s="7"/>
      <c r="BF66" s="7"/>
      <c r="BG66" s="7"/>
      <c r="BH66" s="7"/>
      <c r="BI66" s="7"/>
    </row>
    <row r="67" customFormat="false" ht="14.25" hidden="false" customHeight="true" outlineLevel="0" collapsed="false">
      <c r="A67" s="7" t="s">
        <v>1225</v>
      </c>
      <c r="B67" s="7" t="s">
        <v>1226</v>
      </c>
      <c r="C67" s="7" t="s">
        <v>1227</v>
      </c>
      <c r="D67" s="7" t="s">
        <v>1228</v>
      </c>
      <c r="E67" s="7" t="n">
        <v>2024</v>
      </c>
      <c r="F67" s="8" t="s">
        <v>1229</v>
      </c>
      <c r="G67" s="6" t="s">
        <v>1230</v>
      </c>
      <c r="H67" s="7"/>
      <c r="I67" s="7"/>
      <c r="J67" s="7"/>
      <c r="K67" s="7"/>
      <c r="L67" s="7"/>
      <c r="M67" s="7"/>
      <c r="N67" s="7"/>
      <c r="O67" s="7"/>
      <c r="P67" s="7" t="s">
        <v>61</v>
      </c>
      <c r="Q67" s="7" t="s">
        <v>62</v>
      </c>
      <c r="R67" s="7" t="s">
        <v>993</v>
      </c>
      <c r="S67" s="7" t="n">
        <v>19</v>
      </c>
      <c r="T67" s="7" t="s">
        <v>500</v>
      </c>
      <c r="U67" s="11" t="n">
        <v>46003</v>
      </c>
      <c r="V67" s="7" t="s">
        <v>1231</v>
      </c>
      <c r="W67" s="7"/>
      <c r="X67" s="7"/>
      <c r="Y67" s="7"/>
      <c r="Z67" s="7" t="s">
        <v>1232</v>
      </c>
      <c r="AA67" s="9" t="s">
        <v>1233</v>
      </c>
      <c r="AB67" s="7" t="s">
        <v>1234</v>
      </c>
      <c r="AC67" s="7" t="s">
        <v>1235</v>
      </c>
      <c r="AD67" s="7"/>
      <c r="AE67" s="7" t="s">
        <v>1236</v>
      </c>
      <c r="AF67" s="7"/>
      <c r="AG67" s="7"/>
      <c r="AH67" s="7"/>
      <c r="AI67" s="7"/>
      <c r="AJ67" s="10" t="s">
        <v>1237</v>
      </c>
      <c r="AK67" s="7" t="s">
        <v>1238</v>
      </c>
      <c r="AL67" s="7" t="s">
        <v>1239</v>
      </c>
      <c r="AM67" s="7" t="s">
        <v>1240</v>
      </c>
      <c r="AN67" s="7"/>
      <c r="AO67" s="7"/>
      <c r="AP67" s="7"/>
      <c r="AQ67" s="7"/>
      <c r="AR67" s="7"/>
      <c r="AS67" s="7"/>
      <c r="AT67" s="7" t="n">
        <v>19326203</v>
      </c>
      <c r="AU67" s="7"/>
      <c r="AV67" s="7" t="s">
        <v>1007</v>
      </c>
      <c r="AW67" s="7" t="n">
        <v>39666638</v>
      </c>
      <c r="AX67" s="7" t="s">
        <v>993</v>
      </c>
      <c r="AY67" s="7" t="s">
        <v>75</v>
      </c>
      <c r="AZ67" s="7" t="s">
        <v>127</v>
      </c>
      <c r="BA67" s="7" t="s">
        <v>76</v>
      </c>
      <c r="BB67" s="7" t="s">
        <v>1241</v>
      </c>
      <c r="BC67" s="7"/>
      <c r="BD67" s="7"/>
      <c r="BE67" s="7"/>
      <c r="BF67" s="7"/>
      <c r="BG67" s="7"/>
      <c r="BH67" s="7"/>
      <c r="BI67" s="7"/>
    </row>
    <row r="68" customFormat="false" ht="14.25" hidden="false" customHeight="true" outlineLevel="0" collapsed="false">
      <c r="A68" s="7" t="s">
        <v>1242</v>
      </c>
      <c r="B68" s="7" t="s">
        <v>1243</v>
      </c>
      <c r="C68" s="7" t="s">
        <v>1244</v>
      </c>
      <c r="D68" s="7" t="s">
        <v>1245</v>
      </c>
      <c r="E68" s="7" t="n">
        <v>2024</v>
      </c>
      <c r="F68" s="8" t="s">
        <v>1246</v>
      </c>
      <c r="G68" s="6" t="s">
        <v>713</v>
      </c>
      <c r="H68" s="7"/>
      <c r="I68" s="7"/>
      <c r="J68" s="7"/>
      <c r="K68" s="7"/>
      <c r="L68" s="7"/>
      <c r="M68" s="7"/>
      <c r="N68" s="7"/>
      <c r="O68" s="7"/>
      <c r="P68" s="7" t="s">
        <v>61</v>
      </c>
      <c r="Q68" s="7" t="s">
        <v>62</v>
      </c>
      <c r="R68" s="7" t="s">
        <v>1247</v>
      </c>
      <c r="S68" s="7" t="n">
        <v>15</v>
      </c>
      <c r="T68" s="7" t="s">
        <v>1248</v>
      </c>
      <c r="U68" s="7"/>
      <c r="V68" s="7"/>
      <c r="W68" s="7" t="n">
        <v>157</v>
      </c>
      <c r="X68" s="7" t="n">
        <v>169</v>
      </c>
      <c r="Y68" s="7" t="n">
        <v>12</v>
      </c>
      <c r="Z68" s="7" t="s">
        <v>1249</v>
      </c>
      <c r="AA68" s="9" t="s">
        <v>1250</v>
      </c>
      <c r="AB68" s="7" t="s">
        <v>1251</v>
      </c>
      <c r="AC68" s="7" t="s">
        <v>1252</v>
      </c>
      <c r="AD68" s="7" t="s">
        <v>1253</v>
      </c>
      <c r="AE68" s="7" t="s">
        <v>1254</v>
      </c>
      <c r="AF68" s="7"/>
      <c r="AG68" s="7" t="s">
        <v>1255</v>
      </c>
      <c r="AH68" s="7" t="s">
        <v>1256</v>
      </c>
      <c r="AI68" s="7" t="s">
        <v>1257</v>
      </c>
      <c r="AJ68" s="10" t="s">
        <v>1258</v>
      </c>
      <c r="AK68" s="7" t="s">
        <v>1259</v>
      </c>
      <c r="AL68" s="7" t="s">
        <v>1260</v>
      </c>
      <c r="AM68" s="7" t="s">
        <v>1261</v>
      </c>
      <c r="AN68" s="7"/>
      <c r="AO68" s="7"/>
      <c r="AP68" s="7"/>
      <c r="AQ68" s="7"/>
      <c r="AR68" s="7"/>
      <c r="AS68" s="7"/>
      <c r="AT68" s="7" t="n">
        <v>11792736</v>
      </c>
      <c r="AU68" s="7"/>
      <c r="AV68" s="7"/>
      <c r="AW68" s="7"/>
      <c r="AX68" s="7" t="s">
        <v>1262</v>
      </c>
      <c r="AY68" s="7" t="s">
        <v>75</v>
      </c>
      <c r="AZ68" s="7" t="s">
        <v>107</v>
      </c>
      <c r="BA68" s="7" t="s">
        <v>76</v>
      </c>
      <c r="BB68" s="7" t="s">
        <v>1263</v>
      </c>
      <c r="BC68" s="7"/>
      <c r="BD68" s="7"/>
      <c r="BE68" s="7"/>
      <c r="BF68" s="7"/>
      <c r="BG68" s="7"/>
      <c r="BH68" s="7"/>
      <c r="BI68" s="7"/>
    </row>
    <row r="69" customFormat="false" ht="14.25" hidden="false" customHeight="true" outlineLevel="0" collapsed="false">
      <c r="A69" s="7" t="s">
        <v>1264</v>
      </c>
      <c r="B69" s="7" t="s">
        <v>1265</v>
      </c>
      <c r="C69" s="7" t="s">
        <v>1266</v>
      </c>
      <c r="D69" s="7" t="s">
        <v>1267</v>
      </c>
      <c r="E69" s="7" t="n">
        <v>2024</v>
      </c>
      <c r="F69" s="8" t="s">
        <v>1268</v>
      </c>
      <c r="G69" s="6" t="s">
        <v>713</v>
      </c>
      <c r="H69" s="7"/>
      <c r="I69" s="7"/>
      <c r="J69" s="7"/>
      <c r="K69" s="7"/>
      <c r="L69" s="7"/>
      <c r="M69" s="7"/>
      <c r="N69" s="7"/>
      <c r="O69" s="7"/>
      <c r="P69" s="7" t="s">
        <v>61</v>
      </c>
      <c r="Q69" s="7" t="s">
        <v>62</v>
      </c>
      <c r="R69" s="7" t="s">
        <v>1269</v>
      </c>
      <c r="S69" s="7" t="n">
        <v>5</v>
      </c>
      <c r="T69" s="7" t="s">
        <v>586</v>
      </c>
      <c r="U69" s="7" t="n">
        <v>6</v>
      </c>
      <c r="V69" s="7" t="n">
        <v>737</v>
      </c>
      <c r="W69" s="7"/>
      <c r="X69" s="7"/>
      <c r="Y69" s="7"/>
      <c r="Z69" s="7" t="s">
        <v>1270</v>
      </c>
      <c r="AA69" s="9" t="s">
        <v>1271</v>
      </c>
      <c r="AB69" s="7" t="s">
        <v>1272</v>
      </c>
      <c r="AC69" s="7" t="s">
        <v>1273</v>
      </c>
      <c r="AD69" s="7" t="s">
        <v>1274</v>
      </c>
      <c r="AE69" s="7"/>
      <c r="AF69" s="7"/>
      <c r="AG69" s="7"/>
      <c r="AH69" s="7"/>
      <c r="AI69" s="7"/>
      <c r="AJ69" s="10" t="s">
        <v>1275</v>
      </c>
      <c r="AK69" s="7" t="s">
        <v>1276</v>
      </c>
      <c r="AL69" s="7" t="s">
        <v>1277</v>
      </c>
      <c r="AM69" s="7" t="s">
        <v>1278</v>
      </c>
      <c r="AN69" s="7"/>
      <c r="AO69" s="7"/>
      <c r="AP69" s="7"/>
      <c r="AQ69" s="7"/>
      <c r="AR69" s="7"/>
      <c r="AS69" s="7"/>
      <c r="AT69" s="7" t="s">
        <v>1279</v>
      </c>
      <c r="AU69" s="7"/>
      <c r="AV69" s="7"/>
      <c r="AW69" s="7"/>
      <c r="AX69" s="7" t="s">
        <v>1280</v>
      </c>
      <c r="AY69" s="7" t="s">
        <v>75</v>
      </c>
      <c r="AZ69" s="7"/>
      <c r="BA69" s="7" t="s">
        <v>76</v>
      </c>
      <c r="BB69" s="7" t="s">
        <v>1281</v>
      </c>
      <c r="BC69" s="7"/>
      <c r="BD69" s="7"/>
      <c r="BE69" s="7"/>
      <c r="BF69" s="7"/>
      <c r="BG69" s="7"/>
      <c r="BH69" s="7"/>
      <c r="BI69" s="7"/>
    </row>
    <row r="70" customFormat="false" ht="14.25" hidden="false" customHeight="true" outlineLevel="0" collapsed="false">
      <c r="A70" s="7" t="s">
        <v>1282</v>
      </c>
      <c r="B70" s="7" t="s">
        <v>1283</v>
      </c>
      <c r="C70" s="7" t="s">
        <v>1284</v>
      </c>
      <c r="D70" s="7" t="s">
        <v>1285</v>
      </c>
      <c r="E70" s="7" t="n">
        <v>2024</v>
      </c>
      <c r="F70" s="8" t="s">
        <v>1286</v>
      </c>
      <c r="G70" s="6" t="s">
        <v>713</v>
      </c>
      <c r="H70" s="7"/>
      <c r="I70" s="7"/>
      <c r="J70" s="7"/>
      <c r="K70" s="7"/>
      <c r="L70" s="7"/>
      <c r="M70" s="7"/>
      <c r="N70" s="7"/>
      <c r="O70" s="7"/>
      <c r="P70" s="7" t="s">
        <v>61</v>
      </c>
      <c r="Q70" s="7" t="s">
        <v>62</v>
      </c>
      <c r="R70" s="7" t="s">
        <v>1287</v>
      </c>
      <c r="S70" s="7" t="n">
        <v>230</v>
      </c>
      <c r="T70" s="7" t="s">
        <v>395</v>
      </c>
      <c r="U70" s="7" t="n">
        <v>2</v>
      </c>
      <c r="V70" s="7"/>
      <c r="W70" s="7" t="s">
        <v>1288</v>
      </c>
      <c r="X70" s="7" t="s">
        <v>1289</v>
      </c>
      <c r="Y70" s="7" t="n">
        <v>11</v>
      </c>
      <c r="Z70" s="7" t="s">
        <v>1290</v>
      </c>
      <c r="AA70" s="9" t="s">
        <v>1291</v>
      </c>
      <c r="AB70" s="7" t="s">
        <v>1292</v>
      </c>
      <c r="AC70" s="7" t="s">
        <v>1293</v>
      </c>
      <c r="AD70" s="7" t="s">
        <v>1294</v>
      </c>
      <c r="AE70" s="7" t="s">
        <v>1295</v>
      </c>
      <c r="AF70" s="7"/>
      <c r="AG70" s="7" t="s">
        <v>1296</v>
      </c>
      <c r="AH70" s="7" t="s">
        <v>1297</v>
      </c>
      <c r="AI70" s="7" t="s">
        <v>1298</v>
      </c>
      <c r="AJ70" s="10" t="s">
        <v>1299</v>
      </c>
      <c r="AK70" s="7" t="s">
        <v>1300</v>
      </c>
      <c r="AL70" s="7" t="s">
        <v>1301</v>
      </c>
      <c r="AM70" s="7" t="s">
        <v>1302</v>
      </c>
      <c r="AN70" s="7"/>
      <c r="AO70" s="7"/>
      <c r="AP70" s="7"/>
      <c r="AQ70" s="7"/>
      <c r="AR70" s="7"/>
      <c r="AS70" s="7"/>
      <c r="AT70" s="7" t="n">
        <v>221899</v>
      </c>
      <c r="AU70" s="7"/>
      <c r="AV70" s="7" t="s">
        <v>1303</v>
      </c>
      <c r="AW70" s="7" t="n">
        <v>38271704</v>
      </c>
      <c r="AX70" s="7" t="s">
        <v>1304</v>
      </c>
      <c r="AY70" s="7" t="s">
        <v>75</v>
      </c>
      <c r="AZ70" s="7" t="s">
        <v>636</v>
      </c>
      <c r="BA70" s="7" t="s">
        <v>76</v>
      </c>
      <c r="BB70" s="7" t="s">
        <v>1305</v>
      </c>
      <c r="BC70" s="7"/>
      <c r="BD70" s="7"/>
      <c r="BE70" s="7"/>
      <c r="BF70" s="7"/>
      <c r="BG70" s="7"/>
      <c r="BH70" s="7"/>
      <c r="BI70" s="7"/>
    </row>
    <row r="71" customFormat="false" ht="14.25" hidden="false" customHeight="true" outlineLevel="0" collapsed="false">
      <c r="A71" s="7" t="s">
        <v>1306</v>
      </c>
      <c r="B71" s="7" t="s">
        <v>1307</v>
      </c>
      <c r="C71" s="7" t="s">
        <v>1308</v>
      </c>
      <c r="D71" s="7" t="s">
        <v>1309</v>
      </c>
      <c r="E71" s="7" t="n">
        <v>2024</v>
      </c>
      <c r="F71" s="8" t="s">
        <v>1310</v>
      </c>
      <c r="G71" s="6" t="s">
        <v>713</v>
      </c>
      <c r="H71" s="7"/>
      <c r="I71" s="7"/>
      <c r="J71" s="7"/>
      <c r="K71" s="7"/>
      <c r="L71" s="7"/>
      <c r="M71" s="7"/>
      <c r="N71" s="7"/>
      <c r="O71" s="7"/>
      <c r="P71" s="7" t="s">
        <v>61</v>
      </c>
      <c r="Q71" s="7" t="s">
        <v>62</v>
      </c>
      <c r="R71" s="7" t="s">
        <v>1311</v>
      </c>
      <c r="S71" s="7" t="n">
        <v>7</v>
      </c>
      <c r="T71" s="7" t="s">
        <v>1312</v>
      </c>
      <c r="U71" s="7" t="n">
        <v>2</v>
      </c>
      <c r="V71" s="7" t="n">
        <v>797</v>
      </c>
      <c r="W71" s="7"/>
      <c r="X71" s="7"/>
      <c r="Y71" s="7"/>
      <c r="Z71" s="7" t="s">
        <v>1313</v>
      </c>
      <c r="AA71" s="9" t="s">
        <v>1314</v>
      </c>
      <c r="AB71" s="7" t="s">
        <v>1315</v>
      </c>
      <c r="AC71" s="7" t="s">
        <v>1316</v>
      </c>
      <c r="AD71" s="7" t="s">
        <v>1317</v>
      </c>
      <c r="AE71" s="7"/>
      <c r="AF71" s="7"/>
      <c r="AG71" s="7"/>
      <c r="AH71" s="7"/>
      <c r="AI71" s="7"/>
      <c r="AJ71" s="10"/>
      <c r="AK71" s="7"/>
      <c r="AL71" s="7" t="s">
        <v>1318</v>
      </c>
      <c r="AM71" s="7" t="s">
        <v>1319</v>
      </c>
      <c r="AN71" s="7"/>
      <c r="AO71" s="7"/>
      <c r="AP71" s="7"/>
      <c r="AQ71" s="7"/>
      <c r="AR71" s="7"/>
      <c r="AS71" s="7"/>
      <c r="AT71" s="7" t="n">
        <v>26305046</v>
      </c>
      <c r="AU71" s="7"/>
      <c r="AV71" s="7"/>
      <c r="AW71" s="7"/>
      <c r="AX71" s="7" t="s">
        <v>1320</v>
      </c>
      <c r="AY71" s="7" t="s">
        <v>75</v>
      </c>
      <c r="AZ71" s="7" t="s">
        <v>127</v>
      </c>
      <c r="BA71" s="7" t="s">
        <v>76</v>
      </c>
      <c r="BB71" s="7" t="s">
        <v>1321</v>
      </c>
      <c r="BC71" s="7"/>
      <c r="BD71" s="7"/>
      <c r="BE71" s="7"/>
      <c r="BF71" s="7"/>
      <c r="BG71" s="7"/>
      <c r="BH71" s="7"/>
      <c r="BI71" s="7"/>
    </row>
    <row r="72" customFormat="false" ht="14.25" hidden="false" customHeight="true" outlineLevel="0" collapsed="false">
      <c r="A72" s="7" t="s">
        <v>1322</v>
      </c>
      <c r="B72" s="7" t="s">
        <v>1323</v>
      </c>
      <c r="C72" s="7" t="s">
        <v>1324</v>
      </c>
      <c r="D72" s="7" t="s">
        <v>1325</v>
      </c>
      <c r="E72" s="7" t="n">
        <v>2024</v>
      </c>
      <c r="F72" s="8" t="s">
        <v>1326</v>
      </c>
      <c r="G72" s="6" t="s">
        <v>713</v>
      </c>
      <c r="H72" s="7"/>
      <c r="I72" s="7"/>
      <c r="J72" s="7"/>
      <c r="K72" s="7"/>
      <c r="L72" s="7"/>
      <c r="M72" s="7"/>
      <c r="N72" s="7"/>
      <c r="O72" s="7"/>
      <c r="P72" s="7" t="s">
        <v>61</v>
      </c>
      <c r="Q72" s="7" t="s">
        <v>62</v>
      </c>
      <c r="R72" s="7" t="s">
        <v>1327</v>
      </c>
      <c r="S72" s="7" t="n">
        <v>15</v>
      </c>
      <c r="T72" s="7" t="s">
        <v>1328</v>
      </c>
      <c r="U72" s="7"/>
      <c r="V72" s="7" t="n">
        <v>1368904</v>
      </c>
      <c r="W72" s="7"/>
      <c r="X72" s="7"/>
      <c r="Y72" s="7"/>
      <c r="Z72" s="7" t="s">
        <v>1329</v>
      </c>
      <c r="AA72" s="9" t="s">
        <v>1330</v>
      </c>
      <c r="AB72" s="7" t="s">
        <v>1331</v>
      </c>
      <c r="AC72" s="7" t="s">
        <v>1332</v>
      </c>
      <c r="AD72" s="7" t="s">
        <v>1333</v>
      </c>
      <c r="AE72" s="7" t="s">
        <v>1334</v>
      </c>
      <c r="AF72" s="7"/>
      <c r="AG72" s="7" t="s">
        <v>1335</v>
      </c>
      <c r="AH72" s="7"/>
      <c r="AI72" s="7"/>
      <c r="AJ72" s="10" t="s">
        <v>1336</v>
      </c>
      <c r="AK72" s="7" t="s">
        <v>1337</v>
      </c>
      <c r="AL72" s="7" t="s">
        <v>1338</v>
      </c>
      <c r="AM72" s="7" t="s">
        <v>1339</v>
      </c>
      <c r="AN72" s="7"/>
      <c r="AO72" s="7"/>
      <c r="AP72" s="7"/>
      <c r="AQ72" s="7"/>
      <c r="AR72" s="7"/>
      <c r="AS72" s="7"/>
      <c r="AT72" s="7" t="n">
        <v>16643224</v>
      </c>
      <c r="AU72" s="7"/>
      <c r="AV72" s="7"/>
      <c r="AW72" s="7" t="n">
        <v>38629070</v>
      </c>
      <c r="AX72" s="7" t="s">
        <v>1340</v>
      </c>
      <c r="AY72" s="7" t="s">
        <v>75</v>
      </c>
      <c r="AZ72" s="7" t="s">
        <v>107</v>
      </c>
      <c r="BA72" s="7" t="s">
        <v>76</v>
      </c>
      <c r="BB72" s="7" t="s">
        <v>1341</v>
      </c>
      <c r="BC72" s="7"/>
      <c r="BD72" s="7"/>
      <c r="BE72" s="7"/>
      <c r="BF72" s="7"/>
      <c r="BG72" s="7"/>
      <c r="BH72" s="7"/>
      <c r="BI72" s="7"/>
    </row>
    <row r="73" customFormat="false" ht="14.25" hidden="false" customHeight="true" outlineLevel="0" collapsed="false">
      <c r="A73" s="7" t="s">
        <v>1342</v>
      </c>
      <c r="B73" s="7" t="s">
        <v>1343</v>
      </c>
      <c r="C73" s="7" t="s">
        <v>1344</v>
      </c>
      <c r="D73" s="7" t="s">
        <v>1345</v>
      </c>
      <c r="E73" s="7" t="n">
        <v>2024</v>
      </c>
      <c r="F73" s="8" t="s">
        <v>1346</v>
      </c>
      <c r="G73" s="6" t="s">
        <v>1347</v>
      </c>
      <c r="H73" s="7"/>
      <c r="I73" s="7"/>
      <c r="J73" s="7"/>
      <c r="K73" s="7"/>
      <c r="L73" s="7"/>
      <c r="M73" s="7"/>
      <c r="N73" s="7"/>
      <c r="O73" s="7"/>
      <c r="P73" s="7" t="s">
        <v>61</v>
      </c>
      <c r="Q73" s="7" t="s">
        <v>62</v>
      </c>
      <c r="R73" s="7" t="s">
        <v>1348</v>
      </c>
      <c r="S73" s="7" t="n">
        <v>17</v>
      </c>
      <c r="T73" s="7" t="s">
        <v>1248</v>
      </c>
      <c r="U73" s="7"/>
      <c r="V73" s="7"/>
      <c r="W73" s="7" t="n">
        <v>10289</v>
      </c>
      <c r="X73" s="7" t="n">
        <v>10304</v>
      </c>
      <c r="Y73" s="7" t="n">
        <v>15</v>
      </c>
      <c r="Z73" s="7" t="s">
        <v>1349</v>
      </c>
      <c r="AA73" s="9" t="s">
        <v>1350</v>
      </c>
      <c r="AB73" s="7" t="s">
        <v>1351</v>
      </c>
      <c r="AC73" s="7" t="s">
        <v>1352</v>
      </c>
      <c r="AD73" s="7" t="s">
        <v>1353</v>
      </c>
      <c r="AE73" s="7" t="s">
        <v>1354</v>
      </c>
      <c r="AF73" s="7"/>
      <c r="AG73" s="7" t="s">
        <v>1355</v>
      </c>
      <c r="AH73" s="7" t="s">
        <v>1356</v>
      </c>
      <c r="AI73" s="7"/>
      <c r="AJ73" s="10"/>
      <c r="AK73" s="7"/>
      <c r="AL73" s="7" t="s">
        <v>1357</v>
      </c>
      <c r="AM73" s="7" t="s">
        <v>1358</v>
      </c>
      <c r="AN73" s="7"/>
      <c r="AO73" s="7"/>
      <c r="AP73" s="7"/>
      <c r="AQ73" s="7"/>
      <c r="AR73" s="7"/>
      <c r="AS73" s="7"/>
      <c r="AT73" s="7" t="n">
        <v>11787031</v>
      </c>
      <c r="AU73" s="7"/>
      <c r="AV73" s="7"/>
      <c r="AW73" s="7"/>
      <c r="AX73" s="7" t="s">
        <v>1359</v>
      </c>
      <c r="AY73" s="7" t="s">
        <v>75</v>
      </c>
      <c r="AZ73" s="7" t="s">
        <v>127</v>
      </c>
      <c r="BA73" s="7" t="s">
        <v>76</v>
      </c>
      <c r="BB73" s="7" t="s">
        <v>1360</v>
      </c>
      <c r="BC73" s="7"/>
      <c r="BD73" s="7"/>
      <c r="BE73" s="7"/>
      <c r="BF73" s="7"/>
      <c r="BG73" s="7"/>
      <c r="BH73" s="7"/>
      <c r="BI73" s="7"/>
    </row>
    <row r="74" customFormat="false" ht="14.25" hidden="false" customHeight="true" outlineLevel="0" collapsed="false">
      <c r="A74" s="7" t="s">
        <v>1361</v>
      </c>
      <c r="B74" s="7" t="s">
        <v>1362</v>
      </c>
      <c r="C74" s="7" t="s">
        <v>1363</v>
      </c>
      <c r="D74" s="7" t="s">
        <v>1364</v>
      </c>
      <c r="E74" s="7" t="n">
        <v>2024</v>
      </c>
      <c r="F74" s="8" t="s">
        <v>1365</v>
      </c>
      <c r="G74" s="6" t="s">
        <v>169</v>
      </c>
      <c r="H74" s="7"/>
      <c r="I74" s="7"/>
      <c r="J74" s="7"/>
      <c r="K74" s="7"/>
      <c r="L74" s="7"/>
      <c r="M74" s="7"/>
      <c r="N74" s="7"/>
      <c r="O74" s="7"/>
      <c r="P74" s="7" t="s">
        <v>61</v>
      </c>
      <c r="Q74" s="7" t="s">
        <v>62</v>
      </c>
      <c r="R74" s="7" t="s">
        <v>1366</v>
      </c>
      <c r="S74" s="7" t="n">
        <v>28</v>
      </c>
      <c r="T74" s="7" t="s">
        <v>466</v>
      </c>
      <c r="U74" s="7" t="n">
        <v>15</v>
      </c>
      <c r="V74" s="7" t="s">
        <v>1367</v>
      </c>
      <c r="W74" s="7"/>
      <c r="X74" s="7"/>
      <c r="Y74" s="7"/>
      <c r="Z74" s="7" t="s">
        <v>1368</v>
      </c>
      <c r="AA74" s="9" t="s">
        <v>1369</v>
      </c>
      <c r="AB74" s="7" t="s">
        <v>1370</v>
      </c>
      <c r="AC74" s="7" t="s">
        <v>1371</v>
      </c>
      <c r="AD74" s="7" t="s">
        <v>1372</v>
      </c>
      <c r="AE74" s="7" t="s">
        <v>1373</v>
      </c>
      <c r="AF74" s="7"/>
      <c r="AG74" s="7" t="s">
        <v>1374</v>
      </c>
      <c r="AH74" s="7" t="s">
        <v>1375</v>
      </c>
      <c r="AI74" s="7"/>
      <c r="AJ74" s="10" t="s">
        <v>1376</v>
      </c>
      <c r="AK74" s="7" t="s">
        <v>1377</v>
      </c>
      <c r="AL74" s="7" t="s">
        <v>1378</v>
      </c>
      <c r="AM74" s="7" t="s">
        <v>1379</v>
      </c>
      <c r="AN74" s="7"/>
      <c r="AO74" s="7"/>
      <c r="AP74" s="7"/>
      <c r="AQ74" s="7"/>
      <c r="AR74" s="7"/>
      <c r="AS74" s="7"/>
      <c r="AT74" s="7" t="n">
        <v>15821838</v>
      </c>
      <c r="AU74" s="7"/>
      <c r="AV74" s="7"/>
      <c r="AW74" s="7" t="n">
        <v>39098992</v>
      </c>
      <c r="AX74" s="7" t="s">
        <v>1380</v>
      </c>
      <c r="AY74" s="7" t="s">
        <v>75</v>
      </c>
      <c r="AZ74" s="7"/>
      <c r="BA74" s="7" t="s">
        <v>76</v>
      </c>
      <c r="BB74" s="7" t="s">
        <v>1381</v>
      </c>
      <c r="BC74" s="7"/>
      <c r="BD74" s="7"/>
      <c r="BE74" s="7"/>
      <c r="BF74" s="7"/>
      <c r="BG74" s="7"/>
      <c r="BH74" s="7"/>
      <c r="BI74" s="7"/>
    </row>
    <row r="75" customFormat="false" ht="14.25" hidden="false" customHeight="true" outlineLevel="0" collapsed="false">
      <c r="A75" s="7" t="s">
        <v>1382</v>
      </c>
      <c r="B75" s="7" t="s">
        <v>1383</v>
      </c>
      <c r="C75" s="7" t="s">
        <v>1384</v>
      </c>
      <c r="D75" s="7" t="s">
        <v>1385</v>
      </c>
      <c r="E75" s="7" t="n">
        <v>2024</v>
      </c>
      <c r="F75" s="8" t="s">
        <v>1386</v>
      </c>
      <c r="G75" s="6" t="s">
        <v>1387</v>
      </c>
      <c r="H75" s="7"/>
      <c r="I75" s="7"/>
      <c r="J75" s="7"/>
      <c r="K75" s="7"/>
      <c r="L75" s="7"/>
      <c r="M75" s="7"/>
      <c r="N75" s="7"/>
      <c r="O75" s="7"/>
      <c r="P75" s="7" t="s">
        <v>61</v>
      </c>
      <c r="Q75" s="7" t="s">
        <v>62</v>
      </c>
      <c r="R75" s="7" t="s">
        <v>1388</v>
      </c>
      <c r="S75" s="7" t="n">
        <v>9</v>
      </c>
      <c r="T75" s="7" t="s">
        <v>1389</v>
      </c>
      <c r="U75" s="7" t="n">
        <v>10</v>
      </c>
      <c r="V75" s="7" t="s">
        <v>1390</v>
      </c>
      <c r="W75" s="7"/>
      <c r="X75" s="7"/>
      <c r="Y75" s="7"/>
      <c r="Z75" s="7" t="s">
        <v>1391</v>
      </c>
      <c r="AA75" s="9" t="s">
        <v>1392</v>
      </c>
      <c r="AB75" s="7" t="s">
        <v>1393</v>
      </c>
      <c r="AC75" s="7" t="s">
        <v>1394</v>
      </c>
      <c r="AD75" s="7" t="s">
        <v>1395</v>
      </c>
      <c r="AE75" s="7" t="s">
        <v>1396</v>
      </c>
      <c r="AF75" s="7"/>
      <c r="AG75" s="7"/>
      <c r="AH75" s="7"/>
      <c r="AI75" s="7"/>
      <c r="AJ75" s="10"/>
      <c r="AK75" s="7"/>
      <c r="AL75" s="7" t="s">
        <v>1397</v>
      </c>
      <c r="AM75" s="7" t="s">
        <v>1398</v>
      </c>
      <c r="AN75" s="7"/>
      <c r="AO75" s="7"/>
      <c r="AP75" s="7"/>
      <c r="AQ75" s="7"/>
      <c r="AR75" s="7"/>
      <c r="AS75" s="7"/>
      <c r="AT75" s="7" t="n">
        <v>20597908</v>
      </c>
      <c r="AU75" s="7"/>
      <c r="AV75" s="7"/>
      <c r="AW75" s="7"/>
      <c r="AX75" s="7" t="s">
        <v>1399</v>
      </c>
      <c r="AY75" s="7" t="s">
        <v>75</v>
      </c>
      <c r="AZ75" s="7"/>
      <c r="BA75" s="7" t="s">
        <v>76</v>
      </c>
      <c r="BB75" s="7" t="s">
        <v>1400</v>
      </c>
      <c r="BC75" s="7"/>
      <c r="BD75" s="7"/>
      <c r="BE75" s="7"/>
      <c r="BF75" s="7"/>
      <c r="BG75" s="7"/>
      <c r="BH75" s="7"/>
      <c r="BI75" s="7"/>
    </row>
    <row r="76" customFormat="false" ht="14.25" hidden="false" customHeight="true" outlineLevel="0" collapsed="false">
      <c r="A76" s="7" t="s">
        <v>1401</v>
      </c>
      <c r="B76" s="7" t="s">
        <v>1402</v>
      </c>
      <c r="C76" s="7" t="s">
        <v>1403</v>
      </c>
      <c r="D76" s="7" t="s">
        <v>1404</v>
      </c>
      <c r="E76" s="7" t="n">
        <v>2024</v>
      </c>
      <c r="F76" s="8" t="s">
        <v>1405</v>
      </c>
      <c r="G76" s="6" t="s">
        <v>169</v>
      </c>
      <c r="H76" s="7"/>
      <c r="I76" s="7"/>
      <c r="J76" s="7"/>
      <c r="K76" s="7"/>
      <c r="L76" s="7"/>
      <c r="M76" s="7"/>
      <c r="N76" s="7"/>
      <c r="O76" s="7"/>
      <c r="P76" s="7" t="s">
        <v>61</v>
      </c>
      <c r="Q76" s="7" t="s">
        <v>62</v>
      </c>
      <c r="R76" s="7" t="s">
        <v>1406</v>
      </c>
      <c r="S76" s="7" t="n">
        <v>22</v>
      </c>
      <c r="T76" s="7" t="s">
        <v>1407</v>
      </c>
      <c r="U76" s="7" t="n">
        <v>4</v>
      </c>
      <c r="V76" s="7"/>
      <c r="W76" s="7" t="n">
        <v>1009</v>
      </c>
      <c r="X76" s="7" t="n">
        <v>1017</v>
      </c>
      <c r="Y76" s="7" t="n">
        <v>8</v>
      </c>
      <c r="Z76" s="7" t="s">
        <v>1408</v>
      </c>
      <c r="AA76" s="9" t="s">
        <v>1409</v>
      </c>
      <c r="AB76" s="7" t="s">
        <v>1410</v>
      </c>
      <c r="AC76" s="7" t="s">
        <v>1411</v>
      </c>
      <c r="AD76" s="7" t="s">
        <v>1412</v>
      </c>
      <c r="AE76" s="7" t="s">
        <v>1413</v>
      </c>
      <c r="AF76" s="7"/>
      <c r="AG76" s="7"/>
      <c r="AH76" s="7" t="s">
        <v>1414</v>
      </c>
      <c r="AI76" s="7"/>
      <c r="AJ76" s="10"/>
      <c r="AK76" s="7"/>
      <c r="AL76" s="7" t="s">
        <v>1415</v>
      </c>
      <c r="AM76" s="7" t="s">
        <v>1416</v>
      </c>
      <c r="AN76" s="7"/>
      <c r="AO76" s="7"/>
      <c r="AP76" s="7"/>
      <c r="AQ76" s="7"/>
      <c r="AR76" s="7"/>
      <c r="AS76" s="7"/>
      <c r="AT76" s="7" t="n">
        <v>23223243</v>
      </c>
      <c r="AU76" s="7"/>
      <c r="AV76" s="7"/>
      <c r="AW76" s="7"/>
      <c r="AX76" s="7" t="s">
        <v>1417</v>
      </c>
      <c r="AY76" s="7" t="s">
        <v>75</v>
      </c>
      <c r="AZ76" s="7"/>
      <c r="BA76" s="7" t="s">
        <v>76</v>
      </c>
      <c r="BB76" s="7" t="s">
        <v>1418</v>
      </c>
      <c r="BC76" s="7"/>
      <c r="BD76" s="7"/>
      <c r="BE76" s="7"/>
      <c r="BF76" s="7"/>
      <c r="BG76" s="7"/>
      <c r="BH76" s="7"/>
      <c r="BI76" s="7"/>
    </row>
    <row r="77" customFormat="false" ht="14.25" hidden="false" customHeight="true" outlineLevel="0" collapsed="false">
      <c r="A77" s="7" t="s">
        <v>1419</v>
      </c>
      <c r="B77" s="7" t="s">
        <v>1420</v>
      </c>
      <c r="C77" s="7" t="s">
        <v>1421</v>
      </c>
      <c r="D77" s="7" t="s">
        <v>1422</v>
      </c>
      <c r="E77" s="7" t="n">
        <v>2024</v>
      </c>
      <c r="F77" s="8" t="s">
        <v>1423</v>
      </c>
      <c r="G77" s="6" t="s">
        <v>290</v>
      </c>
      <c r="H77" s="7"/>
      <c r="I77" s="7"/>
      <c r="J77" s="7"/>
      <c r="K77" s="7"/>
      <c r="L77" s="7"/>
      <c r="M77" s="7"/>
      <c r="N77" s="7"/>
      <c r="O77" s="7"/>
      <c r="P77" s="7" t="s">
        <v>61</v>
      </c>
      <c r="Q77" s="7" t="s">
        <v>62</v>
      </c>
      <c r="R77" s="7" t="s">
        <v>1424</v>
      </c>
      <c r="S77" s="7" t="n">
        <v>22</v>
      </c>
      <c r="T77" s="7" t="s">
        <v>202</v>
      </c>
      <c r="U77" s="7"/>
      <c r="V77" s="7" t="n">
        <v>100304</v>
      </c>
      <c r="W77" s="7"/>
      <c r="X77" s="7"/>
      <c r="Y77" s="7"/>
      <c r="Z77" s="7" t="s">
        <v>1425</v>
      </c>
      <c r="AA77" s="9" t="s">
        <v>1426</v>
      </c>
      <c r="AB77" s="7" t="s">
        <v>1427</v>
      </c>
      <c r="AC77" s="7" t="s">
        <v>1428</v>
      </c>
      <c r="AD77" s="7" t="s">
        <v>1429</v>
      </c>
      <c r="AE77" s="7" t="s">
        <v>1430</v>
      </c>
      <c r="AF77" s="7"/>
      <c r="AG77" s="7" t="s">
        <v>1431</v>
      </c>
      <c r="AH77" s="7"/>
      <c r="AI77" s="7"/>
      <c r="AJ77" s="10" t="s">
        <v>1432</v>
      </c>
      <c r="AK77" s="7" t="s">
        <v>1433</v>
      </c>
      <c r="AL77" s="7" t="s">
        <v>1434</v>
      </c>
      <c r="AM77" s="7" t="s">
        <v>1435</v>
      </c>
      <c r="AN77" s="7"/>
      <c r="AO77" s="7"/>
      <c r="AP77" s="7"/>
      <c r="AQ77" s="7"/>
      <c r="AR77" s="7"/>
      <c r="AS77" s="7"/>
      <c r="AT77" s="7" t="n">
        <v>25900935</v>
      </c>
      <c r="AU77" s="7"/>
      <c r="AV77" s="7"/>
      <c r="AW77" s="7"/>
      <c r="AX77" s="7" t="s">
        <v>1436</v>
      </c>
      <c r="AY77" s="7" t="s">
        <v>75</v>
      </c>
      <c r="AZ77" s="7" t="s">
        <v>127</v>
      </c>
      <c r="BA77" s="7" t="s">
        <v>76</v>
      </c>
      <c r="BB77" s="7" t="s">
        <v>1437</v>
      </c>
      <c r="BC77" s="7"/>
      <c r="BD77" s="7"/>
      <c r="BE77" s="7"/>
      <c r="BF77" s="7"/>
      <c r="BG77" s="7"/>
      <c r="BH77" s="7"/>
      <c r="BI77" s="7"/>
    </row>
    <row r="78" customFormat="false" ht="14.25" hidden="false" customHeight="true" outlineLevel="0" collapsed="false">
      <c r="A78" s="7" t="s">
        <v>1438</v>
      </c>
      <c r="B78" s="7" t="s">
        <v>1439</v>
      </c>
      <c r="C78" s="7" t="s">
        <v>1440</v>
      </c>
      <c r="D78" s="7" t="s">
        <v>1441</v>
      </c>
      <c r="E78" s="7" t="n">
        <v>2024</v>
      </c>
      <c r="F78" s="8" t="s">
        <v>1442</v>
      </c>
      <c r="G78" s="6" t="s">
        <v>713</v>
      </c>
      <c r="H78" s="7"/>
      <c r="I78" s="7"/>
      <c r="J78" s="7"/>
      <c r="K78" s="7"/>
      <c r="L78" s="7"/>
      <c r="M78" s="7"/>
      <c r="N78" s="7"/>
      <c r="O78" s="7"/>
      <c r="P78" s="7" t="s">
        <v>61</v>
      </c>
      <c r="Q78" s="7" t="s">
        <v>62</v>
      </c>
      <c r="R78" s="7" t="s">
        <v>1443</v>
      </c>
      <c r="S78" s="7" t="n">
        <v>16</v>
      </c>
      <c r="T78" s="7" t="s">
        <v>1444</v>
      </c>
      <c r="U78" s="7" t="n">
        <v>3</v>
      </c>
      <c r="V78" s="7"/>
      <c r="W78" s="7" t="n">
        <v>613</v>
      </c>
      <c r="X78" s="7" t="n">
        <v>622</v>
      </c>
      <c r="Y78" s="7" t="n">
        <v>9</v>
      </c>
      <c r="Z78" s="7"/>
      <c r="AA78" s="9" t="s">
        <v>1445</v>
      </c>
      <c r="AB78" s="7" t="s">
        <v>1446</v>
      </c>
      <c r="AC78" s="7" t="s">
        <v>1447</v>
      </c>
      <c r="AD78" s="7" t="s">
        <v>1448</v>
      </c>
      <c r="AE78" s="7"/>
      <c r="AF78" s="7"/>
      <c r="AG78" s="7"/>
      <c r="AH78" s="7"/>
      <c r="AI78" s="7"/>
      <c r="AJ78" s="10"/>
      <c r="AK78" s="7"/>
      <c r="AL78" s="7" t="s">
        <v>1449</v>
      </c>
      <c r="AM78" s="7"/>
      <c r="AN78" s="7"/>
      <c r="AO78" s="7"/>
      <c r="AP78" s="7"/>
      <c r="AQ78" s="7"/>
      <c r="AR78" s="7"/>
      <c r="AS78" s="7"/>
      <c r="AT78" s="7" t="n">
        <v>21507988</v>
      </c>
      <c r="AU78" s="7"/>
      <c r="AV78" s="7"/>
      <c r="AW78" s="7"/>
      <c r="AX78" s="7" t="s">
        <v>1450</v>
      </c>
      <c r="AY78" s="7" t="s">
        <v>75</v>
      </c>
      <c r="AZ78" s="7"/>
      <c r="BA78" s="7" t="s">
        <v>76</v>
      </c>
      <c r="BB78" s="7" t="s">
        <v>1451</v>
      </c>
      <c r="BC78" s="7"/>
      <c r="BD78" s="7"/>
      <c r="BE78" s="7"/>
      <c r="BF78" s="7"/>
      <c r="BG78" s="7"/>
      <c r="BH78" s="7"/>
      <c r="BI78" s="7"/>
    </row>
    <row r="79" customFormat="false" ht="14.25" hidden="false" customHeight="true" outlineLevel="0" collapsed="false">
      <c r="A79" s="7" t="s">
        <v>1452</v>
      </c>
      <c r="B79" s="7" t="s">
        <v>1453</v>
      </c>
      <c r="C79" s="7" t="s">
        <v>1454</v>
      </c>
      <c r="D79" s="7" t="s">
        <v>1455</v>
      </c>
      <c r="E79" s="7" t="n">
        <v>2024</v>
      </c>
      <c r="F79" s="8" t="s">
        <v>1456</v>
      </c>
      <c r="G79" s="6" t="s">
        <v>169</v>
      </c>
      <c r="H79" s="7"/>
      <c r="I79" s="7"/>
      <c r="J79" s="7"/>
      <c r="K79" s="7"/>
      <c r="L79" s="7"/>
      <c r="M79" s="7"/>
      <c r="N79" s="7"/>
      <c r="O79" s="7"/>
      <c r="P79" s="7" t="s">
        <v>61</v>
      </c>
      <c r="Q79" s="7" t="s">
        <v>62</v>
      </c>
      <c r="R79" s="7" t="s">
        <v>1457</v>
      </c>
      <c r="S79" s="7" t="n">
        <v>26</v>
      </c>
      <c r="T79" s="7" t="s">
        <v>466</v>
      </c>
      <c r="U79" s="7" t="n">
        <v>12</v>
      </c>
      <c r="V79" s="7"/>
      <c r="W79" s="7" t="n">
        <v>5646</v>
      </c>
      <c r="X79" s="7" t="n">
        <v>5660</v>
      </c>
      <c r="Y79" s="7" t="n">
        <v>14</v>
      </c>
      <c r="Z79" s="7" t="s">
        <v>1458</v>
      </c>
      <c r="AA79" s="9" t="s">
        <v>1459</v>
      </c>
      <c r="AB79" s="7" t="s">
        <v>1460</v>
      </c>
      <c r="AC79" s="7" t="s">
        <v>1461</v>
      </c>
      <c r="AD79" s="7" t="s">
        <v>1462</v>
      </c>
      <c r="AE79" s="7" t="s">
        <v>1463</v>
      </c>
      <c r="AF79" s="7"/>
      <c r="AG79" s="7" t="s">
        <v>1296</v>
      </c>
      <c r="AH79" s="7" t="s">
        <v>1464</v>
      </c>
      <c r="AI79" s="7" t="s">
        <v>1465</v>
      </c>
      <c r="AJ79" s="10" t="s">
        <v>1466</v>
      </c>
      <c r="AK79" s="7" t="s">
        <v>1467</v>
      </c>
      <c r="AL79" s="7" t="s">
        <v>1468</v>
      </c>
      <c r="AM79" s="7" t="s">
        <v>1469</v>
      </c>
      <c r="AN79" s="7"/>
      <c r="AO79" s="7"/>
      <c r="AP79" s="7"/>
      <c r="AQ79" s="7"/>
      <c r="AR79" s="7"/>
      <c r="AS79" s="7"/>
      <c r="AT79" s="7" t="n">
        <v>14628902</v>
      </c>
      <c r="AU79" s="7"/>
      <c r="AV79" s="7" t="s">
        <v>1470</v>
      </c>
      <c r="AW79" s="7" t="n">
        <v>39370621</v>
      </c>
      <c r="AX79" s="7" t="s">
        <v>1471</v>
      </c>
      <c r="AY79" s="7" t="s">
        <v>75</v>
      </c>
      <c r="AZ79" s="7"/>
      <c r="BA79" s="7" t="s">
        <v>76</v>
      </c>
      <c r="BB79" s="7" t="s">
        <v>1472</v>
      </c>
      <c r="BC79" s="7"/>
      <c r="BD79" s="7"/>
      <c r="BE79" s="7"/>
      <c r="BF79" s="7"/>
      <c r="BG79" s="7"/>
      <c r="BH79" s="7"/>
      <c r="BI79" s="7"/>
    </row>
    <row r="80" customFormat="false" ht="14.25" hidden="false" customHeight="true" outlineLevel="0" collapsed="false">
      <c r="A80" s="7" t="s">
        <v>1473</v>
      </c>
      <c r="B80" s="7" t="s">
        <v>1474</v>
      </c>
      <c r="C80" s="7" t="s">
        <v>1475</v>
      </c>
      <c r="D80" s="7" t="s">
        <v>1476</v>
      </c>
      <c r="E80" s="7" t="n">
        <v>2024</v>
      </c>
      <c r="F80" s="8" t="s">
        <v>1477</v>
      </c>
      <c r="G80" s="6" t="s">
        <v>713</v>
      </c>
      <c r="H80" s="7"/>
      <c r="I80" s="7"/>
      <c r="J80" s="7"/>
      <c r="K80" s="7"/>
      <c r="L80" s="7"/>
      <c r="M80" s="7"/>
      <c r="N80" s="7"/>
      <c r="O80" s="7"/>
      <c r="P80" s="7" t="s">
        <v>61</v>
      </c>
      <c r="Q80" s="7" t="s">
        <v>62</v>
      </c>
      <c r="R80" s="7" t="s">
        <v>1478</v>
      </c>
      <c r="S80" s="7" t="n">
        <v>13</v>
      </c>
      <c r="T80" s="7" t="s">
        <v>115</v>
      </c>
      <c r="U80" s="7" t="n">
        <v>4</v>
      </c>
      <c r="V80" s="7" t="n">
        <v>87</v>
      </c>
      <c r="W80" s="7"/>
      <c r="X80" s="7"/>
      <c r="Y80" s="7"/>
      <c r="Z80" s="7" t="s">
        <v>1479</v>
      </c>
      <c r="AA80" s="9" t="s">
        <v>1480</v>
      </c>
      <c r="AB80" s="7" t="s">
        <v>1481</v>
      </c>
      <c r="AC80" s="7" t="s">
        <v>1482</v>
      </c>
      <c r="AD80" s="7" t="s">
        <v>1483</v>
      </c>
      <c r="AE80" s="7" t="s">
        <v>1484</v>
      </c>
      <c r="AF80" s="7"/>
      <c r="AG80" s="7" t="s">
        <v>1485</v>
      </c>
      <c r="AH80" s="7" t="s">
        <v>1486</v>
      </c>
      <c r="AI80" s="7" t="s">
        <v>1487</v>
      </c>
      <c r="AJ80" s="10" t="s">
        <v>1488</v>
      </c>
      <c r="AK80" s="7" t="s">
        <v>1489</v>
      </c>
      <c r="AL80" s="7" t="s">
        <v>1490</v>
      </c>
      <c r="AM80" s="7" t="s">
        <v>1491</v>
      </c>
      <c r="AN80" s="7"/>
      <c r="AO80" s="7"/>
      <c r="AP80" s="7"/>
      <c r="AQ80" s="7"/>
      <c r="AR80" s="7"/>
      <c r="AS80" s="7"/>
      <c r="AT80" s="7" t="n">
        <v>20734468</v>
      </c>
      <c r="AU80" s="7"/>
      <c r="AV80" s="7"/>
      <c r="AW80" s="7"/>
      <c r="AX80" s="7" t="s">
        <v>1478</v>
      </c>
      <c r="AY80" s="7" t="s">
        <v>75</v>
      </c>
      <c r="AZ80" s="7" t="s">
        <v>127</v>
      </c>
      <c r="BA80" s="7" t="s">
        <v>76</v>
      </c>
      <c r="BB80" s="7" t="s">
        <v>1492</v>
      </c>
      <c r="BC80" s="7"/>
      <c r="BD80" s="7"/>
      <c r="BE80" s="7"/>
      <c r="BF80" s="7"/>
      <c r="BG80" s="7"/>
      <c r="BH80" s="7"/>
      <c r="BI80" s="7"/>
    </row>
    <row r="81" customFormat="false" ht="14.25" hidden="false" customHeight="true" outlineLevel="0" collapsed="false">
      <c r="A81" s="7" t="s">
        <v>1493</v>
      </c>
      <c r="B81" s="7" t="s">
        <v>1494</v>
      </c>
      <c r="C81" s="7" t="s">
        <v>1495</v>
      </c>
      <c r="D81" s="7" t="s">
        <v>1496</v>
      </c>
      <c r="E81" s="7" t="n">
        <v>2024</v>
      </c>
      <c r="F81" s="8" t="s">
        <v>1497</v>
      </c>
      <c r="G81" s="6" t="s">
        <v>1498</v>
      </c>
      <c r="H81" s="7"/>
      <c r="I81" s="7"/>
      <c r="J81" s="7"/>
      <c r="K81" s="7"/>
      <c r="L81" s="7"/>
      <c r="M81" s="7"/>
      <c r="N81" s="7"/>
      <c r="O81" s="7"/>
      <c r="P81" s="7" t="s">
        <v>61</v>
      </c>
      <c r="Q81" s="7" t="s">
        <v>62</v>
      </c>
      <c r="R81" s="7" t="s">
        <v>1031</v>
      </c>
      <c r="S81" s="7" t="n">
        <v>17</v>
      </c>
      <c r="T81" s="7" t="s">
        <v>903</v>
      </c>
      <c r="U81" s="7" t="n">
        <v>1</v>
      </c>
      <c r="V81" s="7" t="n">
        <v>484</v>
      </c>
      <c r="W81" s="7"/>
      <c r="X81" s="7"/>
      <c r="Y81" s="7"/>
      <c r="Z81" s="7" t="s">
        <v>1499</v>
      </c>
      <c r="AA81" s="9" t="s">
        <v>1500</v>
      </c>
      <c r="AB81" s="7" t="s">
        <v>1501</v>
      </c>
      <c r="AC81" s="7" t="s">
        <v>1502</v>
      </c>
      <c r="AD81" s="7" t="s">
        <v>1503</v>
      </c>
      <c r="AE81" s="7" t="s">
        <v>1504</v>
      </c>
      <c r="AF81" s="7"/>
      <c r="AG81" s="7" t="s">
        <v>1505</v>
      </c>
      <c r="AH81" s="7" t="s">
        <v>1506</v>
      </c>
      <c r="AI81" s="7" t="s">
        <v>1507</v>
      </c>
      <c r="AJ81" s="10" t="s">
        <v>1508</v>
      </c>
      <c r="AK81" s="7" t="s">
        <v>1509</v>
      </c>
      <c r="AL81" s="7" t="s">
        <v>1510</v>
      </c>
      <c r="AM81" s="7" t="s">
        <v>1511</v>
      </c>
      <c r="AN81" s="7"/>
      <c r="AO81" s="7"/>
      <c r="AP81" s="7"/>
      <c r="AQ81" s="7"/>
      <c r="AR81" s="7"/>
      <c r="AS81" s="7"/>
      <c r="AT81" s="7" t="n">
        <v>17563305</v>
      </c>
      <c r="AU81" s="7"/>
      <c r="AV81" s="7"/>
      <c r="AW81" s="7" t="n">
        <v>39580476</v>
      </c>
      <c r="AX81" s="7" t="s">
        <v>1044</v>
      </c>
      <c r="AY81" s="7" t="s">
        <v>75</v>
      </c>
      <c r="AZ81" s="7" t="s">
        <v>127</v>
      </c>
      <c r="BA81" s="7" t="s">
        <v>76</v>
      </c>
      <c r="BB81" s="7" t="s">
        <v>1512</v>
      </c>
      <c r="BC81" s="7"/>
      <c r="BD81" s="7"/>
      <c r="BE81" s="7"/>
      <c r="BF81" s="7"/>
      <c r="BG81" s="7"/>
      <c r="BH81" s="7"/>
      <c r="BI81" s="7"/>
    </row>
    <row r="82" customFormat="false" ht="14.25" hidden="false" customHeight="true" outlineLevel="0" collapsed="false">
      <c r="A82" s="7" t="s">
        <v>1513</v>
      </c>
      <c r="B82" s="7" t="s">
        <v>1514</v>
      </c>
      <c r="C82" s="7" t="s">
        <v>1515</v>
      </c>
      <c r="D82" s="7" t="s">
        <v>1516</v>
      </c>
      <c r="E82" s="7" t="n">
        <v>2024</v>
      </c>
      <c r="F82" s="8" t="s">
        <v>1517</v>
      </c>
      <c r="G82" s="6" t="s">
        <v>713</v>
      </c>
      <c r="H82" s="7"/>
      <c r="I82" s="7"/>
      <c r="J82" s="7"/>
      <c r="K82" s="7"/>
      <c r="L82" s="7"/>
      <c r="M82" s="7"/>
      <c r="N82" s="7"/>
      <c r="O82" s="7"/>
      <c r="P82" s="7" t="s">
        <v>61</v>
      </c>
      <c r="Q82" s="7" t="s">
        <v>62</v>
      </c>
      <c r="R82" s="7" t="s">
        <v>1518</v>
      </c>
      <c r="S82" s="7" t="n">
        <v>35</v>
      </c>
      <c r="T82" s="7" t="s">
        <v>586</v>
      </c>
      <c r="U82" s="7" t="n">
        <v>3</v>
      </c>
      <c r="V82" s="7"/>
      <c r="W82" s="7" t="n">
        <v>446</v>
      </c>
      <c r="X82" s="7" t="n">
        <v>461</v>
      </c>
      <c r="Y82" s="7" t="n">
        <v>15</v>
      </c>
      <c r="Z82" s="7" t="s">
        <v>1519</v>
      </c>
      <c r="AA82" s="9" t="s">
        <v>1520</v>
      </c>
      <c r="AB82" s="7" t="s">
        <v>1521</v>
      </c>
      <c r="AC82" s="7" t="s">
        <v>1522</v>
      </c>
      <c r="AD82" s="7" t="s">
        <v>1523</v>
      </c>
      <c r="AE82" s="7" t="s">
        <v>1524</v>
      </c>
      <c r="AF82" s="7"/>
      <c r="AG82" s="7" t="s">
        <v>1525</v>
      </c>
      <c r="AH82" s="7"/>
      <c r="AI82" s="7"/>
      <c r="AJ82" s="10" t="s">
        <v>1526</v>
      </c>
      <c r="AK82" s="7" t="s">
        <v>1527</v>
      </c>
      <c r="AL82" s="7" t="s">
        <v>1528</v>
      </c>
      <c r="AM82" s="7" t="s">
        <v>1529</v>
      </c>
      <c r="AN82" s="7"/>
      <c r="AO82" s="7"/>
      <c r="AP82" s="7"/>
      <c r="AQ82" s="7"/>
      <c r="AR82" s="7"/>
      <c r="AS82" s="7"/>
      <c r="AT82" s="7" t="n">
        <v>23473584</v>
      </c>
      <c r="AU82" s="7"/>
      <c r="AV82" s="7"/>
      <c r="AW82" s="7"/>
      <c r="AX82" s="7" t="s">
        <v>1518</v>
      </c>
      <c r="AY82" s="7" t="s">
        <v>75</v>
      </c>
      <c r="AZ82" s="7"/>
      <c r="BA82" s="7" t="s">
        <v>76</v>
      </c>
      <c r="BB82" s="7" t="s">
        <v>1530</v>
      </c>
      <c r="BC82" s="7"/>
      <c r="BD82" s="7"/>
      <c r="BE82" s="7"/>
      <c r="BF82" s="7"/>
      <c r="BG82" s="7"/>
      <c r="BH82" s="7"/>
      <c r="BI82" s="7"/>
    </row>
    <row r="83" customFormat="false" ht="14.25" hidden="false" customHeight="true" outlineLevel="0" collapsed="false">
      <c r="A83" s="7" t="s">
        <v>1531</v>
      </c>
      <c r="B83" s="7" t="s">
        <v>1532</v>
      </c>
      <c r="C83" s="7" t="n">
        <v>59146523100</v>
      </c>
      <c r="D83" s="7" t="s">
        <v>1533</v>
      </c>
      <c r="E83" s="7" t="n">
        <v>2024</v>
      </c>
      <c r="F83" s="8" t="s">
        <v>1534</v>
      </c>
      <c r="G83" s="6" t="s">
        <v>1498</v>
      </c>
      <c r="H83" s="7"/>
      <c r="I83" s="7"/>
      <c r="J83" s="7"/>
      <c r="K83" s="7"/>
      <c r="L83" s="7"/>
      <c r="M83" s="7"/>
      <c r="N83" s="7"/>
      <c r="O83" s="7"/>
      <c r="P83" s="7" t="s">
        <v>61</v>
      </c>
      <c r="Q83" s="7" t="s">
        <v>62</v>
      </c>
      <c r="R83" s="7" t="s">
        <v>1535</v>
      </c>
      <c r="S83" s="7" t="n">
        <v>9</v>
      </c>
      <c r="T83" s="7" t="s">
        <v>1536</v>
      </c>
      <c r="U83" s="7" t="n">
        <v>1</v>
      </c>
      <c r="V83" s="7"/>
      <c r="W83" s="7"/>
      <c r="X83" s="7"/>
      <c r="Y83" s="7"/>
      <c r="Z83" s="7" t="s">
        <v>1537</v>
      </c>
      <c r="AA83" s="9" t="s">
        <v>1538</v>
      </c>
      <c r="AB83" s="7" t="s">
        <v>1539</v>
      </c>
      <c r="AC83" s="7" t="s">
        <v>1540</v>
      </c>
      <c r="AD83" s="7" t="s">
        <v>1541</v>
      </c>
      <c r="AE83" s="7" t="s">
        <v>1542</v>
      </c>
      <c r="AF83" s="7"/>
      <c r="AG83" s="7"/>
      <c r="AH83" s="7"/>
      <c r="AI83" s="7"/>
      <c r="AJ83" s="10"/>
      <c r="AK83" s="7"/>
      <c r="AL83" s="7" t="s">
        <v>1543</v>
      </c>
      <c r="AM83" s="7" t="s">
        <v>1544</v>
      </c>
      <c r="AN83" s="7"/>
      <c r="AO83" s="7"/>
      <c r="AP83" s="7"/>
      <c r="AQ83" s="7"/>
      <c r="AR83" s="7"/>
      <c r="AS83" s="7"/>
      <c r="AT83" s="7" t="n">
        <v>24448656</v>
      </c>
      <c r="AU83" s="7"/>
      <c r="AV83" s="7"/>
      <c r="AW83" s="7"/>
      <c r="AX83" s="7" t="s">
        <v>1545</v>
      </c>
      <c r="AY83" s="7" t="s">
        <v>75</v>
      </c>
      <c r="AZ83" s="7" t="s">
        <v>127</v>
      </c>
      <c r="BA83" s="7" t="s">
        <v>76</v>
      </c>
      <c r="BB83" s="7" t="s">
        <v>1546</v>
      </c>
      <c r="BC83" s="7"/>
      <c r="BD83" s="7"/>
      <c r="BE83" s="7"/>
      <c r="BF83" s="7"/>
      <c r="BG83" s="7"/>
      <c r="BH83" s="7"/>
      <c r="BI83" s="7"/>
    </row>
    <row r="84" customFormat="false" ht="14.25" hidden="false" customHeight="true" outlineLevel="0" collapsed="false">
      <c r="A84" s="7" t="s">
        <v>1547</v>
      </c>
      <c r="B84" s="7" t="s">
        <v>1548</v>
      </c>
      <c r="C84" s="7" t="s">
        <v>1549</v>
      </c>
      <c r="D84" s="7" t="s">
        <v>1550</v>
      </c>
      <c r="E84" s="7" t="n">
        <v>2024</v>
      </c>
      <c r="F84" s="8" t="s">
        <v>1551</v>
      </c>
      <c r="G84" s="6" t="s">
        <v>713</v>
      </c>
      <c r="H84" s="7"/>
      <c r="I84" s="7"/>
      <c r="J84" s="7"/>
      <c r="K84" s="7"/>
      <c r="L84" s="7"/>
      <c r="M84" s="7"/>
      <c r="N84" s="7"/>
      <c r="O84" s="7"/>
      <c r="P84" s="7" t="s">
        <v>61</v>
      </c>
      <c r="Q84" s="7" t="s">
        <v>62</v>
      </c>
      <c r="R84" s="7" t="s">
        <v>1247</v>
      </c>
      <c r="S84" s="7" t="n">
        <v>15</v>
      </c>
      <c r="T84" s="7" t="s">
        <v>1248</v>
      </c>
      <c r="U84" s="7"/>
      <c r="V84" s="7"/>
      <c r="W84" s="7" t="n">
        <v>87</v>
      </c>
      <c r="X84" s="7" t="n">
        <v>99</v>
      </c>
      <c r="Y84" s="7" t="n">
        <v>12</v>
      </c>
      <c r="Z84" s="7" t="s">
        <v>1552</v>
      </c>
      <c r="AA84" s="9" t="s">
        <v>1553</v>
      </c>
      <c r="AB84" s="7" t="s">
        <v>1554</v>
      </c>
      <c r="AC84" s="7" t="s">
        <v>1555</v>
      </c>
      <c r="AD84" s="7" t="s">
        <v>1556</v>
      </c>
      <c r="AE84" s="7" t="s">
        <v>1557</v>
      </c>
      <c r="AF84" s="7"/>
      <c r="AG84" s="7" t="s">
        <v>1558</v>
      </c>
      <c r="AH84" s="7" t="s">
        <v>1559</v>
      </c>
      <c r="AI84" s="7"/>
      <c r="AJ84" s="10"/>
      <c r="AK84" s="7"/>
      <c r="AL84" s="7" t="s">
        <v>1560</v>
      </c>
      <c r="AM84" s="7" t="s">
        <v>1561</v>
      </c>
      <c r="AN84" s="7"/>
      <c r="AO84" s="7"/>
      <c r="AP84" s="7"/>
      <c r="AQ84" s="7"/>
      <c r="AR84" s="7"/>
      <c r="AS84" s="7"/>
      <c r="AT84" s="7" t="n">
        <v>11792736</v>
      </c>
      <c r="AU84" s="7"/>
      <c r="AV84" s="7"/>
      <c r="AW84" s="7"/>
      <c r="AX84" s="7" t="s">
        <v>1262</v>
      </c>
      <c r="AY84" s="7" t="s">
        <v>75</v>
      </c>
      <c r="AZ84" s="7" t="s">
        <v>107</v>
      </c>
      <c r="BA84" s="7" t="s">
        <v>76</v>
      </c>
      <c r="BB84" s="7" t="s">
        <v>1562</v>
      </c>
      <c r="BC84" s="7"/>
      <c r="BD84" s="7"/>
      <c r="BE84" s="7"/>
      <c r="BF84" s="7"/>
      <c r="BG84" s="7"/>
      <c r="BH84" s="7"/>
      <c r="BI84" s="7"/>
    </row>
    <row r="85" customFormat="false" ht="14.25" hidden="false" customHeight="true" outlineLevel="0" collapsed="false">
      <c r="A85" s="7" t="s">
        <v>1563</v>
      </c>
      <c r="B85" s="7" t="s">
        <v>1564</v>
      </c>
      <c r="C85" s="7" t="s">
        <v>1565</v>
      </c>
      <c r="D85" s="7" t="s">
        <v>1566</v>
      </c>
      <c r="E85" s="7" t="n">
        <v>2024</v>
      </c>
      <c r="F85" s="8" t="s">
        <v>1567</v>
      </c>
      <c r="G85" s="6" t="s">
        <v>713</v>
      </c>
      <c r="H85" s="7"/>
      <c r="I85" s="7"/>
      <c r="J85" s="7"/>
      <c r="K85" s="7"/>
      <c r="L85" s="7"/>
      <c r="M85" s="7"/>
      <c r="N85" s="7"/>
      <c r="O85" s="7"/>
      <c r="P85" s="7" t="s">
        <v>61</v>
      </c>
      <c r="Q85" s="7" t="s">
        <v>62</v>
      </c>
      <c r="R85" s="7" t="s">
        <v>1568</v>
      </c>
      <c r="S85" s="7" t="n">
        <v>34</v>
      </c>
      <c r="T85" s="7" t="s">
        <v>417</v>
      </c>
      <c r="U85" s="7" t="n">
        <v>3</v>
      </c>
      <c r="V85" s="7"/>
      <c r="W85" s="7" t="n">
        <v>2078</v>
      </c>
      <c r="X85" s="7" t="n">
        <v>2086</v>
      </c>
      <c r="Y85" s="7" t="n">
        <v>8</v>
      </c>
      <c r="Z85" s="7" t="s">
        <v>1569</v>
      </c>
      <c r="AA85" s="9" t="s">
        <v>1570</v>
      </c>
      <c r="AB85" s="7" t="s">
        <v>1571</v>
      </c>
      <c r="AC85" s="7" t="s">
        <v>1572</v>
      </c>
      <c r="AD85" s="7" t="s">
        <v>1573</v>
      </c>
      <c r="AE85" s="7"/>
      <c r="AF85" s="7"/>
      <c r="AG85" s="7"/>
      <c r="AH85" s="7"/>
      <c r="AI85" s="7"/>
      <c r="AJ85" s="10"/>
      <c r="AK85" s="7"/>
      <c r="AL85" s="7" t="s">
        <v>1574</v>
      </c>
      <c r="AM85" s="7" t="s">
        <v>1575</v>
      </c>
      <c r="AN85" s="7"/>
      <c r="AO85" s="7"/>
      <c r="AP85" s="7"/>
      <c r="AQ85" s="7"/>
      <c r="AR85" s="7"/>
      <c r="AS85" s="7"/>
      <c r="AT85" s="7" t="n">
        <v>25024752</v>
      </c>
      <c r="AU85" s="7"/>
      <c r="AV85" s="7"/>
      <c r="AW85" s="7"/>
      <c r="AX85" s="7" t="s">
        <v>1576</v>
      </c>
      <c r="AY85" s="7" t="s">
        <v>75</v>
      </c>
      <c r="AZ85" s="7" t="s">
        <v>127</v>
      </c>
      <c r="BA85" s="7" t="s">
        <v>76</v>
      </c>
      <c r="BB85" s="7" t="s">
        <v>1577</v>
      </c>
      <c r="BC85" s="7"/>
      <c r="BD85" s="7"/>
      <c r="BE85" s="7"/>
      <c r="BF85" s="7"/>
      <c r="BG85" s="7"/>
      <c r="BH85" s="7"/>
      <c r="BI85" s="7"/>
    </row>
    <row r="86" customFormat="false" ht="14.25" hidden="false" customHeight="true" outlineLevel="0" collapsed="false">
      <c r="A86" s="7" t="s">
        <v>1578</v>
      </c>
      <c r="B86" s="7" t="s">
        <v>1579</v>
      </c>
      <c r="C86" s="7" t="s">
        <v>1580</v>
      </c>
      <c r="D86" s="7" t="s">
        <v>1581</v>
      </c>
      <c r="E86" s="7" t="n">
        <v>2024</v>
      </c>
      <c r="F86" s="8" t="s">
        <v>1582</v>
      </c>
      <c r="G86" s="6" t="s">
        <v>1498</v>
      </c>
      <c r="H86" s="7"/>
      <c r="I86" s="7"/>
      <c r="J86" s="7"/>
      <c r="K86" s="7"/>
      <c r="L86" s="7"/>
      <c r="M86" s="7"/>
      <c r="N86" s="7"/>
      <c r="O86" s="7"/>
      <c r="P86" s="7" t="s">
        <v>61</v>
      </c>
      <c r="Q86" s="7" t="s">
        <v>62</v>
      </c>
      <c r="R86" s="7" t="s">
        <v>679</v>
      </c>
      <c r="S86" s="7" t="n">
        <v>18</v>
      </c>
      <c r="T86" s="7" t="s">
        <v>500</v>
      </c>
      <c r="U86" s="7" t="n">
        <v>7</v>
      </c>
      <c r="V86" s="7" t="s">
        <v>1583</v>
      </c>
      <c r="W86" s="7"/>
      <c r="X86" s="7"/>
      <c r="Y86" s="7"/>
      <c r="Z86" s="7" t="s">
        <v>1584</v>
      </c>
      <c r="AA86" s="9" t="s">
        <v>1585</v>
      </c>
      <c r="AB86" s="7" t="s">
        <v>1586</v>
      </c>
      <c r="AC86" s="7" t="s">
        <v>1587</v>
      </c>
      <c r="AD86" s="7"/>
      <c r="AE86" s="7" t="s">
        <v>1588</v>
      </c>
      <c r="AF86" s="7"/>
      <c r="AG86" s="7"/>
      <c r="AH86" s="7"/>
      <c r="AI86" s="7"/>
      <c r="AJ86" s="10" t="s">
        <v>1589</v>
      </c>
      <c r="AK86" s="7" t="s">
        <v>1590</v>
      </c>
      <c r="AL86" s="7" t="s">
        <v>1591</v>
      </c>
      <c r="AM86" s="7"/>
      <c r="AN86" s="7"/>
      <c r="AO86" s="7"/>
      <c r="AP86" s="7"/>
      <c r="AQ86" s="7"/>
      <c r="AR86" s="7"/>
      <c r="AS86" s="7"/>
      <c r="AT86" s="7" t="n">
        <v>19352727</v>
      </c>
      <c r="AU86" s="7"/>
      <c r="AV86" s="7"/>
      <c r="AW86" s="7" t="n">
        <v>39012845</v>
      </c>
      <c r="AX86" s="7" t="s">
        <v>689</v>
      </c>
      <c r="AY86" s="7" t="s">
        <v>75</v>
      </c>
      <c r="AZ86" s="7" t="s">
        <v>107</v>
      </c>
      <c r="BA86" s="7" t="s">
        <v>76</v>
      </c>
      <c r="BB86" s="7" t="s">
        <v>1592</v>
      </c>
      <c r="BC86" s="7"/>
      <c r="BD86" s="7"/>
      <c r="BE86" s="7"/>
      <c r="BF86" s="7"/>
      <c r="BG86" s="7"/>
      <c r="BH86" s="7"/>
      <c r="BI86" s="7"/>
    </row>
    <row r="87" customFormat="false" ht="14.25" hidden="false" customHeight="true" outlineLevel="0" collapsed="false">
      <c r="A87" s="7" t="s">
        <v>1593</v>
      </c>
      <c r="B87" s="7" t="s">
        <v>1594</v>
      </c>
      <c r="C87" s="7" t="s">
        <v>1595</v>
      </c>
      <c r="D87" s="7" t="s">
        <v>1596</v>
      </c>
      <c r="E87" s="7" t="n">
        <v>2024</v>
      </c>
      <c r="F87" s="8" t="s">
        <v>1597</v>
      </c>
      <c r="G87" s="6" t="s">
        <v>1159</v>
      </c>
      <c r="H87" s="7"/>
      <c r="I87" s="7"/>
      <c r="J87" s="7"/>
      <c r="K87" s="7"/>
      <c r="L87" s="7"/>
      <c r="M87" s="7"/>
      <c r="N87" s="7"/>
      <c r="O87" s="7"/>
      <c r="P87" s="7" t="s">
        <v>61</v>
      </c>
      <c r="Q87" s="7" t="s">
        <v>62</v>
      </c>
      <c r="R87" s="7" t="s">
        <v>63</v>
      </c>
      <c r="S87" s="7" t="n">
        <v>178</v>
      </c>
      <c r="T87" s="7" t="s">
        <v>64</v>
      </c>
      <c r="U87" s="7"/>
      <c r="V87" s="7" t="n">
        <v>108707</v>
      </c>
      <c r="W87" s="7"/>
      <c r="X87" s="7"/>
      <c r="Y87" s="7"/>
      <c r="Z87" s="7" t="s">
        <v>1598</v>
      </c>
      <c r="AA87" s="9" t="s">
        <v>1599</v>
      </c>
      <c r="AB87" s="7" t="s">
        <v>1600</v>
      </c>
      <c r="AC87" s="7" t="s">
        <v>1601</v>
      </c>
      <c r="AD87" s="7" t="s">
        <v>1602</v>
      </c>
      <c r="AE87" s="7" t="s">
        <v>1603</v>
      </c>
      <c r="AF87" s="7"/>
      <c r="AG87" s="7"/>
      <c r="AH87" s="7"/>
      <c r="AI87" s="7"/>
      <c r="AJ87" s="10" t="s">
        <v>1604</v>
      </c>
      <c r="AK87" s="7" t="s">
        <v>1605</v>
      </c>
      <c r="AL87" s="7" t="s">
        <v>1606</v>
      </c>
      <c r="AM87" s="7" t="s">
        <v>1607</v>
      </c>
      <c r="AN87" s="7"/>
      <c r="AO87" s="7"/>
      <c r="AP87" s="7"/>
      <c r="AQ87" s="7"/>
      <c r="AR87" s="7"/>
      <c r="AS87" s="7"/>
      <c r="AT87" s="7" t="n">
        <v>104825</v>
      </c>
      <c r="AU87" s="7"/>
      <c r="AV87" s="7" t="s">
        <v>73</v>
      </c>
      <c r="AW87" s="7" t="n">
        <v>38870726</v>
      </c>
      <c r="AX87" s="7" t="s">
        <v>74</v>
      </c>
      <c r="AY87" s="7" t="s">
        <v>75</v>
      </c>
      <c r="AZ87" s="7"/>
      <c r="BA87" s="7" t="s">
        <v>76</v>
      </c>
      <c r="BB87" s="7" t="s">
        <v>1608</v>
      </c>
      <c r="BC87" s="7"/>
      <c r="BD87" s="7"/>
      <c r="BE87" s="7"/>
      <c r="BF87" s="7"/>
      <c r="BG87" s="7"/>
      <c r="BH87" s="7"/>
      <c r="BI87" s="7"/>
    </row>
    <row r="88" customFormat="false" ht="14.25" hidden="false" customHeight="true" outlineLevel="0" collapsed="false">
      <c r="A88" s="7" t="s">
        <v>1609</v>
      </c>
      <c r="B88" s="7" t="s">
        <v>1610</v>
      </c>
      <c r="C88" s="7" t="s">
        <v>1611</v>
      </c>
      <c r="D88" s="7" t="s">
        <v>1612</v>
      </c>
      <c r="E88" s="7" t="n">
        <v>2024</v>
      </c>
      <c r="F88" s="8" t="s">
        <v>1613</v>
      </c>
      <c r="G88" s="6" t="s">
        <v>713</v>
      </c>
      <c r="H88" s="7"/>
      <c r="I88" s="7"/>
      <c r="J88" s="7"/>
      <c r="K88" s="7"/>
      <c r="L88" s="7"/>
      <c r="M88" s="7"/>
      <c r="N88" s="7"/>
      <c r="O88" s="7"/>
      <c r="P88" s="7" t="s">
        <v>61</v>
      </c>
      <c r="Q88" s="7" t="s">
        <v>62</v>
      </c>
      <c r="R88" s="7" t="s">
        <v>1614</v>
      </c>
      <c r="S88" s="7" t="n">
        <v>10</v>
      </c>
      <c r="T88" s="7" t="s">
        <v>1615</v>
      </c>
      <c r="U88" s="7"/>
      <c r="V88" s="7"/>
      <c r="W88" s="7" t="n">
        <v>1</v>
      </c>
      <c r="X88" s="7" t="n">
        <v>23</v>
      </c>
      <c r="Y88" s="7" t="n">
        <v>22</v>
      </c>
      <c r="Z88" s="7" t="s">
        <v>1616</v>
      </c>
      <c r="AA88" s="9" t="s">
        <v>1617</v>
      </c>
      <c r="AB88" s="7" t="s">
        <v>1618</v>
      </c>
      <c r="AC88" s="7" t="s">
        <v>1619</v>
      </c>
      <c r="AD88" s="7" t="s">
        <v>1620</v>
      </c>
      <c r="AE88" s="7" t="s">
        <v>1621</v>
      </c>
      <c r="AF88" s="7"/>
      <c r="AG88" s="7"/>
      <c r="AH88" s="7"/>
      <c r="AI88" s="7"/>
      <c r="AJ88" s="10"/>
      <c r="AK88" s="7"/>
      <c r="AL88" s="7" t="s">
        <v>1622</v>
      </c>
      <c r="AM88" s="7" t="s">
        <v>1623</v>
      </c>
      <c r="AN88" s="7"/>
      <c r="AO88" s="7"/>
      <c r="AP88" s="7"/>
      <c r="AQ88" s="7"/>
      <c r="AR88" s="7"/>
      <c r="AS88" s="7"/>
      <c r="AT88" s="7" t="n">
        <v>23765992</v>
      </c>
      <c r="AU88" s="7"/>
      <c r="AV88" s="7"/>
      <c r="AW88" s="7"/>
      <c r="AX88" s="7" t="s">
        <v>1624</v>
      </c>
      <c r="AY88" s="7" t="s">
        <v>75</v>
      </c>
      <c r="AZ88" s="7" t="s">
        <v>107</v>
      </c>
      <c r="BA88" s="7" t="s">
        <v>76</v>
      </c>
      <c r="BB88" s="7" t="s">
        <v>1625</v>
      </c>
      <c r="BC88" s="7"/>
      <c r="BD88" s="7"/>
      <c r="BE88" s="7"/>
      <c r="BF88" s="7"/>
      <c r="BG88" s="7"/>
      <c r="BH88" s="7"/>
      <c r="BI88" s="7"/>
    </row>
    <row r="89" customFormat="false" ht="14.25" hidden="false" customHeight="true" outlineLevel="0" collapsed="false">
      <c r="A89" s="7" t="s">
        <v>1626</v>
      </c>
      <c r="B89" s="7" t="s">
        <v>1627</v>
      </c>
      <c r="C89" s="7" t="s">
        <v>1628</v>
      </c>
      <c r="D89" s="7" t="s">
        <v>1629</v>
      </c>
      <c r="E89" s="7" t="n">
        <v>2024</v>
      </c>
      <c r="F89" s="8" t="s">
        <v>1630</v>
      </c>
      <c r="G89" s="6" t="s">
        <v>1631</v>
      </c>
      <c r="H89" s="7"/>
      <c r="I89" s="7"/>
      <c r="J89" s="7"/>
      <c r="K89" s="7"/>
      <c r="L89" s="7"/>
      <c r="M89" s="7"/>
      <c r="N89" s="7"/>
      <c r="O89" s="7"/>
      <c r="P89" s="7" t="s">
        <v>61</v>
      </c>
      <c r="Q89" s="7" t="s">
        <v>62</v>
      </c>
      <c r="R89" s="7" t="s">
        <v>1632</v>
      </c>
      <c r="S89" s="7" t="n">
        <v>5</v>
      </c>
      <c r="T89" s="7" t="s">
        <v>1633</v>
      </c>
      <c r="U89" s="7" t="n">
        <v>5</v>
      </c>
      <c r="V89" s="7" t="n">
        <v>101535</v>
      </c>
      <c r="W89" s="7"/>
      <c r="X89" s="7"/>
      <c r="Y89" s="7"/>
      <c r="Z89" s="7" t="s">
        <v>1634</v>
      </c>
      <c r="AA89" s="9" t="s">
        <v>1635</v>
      </c>
      <c r="AB89" s="7" t="s">
        <v>1636</v>
      </c>
      <c r="AC89" s="7" t="s">
        <v>1637</v>
      </c>
      <c r="AD89" s="7" t="s">
        <v>1638</v>
      </c>
      <c r="AE89" s="7" t="s">
        <v>1639</v>
      </c>
      <c r="AF89" s="7"/>
      <c r="AG89" s="7"/>
      <c r="AH89" s="7"/>
      <c r="AI89" s="7"/>
      <c r="AJ89" s="10" t="s">
        <v>1640</v>
      </c>
      <c r="AK89" s="7" t="s">
        <v>1641</v>
      </c>
      <c r="AL89" s="7" t="s">
        <v>1642</v>
      </c>
      <c r="AM89" s="7" t="s">
        <v>1643</v>
      </c>
      <c r="AN89" s="7"/>
      <c r="AO89" s="7"/>
      <c r="AP89" s="7"/>
      <c r="AQ89" s="7"/>
      <c r="AR89" s="7"/>
      <c r="AS89" s="7"/>
      <c r="AT89" s="7" t="n">
        <v>26663791</v>
      </c>
      <c r="AU89" s="7"/>
      <c r="AV89" s="7"/>
      <c r="AW89" s="7"/>
      <c r="AX89" s="7" t="s">
        <v>1644</v>
      </c>
      <c r="AY89" s="7" t="s">
        <v>75</v>
      </c>
      <c r="AZ89" s="7" t="s">
        <v>107</v>
      </c>
      <c r="BA89" s="7" t="s">
        <v>76</v>
      </c>
      <c r="BB89" s="7" t="s">
        <v>1645</v>
      </c>
      <c r="BC89" s="7"/>
      <c r="BD89" s="7"/>
      <c r="BE89" s="7"/>
      <c r="BF89" s="7"/>
      <c r="BG89" s="7"/>
      <c r="BH89" s="7"/>
      <c r="BI89" s="7"/>
    </row>
    <row r="90" customFormat="false" ht="14.25" hidden="false" customHeight="true" outlineLevel="0" collapsed="false">
      <c r="A90" s="7" t="s">
        <v>1646</v>
      </c>
      <c r="B90" s="7" t="s">
        <v>1647</v>
      </c>
      <c r="C90" s="7" t="s">
        <v>1648</v>
      </c>
      <c r="D90" s="7" t="s">
        <v>1649</v>
      </c>
      <c r="E90" s="7" t="n">
        <v>2024</v>
      </c>
      <c r="F90" s="8" t="s">
        <v>1650</v>
      </c>
      <c r="G90" s="6" t="s">
        <v>1651</v>
      </c>
      <c r="H90" s="7"/>
      <c r="I90" s="7"/>
      <c r="J90" s="7"/>
      <c r="K90" s="7"/>
      <c r="L90" s="7"/>
      <c r="M90" s="7"/>
      <c r="N90" s="7"/>
      <c r="O90" s="7"/>
      <c r="P90" s="7" t="s">
        <v>61</v>
      </c>
      <c r="Q90" s="7" t="s">
        <v>62</v>
      </c>
      <c r="R90" s="7" t="s">
        <v>1652</v>
      </c>
      <c r="S90" s="7" t="n">
        <v>23</v>
      </c>
      <c r="T90" s="7" t="s">
        <v>1653</v>
      </c>
      <c r="U90" s="7" t="n">
        <v>3</v>
      </c>
      <c r="V90" s="7"/>
      <c r="W90" s="7" t="n">
        <v>413</v>
      </c>
      <c r="X90" s="7" t="n">
        <v>418</v>
      </c>
      <c r="Y90" s="7" t="n">
        <v>5</v>
      </c>
      <c r="Z90" s="7" t="s">
        <v>1654</v>
      </c>
      <c r="AA90" s="9" t="s">
        <v>1655</v>
      </c>
      <c r="AB90" s="7" t="s">
        <v>1656</v>
      </c>
      <c r="AC90" s="7" t="s">
        <v>1657</v>
      </c>
      <c r="AD90" s="7" t="s">
        <v>1658</v>
      </c>
      <c r="AE90" s="7"/>
      <c r="AF90" s="7"/>
      <c r="AG90" s="7"/>
      <c r="AH90" s="7"/>
      <c r="AI90" s="7"/>
      <c r="AJ90" s="10"/>
      <c r="AK90" s="7"/>
      <c r="AL90" s="7" t="s">
        <v>1659</v>
      </c>
      <c r="AM90" s="7"/>
      <c r="AN90" s="7"/>
      <c r="AO90" s="7"/>
      <c r="AP90" s="7"/>
      <c r="AQ90" s="7"/>
      <c r="AR90" s="7"/>
      <c r="AS90" s="7"/>
      <c r="AT90" s="7" t="n">
        <v>21975248</v>
      </c>
      <c r="AU90" s="7"/>
      <c r="AV90" s="7"/>
      <c r="AW90" s="7"/>
      <c r="AX90" s="7" t="s">
        <v>1660</v>
      </c>
      <c r="AY90" s="7" t="s">
        <v>75</v>
      </c>
      <c r="AZ90" s="7"/>
      <c r="BA90" s="7" t="s">
        <v>76</v>
      </c>
      <c r="BB90" s="7" t="s">
        <v>1661</v>
      </c>
      <c r="BC90" s="7"/>
      <c r="BD90" s="7"/>
      <c r="BE90" s="7"/>
      <c r="BF90" s="7"/>
      <c r="BG90" s="7"/>
      <c r="BH90" s="7"/>
      <c r="BI90" s="7"/>
    </row>
    <row r="91" customFormat="false" ht="14.25" hidden="false" customHeight="true" outlineLevel="0" collapsed="false">
      <c r="A91" s="7" t="s">
        <v>1662</v>
      </c>
      <c r="B91" s="7" t="s">
        <v>1663</v>
      </c>
      <c r="C91" s="7" t="s">
        <v>1664</v>
      </c>
      <c r="D91" s="7" t="s">
        <v>1665</v>
      </c>
      <c r="E91" s="7" t="n">
        <v>2024</v>
      </c>
      <c r="F91" s="8" t="s">
        <v>1666</v>
      </c>
      <c r="G91" s="6" t="s">
        <v>1159</v>
      </c>
      <c r="H91" s="7"/>
      <c r="I91" s="7"/>
      <c r="J91" s="7"/>
      <c r="K91" s="7"/>
      <c r="L91" s="7"/>
      <c r="M91" s="7"/>
      <c r="N91" s="7"/>
      <c r="O91" s="7"/>
      <c r="P91" s="7" t="s">
        <v>61</v>
      </c>
      <c r="Q91" s="7" t="s">
        <v>62</v>
      </c>
      <c r="R91" s="7" t="s">
        <v>1667</v>
      </c>
      <c r="S91" s="7" t="n">
        <v>36</v>
      </c>
      <c r="T91" s="7" t="s">
        <v>1668</v>
      </c>
      <c r="U91" s="7" t="n">
        <v>9</v>
      </c>
      <c r="V91" s="7" t="n">
        <v>93317</v>
      </c>
      <c r="W91" s="7"/>
      <c r="X91" s="7"/>
      <c r="Y91" s="7"/>
      <c r="Z91" s="7" t="s">
        <v>1669</v>
      </c>
      <c r="AA91" s="9" t="s">
        <v>1670</v>
      </c>
      <c r="AB91" s="7" t="s">
        <v>1671</v>
      </c>
      <c r="AC91" s="7" t="s">
        <v>1672</v>
      </c>
      <c r="AD91" s="7"/>
      <c r="AE91" s="7" t="s">
        <v>1673</v>
      </c>
      <c r="AF91" s="7"/>
      <c r="AG91" s="7"/>
      <c r="AH91" s="7"/>
      <c r="AI91" s="7"/>
      <c r="AJ91" s="10" t="s">
        <v>1674</v>
      </c>
      <c r="AK91" s="7" t="s">
        <v>1675</v>
      </c>
      <c r="AL91" s="7" t="s">
        <v>1676</v>
      </c>
      <c r="AM91" s="7" t="s">
        <v>1677</v>
      </c>
      <c r="AN91" s="7"/>
      <c r="AO91" s="7"/>
      <c r="AP91" s="7"/>
      <c r="AQ91" s="7"/>
      <c r="AR91" s="7"/>
      <c r="AS91" s="7"/>
      <c r="AT91" s="7" t="n">
        <v>10706631</v>
      </c>
      <c r="AU91" s="7"/>
      <c r="AV91" s="7" t="s">
        <v>1678</v>
      </c>
      <c r="AW91" s="7"/>
      <c r="AX91" s="7" t="s">
        <v>1679</v>
      </c>
      <c r="AY91" s="7" t="s">
        <v>75</v>
      </c>
      <c r="AZ91" s="7"/>
      <c r="BA91" s="7" t="s">
        <v>76</v>
      </c>
      <c r="BB91" s="7" t="s">
        <v>1680</v>
      </c>
      <c r="BC91" s="7"/>
      <c r="BD91" s="7"/>
      <c r="BE91" s="7"/>
      <c r="BF91" s="7"/>
      <c r="BG91" s="7"/>
      <c r="BH91" s="7"/>
      <c r="BI91" s="7"/>
    </row>
    <row r="92" customFormat="false" ht="14.25" hidden="false" customHeight="true" outlineLevel="0" collapsed="false">
      <c r="A92" s="7" t="s">
        <v>1681</v>
      </c>
      <c r="B92" s="7" t="s">
        <v>1682</v>
      </c>
      <c r="C92" s="7" t="s">
        <v>1683</v>
      </c>
      <c r="D92" s="7" t="s">
        <v>1684</v>
      </c>
      <c r="E92" s="7" t="n">
        <v>2024</v>
      </c>
      <c r="F92" s="8" t="s">
        <v>1685</v>
      </c>
      <c r="G92" s="6" t="s">
        <v>1686</v>
      </c>
      <c r="H92" s="7"/>
      <c r="I92" s="7"/>
      <c r="J92" s="7"/>
      <c r="K92" s="7"/>
      <c r="L92" s="7"/>
      <c r="M92" s="7"/>
      <c r="N92" s="7"/>
      <c r="O92" s="7"/>
      <c r="P92" s="7" t="s">
        <v>61</v>
      </c>
      <c r="Q92" s="7" t="s">
        <v>62</v>
      </c>
      <c r="R92" s="7" t="s">
        <v>1687</v>
      </c>
      <c r="S92" s="7"/>
      <c r="T92" s="7" t="s">
        <v>1688</v>
      </c>
      <c r="U92" s="7"/>
      <c r="V92" s="7" t="n">
        <v>2450002</v>
      </c>
      <c r="W92" s="7"/>
      <c r="X92" s="7"/>
      <c r="Y92" s="7"/>
      <c r="Z92" s="7" t="s">
        <v>1689</v>
      </c>
      <c r="AA92" s="9" t="s">
        <v>1690</v>
      </c>
      <c r="AB92" s="7" t="s">
        <v>1691</v>
      </c>
      <c r="AC92" s="7" t="s">
        <v>1692</v>
      </c>
      <c r="AD92" s="7" t="s">
        <v>1693</v>
      </c>
      <c r="AE92" s="7"/>
      <c r="AF92" s="7"/>
      <c r="AG92" s="7"/>
      <c r="AH92" s="7"/>
      <c r="AI92" s="7"/>
      <c r="AJ92" s="10"/>
      <c r="AK92" s="7"/>
      <c r="AL92" s="7" t="s">
        <v>1694</v>
      </c>
      <c r="AM92" s="7" t="s">
        <v>1695</v>
      </c>
      <c r="AN92" s="7"/>
      <c r="AO92" s="7"/>
      <c r="AP92" s="7"/>
      <c r="AQ92" s="7"/>
      <c r="AR92" s="7"/>
      <c r="AS92" s="7"/>
      <c r="AT92" s="7" t="n">
        <v>20476841</v>
      </c>
      <c r="AU92" s="7"/>
      <c r="AV92" s="7"/>
      <c r="AW92" s="7"/>
      <c r="AX92" s="7" t="s">
        <v>1696</v>
      </c>
      <c r="AY92" s="7" t="s">
        <v>194</v>
      </c>
      <c r="AZ92" s="7"/>
      <c r="BA92" s="7" t="s">
        <v>76</v>
      </c>
      <c r="BB92" s="7" t="s">
        <v>1697</v>
      </c>
      <c r="BC92" s="7"/>
      <c r="BD92" s="7"/>
      <c r="BE92" s="7"/>
      <c r="BF92" s="7"/>
      <c r="BG92" s="7"/>
      <c r="BH92" s="7"/>
      <c r="BI92" s="7"/>
    </row>
    <row r="93" customFormat="false" ht="14.25" hidden="false" customHeight="true" outlineLevel="0" collapsed="false">
      <c r="A93" s="7" t="s">
        <v>1698</v>
      </c>
      <c r="B93" s="7" t="s">
        <v>1699</v>
      </c>
      <c r="C93" s="7" t="s">
        <v>1700</v>
      </c>
      <c r="D93" s="7" t="s">
        <v>1701</v>
      </c>
      <c r="E93" s="7" t="n">
        <v>2024</v>
      </c>
      <c r="F93" s="8" t="s">
        <v>1702</v>
      </c>
      <c r="G93" s="6" t="s">
        <v>393</v>
      </c>
      <c r="H93" s="7"/>
      <c r="I93" s="7"/>
      <c r="J93" s="7"/>
      <c r="K93" s="7"/>
      <c r="L93" s="7"/>
      <c r="M93" s="7"/>
      <c r="N93" s="7"/>
      <c r="O93" s="7"/>
      <c r="P93" s="7" t="s">
        <v>61</v>
      </c>
      <c r="Q93" s="7" t="s">
        <v>62</v>
      </c>
      <c r="R93" s="7" t="s">
        <v>1703</v>
      </c>
      <c r="S93" s="7" t="n">
        <v>18</v>
      </c>
      <c r="T93" s="7" t="s">
        <v>1328</v>
      </c>
      <c r="U93" s="7"/>
      <c r="V93" s="7" t="n">
        <v>1456771</v>
      </c>
      <c r="W93" s="7"/>
      <c r="X93" s="7"/>
      <c r="Y93" s="7"/>
      <c r="Z93" s="7" t="s">
        <v>1704</v>
      </c>
      <c r="AA93" s="9" t="s">
        <v>1705</v>
      </c>
      <c r="AB93" s="7" t="s">
        <v>1706</v>
      </c>
      <c r="AC93" s="7" t="s">
        <v>1707</v>
      </c>
      <c r="AD93" s="7" t="s">
        <v>1708</v>
      </c>
      <c r="AE93" s="7" t="s">
        <v>1709</v>
      </c>
      <c r="AF93" s="7"/>
      <c r="AG93" s="7"/>
      <c r="AH93" s="7"/>
      <c r="AI93" s="7"/>
      <c r="AJ93" s="10" t="s">
        <v>1710</v>
      </c>
      <c r="AK93" s="7" t="s">
        <v>1711</v>
      </c>
      <c r="AL93" s="7" t="s">
        <v>1712</v>
      </c>
      <c r="AM93" s="7" t="s">
        <v>1713</v>
      </c>
      <c r="AN93" s="7"/>
      <c r="AO93" s="7"/>
      <c r="AP93" s="7"/>
      <c r="AQ93" s="7"/>
      <c r="AR93" s="7"/>
      <c r="AS93" s="7"/>
      <c r="AT93" s="7" t="n">
        <v>16625188</v>
      </c>
      <c r="AU93" s="7"/>
      <c r="AV93" s="7"/>
      <c r="AW93" s="7"/>
      <c r="AX93" s="7" t="s">
        <v>1714</v>
      </c>
      <c r="AY93" s="7" t="s">
        <v>75</v>
      </c>
      <c r="AZ93" s="7" t="s">
        <v>127</v>
      </c>
      <c r="BA93" s="7" t="s">
        <v>76</v>
      </c>
      <c r="BB93" s="7" t="s">
        <v>1715</v>
      </c>
      <c r="BC93" s="7"/>
      <c r="BD93" s="7"/>
      <c r="BE93" s="7"/>
      <c r="BF93" s="7"/>
      <c r="BG93" s="7"/>
      <c r="BH93" s="7"/>
      <c r="BI93" s="7"/>
    </row>
    <row r="94" customFormat="false" ht="14.25" hidden="false" customHeight="true" outlineLevel="0" collapsed="false">
      <c r="A94" s="7" t="s">
        <v>1716</v>
      </c>
      <c r="B94" s="7" t="s">
        <v>1717</v>
      </c>
      <c r="C94" s="7" t="n">
        <v>57216856749</v>
      </c>
      <c r="D94" s="7" t="s">
        <v>1718</v>
      </c>
      <c r="E94" s="7" t="n">
        <v>2024</v>
      </c>
      <c r="F94" s="8" t="s">
        <v>1719</v>
      </c>
      <c r="G94" s="6" t="s">
        <v>1686</v>
      </c>
      <c r="H94" s="7"/>
      <c r="I94" s="7"/>
      <c r="J94" s="7"/>
      <c r="K94" s="7"/>
      <c r="L94" s="7"/>
      <c r="M94" s="7"/>
      <c r="N94" s="7"/>
      <c r="O94" s="7"/>
      <c r="P94" s="7" t="s">
        <v>61</v>
      </c>
      <c r="Q94" s="7" t="s">
        <v>62</v>
      </c>
      <c r="R94" s="7" t="s">
        <v>1720</v>
      </c>
      <c r="S94" s="7" t="n">
        <v>14</v>
      </c>
      <c r="T94" s="7" t="s">
        <v>749</v>
      </c>
      <c r="U94" s="7" t="n">
        <v>1</v>
      </c>
      <c r="V94" s="7" t="n">
        <v>18725</v>
      </c>
      <c r="W94" s="7"/>
      <c r="X94" s="7"/>
      <c r="Y94" s="7"/>
      <c r="Z94" s="7" t="s">
        <v>1721</v>
      </c>
      <c r="AA94" s="9" t="s">
        <v>1722</v>
      </c>
      <c r="AB94" s="7" t="s">
        <v>1723</v>
      </c>
      <c r="AC94" s="7" t="s">
        <v>1724</v>
      </c>
      <c r="AD94" s="7" t="s">
        <v>1725</v>
      </c>
      <c r="AE94" s="7" t="s">
        <v>1726</v>
      </c>
      <c r="AF94" s="7"/>
      <c r="AG94" s="7"/>
      <c r="AH94" s="7"/>
      <c r="AI94" s="7"/>
      <c r="AJ94" s="10"/>
      <c r="AK94" s="7"/>
      <c r="AL94" s="7" t="s">
        <v>1727</v>
      </c>
      <c r="AM94" s="7" t="s">
        <v>1728</v>
      </c>
      <c r="AN94" s="7"/>
      <c r="AO94" s="7"/>
      <c r="AP94" s="7"/>
      <c r="AQ94" s="7"/>
      <c r="AR94" s="7"/>
      <c r="AS94" s="7"/>
      <c r="AT94" s="7" t="n">
        <v>20452322</v>
      </c>
      <c r="AU94" s="7"/>
      <c r="AV94" s="7"/>
      <c r="AW94" s="7" t="n">
        <v>39134581</v>
      </c>
      <c r="AX94" s="7" t="s">
        <v>1729</v>
      </c>
      <c r="AY94" s="7" t="s">
        <v>75</v>
      </c>
      <c r="AZ94" s="7" t="s">
        <v>107</v>
      </c>
      <c r="BA94" s="7" t="s">
        <v>76</v>
      </c>
      <c r="BB94" s="7" t="s">
        <v>1730</v>
      </c>
      <c r="BC94" s="7"/>
      <c r="BD94" s="7"/>
      <c r="BE94" s="7"/>
      <c r="BF94" s="7"/>
      <c r="BG94" s="7"/>
      <c r="BH94" s="7"/>
      <c r="BI94" s="7"/>
    </row>
    <row r="95" customFormat="false" ht="14.25" hidden="false" customHeight="true" outlineLevel="0" collapsed="false">
      <c r="A95" s="7" t="s">
        <v>1731</v>
      </c>
      <c r="B95" s="7" t="s">
        <v>1732</v>
      </c>
      <c r="C95" s="7" t="s">
        <v>1733</v>
      </c>
      <c r="D95" s="7" t="s">
        <v>1734</v>
      </c>
      <c r="E95" s="7" t="n">
        <v>2024</v>
      </c>
      <c r="F95" s="8" t="s">
        <v>1735</v>
      </c>
      <c r="G95" s="6" t="s">
        <v>1686</v>
      </c>
      <c r="H95" s="7"/>
      <c r="I95" s="7"/>
      <c r="J95" s="7"/>
      <c r="K95" s="7"/>
      <c r="L95" s="7"/>
      <c r="M95" s="7"/>
      <c r="N95" s="7"/>
      <c r="O95" s="7"/>
      <c r="P95" s="7" t="s">
        <v>61</v>
      </c>
      <c r="Q95" s="7" t="s">
        <v>62</v>
      </c>
      <c r="R95" s="7" t="s">
        <v>1736</v>
      </c>
      <c r="S95" s="7" t="n">
        <v>17</v>
      </c>
      <c r="T95" s="7" t="s">
        <v>466</v>
      </c>
      <c r="U95" s="7" t="n">
        <v>11</v>
      </c>
      <c r="V95" s="7" t="s">
        <v>1737</v>
      </c>
      <c r="W95" s="7"/>
      <c r="X95" s="7"/>
      <c r="Y95" s="7"/>
      <c r="Z95" s="7" t="s">
        <v>1738</v>
      </c>
      <c r="AA95" s="9" t="s">
        <v>1739</v>
      </c>
      <c r="AB95" s="7" t="s">
        <v>1740</v>
      </c>
      <c r="AC95" s="7" t="s">
        <v>1741</v>
      </c>
      <c r="AD95" s="7" t="s">
        <v>1742</v>
      </c>
      <c r="AE95" s="7"/>
      <c r="AF95" s="7"/>
      <c r="AG95" s="7"/>
      <c r="AH95" s="7"/>
      <c r="AI95" s="7"/>
      <c r="AJ95" s="10" t="s">
        <v>1743</v>
      </c>
      <c r="AK95" s="7" t="s">
        <v>1744</v>
      </c>
      <c r="AL95" s="7" t="s">
        <v>1745</v>
      </c>
      <c r="AM95" s="7" t="s">
        <v>1746</v>
      </c>
      <c r="AN95" s="7"/>
      <c r="AO95" s="7"/>
      <c r="AP95" s="7"/>
      <c r="AQ95" s="7"/>
      <c r="AR95" s="7"/>
      <c r="AS95" s="7"/>
      <c r="AT95" s="7" t="n">
        <v>17524571</v>
      </c>
      <c r="AU95" s="7"/>
      <c r="AV95" s="7"/>
      <c r="AW95" s="7"/>
      <c r="AX95" s="7" t="s">
        <v>1747</v>
      </c>
      <c r="AY95" s="7" t="s">
        <v>75</v>
      </c>
      <c r="AZ95" s="7"/>
      <c r="BA95" s="7" t="s">
        <v>76</v>
      </c>
      <c r="BB95" s="7" t="s">
        <v>1748</v>
      </c>
      <c r="BC95" s="7"/>
      <c r="BD95" s="7"/>
      <c r="BE95" s="7"/>
      <c r="BF95" s="7"/>
      <c r="BG95" s="7"/>
      <c r="BH95" s="7"/>
      <c r="BI95" s="7"/>
    </row>
    <row r="96" customFormat="false" ht="14.25" hidden="false" customHeight="true" outlineLevel="0" collapsed="false">
      <c r="A96" s="7" t="s">
        <v>1749</v>
      </c>
      <c r="B96" s="7" t="s">
        <v>1750</v>
      </c>
      <c r="C96" s="7" t="s">
        <v>1751</v>
      </c>
      <c r="D96" s="7" t="s">
        <v>1752</v>
      </c>
      <c r="E96" s="7" t="n">
        <v>2024</v>
      </c>
      <c r="F96" s="8" t="s">
        <v>1753</v>
      </c>
      <c r="G96" s="6" t="s">
        <v>290</v>
      </c>
      <c r="H96" s="7"/>
      <c r="I96" s="7"/>
      <c r="J96" s="7"/>
      <c r="K96" s="7"/>
      <c r="L96" s="7"/>
      <c r="M96" s="7"/>
      <c r="N96" s="7"/>
      <c r="O96" s="7"/>
      <c r="P96" s="7" t="s">
        <v>61</v>
      </c>
      <c r="Q96" s="7" t="s">
        <v>62</v>
      </c>
      <c r="R96" s="7" t="s">
        <v>1754</v>
      </c>
      <c r="S96" s="7" t="n">
        <v>6</v>
      </c>
      <c r="T96" s="7" t="s">
        <v>202</v>
      </c>
      <c r="U96" s="7"/>
      <c r="V96" s="7" t="n">
        <v>100116</v>
      </c>
      <c r="W96" s="7"/>
      <c r="X96" s="7"/>
      <c r="Y96" s="7"/>
      <c r="Z96" s="7" t="s">
        <v>1755</v>
      </c>
      <c r="AA96" s="9" t="s">
        <v>1756</v>
      </c>
      <c r="AB96" s="7" t="s">
        <v>1757</v>
      </c>
      <c r="AC96" s="7" t="s">
        <v>1758</v>
      </c>
      <c r="AD96" s="7" t="s">
        <v>1759</v>
      </c>
      <c r="AE96" s="7" t="s">
        <v>1760</v>
      </c>
      <c r="AF96" s="7"/>
      <c r="AG96" s="7" t="s">
        <v>1761</v>
      </c>
      <c r="AH96" s="7"/>
      <c r="AI96" s="7"/>
      <c r="AJ96" s="10" t="s">
        <v>1762</v>
      </c>
      <c r="AK96" s="7" t="s">
        <v>1763</v>
      </c>
      <c r="AL96" s="7" t="s">
        <v>1764</v>
      </c>
      <c r="AM96" s="7" t="s">
        <v>1765</v>
      </c>
      <c r="AN96" s="7"/>
      <c r="AO96" s="7"/>
      <c r="AP96" s="7"/>
      <c r="AQ96" s="7"/>
      <c r="AR96" s="7"/>
      <c r="AS96" s="7"/>
      <c r="AT96" s="7" t="n">
        <v>26673185</v>
      </c>
      <c r="AU96" s="7"/>
      <c r="AV96" s="7"/>
      <c r="AW96" s="7"/>
      <c r="AX96" s="7" t="s">
        <v>1766</v>
      </c>
      <c r="AY96" s="7" t="s">
        <v>75</v>
      </c>
      <c r="AZ96" s="7" t="s">
        <v>127</v>
      </c>
      <c r="BA96" s="7" t="s">
        <v>76</v>
      </c>
      <c r="BB96" s="7" t="s">
        <v>1767</v>
      </c>
      <c r="BC96" s="7"/>
      <c r="BD96" s="7"/>
      <c r="BE96" s="7"/>
      <c r="BF96" s="7"/>
      <c r="BG96" s="7"/>
      <c r="BH96" s="7"/>
      <c r="BI96" s="7"/>
    </row>
    <row r="97" customFormat="false" ht="14.25" hidden="false" customHeight="true" outlineLevel="0" collapsed="false">
      <c r="A97" s="7" t="s">
        <v>1768</v>
      </c>
      <c r="B97" s="7" t="s">
        <v>1769</v>
      </c>
      <c r="C97" s="7" t="s">
        <v>1770</v>
      </c>
      <c r="D97" s="7" t="s">
        <v>1771</v>
      </c>
      <c r="E97" s="7" t="n">
        <v>2024</v>
      </c>
      <c r="F97" s="8" t="s">
        <v>1772</v>
      </c>
      <c r="G97" s="6" t="s">
        <v>1159</v>
      </c>
      <c r="H97" s="7"/>
      <c r="I97" s="7"/>
      <c r="J97" s="7"/>
      <c r="K97" s="7"/>
      <c r="L97" s="7"/>
      <c r="M97" s="7"/>
      <c r="N97" s="7"/>
      <c r="O97" s="7"/>
      <c r="P97" s="7" t="s">
        <v>61</v>
      </c>
      <c r="Q97" s="7" t="s">
        <v>62</v>
      </c>
      <c r="R97" s="7" t="s">
        <v>1773</v>
      </c>
      <c r="S97" s="7" t="n">
        <v>8</v>
      </c>
      <c r="T97" s="7"/>
      <c r="U97" s="7"/>
      <c r="V97" s="7"/>
      <c r="W97" s="7" t="s">
        <v>1774</v>
      </c>
      <c r="X97" s="7"/>
      <c r="Y97" s="7"/>
      <c r="Z97" s="7" t="s">
        <v>1775</v>
      </c>
      <c r="AA97" s="9" t="s">
        <v>1776</v>
      </c>
      <c r="AB97" s="7" t="s">
        <v>1777</v>
      </c>
      <c r="AC97" s="7" t="s">
        <v>1778</v>
      </c>
      <c r="AD97" s="7"/>
      <c r="AE97" s="7" t="s">
        <v>1779</v>
      </c>
      <c r="AF97" s="7"/>
      <c r="AG97" s="7"/>
      <c r="AH97" s="7"/>
      <c r="AI97" s="7"/>
      <c r="AJ97" s="10"/>
      <c r="AK97" s="7"/>
      <c r="AL97" s="7"/>
      <c r="AM97" s="7"/>
      <c r="AN97" s="7"/>
      <c r="AO97" s="7"/>
      <c r="AP97" s="7"/>
      <c r="AQ97" s="7"/>
      <c r="AR97" s="7"/>
      <c r="AS97" s="7"/>
      <c r="AT97" s="7" t="n">
        <v>25425196</v>
      </c>
      <c r="AU97" s="7"/>
      <c r="AV97" s="7"/>
      <c r="AW97" s="7" t="n">
        <v>38632912</v>
      </c>
      <c r="AX97" s="7" t="s">
        <v>1780</v>
      </c>
      <c r="AY97" s="7" t="s">
        <v>75</v>
      </c>
      <c r="AZ97" s="7" t="s">
        <v>107</v>
      </c>
      <c r="BA97" s="7" t="s">
        <v>76</v>
      </c>
      <c r="BB97" s="7" t="s">
        <v>1781</v>
      </c>
      <c r="BC97" s="7"/>
      <c r="BD97" s="7"/>
      <c r="BE97" s="7"/>
      <c r="BF97" s="7"/>
      <c r="BG97" s="7"/>
      <c r="BH97" s="7"/>
      <c r="BI97" s="7"/>
    </row>
    <row r="98" customFormat="false" ht="14.25" hidden="false" customHeight="true" outlineLevel="0" collapsed="false">
      <c r="A98" s="7" t="s">
        <v>1782</v>
      </c>
      <c r="B98" s="7" t="s">
        <v>1783</v>
      </c>
      <c r="C98" s="7" t="s">
        <v>1784</v>
      </c>
      <c r="D98" s="7" t="s">
        <v>1785</v>
      </c>
      <c r="E98" s="7" t="n">
        <v>2024</v>
      </c>
      <c r="F98" s="8" t="s">
        <v>1786</v>
      </c>
      <c r="G98" s="6" t="s">
        <v>1631</v>
      </c>
      <c r="H98" s="7"/>
      <c r="I98" s="7"/>
      <c r="J98" s="7"/>
      <c r="K98" s="7"/>
      <c r="L98" s="7"/>
      <c r="M98" s="7"/>
      <c r="N98" s="7"/>
      <c r="O98" s="7"/>
      <c r="P98" s="7" t="s">
        <v>61</v>
      </c>
      <c r="Q98" s="7" t="s">
        <v>62</v>
      </c>
      <c r="R98" s="7" t="s">
        <v>993</v>
      </c>
      <c r="S98" s="7" t="n">
        <v>19</v>
      </c>
      <c r="T98" s="7" t="s">
        <v>500</v>
      </c>
      <c r="U98" s="7" t="n">
        <v>12</v>
      </c>
      <c r="V98" s="7" t="s">
        <v>1787</v>
      </c>
      <c r="W98" s="7"/>
      <c r="X98" s="7"/>
      <c r="Y98" s="7"/>
      <c r="Z98" s="7" t="s">
        <v>1788</v>
      </c>
      <c r="AA98" s="9" t="s">
        <v>1789</v>
      </c>
      <c r="AB98" s="7" t="s">
        <v>1790</v>
      </c>
      <c r="AC98" s="7" t="s">
        <v>1791</v>
      </c>
      <c r="AD98" s="7"/>
      <c r="AE98" s="7" t="s">
        <v>1792</v>
      </c>
      <c r="AF98" s="7"/>
      <c r="AG98" s="7" t="s">
        <v>1793</v>
      </c>
      <c r="AH98" s="7"/>
      <c r="AI98" s="7"/>
      <c r="AJ98" s="10"/>
      <c r="AK98" s="7"/>
      <c r="AL98" s="7" t="s">
        <v>1794</v>
      </c>
      <c r="AM98" s="7" t="s">
        <v>1795</v>
      </c>
      <c r="AN98" s="7"/>
      <c r="AO98" s="7"/>
      <c r="AP98" s="7"/>
      <c r="AQ98" s="7"/>
      <c r="AR98" s="7"/>
      <c r="AS98" s="7"/>
      <c r="AT98" s="7" t="n">
        <v>19326203</v>
      </c>
      <c r="AU98" s="7"/>
      <c r="AV98" s="7" t="s">
        <v>1007</v>
      </c>
      <c r="AW98" s="7" t="n">
        <v>39621693</v>
      </c>
      <c r="AX98" s="7" t="s">
        <v>993</v>
      </c>
      <c r="AY98" s="7" t="s">
        <v>75</v>
      </c>
      <c r="AZ98" s="7" t="s">
        <v>127</v>
      </c>
      <c r="BA98" s="7" t="s">
        <v>76</v>
      </c>
      <c r="BB98" s="7" t="s">
        <v>1796</v>
      </c>
      <c r="BC98" s="7"/>
      <c r="BD98" s="7"/>
      <c r="BE98" s="7"/>
      <c r="BF98" s="7"/>
      <c r="BG98" s="7"/>
      <c r="BH98" s="7"/>
      <c r="BI98" s="7"/>
    </row>
    <row r="99" customFormat="false" ht="14.25" hidden="false" customHeight="true" outlineLevel="0" collapsed="false">
      <c r="A99" s="7" t="s">
        <v>1797</v>
      </c>
      <c r="B99" s="7" t="s">
        <v>1798</v>
      </c>
      <c r="C99" s="7" t="s">
        <v>1799</v>
      </c>
      <c r="D99" s="7" t="s">
        <v>1800</v>
      </c>
      <c r="E99" s="7" t="n">
        <v>2024</v>
      </c>
      <c r="F99" s="8" t="s">
        <v>1801</v>
      </c>
      <c r="G99" s="6" t="s">
        <v>713</v>
      </c>
      <c r="H99" s="7"/>
      <c r="I99" s="7"/>
      <c r="J99" s="7"/>
      <c r="K99" s="7"/>
      <c r="L99" s="7"/>
      <c r="M99" s="7"/>
      <c r="N99" s="7"/>
      <c r="O99" s="7"/>
      <c r="P99" s="7" t="s">
        <v>61</v>
      </c>
      <c r="Q99" s="7" t="s">
        <v>62</v>
      </c>
      <c r="R99" s="7" t="s">
        <v>1802</v>
      </c>
      <c r="S99" s="7" t="n">
        <v>14</v>
      </c>
      <c r="T99" s="7" t="s">
        <v>417</v>
      </c>
      <c r="U99" s="7" t="n">
        <v>4</v>
      </c>
      <c r="V99" s="7"/>
      <c r="W99" s="7" t="n">
        <v>4518</v>
      </c>
      <c r="X99" s="7" t="n">
        <v>4530</v>
      </c>
      <c r="Y99" s="7" t="n">
        <v>12</v>
      </c>
      <c r="Z99" s="7" t="s">
        <v>1803</v>
      </c>
      <c r="AA99" s="9" t="s">
        <v>1804</v>
      </c>
      <c r="AB99" s="7" t="s">
        <v>1805</v>
      </c>
      <c r="AC99" s="7" t="s">
        <v>1806</v>
      </c>
      <c r="AD99" s="7" t="s">
        <v>1807</v>
      </c>
      <c r="AE99" s="7"/>
      <c r="AF99" s="7"/>
      <c r="AG99" s="7"/>
      <c r="AH99" s="7"/>
      <c r="AI99" s="7"/>
      <c r="AJ99" s="10"/>
      <c r="AK99" s="7"/>
      <c r="AL99" s="7" t="s">
        <v>1808</v>
      </c>
      <c r="AM99" s="7" t="s">
        <v>1809</v>
      </c>
      <c r="AN99" s="7"/>
      <c r="AO99" s="7"/>
      <c r="AP99" s="7"/>
      <c r="AQ99" s="7"/>
      <c r="AR99" s="7"/>
      <c r="AS99" s="7"/>
      <c r="AT99" s="7" t="n">
        <v>20888708</v>
      </c>
      <c r="AU99" s="7"/>
      <c r="AV99" s="7"/>
      <c r="AW99" s="7"/>
      <c r="AX99" s="7" t="s">
        <v>1810</v>
      </c>
      <c r="AY99" s="7" t="s">
        <v>75</v>
      </c>
      <c r="AZ99" s="7" t="s">
        <v>107</v>
      </c>
      <c r="BA99" s="7" t="s">
        <v>76</v>
      </c>
      <c r="BB99" s="7" t="s">
        <v>1811</v>
      </c>
      <c r="BC99" s="7"/>
      <c r="BD99" s="7"/>
      <c r="BE99" s="7"/>
      <c r="BF99" s="7"/>
      <c r="BG99" s="7"/>
      <c r="BH99" s="7"/>
      <c r="BI99" s="7"/>
    </row>
    <row r="100" customFormat="false" ht="14.25" hidden="false" customHeight="true" outlineLevel="0" collapsed="false">
      <c r="A100" s="7" t="s">
        <v>1812</v>
      </c>
      <c r="B100" s="7" t="s">
        <v>1813</v>
      </c>
      <c r="C100" s="7" t="s">
        <v>1814</v>
      </c>
      <c r="D100" s="7" t="s">
        <v>1815</v>
      </c>
      <c r="E100" s="7" t="n">
        <v>2024</v>
      </c>
      <c r="F100" s="8" t="s">
        <v>1816</v>
      </c>
      <c r="G100" s="6" t="s">
        <v>149</v>
      </c>
      <c r="H100" s="7"/>
      <c r="I100" s="7"/>
      <c r="J100" s="7"/>
      <c r="K100" s="7"/>
      <c r="L100" s="7"/>
      <c r="M100" s="7"/>
      <c r="N100" s="7"/>
      <c r="O100" s="7"/>
      <c r="P100" s="7" t="s">
        <v>61</v>
      </c>
      <c r="Q100" s="7" t="s">
        <v>62</v>
      </c>
      <c r="R100" s="7" t="s">
        <v>1652</v>
      </c>
      <c r="S100" s="7" t="n">
        <v>24</v>
      </c>
      <c r="T100" s="7" t="s">
        <v>1653</v>
      </c>
      <c r="U100" s="7" t="n">
        <v>1</v>
      </c>
      <c r="V100" s="7"/>
      <c r="W100" s="7" t="n">
        <v>357</v>
      </c>
      <c r="X100" s="7" t="n">
        <v>362</v>
      </c>
      <c r="Y100" s="7" t="n">
        <v>5</v>
      </c>
      <c r="Z100" s="7" t="s">
        <v>1817</v>
      </c>
      <c r="AA100" s="9" t="s">
        <v>1818</v>
      </c>
      <c r="AB100" s="7" t="s">
        <v>1656</v>
      </c>
      <c r="AC100" s="7" t="s">
        <v>1819</v>
      </c>
      <c r="AD100" s="7" t="s">
        <v>1820</v>
      </c>
      <c r="AE100" s="7"/>
      <c r="AF100" s="7"/>
      <c r="AG100" s="7"/>
      <c r="AH100" s="7"/>
      <c r="AI100" s="7"/>
      <c r="AJ100" s="10"/>
      <c r="AK100" s="7"/>
      <c r="AL100" s="7" t="s">
        <v>1821</v>
      </c>
      <c r="AM100" s="7"/>
      <c r="AN100" s="7"/>
      <c r="AO100" s="7"/>
      <c r="AP100" s="7"/>
      <c r="AQ100" s="7"/>
      <c r="AR100" s="7"/>
      <c r="AS100" s="7"/>
      <c r="AT100" s="7" t="n">
        <v>21975248</v>
      </c>
      <c r="AU100" s="7"/>
      <c r="AV100" s="7"/>
      <c r="AW100" s="7"/>
      <c r="AX100" s="7" t="s">
        <v>1660</v>
      </c>
      <c r="AY100" s="7" t="s">
        <v>75</v>
      </c>
      <c r="AZ100" s="7"/>
      <c r="BA100" s="7" t="s">
        <v>76</v>
      </c>
      <c r="BB100" s="7" t="s">
        <v>1822</v>
      </c>
      <c r="BC100" s="7"/>
      <c r="BD100" s="7"/>
      <c r="BE100" s="7"/>
      <c r="BF100" s="7"/>
      <c r="BG100" s="7"/>
      <c r="BH100" s="7"/>
      <c r="BI100" s="7"/>
    </row>
    <row r="101" customFormat="false" ht="14.25" hidden="false" customHeight="true" outlineLevel="0" collapsed="false">
      <c r="A101" s="7" t="s">
        <v>1823</v>
      </c>
      <c r="B101" s="7" t="s">
        <v>1824</v>
      </c>
      <c r="C101" s="7" t="s">
        <v>1825</v>
      </c>
      <c r="D101" s="7" t="s">
        <v>1826</v>
      </c>
      <c r="E101" s="7" t="n">
        <v>2024</v>
      </c>
      <c r="F101" s="8" t="s">
        <v>1827</v>
      </c>
      <c r="G101" s="6" t="s">
        <v>1828</v>
      </c>
      <c r="H101" s="7"/>
      <c r="I101" s="7"/>
      <c r="J101" s="7"/>
      <c r="K101" s="7"/>
      <c r="L101" s="7"/>
      <c r="M101" s="7"/>
      <c r="N101" s="7"/>
      <c r="O101" s="7"/>
      <c r="P101" s="7" t="s">
        <v>61</v>
      </c>
      <c r="Q101" s="7" t="s">
        <v>62</v>
      </c>
      <c r="R101" s="7" t="s">
        <v>679</v>
      </c>
      <c r="S101" s="7" t="n">
        <v>18</v>
      </c>
      <c r="T101" s="7" t="s">
        <v>500</v>
      </c>
      <c r="U101" s="7" t="n">
        <v>12</v>
      </c>
      <c r="V101" s="7" t="s">
        <v>1829</v>
      </c>
      <c r="W101" s="7"/>
      <c r="X101" s="7"/>
      <c r="Y101" s="7"/>
      <c r="Z101" s="7" t="s">
        <v>1830</v>
      </c>
      <c r="AA101" s="9" t="s">
        <v>1831</v>
      </c>
      <c r="AB101" s="7" t="s">
        <v>1832</v>
      </c>
      <c r="AC101" s="7" t="s">
        <v>1833</v>
      </c>
      <c r="AD101" s="7"/>
      <c r="AE101" s="7" t="s">
        <v>1834</v>
      </c>
      <c r="AF101" s="7"/>
      <c r="AG101" s="7" t="s">
        <v>1835</v>
      </c>
      <c r="AH101" s="7"/>
      <c r="AI101" s="7"/>
      <c r="AJ101" s="10"/>
      <c r="AK101" s="7"/>
      <c r="AL101" s="7" t="s">
        <v>1836</v>
      </c>
      <c r="AM101" s="7"/>
      <c r="AN101" s="7"/>
      <c r="AO101" s="7"/>
      <c r="AP101" s="7"/>
      <c r="AQ101" s="7"/>
      <c r="AR101" s="7"/>
      <c r="AS101" s="7"/>
      <c r="AT101" s="7" t="n">
        <v>19352727</v>
      </c>
      <c r="AU101" s="7"/>
      <c r="AV101" s="7"/>
      <c r="AW101" s="7" t="n">
        <v>39652605</v>
      </c>
      <c r="AX101" s="7" t="s">
        <v>689</v>
      </c>
      <c r="AY101" s="7" t="s">
        <v>75</v>
      </c>
      <c r="AZ101" s="7" t="s">
        <v>127</v>
      </c>
      <c r="BA101" s="7" t="s">
        <v>76</v>
      </c>
      <c r="BB101" s="7" t="s">
        <v>1837</v>
      </c>
      <c r="BC101" s="7"/>
      <c r="BD101" s="7"/>
      <c r="BE101" s="7"/>
      <c r="BF101" s="7"/>
      <c r="BG101" s="7"/>
      <c r="BH101" s="7"/>
      <c r="BI101" s="7"/>
    </row>
    <row r="102" customFormat="false" ht="14.25" hidden="false" customHeight="true" outlineLevel="0" collapsed="false">
      <c r="A102" s="7" t="s">
        <v>1838</v>
      </c>
      <c r="B102" s="7" t="s">
        <v>1839</v>
      </c>
      <c r="C102" s="7" t="s">
        <v>1840</v>
      </c>
      <c r="D102" s="7" t="s">
        <v>1841</v>
      </c>
      <c r="E102" s="7" t="n">
        <v>2024</v>
      </c>
      <c r="F102" s="8" t="s">
        <v>1842</v>
      </c>
      <c r="G102" s="6" t="s">
        <v>713</v>
      </c>
      <c r="H102" s="7"/>
      <c r="I102" s="7"/>
      <c r="J102" s="7"/>
      <c r="K102" s="7"/>
      <c r="L102" s="7"/>
      <c r="M102" s="7"/>
      <c r="N102" s="7"/>
      <c r="O102" s="7"/>
      <c r="P102" s="7" t="s">
        <v>61</v>
      </c>
      <c r="Q102" s="7" t="s">
        <v>62</v>
      </c>
      <c r="R102" s="7" t="s">
        <v>902</v>
      </c>
      <c r="S102" s="7" t="n">
        <v>23</v>
      </c>
      <c r="T102" s="7" t="s">
        <v>903</v>
      </c>
      <c r="U102" s="7" t="n">
        <v>1</v>
      </c>
      <c r="V102" s="7" t="n">
        <v>188</v>
      </c>
      <c r="W102" s="7"/>
      <c r="X102" s="7"/>
      <c r="Y102" s="7"/>
      <c r="Z102" s="7" t="s">
        <v>1843</v>
      </c>
      <c r="AA102" s="9" t="s">
        <v>1844</v>
      </c>
      <c r="AB102" s="7" t="s">
        <v>1845</v>
      </c>
      <c r="AC102" s="7" t="s">
        <v>1846</v>
      </c>
      <c r="AD102" s="7"/>
      <c r="AE102" s="7" t="s">
        <v>1847</v>
      </c>
      <c r="AF102" s="7"/>
      <c r="AG102" s="7"/>
      <c r="AH102" s="7"/>
      <c r="AI102" s="7"/>
      <c r="AJ102" s="10" t="s">
        <v>1848</v>
      </c>
      <c r="AK102" s="7" t="s">
        <v>1849</v>
      </c>
      <c r="AL102" s="7" t="s">
        <v>1850</v>
      </c>
      <c r="AM102" s="7" t="s">
        <v>1851</v>
      </c>
      <c r="AN102" s="7"/>
      <c r="AO102" s="7"/>
      <c r="AP102" s="7"/>
      <c r="AQ102" s="7"/>
      <c r="AR102" s="7"/>
      <c r="AS102" s="7"/>
      <c r="AT102" s="7" t="n">
        <v>14752875</v>
      </c>
      <c r="AU102" s="7"/>
      <c r="AV102" s="7"/>
      <c r="AW102" s="7" t="n">
        <v>38880870</v>
      </c>
      <c r="AX102" s="7" t="s">
        <v>914</v>
      </c>
      <c r="AY102" s="7" t="s">
        <v>75</v>
      </c>
      <c r="AZ102" s="7" t="s">
        <v>107</v>
      </c>
      <c r="BA102" s="7" t="s">
        <v>76</v>
      </c>
      <c r="BB102" s="7" t="s">
        <v>1852</v>
      </c>
      <c r="BC102" s="7"/>
      <c r="BD102" s="7"/>
      <c r="BE102" s="7"/>
      <c r="BF102" s="7"/>
      <c r="BG102" s="7"/>
      <c r="BH102" s="7"/>
      <c r="BI102" s="7"/>
    </row>
    <row r="103" customFormat="false" ht="14.25" hidden="false" customHeight="true" outlineLevel="0" collapsed="false">
      <c r="A103" s="7" t="s">
        <v>1853</v>
      </c>
      <c r="B103" s="7" t="s">
        <v>1854</v>
      </c>
      <c r="C103" s="7" t="s">
        <v>1855</v>
      </c>
      <c r="D103" s="7" t="s">
        <v>1856</v>
      </c>
      <c r="E103" s="7" t="n">
        <v>2024</v>
      </c>
      <c r="F103" s="8" t="s">
        <v>1857</v>
      </c>
      <c r="G103" s="6" t="s">
        <v>713</v>
      </c>
      <c r="H103" s="7"/>
      <c r="I103" s="7"/>
      <c r="J103" s="7"/>
      <c r="K103" s="7"/>
      <c r="L103" s="7"/>
      <c r="M103" s="7"/>
      <c r="N103" s="7"/>
      <c r="O103" s="7"/>
      <c r="P103" s="7" t="s">
        <v>61</v>
      </c>
      <c r="Q103" s="7" t="s">
        <v>62</v>
      </c>
      <c r="R103" s="7" t="s">
        <v>1858</v>
      </c>
      <c r="S103" s="7" t="n">
        <v>6</v>
      </c>
      <c r="T103" s="7" t="s">
        <v>1328</v>
      </c>
      <c r="U103" s="7"/>
      <c r="V103" s="7" t="n">
        <v>1505483</v>
      </c>
      <c r="W103" s="7"/>
      <c r="X103" s="7"/>
      <c r="Y103" s="7"/>
      <c r="Z103" s="7" t="s">
        <v>1859</v>
      </c>
      <c r="AA103" s="9" t="s">
        <v>1860</v>
      </c>
      <c r="AB103" s="7" t="s">
        <v>1861</v>
      </c>
      <c r="AC103" s="7" t="s">
        <v>1862</v>
      </c>
      <c r="AD103" s="7" t="s">
        <v>1863</v>
      </c>
      <c r="AE103" s="7" t="s">
        <v>1864</v>
      </c>
      <c r="AF103" s="7"/>
      <c r="AG103" s="7" t="s">
        <v>1865</v>
      </c>
      <c r="AH103" s="7"/>
      <c r="AI103" s="7"/>
      <c r="AJ103" s="10" t="s">
        <v>1866</v>
      </c>
      <c r="AK103" s="7" t="s">
        <v>1867</v>
      </c>
      <c r="AL103" s="7" t="s">
        <v>1868</v>
      </c>
      <c r="AM103" s="7"/>
      <c r="AN103" s="7"/>
      <c r="AO103" s="7"/>
      <c r="AP103" s="7"/>
      <c r="AQ103" s="7"/>
      <c r="AR103" s="7"/>
      <c r="AS103" s="7"/>
      <c r="AT103" s="7" t="s">
        <v>1869</v>
      </c>
      <c r="AU103" s="7"/>
      <c r="AV103" s="7"/>
      <c r="AW103" s="7"/>
      <c r="AX103" s="7" t="s">
        <v>1870</v>
      </c>
      <c r="AY103" s="7" t="s">
        <v>75</v>
      </c>
      <c r="AZ103" s="7"/>
      <c r="BA103" s="7" t="s">
        <v>76</v>
      </c>
      <c r="BB103" s="7" t="s">
        <v>1871</v>
      </c>
      <c r="BC103" s="7"/>
      <c r="BD103" s="7"/>
      <c r="BE103" s="7"/>
      <c r="BF103" s="7"/>
      <c r="BG103" s="7"/>
      <c r="BH103" s="7"/>
      <c r="BI103" s="7"/>
    </row>
    <row r="104" customFormat="false" ht="14.25" hidden="false" customHeight="true" outlineLevel="0" collapsed="false">
      <c r="A104" s="7" t="s">
        <v>1872</v>
      </c>
      <c r="B104" s="7" t="s">
        <v>1873</v>
      </c>
      <c r="C104" s="7" t="s">
        <v>1874</v>
      </c>
      <c r="D104" s="7" t="s">
        <v>1875</v>
      </c>
      <c r="E104" s="7" t="n">
        <v>2024</v>
      </c>
      <c r="F104" s="8" t="s">
        <v>1876</v>
      </c>
      <c r="G104" s="6" t="s">
        <v>169</v>
      </c>
      <c r="H104" s="7"/>
      <c r="I104" s="7"/>
      <c r="J104" s="7"/>
      <c r="K104" s="7"/>
      <c r="L104" s="7"/>
      <c r="M104" s="7"/>
      <c r="N104" s="7"/>
      <c r="O104" s="7"/>
      <c r="P104" s="7" t="s">
        <v>61</v>
      </c>
      <c r="Q104" s="7" t="s">
        <v>62</v>
      </c>
      <c r="R104" s="7" t="s">
        <v>1877</v>
      </c>
      <c r="S104" s="7" t="n">
        <v>11</v>
      </c>
      <c r="T104" s="7" t="s">
        <v>1328</v>
      </c>
      <c r="U104" s="7"/>
      <c r="V104" s="7" t="n">
        <v>1406662</v>
      </c>
      <c r="W104" s="7"/>
      <c r="X104" s="7"/>
      <c r="Y104" s="7"/>
      <c r="Z104" s="7" t="s">
        <v>1878</v>
      </c>
      <c r="AA104" s="9" t="s">
        <v>1879</v>
      </c>
      <c r="AB104" s="7" t="s">
        <v>1880</v>
      </c>
      <c r="AC104" s="7" t="s">
        <v>1881</v>
      </c>
      <c r="AD104" s="7" t="s">
        <v>1882</v>
      </c>
      <c r="AE104" s="7" t="s">
        <v>1883</v>
      </c>
      <c r="AF104" s="7"/>
      <c r="AG104" s="7" t="s">
        <v>1884</v>
      </c>
      <c r="AH104" s="7"/>
      <c r="AI104" s="7"/>
      <c r="AJ104" s="10" t="s">
        <v>1885</v>
      </c>
      <c r="AK104" s="7" t="s">
        <v>1886</v>
      </c>
      <c r="AL104" s="7" t="s">
        <v>1887</v>
      </c>
      <c r="AM104" s="7" t="s">
        <v>1888</v>
      </c>
      <c r="AN104" s="7"/>
      <c r="AO104" s="7"/>
      <c r="AP104" s="7"/>
      <c r="AQ104" s="7"/>
      <c r="AR104" s="7"/>
      <c r="AS104" s="7"/>
      <c r="AT104" s="7" t="s">
        <v>1889</v>
      </c>
      <c r="AU104" s="7"/>
      <c r="AV104" s="7"/>
      <c r="AW104" s="7"/>
      <c r="AX104" s="7" t="s">
        <v>1890</v>
      </c>
      <c r="AY104" s="7" t="s">
        <v>75</v>
      </c>
      <c r="AZ104" s="7" t="s">
        <v>107</v>
      </c>
      <c r="BA104" s="7" t="s">
        <v>76</v>
      </c>
      <c r="BB104" s="7" t="s">
        <v>1891</v>
      </c>
      <c r="BC104" s="7"/>
      <c r="BD104" s="7"/>
      <c r="BE104" s="7"/>
      <c r="BF104" s="7"/>
      <c r="BG104" s="7"/>
      <c r="BH104" s="7"/>
      <c r="BI104" s="7"/>
    </row>
    <row r="105" customFormat="false" ht="14.25" hidden="false" customHeight="true" outlineLevel="0" collapsed="false">
      <c r="A105" s="7" t="s">
        <v>1892</v>
      </c>
      <c r="B105" s="7" t="s">
        <v>1893</v>
      </c>
      <c r="C105" s="7" t="s">
        <v>1894</v>
      </c>
      <c r="D105" s="7" t="s">
        <v>1895</v>
      </c>
      <c r="E105" s="7" t="n">
        <v>2024</v>
      </c>
      <c r="F105" s="8" t="s">
        <v>1896</v>
      </c>
      <c r="G105" s="6" t="s">
        <v>149</v>
      </c>
      <c r="H105" s="7"/>
      <c r="I105" s="7"/>
      <c r="J105" s="7"/>
      <c r="K105" s="7"/>
      <c r="L105" s="7"/>
      <c r="M105" s="7"/>
      <c r="N105" s="7"/>
      <c r="O105" s="7"/>
      <c r="P105" s="7" t="s">
        <v>61</v>
      </c>
      <c r="Q105" s="7" t="s">
        <v>62</v>
      </c>
      <c r="R105" s="7" t="s">
        <v>1897</v>
      </c>
      <c r="S105" s="7" t="n">
        <v>19</v>
      </c>
      <c r="T105" s="7" t="s">
        <v>1898</v>
      </c>
      <c r="U105" s="7" t="n">
        <v>1</v>
      </c>
      <c r="V105" s="7" t="n">
        <v>1279</v>
      </c>
      <c r="W105" s="7"/>
      <c r="X105" s="7"/>
      <c r="Y105" s="7"/>
      <c r="Z105" s="7" t="s">
        <v>1899</v>
      </c>
      <c r="AA105" s="9" t="s">
        <v>1900</v>
      </c>
      <c r="AB105" s="7" t="s">
        <v>1901</v>
      </c>
      <c r="AC105" s="7" t="s">
        <v>1902</v>
      </c>
      <c r="AD105" s="7" t="s">
        <v>1903</v>
      </c>
      <c r="AE105" s="7" t="s">
        <v>1904</v>
      </c>
      <c r="AF105" s="7"/>
      <c r="AG105" s="7"/>
      <c r="AH105" s="7"/>
      <c r="AI105" s="7"/>
      <c r="AJ105" s="10"/>
      <c r="AK105" s="7"/>
      <c r="AL105" s="7" t="s">
        <v>1905</v>
      </c>
      <c r="AM105" s="7" t="s">
        <v>1906</v>
      </c>
      <c r="AN105" s="7"/>
      <c r="AO105" s="7"/>
      <c r="AP105" s="7"/>
      <c r="AQ105" s="7"/>
      <c r="AR105" s="7"/>
      <c r="AS105" s="7"/>
      <c r="AT105" s="7" t="n">
        <v>18271987</v>
      </c>
      <c r="AU105" s="7"/>
      <c r="AV105" s="7"/>
      <c r="AW105" s="7" t="n">
        <v>38804692</v>
      </c>
      <c r="AX105" s="7" t="s">
        <v>1897</v>
      </c>
      <c r="AY105" s="7" t="s">
        <v>75</v>
      </c>
      <c r="AZ105" s="7" t="s">
        <v>127</v>
      </c>
      <c r="BA105" s="7" t="s">
        <v>76</v>
      </c>
      <c r="BB105" s="7" t="s">
        <v>1907</v>
      </c>
      <c r="BC105" s="7"/>
      <c r="BD105" s="7"/>
      <c r="BE105" s="7"/>
      <c r="BF105" s="7"/>
      <c r="BG105" s="7"/>
      <c r="BH105" s="7"/>
      <c r="BI105" s="7"/>
    </row>
    <row r="106" customFormat="false" ht="14.25" hidden="false" customHeight="true" outlineLevel="0" collapsed="false">
      <c r="A106" s="7" t="s">
        <v>1908</v>
      </c>
      <c r="B106" s="7" t="s">
        <v>1909</v>
      </c>
      <c r="C106" s="7" t="s">
        <v>1910</v>
      </c>
      <c r="D106" s="7" t="s">
        <v>1911</v>
      </c>
      <c r="E106" s="7" t="n">
        <v>2024</v>
      </c>
      <c r="F106" s="8" t="s">
        <v>1912</v>
      </c>
      <c r="G106" s="6" t="s">
        <v>1159</v>
      </c>
      <c r="H106" s="7"/>
      <c r="I106" s="7"/>
      <c r="J106" s="7"/>
      <c r="K106" s="7"/>
      <c r="L106" s="7"/>
      <c r="M106" s="7"/>
      <c r="N106" s="7"/>
      <c r="O106" s="7"/>
      <c r="P106" s="7" t="s">
        <v>61</v>
      </c>
      <c r="Q106" s="7" t="s">
        <v>62</v>
      </c>
      <c r="R106" s="7" t="s">
        <v>1913</v>
      </c>
      <c r="S106" s="7" t="n">
        <v>255</v>
      </c>
      <c r="T106" s="7" t="s">
        <v>202</v>
      </c>
      <c r="U106" s="7"/>
      <c r="V106" s="7" t="n">
        <v>107225</v>
      </c>
      <c r="W106" s="7"/>
      <c r="X106" s="7"/>
      <c r="Y106" s="7"/>
      <c r="Z106" s="7" t="s">
        <v>1914</v>
      </c>
      <c r="AA106" s="9" t="s">
        <v>1915</v>
      </c>
      <c r="AB106" s="7" t="s">
        <v>1916</v>
      </c>
      <c r="AC106" s="7" t="s">
        <v>1917</v>
      </c>
      <c r="AD106" s="7" t="s">
        <v>1918</v>
      </c>
      <c r="AE106" s="7" t="s">
        <v>1919</v>
      </c>
      <c r="AF106" s="7"/>
      <c r="AG106" s="7"/>
      <c r="AH106" s="7"/>
      <c r="AI106" s="7"/>
      <c r="AJ106" s="10" t="s">
        <v>1920</v>
      </c>
      <c r="AK106" s="7" t="s">
        <v>1921</v>
      </c>
      <c r="AL106" s="7" t="s">
        <v>1922</v>
      </c>
      <c r="AM106" s="7" t="s">
        <v>1923</v>
      </c>
      <c r="AN106" s="7"/>
      <c r="AO106" s="7"/>
      <c r="AP106" s="7"/>
      <c r="AQ106" s="7"/>
      <c r="AR106" s="7"/>
      <c r="AS106" s="7"/>
      <c r="AT106" s="7" t="s">
        <v>1924</v>
      </c>
      <c r="AU106" s="7"/>
      <c r="AV106" s="7" t="s">
        <v>1925</v>
      </c>
      <c r="AW106" s="7" t="n">
        <v>38701871</v>
      </c>
      <c r="AX106" s="7" t="s">
        <v>1926</v>
      </c>
      <c r="AY106" s="7" t="s">
        <v>75</v>
      </c>
      <c r="AZ106" s="7"/>
      <c r="BA106" s="7" t="s">
        <v>76</v>
      </c>
      <c r="BB106" s="7" t="s">
        <v>1927</v>
      </c>
      <c r="BC106" s="7"/>
      <c r="BD106" s="7"/>
      <c r="BE106" s="7"/>
      <c r="BF106" s="7"/>
      <c r="BG106" s="7"/>
      <c r="BH106" s="7"/>
      <c r="BI106" s="7"/>
    </row>
    <row r="107" customFormat="false" ht="14.25" hidden="false" customHeight="true" outlineLevel="0" collapsed="false">
      <c r="A107" s="7" t="s">
        <v>1928</v>
      </c>
      <c r="B107" s="7" t="s">
        <v>1929</v>
      </c>
      <c r="C107" s="7" t="s">
        <v>1930</v>
      </c>
      <c r="D107" s="7" t="s">
        <v>1931</v>
      </c>
      <c r="E107" s="7" t="n">
        <v>2024</v>
      </c>
      <c r="F107" s="8" t="s">
        <v>1932</v>
      </c>
      <c r="G107" s="6" t="s">
        <v>149</v>
      </c>
      <c r="H107" s="7"/>
      <c r="I107" s="7"/>
      <c r="J107" s="7"/>
      <c r="K107" s="7"/>
      <c r="L107" s="7"/>
      <c r="M107" s="7"/>
      <c r="N107" s="7"/>
      <c r="O107" s="7"/>
      <c r="P107" s="7" t="s">
        <v>61</v>
      </c>
      <c r="Q107" s="7" t="s">
        <v>62</v>
      </c>
      <c r="R107" s="7" t="s">
        <v>1933</v>
      </c>
      <c r="S107" s="7" t="n">
        <v>4</v>
      </c>
      <c r="T107" s="7" t="s">
        <v>500</v>
      </c>
      <c r="U107" s="11" t="n">
        <v>45877</v>
      </c>
      <c r="V107" s="7" t="s">
        <v>1934</v>
      </c>
      <c r="W107" s="7"/>
      <c r="X107" s="7"/>
      <c r="Y107" s="7"/>
      <c r="Z107" s="7" t="s">
        <v>1935</v>
      </c>
      <c r="AA107" s="9" t="s">
        <v>1936</v>
      </c>
      <c r="AB107" s="7" t="s">
        <v>1937</v>
      </c>
      <c r="AC107" s="7" t="s">
        <v>1938</v>
      </c>
      <c r="AD107" s="7"/>
      <c r="AE107" s="7"/>
      <c r="AF107" s="7"/>
      <c r="AG107" s="7"/>
      <c r="AH107" s="7"/>
      <c r="AI107" s="7"/>
      <c r="AJ107" s="10" t="s">
        <v>1939</v>
      </c>
      <c r="AK107" s="7" t="s">
        <v>1940</v>
      </c>
      <c r="AL107" s="7" t="s">
        <v>1941</v>
      </c>
      <c r="AM107" s="7" t="s">
        <v>1942</v>
      </c>
      <c r="AN107" s="7"/>
      <c r="AO107" s="7"/>
      <c r="AP107" s="7"/>
      <c r="AQ107" s="7"/>
      <c r="AR107" s="7"/>
      <c r="AS107" s="7"/>
      <c r="AT107" s="7" t="n">
        <v>27673375</v>
      </c>
      <c r="AU107" s="7"/>
      <c r="AV107" s="7"/>
      <c r="AW107" s="7"/>
      <c r="AX107" s="7" t="s">
        <v>1943</v>
      </c>
      <c r="AY107" s="7" t="s">
        <v>75</v>
      </c>
      <c r="AZ107" s="7" t="s">
        <v>107</v>
      </c>
      <c r="BA107" s="7" t="s">
        <v>76</v>
      </c>
      <c r="BB107" s="7" t="s">
        <v>1944</v>
      </c>
      <c r="BC107" s="7"/>
      <c r="BD107" s="7"/>
      <c r="BE107" s="7"/>
      <c r="BF107" s="7"/>
      <c r="BG107" s="7"/>
      <c r="BH107" s="7"/>
      <c r="BI107" s="7"/>
    </row>
    <row r="108" customFormat="false" ht="14.25" hidden="false" customHeight="true" outlineLevel="0" collapsed="false">
      <c r="A108" s="7" t="s">
        <v>1945</v>
      </c>
      <c r="B108" s="7" t="s">
        <v>1946</v>
      </c>
      <c r="C108" s="7" t="s">
        <v>1947</v>
      </c>
      <c r="D108" s="7" t="s">
        <v>1948</v>
      </c>
      <c r="E108" s="7" t="n">
        <v>2024</v>
      </c>
      <c r="F108" s="8" t="s">
        <v>1949</v>
      </c>
      <c r="G108" s="6" t="s">
        <v>713</v>
      </c>
      <c r="H108" s="7"/>
      <c r="I108" s="7"/>
      <c r="J108" s="7"/>
      <c r="K108" s="7"/>
      <c r="L108" s="7"/>
      <c r="M108" s="7"/>
      <c r="N108" s="7"/>
      <c r="O108" s="7"/>
      <c r="P108" s="7" t="s">
        <v>61</v>
      </c>
      <c r="Q108" s="7" t="s">
        <v>62</v>
      </c>
      <c r="R108" s="7" t="s">
        <v>993</v>
      </c>
      <c r="S108" s="7" t="n">
        <v>19</v>
      </c>
      <c r="T108" s="7" t="s">
        <v>500</v>
      </c>
      <c r="U108" s="11" t="n">
        <v>45909</v>
      </c>
      <c r="V108" s="7" t="s">
        <v>1950</v>
      </c>
      <c r="W108" s="7"/>
      <c r="X108" s="7"/>
      <c r="Y108" s="7"/>
      <c r="Z108" s="7" t="s">
        <v>1951</v>
      </c>
      <c r="AA108" s="9" t="s">
        <v>1952</v>
      </c>
      <c r="AB108" s="7" t="s">
        <v>1953</v>
      </c>
      <c r="AC108" s="7" t="s">
        <v>1954</v>
      </c>
      <c r="AD108" s="7"/>
      <c r="AE108" s="7" t="s">
        <v>1955</v>
      </c>
      <c r="AF108" s="7"/>
      <c r="AG108" s="7"/>
      <c r="AH108" s="7"/>
      <c r="AI108" s="7"/>
      <c r="AJ108" s="10" t="s">
        <v>1956</v>
      </c>
      <c r="AK108" s="7" t="s">
        <v>1957</v>
      </c>
      <c r="AL108" s="7" t="s">
        <v>1958</v>
      </c>
      <c r="AM108" s="7" t="s">
        <v>1959</v>
      </c>
      <c r="AN108" s="7"/>
      <c r="AO108" s="7"/>
      <c r="AP108" s="7"/>
      <c r="AQ108" s="7"/>
      <c r="AR108" s="7"/>
      <c r="AS108" s="7"/>
      <c r="AT108" s="7" t="n">
        <v>19326203</v>
      </c>
      <c r="AU108" s="7"/>
      <c r="AV108" s="7" t="s">
        <v>1007</v>
      </c>
      <c r="AW108" s="7" t="n">
        <v>39298425</v>
      </c>
      <c r="AX108" s="7" t="s">
        <v>993</v>
      </c>
      <c r="AY108" s="7" t="s">
        <v>75</v>
      </c>
      <c r="AZ108" s="7" t="s">
        <v>127</v>
      </c>
      <c r="BA108" s="7" t="s">
        <v>76</v>
      </c>
      <c r="BB108" s="7" t="s">
        <v>1960</v>
      </c>
      <c r="BC108" s="7"/>
      <c r="BD108" s="7"/>
      <c r="BE108" s="7"/>
      <c r="BF108" s="7"/>
      <c r="BG108" s="7"/>
      <c r="BH108" s="7"/>
      <c r="BI108" s="7"/>
    </row>
    <row r="109" customFormat="false" ht="14.25" hidden="false" customHeight="true" outlineLevel="0" collapsed="false">
      <c r="A109" s="7" t="s">
        <v>1961</v>
      </c>
      <c r="B109" s="7" t="s">
        <v>1962</v>
      </c>
      <c r="C109" s="7" t="s">
        <v>1963</v>
      </c>
      <c r="D109" s="7" t="s">
        <v>1964</v>
      </c>
      <c r="E109" s="7" t="n">
        <v>2024</v>
      </c>
      <c r="F109" s="8" t="s">
        <v>1965</v>
      </c>
      <c r="G109" s="6" t="s">
        <v>393</v>
      </c>
      <c r="H109" s="7"/>
      <c r="I109" s="7"/>
      <c r="J109" s="7"/>
      <c r="K109" s="7"/>
      <c r="L109" s="7"/>
      <c r="M109" s="7"/>
      <c r="N109" s="7"/>
      <c r="O109" s="7"/>
      <c r="P109" s="7" t="s">
        <v>61</v>
      </c>
      <c r="Q109" s="7" t="s">
        <v>62</v>
      </c>
      <c r="R109" s="7" t="s">
        <v>1031</v>
      </c>
      <c r="S109" s="7" t="n">
        <v>17</v>
      </c>
      <c r="T109" s="7" t="s">
        <v>903</v>
      </c>
      <c r="U109" s="7" t="n">
        <v>1</v>
      </c>
      <c r="V109" s="7" t="n">
        <v>420</v>
      </c>
      <c r="W109" s="7"/>
      <c r="X109" s="7"/>
      <c r="Y109" s="7"/>
      <c r="Z109" s="7" t="s">
        <v>1966</v>
      </c>
      <c r="AA109" s="9" t="s">
        <v>1967</v>
      </c>
      <c r="AB109" s="7" t="s">
        <v>1968</v>
      </c>
      <c r="AC109" s="7" t="s">
        <v>1969</v>
      </c>
      <c r="AD109" s="7" t="s">
        <v>1970</v>
      </c>
      <c r="AE109" s="7" t="s">
        <v>1971</v>
      </c>
      <c r="AF109" s="7"/>
      <c r="AG109" s="7" t="s">
        <v>1972</v>
      </c>
      <c r="AH109" s="7"/>
      <c r="AI109" s="7"/>
      <c r="AJ109" s="10" t="s">
        <v>1973</v>
      </c>
      <c r="AK109" s="7" t="s">
        <v>1974</v>
      </c>
      <c r="AL109" s="7" t="s">
        <v>1975</v>
      </c>
      <c r="AM109" s="7" t="s">
        <v>1976</v>
      </c>
      <c r="AN109" s="7"/>
      <c r="AO109" s="7"/>
      <c r="AP109" s="7"/>
      <c r="AQ109" s="7"/>
      <c r="AR109" s="7"/>
      <c r="AS109" s="7"/>
      <c r="AT109" s="7" t="n">
        <v>17563305</v>
      </c>
      <c r="AU109" s="7"/>
      <c r="AV109" s="7"/>
      <c r="AW109" s="7" t="n">
        <v>39375740</v>
      </c>
      <c r="AX109" s="7" t="s">
        <v>1044</v>
      </c>
      <c r="AY109" s="7" t="s">
        <v>75</v>
      </c>
      <c r="AZ109" s="7" t="s">
        <v>127</v>
      </c>
      <c r="BA109" s="7" t="s">
        <v>76</v>
      </c>
      <c r="BB109" s="7" t="s">
        <v>1977</v>
      </c>
      <c r="BC109" s="7"/>
      <c r="BD109" s="7"/>
      <c r="BE109" s="7"/>
      <c r="BF109" s="7"/>
      <c r="BG109" s="7"/>
      <c r="BH109" s="7"/>
      <c r="BI109" s="7"/>
    </row>
    <row r="110" customFormat="false" ht="14.25" hidden="false" customHeight="true" outlineLevel="0" collapsed="false">
      <c r="A110" s="7" t="s">
        <v>1978</v>
      </c>
      <c r="B110" s="7" t="s">
        <v>1979</v>
      </c>
      <c r="C110" s="7" t="s">
        <v>1980</v>
      </c>
      <c r="D110" s="7" t="s">
        <v>1981</v>
      </c>
      <c r="E110" s="7" t="n">
        <v>2024</v>
      </c>
      <c r="F110" s="8" t="s">
        <v>1982</v>
      </c>
      <c r="G110" s="6" t="s">
        <v>1686</v>
      </c>
      <c r="H110" s="7"/>
      <c r="I110" s="7"/>
      <c r="J110" s="7"/>
      <c r="K110" s="7"/>
      <c r="L110" s="7"/>
      <c r="M110" s="7"/>
      <c r="N110" s="7"/>
      <c r="O110" s="7"/>
      <c r="P110" s="7" t="s">
        <v>61</v>
      </c>
      <c r="Q110" s="7" t="s">
        <v>62</v>
      </c>
      <c r="R110" s="7" t="s">
        <v>1983</v>
      </c>
      <c r="S110" s="7" t="n">
        <v>33</v>
      </c>
      <c r="T110" s="7" t="s">
        <v>1984</v>
      </c>
      <c r="U110" s="7" t="n">
        <v>3</v>
      </c>
      <c r="V110" s="7"/>
      <c r="W110" s="7" t="n">
        <v>376</v>
      </c>
      <c r="X110" s="7" t="n">
        <v>391</v>
      </c>
      <c r="Y110" s="7" t="n">
        <v>15</v>
      </c>
      <c r="Z110" s="7" t="s">
        <v>1985</v>
      </c>
      <c r="AA110" s="9" t="s">
        <v>1986</v>
      </c>
      <c r="AB110" s="7" t="s">
        <v>1987</v>
      </c>
      <c r="AC110" s="7" t="s">
        <v>1988</v>
      </c>
      <c r="AD110" s="7" t="s">
        <v>1989</v>
      </c>
      <c r="AE110" s="7" t="s">
        <v>1990</v>
      </c>
      <c r="AF110" s="7"/>
      <c r="AG110" s="7"/>
      <c r="AH110" s="7"/>
      <c r="AI110" s="7"/>
      <c r="AJ110" s="10" t="s">
        <v>1991</v>
      </c>
      <c r="AK110" s="7" t="s">
        <v>1992</v>
      </c>
      <c r="AL110" s="7" t="s">
        <v>1993</v>
      </c>
      <c r="AM110" s="7" t="s">
        <v>1994</v>
      </c>
      <c r="AN110" s="7"/>
      <c r="AO110" s="7"/>
      <c r="AP110" s="7"/>
      <c r="AQ110" s="7"/>
      <c r="AR110" s="7"/>
      <c r="AS110" s="7"/>
      <c r="AT110" s="7" t="n">
        <v>9622802</v>
      </c>
      <c r="AU110" s="7"/>
      <c r="AV110" s="7" t="s">
        <v>1995</v>
      </c>
      <c r="AW110" s="7" t="n">
        <v>38320801</v>
      </c>
      <c r="AX110" s="7" t="s">
        <v>1996</v>
      </c>
      <c r="AY110" s="7" t="s">
        <v>75</v>
      </c>
      <c r="AZ110" s="7" t="s">
        <v>636</v>
      </c>
      <c r="BA110" s="7" t="s">
        <v>76</v>
      </c>
      <c r="BB110" s="7" t="s">
        <v>1997</v>
      </c>
      <c r="BC110" s="7"/>
      <c r="BD110" s="7"/>
      <c r="BE110" s="7"/>
      <c r="BF110" s="7"/>
      <c r="BG110" s="7"/>
      <c r="BH110" s="7"/>
      <c r="BI110" s="7"/>
    </row>
    <row r="111" customFormat="false" ht="14.25" hidden="false" customHeight="true" outlineLevel="0" collapsed="false">
      <c r="A111" s="7" t="s">
        <v>1998</v>
      </c>
      <c r="B111" s="7" t="s">
        <v>1999</v>
      </c>
      <c r="C111" s="7" t="s">
        <v>2000</v>
      </c>
      <c r="D111" s="7" t="s">
        <v>2001</v>
      </c>
      <c r="E111" s="7" t="n">
        <v>2024</v>
      </c>
      <c r="F111" s="8" t="s">
        <v>2002</v>
      </c>
      <c r="G111" s="6" t="s">
        <v>1347</v>
      </c>
      <c r="H111" s="7"/>
      <c r="I111" s="7"/>
      <c r="J111" s="7"/>
      <c r="K111" s="7"/>
      <c r="L111" s="7"/>
      <c r="M111" s="7"/>
      <c r="N111" s="7"/>
      <c r="O111" s="7"/>
      <c r="P111" s="7" t="s">
        <v>61</v>
      </c>
      <c r="Q111" s="7" t="s">
        <v>62</v>
      </c>
      <c r="R111" s="7" t="s">
        <v>2003</v>
      </c>
      <c r="S111" s="7" t="n">
        <v>11</v>
      </c>
      <c r="T111" s="7" t="s">
        <v>1328</v>
      </c>
      <c r="U111" s="7"/>
      <c r="V111" s="7" t="n">
        <v>1338598</v>
      </c>
      <c r="W111" s="7"/>
      <c r="X111" s="7"/>
      <c r="Y111" s="7"/>
      <c r="Z111" s="7" t="s">
        <v>2004</v>
      </c>
      <c r="AA111" s="9" t="s">
        <v>2005</v>
      </c>
      <c r="AB111" s="7" t="s">
        <v>2006</v>
      </c>
      <c r="AC111" s="7" t="s">
        <v>2007</v>
      </c>
      <c r="AD111" s="7" t="s">
        <v>2008</v>
      </c>
      <c r="AE111" s="7" t="s">
        <v>2009</v>
      </c>
      <c r="AF111" s="7"/>
      <c r="AG111" s="7"/>
      <c r="AH111" s="7"/>
      <c r="AI111" s="7"/>
      <c r="AJ111" s="10" t="s">
        <v>2010</v>
      </c>
      <c r="AK111" s="7" t="s">
        <v>2011</v>
      </c>
      <c r="AL111" s="7" t="s">
        <v>2012</v>
      </c>
      <c r="AM111" s="7" t="s">
        <v>2013</v>
      </c>
      <c r="AN111" s="7"/>
      <c r="AO111" s="7"/>
      <c r="AP111" s="7"/>
      <c r="AQ111" s="7"/>
      <c r="AR111" s="7"/>
      <c r="AS111" s="7"/>
      <c r="AT111" s="7" t="s">
        <v>2014</v>
      </c>
      <c r="AU111" s="7"/>
      <c r="AV111" s="7"/>
      <c r="AW111" s="7"/>
      <c r="AX111" s="7" t="s">
        <v>2015</v>
      </c>
      <c r="AY111" s="7" t="s">
        <v>75</v>
      </c>
      <c r="AZ111" s="7" t="s">
        <v>107</v>
      </c>
      <c r="BA111" s="7" t="s">
        <v>76</v>
      </c>
      <c r="BB111" s="7" t="s">
        <v>2016</v>
      </c>
      <c r="BC111" s="7"/>
      <c r="BD111" s="7"/>
      <c r="BE111" s="7"/>
      <c r="BF111" s="7"/>
      <c r="BG111" s="7"/>
      <c r="BH111" s="7"/>
      <c r="BI111" s="7"/>
    </row>
    <row r="112" customFormat="false" ht="14.25" hidden="false" customHeight="true" outlineLevel="0" collapsed="false">
      <c r="A112" s="7" t="s">
        <v>2017</v>
      </c>
      <c r="B112" s="7" t="s">
        <v>2018</v>
      </c>
      <c r="C112" s="7" t="s">
        <v>2019</v>
      </c>
      <c r="D112" s="7" t="s">
        <v>2020</v>
      </c>
      <c r="E112" s="7" t="n">
        <v>2024</v>
      </c>
      <c r="F112" s="8" t="s">
        <v>2021</v>
      </c>
      <c r="G112" s="6" t="s">
        <v>149</v>
      </c>
      <c r="H112" s="7"/>
      <c r="I112" s="7"/>
      <c r="J112" s="7"/>
      <c r="K112" s="7"/>
      <c r="L112" s="7"/>
      <c r="M112" s="7"/>
      <c r="N112" s="7"/>
      <c r="O112" s="7"/>
      <c r="P112" s="7" t="s">
        <v>61</v>
      </c>
      <c r="Q112" s="7" t="s">
        <v>62</v>
      </c>
      <c r="R112" s="7" t="s">
        <v>2022</v>
      </c>
      <c r="S112" s="7" t="n">
        <v>12</v>
      </c>
      <c r="T112" s="7" t="s">
        <v>1615</v>
      </c>
      <c r="U112" s="7"/>
      <c r="V112" s="7" t="s">
        <v>2023</v>
      </c>
      <c r="W112" s="7"/>
      <c r="X112" s="7"/>
      <c r="Y112" s="7"/>
      <c r="Z112" s="7" t="s">
        <v>2024</v>
      </c>
      <c r="AA112" s="9" t="s">
        <v>2025</v>
      </c>
      <c r="AB112" s="7" t="s">
        <v>2026</v>
      </c>
      <c r="AC112" s="7" t="s">
        <v>2027</v>
      </c>
      <c r="AD112" s="7" t="s">
        <v>2028</v>
      </c>
      <c r="AE112" s="7" t="s">
        <v>2029</v>
      </c>
      <c r="AF112" s="7"/>
      <c r="AG112" s="7"/>
      <c r="AH112" s="7"/>
      <c r="AI112" s="7"/>
      <c r="AJ112" s="10" t="s">
        <v>2030</v>
      </c>
      <c r="AK112" s="7" t="s">
        <v>2031</v>
      </c>
      <c r="AL112" s="7" t="s">
        <v>2032</v>
      </c>
      <c r="AM112" s="7" t="s">
        <v>2033</v>
      </c>
      <c r="AN112" s="7"/>
      <c r="AO112" s="7"/>
      <c r="AP112" s="7"/>
      <c r="AQ112" s="7"/>
      <c r="AR112" s="7"/>
      <c r="AS112" s="7"/>
      <c r="AT112" s="7" t="n">
        <v>21678359</v>
      </c>
      <c r="AU112" s="7"/>
      <c r="AV112" s="7"/>
      <c r="AW112" s="7"/>
      <c r="AX112" s="7" t="s">
        <v>2022</v>
      </c>
      <c r="AY112" s="7" t="s">
        <v>75</v>
      </c>
      <c r="AZ112" s="7" t="s">
        <v>127</v>
      </c>
      <c r="BA112" s="7" t="s">
        <v>76</v>
      </c>
      <c r="BB112" s="7" t="s">
        <v>2034</v>
      </c>
      <c r="BC112" s="7"/>
      <c r="BD112" s="7"/>
      <c r="BE112" s="7"/>
      <c r="BF112" s="7"/>
      <c r="BG112" s="7"/>
      <c r="BH112" s="7"/>
      <c r="BI112" s="7"/>
    </row>
    <row r="113" customFormat="false" ht="14.25" hidden="false" customHeight="true" outlineLevel="0" collapsed="false">
      <c r="A113" s="7" t="s">
        <v>2035</v>
      </c>
      <c r="B113" s="7" t="s">
        <v>2036</v>
      </c>
      <c r="C113" s="7" t="s">
        <v>2037</v>
      </c>
      <c r="D113" s="7" t="s">
        <v>2038</v>
      </c>
      <c r="E113" s="7" t="n">
        <v>2024</v>
      </c>
      <c r="F113" s="8" t="s">
        <v>2039</v>
      </c>
      <c r="G113" s="6" t="s">
        <v>149</v>
      </c>
      <c r="H113" s="7"/>
      <c r="I113" s="7"/>
      <c r="J113" s="7"/>
      <c r="K113" s="7"/>
      <c r="L113" s="7"/>
      <c r="M113" s="7"/>
      <c r="N113" s="7"/>
      <c r="O113" s="7"/>
      <c r="P113" s="7" t="s">
        <v>61</v>
      </c>
      <c r="Q113" s="7" t="s">
        <v>62</v>
      </c>
      <c r="R113" s="7" t="s">
        <v>2040</v>
      </c>
      <c r="S113" s="7" t="n">
        <v>23</v>
      </c>
      <c r="T113" s="7" t="s">
        <v>903</v>
      </c>
      <c r="U113" s="7" t="n">
        <v>1</v>
      </c>
      <c r="V113" s="7" t="n">
        <v>13</v>
      </c>
      <c r="W113" s="7"/>
      <c r="X113" s="7"/>
      <c r="Y113" s="7"/>
      <c r="Z113" s="7" t="s">
        <v>2041</v>
      </c>
      <c r="AA113" s="9" t="s">
        <v>2042</v>
      </c>
      <c r="AB113" s="7" t="s">
        <v>2043</v>
      </c>
      <c r="AC113" s="7" t="s">
        <v>2044</v>
      </c>
      <c r="AD113" s="7" t="s">
        <v>2045</v>
      </c>
      <c r="AE113" s="7" t="s">
        <v>2046</v>
      </c>
      <c r="AF113" s="7"/>
      <c r="AG113" s="7"/>
      <c r="AH113" s="7"/>
      <c r="AI113" s="7"/>
      <c r="AJ113" s="10" t="s">
        <v>2047</v>
      </c>
      <c r="AK113" s="7" t="s">
        <v>2048</v>
      </c>
      <c r="AL113" s="7" t="s">
        <v>2049</v>
      </c>
      <c r="AM113" s="7" t="s">
        <v>2050</v>
      </c>
      <c r="AN113" s="7"/>
      <c r="AO113" s="7"/>
      <c r="AP113" s="7"/>
      <c r="AQ113" s="7"/>
      <c r="AR113" s="7"/>
      <c r="AS113" s="7"/>
      <c r="AT113" s="7" t="s">
        <v>2051</v>
      </c>
      <c r="AU113" s="7"/>
      <c r="AV113" s="7"/>
      <c r="AW113" s="7" t="n">
        <v>38764024</v>
      </c>
      <c r="AX113" s="7" t="s">
        <v>2052</v>
      </c>
      <c r="AY113" s="7" t="s">
        <v>75</v>
      </c>
      <c r="AZ113" s="7" t="s">
        <v>127</v>
      </c>
      <c r="BA113" s="7" t="s">
        <v>76</v>
      </c>
      <c r="BB113" s="7" t="s">
        <v>2053</v>
      </c>
      <c r="BC113" s="7"/>
      <c r="BD113" s="7"/>
      <c r="BE113" s="7"/>
      <c r="BF113" s="7"/>
      <c r="BG113" s="7"/>
      <c r="BH113" s="7"/>
      <c r="BI113" s="7"/>
    </row>
    <row r="114" customFormat="false" ht="14.25" hidden="false" customHeight="true" outlineLevel="0" collapsed="false">
      <c r="A114" s="7" t="s">
        <v>2054</v>
      </c>
      <c r="B114" s="7" t="s">
        <v>2055</v>
      </c>
      <c r="C114" s="7" t="s">
        <v>2056</v>
      </c>
      <c r="D114" s="7" t="s">
        <v>2057</v>
      </c>
      <c r="E114" s="7" t="n">
        <v>2024</v>
      </c>
      <c r="F114" s="8" t="s">
        <v>2058</v>
      </c>
      <c r="G114" s="6" t="s">
        <v>713</v>
      </c>
      <c r="H114" s="7"/>
      <c r="I114" s="7"/>
      <c r="J114" s="7"/>
      <c r="K114" s="7"/>
      <c r="L114" s="7"/>
      <c r="M114" s="7"/>
      <c r="N114" s="7"/>
      <c r="O114" s="7"/>
      <c r="P114" s="7" t="s">
        <v>61</v>
      </c>
      <c r="Q114" s="7" t="s">
        <v>62</v>
      </c>
      <c r="R114" s="7" t="s">
        <v>679</v>
      </c>
      <c r="S114" s="7" t="n">
        <v>18</v>
      </c>
      <c r="T114" s="7" t="s">
        <v>500</v>
      </c>
      <c r="U114" s="7" t="n">
        <v>1</v>
      </c>
      <c r="V114" s="7" t="s">
        <v>2059</v>
      </c>
      <c r="W114" s="7"/>
      <c r="X114" s="7"/>
      <c r="Y114" s="7"/>
      <c r="Z114" s="7" t="s">
        <v>2060</v>
      </c>
      <c r="AA114" s="9" t="s">
        <v>2061</v>
      </c>
      <c r="AB114" s="7" t="s">
        <v>2062</v>
      </c>
      <c r="AC114" s="7" t="s">
        <v>2063</v>
      </c>
      <c r="AD114" s="7"/>
      <c r="AE114" s="7" t="s">
        <v>2064</v>
      </c>
      <c r="AF114" s="7"/>
      <c r="AG114" s="7" t="s">
        <v>2065</v>
      </c>
      <c r="AH114" s="7"/>
      <c r="AI114" s="7"/>
      <c r="AJ114" s="10"/>
      <c r="AK114" s="7"/>
      <c r="AL114" s="7" t="s">
        <v>2066</v>
      </c>
      <c r="AM114" s="7" t="s">
        <v>2067</v>
      </c>
      <c r="AN114" s="7"/>
      <c r="AO114" s="7"/>
      <c r="AP114" s="7"/>
      <c r="AQ114" s="7"/>
      <c r="AR114" s="7"/>
      <c r="AS114" s="7"/>
      <c r="AT114" s="7" t="n">
        <v>19352727</v>
      </c>
      <c r="AU114" s="7"/>
      <c r="AV114" s="7"/>
      <c r="AW114" s="7" t="n">
        <v>38190401</v>
      </c>
      <c r="AX114" s="7" t="s">
        <v>689</v>
      </c>
      <c r="AY114" s="7" t="s">
        <v>75</v>
      </c>
      <c r="AZ114" s="7" t="s">
        <v>107</v>
      </c>
      <c r="BA114" s="7" t="s">
        <v>76</v>
      </c>
      <c r="BB114" s="7" t="s">
        <v>2068</v>
      </c>
      <c r="BC114" s="7"/>
      <c r="BD114" s="7"/>
      <c r="BE114" s="7"/>
      <c r="BF114" s="7"/>
      <c r="BG114" s="7"/>
      <c r="BH114" s="7"/>
      <c r="BI114" s="7"/>
    </row>
    <row r="115" customFormat="false" ht="14.25" hidden="false" customHeight="true" outlineLevel="0" collapsed="false">
      <c r="A115" s="7" t="s">
        <v>2069</v>
      </c>
      <c r="B115" s="7" t="s">
        <v>2070</v>
      </c>
      <c r="C115" s="7" t="s">
        <v>2071</v>
      </c>
      <c r="D115" s="7" t="s">
        <v>2072</v>
      </c>
      <c r="E115" s="7" t="n">
        <v>2024</v>
      </c>
      <c r="F115" s="8" t="s">
        <v>2073</v>
      </c>
      <c r="G115" s="6" t="s">
        <v>393</v>
      </c>
      <c r="H115" s="7"/>
      <c r="I115" s="7"/>
      <c r="J115" s="7"/>
      <c r="K115" s="7"/>
      <c r="L115" s="7"/>
      <c r="M115" s="7"/>
      <c r="N115" s="7"/>
      <c r="O115" s="7"/>
      <c r="P115" s="7" t="s">
        <v>61</v>
      </c>
      <c r="Q115" s="7" t="s">
        <v>62</v>
      </c>
      <c r="R115" s="7" t="s">
        <v>902</v>
      </c>
      <c r="S115" s="7" t="n">
        <v>23</v>
      </c>
      <c r="T115" s="7" t="s">
        <v>903</v>
      </c>
      <c r="U115" s="7" t="n">
        <v>1</v>
      </c>
      <c r="V115" s="7" t="n">
        <v>199</v>
      </c>
      <c r="W115" s="7"/>
      <c r="X115" s="7"/>
      <c r="Y115" s="7"/>
      <c r="Z115" s="7" t="s">
        <v>2074</v>
      </c>
      <c r="AA115" s="9" t="s">
        <v>2075</v>
      </c>
      <c r="AB115" s="7" t="s">
        <v>2076</v>
      </c>
      <c r="AC115" s="7" t="s">
        <v>2077</v>
      </c>
      <c r="AD115" s="7"/>
      <c r="AE115" s="7" t="s">
        <v>2078</v>
      </c>
      <c r="AF115" s="7"/>
      <c r="AG115" s="7" t="s">
        <v>2079</v>
      </c>
      <c r="AH115" s="7" t="s">
        <v>2080</v>
      </c>
      <c r="AI115" s="7" t="s">
        <v>2081</v>
      </c>
      <c r="AJ115" s="10" t="s">
        <v>2082</v>
      </c>
      <c r="AK115" s="7" t="s">
        <v>2083</v>
      </c>
      <c r="AL115" s="7" t="s">
        <v>2084</v>
      </c>
      <c r="AM115" s="7" t="s">
        <v>2085</v>
      </c>
      <c r="AN115" s="7"/>
      <c r="AO115" s="7"/>
      <c r="AP115" s="7"/>
      <c r="AQ115" s="7"/>
      <c r="AR115" s="7"/>
      <c r="AS115" s="7"/>
      <c r="AT115" s="7" t="n">
        <v>14752875</v>
      </c>
      <c r="AU115" s="7"/>
      <c r="AV115" s="7"/>
      <c r="AW115" s="7" t="n">
        <v>38943155</v>
      </c>
      <c r="AX115" s="7" t="s">
        <v>914</v>
      </c>
      <c r="AY115" s="7" t="s">
        <v>75</v>
      </c>
      <c r="AZ115" s="7" t="s">
        <v>107</v>
      </c>
      <c r="BA115" s="7" t="s">
        <v>76</v>
      </c>
      <c r="BB115" s="7" t="s">
        <v>2086</v>
      </c>
      <c r="BC115" s="7"/>
      <c r="BD115" s="7"/>
      <c r="BE115" s="7"/>
      <c r="BF115" s="7"/>
      <c r="BG115" s="7"/>
      <c r="BH115" s="7"/>
      <c r="BI115" s="7"/>
    </row>
    <row r="116" customFormat="false" ht="14.25" hidden="false" customHeight="true" outlineLevel="0" collapsed="false">
      <c r="A116" s="7" t="s">
        <v>2087</v>
      </c>
      <c r="B116" s="7" t="s">
        <v>2088</v>
      </c>
      <c r="C116" s="7" t="s">
        <v>2089</v>
      </c>
      <c r="D116" s="7" t="s">
        <v>2090</v>
      </c>
      <c r="E116" s="7" t="n">
        <v>2024</v>
      </c>
      <c r="F116" s="8" t="s">
        <v>2091</v>
      </c>
      <c r="G116" s="6" t="s">
        <v>1159</v>
      </c>
      <c r="H116" s="7"/>
      <c r="I116" s="7"/>
      <c r="J116" s="7"/>
      <c r="K116" s="7"/>
      <c r="L116" s="7"/>
      <c r="M116" s="7"/>
      <c r="N116" s="7"/>
      <c r="O116" s="7"/>
      <c r="P116" s="7" t="s">
        <v>61</v>
      </c>
      <c r="Q116" s="7" t="s">
        <v>62</v>
      </c>
      <c r="R116" s="7" t="s">
        <v>2092</v>
      </c>
      <c r="S116" s="7" t="n">
        <v>24</v>
      </c>
      <c r="T116" s="7" t="s">
        <v>903</v>
      </c>
      <c r="U116" s="7" t="n">
        <v>1</v>
      </c>
      <c r="V116" s="7" t="n">
        <v>1062</v>
      </c>
      <c r="W116" s="7"/>
      <c r="X116" s="7"/>
      <c r="Y116" s="7"/>
      <c r="Z116" s="7" t="s">
        <v>2093</v>
      </c>
      <c r="AA116" s="9" t="s">
        <v>2094</v>
      </c>
      <c r="AB116" s="7" t="s">
        <v>2095</v>
      </c>
      <c r="AC116" s="7" t="s">
        <v>2096</v>
      </c>
      <c r="AD116" s="7" t="s">
        <v>2097</v>
      </c>
      <c r="AE116" s="7" t="s">
        <v>2098</v>
      </c>
      <c r="AF116" s="7"/>
      <c r="AG116" s="7"/>
      <c r="AH116" s="7"/>
      <c r="AI116" s="7"/>
      <c r="AJ116" s="10" t="s">
        <v>2099</v>
      </c>
      <c r="AK116" s="7" t="s">
        <v>2100</v>
      </c>
      <c r="AL116" s="7" t="s">
        <v>2101</v>
      </c>
      <c r="AM116" s="7" t="s">
        <v>2102</v>
      </c>
      <c r="AN116" s="7"/>
      <c r="AO116" s="7"/>
      <c r="AP116" s="7"/>
      <c r="AQ116" s="7"/>
      <c r="AR116" s="7"/>
      <c r="AS116" s="7"/>
      <c r="AT116" s="7" t="n">
        <v>14712334</v>
      </c>
      <c r="AU116" s="7"/>
      <c r="AV116" s="7" t="s">
        <v>2103</v>
      </c>
      <c r="AW116" s="7" t="n">
        <v>39333964</v>
      </c>
      <c r="AX116" s="7" t="s">
        <v>2104</v>
      </c>
      <c r="AY116" s="7" t="s">
        <v>75</v>
      </c>
      <c r="AZ116" s="7" t="s">
        <v>127</v>
      </c>
      <c r="BA116" s="7" t="s">
        <v>76</v>
      </c>
      <c r="BB116" s="7" t="s">
        <v>2105</v>
      </c>
      <c r="BC116" s="7"/>
      <c r="BD116" s="7"/>
      <c r="BE116" s="7"/>
      <c r="BF116" s="7"/>
      <c r="BG116" s="7"/>
      <c r="BH116" s="7"/>
      <c r="BI116" s="7"/>
    </row>
    <row r="117" customFormat="false" ht="14.25" hidden="false" customHeight="true" outlineLevel="0" collapsed="false">
      <c r="A117" s="7" t="s">
        <v>2106</v>
      </c>
      <c r="B117" s="7" t="s">
        <v>2107</v>
      </c>
      <c r="C117" s="7" t="s">
        <v>2108</v>
      </c>
      <c r="D117" s="7" t="s">
        <v>2109</v>
      </c>
      <c r="E117" s="7" t="n">
        <v>2024</v>
      </c>
      <c r="F117" s="8" t="s">
        <v>2110</v>
      </c>
      <c r="G117" s="6" t="s">
        <v>134</v>
      </c>
      <c r="H117" s="7"/>
      <c r="I117" s="7"/>
      <c r="J117" s="7"/>
      <c r="K117" s="7"/>
      <c r="L117" s="7"/>
      <c r="M117" s="7"/>
      <c r="N117" s="7"/>
      <c r="O117" s="7"/>
      <c r="P117" s="7" t="s">
        <v>255</v>
      </c>
      <c r="Q117" s="7" t="s">
        <v>62</v>
      </c>
      <c r="R117" s="7" t="s">
        <v>2111</v>
      </c>
      <c r="S117" s="7"/>
      <c r="T117" s="7" t="s">
        <v>2112</v>
      </c>
      <c r="U117" s="7"/>
      <c r="V117" s="7"/>
      <c r="W117" s="7" t="n">
        <v>214</v>
      </c>
      <c r="X117" s="7" t="n">
        <v>235</v>
      </c>
      <c r="Y117" s="7" t="n">
        <v>21</v>
      </c>
      <c r="Z117" s="7" t="s">
        <v>2113</v>
      </c>
      <c r="AA117" s="9" t="s">
        <v>2114</v>
      </c>
      <c r="AB117" s="7" t="s">
        <v>2115</v>
      </c>
      <c r="AC117" s="7" t="s">
        <v>2116</v>
      </c>
      <c r="AD117" s="7"/>
      <c r="AE117" s="7"/>
      <c r="AF117" s="7"/>
      <c r="AG117" s="7"/>
      <c r="AH117" s="7"/>
      <c r="AI117" s="7"/>
      <c r="AJ117" s="10"/>
      <c r="AK117" s="7"/>
      <c r="AL117" s="7" t="s">
        <v>2117</v>
      </c>
      <c r="AM117" s="7"/>
      <c r="AN117" s="7"/>
      <c r="AO117" s="7"/>
      <c r="AP117" s="7"/>
      <c r="AQ117" s="7"/>
      <c r="AR117" s="7"/>
      <c r="AS117" s="7"/>
      <c r="AT117" s="7"/>
      <c r="AU117" s="7" t="s">
        <v>2118</v>
      </c>
      <c r="AV117" s="7"/>
      <c r="AW117" s="7"/>
      <c r="AX117" s="7" t="s">
        <v>2119</v>
      </c>
      <c r="AY117" s="7" t="s">
        <v>75</v>
      </c>
      <c r="AZ117" s="7"/>
      <c r="BA117" s="7" t="s">
        <v>76</v>
      </c>
      <c r="BB117" s="7" t="s">
        <v>2120</v>
      </c>
      <c r="BC117" s="7"/>
      <c r="BD117" s="7"/>
      <c r="BE117" s="7"/>
      <c r="BF117" s="7"/>
      <c r="BG117" s="7"/>
      <c r="BH117" s="7"/>
      <c r="BI117" s="7"/>
    </row>
    <row r="118" customFormat="false" ht="14.25" hidden="false" customHeight="true" outlineLevel="0" collapsed="false">
      <c r="A118" s="7" t="s">
        <v>2121</v>
      </c>
      <c r="B118" s="7" t="s">
        <v>2122</v>
      </c>
      <c r="C118" s="7" t="s">
        <v>2123</v>
      </c>
      <c r="D118" s="7" t="s">
        <v>2124</v>
      </c>
      <c r="E118" s="7" t="n">
        <v>2024</v>
      </c>
      <c r="F118" s="8" t="s">
        <v>2125</v>
      </c>
      <c r="G118" s="6" t="s">
        <v>713</v>
      </c>
      <c r="H118" s="7"/>
      <c r="I118" s="7"/>
      <c r="J118" s="7"/>
      <c r="K118" s="7"/>
      <c r="L118" s="7"/>
      <c r="M118" s="7"/>
      <c r="N118" s="7"/>
      <c r="O118" s="7"/>
      <c r="P118" s="7" t="s">
        <v>255</v>
      </c>
      <c r="Q118" s="7" t="s">
        <v>62</v>
      </c>
      <c r="R118" s="7" t="s">
        <v>2126</v>
      </c>
      <c r="S118" s="7"/>
      <c r="T118" s="7" t="s">
        <v>2112</v>
      </c>
      <c r="U118" s="7"/>
      <c r="V118" s="7"/>
      <c r="W118" s="7" t="n">
        <v>208</v>
      </c>
      <c r="X118" s="7" t="n">
        <v>232</v>
      </c>
      <c r="Y118" s="7" t="n">
        <v>24</v>
      </c>
      <c r="Z118" s="7" t="s">
        <v>2127</v>
      </c>
      <c r="AA118" s="9" t="s">
        <v>2128</v>
      </c>
      <c r="AB118" s="7" t="s">
        <v>2129</v>
      </c>
      <c r="AC118" s="7" t="s">
        <v>2130</v>
      </c>
      <c r="AD118" s="7"/>
      <c r="AE118" s="7"/>
      <c r="AF118" s="7"/>
      <c r="AG118" s="7"/>
      <c r="AH118" s="7"/>
      <c r="AI118" s="7"/>
      <c r="AJ118" s="10"/>
      <c r="AK118" s="7"/>
      <c r="AL118" s="7" t="s">
        <v>2131</v>
      </c>
      <c r="AM118" s="7"/>
      <c r="AN118" s="7"/>
      <c r="AO118" s="7"/>
      <c r="AP118" s="7"/>
      <c r="AQ118" s="7"/>
      <c r="AR118" s="7"/>
      <c r="AS118" s="7"/>
      <c r="AT118" s="7"/>
      <c r="AU118" s="7" t="s">
        <v>2132</v>
      </c>
      <c r="AV118" s="7"/>
      <c r="AW118" s="7"/>
      <c r="AX118" s="7" t="s">
        <v>2133</v>
      </c>
      <c r="AY118" s="7" t="s">
        <v>75</v>
      </c>
      <c r="AZ118" s="7"/>
      <c r="BA118" s="7" t="s">
        <v>76</v>
      </c>
      <c r="BB118" s="7" t="s">
        <v>2134</v>
      </c>
      <c r="BC118" s="7"/>
      <c r="BD118" s="7"/>
      <c r="BE118" s="7"/>
      <c r="BF118" s="7"/>
      <c r="BG118" s="7"/>
      <c r="BH118" s="7"/>
      <c r="BI118" s="7"/>
    </row>
    <row r="119" customFormat="false" ht="14.25" hidden="false" customHeight="true" outlineLevel="0" collapsed="false">
      <c r="A119" s="7" t="s">
        <v>2135</v>
      </c>
      <c r="B119" s="7" t="s">
        <v>2136</v>
      </c>
      <c r="C119" s="7" t="n">
        <v>35119270600</v>
      </c>
      <c r="D119" s="7" t="s">
        <v>2137</v>
      </c>
      <c r="E119" s="7" t="n">
        <v>2024</v>
      </c>
      <c r="F119" s="8" t="s">
        <v>2138</v>
      </c>
      <c r="G119" s="6" t="s">
        <v>169</v>
      </c>
      <c r="H119" s="7"/>
      <c r="I119" s="7"/>
      <c r="J119" s="7"/>
      <c r="K119" s="7"/>
      <c r="L119" s="7"/>
      <c r="M119" s="7"/>
      <c r="N119" s="7"/>
      <c r="O119" s="7"/>
      <c r="P119" s="7" t="s">
        <v>255</v>
      </c>
      <c r="Q119" s="7" t="s">
        <v>62</v>
      </c>
      <c r="R119" s="7" t="s">
        <v>2139</v>
      </c>
      <c r="S119" s="7"/>
      <c r="T119" s="7" t="s">
        <v>274</v>
      </c>
      <c r="U119" s="7"/>
      <c r="V119" s="7"/>
      <c r="W119" s="7" t="n">
        <v>34</v>
      </c>
      <c r="X119" s="7" t="n">
        <v>48</v>
      </c>
      <c r="Y119" s="7" t="n">
        <v>14</v>
      </c>
      <c r="Z119" s="7" t="s">
        <v>2140</v>
      </c>
      <c r="AA119" s="9" t="s">
        <v>2141</v>
      </c>
      <c r="AB119" s="7" t="s">
        <v>2142</v>
      </c>
      <c r="AC119" s="7" t="s">
        <v>2143</v>
      </c>
      <c r="AD119" s="7"/>
      <c r="AE119" s="7"/>
      <c r="AF119" s="7"/>
      <c r="AG119" s="7"/>
      <c r="AH119" s="7"/>
      <c r="AI119" s="7"/>
      <c r="AJ119" s="10"/>
      <c r="AK119" s="7"/>
      <c r="AL119" s="7" t="s">
        <v>2144</v>
      </c>
      <c r="AM119" s="7"/>
      <c r="AN119" s="7"/>
      <c r="AO119" s="7"/>
      <c r="AP119" s="7"/>
      <c r="AQ119" s="7"/>
      <c r="AR119" s="7"/>
      <c r="AS119" s="7"/>
      <c r="AT119" s="7"/>
      <c r="AU119" s="7" t="s">
        <v>2145</v>
      </c>
      <c r="AV119" s="7"/>
      <c r="AW119" s="7"/>
      <c r="AX119" s="7" t="s">
        <v>2146</v>
      </c>
      <c r="AY119" s="7" t="s">
        <v>75</v>
      </c>
      <c r="AZ119" s="7"/>
      <c r="BA119" s="7" t="s">
        <v>76</v>
      </c>
      <c r="BB119" s="7" t="s">
        <v>2147</v>
      </c>
      <c r="BC119" s="7"/>
      <c r="BD119" s="7"/>
      <c r="BE119" s="7"/>
      <c r="BF119" s="7"/>
      <c r="BG119" s="7"/>
      <c r="BH119" s="7"/>
      <c r="BI119" s="7"/>
    </row>
    <row r="120" customFormat="false" ht="14.25" hidden="false" customHeight="true" outlineLevel="0" collapsed="false">
      <c r="A120" s="7" t="s">
        <v>2148</v>
      </c>
      <c r="B120" s="7" t="s">
        <v>2149</v>
      </c>
      <c r="C120" s="7" t="s">
        <v>2150</v>
      </c>
      <c r="D120" s="7" t="s">
        <v>2151</v>
      </c>
      <c r="E120" s="7" t="n">
        <v>2024</v>
      </c>
      <c r="F120" s="8" t="s">
        <v>2152</v>
      </c>
      <c r="G120" s="6" t="s">
        <v>290</v>
      </c>
      <c r="H120" s="7"/>
      <c r="I120" s="7"/>
      <c r="J120" s="7"/>
      <c r="K120" s="7"/>
      <c r="L120" s="7"/>
      <c r="M120" s="7"/>
      <c r="N120" s="7"/>
      <c r="O120" s="7"/>
      <c r="P120" s="7" t="s">
        <v>255</v>
      </c>
      <c r="Q120" s="7" t="s">
        <v>62</v>
      </c>
      <c r="R120" s="7" t="s">
        <v>2153</v>
      </c>
      <c r="S120" s="7" t="n">
        <v>207</v>
      </c>
      <c r="T120" s="7" t="s">
        <v>202</v>
      </c>
      <c r="U120" s="7"/>
      <c r="V120" s="7"/>
      <c r="W120" s="7" t="n">
        <v>337</v>
      </c>
      <c r="X120" s="7" t="n">
        <v>353</v>
      </c>
      <c r="Y120" s="7" t="n">
        <v>16</v>
      </c>
      <c r="Z120" s="7" t="s">
        <v>2154</v>
      </c>
      <c r="AA120" s="9" t="s">
        <v>2155</v>
      </c>
      <c r="AB120" s="7" t="s">
        <v>2156</v>
      </c>
      <c r="AC120" s="7" t="s">
        <v>2157</v>
      </c>
      <c r="AD120" s="7" t="s">
        <v>2158</v>
      </c>
      <c r="AE120" s="7" t="s">
        <v>2159</v>
      </c>
      <c r="AF120" s="7"/>
      <c r="AG120" s="7" t="s">
        <v>2160</v>
      </c>
      <c r="AH120" s="7" t="s">
        <v>2161</v>
      </c>
      <c r="AI120" s="7"/>
      <c r="AJ120" s="10"/>
      <c r="AK120" s="7"/>
      <c r="AL120" s="7" t="s">
        <v>2162</v>
      </c>
      <c r="AM120" s="7" t="s">
        <v>2163</v>
      </c>
      <c r="AN120" s="7" t="s">
        <v>2164</v>
      </c>
      <c r="AO120" s="7"/>
      <c r="AP120" s="7"/>
      <c r="AQ120" s="7"/>
      <c r="AR120" s="7"/>
      <c r="AS120" s="7"/>
      <c r="AT120" s="7" t="n">
        <v>18771173</v>
      </c>
      <c r="AU120" s="7" t="s">
        <v>2165</v>
      </c>
      <c r="AV120" s="7"/>
      <c r="AW120" s="7" t="n">
        <v>38942543</v>
      </c>
      <c r="AX120" s="7" t="s">
        <v>2166</v>
      </c>
      <c r="AY120" s="7" t="s">
        <v>75</v>
      </c>
      <c r="AZ120" s="7"/>
      <c r="BA120" s="7" t="s">
        <v>76</v>
      </c>
      <c r="BB120" s="7" t="s">
        <v>2167</v>
      </c>
      <c r="BC120" s="7"/>
      <c r="BD120" s="7"/>
      <c r="BE120" s="7"/>
      <c r="BF120" s="7"/>
      <c r="BG120" s="7"/>
      <c r="BH120" s="7"/>
      <c r="BI120" s="7"/>
    </row>
    <row r="121" customFormat="false" ht="14.25" hidden="false" customHeight="true" outlineLevel="0" collapsed="false">
      <c r="A121" s="7" t="s">
        <v>2168</v>
      </c>
      <c r="B121" s="7" t="s">
        <v>2169</v>
      </c>
      <c r="C121" s="7" t="s">
        <v>2170</v>
      </c>
      <c r="D121" s="7" t="s">
        <v>2171</v>
      </c>
      <c r="E121" s="7" t="n">
        <v>2024</v>
      </c>
      <c r="F121" s="8" t="s">
        <v>2172</v>
      </c>
      <c r="G121" s="6" t="s">
        <v>713</v>
      </c>
      <c r="H121" s="7"/>
      <c r="I121" s="7"/>
      <c r="J121" s="7"/>
      <c r="K121" s="7"/>
      <c r="L121" s="7"/>
      <c r="M121" s="7"/>
      <c r="N121" s="7"/>
      <c r="O121" s="7"/>
      <c r="P121" s="7" t="s">
        <v>255</v>
      </c>
      <c r="Q121" s="7" t="s">
        <v>62</v>
      </c>
      <c r="R121" s="7" t="s">
        <v>2173</v>
      </c>
      <c r="S121" s="7" t="s">
        <v>2174</v>
      </c>
      <c r="T121" s="7" t="s">
        <v>307</v>
      </c>
      <c r="U121" s="7"/>
      <c r="V121" s="7"/>
      <c r="W121" s="7" t="n">
        <v>387</v>
      </c>
      <c r="X121" s="7" t="n">
        <v>397</v>
      </c>
      <c r="Y121" s="7" t="n">
        <v>10</v>
      </c>
      <c r="Z121" s="7" t="s">
        <v>2175</v>
      </c>
      <c r="AA121" s="9" t="s">
        <v>2176</v>
      </c>
      <c r="AB121" s="7" t="s">
        <v>2177</v>
      </c>
      <c r="AC121" s="7" t="s">
        <v>2178</v>
      </c>
      <c r="AD121" s="7" t="s">
        <v>2179</v>
      </c>
      <c r="AE121" s="7" t="s">
        <v>2180</v>
      </c>
      <c r="AF121" s="7"/>
      <c r="AG121" s="7"/>
      <c r="AH121" s="7"/>
      <c r="AI121" s="7"/>
      <c r="AJ121" s="10"/>
      <c r="AK121" s="7"/>
      <c r="AL121" s="7" t="s">
        <v>2181</v>
      </c>
      <c r="AM121" s="7" t="s">
        <v>2182</v>
      </c>
      <c r="AN121" s="7"/>
      <c r="AO121" s="7"/>
      <c r="AP121" s="7"/>
      <c r="AQ121" s="7"/>
      <c r="AR121" s="7"/>
      <c r="AS121" s="7"/>
      <c r="AT121" s="7" t="n">
        <v>18604862</v>
      </c>
      <c r="AU121" s="7"/>
      <c r="AV121" s="7"/>
      <c r="AW121" s="7"/>
      <c r="AX121" s="7" t="s">
        <v>2183</v>
      </c>
      <c r="AY121" s="7" t="s">
        <v>75</v>
      </c>
      <c r="AZ121" s="7"/>
      <c r="BA121" s="7" t="s">
        <v>76</v>
      </c>
      <c r="BB121" s="7" t="s">
        <v>2184</v>
      </c>
      <c r="BC121" s="7"/>
      <c r="BD121" s="7"/>
      <c r="BE121" s="7"/>
      <c r="BF121" s="7"/>
      <c r="BG121" s="7"/>
      <c r="BH121" s="7"/>
      <c r="BI121" s="7"/>
    </row>
    <row r="122" customFormat="false" ht="14.25" hidden="false" customHeight="true" outlineLevel="0" collapsed="false">
      <c r="A122" s="7" t="s">
        <v>2185</v>
      </c>
      <c r="B122" s="7" t="s">
        <v>2186</v>
      </c>
      <c r="C122" s="7" t="s">
        <v>2187</v>
      </c>
      <c r="D122" s="7" t="s">
        <v>2188</v>
      </c>
      <c r="E122" s="7" t="n">
        <v>2024</v>
      </c>
      <c r="F122" s="8" t="s">
        <v>2189</v>
      </c>
      <c r="G122" s="6" t="s">
        <v>290</v>
      </c>
      <c r="H122" s="7"/>
      <c r="I122" s="7"/>
      <c r="J122" s="7"/>
      <c r="K122" s="7"/>
      <c r="L122" s="7"/>
      <c r="M122" s="7"/>
      <c r="N122" s="7"/>
      <c r="O122" s="7"/>
      <c r="P122" s="7" t="s">
        <v>304</v>
      </c>
      <c r="Q122" s="7" t="s">
        <v>62</v>
      </c>
      <c r="R122" s="7" t="s">
        <v>2190</v>
      </c>
      <c r="S122" s="7"/>
      <c r="T122" s="7" t="s">
        <v>187</v>
      </c>
      <c r="U122" s="7"/>
      <c r="V122" s="7"/>
      <c r="W122" s="7"/>
      <c r="X122" s="7"/>
      <c r="Y122" s="7"/>
      <c r="Z122" s="7" t="s">
        <v>2191</v>
      </c>
      <c r="AA122" s="9" t="s">
        <v>2192</v>
      </c>
      <c r="AB122" s="7" t="s">
        <v>2193</v>
      </c>
      <c r="AC122" s="7" t="s">
        <v>2194</v>
      </c>
      <c r="AD122" s="7" t="s">
        <v>2195</v>
      </c>
      <c r="AE122" s="7" t="s">
        <v>2196</v>
      </c>
      <c r="AF122" s="7"/>
      <c r="AG122" s="7"/>
      <c r="AH122" s="7"/>
      <c r="AI122" s="7"/>
      <c r="AJ122" s="10"/>
      <c r="AK122" s="7"/>
      <c r="AL122" s="7" t="s">
        <v>2197</v>
      </c>
      <c r="AM122" s="7" t="s">
        <v>2198</v>
      </c>
      <c r="AN122" s="7"/>
      <c r="AO122" s="7"/>
      <c r="AP122" s="7" t="s">
        <v>2199</v>
      </c>
      <c r="AQ122" s="7" t="s">
        <v>2200</v>
      </c>
      <c r="AR122" s="7" t="s">
        <v>2201</v>
      </c>
      <c r="AS122" s="7" t="n">
        <v>199351</v>
      </c>
      <c r="AT122" s="7"/>
      <c r="AU122" s="7" t="s">
        <v>2202</v>
      </c>
      <c r="AV122" s="7"/>
      <c r="AW122" s="7"/>
      <c r="AX122" s="7" t="s">
        <v>2203</v>
      </c>
      <c r="AY122" s="7" t="s">
        <v>75</v>
      </c>
      <c r="AZ122" s="7"/>
      <c r="BA122" s="7" t="s">
        <v>76</v>
      </c>
      <c r="BB122" s="7" t="s">
        <v>2204</v>
      </c>
      <c r="BC122" s="7"/>
      <c r="BD122" s="7"/>
      <c r="BE122" s="7"/>
      <c r="BF122" s="7"/>
      <c r="BG122" s="7"/>
      <c r="BH122" s="7"/>
      <c r="BI122" s="7"/>
    </row>
    <row r="123" customFormat="false" ht="14.25" hidden="false" customHeight="true" outlineLevel="0" collapsed="false">
      <c r="A123" s="7" t="s">
        <v>2205</v>
      </c>
      <c r="B123" s="7" t="s">
        <v>2206</v>
      </c>
      <c r="C123" s="7" t="s">
        <v>2207</v>
      </c>
      <c r="D123" s="7" t="s">
        <v>2208</v>
      </c>
      <c r="E123" s="7" t="n">
        <v>2024</v>
      </c>
      <c r="F123" s="8" t="s">
        <v>2209</v>
      </c>
      <c r="G123" s="6" t="s">
        <v>393</v>
      </c>
      <c r="H123" s="7"/>
      <c r="I123" s="7"/>
      <c r="J123" s="7"/>
      <c r="K123" s="7"/>
      <c r="L123" s="7"/>
      <c r="M123" s="7"/>
      <c r="N123" s="7"/>
      <c r="O123" s="7"/>
      <c r="P123" s="7" t="s">
        <v>304</v>
      </c>
      <c r="Q123" s="7" t="s">
        <v>62</v>
      </c>
      <c r="R123" s="7" t="s">
        <v>2210</v>
      </c>
      <c r="S123" s="7"/>
      <c r="T123" s="7" t="s">
        <v>187</v>
      </c>
      <c r="U123" s="7"/>
      <c r="V123" s="7"/>
      <c r="W123" s="7" t="n">
        <v>1475</v>
      </c>
      <c r="X123" s="7" t="n">
        <v>1478</v>
      </c>
      <c r="Y123" s="7" t="n">
        <v>3</v>
      </c>
      <c r="Z123" s="7" t="s">
        <v>2211</v>
      </c>
      <c r="AA123" s="9" t="s">
        <v>2212</v>
      </c>
      <c r="AB123" s="7" t="s">
        <v>2213</v>
      </c>
      <c r="AC123" s="7" t="s">
        <v>2214</v>
      </c>
      <c r="AD123" s="7" t="s">
        <v>2215</v>
      </c>
      <c r="AE123" s="7" t="s">
        <v>2216</v>
      </c>
      <c r="AF123" s="7"/>
      <c r="AG123" s="7"/>
      <c r="AH123" s="7"/>
      <c r="AI123" s="7"/>
      <c r="AJ123" s="10"/>
      <c r="AK123" s="7"/>
      <c r="AL123" s="7" t="s">
        <v>2217</v>
      </c>
      <c r="AM123" s="7" t="s">
        <v>2218</v>
      </c>
      <c r="AN123" s="7" t="s">
        <v>2219</v>
      </c>
      <c r="AO123" s="7" t="s">
        <v>2220</v>
      </c>
      <c r="AP123" s="7" t="s">
        <v>2221</v>
      </c>
      <c r="AQ123" s="7" t="s">
        <v>2222</v>
      </c>
      <c r="AR123" s="7" t="s">
        <v>2223</v>
      </c>
      <c r="AS123" s="7" t="n">
        <v>205987</v>
      </c>
      <c r="AT123" s="7"/>
      <c r="AU123" s="7" t="s">
        <v>2224</v>
      </c>
      <c r="AV123" s="7"/>
      <c r="AW123" s="7"/>
      <c r="AX123" s="7" t="s">
        <v>2225</v>
      </c>
      <c r="AY123" s="7" t="s">
        <v>75</v>
      </c>
      <c r="AZ123" s="7"/>
      <c r="BA123" s="7" t="s">
        <v>76</v>
      </c>
      <c r="BB123" s="7" t="s">
        <v>2226</v>
      </c>
      <c r="BC123" s="7"/>
      <c r="BD123" s="7"/>
      <c r="BE123" s="7"/>
      <c r="BF123" s="7"/>
      <c r="BG123" s="7"/>
      <c r="BH123" s="7"/>
      <c r="BI123" s="7"/>
    </row>
    <row r="124" customFormat="false" ht="14.25" hidden="false" customHeight="true" outlineLevel="0" collapsed="false">
      <c r="A124" s="7" t="s">
        <v>2227</v>
      </c>
      <c r="B124" s="7" t="s">
        <v>2228</v>
      </c>
      <c r="C124" s="7" t="s">
        <v>2229</v>
      </c>
      <c r="D124" s="7" t="s">
        <v>2230</v>
      </c>
      <c r="E124" s="7" t="n">
        <v>2024</v>
      </c>
      <c r="F124" s="8" t="s">
        <v>2231</v>
      </c>
      <c r="G124" s="6" t="s">
        <v>134</v>
      </c>
      <c r="H124" s="7"/>
      <c r="I124" s="7"/>
      <c r="J124" s="7"/>
      <c r="K124" s="7"/>
      <c r="L124" s="7"/>
      <c r="M124" s="7"/>
      <c r="N124" s="7"/>
      <c r="O124" s="7"/>
      <c r="P124" s="7" t="s">
        <v>304</v>
      </c>
      <c r="Q124" s="7" t="s">
        <v>62</v>
      </c>
      <c r="R124" s="7" t="s">
        <v>2232</v>
      </c>
      <c r="S124" s="7"/>
      <c r="T124" s="7" t="s">
        <v>187</v>
      </c>
      <c r="U124" s="7"/>
      <c r="V124" s="7"/>
      <c r="W124" s="7" t="n">
        <v>222</v>
      </c>
      <c r="X124" s="7" t="n">
        <v>226</v>
      </c>
      <c r="Y124" s="7" t="n">
        <v>4</v>
      </c>
      <c r="Z124" s="7" t="s">
        <v>2233</v>
      </c>
      <c r="AA124" s="9" t="s">
        <v>2234</v>
      </c>
      <c r="AB124" s="7" t="s">
        <v>2235</v>
      </c>
      <c r="AC124" s="7" t="s">
        <v>2236</v>
      </c>
      <c r="AD124" s="7" t="s">
        <v>2237</v>
      </c>
      <c r="AE124" s="7" t="s">
        <v>2238</v>
      </c>
      <c r="AF124" s="7"/>
      <c r="AG124" s="7"/>
      <c r="AH124" s="7"/>
      <c r="AI124" s="7"/>
      <c r="AJ124" s="10"/>
      <c r="AK124" s="7"/>
      <c r="AL124" s="7" t="s">
        <v>2239</v>
      </c>
      <c r="AM124" s="7" t="s">
        <v>2240</v>
      </c>
      <c r="AN124" s="7"/>
      <c r="AO124" s="7" t="s">
        <v>2241</v>
      </c>
      <c r="AP124" s="7" t="s">
        <v>2242</v>
      </c>
      <c r="AQ124" s="7" t="s">
        <v>2243</v>
      </c>
      <c r="AR124" s="7" t="s">
        <v>2244</v>
      </c>
      <c r="AS124" s="7" t="n">
        <v>198935</v>
      </c>
      <c r="AT124" s="7"/>
      <c r="AU124" s="7" t="s">
        <v>2245</v>
      </c>
      <c r="AV124" s="7"/>
      <c r="AW124" s="7"/>
      <c r="AX124" s="7" t="s">
        <v>2246</v>
      </c>
      <c r="AY124" s="7" t="s">
        <v>75</v>
      </c>
      <c r="AZ124" s="7"/>
      <c r="BA124" s="7" t="s">
        <v>76</v>
      </c>
      <c r="BB124" s="7" t="s">
        <v>2247</v>
      </c>
      <c r="BC124" s="7"/>
      <c r="BD124" s="7"/>
      <c r="BE124" s="7"/>
      <c r="BF124" s="7"/>
      <c r="BG124" s="7"/>
      <c r="BH124" s="7"/>
      <c r="BI124" s="7"/>
    </row>
    <row r="125" customFormat="false" ht="14.25" hidden="false" customHeight="true" outlineLevel="0" collapsed="false">
      <c r="A125" s="7" t="s">
        <v>2248</v>
      </c>
      <c r="B125" s="7" t="s">
        <v>2249</v>
      </c>
      <c r="C125" s="7" t="s">
        <v>2250</v>
      </c>
      <c r="D125" s="7" t="s">
        <v>2251</v>
      </c>
      <c r="E125" s="7" t="n">
        <v>2024</v>
      </c>
      <c r="F125" s="8" t="s">
        <v>2252</v>
      </c>
      <c r="G125" s="6" t="s">
        <v>372</v>
      </c>
      <c r="H125" s="7"/>
      <c r="I125" s="7"/>
      <c r="J125" s="7"/>
      <c r="K125" s="7"/>
      <c r="L125" s="7"/>
      <c r="M125" s="7"/>
      <c r="N125" s="7"/>
      <c r="O125" s="7"/>
      <c r="P125" s="7" t="s">
        <v>304</v>
      </c>
      <c r="Q125" s="7" t="s">
        <v>62</v>
      </c>
      <c r="R125" s="7" t="s">
        <v>2253</v>
      </c>
      <c r="S125" s="7" t="n">
        <v>6</v>
      </c>
      <c r="T125" s="7" t="s">
        <v>2254</v>
      </c>
      <c r="U125" s="7"/>
      <c r="V125" s="7" t="s">
        <v>2255</v>
      </c>
      <c r="W125" s="7"/>
      <c r="X125" s="7"/>
      <c r="Y125" s="7"/>
      <c r="Z125" s="7" t="s">
        <v>2256</v>
      </c>
      <c r="AA125" s="9" t="s">
        <v>2257</v>
      </c>
      <c r="AB125" s="7" t="s">
        <v>2258</v>
      </c>
      <c r="AC125" s="7" t="s">
        <v>2259</v>
      </c>
      <c r="AD125" s="7" t="s">
        <v>2260</v>
      </c>
      <c r="AE125" s="7"/>
      <c r="AF125" s="7"/>
      <c r="AG125" s="7"/>
      <c r="AH125" s="7"/>
      <c r="AI125" s="7"/>
      <c r="AJ125" s="10"/>
      <c r="AK125" s="7"/>
      <c r="AL125" s="7" t="s">
        <v>2261</v>
      </c>
      <c r="AM125" s="7"/>
      <c r="AN125" s="7"/>
      <c r="AO125" s="7"/>
      <c r="AP125" s="7"/>
      <c r="AQ125" s="7"/>
      <c r="AR125" s="7"/>
      <c r="AS125" s="7"/>
      <c r="AT125" s="7" t="n">
        <v>26751240</v>
      </c>
      <c r="AU125" s="7"/>
      <c r="AV125" s="7"/>
      <c r="AW125" s="7"/>
      <c r="AX125" s="7" t="s">
        <v>2262</v>
      </c>
      <c r="AY125" s="7" t="s">
        <v>75</v>
      </c>
      <c r="AZ125" s="7"/>
      <c r="BA125" s="7" t="s">
        <v>76</v>
      </c>
      <c r="BB125" s="7" t="s">
        <v>2263</v>
      </c>
      <c r="BC125" s="7"/>
      <c r="BD125" s="7"/>
      <c r="BE125" s="7"/>
      <c r="BF125" s="7"/>
      <c r="BG125" s="7"/>
      <c r="BH125" s="7"/>
      <c r="BI125" s="7"/>
    </row>
    <row r="126" customFormat="false" ht="14.25" hidden="false" customHeight="true" outlineLevel="0" collapsed="false">
      <c r="A126" s="7" t="s">
        <v>2264</v>
      </c>
      <c r="B126" s="7" t="s">
        <v>2265</v>
      </c>
      <c r="C126" s="7" t="s">
        <v>2266</v>
      </c>
      <c r="D126" s="7" t="s">
        <v>2267</v>
      </c>
      <c r="E126" s="7" t="n">
        <v>2024</v>
      </c>
      <c r="F126" s="8" t="s">
        <v>2268</v>
      </c>
      <c r="G126" s="6" t="s">
        <v>134</v>
      </c>
      <c r="H126" s="7"/>
      <c r="I126" s="7"/>
      <c r="J126" s="7"/>
      <c r="K126" s="7"/>
      <c r="L126" s="7"/>
      <c r="M126" s="7"/>
      <c r="N126" s="7"/>
      <c r="O126" s="7"/>
      <c r="P126" s="7" t="s">
        <v>304</v>
      </c>
      <c r="Q126" s="7" t="s">
        <v>62</v>
      </c>
      <c r="R126" s="7" t="s">
        <v>2269</v>
      </c>
      <c r="S126" s="7"/>
      <c r="T126" s="7" t="s">
        <v>187</v>
      </c>
      <c r="U126" s="7"/>
      <c r="V126" s="7"/>
      <c r="W126" s="7"/>
      <c r="X126" s="7"/>
      <c r="Y126" s="7"/>
      <c r="Z126" s="7" t="s">
        <v>2270</v>
      </c>
      <c r="AA126" s="9" t="s">
        <v>2271</v>
      </c>
      <c r="AB126" s="7" t="s">
        <v>2272</v>
      </c>
      <c r="AC126" s="7" t="s">
        <v>2273</v>
      </c>
      <c r="AD126" s="7" t="s">
        <v>2274</v>
      </c>
      <c r="AE126" s="7" t="s">
        <v>2275</v>
      </c>
      <c r="AF126" s="7"/>
      <c r="AG126" s="7"/>
      <c r="AH126" s="7"/>
      <c r="AI126" s="7"/>
      <c r="AJ126" s="10" t="s">
        <v>2276</v>
      </c>
      <c r="AK126" s="7" t="s">
        <v>2277</v>
      </c>
      <c r="AL126" s="7" t="s">
        <v>2278</v>
      </c>
      <c r="AM126" s="7" t="s">
        <v>2279</v>
      </c>
      <c r="AN126" s="7"/>
      <c r="AO126" s="7"/>
      <c r="AP126" s="7" t="s">
        <v>2280</v>
      </c>
      <c r="AQ126" s="7" t="s">
        <v>2281</v>
      </c>
      <c r="AR126" s="7" t="s">
        <v>2282</v>
      </c>
      <c r="AS126" s="7" t="n">
        <v>201895</v>
      </c>
      <c r="AT126" s="7"/>
      <c r="AU126" s="7" t="s">
        <v>2283</v>
      </c>
      <c r="AV126" s="7"/>
      <c r="AW126" s="7"/>
      <c r="AX126" s="7" t="s">
        <v>2284</v>
      </c>
      <c r="AY126" s="7" t="s">
        <v>75</v>
      </c>
      <c r="AZ126" s="7"/>
      <c r="BA126" s="7" t="s">
        <v>76</v>
      </c>
      <c r="BB126" s="7" t="s">
        <v>2285</v>
      </c>
      <c r="BC126" s="7"/>
      <c r="BD126" s="7"/>
      <c r="BE126" s="7"/>
      <c r="BF126" s="7"/>
      <c r="BG126" s="7"/>
      <c r="BH126" s="7"/>
      <c r="BI126" s="7"/>
    </row>
    <row r="127" customFormat="false" ht="14.25" hidden="false" customHeight="true" outlineLevel="0" collapsed="false">
      <c r="A127" s="7" t="s">
        <v>2286</v>
      </c>
      <c r="B127" s="7" t="s">
        <v>2287</v>
      </c>
      <c r="C127" s="7" t="s">
        <v>2288</v>
      </c>
      <c r="D127" s="7" t="s">
        <v>2289</v>
      </c>
      <c r="E127" s="7" t="n">
        <v>2024</v>
      </c>
      <c r="F127" s="8" t="s">
        <v>2290</v>
      </c>
      <c r="G127" s="6" t="s">
        <v>134</v>
      </c>
      <c r="H127" s="7"/>
      <c r="I127" s="7"/>
      <c r="J127" s="7"/>
      <c r="K127" s="7"/>
      <c r="L127" s="7"/>
      <c r="M127" s="7"/>
      <c r="N127" s="7"/>
      <c r="O127" s="7"/>
      <c r="P127" s="7" t="s">
        <v>304</v>
      </c>
      <c r="Q127" s="7" t="s">
        <v>62</v>
      </c>
      <c r="R127" s="7" t="s">
        <v>2291</v>
      </c>
      <c r="S127" s="7"/>
      <c r="T127" s="7" t="s">
        <v>187</v>
      </c>
      <c r="U127" s="7"/>
      <c r="V127" s="7"/>
      <c r="W127" s="7" t="n">
        <v>246</v>
      </c>
      <c r="X127" s="7" t="n">
        <v>251</v>
      </c>
      <c r="Y127" s="7" t="n">
        <v>5</v>
      </c>
      <c r="Z127" s="7" t="s">
        <v>2292</v>
      </c>
      <c r="AA127" s="9" t="s">
        <v>2293</v>
      </c>
      <c r="AB127" s="7" t="s">
        <v>2294</v>
      </c>
      <c r="AC127" s="7" t="s">
        <v>2295</v>
      </c>
      <c r="AD127" s="7" t="s">
        <v>2296</v>
      </c>
      <c r="AE127" s="7" t="s">
        <v>2297</v>
      </c>
      <c r="AF127" s="7"/>
      <c r="AG127" s="7"/>
      <c r="AH127" s="7"/>
      <c r="AI127" s="7"/>
      <c r="AJ127" s="10"/>
      <c r="AK127" s="7"/>
      <c r="AL127" s="7" t="s">
        <v>2298</v>
      </c>
      <c r="AM127" s="7" t="s">
        <v>2299</v>
      </c>
      <c r="AN127" s="7"/>
      <c r="AO127" s="7" t="s">
        <v>2300</v>
      </c>
      <c r="AP127" s="7" t="s">
        <v>2301</v>
      </c>
      <c r="AQ127" s="7" t="s">
        <v>2302</v>
      </c>
      <c r="AR127" s="7" t="s">
        <v>2303</v>
      </c>
      <c r="AS127" s="7" t="n">
        <v>203814</v>
      </c>
      <c r="AT127" s="7"/>
      <c r="AU127" s="7" t="s">
        <v>2304</v>
      </c>
      <c r="AV127" s="7"/>
      <c r="AW127" s="7"/>
      <c r="AX127" s="7" t="s">
        <v>2305</v>
      </c>
      <c r="AY127" s="7" t="s">
        <v>75</v>
      </c>
      <c r="AZ127" s="7"/>
      <c r="BA127" s="7" t="s">
        <v>76</v>
      </c>
      <c r="BB127" s="7" t="s">
        <v>2306</v>
      </c>
      <c r="BC127" s="7"/>
      <c r="BD127" s="7"/>
      <c r="BE127" s="7"/>
      <c r="BF127" s="7"/>
      <c r="BG127" s="7"/>
      <c r="BH127" s="7"/>
      <c r="BI127" s="7"/>
    </row>
    <row r="128" customFormat="false" ht="14.25" hidden="false" customHeight="true" outlineLevel="0" collapsed="false">
      <c r="A128" s="7" t="s">
        <v>2307</v>
      </c>
      <c r="B128" s="7" t="s">
        <v>2308</v>
      </c>
      <c r="C128" s="7" t="s">
        <v>2309</v>
      </c>
      <c r="D128" s="7" t="s">
        <v>2310</v>
      </c>
      <c r="E128" s="7" t="n">
        <v>2024</v>
      </c>
      <c r="F128" s="8" t="s">
        <v>2311</v>
      </c>
      <c r="G128" s="6" t="s">
        <v>134</v>
      </c>
      <c r="H128" s="7"/>
      <c r="I128" s="7"/>
      <c r="J128" s="7"/>
      <c r="K128" s="7"/>
      <c r="L128" s="7"/>
      <c r="M128" s="7"/>
      <c r="N128" s="7"/>
      <c r="O128" s="7"/>
      <c r="P128" s="7" t="s">
        <v>304</v>
      </c>
      <c r="Q128" s="7" t="s">
        <v>62</v>
      </c>
      <c r="R128" s="7" t="s">
        <v>2312</v>
      </c>
      <c r="S128" s="7"/>
      <c r="T128" s="7" t="s">
        <v>187</v>
      </c>
      <c r="U128" s="7"/>
      <c r="V128" s="7"/>
      <c r="W128" s="7"/>
      <c r="X128" s="7"/>
      <c r="Y128" s="7"/>
      <c r="Z128" s="7" t="s">
        <v>2313</v>
      </c>
      <c r="AA128" s="9" t="s">
        <v>2314</v>
      </c>
      <c r="AB128" s="7" t="s">
        <v>2315</v>
      </c>
      <c r="AC128" s="7" t="s">
        <v>2316</v>
      </c>
      <c r="AD128" s="7" t="s">
        <v>2317</v>
      </c>
      <c r="AE128" s="7" t="s">
        <v>2318</v>
      </c>
      <c r="AF128" s="7"/>
      <c r="AG128" s="7"/>
      <c r="AH128" s="7"/>
      <c r="AI128" s="7"/>
      <c r="AJ128" s="10"/>
      <c r="AK128" s="7"/>
      <c r="AL128" s="7" t="s">
        <v>2319</v>
      </c>
      <c r="AM128" s="7" t="s">
        <v>2320</v>
      </c>
      <c r="AN128" s="7"/>
      <c r="AO128" s="7"/>
      <c r="AP128" s="7" t="s">
        <v>2312</v>
      </c>
      <c r="AQ128" s="7" t="s">
        <v>2321</v>
      </c>
      <c r="AR128" s="7" t="s">
        <v>2322</v>
      </c>
      <c r="AS128" s="7" t="n">
        <v>201554</v>
      </c>
      <c r="AT128" s="7"/>
      <c r="AU128" s="7" t="s">
        <v>2323</v>
      </c>
      <c r="AV128" s="7"/>
      <c r="AW128" s="7"/>
      <c r="AX128" s="7" t="s">
        <v>2324</v>
      </c>
      <c r="AY128" s="7" t="s">
        <v>75</v>
      </c>
      <c r="AZ128" s="7"/>
      <c r="BA128" s="7" t="s">
        <v>76</v>
      </c>
      <c r="BB128" s="7" t="s">
        <v>2325</v>
      </c>
      <c r="BC128" s="7"/>
      <c r="BD128" s="7"/>
      <c r="BE128" s="7"/>
      <c r="BF128" s="7"/>
      <c r="BG128" s="7"/>
      <c r="BH128" s="7"/>
      <c r="BI128" s="7"/>
    </row>
    <row r="129" customFormat="false" ht="14.25" hidden="false" customHeight="true" outlineLevel="0" collapsed="false">
      <c r="A129" s="7" t="s">
        <v>2326</v>
      </c>
      <c r="B129" s="7" t="s">
        <v>2327</v>
      </c>
      <c r="C129" s="7" t="s">
        <v>2328</v>
      </c>
      <c r="D129" s="7" t="s">
        <v>2329</v>
      </c>
      <c r="E129" s="7" t="n">
        <v>2024</v>
      </c>
      <c r="F129" s="8" t="s">
        <v>2330</v>
      </c>
      <c r="G129" s="6" t="s">
        <v>134</v>
      </c>
      <c r="H129" s="7"/>
      <c r="I129" s="7"/>
      <c r="J129" s="7"/>
      <c r="K129" s="7"/>
      <c r="L129" s="7"/>
      <c r="M129" s="7"/>
      <c r="N129" s="7"/>
      <c r="O129" s="7"/>
      <c r="P129" s="7" t="s">
        <v>304</v>
      </c>
      <c r="Q129" s="7" t="s">
        <v>62</v>
      </c>
      <c r="R129" s="7" t="s">
        <v>2269</v>
      </c>
      <c r="S129" s="7"/>
      <c r="T129" s="7" t="s">
        <v>187</v>
      </c>
      <c r="U129" s="7"/>
      <c r="V129" s="7"/>
      <c r="W129" s="7"/>
      <c r="X129" s="7"/>
      <c r="Y129" s="7"/>
      <c r="Z129" s="7" t="s">
        <v>2331</v>
      </c>
      <c r="AA129" s="9" t="s">
        <v>2332</v>
      </c>
      <c r="AB129" s="7" t="s">
        <v>2333</v>
      </c>
      <c r="AC129" s="7" t="s">
        <v>2334</v>
      </c>
      <c r="AD129" s="7" t="s">
        <v>2335</v>
      </c>
      <c r="AE129" s="7" t="s">
        <v>2336</v>
      </c>
      <c r="AF129" s="7"/>
      <c r="AG129" s="7"/>
      <c r="AH129" s="7"/>
      <c r="AI129" s="7"/>
      <c r="AJ129" s="10" t="s">
        <v>2337</v>
      </c>
      <c r="AK129" s="7" t="s">
        <v>2338</v>
      </c>
      <c r="AL129" s="7" t="s">
        <v>2339</v>
      </c>
      <c r="AM129" s="7" t="s">
        <v>2279</v>
      </c>
      <c r="AN129" s="7"/>
      <c r="AO129" s="7"/>
      <c r="AP129" s="7" t="s">
        <v>2280</v>
      </c>
      <c r="AQ129" s="7" t="s">
        <v>2281</v>
      </c>
      <c r="AR129" s="7" t="s">
        <v>2282</v>
      </c>
      <c r="AS129" s="7" t="n">
        <v>201895</v>
      </c>
      <c r="AT129" s="7"/>
      <c r="AU129" s="7" t="s">
        <v>2283</v>
      </c>
      <c r="AV129" s="7"/>
      <c r="AW129" s="7"/>
      <c r="AX129" s="7" t="s">
        <v>2284</v>
      </c>
      <c r="AY129" s="7" t="s">
        <v>75</v>
      </c>
      <c r="AZ129" s="7"/>
      <c r="BA129" s="7" t="s">
        <v>76</v>
      </c>
      <c r="BB129" s="7" t="s">
        <v>2340</v>
      </c>
      <c r="BC129" s="7"/>
      <c r="BD129" s="7"/>
      <c r="BE129" s="7"/>
      <c r="BF129" s="7"/>
      <c r="BG129" s="7"/>
      <c r="BH129" s="7"/>
      <c r="BI129" s="7"/>
    </row>
    <row r="130" customFormat="false" ht="14.25" hidden="false" customHeight="true" outlineLevel="0" collapsed="false">
      <c r="A130" s="7" t="s">
        <v>2341</v>
      </c>
      <c r="B130" s="7" t="s">
        <v>2342</v>
      </c>
      <c r="C130" s="7" t="s">
        <v>2343</v>
      </c>
      <c r="D130" s="7" t="s">
        <v>2344</v>
      </c>
      <c r="E130" s="7" t="n">
        <v>2024</v>
      </c>
      <c r="F130" s="8" t="s">
        <v>2345</v>
      </c>
      <c r="G130" s="6" t="s">
        <v>134</v>
      </c>
      <c r="H130" s="7"/>
      <c r="I130" s="7"/>
      <c r="J130" s="7"/>
      <c r="K130" s="7"/>
      <c r="L130" s="7"/>
      <c r="M130" s="7"/>
      <c r="N130" s="7"/>
      <c r="O130" s="7"/>
      <c r="P130" s="7" t="s">
        <v>304</v>
      </c>
      <c r="Q130" s="7" t="s">
        <v>62</v>
      </c>
      <c r="R130" s="7" t="s">
        <v>2346</v>
      </c>
      <c r="S130" s="7"/>
      <c r="T130" s="7" t="s">
        <v>187</v>
      </c>
      <c r="U130" s="7"/>
      <c r="V130" s="7"/>
      <c r="W130" s="7" t="n">
        <v>312</v>
      </c>
      <c r="X130" s="7" t="n">
        <v>317</v>
      </c>
      <c r="Y130" s="7" t="n">
        <v>5</v>
      </c>
      <c r="Z130" s="7" t="s">
        <v>2347</v>
      </c>
      <c r="AA130" s="9" t="s">
        <v>2348</v>
      </c>
      <c r="AB130" s="7" t="s">
        <v>2349</v>
      </c>
      <c r="AC130" s="7" t="s">
        <v>2350</v>
      </c>
      <c r="AD130" s="7" t="s">
        <v>2351</v>
      </c>
      <c r="AE130" s="7" t="s">
        <v>2352</v>
      </c>
      <c r="AF130" s="7"/>
      <c r="AG130" s="7"/>
      <c r="AH130" s="7"/>
      <c r="AI130" s="7"/>
      <c r="AJ130" s="10"/>
      <c r="AK130" s="7"/>
      <c r="AL130" s="7" t="s">
        <v>2353</v>
      </c>
      <c r="AM130" s="7" t="s">
        <v>2354</v>
      </c>
      <c r="AN130" s="7"/>
      <c r="AO130" s="7"/>
      <c r="AP130" s="7" t="s">
        <v>2355</v>
      </c>
      <c r="AQ130" s="7" t="s">
        <v>2356</v>
      </c>
      <c r="AR130" s="7" t="s">
        <v>2357</v>
      </c>
      <c r="AS130" s="7" t="n">
        <v>205404</v>
      </c>
      <c r="AT130" s="7"/>
      <c r="AU130" s="7" t="s">
        <v>2358</v>
      </c>
      <c r="AV130" s="7"/>
      <c r="AW130" s="7"/>
      <c r="AX130" s="7" t="s">
        <v>2359</v>
      </c>
      <c r="AY130" s="7" t="s">
        <v>75</v>
      </c>
      <c r="AZ130" s="7"/>
      <c r="BA130" s="7" t="s">
        <v>76</v>
      </c>
      <c r="BB130" s="7" t="s">
        <v>2360</v>
      </c>
      <c r="BC130" s="7"/>
      <c r="BD130" s="7"/>
      <c r="BE130" s="7"/>
      <c r="BF130" s="7"/>
      <c r="BG130" s="7"/>
      <c r="BH130" s="7"/>
      <c r="BI130" s="7"/>
    </row>
    <row r="131" customFormat="false" ht="14.25" hidden="false" customHeight="true" outlineLevel="0" collapsed="false">
      <c r="A131" s="7" t="s">
        <v>2361</v>
      </c>
      <c r="B131" s="7" t="s">
        <v>2362</v>
      </c>
      <c r="C131" s="7" t="s">
        <v>2363</v>
      </c>
      <c r="D131" s="7" t="s">
        <v>2364</v>
      </c>
      <c r="E131" s="7" t="n">
        <v>2024</v>
      </c>
      <c r="F131" s="8" t="s">
        <v>2365</v>
      </c>
      <c r="G131" s="6" t="s">
        <v>134</v>
      </c>
      <c r="H131" s="7"/>
      <c r="I131" s="7"/>
      <c r="J131" s="7"/>
      <c r="K131" s="7"/>
      <c r="L131" s="7"/>
      <c r="M131" s="7"/>
      <c r="N131" s="7"/>
      <c r="O131" s="7"/>
      <c r="P131" s="7" t="s">
        <v>304</v>
      </c>
      <c r="Q131" s="7" t="s">
        <v>62</v>
      </c>
      <c r="R131" s="7" t="s">
        <v>2366</v>
      </c>
      <c r="S131" s="7"/>
      <c r="T131" s="7" t="s">
        <v>187</v>
      </c>
      <c r="U131" s="7"/>
      <c r="V131" s="7"/>
      <c r="W131" s="7" t="n">
        <v>95</v>
      </c>
      <c r="X131" s="7" t="n">
        <v>100</v>
      </c>
      <c r="Y131" s="7" t="n">
        <v>5</v>
      </c>
      <c r="Z131" s="7" t="s">
        <v>2367</v>
      </c>
      <c r="AA131" s="9" t="s">
        <v>2368</v>
      </c>
      <c r="AB131" s="7" t="s">
        <v>2369</v>
      </c>
      <c r="AC131" s="7" t="s">
        <v>2370</v>
      </c>
      <c r="AD131" s="7" t="s">
        <v>2371</v>
      </c>
      <c r="AE131" s="7" t="s">
        <v>2372</v>
      </c>
      <c r="AF131" s="7"/>
      <c r="AG131" s="7"/>
      <c r="AH131" s="7"/>
      <c r="AI131" s="7"/>
      <c r="AJ131" s="10"/>
      <c r="AK131" s="7"/>
      <c r="AL131" s="7" t="s">
        <v>2373</v>
      </c>
      <c r="AM131" s="7"/>
      <c r="AN131" s="7"/>
      <c r="AO131" s="7" t="s">
        <v>2374</v>
      </c>
      <c r="AP131" s="7" t="s">
        <v>2366</v>
      </c>
      <c r="AQ131" s="7" t="s">
        <v>2375</v>
      </c>
      <c r="AR131" s="7" t="s">
        <v>2376</v>
      </c>
      <c r="AS131" s="7" t="n">
        <v>203056</v>
      </c>
      <c r="AT131" s="7"/>
      <c r="AU131" s="7" t="s">
        <v>2377</v>
      </c>
      <c r="AV131" s="7"/>
      <c r="AW131" s="7"/>
      <c r="AX131" s="7" t="s">
        <v>2378</v>
      </c>
      <c r="AY131" s="7" t="s">
        <v>75</v>
      </c>
      <c r="AZ131" s="7"/>
      <c r="BA131" s="7" t="s">
        <v>76</v>
      </c>
      <c r="BB131" s="7" t="s">
        <v>2379</v>
      </c>
      <c r="BC131" s="7"/>
      <c r="BD131" s="7"/>
      <c r="BE131" s="7"/>
      <c r="BF131" s="7"/>
      <c r="BG131" s="7"/>
      <c r="BH131" s="7"/>
      <c r="BI131" s="7"/>
    </row>
    <row r="132" customFormat="false" ht="14.25" hidden="false" customHeight="true" outlineLevel="0" collapsed="false">
      <c r="A132" s="7" t="s">
        <v>2380</v>
      </c>
      <c r="B132" s="7" t="s">
        <v>2381</v>
      </c>
      <c r="C132" s="7" t="s">
        <v>2382</v>
      </c>
      <c r="D132" s="7" t="s">
        <v>2383</v>
      </c>
      <c r="E132" s="7" t="n">
        <v>2024</v>
      </c>
      <c r="F132" s="8" t="s">
        <v>2384</v>
      </c>
      <c r="G132" s="6" t="s">
        <v>134</v>
      </c>
      <c r="H132" s="7"/>
      <c r="I132" s="7"/>
      <c r="J132" s="7"/>
      <c r="K132" s="7"/>
      <c r="L132" s="7"/>
      <c r="M132" s="7"/>
      <c r="N132" s="7"/>
      <c r="O132" s="7"/>
      <c r="P132" s="7" t="s">
        <v>304</v>
      </c>
      <c r="Q132" s="7" t="s">
        <v>62</v>
      </c>
      <c r="R132" s="7" t="s">
        <v>2385</v>
      </c>
      <c r="S132" s="7"/>
      <c r="T132" s="7" t="s">
        <v>187</v>
      </c>
      <c r="U132" s="7"/>
      <c r="V132" s="7"/>
      <c r="W132" s="7"/>
      <c r="X132" s="7"/>
      <c r="Y132" s="7"/>
      <c r="Z132" s="7" t="s">
        <v>2386</v>
      </c>
      <c r="AA132" s="9" t="s">
        <v>2387</v>
      </c>
      <c r="AB132" s="7" t="s">
        <v>2388</v>
      </c>
      <c r="AC132" s="7" t="s">
        <v>2389</v>
      </c>
      <c r="AD132" s="7" t="s">
        <v>2390</v>
      </c>
      <c r="AE132" s="7" t="s">
        <v>2391</v>
      </c>
      <c r="AF132" s="7"/>
      <c r="AG132" s="7"/>
      <c r="AH132" s="7"/>
      <c r="AI132" s="7"/>
      <c r="AJ132" s="10" t="s">
        <v>2392</v>
      </c>
      <c r="AK132" s="7" t="s">
        <v>2393</v>
      </c>
      <c r="AL132" s="7" t="s">
        <v>2394</v>
      </c>
      <c r="AM132" s="7"/>
      <c r="AN132" s="7"/>
      <c r="AO132" s="7"/>
      <c r="AP132" s="7" t="s">
        <v>2385</v>
      </c>
      <c r="AQ132" s="7" t="s">
        <v>2395</v>
      </c>
      <c r="AR132" s="7" t="s">
        <v>2396</v>
      </c>
      <c r="AS132" s="7" t="n">
        <v>202017</v>
      </c>
      <c r="AT132" s="7"/>
      <c r="AU132" s="7" t="s">
        <v>2397</v>
      </c>
      <c r="AV132" s="7"/>
      <c r="AW132" s="7"/>
      <c r="AX132" s="7" t="s">
        <v>2398</v>
      </c>
      <c r="AY132" s="7" t="s">
        <v>75</v>
      </c>
      <c r="AZ132" s="7"/>
      <c r="BA132" s="7" t="s">
        <v>76</v>
      </c>
      <c r="BB132" s="7" t="s">
        <v>2399</v>
      </c>
      <c r="BC132" s="7"/>
      <c r="BD132" s="7"/>
      <c r="BE132" s="7"/>
      <c r="BF132" s="7"/>
      <c r="BG132" s="7"/>
      <c r="BH132" s="7"/>
      <c r="BI132" s="7"/>
    </row>
    <row r="133" customFormat="false" ht="14.25" hidden="false" customHeight="true" outlineLevel="0" collapsed="false">
      <c r="A133" s="7" t="s">
        <v>2400</v>
      </c>
      <c r="B133" s="7" t="s">
        <v>2401</v>
      </c>
      <c r="C133" s="7" t="s">
        <v>2402</v>
      </c>
      <c r="D133" s="7" t="s">
        <v>2403</v>
      </c>
      <c r="E133" s="7" t="n">
        <v>2024</v>
      </c>
      <c r="F133" s="8" t="s">
        <v>2404</v>
      </c>
      <c r="G133" s="6" t="s">
        <v>134</v>
      </c>
      <c r="H133" s="7"/>
      <c r="I133" s="7"/>
      <c r="J133" s="7"/>
      <c r="K133" s="7"/>
      <c r="L133" s="7"/>
      <c r="M133" s="7"/>
      <c r="N133" s="7"/>
      <c r="O133" s="7"/>
      <c r="P133" s="7" t="s">
        <v>304</v>
      </c>
      <c r="Q133" s="7" t="s">
        <v>62</v>
      </c>
      <c r="R133" s="7" t="s">
        <v>2405</v>
      </c>
      <c r="S133" s="7"/>
      <c r="T133" s="7" t="s">
        <v>187</v>
      </c>
      <c r="U133" s="7"/>
      <c r="V133" s="7"/>
      <c r="W133" s="7"/>
      <c r="X133" s="7"/>
      <c r="Y133" s="7"/>
      <c r="Z133" s="7" t="s">
        <v>2406</v>
      </c>
      <c r="AA133" s="9" t="s">
        <v>2407</v>
      </c>
      <c r="AB133" s="7" t="s">
        <v>2408</v>
      </c>
      <c r="AC133" s="7" t="s">
        <v>2409</v>
      </c>
      <c r="AD133" s="7" t="s">
        <v>2410</v>
      </c>
      <c r="AE133" s="7" t="s">
        <v>2411</v>
      </c>
      <c r="AF133" s="7"/>
      <c r="AG133" s="7"/>
      <c r="AH133" s="7"/>
      <c r="AI133" s="7"/>
      <c r="AJ133" s="10"/>
      <c r="AK133" s="7"/>
      <c r="AL133" s="7" t="s">
        <v>2412</v>
      </c>
      <c r="AM133" s="7"/>
      <c r="AN133" s="7"/>
      <c r="AO133" s="7" t="s">
        <v>2413</v>
      </c>
      <c r="AP133" s="7" t="s">
        <v>2414</v>
      </c>
      <c r="AQ133" s="7" t="s">
        <v>2415</v>
      </c>
      <c r="AR133" s="7" t="s">
        <v>2416</v>
      </c>
      <c r="AS133" s="7" t="n">
        <v>203116</v>
      </c>
      <c r="AT133" s="7"/>
      <c r="AU133" s="7" t="s">
        <v>2417</v>
      </c>
      <c r="AV133" s="7"/>
      <c r="AW133" s="7"/>
      <c r="AX133" s="7" t="s">
        <v>2418</v>
      </c>
      <c r="AY133" s="7" t="s">
        <v>75</v>
      </c>
      <c r="AZ133" s="7"/>
      <c r="BA133" s="7" t="s">
        <v>76</v>
      </c>
      <c r="BB133" s="7" t="s">
        <v>2419</v>
      </c>
      <c r="BC133" s="7"/>
      <c r="BD133" s="7"/>
      <c r="BE133" s="7"/>
      <c r="BF133" s="7"/>
      <c r="BG133" s="7"/>
      <c r="BH133" s="7"/>
      <c r="BI133" s="7"/>
    </row>
    <row r="134" customFormat="false" ht="14.25" hidden="false" customHeight="true" outlineLevel="0" collapsed="false">
      <c r="A134" s="7" t="s">
        <v>2420</v>
      </c>
      <c r="B134" s="7" t="s">
        <v>2421</v>
      </c>
      <c r="C134" s="7" t="s">
        <v>2422</v>
      </c>
      <c r="D134" s="7" t="s">
        <v>2423</v>
      </c>
      <c r="E134" s="7" t="n">
        <v>2024</v>
      </c>
      <c r="F134" s="8" t="s">
        <v>2424</v>
      </c>
      <c r="G134" s="6" t="s">
        <v>134</v>
      </c>
      <c r="H134" s="7"/>
      <c r="I134" s="7"/>
      <c r="J134" s="7"/>
      <c r="K134" s="7"/>
      <c r="L134" s="7"/>
      <c r="M134" s="7"/>
      <c r="N134" s="7"/>
      <c r="O134" s="7"/>
      <c r="P134" s="7" t="s">
        <v>304</v>
      </c>
      <c r="Q134" s="7" t="s">
        <v>62</v>
      </c>
      <c r="R134" s="7" t="s">
        <v>2425</v>
      </c>
      <c r="S134" s="7"/>
      <c r="T134" s="7" t="s">
        <v>187</v>
      </c>
      <c r="U134" s="7"/>
      <c r="V134" s="7"/>
      <c r="W134" s="7"/>
      <c r="X134" s="7"/>
      <c r="Y134" s="7"/>
      <c r="Z134" s="7" t="s">
        <v>2426</v>
      </c>
      <c r="AA134" s="9" t="s">
        <v>2427</v>
      </c>
      <c r="AB134" s="7" t="s">
        <v>2428</v>
      </c>
      <c r="AC134" s="7" t="s">
        <v>2429</v>
      </c>
      <c r="AD134" s="7" t="s">
        <v>2430</v>
      </c>
      <c r="AE134" s="7"/>
      <c r="AF134" s="7"/>
      <c r="AG134" s="7"/>
      <c r="AH134" s="7"/>
      <c r="AI134" s="7"/>
      <c r="AJ134" s="10" t="s">
        <v>2431</v>
      </c>
      <c r="AK134" s="7" t="s">
        <v>2432</v>
      </c>
      <c r="AL134" s="7" t="s">
        <v>2433</v>
      </c>
      <c r="AM134" s="7" t="s">
        <v>2434</v>
      </c>
      <c r="AN134" s="7"/>
      <c r="AO134" s="7"/>
      <c r="AP134" s="7" t="s">
        <v>2435</v>
      </c>
      <c r="AQ134" s="7" t="s">
        <v>2436</v>
      </c>
      <c r="AR134" s="7" t="s">
        <v>2437</v>
      </c>
      <c r="AS134" s="7" t="n">
        <v>203877</v>
      </c>
      <c r="AT134" s="7"/>
      <c r="AU134" s="7" t="s">
        <v>2438</v>
      </c>
      <c r="AV134" s="7"/>
      <c r="AW134" s="7"/>
      <c r="AX134" s="7" t="s">
        <v>2439</v>
      </c>
      <c r="AY134" s="7" t="s">
        <v>75</v>
      </c>
      <c r="AZ134" s="7"/>
      <c r="BA134" s="7" t="s">
        <v>76</v>
      </c>
      <c r="BB134" s="7" t="s">
        <v>2440</v>
      </c>
      <c r="BC134" s="7"/>
      <c r="BD134" s="7"/>
      <c r="BE134" s="7"/>
      <c r="BF134" s="7"/>
      <c r="BG134" s="7"/>
      <c r="BH134" s="7"/>
      <c r="BI134" s="7"/>
    </row>
    <row r="135" customFormat="false" ht="14.25" hidden="false" customHeight="true" outlineLevel="0" collapsed="false">
      <c r="A135" s="7" t="s">
        <v>2441</v>
      </c>
      <c r="B135" s="7" t="s">
        <v>2442</v>
      </c>
      <c r="C135" s="7" t="s">
        <v>2443</v>
      </c>
      <c r="D135" s="7" t="s">
        <v>2444</v>
      </c>
      <c r="E135" s="7" t="n">
        <v>2024</v>
      </c>
      <c r="F135" s="8" t="s">
        <v>2445</v>
      </c>
      <c r="G135" s="6" t="s">
        <v>134</v>
      </c>
      <c r="H135" s="7"/>
      <c r="I135" s="7"/>
      <c r="J135" s="7"/>
      <c r="K135" s="7"/>
      <c r="L135" s="7"/>
      <c r="M135" s="7"/>
      <c r="N135" s="7"/>
      <c r="O135" s="7"/>
      <c r="P135" s="7" t="s">
        <v>304</v>
      </c>
      <c r="Q135" s="7" t="s">
        <v>62</v>
      </c>
      <c r="R135" s="7" t="s">
        <v>350</v>
      </c>
      <c r="S135" s="7" t="n">
        <v>821</v>
      </c>
      <c r="T135" s="7" t="s">
        <v>307</v>
      </c>
      <c r="U135" s="7"/>
      <c r="V135" s="7"/>
      <c r="W135" s="7" t="n">
        <v>361</v>
      </c>
      <c r="X135" s="7" t="n">
        <v>374</v>
      </c>
      <c r="Y135" s="7" t="n">
        <v>13</v>
      </c>
      <c r="Z135" s="7" t="s">
        <v>2446</v>
      </c>
      <c r="AA135" s="9" t="s">
        <v>2447</v>
      </c>
      <c r="AB135" s="7" t="s">
        <v>2448</v>
      </c>
      <c r="AC135" s="7" t="s">
        <v>2449</v>
      </c>
      <c r="AD135" s="7" t="s">
        <v>2450</v>
      </c>
      <c r="AE135" s="7" t="s">
        <v>2451</v>
      </c>
      <c r="AF135" s="7"/>
      <c r="AG135" s="7"/>
      <c r="AH135" s="7"/>
      <c r="AI135" s="7"/>
      <c r="AJ135" s="10"/>
      <c r="AK135" s="7"/>
      <c r="AL135" s="7" t="s">
        <v>2452</v>
      </c>
      <c r="AM135" s="7" t="s">
        <v>2453</v>
      </c>
      <c r="AN135" s="7" t="s">
        <v>2454</v>
      </c>
      <c r="AO135" s="7"/>
      <c r="AP135" s="7" t="s">
        <v>2455</v>
      </c>
      <c r="AQ135" s="7" t="s">
        <v>2456</v>
      </c>
      <c r="AR135" s="7" t="s">
        <v>2457</v>
      </c>
      <c r="AS135" s="7" t="n">
        <v>308289</v>
      </c>
      <c r="AT135" s="7" t="n">
        <v>23673370</v>
      </c>
      <c r="AU135" s="7" t="s">
        <v>2458</v>
      </c>
      <c r="AV135" s="7"/>
      <c r="AW135" s="7"/>
      <c r="AX135" s="7" t="s">
        <v>365</v>
      </c>
      <c r="AY135" s="7" t="s">
        <v>75</v>
      </c>
      <c r="AZ135" s="7"/>
      <c r="BA135" s="7" t="s">
        <v>76</v>
      </c>
      <c r="BB135" s="7" t="s">
        <v>2459</v>
      </c>
      <c r="BC135" s="7"/>
      <c r="BD135" s="7"/>
      <c r="BE135" s="7"/>
      <c r="BF135" s="7"/>
      <c r="BG135" s="7"/>
      <c r="BH135" s="7"/>
      <c r="BI135" s="7"/>
    </row>
    <row r="136" customFormat="false" ht="14.25" hidden="false" customHeight="true" outlineLevel="0" collapsed="false">
      <c r="A136" s="7" t="s">
        <v>2460</v>
      </c>
      <c r="B136" s="7" t="s">
        <v>2461</v>
      </c>
      <c r="C136" s="7" t="s">
        <v>2462</v>
      </c>
      <c r="D136" s="7" t="s">
        <v>2463</v>
      </c>
      <c r="E136" s="7" t="n">
        <v>2024</v>
      </c>
      <c r="F136" s="8" t="s">
        <v>2464</v>
      </c>
      <c r="G136" s="6" t="s">
        <v>134</v>
      </c>
      <c r="H136" s="7"/>
      <c r="I136" s="7"/>
      <c r="J136" s="7"/>
      <c r="K136" s="7"/>
      <c r="L136" s="7"/>
      <c r="M136" s="7"/>
      <c r="N136" s="7"/>
      <c r="O136" s="7"/>
      <c r="P136" s="7" t="s">
        <v>304</v>
      </c>
      <c r="Q136" s="7" t="s">
        <v>62</v>
      </c>
      <c r="R136" s="7" t="s">
        <v>2190</v>
      </c>
      <c r="S136" s="7"/>
      <c r="T136" s="7" t="s">
        <v>187</v>
      </c>
      <c r="U136" s="7"/>
      <c r="V136" s="7"/>
      <c r="W136" s="7"/>
      <c r="X136" s="7"/>
      <c r="Y136" s="7"/>
      <c r="Z136" s="7" t="s">
        <v>2465</v>
      </c>
      <c r="AA136" s="9" t="s">
        <v>2466</v>
      </c>
      <c r="AB136" s="7" t="s">
        <v>2467</v>
      </c>
      <c r="AC136" s="7" t="s">
        <v>2468</v>
      </c>
      <c r="AD136" s="7" t="s">
        <v>2469</v>
      </c>
      <c r="AE136" s="7" t="s">
        <v>2470</v>
      </c>
      <c r="AF136" s="7"/>
      <c r="AG136" s="7"/>
      <c r="AH136" s="7"/>
      <c r="AI136" s="7"/>
      <c r="AJ136" s="10"/>
      <c r="AK136" s="7"/>
      <c r="AL136" s="7" t="s">
        <v>2471</v>
      </c>
      <c r="AM136" s="7" t="s">
        <v>2472</v>
      </c>
      <c r="AN136" s="7"/>
      <c r="AO136" s="7"/>
      <c r="AP136" s="7" t="s">
        <v>2199</v>
      </c>
      <c r="AQ136" s="7" t="s">
        <v>2200</v>
      </c>
      <c r="AR136" s="7" t="s">
        <v>2201</v>
      </c>
      <c r="AS136" s="7" t="n">
        <v>199351</v>
      </c>
      <c r="AT136" s="7"/>
      <c r="AU136" s="7" t="s">
        <v>2202</v>
      </c>
      <c r="AV136" s="7"/>
      <c r="AW136" s="7"/>
      <c r="AX136" s="7" t="s">
        <v>2203</v>
      </c>
      <c r="AY136" s="7" t="s">
        <v>75</v>
      </c>
      <c r="AZ136" s="7"/>
      <c r="BA136" s="7" t="s">
        <v>76</v>
      </c>
      <c r="BB136" s="7" t="s">
        <v>2473</v>
      </c>
      <c r="BC136" s="7"/>
      <c r="BD136" s="7"/>
      <c r="BE136" s="7"/>
      <c r="BF136" s="7"/>
      <c r="BG136" s="7"/>
      <c r="BH136" s="7"/>
      <c r="BI136" s="7"/>
    </row>
    <row r="137" customFormat="false" ht="14.25" hidden="false" customHeight="true" outlineLevel="0" collapsed="false">
      <c r="A137" s="7" t="s">
        <v>2474</v>
      </c>
      <c r="B137" s="7" t="s">
        <v>2475</v>
      </c>
      <c r="C137" s="7" t="s">
        <v>2476</v>
      </c>
      <c r="D137" s="7" t="s">
        <v>2477</v>
      </c>
      <c r="E137" s="7" t="n">
        <v>2024</v>
      </c>
      <c r="F137" s="8" t="s">
        <v>2478</v>
      </c>
      <c r="G137" s="6" t="s">
        <v>134</v>
      </c>
      <c r="H137" s="7"/>
      <c r="I137" s="7"/>
      <c r="J137" s="7"/>
      <c r="K137" s="7"/>
      <c r="L137" s="7"/>
      <c r="M137" s="7"/>
      <c r="N137" s="7"/>
      <c r="O137" s="7"/>
      <c r="P137" s="7" t="s">
        <v>304</v>
      </c>
      <c r="Q137" s="7" t="s">
        <v>62</v>
      </c>
      <c r="R137" s="7" t="s">
        <v>2190</v>
      </c>
      <c r="S137" s="7"/>
      <c r="T137" s="7" t="s">
        <v>187</v>
      </c>
      <c r="U137" s="7"/>
      <c r="V137" s="7"/>
      <c r="W137" s="7"/>
      <c r="X137" s="7"/>
      <c r="Y137" s="7"/>
      <c r="Z137" s="7" t="s">
        <v>2479</v>
      </c>
      <c r="AA137" s="9" t="s">
        <v>2480</v>
      </c>
      <c r="AB137" s="7" t="s">
        <v>2481</v>
      </c>
      <c r="AC137" s="7" t="s">
        <v>2482</v>
      </c>
      <c r="AD137" s="7" t="s">
        <v>2483</v>
      </c>
      <c r="AE137" s="7" t="s">
        <v>2484</v>
      </c>
      <c r="AF137" s="7"/>
      <c r="AG137" s="7"/>
      <c r="AH137" s="7"/>
      <c r="AI137" s="7"/>
      <c r="AJ137" s="10"/>
      <c r="AK137" s="7"/>
      <c r="AL137" s="7" t="s">
        <v>2485</v>
      </c>
      <c r="AM137" s="7" t="s">
        <v>2486</v>
      </c>
      <c r="AN137" s="7"/>
      <c r="AO137" s="7"/>
      <c r="AP137" s="7" t="s">
        <v>2199</v>
      </c>
      <c r="AQ137" s="7" t="s">
        <v>2200</v>
      </c>
      <c r="AR137" s="7" t="s">
        <v>2201</v>
      </c>
      <c r="AS137" s="7" t="n">
        <v>199351</v>
      </c>
      <c r="AT137" s="7"/>
      <c r="AU137" s="7" t="s">
        <v>2202</v>
      </c>
      <c r="AV137" s="7"/>
      <c r="AW137" s="7"/>
      <c r="AX137" s="7" t="s">
        <v>2203</v>
      </c>
      <c r="AY137" s="7" t="s">
        <v>75</v>
      </c>
      <c r="AZ137" s="7"/>
      <c r="BA137" s="7" t="s">
        <v>76</v>
      </c>
      <c r="BB137" s="7" t="s">
        <v>2487</v>
      </c>
      <c r="BC137" s="7"/>
      <c r="BD137" s="7"/>
      <c r="BE137" s="7"/>
      <c r="BF137" s="7"/>
      <c r="BG137" s="7"/>
      <c r="BH137" s="7"/>
      <c r="BI137" s="7"/>
    </row>
    <row r="138" customFormat="false" ht="14.25" hidden="false" customHeight="true" outlineLevel="0" collapsed="false">
      <c r="A138" s="7" t="s">
        <v>2488</v>
      </c>
      <c r="B138" s="7" t="s">
        <v>2489</v>
      </c>
      <c r="C138" s="7" t="s">
        <v>2490</v>
      </c>
      <c r="D138" s="7" t="s">
        <v>2491</v>
      </c>
      <c r="E138" s="7" t="n">
        <v>2024</v>
      </c>
      <c r="F138" s="8" t="s">
        <v>2492</v>
      </c>
      <c r="G138" s="6" t="s">
        <v>747</v>
      </c>
      <c r="H138" s="7"/>
      <c r="I138" s="7"/>
      <c r="J138" s="7"/>
      <c r="K138" s="7"/>
      <c r="L138" s="7"/>
      <c r="M138" s="7"/>
      <c r="N138" s="7"/>
      <c r="O138" s="7"/>
      <c r="P138" s="7" t="s">
        <v>304</v>
      </c>
      <c r="Q138" s="7" t="s">
        <v>62</v>
      </c>
      <c r="R138" s="7" t="s">
        <v>2493</v>
      </c>
      <c r="S138" s="7" t="n">
        <v>310</v>
      </c>
      <c r="T138" s="7" t="s">
        <v>2494</v>
      </c>
      <c r="U138" s="7"/>
      <c r="V138" s="7"/>
      <c r="W138" s="7" t="n">
        <v>881</v>
      </c>
      <c r="X138" s="7" t="n">
        <v>885</v>
      </c>
      <c r="Y138" s="7" t="n">
        <v>4</v>
      </c>
      <c r="Z138" s="7" t="s">
        <v>2495</v>
      </c>
      <c r="AA138" s="9" t="s">
        <v>2496</v>
      </c>
      <c r="AB138" s="7" t="s">
        <v>2497</v>
      </c>
      <c r="AC138" s="7" t="s">
        <v>2498</v>
      </c>
      <c r="AD138" s="7" t="s">
        <v>2499</v>
      </c>
      <c r="AE138" s="7" t="s">
        <v>2500</v>
      </c>
      <c r="AF138" s="7"/>
      <c r="AG138" s="7"/>
      <c r="AH138" s="7"/>
      <c r="AI138" s="7"/>
      <c r="AJ138" s="10"/>
      <c r="AK138" s="7"/>
      <c r="AL138" s="7" t="s">
        <v>2501</v>
      </c>
      <c r="AM138" s="7" t="s">
        <v>2502</v>
      </c>
      <c r="AN138" s="7" t="s">
        <v>2503</v>
      </c>
      <c r="AO138" s="7"/>
      <c r="AP138" s="7" t="s">
        <v>2504</v>
      </c>
      <c r="AQ138" s="7" t="s">
        <v>2505</v>
      </c>
      <c r="AR138" s="7" t="s">
        <v>2506</v>
      </c>
      <c r="AS138" s="7" t="n">
        <v>198290</v>
      </c>
      <c r="AT138" s="7" t="n">
        <v>9269630</v>
      </c>
      <c r="AU138" s="7" t="s">
        <v>2507</v>
      </c>
      <c r="AV138" s="7"/>
      <c r="AW138" s="7" t="n">
        <v>38269935</v>
      </c>
      <c r="AX138" s="7" t="s">
        <v>2508</v>
      </c>
      <c r="AY138" s="7" t="s">
        <v>75</v>
      </c>
      <c r="AZ138" s="7" t="s">
        <v>2509</v>
      </c>
      <c r="BA138" s="7" t="s">
        <v>76</v>
      </c>
      <c r="BB138" s="7" t="s">
        <v>2510</v>
      </c>
      <c r="BC138" s="7"/>
      <c r="BD138" s="7"/>
      <c r="BE138" s="7"/>
      <c r="BF138" s="7"/>
      <c r="BG138" s="7"/>
      <c r="BH138" s="7"/>
      <c r="BI138" s="7"/>
    </row>
    <row r="139" customFormat="false" ht="14.25" hidden="false" customHeight="true" outlineLevel="0" collapsed="false">
      <c r="A139" s="7" t="s">
        <v>2511</v>
      </c>
      <c r="B139" s="7" t="s">
        <v>2512</v>
      </c>
      <c r="C139" s="7" t="s">
        <v>2513</v>
      </c>
      <c r="D139" s="7" t="s">
        <v>2514</v>
      </c>
      <c r="E139" s="7" t="n">
        <v>2024</v>
      </c>
      <c r="F139" s="8" t="s">
        <v>2515</v>
      </c>
      <c r="G139" s="6" t="s">
        <v>134</v>
      </c>
      <c r="H139" s="7"/>
      <c r="I139" s="7"/>
      <c r="J139" s="7"/>
      <c r="K139" s="7"/>
      <c r="L139" s="7"/>
      <c r="M139" s="7"/>
      <c r="N139" s="7"/>
      <c r="O139" s="7"/>
      <c r="P139" s="7" t="s">
        <v>304</v>
      </c>
      <c r="Q139" s="7" t="s">
        <v>62</v>
      </c>
      <c r="R139" s="7" t="s">
        <v>2516</v>
      </c>
      <c r="S139" s="7"/>
      <c r="T139" s="7" t="s">
        <v>187</v>
      </c>
      <c r="U139" s="7"/>
      <c r="V139" s="7"/>
      <c r="W139" s="7"/>
      <c r="X139" s="7"/>
      <c r="Y139" s="7"/>
      <c r="Z139" s="7" t="s">
        <v>2517</v>
      </c>
      <c r="AA139" s="9" t="s">
        <v>2518</v>
      </c>
      <c r="AB139" s="7" t="s">
        <v>2519</v>
      </c>
      <c r="AC139" s="7" t="s">
        <v>2520</v>
      </c>
      <c r="AD139" s="7" t="s">
        <v>2521</v>
      </c>
      <c r="AE139" s="7" t="s">
        <v>2522</v>
      </c>
      <c r="AF139" s="7"/>
      <c r="AG139" s="7"/>
      <c r="AH139" s="7"/>
      <c r="AI139" s="7"/>
      <c r="AJ139" s="10"/>
      <c r="AK139" s="7"/>
      <c r="AL139" s="7" t="s">
        <v>2523</v>
      </c>
      <c r="AM139" s="7" t="s">
        <v>2524</v>
      </c>
      <c r="AN139" s="7"/>
      <c r="AO139" s="7"/>
      <c r="AP139" s="7" t="s">
        <v>2525</v>
      </c>
      <c r="AQ139" s="7" t="s">
        <v>2526</v>
      </c>
      <c r="AR139" s="7" t="s">
        <v>2527</v>
      </c>
      <c r="AS139" s="7" t="n">
        <v>198965</v>
      </c>
      <c r="AT139" s="7"/>
      <c r="AU139" s="7" t="s">
        <v>2528</v>
      </c>
      <c r="AV139" s="7"/>
      <c r="AW139" s="7"/>
      <c r="AX139" s="7" t="s">
        <v>2529</v>
      </c>
      <c r="AY139" s="7" t="s">
        <v>75</v>
      </c>
      <c r="AZ139" s="7"/>
      <c r="BA139" s="7" t="s">
        <v>76</v>
      </c>
      <c r="BB139" s="7" t="s">
        <v>2530</v>
      </c>
      <c r="BC139" s="7"/>
      <c r="BD139" s="7"/>
      <c r="BE139" s="7"/>
      <c r="BF139" s="7"/>
      <c r="BG139" s="7"/>
      <c r="BH139" s="7"/>
      <c r="BI139" s="7"/>
    </row>
    <row r="140" customFormat="false" ht="14.25" hidden="false" customHeight="true" outlineLevel="0" collapsed="false">
      <c r="A140" s="7" t="s">
        <v>2531</v>
      </c>
      <c r="B140" s="7" t="s">
        <v>2532</v>
      </c>
      <c r="C140" s="7" t="s">
        <v>2533</v>
      </c>
      <c r="D140" s="7" t="s">
        <v>2534</v>
      </c>
      <c r="E140" s="7" t="n">
        <v>2024</v>
      </c>
      <c r="F140" s="8" t="s">
        <v>2535</v>
      </c>
      <c r="G140" s="6" t="s">
        <v>134</v>
      </c>
      <c r="H140" s="7"/>
      <c r="I140" s="7"/>
      <c r="J140" s="7"/>
      <c r="K140" s="7"/>
      <c r="L140" s="7"/>
      <c r="M140" s="7"/>
      <c r="N140" s="7"/>
      <c r="O140" s="7"/>
      <c r="P140" s="7" t="s">
        <v>304</v>
      </c>
      <c r="Q140" s="7" t="s">
        <v>62</v>
      </c>
      <c r="R140" s="7" t="s">
        <v>2536</v>
      </c>
      <c r="S140" s="7"/>
      <c r="T140" s="7" t="s">
        <v>187</v>
      </c>
      <c r="U140" s="7"/>
      <c r="V140" s="7"/>
      <c r="W140" s="7"/>
      <c r="X140" s="7"/>
      <c r="Y140" s="7"/>
      <c r="Z140" s="7" t="s">
        <v>2537</v>
      </c>
      <c r="AA140" s="9" t="s">
        <v>2538</v>
      </c>
      <c r="AB140" s="7" t="s">
        <v>2539</v>
      </c>
      <c r="AC140" s="7" t="s">
        <v>2540</v>
      </c>
      <c r="AD140" s="7" t="s">
        <v>2541</v>
      </c>
      <c r="AE140" s="7" t="s">
        <v>2542</v>
      </c>
      <c r="AF140" s="7"/>
      <c r="AG140" s="7"/>
      <c r="AH140" s="7"/>
      <c r="AI140" s="7"/>
      <c r="AJ140" s="10"/>
      <c r="AK140" s="7"/>
      <c r="AL140" s="7" t="s">
        <v>2543</v>
      </c>
      <c r="AM140" s="7"/>
      <c r="AN140" s="7"/>
      <c r="AO140" s="7"/>
      <c r="AP140" s="7" t="s">
        <v>2536</v>
      </c>
      <c r="AQ140" s="7" t="s">
        <v>2544</v>
      </c>
      <c r="AR140" s="7" t="s">
        <v>2545</v>
      </c>
      <c r="AS140" s="7" t="n">
        <v>206116</v>
      </c>
      <c r="AT140" s="7"/>
      <c r="AU140" s="7" t="s">
        <v>2546</v>
      </c>
      <c r="AV140" s="7"/>
      <c r="AW140" s="7"/>
      <c r="AX140" s="7" t="s">
        <v>2547</v>
      </c>
      <c r="AY140" s="7" t="s">
        <v>75</v>
      </c>
      <c r="AZ140" s="7"/>
      <c r="BA140" s="7" t="s">
        <v>76</v>
      </c>
      <c r="BB140" s="7" t="s">
        <v>2548</v>
      </c>
      <c r="BC140" s="7"/>
      <c r="BD140" s="7"/>
      <c r="BE140" s="7"/>
      <c r="BF140" s="7"/>
      <c r="BG140" s="7"/>
      <c r="BH140" s="7"/>
      <c r="BI140" s="7"/>
    </row>
    <row r="141" customFormat="false" ht="14.25" hidden="false" customHeight="true" outlineLevel="0" collapsed="false">
      <c r="A141" s="7" t="s">
        <v>2549</v>
      </c>
      <c r="B141" s="7" t="s">
        <v>2550</v>
      </c>
      <c r="C141" s="7" t="n">
        <v>59378284400</v>
      </c>
      <c r="D141" s="7" t="s">
        <v>2551</v>
      </c>
      <c r="E141" s="7" t="n">
        <v>2024</v>
      </c>
      <c r="F141" s="8" t="s">
        <v>2552</v>
      </c>
      <c r="G141" s="6" t="s">
        <v>134</v>
      </c>
      <c r="H141" s="7"/>
      <c r="I141" s="7"/>
      <c r="J141" s="7"/>
      <c r="K141" s="7"/>
      <c r="L141" s="7"/>
      <c r="M141" s="7"/>
      <c r="N141" s="7"/>
      <c r="O141" s="7"/>
      <c r="P141" s="7" t="s">
        <v>304</v>
      </c>
      <c r="Q141" s="7" t="s">
        <v>62</v>
      </c>
      <c r="R141" s="7" t="s">
        <v>2553</v>
      </c>
      <c r="S141" s="7"/>
      <c r="T141" s="7" t="s">
        <v>187</v>
      </c>
      <c r="U141" s="7"/>
      <c r="V141" s="7"/>
      <c r="W141" s="7" t="n">
        <v>1461</v>
      </c>
      <c r="X141" s="7" t="n">
        <v>1465</v>
      </c>
      <c r="Y141" s="7" t="n">
        <v>4</v>
      </c>
      <c r="Z141" s="7" t="s">
        <v>2554</v>
      </c>
      <c r="AA141" s="9" t="s">
        <v>2555</v>
      </c>
      <c r="AB141" s="7" t="s">
        <v>2556</v>
      </c>
      <c r="AC141" s="7" t="s">
        <v>2557</v>
      </c>
      <c r="AD141" s="7" t="s">
        <v>2558</v>
      </c>
      <c r="AE141" s="7" t="s">
        <v>2559</v>
      </c>
      <c r="AF141" s="7"/>
      <c r="AG141" s="7"/>
      <c r="AH141" s="7"/>
      <c r="AI141" s="7"/>
      <c r="AJ141" s="10"/>
      <c r="AK141" s="7"/>
      <c r="AL141" s="7" t="s">
        <v>2560</v>
      </c>
      <c r="AM141" s="7" t="s">
        <v>2561</v>
      </c>
      <c r="AN141" s="7"/>
      <c r="AO141" s="7"/>
      <c r="AP141" s="7" t="s">
        <v>2562</v>
      </c>
      <c r="AQ141" s="7" t="s">
        <v>2563</v>
      </c>
      <c r="AR141" s="7" t="s">
        <v>2564</v>
      </c>
      <c r="AS141" s="7" t="n">
        <v>203501</v>
      </c>
      <c r="AT141" s="7"/>
      <c r="AU141" s="7" t="s">
        <v>2565</v>
      </c>
      <c r="AV141" s="7"/>
      <c r="AW141" s="7"/>
      <c r="AX141" s="7" t="s">
        <v>2566</v>
      </c>
      <c r="AY141" s="7" t="s">
        <v>75</v>
      </c>
      <c r="AZ141" s="7"/>
      <c r="BA141" s="7" t="s">
        <v>76</v>
      </c>
      <c r="BB141" s="7" t="s">
        <v>2567</v>
      </c>
      <c r="BC141" s="7"/>
      <c r="BD141" s="7"/>
      <c r="BE141" s="7"/>
      <c r="BF141" s="7"/>
      <c r="BG141" s="7"/>
      <c r="BH141" s="7"/>
      <c r="BI141" s="7"/>
    </row>
    <row r="142" customFormat="false" ht="14.25" hidden="false" customHeight="true" outlineLevel="0" collapsed="false">
      <c r="A142" s="7" t="s">
        <v>2568</v>
      </c>
      <c r="B142" s="7" t="s">
        <v>2569</v>
      </c>
      <c r="C142" s="7" t="s">
        <v>2570</v>
      </c>
      <c r="D142" s="7" t="s">
        <v>2571</v>
      </c>
      <c r="E142" s="7" t="n">
        <v>2024</v>
      </c>
      <c r="F142" s="8" t="s">
        <v>2572</v>
      </c>
      <c r="G142" s="6" t="s">
        <v>2573</v>
      </c>
      <c r="H142" s="7"/>
      <c r="I142" s="7"/>
      <c r="J142" s="7"/>
      <c r="K142" s="7"/>
      <c r="L142" s="7"/>
      <c r="M142" s="7"/>
      <c r="N142" s="7"/>
      <c r="O142" s="7"/>
      <c r="P142" s="7" t="s">
        <v>304</v>
      </c>
      <c r="Q142" s="7" t="s">
        <v>62</v>
      </c>
      <c r="R142" s="7" t="s">
        <v>2574</v>
      </c>
      <c r="S142" s="7"/>
      <c r="T142" s="7" t="s">
        <v>187</v>
      </c>
      <c r="U142" s="7"/>
      <c r="V142" s="7"/>
      <c r="W142" s="7"/>
      <c r="X142" s="7"/>
      <c r="Y142" s="7"/>
      <c r="Z142" s="7" t="s">
        <v>2575</v>
      </c>
      <c r="AA142" s="9" t="s">
        <v>2576</v>
      </c>
      <c r="AB142" s="7" t="s">
        <v>2577</v>
      </c>
      <c r="AC142" s="7" t="s">
        <v>2578</v>
      </c>
      <c r="AD142" s="7" t="s">
        <v>2579</v>
      </c>
      <c r="AE142" s="7" t="s">
        <v>2580</v>
      </c>
      <c r="AF142" s="7"/>
      <c r="AG142" s="7"/>
      <c r="AH142" s="7"/>
      <c r="AI142" s="7"/>
      <c r="AJ142" s="10"/>
      <c r="AK142" s="7"/>
      <c r="AL142" s="7" t="s">
        <v>2581</v>
      </c>
      <c r="AM142" s="7"/>
      <c r="AN142" s="7"/>
      <c r="AO142" s="7"/>
      <c r="AP142" s="7" t="s">
        <v>2582</v>
      </c>
      <c r="AQ142" s="7" t="s">
        <v>2583</v>
      </c>
      <c r="AR142" s="7" t="s">
        <v>2584</v>
      </c>
      <c r="AS142" s="7" t="n">
        <v>200527</v>
      </c>
      <c r="AT142" s="7"/>
      <c r="AU142" s="7" t="s">
        <v>2585</v>
      </c>
      <c r="AV142" s="7"/>
      <c r="AW142" s="7"/>
      <c r="AX142" s="7" t="s">
        <v>2586</v>
      </c>
      <c r="AY142" s="7" t="s">
        <v>75</v>
      </c>
      <c r="AZ142" s="7"/>
      <c r="BA142" s="7" t="s">
        <v>76</v>
      </c>
      <c r="BB142" s="7" t="s">
        <v>2587</v>
      </c>
      <c r="BC142" s="7"/>
      <c r="BD142" s="7"/>
      <c r="BE142" s="7"/>
      <c r="BF142" s="7"/>
      <c r="BG142" s="7"/>
      <c r="BH142" s="7"/>
      <c r="BI142" s="7"/>
    </row>
    <row r="143" customFormat="false" ht="14.25" hidden="false" customHeight="true" outlineLevel="0" collapsed="false">
      <c r="A143" s="7" t="s">
        <v>2588</v>
      </c>
      <c r="B143" s="7" t="s">
        <v>2589</v>
      </c>
      <c r="C143" s="7" t="s">
        <v>2590</v>
      </c>
      <c r="D143" s="7" t="s">
        <v>2591</v>
      </c>
      <c r="E143" s="7" t="n">
        <v>2024</v>
      </c>
      <c r="F143" s="8" t="s">
        <v>2592</v>
      </c>
      <c r="G143" s="6" t="s">
        <v>134</v>
      </c>
      <c r="H143" s="7"/>
      <c r="I143" s="7"/>
      <c r="J143" s="7"/>
      <c r="K143" s="7"/>
      <c r="L143" s="7"/>
      <c r="M143" s="7"/>
      <c r="N143" s="7"/>
      <c r="O143" s="7"/>
      <c r="P143" s="7" t="s">
        <v>304</v>
      </c>
      <c r="Q143" s="7" t="s">
        <v>62</v>
      </c>
      <c r="R143" s="7" t="s">
        <v>2593</v>
      </c>
      <c r="S143" s="7"/>
      <c r="T143" s="7" t="s">
        <v>187</v>
      </c>
      <c r="U143" s="7"/>
      <c r="V143" s="7"/>
      <c r="W143" s="7" t="n">
        <v>877</v>
      </c>
      <c r="X143" s="7" t="n">
        <v>881</v>
      </c>
      <c r="Y143" s="7" t="n">
        <v>4</v>
      </c>
      <c r="Z143" s="7" t="s">
        <v>2594</v>
      </c>
      <c r="AA143" s="9" t="s">
        <v>2595</v>
      </c>
      <c r="AB143" s="7" t="s">
        <v>2596</v>
      </c>
      <c r="AC143" s="7" t="s">
        <v>2597</v>
      </c>
      <c r="AD143" s="7" t="s">
        <v>2598</v>
      </c>
      <c r="AE143" s="7" t="s">
        <v>2599</v>
      </c>
      <c r="AF143" s="7"/>
      <c r="AG143" s="7"/>
      <c r="AH143" s="7"/>
      <c r="AI143" s="7"/>
      <c r="AJ143" s="10"/>
      <c r="AK143" s="7"/>
      <c r="AL143" s="7" t="s">
        <v>2600</v>
      </c>
      <c r="AM143" s="7" t="s">
        <v>2601</v>
      </c>
      <c r="AN143" s="7"/>
      <c r="AO143" s="7"/>
      <c r="AP143" s="7" t="s">
        <v>2602</v>
      </c>
      <c r="AQ143" s="7" t="s">
        <v>2603</v>
      </c>
      <c r="AR143" s="7" t="s">
        <v>2604</v>
      </c>
      <c r="AS143" s="7" t="n">
        <v>204567</v>
      </c>
      <c r="AT143" s="7"/>
      <c r="AU143" s="7" t="s">
        <v>2605</v>
      </c>
      <c r="AV143" s="7"/>
      <c r="AW143" s="7"/>
      <c r="AX143" s="7" t="s">
        <v>2606</v>
      </c>
      <c r="AY143" s="7" t="s">
        <v>75</v>
      </c>
      <c r="AZ143" s="7"/>
      <c r="BA143" s="7" t="s">
        <v>76</v>
      </c>
      <c r="BB143" s="7" t="s">
        <v>2607</v>
      </c>
      <c r="BC143" s="7"/>
      <c r="BD143" s="7"/>
      <c r="BE143" s="7"/>
      <c r="BF143" s="7"/>
      <c r="BG143" s="7"/>
      <c r="BH143" s="7"/>
      <c r="BI143" s="7"/>
    </row>
    <row r="144" customFormat="false" ht="14.25" hidden="false" customHeight="true" outlineLevel="0" collapsed="false">
      <c r="A144" s="7" t="s">
        <v>2608</v>
      </c>
      <c r="B144" s="7" t="s">
        <v>2609</v>
      </c>
      <c r="C144" s="7" t="s">
        <v>2610</v>
      </c>
      <c r="D144" s="7" t="s">
        <v>2611</v>
      </c>
      <c r="E144" s="7" t="n">
        <v>2024</v>
      </c>
      <c r="F144" s="8" t="s">
        <v>2612</v>
      </c>
      <c r="G144" s="6" t="s">
        <v>2613</v>
      </c>
      <c r="H144" s="7"/>
      <c r="I144" s="7"/>
      <c r="J144" s="7"/>
      <c r="K144" s="7"/>
      <c r="L144" s="7"/>
      <c r="M144" s="7"/>
      <c r="N144" s="7"/>
      <c r="O144" s="7"/>
      <c r="P144" s="7" t="s">
        <v>304</v>
      </c>
      <c r="Q144" s="7" t="s">
        <v>62</v>
      </c>
      <c r="R144" s="7" t="s">
        <v>350</v>
      </c>
      <c r="S144" s="7" t="s">
        <v>2614</v>
      </c>
      <c r="T144" s="7" t="s">
        <v>307</v>
      </c>
      <c r="U144" s="7"/>
      <c r="V144" s="7"/>
      <c r="W144" s="7" t="n">
        <v>163</v>
      </c>
      <c r="X144" s="7" t="n">
        <v>176</v>
      </c>
      <c r="Y144" s="7" t="n">
        <v>13</v>
      </c>
      <c r="Z144" s="7" t="s">
        <v>2615</v>
      </c>
      <c r="AA144" s="9" t="s">
        <v>2616</v>
      </c>
      <c r="AB144" s="7" t="s">
        <v>2617</v>
      </c>
      <c r="AC144" s="7" t="s">
        <v>2618</v>
      </c>
      <c r="AD144" s="7" t="s">
        <v>2619</v>
      </c>
      <c r="AE144" s="7" t="s">
        <v>2620</v>
      </c>
      <c r="AF144" s="7"/>
      <c r="AG144" s="7"/>
      <c r="AH144" s="7"/>
      <c r="AI144" s="7"/>
      <c r="AJ144" s="10"/>
      <c r="AK144" s="7"/>
      <c r="AL144" s="7" t="s">
        <v>2621</v>
      </c>
      <c r="AM144" s="7" t="s">
        <v>2622</v>
      </c>
      <c r="AN144" s="7" t="s">
        <v>2623</v>
      </c>
      <c r="AO144" s="7"/>
      <c r="AP144" s="7" t="s">
        <v>2624</v>
      </c>
      <c r="AQ144" s="7" t="s">
        <v>2625</v>
      </c>
      <c r="AR144" s="7" t="s">
        <v>2626</v>
      </c>
      <c r="AS144" s="7" t="n">
        <v>316059</v>
      </c>
      <c r="AT144" s="7" t="n">
        <v>23673370</v>
      </c>
      <c r="AU144" s="7" t="s">
        <v>2627</v>
      </c>
      <c r="AV144" s="7"/>
      <c r="AW144" s="7"/>
      <c r="AX144" s="7" t="s">
        <v>365</v>
      </c>
      <c r="AY144" s="7" t="s">
        <v>75</v>
      </c>
      <c r="AZ144" s="7"/>
      <c r="BA144" s="7" t="s">
        <v>76</v>
      </c>
      <c r="BB144" s="7" t="s">
        <v>2628</v>
      </c>
      <c r="BC144" s="7"/>
      <c r="BD144" s="7"/>
      <c r="BE144" s="7"/>
      <c r="BF144" s="7"/>
      <c r="BG144" s="7"/>
      <c r="BH144" s="7"/>
      <c r="BI144" s="7"/>
    </row>
    <row r="145" customFormat="false" ht="14.25" hidden="false" customHeight="true" outlineLevel="0" collapsed="false">
      <c r="A145" s="7" t="s">
        <v>2629</v>
      </c>
      <c r="B145" s="7" t="s">
        <v>2630</v>
      </c>
      <c r="C145" s="7" t="s">
        <v>2631</v>
      </c>
      <c r="D145" s="7" t="s">
        <v>2632</v>
      </c>
      <c r="E145" s="7" t="n">
        <v>2024</v>
      </c>
      <c r="F145" s="8" t="s">
        <v>2633</v>
      </c>
      <c r="G145" s="6" t="s">
        <v>134</v>
      </c>
      <c r="H145" s="7"/>
      <c r="I145" s="7"/>
      <c r="J145" s="7"/>
      <c r="K145" s="7"/>
      <c r="L145" s="7"/>
      <c r="M145" s="7"/>
      <c r="N145" s="7"/>
      <c r="O145" s="7"/>
      <c r="P145" s="7" t="s">
        <v>304</v>
      </c>
      <c r="Q145" s="7" t="s">
        <v>62</v>
      </c>
      <c r="R145" s="7" t="s">
        <v>2634</v>
      </c>
      <c r="S145" s="7"/>
      <c r="T145" s="7" t="s">
        <v>187</v>
      </c>
      <c r="U145" s="7"/>
      <c r="V145" s="7"/>
      <c r="W145" s="7" t="n">
        <v>349</v>
      </c>
      <c r="X145" s="7" t="n">
        <v>354</v>
      </c>
      <c r="Y145" s="7" t="n">
        <v>5</v>
      </c>
      <c r="Z145" s="7" t="s">
        <v>2635</v>
      </c>
      <c r="AA145" s="9" t="s">
        <v>2636</v>
      </c>
      <c r="AB145" s="7" t="s">
        <v>2637</v>
      </c>
      <c r="AC145" s="7" t="s">
        <v>2638</v>
      </c>
      <c r="AD145" s="7" t="s">
        <v>2639</v>
      </c>
      <c r="AE145" s="7" t="s">
        <v>2640</v>
      </c>
      <c r="AF145" s="7"/>
      <c r="AG145" s="7"/>
      <c r="AH145" s="7"/>
      <c r="AI145" s="7"/>
      <c r="AJ145" s="10"/>
      <c r="AK145" s="7"/>
      <c r="AL145" s="7" t="s">
        <v>2641</v>
      </c>
      <c r="AM145" s="7" t="s">
        <v>2642</v>
      </c>
      <c r="AN145" s="7" t="s">
        <v>2643</v>
      </c>
      <c r="AO145" s="7" t="s">
        <v>2644</v>
      </c>
      <c r="AP145" s="7" t="s">
        <v>2645</v>
      </c>
      <c r="AQ145" s="7" t="s">
        <v>2646</v>
      </c>
      <c r="AR145" s="7" t="s">
        <v>2647</v>
      </c>
      <c r="AS145" s="7" t="n">
        <v>204072</v>
      </c>
      <c r="AT145" s="7"/>
      <c r="AU145" s="7" t="s">
        <v>2648</v>
      </c>
      <c r="AV145" s="7"/>
      <c r="AW145" s="7"/>
      <c r="AX145" s="7" t="s">
        <v>2649</v>
      </c>
      <c r="AY145" s="7" t="s">
        <v>75</v>
      </c>
      <c r="AZ145" s="7"/>
      <c r="BA145" s="7" t="s">
        <v>76</v>
      </c>
      <c r="BB145" s="7" t="s">
        <v>2650</v>
      </c>
      <c r="BC145" s="7"/>
      <c r="BD145" s="7"/>
      <c r="BE145" s="7"/>
      <c r="BF145" s="7"/>
      <c r="BG145" s="7"/>
      <c r="BH145" s="7"/>
      <c r="BI145" s="7"/>
    </row>
    <row r="146" customFormat="false" ht="14.25" hidden="false" customHeight="true" outlineLevel="0" collapsed="false">
      <c r="A146" s="7" t="s">
        <v>2651</v>
      </c>
      <c r="B146" s="7" t="s">
        <v>2652</v>
      </c>
      <c r="C146" s="7" t="s">
        <v>2653</v>
      </c>
      <c r="D146" s="7" t="s">
        <v>2654</v>
      </c>
      <c r="E146" s="7" t="n">
        <v>2024</v>
      </c>
      <c r="F146" s="8" t="s">
        <v>2655</v>
      </c>
      <c r="G146" s="6" t="s">
        <v>134</v>
      </c>
      <c r="H146" s="7"/>
      <c r="I146" s="7"/>
      <c r="J146" s="7"/>
      <c r="K146" s="7"/>
      <c r="L146" s="7"/>
      <c r="M146" s="7"/>
      <c r="N146" s="7"/>
      <c r="O146" s="7"/>
      <c r="P146" s="7" t="s">
        <v>304</v>
      </c>
      <c r="Q146" s="7" t="s">
        <v>62</v>
      </c>
      <c r="R146" s="7" t="s">
        <v>2656</v>
      </c>
      <c r="S146" s="7"/>
      <c r="T146" s="7" t="s">
        <v>187</v>
      </c>
      <c r="U146" s="7"/>
      <c r="V146" s="7"/>
      <c r="W146" s="7"/>
      <c r="X146" s="7"/>
      <c r="Y146" s="7"/>
      <c r="Z146" s="7" t="s">
        <v>2657</v>
      </c>
      <c r="AA146" s="9" t="s">
        <v>2658</v>
      </c>
      <c r="AB146" s="7" t="s">
        <v>2659</v>
      </c>
      <c r="AC146" s="7" t="s">
        <v>2660</v>
      </c>
      <c r="AD146" s="7" t="s">
        <v>2661</v>
      </c>
      <c r="AE146" s="7" t="s">
        <v>2662</v>
      </c>
      <c r="AF146" s="7"/>
      <c r="AG146" s="7"/>
      <c r="AH146" s="7"/>
      <c r="AI146" s="7"/>
      <c r="AJ146" s="10"/>
      <c r="AK146" s="7"/>
      <c r="AL146" s="7" t="s">
        <v>2663</v>
      </c>
      <c r="AM146" s="7"/>
      <c r="AN146" s="7" t="s">
        <v>2664</v>
      </c>
      <c r="AO146" s="7"/>
      <c r="AP146" s="7" t="s">
        <v>2665</v>
      </c>
      <c r="AQ146" s="7" t="s">
        <v>2666</v>
      </c>
      <c r="AR146" s="7" t="s">
        <v>2667</v>
      </c>
      <c r="AS146" s="7" t="n">
        <v>199226</v>
      </c>
      <c r="AT146" s="7"/>
      <c r="AU146" s="7" t="s">
        <v>2668</v>
      </c>
      <c r="AV146" s="7"/>
      <c r="AW146" s="7"/>
      <c r="AX146" s="7" t="s">
        <v>2669</v>
      </c>
      <c r="AY146" s="7" t="s">
        <v>75</v>
      </c>
      <c r="AZ146" s="7"/>
      <c r="BA146" s="7" t="s">
        <v>76</v>
      </c>
      <c r="BB146" s="7" t="s">
        <v>2670</v>
      </c>
      <c r="BC146" s="7"/>
      <c r="BD146" s="7"/>
      <c r="BE146" s="7"/>
      <c r="BF146" s="7"/>
      <c r="BG146" s="7"/>
      <c r="BH146" s="7"/>
      <c r="BI146" s="7"/>
    </row>
    <row r="147" customFormat="false" ht="14.25" hidden="false" customHeight="true" outlineLevel="0" collapsed="false">
      <c r="A147" s="7" t="s">
        <v>2671</v>
      </c>
      <c r="B147" s="7" t="s">
        <v>2672</v>
      </c>
      <c r="C147" s="7" t="s">
        <v>2673</v>
      </c>
      <c r="D147" s="7" t="s">
        <v>2674</v>
      </c>
      <c r="E147" s="7" t="n">
        <v>2024</v>
      </c>
      <c r="F147" s="8" t="s">
        <v>2675</v>
      </c>
      <c r="G147" s="6" t="s">
        <v>134</v>
      </c>
      <c r="H147" s="7"/>
      <c r="I147" s="7"/>
      <c r="J147" s="7"/>
      <c r="K147" s="7"/>
      <c r="L147" s="7"/>
      <c r="M147" s="7"/>
      <c r="N147" s="7"/>
      <c r="O147" s="7"/>
      <c r="P147" s="7" t="s">
        <v>304</v>
      </c>
      <c r="Q147" s="7" t="s">
        <v>62</v>
      </c>
      <c r="R147" s="7" t="s">
        <v>2676</v>
      </c>
      <c r="S147" s="7"/>
      <c r="T147" s="7" t="s">
        <v>2677</v>
      </c>
      <c r="U147" s="7"/>
      <c r="V147" s="7"/>
      <c r="W147" s="7" t="n">
        <v>3848</v>
      </c>
      <c r="X147" s="7" t="n">
        <v>3853</v>
      </c>
      <c r="Y147" s="7" t="n">
        <v>5</v>
      </c>
      <c r="Z147" s="7" t="s">
        <v>2678</v>
      </c>
      <c r="AA147" s="9" t="s">
        <v>2679</v>
      </c>
      <c r="AB147" s="7" t="s">
        <v>2680</v>
      </c>
      <c r="AC147" s="7" t="s">
        <v>2681</v>
      </c>
      <c r="AD147" s="7" t="s">
        <v>2682</v>
      </c>
      <c r="AE147" s="7" t="s">
        <v>2683</v>
      </c>
      <c r="AF147" s="7"/>
      <c r="AG147" s="7"/>
      <c r="AH147" s="7"/>
      <c r="AI147" s="7"/>
      <c r="AJ147" s="10"/>
      <c r="AK147" s="7"/>
      <c r="AL147" s="7" t="s">
        <v>2684</v>
      </c>
      <c r="AM147" s="7"/>
      <c r="AN147" s="7"/>
      <c r="AO147" s="7" t="s">
        <v>2685</v>
      </c>
      <c r="AP147" s="7" t="s">
        <v>2686</v>
      </c>
      <c r="AQ147" s="7" t="s">
        <v>2687</v>
      </c>
      <c r="AR147" s="7" t="s">
        <v>2688</v>
      </c>
      <c r="AS147" s="7" t="n">
        <v>205156</v>
      </c>
      <c r="AT147" s="7" t="n">
        <v>15224880</v>
      </c>
      <c r="AU147" s="7" t="s">
        <v>2689</v>
      </c>
      <c r="AV147" s="7"/>
      <c r="AW147" s="7"/>
      <c r="AX147" s="7" t="s">
        <v>2690</v>
      </c>
      <c r="AY147" s="7" t="s">
        <v>75</v>
      </c>
      <c r="AZ147" s="7" t="s">
        <v>409</v>
      </c>
      <c r="BA147" s="7" t="s">
        <v>76</v>
      </c>
      <c r="BB147" s="7" t="s">
        <v>2691</v>
      </c>
      <c r="BC147" s="7"/>
      <c r="BD147" s="7"/>
      <c r="BE147" s="7"/>
      <c r="BF147" s="7"/>
      <c r="BG147" s="7"/>
      <c r="BH147" s="7"/>
      <c r="BI147" s="7"/>
    </row>
    <row r="148" customFormat="false" ht="14.25" hidden="false" customHeight="true" outlineLevel="0" collapsed="false">
      <c r="A148" s="7" t="s">
        <v>2692</v>
      </c>
      <c r="B148" s="7" t="s">
        <v>2693</v>
      </c>
      <c r="C148" s="7" t="s">
        <v>2694</v>
      </c>
      <c r="D148" s="7" t="s">
        <v>2695</v>
      </c>
      <c r="E148" s="7" t="n">
        <v>2024</v>
      </c>
      <c r="F148" s="8" t="s">
        <v>2696</v>
      </c>
      <c r="G148" s="6" t="s">
        <v>134</v>
      </c>
      <c r="H148" s="7"/>
      <c r="I148" s="7"/>
      <c r="J148" s="7"/>
      <c r="K148" s="7"/>
      <c r="L148" s="7"/>
      <c r="M148" s="7"/>
      <c r="N148" s="7"/>
      <c r="O148" s="7"/>
      <c r="P148" s="7" t="s">
        <v>304</v>
      </c>
      <c r="Q148" s="7" t="s">
        <v>62</v>
      </c>
      <c r="R148" s="7" t="s">
        <v>2269</v>
      </c>
      <c r="S148" s="7"/>
      <c r="T148" s="7" t="s">
        <v>187</v>
      </c>
      <c r="U148" s="7"/>
      <c r="V148" s="7"/>
      <c r="W148" s="7"/>
      <c r="X148" s="7"/>
      <c r="Y148" s="7"/>
      <c r="Z148" s="7" t="s">
        <v>2697</v>
      </c>
      <c r="AA148" s="9" t="s">
        <v>2698</v>
      </c>
      <c r="AB148" s="7" t="s">
        <v>2699</v>
      </c>
      <c r="AC148" s="7" t="s">
        <v>2700</v>
      </c>
      <c r="AD148" s="7" t="s">
        <v>2701</v>
      </c>
      <c r="AE148" s="7" t="s">
        <v>2702</v>
      </c>
      <c r="AF148" s="7"/>
      <c r="AG148" s="7"/>
      <c r="AH148" s="7"/>
      <c r="AI148" s="7"/>
      <c r="AJ148" s="10"/>
      <c r="AK148" s="7"/>
      <c r="AL148" s="7" t="s">
        <v>2703</v>
      </c>
      <c r="AM148" s="7" t="s">
        <v>2704</v>
      </c>
      <c r="AN148" s="7"/>
      <c r="AO148" s="7"/>
      <c r="AP148" s="7" t="s">
        <v>2280</v>
      </c>
      <c r="AQ148" s="7" t="s">
        <v>2281</v>
      </c>
      <c r="AR148" s="7" t="s">
        <v>2282</v>
      </c>
      <c r="AS148" s="7" t="n">
        <v>201895</v>
      </c>
      <c r="AT148" s="7"/>
      <c r="AU148" s="7" t="s">
        <v>2283</v>
      </c>
      <c r="AV148" s="7"/>
      <c r="AW148" s="7"/>
      <c r="AX148" s="7" t="s">
        <v>2284</v>
      </c>
      <c r="AY148" s="7" t="s">
        <v>75</v>
      </c>
      <c r="AZ148" s="7"/>
      <c r="BA148" s="7" t="s">
        <v>76</v>
      </c>
      <c r="BB148" s="7" t="s">
        <v>2705</v>
      </c>
      <c r="BC148" s="7"/>
      <c r="BD148" s="7"/>
      <c r="BE148" s="7"/>
      <c r="BF148" s="7"/>
      <c r="BG148" s="7"/>
      <c r="BH148" s="7"/>
      <c r="BI148" s="7"/>
    </row>
    <row r="149" customFormat="false" ht="14.25" hidden="false" customHeight="true" outlineLevel="0" collapsed="false">
      <c r="A149" s="7" t="s">
        <v>2706</v>
      </c>
      <c r="B149" s="7" t="s">
        <v>2707</v>
      </c>
      <c r="C149" s="7" t="s">
        <v>2708</v>
      </c>
      <c r="D149" s="7" t="s">
        <v>2709</v>
      </c>
      <c r="E149" s="7" t="n">
        <v>2024</v>
      </c>
      <c r="F149" s="8" t="s">
        <v>2710</v>
      </c>
      <c r="G149" s="6" t="s">
        <v>134</v>
      </c>
      <c r="H149" s="7"/>
      <c r="I149" s="7"/>
      <c r="J149" s="7"/>
      <c r="K149" s="7"/>
      <c r="L149" s="7"/>
      <c r="M149" s="7"/>
      <c r="N149" s="7"/>
      <c r="O149" s="7"/>
      <c r="P149" s="7" t="s">
        <v>304</v>
      </c>
      <c r="Q149" s="7" t="s">
        <v>62</v>
      </c>
      <c r="R149" s="7" t="s">
        <v>2711</v>
      </c>
      <c r="S149" s="7"/>
      <c r="T149" s="7" t="s">
        <v>187</v>
      </c>
      <c r="U149" s="7"/>
      <c r="V149" s="7"/>
      <c r="W149" s="7" t="n">
        <v>801</v>
      </c>
      <c r="X149" s="7" t="n">
        <v>807</v>
      </c>
      <c r="Y149" s="7" t="n">
        <v>6</v>
      </c>
      <c r="Z149" s="7" t="s">
        <v>2712</v>
      </c>
      <c r="AA149" s="9" t="s">
        <v>2713</v>
      </c>
      <c r="AB149" s="7" t="s">
        <v>2714</v>
      </c>
      <c r="AC149" s="7" t="s">
        <v>2715</v>
      </c>
      <c r="AD149" s="7" t="s">
        <v>2716</v>
      </c>
      <c r="AE149" s="7" t="s">
        <v>2717</v>
      </c>
      <c r="AF149" s="7"/>
      <c r="AG149" s="7"/>
      <c r="AH149" s="7"/>
      <c r="AI149" s="7"/>
      <c r="AJ149" s="10"/>
      <c r="AK149" s="7"/>
      <c r="AL149" s="7" t="s">
        <v>2718</v>
      </c>
      <c r="AM149" s="7" t="s">
        <v>2719</v>
      </c>
      <c r="AN149" s="7"/>
      <c r="AO149" s="7"/>
      <c r="AP149" s="7" t="s">
        <v>2711</v>
      </c>
      <c r="AQ149" s="7" t="s">
        <v>2720</v>
      </c>
      <c r="AR149" s="7" t="s">
        <v>2721</v>
      </c>
      <c r="AS149" s="7" t="n">
        <v>200047</v>
      </c>
      <c r="AT149" s="7"/>
      <c r="AU149" s="7" t="s">
        <v>2722</v>
      </c>
      <c r="AV149" s="7"/>
      <c r="AW149" s="7"/>
      <c r="AX149" s="7" t="s">
        <v>2723</v>
      </c>
      <c r="AY149" s="7" t="s">
        <v>75</v>
      </c>
      <c r="AZ149" s="7"/>
      <c r="BA149" s="7" t="s">
        <v>76</v>
      </c>
      <c r="BB149" s="7" t="s">
        <v>2724</v>
      </c>
      <c r="BC149" s="7"/>
      <c r="BD149" s="7"/>
      <c r="BE149" s="7"/>
      <c r="BF149" s="7"/>
      <c r="BG149" s="7"/>
      <c r="BH149" s="7"/>
      <c r="BI149" s="7"/>
    </row>
    <row r="150" customFormat="false" ht="14.25" hidden="false" customHeight="true" outlineLevel="0" collapsed="false">
      <c r="A150" s="7" t="s">
        <v>2725</v>
      </c>
      <c r="B150" s="7" t="s">
        <v>2726</v>
      </c>
      <c r="C150" s="7" t="s">
        <v>2727</v>
      </c>
      <c r="D150" s="7" t="s">
        <v>2728</v>
      </c>
      <c r="E150" s="7" t="n">
        <v>2024</v>
      </c>
      <c r="F150" s="8" t="s">
        <v>2729</v>
      </c>
      <c r="G150" s="6" t="s">
        <v>713</v>
      </c>
      <c r="H150" s="7"/>
      <c r="I150" s="7"/>
      <c r="J150" s="7"/>
      <c r="K150" s="7"/>
      <c r="L150" s="7"/>
      <c r="M150" s="7"/>
      <c r="N150" s="7"/>
      <c r="O150" s="7"/>
      <c r="P150" s="7" t="s">
        <v>304</v>
      </c>
      <c r="Q150" s="7" t="s">
        <v>62</v>
      </c>
      <c r="R150" s="7" t="s">
        <v>2730</v>
      </c>
      <c r="S150" s="7"/>
      <c r="T150" s="7" t="s">
        <v>187</v>
      </c>
      <c r="U150" s="7"/>
      <c r="V150" s="7"/>
      <c r="W150" s="7"/>
      <c r="X150" s="7"/>
      <c r="Y150" s="7"/>
      <c r="Z150" s="7" t="s">
        <v>2731</v>
      </c>
      <c r="AA150" s="9" t="s">
        <v>2732</v>
      </c>
      <c r="AB150" s="7" t="s">
        <v>2733</v>
      </c>
      <c r="AC150" s="7" t="s">
        <v>2734</v>
      </c>
      <c r="AD150" s="7" t="s">
        <v>2735</v>
      </c>
      <c r="AE150" s="7" t="s">
        <v>2736</v>
      </c>
      <c r="AF150" s="7"/>
      <c r="AG150" s="7"/>
      <c r="AH150" s="7"/>
      <c r="AI150" s="7"/>
      <c r="AJ150" s="10"/>
      <c r="AK150" s="7"/>
      <c r="AL150" s="7" t="s">
        <v>2737</v>
      </c>
      <c r="AM150" s="7" t="s">
        <v>2738</v>
      </c>
      <c r="AN150" s="7"/>
      <c r="AO150" s="7"/>
      <c r="AP150" s="7" t="s">
        <v>2739</v>
      </c>
      <c r="AQ150" s="7" t="s">
        <v>2740</v>
      </c>
      <c r="AR150" s="7" t="s">
        <v>2741</v>
      </c>
      <c r="AS150" s="7" t="n">
        <v>205406</v>
      </c>
      <c r="AT150" s="7"/>
      <c r="AU150" s="7" t="s">
        <v>2742</v>
      </c>
      <c r="AV150" s="7"/>
      <c r="AW150" s="7"/>
      <c r="AX150" s="7" t="s">
        <v>2743</v>
      </c>
      <c r="AY150" s="7" t="s">
        <v>75</v>
      </c>
      <c r="AZ150" s="7"/>
      <c r="BA150" s="7" t="s">
        <v>76</v>
      </c>
      <c r="BB150" s="7" t="s">
        <v>2744</v>
      </c>
      <c r="BC150" s="7"/>
      <c r="BD150" s="7"/>
      <c r="BE150" s="7"/>
      <c r="BF150" s="7"/>
      <c r="BG150" s="7"/>
      <c r="BH150" s="7"/>
      <c r="BI150" s="7"/>
    </row>
    <row r="151" customFormat="false" ht="14.25" hidden="false" customHeight="true" outlineLevel="0" collapsed="false">
      <c r="A151" s="7" t="s">
        <v>2745</v>
      </c>
      <c r="B151" s="7" t="s">
        <v>2746</v>
      </c>
      <c r="C151" s="7" t="s">
        <v>2747</v>
      </c>
      <c r="D151" s="7" t="s">
        <v>2748</v>
      </c>
      <c r="E151" s="7" t="n">
        <v>2024</v>
      </c>
      <c r="F151" s="8" t="s">
        <v>2749</v>
      </c>
      <c r="G151" s="6" t="s">
        <v>2750</v>
      </c>
      <c r="H151" s="7"/>
      <c r="I151" s="7"/>
      <c r="J151" s="7"/>
      <c r="K151" s="7"/>
      <c r="L151" s="7"/>
      <c r="M151" s="7"/>
      <c r="N151" s="7"/>
      <c r="O151" s="7"/>
      <c r="P151" s="7" t="s">
        <v>304</v>
      </c>
      <c r="Q151" s="7" t="s">
        <v>62</v>
      </c>
      <c r="R151" s="7" t="s">
        <v>2751</v>
      </c>
      <c r="S151" s="7" t="s">
        <v>2752</v>
      </c>
      <c r="T151" s="7" t="s">
        <v>307</v>
      </c>
      <c r="U151" s="7"/>
      <c r="V151" s="7"/>
      <c r="W151" s="7" t="n">
        <v>13</v>
      </c>
      <c r="X151" s="7" t="n">
        <v>27</v>
      </c>
      <c r="Y151" s="7" t="n">
        <v>14</v>
      </c>
      <c r="Z151" s="7" t="s">
        <v>2753</v>
      </c>
      <c r="AA151" s="9" t="s">
        <v>2754</v>
      </c>
      <c r="AB151" s="7" t="s">
        <v>2755</v>
      </c>
      <c r="AC151" s="7" t="s">
        <v>2756</v>
      </c>
      <c r="AD151" s="7" t="s">
        <v>2757</v>
      </c>
      <c r="AE151" s="7" t="s">
        <v>2758</v>
      </c>
      <c r="AF151" s="7"/>
      <c r="AG151" s="7"/>
      <c r="AH151" s="7"/>
      <c r="AI151" s="7"/>
      <c r="AJ151" s="10"/>
      <c r="AK151" s="7"/>
      <c r="AL151" s="7" t="s">
        <v>2759</v>
      </c>
      <c r="AM151" s="7" t="s">
        <v>2760</v>
      </c>
      <c r="AN151" s="7" t="s">
        <v>2761</v>
      </c>
      <c r="AO151" s="7"/>
      <c r="AP151" s="7" t="s">
        <v>2762</v>
      </c>
      <c r="AQ151" s="7" t="s">
        <v>2763</v>
      </c>
      <c r="AR151" s="7" t="s">
        <v>2764</v>
      </c>
      <c r="AS151" s="7" t="n">
        <v>311539</v>
      </c>
      <c r="AT151" s="7" t="n">
        <v>3029743</v>
      </c>
      <c r="AU151" s="7" t="s">
        <v>2765</v>
      </c>
      <c r="AV151" s="7"/>
      <c r="AW151" s="7"/>
      <c r="AX151" s="7" t="s">
        <v>2766</v>
      </c>
      <c r="AY151" s="7" t="s">
        <v>75</v>
      </c>
      <c r="AZ151" s="7"/>
      <c r="BA151" s="7" t="s">
        <v>76</v>
      </c>
      <c r="BB151" s="7" t="s">
        <v>2767</v>
      </c>
      <c r="BC151" s="7"/>
      <c r="BD151" s="7"/>
      <c r="BE151" s="7"/>
      <c r="BF151" s="7"/>
      <c r="BG151" s="7"/>
      <c r="BH151" s="7"/>
      <c r="BI151" s="7"/>
    </row>
    <row r="152" customFormat="false" ht="14.25" hidden="false" customHeight="true" outlineLevel="0" collapsed="false">
      <c r="A152" s="7" t="s">
        <v>2768</v>
      </c>
      <c r="B152" s="7" t="s">
        <v>2769</v>
      </c>
      <c r="C152" s="7" t="s">
        <v>2770</v>
      </c>
      <c r="D152" s="7" t="s">
        <v>2771</v>
      </c>
      <c r="E152" s="7" t="n">
        <v>2024</v>
      </c>
      <c r="F152" s="8" t="s">
        <v>2772</v>
      </c>
      <c r="G152" s="6" t="s">
        <v>747</v>
      </c>
      <c r="H152" s="7"/>
      <c r="I152" s="7"/>
      <c r="J152" s="7"/>
      <c r="K152" s="7"/>
      <c r="L152" s="7"/>
      <c r="M152" s="7"/>
      <c r="N152" s="7"/>
      <c r="O152" s="7"/>
      <c r="P152" s="7" t="s">
        <v>304</v>
      </c>
      <c r="Q152" s="7" t="s">
        <v>62</v>
      </c>
      <c r="R152" s="7" t="s">
        <v>2773</v>
      </c>
      <c r="S152" s="7"/>
      <c r="T152" s="7" t="s">
        <v>187</v>
      </c>
      <c r="U152" s="7"/>
      <c r="V152" s="7"/>
      <c r="W152" s="7"/>
      <c r="X152" s="7"/>
      <c r="Y152" s="7"/>
      <c r="Z152" s="7" t="s">
        <v>2774</v>
      </c>
      <c r="AA152" s="9" t="s">
        <v>2775</v>
      </c>
      <c r="AB152" s="7" t="s">
        <v>2776</v>
      </c>
      <c r="AC152" s="7" t="s">
        <v>2777</v>
      </c>
      <c r="AD152" s="7" t="s">
        <v>2778</v>
      </c>
      <c r="AE152" s="7" t="s">
        <v>2779</v>
      </c>
      <c r="AF152" s="7"/>
      <c r="AG152" s="7"/>
      <c r="AH152" s="7"/>
      <c r="AI152" s="7"/>
      <c r="AJ152" s="10"/>
      <c r="AK152" s="7"/>
      <c r="AL152" s="7" t="s">
        <v>2780</v>
      </c>
      <c r="AM152" s="7" t="s">
        <v>2781</v>
      </c>
      <c r="AN152" s="7"/>
      <c r="AO152" s="7" t="s">
        <v>2782</v>
      </c>
      <c r="AP152" s="7" t="s">
        <v>2783</v>
      </c>
      <c r="AQ152" s="7" t="s">
        <v>2784</v>
      </c>
      <c r="AR152" s="7" t="s">
        <v>2785</v>
      </c>
      <c r="AS152" s="7" t="n">
        <v>200425</v>
      </c>
      <c r="AT152" s="7"/>
      <c r="AU152" s="7" t="s">
        <v>2786</v>
      </c>
      <c r="AV152" s="7"/>
      <c r="AW152" s="7"/>
      <c r="AX152" s="7" t="s">
        <v>2787</v>
      </c>
      <c r="AY152" s="7" t="s">
        <v>75</v>
      </c>
      <c r="AZ152" s="7"/>
      <c r="BA152" s="7" t="s">
        <v>76</v>
      </c>
      <c r="BB152" s="7" t="s">
        <v>2788</v>
      </c>
      <c r="BC152" s="7"/>
      <c r="BD152" s="7"/>
      <c r="BE152" s="7"/>
      <c r="BF152" s="7"/>
      <c r="BG152" s="7"/>
      <c r="BH152" s="7"/>
      <c r="BI152" s="7"/>
    </row>
    <row r="153" customFormat="false" ht="14.25" hidden="false" customHeight="true" outlineLevel="0" collapsed="false">
      <c r="A153" s="7" t="s">
        <v>2789</v>
      </c>
      <c r="B153" s="7" t="s">
        <v>2790</v>
      </c>
      <c r="C153" s="7" t="s">
        <v>2791</v>
      </c>
      <c r="D153" s="7" t="s">
        <v>2792</v>
      </c>
      <c r="E153" s="7" t="n">
        <v>2024</v>
      </c>
      <c r="F153" s="8" t="s">
        <v>2793</v>
      </c>
      <c r="G153" s="6" t="s">
        <v>747</v>
      </c>
      <c r="H153" s="7"/>
      <c r="I153" s="7"/>
      <c r="J153" s="7"/>
      <c r="K153" s="7"/>
      <c r="L153" s="7"/>
      <c r="M153" s="7"/>
      <c r="N153" s="7"/>
      <c r="O153" s="7"/>
      <c r="P153" s="7" t="s">
        <v>304</v>
      </c>
      <c r="Q153" s="7" t="s">
        <v>62</v>
      </c>
      <c r="R153" s="7" t="s">
        <v>2794</v>
      </c>
      <c r="S153" s="7" t="s">
        <v>2795</v>
      </c>
      <c r="T153" s="7" t="s">
        <v>307</v>
      </c>
      <c r="U153" s="7"/>
      <c r="V153" s="7"/>
      <c r="W153" s="7" t="n">
        <v>361</v>
      </c>
      <c r="X153" s="7" t="n">
        <v>373</v>
      </c>
      <c r="Y153" s="7" t="n">
        <v>12</v>
      </c>
      <c r="Z153" s="7" t="s">
        <v>2796</v>
      </c>
      <c r="AA153" s="9" t="s">
        <v>2797</v>
      </c>
      <c r="AB153" s="7" t="s">
        <v>2798</v>
      </c>
      <c r="AC153" s="7" t="s">
        <v>2799</v>
      </c>
      <c r="AD153" s="7" t="s">
        <v>2800</v>
      </c>
      <c r="AE153" s="7" t="s">
        <v>2801</v>
      </c>
      <c r="AF153" s="7"/>
      <c r="AG153" s="7"/>
      <c r="AH153" s="7"/>
      <c r="AI153" s="7"/>
      <c r="AJ153" s="10" t="s">
        <v>2802</v>
      </c>
      <c r="AK153" s="7" t="s">
        <v>2803</v>
      </c>
      <c r="AL153" s="7" t="s">
        <v>2804</v>
      </c>
      <c r="AM153" s="7" t="s">
        <v>2805</v>
      </c>
      <c r="AN153" s="7" t="s">
        <v>2806</v>
      </c>
      <c r="AO153" s="7"/>
      <c r="AP153" s="7" t="s">
        <v>2807</v>
      </c>
      <c r="AQ153" s="7" t="s">
        <v>2808</v>
      </c>
      <c r="AR153" s="7" t="s">
        <v>2809</v>
      </c>
      <c r="AS153" s="7" t="n">
        <v>314789</v>
      </c>
      <c r="AT153" s="7" t="n">
        <v>18678211</v>
      </c>
      <c r="AU153" s="7" t="s">
        <v>2810</v>
      </c>
      <c r="AV153" s="7"/>
      <c r="AW153" s="7"/>
      <c r="AX153" s="7" t="s">
        <v>2811</v>
      </c>
      <c r="AY153" s="7" t="s">
        <v>75</v>
      </c>
      <c r="AZ153" s="7"/>
      <c r="BA153" s="7" t="s">
        <v>76</v>
      </c>
      <c r="BB153" s="7" t="s">
        <v>2812</v>
      </c>
      <c r="BC153" s="7"/>
      <c r="BD153" s="7"/>
      <c r="BE153" s="7"/>
      <c r="BF153" s="7"/>
      <c r="BG153" s="7"/>
      <c r="BH153" s="7"/>
      <c r="BI153" s="7"/>
    </row>
    <row r="154" customFormat="false" ht="14.25" hidden="false" customHeight="true" outlineLevel="0" collapsed="false">
      <c r="A154" s="7" t="s">
        <v>2813</v>
      </c>
      <c r="B154" s="7" t="s">
        <v>2814</v>
      </c>
      <c r="C154" s="7" t="s">
        <v>2815</v>
      </c>
      <c r="D154" s="7" t="s">
        <v>2816</v>
      </c>
      <c r="E154" s="7" t="n">
        <v>2024</v>
      </c>
      <c r="F154" s="8" t="s">
        <v>2817</v>
      </c>
      <c r="G154" s="6" t="s">
        <v>149</v>
      </c>
      <c r="H154" s="7"/>
      <c r="I154" s="7"/>
      <c r="J154" s="7"/>
      <c r="K154" s="7"/>
      <c r="L154" s="7"/>
      <c r="M154" s="7"/>
      <c r="N154" s="7"/>
      <c r="O154" s="7"/>
      <c r="P154" s="7" t="s">
        <v>304</v>
      </c>
      <c r="Q154" s="7" t="s">
        <v>62</v>
      </c>
      <c r="R154" s="7" t="s">
        <v>2818</v>
      </c>
      <c r="S154" s="7"/>
      <c r="T154" s="7" t="s">
        <v>187</v>
      </c>
      <c r="U154" s="7"/>
      <c r="V154" s="7"/>
      <c r="W154" s="7"/>
      <c r="X154" s="7"/>
      <c r="Y154" s="7"/>
      <c r="Z154" s="7" t="s">
        <v>2819</v>
      </c>
      <c r="AA154" s="9" t="s">
        <v>2820</v>
      </c>
      <c r="AB154" s="7" t="s">
        <v>2821</v>
      </c>
      <c r="AC154" s="7" t="s">
        <v>2822</v>
      </c>
      <c r="AD154" s="7"/>
      <c r="AE154" s="7" t="s">
        <v>2823</v>
      </c>
      <c r="AF154" s="7"/>
      <c r="AG154" s="7"/>
      <c r="AH154" s="7"/>
      <c r="AI154" s="7"/>
      <c r="AJ154" s="10"/>
      <c r="AK154" s="7"/>
      <c r="AL154" s="7" t="s">
        <v>2824</v>
      </c>
      <c r="AM154" s="7" t="s">
        <v>2825</v>
      </c>
      <c r="AN154" s="7"/>
      <c r="AO154" s="7"/>
      <c r="AP154" s="7" t="s">
        <v>2818</v>
      </c>
      <c r="AQ154" s="7" t="s">
        <v>2826</v>
      </c>
      <c r="AR154" s="7" t="s">
        <v>2827</v>
      </c>
      <c r="AS154" s="7" t="n">
        <v>203017</v>
      </c>
      <c r="AT154" s="7"/>
      <c r="AU154" s="7" t="s">
        <v>2828</v>
      </c>
      <c r="AV154" s="7"/>
      <c r="AW154" s="7"/>
      <c r="AX154" s="7" t="s">
        <v>2829</v>
      </c>
      <c r="AY154" s="7" t="s">
        <v>75</v>
      </c>
      <c r="AZ154" s="7"/>
      <c r="BA154" s="7" t="s">
        <v>76</v>
      </c>
      <c r="BB154" s="7" t="s">
        <v>2830</v>
      </c>
      <c r="BC154" s="7"/>
      <c r="BD154" s="7"/>
      <c r="BE154" s="7"/>
      <c r="BF154" s="7"/>
      <c r="BG154" s="7"/>
      <c r="BH154" s="7"/>
      <c r="BI154" s="7"/>
    </row>
    <row r="155" customFormat="false" ht="14.25" hidden="false" customHeight="true" outlineLevel="0" collapsed="false">
      <c r="A155" s="7" t="s">
        <v>2831</v>
      </c>
      <c r="B155" s="7" t="s">
        <v>2832</v>
      </c>
      <c r="C155" s="7" t="s">
        <v>2833</v>
      </c>
      <c r="D155" s="7" t="s">
        <v>2834</v>
      </c>
      <c r="E155" s="7" t="n">
        <v>2024</v>
      </c>
      <c r="F155" s="8" t="s">
        <v>2835</v>
      </c>
      <c r="G155" s="6" t="s">
        <v>747</v>
      </c>
      <c r="H155" s="7"/>
      <c r="I155" s="7"/>
      <c r="J155" s="7"/>
      <c r="K155" s="7"/>
      <c r="L155" s="7"/>
      <c r="M155" s="7"/>
      <c r="N155" s="7"/>
      <c r="O155" s="7"/>
      <c r="P155" s="7" t="s">
        <v>304</v>
      </c>
      <c r="Q155" s="7" t="s">
        <v>62</v>
      </c>
      <c r="R155" s="7" t="s">
        <v>350</v>
      </c>
      <c r="S155" s="7" t="n">
        <v>819</v>
      </c>
      <c r="T155" s="7" t="s">
        <v>307</v>
      </c>
      <c r="U155" s="7"/>
      <c r="V155" s="7"/>
      <c r="W155" s="7" t="n">
        <v>443</v>
      </c>
      <c r="X155" s="7" t="n">
        <v>455</v>
      </c>
      <c r="Y155" s="7" t="n">
        <v>12</v>
      </c>
      <c r="Z155" s="7" t="s">
        <v>2836</v>
      </c>
      <c r="AA155" s="9" t="s">
        <v>2837</v>
      </c>
      <c r="AB155" s="7" t="s">
        <v>2838</v>
      </c>
      <c r="AC155" s="7" t="s">
        <v>2839</v>
      </c>
      <c r="AD155" s="7" t="s">
        <v>2840</v>
      </c>
      <c r="AE155" s="7" t="s">
        <v>2841</v>
      </c>
      <c r="AF155" s="7"/>
      <c r="AG155" s="7"/>
      <c r="AH155" s="7"/>
      <c r="AI155" s="7"/>
      <c r="AJ155" s="10"/>
      <c r="AK155" s="7"/>
      <c r="AL155" s="7" t="s">
        <v>2842</v>
      </c>
      <c r="AM155" s="7" t="s">
        <v>2843</v>
      </c>
      <c r="AN155" s="7" t="s">
        <v>2454</v>
      </c>
      <c r="AO155" s="7"/>
      <c r="AP155" s="7" t="s">
        <v>2455</v>
      </c>
      <c r="AQ155" s="7" t="s">
        <v>2456</v>
      </c>
      <c r="AR155" s="7" t="s">
        <v>2457</v>
      </c>
      <c r="AS155" s="7" t="n">
        <v>308289</v>
      </c>
      <c r="AT155" s="7" t="n">
        <v>23673370</v>
      </c>
      <c r="AU155" s="7" t="s">
        <v>2844</v>
      </c>
      <c r="AV155" s="7"/>
      <c r="AW155" s="7"/>
      <c r="AX155" s="7" t="s">
        <v>365</v>
      </c>
      <c r="AY155" s="7" t="s">
        <v>75</v>
      </c>
      <c r="AZ155" s="7"/>
      <c r="BA155" s="7" t="s">
        <v>76</v>
      </c>
      <c r="BB155" s="7" t="s">
        <v>2845</v>
      </c>
      <c r="BC155" s="7"/>
      <c r="BD155" s="7"/>
      <c r="BE155" s="7"/>
      <c r="BF155" s="7"/>
      <c r="BG155" s="7"/>
      <c r="BH155" s="7"/>
      <c r="BI155" s="7"/>
    </row>
    <row r="156" customFormat="false" ht="14.25" hidden="false" customHeight="true" outlineLevel="0" collapsed="false">
      <c r="A156" s="7" t="s">
        <v>2846</v>
      </c>
      <c r="B156" s="7" t="s">
        <v>2847</v>
      </c>
      <c r="C156" s="7" t="s">
        <v>2848</v>
      </c>
      <c r="D156" s="7" t="s">
        <v>2849</v>
      </c>
      <c r="E156" s="7" t="n">
        <v>2024</v>
      </c>
      <c r="F156" s="8" t="s">
        <v>2850</v>
      </c>
      <c r="G156" s="6" t="s">
        <v>290</v>
      </c>
      <c r="H156" s="7"/>
      <c r="I156" s="7"/>
      <c r="J156" s="7"/>
      <c r="K156" s="7"/>
      <c r="L156" s="7"/>
      <c r="M156" s="7"/>
      <c r="N156" s="7"/>
      <c r="O156" s="7"/>
      <c r="P156" s="7" t="s">
        <v>304</v>
      </c>
      <c r="Q156" s="7" t="s">
        <v>62</v>
      </c>
      <c r="R156" s="7" t="s">
        <v>2851</v>
      </c>
      <c r="S156" s="7"/>
      <c r="T156" s="7" t="s">
        <v>187</v>
      </c>
      <c r="U156" s="7"/>
      <c r="V156" s="7"/>
      <c r="W156" s="7" t="n">
        <v>415</v>
      </c>
      <c r="X156" s="7" t="n">
        <v>420</v>
      </c>
      <c r="Y156" s="7" t="n">
        <v>5</v>
      </c>
      <c r="Z156" s="7" t="s">
        <v>2852</v>
      </c>
      <c r="AA156" s="9" t="s">
        <v>2853</v>
      </c>
      <c r="AB156" s="7" t="s">
        <v>2854</v>
      </c>
      <c r="AC156" s="7" t="s">
        <v>2855</v>
      </c>
      <c r="AD156" s="7" t="s">
        <v>2856</v>
      </c>
      <c r="AE156" s="7" t="s">
        <v>2857</v>
      </c>
      <c r="AF156" s="7"/>
      <c r="AG156" s="7"/>
      <c r="AH156" s="7"/>
      <c r="AI156" s="7"/>
      <c r="AJ156" s="10" t="s">
        <v>2858</v>
      </c>
      <c r="AK156" s="7" t="s">
        <v>2859</v>
      </c>
      <c r="AL156" s="7" t="s">
        <v>2860</v>
      </c>
      <c r="AM156" s="7"/>
      <c r="AN156" s="7"/>
      <c r="AO156" s="7" t="s">
        <v>2861</v>
      </c>
      <c r="AP156" s="7" t="s">
        <v>2862</v>
      </c>
      <c r="AQ156" s="7" t="s">
        <v>2415</v>
      </c>
      <c r="AR156" s="7" t="s">
        <v>2863</v>
      </c>
      <c r="AS156" s="7" t="n">
        <v>201551</v>
      </c>
      <c r="AT156" s="7"/>
      <c r="AU156" s="7" t="s">
        <v>2864</v>
      </c>
      <c r="AV156" s="7"/>
      <c r="AW156" s="7"/>
      <c r="AX156" s="7" t="s">
        <v>2865</v>
      </c>
      <c r="AY156" s="7" t="s">
        <v>75</v>
      </c>
      <c r="AZ156" s="7"/>
      <c r="BA156" s="7" t="s">
        <v>76</v>
      </c>
      <c r="BB156" s="7" t="s">
        <v>2866</v>
      </c>
      <c r="BC156" s="7"/>
      <c r="BD156" s="7"/>
      <c r="BE156" s="7"/>
      <c r="BF156" s="7"/>
      <c r="BG156" s="7"/>
      <c r="BH156" s="7"/>
      <c r="BI156" s="7"/>
    </row>
    <row r="157" customFormat="false" ht="14.25" hidden="false" customHeight="true" outlineLevel="0" collapsed="false">
      <c r="A157" s="7" t="s">
        <v>2867</v>
      </c>
      <c r="B157" s="7" t="s">
        <v>2868</v>
      </c>
      <c r="C157" s="7" t="s">
        <v>2869</v>
      </c>
      <c r="D157" s="7" t="s">
        <v>2870</v>
      </c>
      <c r="E157" s="7" t="n">
        <v>2024</v>
      </c>
      <c r="F157" s="8" t="s">
        <v>2871</v>
      </c>
      <c r="G157" s="6" t="s">
        <v>713</v>
      </c>
      <c r="H157" s="7"/>
      <c r="I157" s="7"/>
      <c r="J157" s="7"/>
      <c r="K157" s="7"/>
      <c r="L157" s="7"/>
      <c r="M157" s="7"/>
      <c r="N157" s="7"/>
      <c r="O157" s="7"/>
      <c r="P157" s="7" t="s">
        <v>304</v>
      </c>
      <c r="Q157" s="7" t="s">
        <v>62</v>
      </c>
      <c r="R157" s="7" t="s">
        <v>2872</v>
      </c>
      <c r="S157" s="7" t="n">
        <v>3193</v>
      </c>
      <c r="T157" s="7" t="s">
        <v>1668</v>
      </c>
      <c r="U157" s="7" t="n">
        <v>1</v>
      </c>
      <c r="V157" s="7" t="n">
        <v>20090</v>
      </c>
      <c r="W157" s="7"/>
      <c r="X157" s="7"/>
      <c r="Y157" s="7"/>
      <c r="Z157" s="7" t="s">
        <v>2873</v>
      </c>
      <c r="AA157" s="9" t="s">
        <v>2874</v>
      </c>
      <c r="AB157" s="7" t="s">
        <v>2875</v>
      </c>
      <c r="AC157" s="7" t="s">
        <v>2876</v>
      </c>
      <c r="AD157" s="7" t="s">
        <v>2877</v>
      </c>
      <c r="AE157" s="7"/>
      <c r="AF157" s="7"/>
      <c r="AG157" s="7"/>
      <c r="AH157" s="7"/>
      <c r="AI157" s="7"/>
      <c r="AJ157" s="10"/>
      <c r="AK157" s="7"/>
      <c r="AL157" s="7" t="s">
        <v>2878</v>
      </c>
      <c r="AM157" s="7" t="s">
        <v>2879</v>
      </c>
      <c r="AN157" s="7" t="s">
        <v>2880</v>
      </c>
      <c r="AO157" s="7"/>
      <c r="AP157" s="7" t="s">
        <v>2881</v>
      </c>
      <c r="AQ157" s="7" t="s">
        <v>2882</v>
      </c>
      <c r="AR157" s="7" t="s">
        <v>2883</v>
      </c>
      <c r="AS157" s="7" t="n">
        <v>203853</v>
      </c>
      <c r="AT157" s="7" t="s">
        <v>2884</v>
      </c>
      <c r="AU157" s="7"/>
      <c r="AV157" s="7"/>
      <c r="AW157" s="7"/>
      <c r="AX157" s="7" t="s">
        <v>2885</v>
      </c>
      <c r="AY157" s="7" t="s">
        <v>75</v>
      </c>
      <c r="AZ157" s="7"/>
      <c r="BA157" s="7" t="s">
        <v>76</v>
      </c>
      <c r="BB157" s="7" t="s">
        <v>2886</v>
      </c>
      <c r="BC157" s="7"/>
      <c r="BD157" s="7"/>
      <c r="BE157" s="7"/>
      <c r="BF157" s="7"/>
      <c r="BG157" s="7"/>
      <c r="BH157" s="7"/>
      <c r="BI157" s="7"/>
    </row>
    <row r="158" customFormat="false" ht="14.25" hidden="false" customHeight="true" outlineLevel="0" collapsed="false">
      <c r="A158" s="7" t="s">
        <v>2887</v>
      </c>
      <c r="B158" s="7" t="s">
        <v>2888</v>
      </c>
      <c r="C158" s="7" t="s">
        <v>2889</v>
      </c>
      <c r="D158" s="7" t="s">
        <v>2890</v>
      </c>
      <c r="E158" s="7" t="n">
        <v>2024</v>
      </c>
      <c r="F158" s="8" t="s">
        <v>2891</v>
      </c>
      <c r="G158" s="6" t="s">
        <v>713</v>
      </c>
      <c r="H158" s="7"/>
      <c r="I158" s="7"/>
      <c r="J158" s="7"/>
      <c r="K158" s="7"/>
      <c r="L158" s="7"/>
      <c r="M158" s="7"/>
      <c r="N158" s="7"/>
      <c r="O158" s="7"/>
      <c r="P158" s="7" t="s">
        <v>304</v>
      </c>
      <c r="Q158" s="7" t="s">
        <v>62</v>
      </c>
      <c r="R158" s="7" t="s">
        <v>2892</v>
      </c>
      <c r="S158" s="7" t="s">
        <v>2893</v>
      </c>
      <c r="T158" s="7" t="s">
        <v>307</v>
      </c>
      <c r="U158" s="7"/>
      <c r="V158" s="7"/>
      <c r="W158" s="7" t="n">
        <v>285</v>
      </c>
      <c r="X158" s="7" t="n">
        <v>296</v>
      </c>
      <c r="Y158" s="7" t="n">
        <v>11</v>
      </c>
      <c r="Z158" s="7" t="s">
        <v>2894</v>
      </c>
      <c r="AA158" s="9" t="s">
        <v>2895</v>
      </c>
      <c r="AB158" s="7" t="s">
        <v>2896</v>
      </c>
      <c r="AC158" s="7" t="s">
        <v>2897</v>
      </c>
      <c r="AD158" s="7" t="s">
        <v>2898</v>
      </c>
      <c r="AE158" s="7" t="s">
        <v>2899</v>
      </c>
      <c r="AF158" s="7"/>
      <c r="AG158" s="7"/>
      <c r="AH158" s="7"/>
      <c r="AI158" s="7"/>
      <c r="AJ158" s="10"/>
      <c r="AK158" s="7"/>
      <c r="AL158" s="7" t="s">
        <v>2900</v>
      </c>
      <c r="AM158" s="7" t="s">
        <v>2901</v>
      </c>
      <c r="AN158" s="7" t="s">
        <v>2902</v>
      </c>
      <c r="AO158" s="7"/>
      <c r="AP158" s="7" t="s">
        <v>2903</v>
      </c>
      <c r="AQ158" s="7" t="s">
        <v>2904</v>
      </c>
      <c r="AR158" s="7" t="s">
        <v>2201</v>
      </c>
      <c r="AS158" s="7" t="n">
        <v>305579</v>
      </c>
      <c r="AT158" s="7" t="n">
        <v>18761100</v>
      </c>
      <c r="AU158" s="7" t="s">
        <v>2905</v>
      </c>
      <c r="AV158" s="7"/>
      <c r="AW158" s="7"/>
      <c r="AX158" s="7" t="s">
        <v>2906</v>
      </c>
      <c r="AY158" s="7" t="s">
        <v>75</v>
      </c>
      <c r="AZ158" s="7"/>
      <c r="BA158" s="7" t="s">
        <v>76</v>
      </c>
      <c r="BB158" s="7" t="s">
        <v>2907</v>
      </c>
      <c r="BC158" s="7"/>
      <c r="BD158" s="7"/>
      <c r="BE158" s="7"/>
      <c r="BF158" s="7"/>
      <c r="BG158" s="7"/>
      <c r="BH158" s="7"/>
      <c r="BI158" s="7"/>
    </row>
    <row r="159" customFormat="false" ht="14.25" hidden="false" customHeight="true" outlineLevel="0" collapsed="false">
      <c r="A159" s="7" t="s">
        <v>2908</v>
      </c>
      <c r="B159" s="7" t="s">
        <v>2909</v>
      </c>
      <c r="C159" s="7" t="s">
        <v>2910</v>
      </c>
      <c r="D159" s="7" t="s">
        <v>2911</v>
      </c>
      <c r="E159" s="7" t="n">
        <v>2024</v>
      </c>
      <c r="F159" s="8" t="s">
        <v>2912</v>
      </c>
      <c r="G159" s="6" t="s">
        <v>713</v>
      </c>
      <c r="H159" s="7"/>
      <c r="I159" s="7"/>
      <c r="J159" s="7"/>
      <c r="K159" s="7"/>
      <c r="L159" s="7"/>
      <c r="M159" s="7"/>
      <c r="N159" s="7"/>
      <c r="O159" s="7"/>
      <c r="P159" s="7" t="s">
        <v>304</v>
      </c>
      <c r="Q159" s="7" t="s">
        <v>62</v>
      </c>
      <c r="R159" s="7" t="s">
        <v>2913</v>
      </c>
      <c r="S159" s="7"/>
      <c r="T159" s="7" t="s">
        <v>187</v>
      </c>
      <c r="U159" s="7"/>
      <c r="V159" s="7"/>
      <c r="W159" s="7" t="n">
        <v>356</v>
      </c>
      <c r="X159" s="7" t="n">
        <v>361</v>
      </c>
      <c r="Y159" s="7" t="n">
        <v>5</v>
      </c>
      <c r="Z159" s="7" t="s">
        <v>2914</v>
      </c>
      <c r="AA159" s="9" t="s">
        <v>2915</v>
      </c>
      <c r="AB159" s="7" t="s">
        <v>2916</v>
      </c>
      <c r="AC159" s="7" t="s">
        <v>2917</v>
      </c>
      <c r="AD159" s="7" t="s">
        <v>2918</v>
      </c>
      <c r="AE159" s="7" t="s">
        <v>2919</v>
      </c>
      <c r="AF159" s="7"/>
      <c r="AG159" s="7"/>
      <c r="AH159" s="7"/>
      <c r="AI159" s="7"/>
      <c r="AJ159" s="10"/>
      <c r="AK159" s="7"/>
      <c r="AL159" s="7" t="s">
        <v>2920</v>
      </c>
      <c r="AM159" s="7"/>
      <c r="AN159" s="7"/>
      <c r="AO159" s="7"/>
      <c r="AP159" s="7" t="s">
        <v>2921</v>
      </c>
      <c r="AQ159" s="7" t="s">
        <v>2922</v>
      </c>
      <c r="AR159" s="7" t="s">
        <v>2923</v>
      </c>
      <c r="AS159" s="7" t="n">
        <v>205462</v>
      </c>
      <c r="AT159" s="7"/>
      <c r="AU159" s="7" t="s">
        <v>2924</v>
      </c>
      <c r="AV159" s="7"/>
      <c r="AW159" s="7"/>
      <c r="AX159" s="7" t="s">
        <v>2925</v>
      </c>
      <c r="AY159" s="7" t="s">
        <v>75</v>
      </c>
      <c r="AZ159" s="7"/>
      <c r="BA159" s="7" t="s">
        <v>76</v>
      </c>
      <c r="BB159" s="7" t="s">
        <v>2926</v>
      </c>
      <c r="BC159" s="7"/>
      <c r="BD159" s="7"/>
      <c r="BE159" s="7"/>
      <c r="BF159" s="7"/>
      <c r="BG159" s="7"/>
      <c r="BH159" s="7"/>
      <c r="BI159" s="7"/>
    </row>
    <row r="160" customFormat="false" ht="14.25" hidden="false" customHeight="true" outlineLevel="0" collapsed="false">
      <c r="A160" s="7" t="s">
        <v>2927</v>
      </c>
      <c r="B160" s="7" t="s">
        <v>2928</v>
      </c>
      <c r="C160" s="7" t="s">
        <v>2929</v>
      </c>
      <c r="D160" s="7" t="s">
        <v>2930</v>
      </c>
      <c r="E160" s="7" t="n">
        <v>2024</v>
      </c>
      <c r="F160" s="8" t="s">
        <v>2931</v>
      </c>
      <c r="G160" s="6" t="s">
        <v>1686</v>
      </c>
      <c r="H160" s="7"/>
      <c r="I160" s="7"/>
      <c r="J160" s="7"/>
      <c r="K160" s="7"/>
      <c r="L160" s="7"/>
      <c r="M160" s="7"/>
      <c r="N160" s="7"/>
      <c r="O160" s="7"/>
      <c r="P160" s="7" t="s">
        <v>304</v>
      </c>
      <c r="Q160" s="7" t="s">
        <v>62</v>
      </c>
      <c r="R160" s="7" t="s">
        <v>2932</v>
      </c>
      <c r="S160" s="7"/>
      <c r="T160" s="7" t="s">
        <v>187</v>
      </c>
      <c r="U160" s="7"/>
      <c r="V160" s="7"/>
      <c r="W160" s="7" t="n">
        <v>285</v>
      </c>
      <c r="X160" s="7" t="n">
        <v>289</v>
      </c>
      <c r="Y160" s="7" t="n">
        <v>4</v>
      </c>
      <c r="Z160" s="7" t="s">
        <v>2933</v>
      </c>
      <c r="AA160" s="9" t="s">
        <v>2934</v>
      </c>
      <c r="AB160" s="7" t="s">
        <v>2935</v>
      </c>
      <c r="AC160" s="7" t="s">
        <v>2936</v>
      </c>
      <c r="AD160" s="7" t="s">
        <v>2937</v>
      </c>
      <c r="AE160" s="7" t="s">
        <v>2938</v>
      </c>
      <c r="AF160" s="7"/>
      <c r="AG160" s="7"/>
      <c r="AH160" s="7"/>
      <c r="AI160" s="7"/>
      <c r="AJ160" s="10"/>
      <c r="AK160" s="7"/>
      <c r="AL160" s="7" t="s">
        <v>2939</v>
      </c>
      <c r="AM160" s="7"/>
      <c r="AN160" s="7" t="s">
        <v>2940</v>
      </c>
      <c r="AO160" s="7"/>
      <c r="AP160" s="7" t="s">
        <v>2941</v>
      </c>
      <c r="AQ160" s="7" t="s">
        <v>2942</v>
      </c>
      <c r="AR160" s="7" t="s">
        <v>2943</v>
      </c>
      <c r="AS160" s="7" t="n">
        <v>204682</v>
      </c>
      <c r="AT160" s="7"/>
      <c r="AU160" s="7" t="s">
        <v>2944</v>
      </c>
      <c r="AV160" s="7"/>
      <c r="AW160" s="7"/>
      <c r="AX160" s="7" t="s">
        <v>2945</v>
      </c>
      <c r="AY160" s="7" t="s">
        <v>75</v>
      </c>
      <c r="AZ160" s="7"/>
      <c r="BA160" s="7" t="s">
        <v>76</v>
      </c>
      <c r="BB160" s="7" t="s">
        <v>2946</v>
      </c>
      <c r="BC160" s="7"/>
      <c r="BD160" s="7"/>
      <c r="BE160" s="7"/>
      <c r="BF160" s="7"/>
      <c r="BG160" s="7"/>
      <c r="BH160" s="7"/>
      <c r="BI160" s="7"/>
    </row>
    <row r="161" customFormat="false" ht="14.25" hidden="false" customHeight="true" outlineLevel="0" collapsed="false">
      <c r="A161" s="7" t="s">
        <v>2947</v>
      </c>
      <c r="B161" s="7" t="s">
        <v>2948</v>
      </c>
      <c r="C161" s="7" t="s">
        <v>2949</v>
      </c>
      <c r="D161" s="7" t="s">
        <v>2950</v>
      </c>
      <c r="E161" s="7" t="n">
        <v>2024</v>
      </c>
      <c r="F161" s="8" t="s">
        <v>2951</v>
      </c>
      <c r="G161" s="6" t="s">
        <v>713</v>
      </c>
      <c r="H161" s="7"/>
      <c r="I161" s="7"/>
      <c r="J161" s="7"/>
      <c r="K161" s="7"/>
      <c r="L161" s="7"/>
      <c r="M161" s="7"/>
      <c r="N161" s="7"/>
      <c r="O161" s="7"/>
      <c r="P161" s="7" t="s">
        <v>304</v>
      </c>
      <c r="Q161" s="7" t="s">
        <v>62</v>
      </c>
      <c r="R161" s="7" t="s">
        <v>2405</v>
      </c>
      <c r="S161" s="7"/>
      <c r="T161" s="7" t="s">
        <v>187</v>
      </c>
      <c r="U161" s="7"/>
      <c r="V161" s="7"/>
      <c r="W161" s="7"/>
      <c r="X161" s="7"/>
      <c r="Y161" s="7"/>
      <c r="Z161" s="7" t="s">
        <v>2952</v>
      </c>
      <c r="AA161" s="9" t="s">
        <v>2953</v>
      </c>
      <c r="AB161" s="7" t="s">
        <v>2954</v>
      </c>
      <c r="AC161" s="7" t="s">
        <v>2955</v>
      </c>
      <c r="AD161" s="7" t="s">
        <v>2956</v>
      </c>
      <c r="AE161" s="7" t="s">
        <v>2957</v>
      </c>
      <c r="AF161" s="7"/>
      <c r="AG161" s="7"/>
      <c r="AH161" s="7"/>
      <c r="AI161" s="7"/>
      <c r="AJ161" s="10"/>
      <c r="AK161" s="7"/>
      <c r="AL161" s="7" t="s">
        <v>2958</v>
      </c>
      <c r="AM161" s="7"/>
      <c r="AN161" s="7"/>
      <c r="AO161" s="7" t="s">
        <v>2413</v>
      </c>
      <c r="AP161" s="7" t="s">
        <v>2414</v>
      </c>
      <c r="AQ161" s="7" t="s">
        <v>2415</v>
      </c>
      <c r="AR161" s="7" t="s">
        <v>2416</v>
      </c>
      <c r="AS161" s="7" t="n">
        <v>203116</v>
      </c>
      <c r="AT161" s="7"/>
      <c r="AU161" s="7" t="s">
        <v>2417</v>
      </c>
      <c r="AV161" s="7"/>
      <c r="AW161" s="7"/>
      <c r="AX161" s="7" t="s">
        <v>2418</v>
      </c>
      <c r="AY161" s="7" t="s">
        <v>75</v>
      </c>
      <c r="AZ161" s="7"/>
      <c r="BA161" s="7" t="s">
        <v>76</v>
      </c>
      <c r="BB161" s="7" t="s">
        <v>2959</v>
      </c>
      <c r="BC161" s="7"/>
      <c r="BD161" s="7"/>
      <c r="BE161" s="7"/>
      <c r="BF161" s="7"/>
      <c r="BG161" s="7"/>
      <c r="BH161" s="7"/>
      <c r="BI161" s="7"/>
    </row>
    <row r="162" customFormat="false" ht="14.25" hidden="false" customHeight="true" outlineLevel="0" collapsed="false">
      <c r="A162" s="7" t="s">
        <v>2960</v>
      </c>
      <c r="B162" s="7" t="s">
        <v>2961</v>
      </c>
      <c r="C162" s="7" t="s">
        <v>2962</v>
      </c>
      <c r="D162" s="7" t="s">
        <v>2963</v>
      </c>
      <c r="E162" s="7" t="n">
        <v>2024</v>
      </c>
      <c r="F162" s="8" t="s">
        <v>2964</v>
      </c>
      <c r="G162" s="6" t="s">
        <v>713</v>
      </c>
      <c r="H162" s="7"/>
      <c r="I162" s="7"/>
      <c r="J162" s="7"/>
      <c r="K162" s="7"/>
      <c r="L162" s="7"/>
      <c r="M162" s="7"/>
      <c r="N162" s="7"/>
      <c r="O162" s="7"/>
      <c r="P162" s="7" t="s">
        <v>304</v>
      </c>
      <c r="Q162" s="7" t="s">
        <v>62</v>
      </c>
      <c r="R162" s="7" t="s">
        <v>2965</v>
      </c>
      <c r="S162" s="7"/>
      <c r="T162" s="7" t="s">
        <v>187</v>
      </c>
      <c r="U162" s="7"/>
      <c r="V162" s="7"/>
      <c r="W162" s="7" t="n">
        <v>242</v>
      </c>
      <c r="X162" s="7" t="n">
        <v>247</v>
      </c>
      <c r="Y162" s="7" t="n">
        <v>5</v>
      </c>
      <c r="Z162" s="7" t="s">
        <v>2966</v>
      </c>
      <c r="AA162" s="9" t="s">
        <v>2967</v>
      </c>
      <c r="AB162" s="7" t="s">
        <v>2968</v>
      </c>
      <c r="AC162" s="7" t="s">
        <v>2969</v>
      </c>
      <c r="AD162" s="7" t="s">
        <v>2970</v>
      </c>
      <c r="AE162" s="7" t="s">
        <v>2971</v>
      </c>
      <c r="AF162" s="7"/>
      <c r="AG162" s="7"/>
      <c r="AH162" s="7"/>
      <c r="AI162" s="7"/>
      <c r="AJ162" s="10"/>
      <c r="AK162" s="7"/>
      <c r="AL162" s="7" t="s">
        <v>2972</v>
      </c>
      <c r="AM162" s="7" t="s">
        <v>2973</v>
      </c>
      <c r="AN162" s="7"/>
      <c r="AO162" s="7"/>
      <c r="AP162" s="7" t="s">
        <v>2974</v>
      </c>
      <c r="AQ162" s="7" t="s">
        <v>2975</v>
      </c>
      <c r="AR162" s="7" t="s">
        <v>2976</v>
      </c>
      <c r="AS162" s="7" t="n">
        <v>205094</v>
      </c>
      <c r="AT162" s="7" t="s">
        <v>2977</v>
      </c>
      <c r="AU162" s="7" t="s">
        <v>2978</v>
      </c>
      <c r="AV162" s="7"/>
      <c r="AW162" s="7"/>
      <c r="AX162" s="7" t="s">
        <v>2979</v>
      </c>
      <c r="AY162" s="7" t="s">
        <v>75</v>
      </c>
      <c r="AZ162" s="7"/>
      <c r="BA162" s="7" t="s">
        <v>76</v>
      </c>
      <c r="BB162" s="7" t="s">
        <v>2980</v>
      </c>
      <c r="BC162" s="7"/>
      <c r="BD162" s="7"/>
      <c r="BE162" s="7"/>
      <c r="BF162" s="7"/>
      <c r="BG162" s="7"/>
      <c r="BH162" s="7"/>
      <c r="BI162" s="7"/>
    </row>
    <row r="163" customFormat="false" ht="14.25" hidden="false" customHeight="true" outlineLevel="0" collapsed="false">
      <c r="A163" s="7" t="s">
        <v>2981</v>
      </c>
      <c r="B163" s="7" t="s">
        <v>2982</v>
      </c>
      <c r="C163" s="7" t="s">
        <v>2983</v>
      </c>
      <c r="D163" s="7" t="s">
        <v>2984</v>
      </c>
      <c r="E163" s="7" t="n">
        <v>2024</v>
      </c>
      <c r="F163" s="8" t="s">
        <v>2985</v>
      </c>
      <c r="G163" s="6" t="s">
        <v>713</v>
      </c>
      <c r="H163" s="7"/>
      <c r="I163" s="7"/>
      <c r="J163" s="7"/>
      <c r="K163" s="7"/>
      <c r="L163" s="7"/>
      <c r="M163" s="7"/>
      <c r="N163" s="7"/>
      <c r="O163" s="7"/>
      <c r="P163" s="7" t="s">
        <v>304</v>
      </c>
      <c r="Q163" s="7" t="s">
        <v>62</v>
      </c>
      <c r="R163" s="7" t="s">
        <v>2986</v>
      </c>
      <c r="S163" s="7"/>
      <c r="T163" s="7" t="s">
        <v>187</v>
      </c>
      <c r="U163" s="7"/>
      <c r="V163" s="7"/>
      <c r="W163" s="7"/>
      <c r="X163" s="7"/>
      <c r="Y163" s="7"/>
      <c r="Z163" s="7" t="s">
        <v>2987</v>
      </c>
      <c r="AA163" s="9" t="s">
        <v>2988</v>
      </c>
      <c r="AB163" s="7" t="s">
        <v>2989</v>
      </c>
      <c r="AC163" s="7" t="s">
        <v>2990</v>
      </c>
      <c r="AD163" s="7" t="s">
        <v>2991</v>
      </c>
      <c r="AE163" s="7" t="s">
        <v>2992</v>
      </c>
      <c r="AF163" s="7"/>
      <c r="AG163" s="7"/>
      <c r="AH163" s="7"/>
      <c r="AI163" s="7"/>
      <c r="AJ163" s="10"/>
      <c r="AK163" s="7"/>
      <c r="AL163" s="7" t="s">
        <v>2993</v>
      </c>
      <c r="AM163" s="7" t="s">
        <v>2994</v>
      </c>
      <c r="AN163" s="7"/>
      <c r="AO163" s="7"/>
      <c r="AP163" s="7" t="s">
        <v>2995</v>
      </c>
      <c r="AQ163" s="7" t="s">
        <v>2996</v>
      </c>
      <c r="AR163" s="7" t="s">
        <v>2997</v>
      </c>
      <c r="AS163" s="7" t="n">
        <v>201146</v>
      </c>
      <c r="AT163" s="7"/>
      <c r="AU163" s="7" t="s">
        <v>2998</v>
      </c>
      <c r="AV163" s="7"/>
      <c r="AW163" s="7"/>
      <c r="AX163" s="7" t="s">
        <v>2999</v>
      </c>
      <c r="AY163" s="7" t="s">
        <v>75</v>
      </c>
      <c r="AZ163" s="7"/>
      <c r="BA163" s="7" t="s">
        <v>76</v>
      </c>
      <c r="BB163" s="7" t="s">
        <v>3000</v>
      </c>
      <c r="BC163" s="7"/>
      <c r="BD163" s="7"/>
      <c r="BE163" s="7"/>
      <c r="BF163" s="7"/>
      <c r="BG163" s="7"/>
      <c r="BH163" s="7"/>
      <c r="BI163" s="7"/>
    </row>
    <row r="164" customFormat="false" ht="14.25" hidden="false" customHeight="true" outlineLevel="0" collapsed="false">
      <c r="A164" s="7" t="s">
        <v>3001</v>
      </c>
      <c r="B164" s="7" t="s">
        <v>3002</v>
      </c>
      <c r="C164" s="7" t="s">
        <v>3003</v>
      </c>
      <c r="D164" s="7" t="s">
        <v>3004</v>
      </c>
      <c r="E164" s="7" t="n">
        <v>2024</v>
      </c>
      <c r="F164" s="8" t="s">
        <v>3005</v>
      </c>
      <c r="G164" s="6" t="s">
        <v>713</v>
      </c>
      <c r="H164" s="7"/>
      <c r="I164" s="7"/>
      <c r="J164" s="7"/>
      <c r="K164" s="7"/>
      <c r="L164" s="7"/>
      <c r="M164" s="7"/>
      <c r="N164" s="7"/>
      <c r="O164" s="7"/>
      <c r="P164" s="7" t="s">
        <v>304</v>
      </c>
      <c r="Q164" s="7" t="s">
        <v>62</v>
      </c>
      <c r="R164" s="7" t="s">
        <v>3006</v>
      </c>
      <c r="S164" s="7"/>
      <c r="T164" s="7" t="s">
        <v>187</v>
      </c>
      <c r="U164" s="7"/>
      <c r="V164" s="7"/>
      <c r="W164" s="7" t="n">
        <v>457</v>
      </c>
      <c r="X164" s="7" t="n">
        <v>464</v>
      </c>
      <c r="Y164" s="7" t="n">
        <v>7</v>
      </c>
      <c r="Z164" s="7" t="s">
        <v>3007</v>
      </c>
      <c r="AA164" s="9" t="s">
        <v>3008</v>
      </c>
      <c r="AB164" s="7" t="s">
        <v>3009</v>
      </c>
      <c r="AC164" s="7" t="s">
        <v>3010</v>
      </c>
      <c r="AD164" s="7" t="s">
        <v>3011</v>
      </c>
      <c r="AE164" s="7" t="s">
        <v>3012</v>
      </c>
      <c r="AF164" s="7"/>
      <c r="AG164" s="7"/>
      <c r="AH164" s="7"/>
      <c r="AI164" s="7"/>
      <c r="AJ164" s="10"/>
      <c r="AK164" s="7"/>
      <c r="AL164" s="7" t="s">
        <v>3013</v>
      </c>
      <c r="AM164" s="7" t="s">
        <v>3014</v>
      </c>
      <c r="AN164" s="7"/>
      <c r="AO164" s="7"/>
      <c r="AP164" s="7" t="s">
        <v>3015</v>
      </c>
      <c r="AQ164" s="7" t="s">
        <v>3016</v>
      </c>
      <c r="AR164" s="7" t="s">
        <v>3017</v>
      </c>
      <c r="AS164" s="7" t="n">
        <v>202523</v>
      </c>
      <c r="AT164" s="7"/>
      <c r="AU164" s="7" t="s">
        <v>3018</v>
      </c>
      <c r="AV164" s="7"/>
      <c r="AW164" s="7"/>
      <c r="AX164" s="7" t="s">
        <v>3019</v>
      </c>
      <c r="AY164" s="7" t="s">
        <v>75</v>
      </c>
      <c r="AZ164" s="7"/>
      <c r="BA164" s="7" t="s">
        <v>76</v>
      </c>
      <c r="BB164" s="7" t="s">
        <v>3020</v>
      </c>
      <c r="BC164" s="7"/>
      <c r="BD164" s="7"/>
      <c r="BE164" s="7"/>
      <c r="BF164" s="7"/>
      <c r="BG164" s="7"/>
      <c r="BH164" s="7"/>
      <c r="BI164" s="7"/>
    </row>
    <row r="165" customFormat="false" ht="14.25" hidden="false" customHeight="true" outlineLevel="0" collapsed="false">
      <c r="A165" s="7" t="s">
        <v>3021</v>
      </c>
      <c r="B165" s="7" t="s">
        <v>3022</v>
      </c>
      <c r="C165" s="7" t="s">
        <v>3023</v>
      </c>
      <c r="D165" s="7" t="s">
        <v>3024</v>
      </c>
      <c r="E165" s="7" t="n">
        <v>2024</v>
      </c>
      <c r="F165" s="8" t="s">
        <v>3025</v>
      </c>
      <c r="G165" s="6" t="s">
        <v>1686</v>
      </c>
      <c r="H165" s="7"/>
      <c r="I165" s="7"/>
      <c r="J165" s="7"/>
      <c r="K165" s="7"/>
      <c r="L165" s="7"/>
      <c r="M165" s="7"/>
      <c r="N165" s="7"/>
      <c r="O165" s="7"/>
      <c r="P165" s="7" t="s">
        <v>304</v>
      </c>
      <c r="Q165" s="7" t="s">
        <v>62</v>
      </c>
      <c r="R165" s="7" t="s">
        <v>3026</v>
      </c>
      <c r="S165" s="7"/>
      <c r="T165" s="7" t="s">
        <v>187</v>
      </c>
      <c r="U165" s="7"/>
      <c r="V165" s="7"/>
      <c r="W165" s="7" t="n">
        <v>1490</v>
      </c>
      <c r="X165" s="7" t="n">
        <v>1491</v>
      </c>
      <c r="Y165" s="7" t="n">
        <v>1</v>
      </c>
      <c r="Z165" s="7" t="s">
        <v>3027</v>
      </c>
      <c r="AA165" s="9" t="s">
        <v>3028</v>
      </c>
      <c r="AB165" s="7" t="s">
        <v>3029</v>
      </c>
      <c r="AC165" s="7" t="s">
        <v>3030</v>
      </c>
      <c r="AD165" s="7" t="s">
        <v>3031</v>
      </c>
      <c r="AE165" s="7" t="s">
        <v>3032</v>
      </c>
      <c r="AF165" s="7"/>
      <c r="AG165" s="7"/>
      <c r="AH165" s="7"/>
      <c r="AI165" s="7"/>
      <c r="AJ165" s="10"/>
      <c r="AK165" s="7"/>
      <c r="AL165" s="7" t="s">
        <v>3033</v>
      </c>
      <c r="AM165" s="7"/>
      <c r="AN165" s="7" t="s">
        <v>3034</v>
      </c>
      <c r="AO165" s="7"/>
      <c r="AP165" s="7" t="s">
        <v>3035</v>
      </c>
      <c r="AQ165" s="7" t="s">
        <v>3036</v>
      </c>
      <c r="AR165" s="7" t="s">
        <v>3037</v>
      </c>
      <c r="AS165" s="7" t="n">
        <v>202071</v>
      </c>
      <c r="AT165" s="7"/>
      <c r="AU165" s="7" t="s">
        <v>3038</v>
      </c>
      <c r="AV165" s="7"/>
      <c r="AW165" s="7"/>
      <c r="AX165" s="7" t="s">
        <v>3039</v>
      </c>
      <c r="AY165" s="7" t="s">
        <v>75</v>
      </c>
      <c r="AZ165" s="7"/>
      <c r="BA165" s="7" t="s">
        <v>76</v>
      </c>
      <c r="BB165" s="7" t="s">
        <v>3040</v>
      </c>
      <c r="BC165" s="7"/>
      <c r="BD165" s="7"/>
      <c r="BE165" s="7"/>
      <c r="BF165" s="7"/>
      <c r="BG165" s="7"/>
      <c r="BH165" s="7"/>
      <c r="BI165" s="7"/>
    </row>
    <row r="166" customFormat="false" ht="14.25" hidden="false" customHeight="true" outlineLevel="0" collapsed="false">
      <c r="A166" s="7" t="s">
        <v>3041</v>
      </c>
      <c r="B166" s="7" t="s">
        <v>3042</v>
      </c>
      <c r="C166" s="7" t="s">
        <v>3043</v>
      </c>
      <c r="D166" s="7" t="s">
        <v>3044</v>
      </c>
      <c r="E166" s="7" t="n">
        <v>2024</v>
      </c>
      <c r="F166" s="8" t="s">
        <v>3045</v>
      </c>
      <c r="G166" s="6" t="s">
        <v>3046</v>
      </c>
      <c r="H166" s="7"/>
      <c r="I166" s="7"/>
      <c r="J166" s="7"/>
      <c r="K166" s="7"/>
      <c r="L166" s="7"/>
      <c r="M166" s="7"/>
      <c r="N166" s="7"/>
      <c r="O166" s="7"/>
      <c r="P166" s="7" t="s">
        <v>304</v>
      </c>
      <c r="Q166" s="7" t="s">
        <v>62</v>
      </c>
      <c r="R166" s="7" t="s">
        <v>3047</v>
      </c>
      <c r="S166" s="7"/>
      <c r="T166" s="7" t="s">
        <v>187</v>
      </c>
      <c r="U166" s="7"/>
      <c r="V166" s="7"/>
      <c r="W166" s="7"/>
      <c r="X166" s="7"/>
      <c r="Y166" s="7"/>
      <c r="Z166" s="7" t="s">
        <v>3048</v>
      </c>
      <c r="AA166" s="9" t="s">
        <v>3049</v>
      </c>
      <c r="AB166" s="7" t="s">
        <v>3050</v>
      </c>
      <c r="AC166" s="7" t="s">
        <v>3051</v>
      </c>
      <c r="AD166" s="7" t="s">
        <v>3052</v>
      </c>
      <c r="AE166" s="7" t="s">
        <v>3053</v>
      </c>
      <c r="AF166" s="7"/>
      <c r="AG166" s="7"/>
      <c r="AH166" s="7"/>
      <c r="AI166" s="7"/>
      <c r="AJ166" s="10"/>
      <c r="AK166" s="7"/>
      <c r="AL166" s="7" t="s">
        <v>3054</v>
      </c>
      <c r="AM166" s="7" t="s">
        <v>3055</v>
      </c>
      <c r="AN166" s="7"/>
      <c r="AO166" s="7"/>
      <c r="AP166" s="7" t="s">
        <v>3056</v>
      </c>
      <c r="AQ166" s="7" t="s">
        <v>3057</v>
      </c>
      <c r="AR166" s="7" t="s">
        <v>3058</v>
      </c>
      <c r="AS166" s="7" t="n">
        <v>205403</v>
      </c>
      <c r="AT166" s="7"/>
      <c r="AU166" s="7" t="s">
        <v>3059</v>
      </c>
      <c r="AV166" s="7"/>
      <c r="AW166" s="7"/>
      <c r="AX166" s="7" t="s">
        <v>3060</v>
      </c>
      <c r="AY166" s="7" t="s">
        <v>75</v>
      </c>
      <c r="AZ166" s="7"/>
      <c r="BA166" s="7" t="s">
        <v>76</v>
      </c>
      <c r="BB166" s="7" t="s">
        <v>3061</v>
      </c>
      <c r="BC166" s="7"/>
      <c r="BD166" s="7"/>
      <c r="BE166" s="7"/>
      <c r="BF166" s="7"/>
      <c r="BG166" s="7"/>
      <c r="BH166" s="7"/>
      <c r="BI166" s="7"/>
    </row>
    <row r="167" customFormat="false" ht="14.25" hidden="false" customHeight="true" outlineLevel="0" collapsed="false">
      <c r="A167" s="7" t="s">
        <v>3062</v>
      </c>
      <c r="B167" s="7" t="s">
        <v>3063</v>
      </c>
      <c r="C167" s="7" t="s">
        <v>3064</v>
      </c>
      <c r="D167" s="7" t="s">
        <v>3065</v>
      </c>
      <c r="E167" s="7" t="n">
        <v>2024</v>
      </c>
      <c r="F167" s="8" t="s">
        <v>3066</v>
      </c>
      <c r="G167" s="6" t="s">
        <v>713</v>
      </c>
      <c r="H167" s="7"/>
      <c r="I167" s="7"/>
      <c r="J167" s="7"/>
      <c r="K167" s="7"/>
      <c r="L167" s="7"/>
      <c r="M167" s="7"/>
      <c r="N167" s="7"/>
      <c r="O167" s="7"/>
      <c r="P167" s="7" t="s">
        <v>304</v>
      </c>
      <c r="Q167" s="7" t="s">
        <v>62</v>
      </c>
      <c r="R167" s="7" t="s">
        <v>2425</v>
      </c>
      <c r="S167" s="7"/>
      <c r="T167" s="7" t="s">
        <v>187</v>
      </c>
      <c r="U167" s="7"/>
      <c r="V167" s="7"/>
      <c r="W167" s="7"/>
      <c r="X167" s="7"/>
      <c r="Y167" s="7"/>
      <c r="Z167" s="7" t="s">
        <v>3067</v>
      </c>
      <c r="AA167" s="9" t="s">
        <v>3068</v>
      </c>
      <c r="AB167" s="7" t="s">
        <v>3069</v>
      </c>
      <c r="AC167" s="7" t="s">
        <v>3070</v>
      </c>
      <c r="AD167" s="7" t="s">
        <v>3071</v>
      </c>
      <c r="AE167" s="7" t="s">
        <v>3072</v>
      </c>
      <c r="AF167" s="7"/>
      <c r="AG167" s="7"/>
      <c r="AH167" s="7"/>
      <c r="AI167" s="7"/>
      <c r="AJ167" s="10"/>
      <c r="AK167" s="7"/>
      <c r="AL167" s="7" t="s">
        <v>3073</v>
      </c>
      <c r="AM167" s="7"/>
      <c r="AN167" s="7"/>
      <c r="AO167" s="7"/>
      <c r="AP167" s="7" t="s">
        <v>2435</v>
      </c>
      <c r="AQ167" s="7" t="s">
        <v>2436</v>
      </c>
      <c r="AR167" s="7" t="s">
        <v>2437</v>
      </c>
      <c r="AS167" s="7" t="n">
        <v>203877</v>
      </c>
      <c r="AT167" s="7"/>
      <c r="AU167" s="7" t="s">
        <v>2438</v>
      </c>
      <c r="AV167" s="7"/>
      <c r="AW167" s="7"/>
      <c r="AX167" s="7" t="s">
        <v>2439</v>
      </c>
      <c r="AY167" s="7" t="s">
        <v>75</v>
      </c>
      <c r="AZ167" s="7"/>
      <c r="BA167" s="7" t="s">
        <v>76</v>
      </c>
      <c r="BB167" s="7" t="s">
        <v>3074</v>
      </c>
      <c r="BC167" s="7"/>
      <c r="BD167" s="7"/>
      <c r="BE167" s="7"/>
      <c r="BF167" s="7"/>
      <c r="BG167" s="7"/>
      <c r="BH167" s="7"/>
      <c r="BI167" s="7"/>
    </row>
    <row r="168" customFormat="false" ht="14.25" hidden="false" customHeight="true" outlineLevel="0" collapsed="false">
      <c r="A168" s="7" t="s">
        <v>3075</v>
      </c>
      <c r="B168" s="7" t="s">
        <v>3076</v>
      </c>
      <c r="C168" s="7" t="s">
        <v>3077</v>
      </c>
      <c r="D168" s="7" t="s">
        <v>3078</v>
      </c>
      <c r="E168" s="7" t="n">
        <v>2024</v>
      </c>
      <c r="F168" s="8" t="s">
        <v>3079</v>
      </c>
      <c r="G168" s="6" t="s">
        <v>713</v>
      </c>
      <c r="H168" s="7"/>
      <c r="I168" s="7"/>
      <c r="J168" s="7"/>
      <c r="K168" s="7"/>
      <c r="L168" s="7"/>
      <c r="M168" s="7"/>
      <c r="N168" s="7"/>
      <c r="O168" s="7"/>
      <c r="P168" s="7" t="s">
        <v>304</v>
      </c>
      <c r="Q168" s="7" t="s">
        <v>62</v>
      </c>
      <c r="R168" s="7" t="s">
        <v>3080</v>
      </c>
      <c r="S168" s="7"/>
      <c r="T168" s="7" t="s">
        <v>187</v>
      </c>
      <c r="U168" s="7"/>
      <c r="V168" s="7"/>
      <c r="W168" s="7"/>
      <c r="X168" s="7"/>
      <c r="Y168" s="7"/>
      <c r="Z168" s="7" t="s">
        <v>3081</v>
      </c>
      <c r="AA168" s="9" t="s">
        <v>3082</v>
      </c>
      <c r="AB168" s="7" t="s">
        <v>3083</v>
      </c>
      <c r="AC168" s="7" t="s">
        <v>3084</v>
      </c>
      <c r="AD168" s="7" t="s">
        <v>3085</v>
      </c>
      <c r="AE168" s="7" t="s">
        <v>3086</v>
      </c>
      <c r="AF168" s="7"/>
      <c r="AG168" s="7"/>
      <c r="AH168" s="7"/>
      <c r="AI168" s="7"/>
      <c r="AJ168" s="10" t="s">
        <v>3087</v>
      </c>
      <c r="AK168" s="7" t="s">
        <v>3088</v>
      </c>
      <c r="AL168" s="7" t="s">
        <v>3089</v>
      </c>
      <c r="AM168" s="7"/>
      <c r="AN168" s="7"/>
      <c r="AO168" s="7" t="s">
        <v>3090</v>
      </c>
      <c r="AP168" s="7" t="s">
        <v>3091</v>
      </c>
      <c r="AQ168" s="7" t="s">
        <v>3092</v>
      </c>
      <c r="AR168" s="7" t="s">
        <v>3093</v>
      </c>
      <c r="AS168" s="7" t="n">
        <v>201275</v>
      </c>
      <c r="AT168" s="7"/>
      <c r="AU168" s="7" t="s">
        <v>3094</v>
      </c>
      <c r="AV168" s="7"/>
      <c r="AW168" s="7"/>
      <c r="AX168" s="7" t="s">
        <v>3095</v>
      </c>
      <c r="AY168" s="7" t="s">
        <v>75</v>
      </c>
      <c r="AZ168" s="7"/>
      <c r="BA168" s="7" t="s">
        <v>76</v>
      </c>
      <c r="BB168" s="7" t="s">
        <v>3096</v>
      </c>
      <c r="BC168" s="7"/>
      <c r="BD168" s="7"/>
      <c r="BE168" s="7"/>
      <c r="BF168" s="7"/>
      <c r="BG168" s="7"/>
      <c r="BH168" s="7"/>
      <c r="BI168" s="7"/>
    </row>
    <row r="169" customFormat="false" ht="14.25" hidden="false" customHeight="true" outlineLevel="0" collapsed="false">
      <c r="A169" s="7" t="s">
        <v>3097</v>
      </c>
      <c r="B169" s="7" t="s">
        <v>3098</v>
      </c>
      <c r="C169" s="7" t="s">
        <v>3099</v>
      </c>
      <c r="D169" s="7" t="s">
        <v>3100</v>
      </c>
      <c r="E169" s="7" t="n">
        <v>2024</v>
      </c>
      <c r="F169" s="8" t="s">
        <v>3101</v>
      </c>
      <c r="G169" s="6" t="s">
        <v>3102</v>
      </c>
      <c r="H169" s="7"/>
      <c r="I169" s="7"/>
      <c r="J169" s="7"/>
      <c r="K169" s="7"/>
      <c r="L169" s="7"/>
      <c r="M169" s="7"/>
      <c r="N169" s="7"/>
      <c r="O169" s="7"/>
      <c r="P169" s="7" t="s">
        <v>304</v>
      </c>
      <c r="Q169" s="7" t="s">
        <v>62</v>
      </c>
      <c r="R169" s="7" t="s">
        <v>3103</v>
      </c>
      <c r="S169" s="7" t="n">
        <v>48</v>
      </c>
      <c r="T169" s="7" t="s">
        <v>3104</v>
      </c>
      <c r="U169" s="7" t="n">
        <v>4</v>
      </c>
      <c r="V169" s="7"/>
      <c r="W169" s="7" t="n">
        <v>431</v>
      </c>
      <c r="X169" s="7" t="n">
        <v>436</v>
      </c>
      <c r="Y169" s="7" t="n">
        <v>5</v>
      </c>
      <c r="Z169" s="7" t="s">
        <v>3105</v>
      </c>
      <c r="AA169" s="9" t="s">
        <v>3106</v>
      </c>
      <c r="AB169" s="7" t="s">
        <v>3107</v>
      </c>
      <c r="AC169" s="7" t="s">
        <v>3108</v>
      </c>
      <c r="AD169" s="7" t="s">
        <v>3109</v>
      </c>
      <c r="AE169" s="7" t="s">
        <v>3110</v>
      </c>
      <c r="AF169" s="7"/>
      <c r="AG169" s="7"/>
      <c r="AH169" s="7"/>
      <c r="AI169" s="7"/>
      <c r="AJ169" s="10"/>
      <c r="AK169" s="7"/>
      <c r="AL169" s="7" t="s">
        <v>3111</v>
      </c>
      <c r="AM169" s="7"/>
      <c r="AN169" s="7" t="s">
        <v>3112</v>
      </c>
      <c r="AO169" s="7"/>
      <c r="AP169" s="7" t="s">
        <v>3113</v>
      </c>
      <c r="AQ169" s="7" t="s">
        <v>3114</v>
      </c>
      <c r="AR169" s="7" t="s">
        <v>3115</v>
      </c>
      <c r="AS169" s="7" t="n">
        <v>204515</v>
      </c>
      <c r="AT169" s="7" t="n">
        <v>16821750</v>
      </c>
      <c r="AU169" s="7"/>
      <c r="AV169" s="7"/>
      <c r="AW169" s="7"/>
      <c r="AX169" s="7" t="s">
        <v>3116</v>
      </c>
      <c r="AY169" s="7" t="s">
        <v>75</v>
      </c>
      <c r="AZ169" s="7" t="s">
        <v>127</v>
      </c>
      <c r="BA169" s="7" t="s">
        <v>76</v>
      </c>
      <c r="BB169" s="7" t="s">
        <v>3117</v>
      </c>
      <c r="BC169" s="7"/>
      <c r="BD169" s="7"/>
      <c r="BE169" s="7"/>
      <c r="BF169" s="7"/>
      <c r="BG169" s="7"/>
      <c r="BH169" s="7"/>
      <c r="BI169" s="7"/>
    </row>
    <row r="170" customFormat="false" ht="14.25" hidden="false" customHeight="true" outlineLevel="0" collapsed="false">
      <c r="A170" s="7" t="s">
        <v>3118</v>
      </c>
      <c r="B170" s="7" t="s">
        <v>3119</v>
      </c>
      <c r="C170" s="7" t="s">
        <v>3120</v>
      </c>
      <c r="D170" s="7" t="s">
        <v>3121</v>
      </c>
      <c r="E170" s="7" t="n">
        <v>2024</v>
      </c>
      <c r="F170" s="8" t="s">
        <v>3122</v>
      </c>
      <c r="G170" s="6" t="s">
        <v>1686</v>
      </c>
      <c r="H170" s="7"/>
      <c r="I170" s="7"/>
      <c r="J170" s="7"/>
      <c r="K170" s="7"/>
      <c r="L170" s="7"/>
      <c r="M170" s="7"/>
      <c r="N170" s="7"/>
      <c r="O170" s="7"/>
      <c r="P170" s="7" t="s">
        <v>304</v>
      </c>
      <c r="Q170" s="7" t="s">
        <v>62</v>
      </c>
      <c r="R170" s="7" t="s">
        <v>350</v>
      </c>
      <c r="S170" s="7" t="n">
        <v>791</v>
      </c>
      <c r="T170" s="7" t="s">
        <v>307</v>
      </c>
      <c r="U170" s="7"/>
      <c r="V170" s="7"/>
      <c r="W170" s="7" t="n">
        <v>249</v>
      </c>
      <c r="X170" s="7" t="n">
        <v>260</v>
      </c>
      <c r="Y170" s="7" t="n">
        <v>11</v>
      </c>
      <c r="Z170" s="7" t="s">
        <v>3123</v>
      </c>
      <c r="AA170" s="9" t="s">
        <v>3124</v>
      </c>
      <c r="AB170" s="7" t="s">
        <v>3125</v>
      </c>
      <c r="AC170" s="7" t="s">
        <v>3126</v>
      </c>
      <c r="AD170" s="7" t="s">
        <v>3127</v>
      </c>
      <c r="AE170" s="7" t="s">
        <v>3128</v>
      </c>
      <c r="AF170" s="7"/>
      <c r="AG170" s="7"/>
      <c r="AH170" s="7"/>
      <c r="AI170" s="7"/>
      <c r="AJ170" s="10"/>
      <c r="AK170" s="7"/>
      <c r="AL170" s="7" t="s">
        <v>3129</v>
      </c>
      <c r="AM170" s="7" t="s">
        <v>3130</v>
      </c>
      <c r="AN170" s="7" t="s">
        <v>3131</v>
      </c>
      <c r="AO170" s="7"/>
      <c r="AP170" s="7" t="s">
        <v>3132</v>
      </c>
      <c r="AQ170" s="7" t="s">
        <v>3133</v>
      </c>
      <c r="AR170" s="7" t="s">
        <v>3134</v>
      </c>
      <c r="AS170" s="7" t="n">
        <v>305059</v>
      </c>
      <c r="AT170" s="7" t="n">
        <v>23673370</v>
      </c>
      <c r="AU170" s="7" t="s">
        <v>3135</v>
      </c>
      <c r="AV170" s="7"/>
      <c r="AW170" s="7"/>
      <c r="AX170" s="7" t="s">
        <v>365</v>
      </c>
      <c r="AY170" s="7" t="s">
        <v>75</v>
      </c>
      <c r="AZ170" s="7"/>
      <c r="BA170" s="7" t="s">
        <v>76</v>
      </c>
      <c r="BB170" s="7" t="s">
        <v>3136</v>
      </c>
      <c r="BC170" s="7"/>
      <c r="BD170" s="7"/>
      <c r="BE170" s="7"/>
      <c r="BF170" s="7"/>
      <c r="BG170" s="7"/>
      <c r="BH170" s="7"/>
      <c r="BI170" s="7"/>
    </row>
    <row r="171" customFormat="false" ht="14.25" hidden="false" customHeight="true" outlineLevel="0" collapsed="false">
      <c r="A171" s="7" t="s">
        <v>3137</v>
      </c>
      <c r="B171" s="7" t="s">
        <v>3138</v>
      </c>
      <c r="C171" s="7" t="s">
        <v>3139</v>
      </c>
      <c r="D171" s="7" t="s">
        <v>3140</v>
      </c>
      <c r="E171" s="7" t="n">
        <v>2024</v>
      </c>
      <c r="F171" s="8" t="s">
        <v>3141</v>
      </c>
      <c r="G171" s="6" t="s">
        <v>713</v>
      </c>
      <c r="H171" s="7"/>
      <c r="I171" s="7"/>
      <c r="J171" s="7"/>
      <c r="K171" s="7"/>
      <c r="L171" s="7"/>
      <c r="M171" s="7"/>
      <c r="N171" s="7"/>
      <c r="O171" s="7"/>
      <c r="P171" s="7" t="s">
        <v>304</v>
      </c>
      <c r="Q171" s="7" t="s">
        <v>62</v>
      </c>
      <c r="R171" s="7" t="s">
        <v>3142</v>
      </c>
      <c r="S171" s="7"/>
      <c r="T171" s="7" t="s">
        <v>187</v>
      </c>
      <c r="U171" s="7"/>
      <c r="V171" s="7"/>
      <c r="W171" s="7"/>
      <c r="X171" s="7"/>
      <c r="Y171" s="7"/>
      <c r="Z171" s="7" t="s">
        <v>3143</v>
      </c>
      <c r="AA171" s="9" t="s">
        <v>3144</v>
      </c>
      <c r="AB171" s="7" t="s">
        <v>3145</v>
      </c>
      <c r="AC171" s="7" t="s">
        <v>3146</v>
      </c>
      <c r="AD171" s="7" t="s">
        <v>3147</v>
      </c>
      <c r="AE171" s="7" t="s">
        <v>3148</v>
      </c>
      <c r="AF171" s="7"/>
      <c r="AG171" s="7"/>
      <c r="AH171" s="7"/>
      <c r="AI171" s="7"/>
      <c r="AJ171" s="10"/>
      <c r="AK171" s="7"/>
      <c r="AL171" s="7" t="s">
        <v>3149</v>
      </c>
      <c r="AM171" s="7" t="s">
        <v>3150</v>
      </c>
      <c r="AN171" s="7"/>
      <c r="AO171" s="7"/>
      <c r="AP171" s="7" t="s">
        <v>3151</v>
      </c>
      <c r="AQ171" s="7" t="s">
        <v>3152</v>
      </c>
      <c r="AR171" s="7" t="s">
        <v>3153</v>
      </c>
      <c r="AS171" s="7" t="n">
        <v>205600</v>
      </c>
      <c r="AT171" s="7"/>
      <c r="AU171" s="7" t="s">
        <v>3154</v>
      </c>
      <c r="AV171" s="7"/>
      <c r="AW171" s="7"/>
      <c r="AX171" s="7" t="s">
        <v>3155</v>
      </c>
      <c r="AY171" s="7" t="s">
        <v>75</v>
      </c>
      <c r="AZ171" s="7"/>
      <c r="BA171" s="7" t="s">
        <v>76</v>
      </c>
      <c r="BB171" s="7" t="s">
        <v>3156</v>
      </c>
      <c r="BC171" s="7"/>
      <c r="BD171" s="7"/>
      <c r="BE171" s="7"/>
      <c r="BF171" s="7"/>
      <c r="BG171" s="7"/>
      <c r="BH171" s="7"/>
      <c r="BI171" s="7"/>
    </row>
    <row r="172" customFormat="false" ht="14.25" hidden="false" customHeight="true" outlineLevel="0" collapsed="false">
      <c r="A172" s="7" t="s">
        <v>3157</v>
      </c>
      <c r="B172" s="7" t="s">
        <v>3158</v>
      </c>
      <c r="C172" s="7" t="s">
        <v>3159</v>
      </c>
      <c r="D172" s="7" t="s">
        <v>3160</v>
      </c>
      <c r="E172" s="7" t="n">
        <v>2024</v>
      </c>
      <c r="F172" s="8" t="s">
        <v>3161</v>
      </c>
      <c r="G172" s="6" t="s">
        <v>3102</v>
      </c>
      <c r="H172" s="7"/>
      <c r="I172" s="7"/>
      <c r="J172" s="7"/>
      <c r="K172" s="7"/>
      <c r="L172" s="7"/>
      <c r="M172" s="7"/>
      <c r="N172" s="7"/>
      <c r="O172" s="7"/>
      <c r="P172" s="7" t="s">
        <v>304</v>
      </c>
      <c r="Q172" s="7" t="s">
        <v>62</v>
      </c>
      <c r="R172" s="7" t="s">
        <v>3162</v>
      </c>
      <c r="S172" s="7" t="n">
        <v>13059</v>
      </c>
      <c r="T172" s="7" t="s">
        <v>3163</v>
      </c>
      <c r="U172" s="7"/>
      <c r="V172" s="7" t="s">
        <v>3164</v>
      </c>
      <c r="W172" s="7"/>
      <c r="X172" s="7"/>
      <c r="Y172" s="7"/>
      <c r="Z172" s="7" t="s">
        <v>3165</v>
      </c>
      <c r="AA172" s="9" t="s">
        <v>3166</v>
      </c>
      <c r="AB172" s="7" t="s">
        <v>3167</v>
      </c>
      <c r="AC172" s="7" t="s">
        <v>3168</v>
      </c>
      <c r="AD172" s="7" t="s">
        <v>3169</v>
      </c>
      <c r="AE172" s="7" t="s">
        <v>3170</v>
      </c>
      <c r="AF172" s="7"/>
      <c r="AG172" s="7"/>
      <c r="AH172" s="7"/>
      <c r="AI172" s="7"/>
      <c r="AJ172" s="10"/>
      <c r="AK172" s="7"/>
      <c r="AL172" s="7" t="s">
        <v>3171</v>
      </c>
      <c r="AM172" s="7"/>
      <c r="AN172" s="7" t="s">
        <v>3172</v>
      </c>
      <c r="AO172" s="7" t="s">
        <v>3173</v>
      </c>
      <c r="AP172" s="7" t="s">
        <v>3174</v>
      </c>
      <c r="AQ172" s="7" t="s">
        <v>3175</v>
      </c>
      <c r="AR172" s="7" t="s">
        <v>3176</v>
      </c>
      <c r="AS172" s="7" t="n">
        <v>200225</v>
      </c>
      <c r="AT172" s="7" t="s">
        <v>3177</v>
      </c>
      <c r="AU172" s="7" t="s">
        <v>3178</v>
      </c>
      <c r="AV172" s="7" t="s">
        <v>3179</v>
      </c>
      <c r="AW172" s="7"/>
      <c r="AX172" s="7" t="s">
        <v>3180</v>
      </c>
      <c r="AY172" s="7" t="s">
        <v>75</v>
      </c>
      <c r="AZ172" s="7"/>
      <c r="BA172" s="7" t="s">
        <v>76</v>
      </c>
      <c r="BB172" s="7" t="s">
        <v>3181</v>
      </c>
      <c r="BC172" s="7"/>
      <c r="BD172" s="7"/>
      <c r="BE172" s="7"/>
      <c r="BF172" s="7"/>
      <c r="BG172" s="7"/>
      <c r="BH172" s="7"/>
      <c r="BI172" s="7"/>
    </row>
    <row r="173" customFormat="false" ht="14.25" hidden="false" customHeight="true" outlineLevel="0" collapsed="false">
      <c r="A173" s="7" t="s">
        <v>3182</v>
      </c>
      <c r="B173" s="7" t="s">
        <v>3183</v>
      </c>
      <c r="C173" s="7" t="s">
        <v>3184</v>
      </c>
      <c r="D173" s="7" t="s">
        <v>3185</v>
      </c>
      <c r="E173" s="7" t="n">
        <v>2024</v>
      </c>
      <c r="F173" s="8" t="s">
        <v>3186</v>
      </c>
      <c r="G173" s="6" t="s">
        <v>713</v>
      </c>
      <c r="H173" s="7"/>
      <c r="I173" s="7"/>
      <c r="J173" s="7"/>
      <c r="K173" s="7"/>
      <c r="L173" s="7"/>
      <c r="M173" s="7"/>
      <c r="N173" s="7"/>
      <c r="O173" s="7"/>
      <c r="P173" s="7" t="s">
        <v>304</v>
      </c>
      <c r="Q173" s="7" t="s">
        <v>62</v>
      </c>
      <c r="R173" s="7" t="s">
        <v>3187</v>
      </c>
      <c r="S173" s="7"/>
      <c r="T173" s="7" t="s">
        <v>2677</v>
      </c>
      <c r="U173" s="7"/>
      <c r="V173" s="7"/>
      <c r="W173" s="7"/>
      <c r="X173" s="7"/>
      <c r="Y173" s="7"/>
      <c r="Z173" s="7" t="s">
        <v>3188</v>
      </c>
      <c r="AA173" s="9" t="s">
        <v>3189</v>
      </c>
      <c r="AB173" s="7" t="s">
        <v>3190</v>
      </c>
      <c r="AC173" s="7" t="s">
        <v>3191</v>
      </c>
      <c r="AD173" s="7" t="s">
        <v>3192</v>
      </c>
      <c r="AE173" s="7" t="s">
        <v>3193</v>
      </c>
      <c r="AF173" s="7"/>
      <c r="AG173" s="7"/>
      <c r="AH173" s="7"/>
      <c r="AI173" s="7"/>
      <c r="AJ173" s="10" t="s">
        <v>3194</v>
      </c>
      <c r="AK173" s="7" t="s">
        <v>3195</v>
      </c>
      <c r="AL173" s="7" t="s">
        <v>3196</v>
      </c>
      <c r="AM173" s="7"/>
      <c r="AN173" s="7"/>
      <c r="AO173" s="7" t="s">
        <v>3197</v>
      </c>
      <c r="AP173" s="7" t="s">
        <v>3198</v>
      </c>
      <c r="AQ173" s="7" t="s">
        <v>3199</v>
      </c>
      <c r="AR173" s="7" t="s">
        <v>3200</v>
      </c>
      <c r="AS173" s="7" t="n">
        <v>202064</v>
      </c>
      <c r="AT173" s="7" t="n">
        <v>19457928</v>
      </c>
      <c r="AU173" s="7" t="s">
        <v>3201</v>
      </c>
      <c r="AV173" s="7"/>
      <c r="AW173" s="7"/>
      <c r="AX173" s="7" t="s">
        <v>3202</v>
      </c>
      <c r="AY173" s="7" t="s">
        <v>75</v>
      </c>
      <c r="AZ173" s="7" t="s">
        <v>409</v>
      </c>
      <c r="BA173" s="7" t="s">
        <v>76</v>
      </c>
      <c r="BB173" s="7" t="s">
        <v>3203</v>
      </c>
      <c r="BC173" s="7"/>
      <c r="BD173" s="7"/>
      <c r="BE173" s="7"/>
      <c r="BF173" s="7"/>
      <c r="BG173" s="7"/>
      <c r="BH173" s="7"/>
      <c r="BI173" s="7"/>
    </row>
    <row r="174" customFormat="false" ht="14.25" hidden="false" customHeight="true" outlineLevel="0" collapsed="false">
      <c r="A174" s="7" t="s">
        <v>3204</v>
      </c>
      <c r="B174" s="7" t="s">
        <v>3205</v>
      </c>
      <c r="C174" s="7" t="s">
        <v>3206</v>
      </c>
      <c r="D174" s="7" t="s">
        <v>3207</v>
      </c>
      <c r="E174" s="7" t="n">
        <v>2024</v>
      </c>
      <c r="F174" s="8" t="s">
        <v>3208</v>
      </c>
      <c r="G174" s="6" t="s">
        <v>713</v>
      </c>
      <c r="H174" s="7"/>
      <c r="I174" s="7"/>
      <c r="J174" s="7"/>
      <c r="K174" s="7"/>
      <c r="L174" s="7"/>
      <c r="M174" s="7"/>
      <c r="N174" s="7"/>
      <c r="O174" s="7"/>
      <c r="P174" s="7" t="s">
        <v>304</v>
      </c>
      <c r="Q174" s="7" t="s">
        <v>62</v>
      </c>
      <c r="R174" s="7" t="s">
        <v>3209</v>
      </c>
      <c r="S174" s="7"/>
      <c r="T174" s="7" t="s">
        <v>187</v>
      </c>
      <c r="U174" s="7"/>
      <c r="V174" s="7"/>
      <c r="W174" s="7"/>
      <c r="X174" s="7"/>
      <c r="Y174" s="7"/>
      <c r="Z174" s="7" t="s">
        <v>3210</v>
      </c>
      <c r="AA174" s="9" t="s">
        <v>3211</v>
      </c>
      <c r="AB174" s="7" t="s">
        <v>3212</v>
      </c>
      <c r="AC174" s="7" t="s">
        <v>3213</v>
      </c>
      <c r="AD174" s="7" t="s">
        <v>3214</v>
      </c>
      <c r="AE174" s="7" t="s">
        <v>3215</v>
      </c>
      <c r="AF174" s="7"/>
      <c r="AG174" s="7"/>
      <c r="AH174" s="7"/>
      <c r="AI174" s="7"/>
      <c r="AJ174" s="10"/>
      <c r="AK174" s="7"/>
      <c r="AL174" s="7" t="s">
        <v>3216</v>
      </c>
      <c r="AM174" s="7"/>
      <c r="AN174" s="7"/>
      <c r="AO174" s="7" t="s">
        <v>3217</v>
      </c>
      <c r="AP174" s="7" t="s">
        <v>3218</v>
      </c>
      <c r="AQ174" s="7" t="s">
        <v>3219</v>
      </c>
      <c r="AR174" s="7" t="s">
        <v>3220</v>
      </c>
      <c r="AS174" s="7" t="n">
        <v>205452</v>
      </c>
      <c r="AT174" s="7"/>
      <c r="AU174" s="7" t="s">
        <v>3221</v>
      </c>
      <c r="AV174" s="7"/>
      <c r="AW174" s="7"/>
      <c r="AX174" s="7" t="s">
        <v>3222</v>
      </c>
      <c r="AY174" s="7" t="s">
        <v>75</v>
      </c>
      <c r="AZ174" s="7"/>
      <c r="BA174" s="7" t="s">
        <v>76</v>
      </c>
      <c r="BB174" s="7" t="s">
        <v>3223</v>
      </c>
      <c r="BC174" s="7"/>
      <c r="BD174" s="7"/>
      <c r="BE174" s="7"/>
      <c r="BF174" s="7"/>
      <c r="BG174" s="7"/>
      <c r="BH174" s="7"/>
      <c r="BI174" s="7"/>
    </row>
    <row r="175" customFormat="false" ht="14.25" hidden="false" customHeight="true" outlineLevel="0" collapsed="false">
      <c r="A175" s="7" t="s">
        <v>3224</v>
      </c>
      <c r="B175" s="7" t="s">
        <v>3225</v>
      </c>
      <c r="C175" s="7" t="s">
        <v>3226</v>
      </c>
      <c r="D175" s="7" t="s">
        <v>3227</v>
      </c>
      <c r="E175" s="7" t="n">
        <v>2024</v>
      </c>
      <c r="F175" s="8" t="s">
        <v>3228</v>
      </c>
      <c r="G175" s="6" t="s">
        <v>3229</v>
      </c>
      <c r="H175" s="7"/>
      <c r="I175" s="7"/>
      <c r="J175" s="7"/>
      <c r="K175" s="7"/>
      <c r="L175" s="7"/>
      <c r="M175" s="7"/>
      <c r="N175" s="7"/>
      <c r="O175" s="7"/>
      <c r="P175" s="7" t="s">
        <v>304</v>
      </c>
      <c r="Q175" s="7" t="s">
        <v>62</v>
      </c>
      <c r="R175" s="7" t="s">
        <v>3103</v>
      </c>
      <c r="S175" s="7" t="n">
        <v>48</v>
      </c>
      <c r="T175" s="7" t="s">
        <v>3104</v>
      </c>
      <c r="U175" s="7" t="s">
        <v>3230</v>
      </c>
      <c r="V175" s="7"/>
      <c r="W175" s="7" t="n">
        <v>63</v>
      </c>
      <c r="X175" s="7" t="n">
        <v>68</v>
      </c>
      <c r="Y175" s="7" t="n">
        <v>5</v>
      </c>
      <c r="Z175" s="7" t="s">
        <v>3231</v>
      </c>
      <c r="AA175" s="9" t="s">
        <v>3232</v>
      </c>
      <c r="AB175" s="7" t="s">
        <v>3233</v>
      </c>
      <c r="AC175" s="7" t="s">
        <v>3234</v>
      </c>
      <c r="AD175" s="7" t="s">
        <v>3235</v>
      </c>
      <c r="AE175" s="7" t="s">
        <v>3236</v>
      </c>
      <c r="AF175" s="7"/>
      <c r="AG175" s="7"/>
      <c r="AH175" s="7"/>
      <c r="AI175" s="7"/>
      <c r="AJ175" s="10" t="s">
        <v>3237</v>
      </c>
      <c r="AK175" s="7" t="s">
        <v>3238</v>
      </c>
      <c r="AL175" s="7" t="s">
        <v>3239</v>
      </c>
      <c r="AM175" s="7"/>
      <c r="AN175" s="7" t="s">
        <v>3240</v>
      </c>
      <c r="AO175" s="7"/>
      <c r="AP175" s="7" t="s">
        <v>3241</v>
      </c>
      <c r="AQ175" s="7" t="s">
        <v>3242</v>
      </c>
      <c r="AR175" s="7" t="s">
        <v>3243</v>
      </c>
      <c r="AS175" s="7" t="n">
        <v>204505</v>
      </c>
      <c r="AT175" s="7" t="n">
        <v>16821750</v>
      </c>
      <c r="AU175" s="7"/>
      <c r="AV175" s="7"/>
      <c r="AW175" s="7"/>
      <c r="AX175" s="7" t="s">
        <v>3116</v>
      </c>
      <c r="AY175" s="7" t="s">
        <v>75</v>
      </c>
      <c r="AZ175" s="7" t="s">
        <v>127</v>
      </c>
      <c r="BA175" s="7" t="s">
        <v>76</v>
      </c>
      <c r="BB175" s="7" t="s">
        <v>3244</v>
      </c>
      <c r="BC175" s="7"/>
      <c r="BD175" s="7"/>
      <c r="BE175" s="7"/>
      <c r="BF175" s="7"/>
      <c r="BG175" s="7"/>
      <c r="BH175" s="7"/>
      <c r="BI175" s="7"/>
    </row>
    <row r="176" customFormat="false" ht="14.25" hidden="false" customHeight="true" outlineLevel="0" collapsed="false">
      <c r="A176" s="7" t="s">
        <v>3097</v>
      </c>
      <c r="B176" s="7" t="s">
        <v>3098</v>
      </c>
      <c r="C176" s="7" t="s">
        <v>3099</v>
      </c>
      <c r="D176" s="7" t="s">
        <v>3245</v>
      </c>
      <c r="E176" s="7" t="n">
        <v>2024</v>
      </c>
      <c r="F176" s="8" t="s">
        <v>3246</v>
      </c>
      <c r="G176" s="6" t="s">
        <v>1686</v>
      </c>
      <c r="H176" s="7"/>
      <c r="I176" s="7"/>
      <c r="J176" s="7"/>
      <c r="K176" s="7"/>
      <c r="L176" s="7"/>
      <c r="M176" s="7"/>
      <c r="N176" s="7"/>
      <c r="O176" s="7"/>
      <c r="P176" s="7" t="s">
        <v>304</v>
      </c>
      <c r="Q176" s="7" t="s">
        <v>62</v>
      </c>
      <c r="R176" s="7" t="s">
        <v>3103</v>
      </c>
      <c r="S176" s="7" t="s">
        <v>3247</v>
      </c>
      <c r="T176" s="7" t="s">
        <v>3104</v>
      </c>
      <c r="U176" s="7"/>
      <c r="V176" s="7"/>
      <c r="W176" s="7" t="n">
        <v>387</v>
      </c>
      <c r="X176" s="7" t="n">
        <v>391</v>
      </c>
      <c r="Y176" s="7" t="n">
        <v>4</v>
      </c>
      <c r="Z176" s="7" t="s">
        <v>3248</v>
      </c>
      <c r="AA176" s="9" t="s">
        <v>3249</v>
      </c>
      <c r="AB176" s="7" t="s">
        <v>3107</v>
      </c>
      <c r="AC176" s="7" t="s">
        <v>3108</v>
      </c>
      <c r="AD176" s="7" t="s">
        <v>3109</v>
      </c>
      <c r="AE176" s="7" t="s">
        <v>3250</v>
      </c>
      <c r="AF176" s="7"/>
      <c r="AG176" s="7"/>
      <c r="AH176" s="7"/>
      <c r="AI176" s="7"/>
      <c r="AJ176" s="10"/>
      <c r="AK176" s="7"/>
      <c r="AL176" s="7" t="s">
        <v>3251</v>
      </c>
      <c r="AM176" s="7" t="s">
        <v>3252</v>
      </c>
      <c r="AN176" s="7" t="s">
        <v>3253</v>
      </c>
      <c r="AO176" s="7"/>
      <c r="AP176" s="7" t="s">
        <v>3254</v>
      </c>
      <c r="AQ176" s="7" t="s">
        <v>3255</v>
      </c>
      <c r="AR176" s="7" t="s">
        <v>3256</v>
      </c>
      <c r="AS176" s="7" t="n">
        <v>200287</v>
      </c>
      <c r="AT176" s="7" t="n">
        <v>16821750</v>
      </c>
      <c r="AU176" s="7"/>
      <c r="AV176" s="7"/>
      <c r="AW176" s="7"/>
      <c r="AX176" s="7" t="s">
        <v>3116</v>
      </c>
      <c r="AY176" s="7" t="s">
        <v>75</v>
      </c>
      <c r="AZ176" s="7" t="s">
        <v>127</v>
      </c>
      <c r="BA176" s="7" t="s">
        <v>76</v>
      </c>
      <c r="BB176" s="7" t="s">
        <v>3257</v>
      </c>
      <c r="BC176" s="7"/>
      <c r="BD176" s="7"/>
      <c r="BE176" s="7"/>
      <c r="BF176" s="7"/>
      <c r="BG176" s="7"/>
      <c r="BH176" s="7"/>
      <c r="BI176" s="7"/>
    </row>
    <row r="177" customFormat="false" ht="14.25" hidden="false" customHeight="true" outlineLevel="0" collapsed="false">
      <c r="A177" s="7" t="s">
        <v>3258</v>
      </c>
      <c r="B177" s="7" t="s">
        <v>3259</v>
      </c>
      <c r="C177" s="7" t="s">
        <v>3260</v>
      </c>
      <c r="D177" s="7" t="s">
        <v>3261</v>
      </c>
      <c r="E177" s="7" t="n">
        <v>2024</v>
      </c>
      <c r="F177" s="8" t="s">
        <v>3262</v>
      </c>
      <c r="G177" s="6" t="s">
        <v>713</v>
      </c>
      <c r="H177" s="7"/>
      <c r="I177" s="7"/>
      <c r="J177" s="7"/>
      <c r="K177" s="7"/>
      <c r="L177" s="7"/>
      <c r="M177" s="7"/>
      <c r="N177" s="7"/>
      <c r="O177" s="7"/>
      <c r="P177" s="7" t="s">
        <v>304</v>
      </c>
      <c r="Q177" s="7" t="s">
        <v>62</v>
      </c>
      <c r="R177" s="7" t="s">
        <v>2751</v>
      </c>
      <c r="S177" s="7" t="s">
        <v>3263</v>
      </c>
      <c r="T177" s="7" t="s">
        <v>307</v>
      </c>
      <c r="U177" s="7"/>
      <c r="V177" s="7"/>
      <c r="W177" s="7" t="n">
        <v>202</v>
      </c>
      <c r="X177" s="7" t="n">
        <v>216</v>
      </c>
      <c r="Y177" s="7" t="n">
        <v>14</v>
      </c>
      <c r="Z177" s="7" t="s">
        <v>3264</v>
      </c>
      <c r="AA177" s="9" t="s">
        <v>3265</v>
      </c>
      <c r="AB177" s="7" t="s">
        <v>3266</v>
      </c>
      <c r="AC177" s="7" t="s">
        <v>3267</v>
      </c>
      <c r="AD177" s="7" t="s">
        <v>3268</v>
      </c>
      <c r="AE177" s="7" t="s">
        <v>3269</v>
      </c>
      <c r="AF177" s="7"/>
      <c r="AG177" s="7"/>
      <c r="AH177" s="7"/>
      <c r="AI177" s="7"/>
      <c r="AJ177" s="10"/>
      <c r="AK177" s="7"/>
      <c r="AL177" s="7" t="s">
        <v>3270</v>
      </c>
      <c r="AM177" s="7" t="s">
        <v>3271</v>
      </c>
      <c r="AN177" s="7" t="s">
        <v>3272</v>
      </c>
      <c r="AO177" s="7"/>
      <c r="AP177" s="7" t="s">
        <v>3273</v>
      </c>
      <c r="AQ177" s="7" t="s">
        <v>3274</v>
      </c>
      <c r="AR177" s="7" t="s">
        <v>3275</v>
      </c>
      <c r="AS177" s="7" t="n">
        <v>315959</v>
      </c>
      <c r="AT177" s="7" t="n">
        <v>3029743</v>
      </c>
      <c r="AU177" s="7" t="s">
        <v>3276</v>
      </c>
      <c r="AV177" s="7"/>
      <c r="AW177" s="7"/>
      <c r="AX177" s="7" t="s">
        <v>2766</v>
      </c>
      <c r="AY177" s="7" t="s">
        <v>75</v>
      </c>
      <c r="AZ177" s="7"/>
      <c r="BA177" s="7" t="s">
        <v>76</v>
      </c>
      <c r="BB177" s="7" t="s">
        <v>3277</v>
      </c>
      <c r="BC177" s="7"/>
      <c r="BD177" s="7"/>
      <c r="BE177" s="7"/>
      <c r="BF177" s="7"/>
      <c r="BG177" s="7"/>
      <c r="BH177" s="7"/>
      <c r="BI177" s="7"/>
    </row>
    <row r="178" customFormat="false" ht="14.25" hidden="false" customHeight="true" outlineLevel="0" collapsed="false">
      <c r="A178" s="7" t="s">
        <v>3278</v>
      </c>
      <c r="B178" s="7" t="s">
        <v>3279</v>
      </c>
      <c r="C178" s="7" t="s">
        <v>3280</v>
      </c>
      <c r="D178" s="7" t="s">
        <v>3281</v>
      </c>
      <c r="E178" s="7" t="n">
        <v>2024</v>
      </c>
      <c r="F178" s="8" t="s">
        <v>3282</v>
      </c>
      <c r="G178" s="6" t="s">
        <v>747</v>
      </c>
      <c r="H178" s="7"/>
      <c r="I178" s="7"/>
      <c r="J178" s="7"/>
      <c r="K178" s="7"/>
      <c r="L178" s="7"/>
      <c r="M178" s="7"/>
      <c r="N178" s="7"/>
      <c r="O178" s="7"/>
      <c r="P178" s="7" t="s">
        <v>304</v>
      </c>
      <c r="Q178" s="7" t="s">
        <v>62</v>
      </c>
      <c r="R178" s="7" t="s">
        <v>3283</v>
      </c>
      <c r="S178" s="7"/>
      <c r="T178" s="7" t="s">
        <v>187</v>
      </c>
      <c r="U178" s="7"/>
      <c r="V178" s="7"/>
      <c r="W178" s="7"/>
      <c r="X178" s="7"/>
      <c r="Y178" s="7"/>
      <c r="Z178" s="7" t="s">
        <v>3284</v>
      </c>
      <c r="AA178" s="9" t="s">
        <v>3285</v>
      </c>
      <c r="AB178" s="7" t="s">
        <v>3286</v>
      </c>
      <c r="AC178" s="7" t="s">
        <v>3287</v>
      </c>
      <c r="AD178" s="7" t="s">
        <v>3288</v>
      </c>
      <c r="AE178" s="7" t="s">
        <v>3289</v>
      </c>
      <c r="AF178" s="7"/>
      <c r="AG178" s="7"/>
      <c r="AH178" s="7"/>
      <c r="AI178" s="7"/>
      <c r="AJ178" s="10"/>
      <c r="AK178" s="7"/>
      <c r="AL178" s="7" t="s">
        <v>3290</v>
      </c>
      <c r="AM178" s="7"/>
      <c r="AN178" s="7"/>
      <c r="AO178" s="7"/>
      <c r="AP178" s="7" t="s">
        <v>3291</v>
      </c>
      <c r="AQ178" s="7" t="s">
        <v>3292</v>
      </c>
      <c r="AR178" s="7" t="s">
        <v>2688</v>
      </c>
      <c r="AS178" s="7" t="n">
        <v>203414</v>
      </c>
      <c r="AT178" s="7" t="n">
        <v>28316886</v>
      </c>
      <c r="AU178" s="7" t="s">
        <v>3293</v>
      </c>
      <c r="AV178" s="7"/>
      <c r="AW178" s="7"/>
      <c r="AX178" s="7" t="s">
        <v>3294</v>
      </c>
      <c r="AY178" s="7" t="s">
        <v>75</v>
      </c>
      <c r="AZ178" s="7"/>
      <c r="BA178" s="7" t="s">
        <v>76</v>
      </c>
      <c r="BB178" s="7" t="s">
        <v>3295</v>
      </c>
      <c r="BC178" s="7"/>
      <c r="BD178" s="7"/>
      <c r="BE178" s="7"/>
      <c r="BF178" s="7"/>
      <c r="BG178" s="7"/>
      <c r="BH178" s="7"/>
      <c r="BI178" s="7"/>
    </row>
    <row r="179" customFormat="false" ht="14.25" hidden="false" customHeight="true" outlineLevel="0" collapsed="false">
      <c r="A179" s="7" t="s">
        <v>3296</v>
      </c>
      <c r="B179" s="7" t="s">
        <v>3297</v>
      </c>
      <c r="C179" s="7" t="s">
        <v>3298</v>
      </c>
      <c r="D179" s="7" t="s">
        <v>3299</v>
      </c>
      <c r="E179" s="7" t="n">
        <v>2024</v>
      </c>
      <c r="F179" s="8" t="s">
        <v>3300</v>
      </c>
      <c r="G179" s="6" t="s">
        <v>713</v>
      </c>
      <c r="H179" s="7"/>
      <c r="I179" s="7"/>
      <c r="J179" s="7"/>
      <c r="K179" s="7"/>
      <c r="L179" s="7"/>
      <c r="M179" s="7"/>
      <c r="N179" s="7"/>
      <c r="O179" s="7"/>
      <c r="P179" s="7" t="s">
        <v>304</v>
      </c>
      <c r="Q179" s="7" t="s">
        <v>62</v>
      </c>
      <c r="R179" s="7" t="s">
        <v>3301</v>
      </c>
      <c r="S179" s="7"/>
      <c r="T179" s="7" t="s">
        <v>187</v>
      </c>
      <c r="U179" s="7"/>
      <c r="V179" s="7"/>
      <c r="W179" s="7"/>
      <c r="X179" s="7"/>
      <c r="Y179" s="7"/>
      <c r="Z179" s="7" t="s">
        <v>3302</v>
      </c>
      <c r="AA179" s="9" t="s">
        <v>3303</v>
      </c>
      <c r="AB179" s="7" t="s">
        <v>3304</v>
      </c>
      <c r="AC179" s="7" t="s">
        <v>3305</v>
      </c>
      <c r="AD179" s="7" t="s">
        <v>3306</v>
      </c>
      <c r="AE179" s="7" t="s">
        <v>3307</v>
      </c>
      <c r="AF179" s="7"/>
      <c r="AG179" s="7"/>
      <c r="AH179" s="7"/>
      <c r="AI179" s="7"/>
      <c r="AJ179" s="10" t="s">
        <v>3308</v>
      </c>
      <c r="AK179" s="7" t="s">
        <v>3309</v>
      </c>
      <c r="AL179" s="7" t="s">
        <v>3310</v>
      </c>
      <c r="AM179" s="7" t="s">
        <v>3311</v>
      </c>
      <c r="AN179" s="7"/>
      <c r="AO179" s="7"/>
      <c r="AP179" s="7" t="s">
        <v>3312</v>
      </c>
      <c r="AQ179" s="7" t="s">
        <v>3313</v>
      </c>
      <c r="AR179" s="7" t="s">
        <v>3314</v>
      </c>
      <c r="AS179" s="7" t="n">
        <v>200155</v>
      </c>
      <c r="AT179" s="7"/>
      <c r="AU179" s="7" t="s">
        <v>3315</v>
      </c>
      <c r="AV179" s="7"/>
      <c r="AW179" s="7"/>
      <c r="AX179" s="7" t="s">
        <v>3316</v>
      </c>
      <c r="AY179" s="7" t="s">
        <v>75</v>
      </c>
      <c r="AZ179" s="7"/>
      <c r="BA179" s="7" t="s">
        <v>76</v>
      </c>
      <c r="BB179" s="7" t="s">
        <v>3317</v>
      </c>
      <c r="BC179" s="7"/>
      <c r="BD179" s="7"/>
      <c r="BE179" s="7"/>
      <c r="BF179" s="7"/>
      <c r="BG179" s="7"/>
      <c r="BH179" s="7"/>
      <c r="BI179" s="7"/>
    </row>
    <row r="180" customFormat="false" ht="14.25" hidden="false" customHeight="true" outlineLevel="0" collapsed="false">
      <c r="A180" s="7" t="s">
        <v>3318</v>
      </c>
      <c r="B180" s="7" t="s">
        <v>3319</v>
      </c>
      <c r="C180" s="7" t="s">
        <v>3320</v>
      </c>
      <c r="D180" s="7" t="s">
        <v>3321</v>
      </c>
      <c r="E180" s="7" t="n">
        <v>2024</v>
      </c>
      <c r="F180" s="8" t="s">
        <v>3322</v>
      </c>
      <c r="G180" s="6" t="s">
        <v>713</v>
      </c>
      <c r="H180" s="7"/>
      <c r="I180" s="7"/>
      <c r="J180" s="7"/>
      <c r="K180" s="7"/>
      <c r="L180" s="7"/>
      <c r="M180" s="7"/>
      <c r="N180" s="7"/>
      <c r="O180" s="7"/>
      <c r="P180" s="7" t="s">
        <v>304</v>
      </c>
      <c r="Q180" s="7" t="s">
        <v>62</v>
      </c>
      <c r="R180" s="7" t="s">
        <v>3323</v>
      </c>
      <c r="S180" s="7"/>
      <c r="T180" s="7" t="s">
        <v>187</v>
      </c>
      <c r="U180" s="7"/>
      <c r="V180" s="7"/>
      <c r="W180" s="7" t="n">
        <v>123</v>
      </c>
      <c r="X180" s="7" t="n">
        <v>128</v>
      </c>
      <c r="Y180" s="7" t="n">
        <v>5</v>
      </c>
      <c r="Z180" s="7" t="s">
        <v>3324</v>
      </c>
      <c r="AA180" s="9" t="s">
        <v>3325</v>
      </c>
      <c r="AB180" s="7" t="s">
        <v>3326</v>
      </c>
      <c r="AC180" s="7" t="s">
        <v>3327</v>
      </c>
      <c r="AD180" s="7" t="s">
        <v>3328</v>
      </c>
      <c r="AE180" s="7" t="s">
        <v>3329</v>
      </c>
      <c r="AF180" s="7"/>
      <c r="AG180" s="7"/>
      <c r="AH180" s="7"/>
      <c r="AI180" s="7"/>
      <c r="AJ180" s="10" t="s">
        <v>3330</v>
      </c>
      <c r="AK180" s="7" t="s">
        <v>3331</v>
      </c>
      <c r="AL180" s="7" t="s">
        <v>3332</v>
      </c>
      <c r="AM180" s="7" t="s">
        <v>3333</v>
      </c>
      <c r="AN180" s="7"/>
      <c r="AO180" s="7" t="s">
        <v>2241</v>
      </c>
      <c r="AP180" s="7" t="s">
        <v>3334</v>
      </c>
      <c r="AQ180" s="7" t="s">
        <v>3335</v>
      </c>
      <c r="AR180" s="7" t="s">
        <v>3336</v>
      </c>
      <c r="AS180" s="7" t="n">
        <v>203096</v>
      </c>
      <c r="AT180" s="7"/>
      <c r="AU180" s="7" t="s">
        <v>3337</v>
      </c>
      <c r="AV180" s="7"/>
      <c r="AW180" s="7"/>
      <c r="AX180" s="7" t="s">
        <v>3338</v>
      </c>
      <c r="AY180" s="7" t="s">
        <v>75</v>
      </c>
      <c r="AZ180" s="7"/>
      <c r="BA180" s="7" t="s">
        <v>76</v>
      </c>
      <c r="BB180" s="7" t="s">
        <v>3339</v>
      </c>
      <c r="BC180" s="7"/>
      <c r="BD180" s="7"/>
      <c r="BE180" s="7"/>
      <c r="BF180" s="7"/>
      <c r="BG180" s="7"/>
      <c r="BH180" s="7"/>
      <c r="BI180" s="7"/>
    </row>
    <row r="181" customFormat="false" ht="14.25" hidden="false" customHeight="true" outlineLevel="0" collapsed="false">
      <c r="A181" s="7" t="s">
        <v>3340</v>
      </c>
      <c r="B181" s="7" t="s">
        <v>3341</v>
      </c>
      <c r="C181" s="7" t="n">
        <v>56048390800</v>
      </c>
      <c r="D181" s="7" t="s">
        <v>3342</v>
      </c>
      <c r="E181" s="7" t="n">
        <v>2024</v>
      </c>
      <c r="F181" s="8" t="s">
        <v>3343</v>
      </c>
      <c r="G181" s="6" t="s">
        <v>1686</v>
      </c>
      <c r="H181" s="7"/>
      <c r="I181" s="7"/>
      <c r="J181" s="7"/>
      <c r="K181" s="7"/>
      <c r="L181" s="7"/>
      <c r="M181" s="7"/>
      <c r="N181" s="7"/>
      <c r="O181" s="7"/>
      <c r="P181" s="7" t="s">
        <v>304</v>
      </c>
      <c r="Q181" s="7" t="s">
        <v>62</v>
      </c>
      <c r="R181" s="7" t="s">
        <v>3344</v>
      </c>
      <c r="S181" s="7"/>
      <c r="T181" s="7" t="s">
        <v>187</v>
      </c>
      <c r="U181" s="7"/>
      <c r="V181" s="7"/>
      <c r="W181" s="7" t="n">
        <v>131</v>
      </c>
      <c r="X181" s="7" t="n">
        <v>136</v>
      </c>
      <c r="Y181" s="7" t="n">
        <v>5</v>
      </c>
      <c r="Z181" s="7" t="s">
        <v>3345</v>
      </c>
      <c r="AA181" s="9" t="s">
        <v>3346</v>
      </c>
      <c r="AB181" s="7" t="s">
        <v>3347</v>
      </c>
      <c r="AC181" s="7" t="s">
        <v>3348</v>
      </c>
      <c r="AD181" s="7" t="s">
        <v>3349</v>
      </c>
      <c r="AE181" s="7" t="s">
        <v>3350</v>
      </c>
      <c r="AF181" s="7"/>
      <c r="AG181" s="7"/>
      <c r="AH181" s="7"/>
      <c r="AI181" s="7"/>
      <c r="AJ181" s="10"/>
      <c r="AK181" s="7"/>
      <c r="AL181" s="7" t="s">
        <v>3351</v>
      </c>
      <c r="AM181" s="7"/>
      <c r="AN181" s="7"/>
      <c r="AO181" s="7" t="s">
        <v>3352</v>
      </c>
      <c r="AP181" s="7" t="s">
        <v>3353</v>
      </c>
      <c r="AQ181" s="7" t="s">
        <v>3354</v>
      </c>
      <c r="AR181" s="7" t="s">
        <v>3355</v>
      </c>
      <c r="AS181" s="7" t="n">
        <v>201453</v>
      </c>
      <c r="AT181" s="7"/>
      <c r="AU181" s="7" t="s">
        <v>3356</v>
      </c>
      <c r="AV181" s="7"/>
      <c r="AW181" s="7"/>
      <c r="AX181" s="7" t="s">
        <v>3357</v>
      </c>
      <c r="AY181" s="7" t="s">
        <v>75</v>
      </c>
      <c r="AZ181" s="7"/>
      <c r="BA181" s="7" t="s">
        <v>76</v>
      </c>
      <c r="BB181" s="7" t="s">
        <v>3358</v>
      </c>
      <c r="BC181" s="7"/>
      <c r="BD181" s="7"/>
      <c r="BE181" s="7"/>
      <c r="BF181" s="7"/>
      <c r="BG181" s="7"/>
      <c r="BH181" s="7"/>
      <c r="BI181" s="7"/>
    </row>
    <row r="182" customFormat="false" ht="14.25" hidden="false" customHeight="true" outlineLevel="0" collapsed="false">
      <c r="A182" s="7" t="s">
        <v>3359</v>
      </c>
      <c r="B182" s="7" t="s">
        <v>3360</v>
      </c>
      <c r="C182" s="7" t="s">
        <v>3361</v>
      </c>
      <c r="D182" s="7" t="s">
        <v>3362</v>
      </c>
      <c r="E182" s="7" t="n">
        <v>2024</v>
      </c>
      <c r="F182" s="8" t="s">
        <v>3363</v>
      </c>
      <c r="G182" s="6" t="s">
        <v>713</v>
      </c>
      <c r="H182" s="7"/>
      <c r="I182" s="7"/>
      <c r="J182" s="7"/>
      <c r="K182" s="7"/>
      <c r="L182" s="7"/>
      <c r="M182" s="7"/>
      <c r="N182" s="7"/>
      <c r="O182" s="7"/>
      <c r="P182" s="7" t="s">
        <v>304</v>
      </c>
      <c r="Q182" s="7" t="s">
        <v>62</v>
      </c>
      <c r="R182" s="7" t="s">
        <v>3364</v>
      </c>
      <c r="S182" s="7"/>
      <c r="T182" s="7" t="s">
        <v>3365</v>
      </c>
      <c r="U182" s="7"/>
      <c r="V182" s="7"/>
      <c r="W182" s="7" t="n">
        <v>451</v>
      </c>
      <c r="X182" s="7" t="n">
        <v>459</v>
      </c>
      <c r="Y182" s="7" t="n">
        <v>8</v>
      </c>
      <c r="Z182" s="7" t="s">
        <v>3366</v>
      </c>
      <c r="AA182" s="9" t="s">
        <v>3367</v>
      </c>
      <c r="AB182" s="7" t="s">
        <v>3368</v>
      </c>
      <c r="AC182" s="7" t="s">
        <v>3369</v>
      </c>
      <c r="AD182" s="7" t="s">
        <v>3370</v>
      </c>
      <c r="AE182" s="7" t="s">
        <v>3371</v>
      </c>
      <c r="AF182" s="7"/>
      <c r="AG182" s="7"/>
      <c r="AH182" s="7"/>
      <c r="AI182" s="7"/>
      <c r="AJ182" s="10" t="s">
        <v>3372</v>
      </c>
      <c r="AK182" s="7" t="s">
        <v>3373</v>
      </c>
      <c r="AL182" s="7" t="s">
        <v>3374</v>
      </c>
      <c r="AM182" s="7"/>
      <c r="AN182" s="7" t="s">
        <v>3375</v>
      </c>
      <c r="AO182" s="7"/>
      <c r="AP182" s="7" t="s">
        <v>3376</v>
      </c>
      <c r="AQ182" s="7" t="s">
        <v>3377</v>
      </c>
      <c r="AR182" s="7" t="s">
        <v>3378</v>
      </c>
      <c r="AS182" s="7" t="n">
        <v>204100</v>
      </c>
      <c r="AT182" s="7"/>
      <c r="AU182" s="7" t="s">
        <v>3379</v>
      </c>
      <c r="AV182" s="7"/>
      <c r="AW182" s="7"/>
      <c r="AX182" s="7" t="s">
        <v>3380</v>
      </c>
      <c r="AY182" s="7" t="s">
        <v>75</v>
      </c>
      <c r="AZ182" s="7"/>
      <c r="BA182" s="7" t="s">
        <v>76</v>
      </c>
      <c r="BB182" s="7" t="s">
        <v>3381</v>
      </c>
      <c r="BC182" s="7"/>
      <c r="BD182" s="7"/>
      <c r="BE182" s="7"/>
      <c r="BF182" s="7"/>
      <c r="BG182" s="7"/>
      <c r="BH182" s="7"/>
      <c r="BI182" s="7"/>
    </row>
    <row r="183" customFormat="false" ht="14.25" hidden="false" customHeight="true" outlineLevel="0" collapsed="false">
      <c r="A183" s="7" t="s">
        <v>3382</v>
      </c>
      <c r="B183" s="7" t="s">
        <v>3383</v>
      </c>
      <c r="C183" s="7" t="s">
        <v>3384</v>
      </c>
      <c r="D183" s="7" t="s">
        <v>3385</v>
      </c>
      <c r="E183" s="7" t="n">
        <v>2024</v>
      </c>
      <c r="F183" s="8" t="s">
        <v>3386</v>
      </c>
      <c r="G183" s="6" t="s">
        <v>290</v>
      </c>
      <c r="H183" s="7"/>
      <c r="I183" s="7"/>
      <c r="J183" s="7"/>
      <c r="K183" s="7"/>
      <c r="L183" s="7"/>
      <c r="M183" s="7"/>
      <c r="N183" s="7"/>
      <c r="O183" s="7"/>
      <c r="P183" s="7" t="s">
        <v>304</v>
      </c>
      <c r="Q183" s="7" t="s">
        <v>62</v>
      </c>
      <c r="R183" s="7" t="s">
        <v>3387</v>
      </c>
      <c r="S183" s="7"/>
      <c r="T183" s="7" t="s">
        <v>187</v>
      </c>
      <c r="U183" s="7"/>
      <c r="V183" s="7"/>
      <c r="W183" s="7" t="n">
        <v>499</v>
      </c>
      <c r="X183" s="7" t="n">
        <v>504</v>
      </c>
      <c r="Y183" s="7" t="n">
        <v>5</v>
      </c>
      <c r="Z183" s="7" t="s">
        <v>3388</v>
      </c>
      <c r="AA183" s="9" t="s">
        <v>3389</v>
      </c>
      <c r="AB183" s="7" t="s">
        <v>3390</v>
      </c>
      <c r="AC183" s="7" t="s">
        <v>3391</v>
      </c>
      <c r="AD183" s="7" t="s">
        <v>3392</v>
      </c>
      <c r="AE183" s="7" t="s">
        <v>3393</v>
      </c>
      <c r="AF183" s="7"/>
      <c r="AG183" s="7"/>
      <c r="AH183" s="7"/>
      <c r="AI183" s="7"/>
      <c r="AJ183" s="10"/>
      <c r="AK183" s="7"/>
      <c r="AL183" s="7" t="s">
        <v>3394</v>
      </c>
      <c r="AM183" s="7"/>
      <c r="AN183" s="7"/>
      <c r="AO183" s="7"/>
      <c r="AP183" s="7" t="s">
        <v>3395</v>
      </c>
      <c r="AQ183" s="7" t="s">
        <v>3396</v>
      </c>
      <c r="AR183" s="7" t="s">
        <v>363</v>
      </c>
      <c r="AS183" s="7" t="n">
        <v>199753</v>
      </c>
      <c r="AT183" s="7"/>
      <c r="AU183" s="7" t="s">
        <v>3397</v>
      </c>
      <c r="AV183" s="7"/>
      <c r="AW183" s="7"/>
      <c r="AX183" s="7" t="s">
        <v>3398</v>
      </c>
      <c r="AY183" s="7" t="s">
        <v>75</v>
      </c>
      <c r="AZ183" s="7"/>
      <c r="BA183" s="7" t="s">
        <v>76</v>
      </c>
      <c r="BB183" s="7" t="s">
        <v>3399</v>
      </c>
      <c r="BC183" s="7"/>
      <c r="BD183" s="7"/>
      <c r="BE183" s="7"/>
      <c r="BF183" s="7"/>
      <c r="BG183" s="7"/>
      <c r="BH183" s="7"/>
      <c r="BI183" s="7"/>
    </row>
    <row r="184" customFormat="false" ht="14.25" hidden="false" customHeight="true" outlineLevel="0" collapsed="false">
      <c r="A184" s="7" t="s">
        <v>3400</v>
      </c>
      <c r="B184" s="7" t="s">
        <v>3401</v>
      </c>
      <c r="C184" s="7" t="s">
        <v>3402</v>
      </c>
      <c r="D184" s="7" t="s">
        <v>3403</v>
      </c>
      <c r="E184" s="7" t="n">
        <v>2024</v>
      </c>
      <c r="F184" s="8" t="s">
        <v>3404</v>
      </c>
      <c r="G184" s="6" t="s">
        <v>713</v>
      </c>
      <c r="H184" s="7"/>
      <c r="I184" s="7"/>
      <c r="J184" s="7"/>
      <c r="K184" s="7"/>
      <c r="L184" s="7"/>
      <c r="M184" s="7"/>
      <c r="N184" s="7"/>
      <c r="O184" s="7"/>
      <c r="P184" s="7" t="s">
        <v>304</v>
      </c>
      <c r="Q184" s="7" t="s">
        <v>62</v>
      </c>
      <c r="R184" s="7" t="s">
        <v>3405</v>
      </c>
      <c r="S184" s="7"/>
      <c r="T184" s="7" t="s">
        <v>187</v>
      </c>
      <c r="U184" s="7"/>
      <c r="V184" s="7"/>
      <c r="W184" s="7" t="n">
        <v>88</v>
      </c>
      <c r="X184" s="7" t="n">
        <v>94</v>
      </c>
      <c r="Y184" s="7" t="n">
        <v>6</v>
      </c>
      <c r="Z184" s="7" t="s">
        <v>3406</v>
      </c>
      <c r="AA184" s="9" t="s">
        <v>3407</v>
      </c>
      <c r="AB184" s="7" t="s">
        <v>3408</v>
      </c>
      <c r="AC184" s="7" t="s">
        <v>3409</v>
      </c>
      <c r="AD184" s="7" t="s">
        <v>3410</v>
      </c>
      <c r="AE184" s="7" t="s">
        <v>3411</v>
      </c>
      <c r="AF184" s="7"/>
      <c r="AG184" s="7"/>
      <c r="AH184" s="7"/>
      <c r="AI184" s="7"/>
      <c r="AJ184" s="10"/>
      <c r="AK184" s="7"/>
      <c r="AL184" s="7" t="s">
        <v>3412</v>
      </c>
      <c r="AM184" s="7"/>
      <c r="AN184" s="7"/>
      <c r="AO184" s="7"/>
      <c r="AP184" s="7" t="s">
        <v>3413</v>
      </c>
      <c r="AQ184" s="7" t="s">
        <v>3414</v>
      </c>
      <c r="AR184" s="7" t="s">
        <v>3415</v>
      </c>
      <c r="AS184" s="7" t="n">
        <v>199146</v>
      </c>
      <c r="AT184" s="7"/>
      <c r="AU184" s="7" t="s">
        <v>3416</v>
      </c>
      <c r="AV184" s="7"/>
      <c r="AW184" s="7"/>
      <c r="AX184" s="7" t="s">
        <v>3417</v>
      </c>
      <c r="AY184" s="7" t="s">
        <v>75</v>
      </c>
      <c r="AZ184" s="7"/>
      <c r="BA184" s="7" t="s">
        <v>76</v>
      </c>
      <c r="BB184" s="7" t="s">
        <v>3418</v>
      </c>
      <c r="BC184" s="7"/>
      <c r="BD184" s="7"/>
      <c r="BE184" s="7"/>
      <c r="BF184" s="7"/>
      <c r="BG184" s="7"/>
      <c r="BH184" s="7"/>
      <c r="BI184" s="7"/>
    </row>
    <row r="185" customFormat="false" ht="14.25" hidden="false" customHeight="true" outlineLevel="0" collapsed="false">
      <c r="A185" s="7" t="s">
        <v>3419</v>
      </c>
      <c r="B185" s="7" t="s">
        <v>3420</v>
      </c>
      <c r="C185" s="7" t="s">
        <v>3421</v>
      </c>
      <c r="D185" s="7" t="s">
        <v>3422</v>
      </c>
      <c r="E185" s="7" t="n">
        <v>2024</v>
      </c>
      <c r="F185" s="8" t="s">
        <v>3423</v>
      </c>
      <c r="G185" s="6" t="s">
        <v>3424</v>
      </c>
      <c r="H185" s="7"/>
      <c r="I185" s="7"/>
      <c r="J185" s="7"/>
      <c r="K185" s="7"/>
      <c r="L185" s="7"/>
      <c r="M185" s="7"/>
      <c r="N185" s="7"/>
      <c r="O185" s="7"/>
      <c r="P185" s="7" t="s">
        <v>304</v>
      </c>
      <c r="Q185" s="7" t="s">
        <v>62</v>
      </c>
      <c r="R185" s="7" t="s">
        <v>3425</v>
      </c>
      <c r="S185" s="7"/>
      <c r="T185" s="7" t="s">
        <v>187</v>
      </c>
      <c r="U185" s="7"/>
      <c r="V185" s="7"/>
      <c r="W185" s="7" t="n">
        <v>1400</v>
      </c>
      <c r="X185" s="7" t="n">
        <v>1403</v>
      </c>
      <c r="Y185" s="7" t="n">
        <v>3</v>
      </c>
      <c r="Z185" s="7" t="s">
        <v>3426</v>
      </c>
      <c r="AA185" s="9" t="s">
        <v>3427</v>
      </c>
      <c r="AB185" s="7" t="s">
        <v>3428</v>
      </c>
      <c r="AC185" s="7" t="s">
        <v>3429</v>
      </c>
      <c r="AD185" s="7" t="s">
        <v>3430</v>
      </c>
      <c r="AE185" s="7" t="s">
        <v>3431</v>
      </c>
      <c r="AF185" s="7"/>
      <c r="AG185" s="7"/>
      <c r="AH185" s="7"/>
      <c r="AI185" s="7"/>
      <c r="AJ185" s="10"/>
      <c r="AK185" s="7"/>
      <c r="AL185" s="7" t="s">
        <v>3432</v>
      </c>
      <c r="AM185" s="7"/>
      <c r="AN185" s="7"/>
      <c r="AO185" s="7"/>
      <c r="AP185" s="7" t="s">
        <v>3433</v>
      </c>
      <c r="AQ185" s="7" t="s">
        <v>3434</v>
      </c>
      <c r="AR185" s="7" t="s">
        <v>3435</v>
      </c>
      <c r="AS185" s="7" t="n">
        <v>198772</v>
      </c>
      <c r="AT185" s="7"/>
      <c r="AU185" s="7" t="s">
        <v>3436</v>
      </c>
      <c r="AV185" s="7"/>
      <c r="AW185" s="7"/>
      <c r="AX185" s="7" t="s">
        <v>3437</v>
      </c>
      <c r="AY185" s="7" t="s">
        <v>75</v>
      </c>
      <c r="AZ185" s="7"/>
      <c r="BA185" s="7" t="s">
        <v>76</v>
      </c>
      <c r="BB185" s="7" t="s">
        <v>3438</v>
      </c>
      <c r="BC185" s="7"/>
      <c r="BD185" s="7"/>
      <c r="BE185" s="7"/>
      <c r="BF185" s="7"/>
      <c r="BG185" s="7"/>
      <c r="BH185" s="7"/>
      <c r="BI185" s="7"/>
    </row>
    <row r="186" customFormat="false" ht="14.25" hidden="false" customHeight="true" outlineLevel="0" collapsed="false">
      <c r="A186" s="7" t="s">
        <v>1563</v>
      </c>
      <c r="B186" s="7" t="s">
        <v>1564</v>
      </c>
      <c r="C186" s="7" t="s">
        <v>1565</v>
      </c>
      <c r="D186" s="7" t="s">
        <v>3439</v>
      </c>
      <c r="E186" s="7" t="n">
        <v>2024</v>
      </c>
      <c r="F186" s="8" t="s">
        <v>3440</v>
      </c>
      <c r="G186" s="6" t="s">
        <v>713</v>
      </c>
      <c r="H186" s="7"/>
      <c r="I186" s="7"/>
      <c r="J186" s="7"/>
      <c r="K186" s="7"/>
      <c r="L186" s="7"/>
      <c r="M186" s="7"/>
      <c r="N186" s="7"/>
      <c r="O186" s="7"/>
      <c r="P186" s="7" t="s">
        <v>304</v>
      </c>
      <c r="Q186" s="7" t="s">
        <v>62</v>
      </c>
      <c r="R186" s="7" t="s">
        <v>3441</v>
      </c>
      <c r="S186" s="7"/>
      <c r="T186" s="7" t="s">
        <v>187</v>
      </c>
      <c r="U186" s="7"/>
      <c r="V186" s="7"/>
      <c r="W186" s="7"/>
      <c r="X186" s="7"/>
      <c r="Y186" s="7"/>
      <c r="Z186" s="7" t="s">
        <v>3442</v>
      </c>
      <c r="AA186" s="9" t="s">
        <v>3443</v>
      </c>
      <c r="AB186" s="7" t="s">
        <v>3444</v>
      </c>
      <c r="AC186" s="7" t="s">
        <v>3445</v>
      </c>
      <c r="AD186" s="7" t="s">
        <v>3446</v>
      </c>
      <c r="AE186" s="7" t="s">
        <v>3447</v>
      </c>
      <c r="AF186" s="7"/>
      <c r="AG186" s="7"/>
      <c r="AH186" s="7"/>
      <c r="AI186" s="7"/>
      <c r="AJ186" s="10"/>
      <c r="AK186" s="7"/>
      <c r="AL186" s="7" t="s">
        <v>3448</v>
      </c>
      <c r="AM186" s="7" t="s">
        <v>3449</v>
      </c>
      <c r="AN186" s="7"/>
      <c r="AO186" s="7" t="s">
        <v>3450</v>
      </c>
      <c r="AP186" s="7" t="s">
        <v>3441</v>
      </c>
      <c r="AQ186" s="7" t="s">
        <v>3451</v>
      </c>
      <c r="AR186" s="7" t="s">
        <v>3452</v>
      </c>
      <c r="AS186" s="7" t="n">
        <v>203166</v>
      </c>
      <c r="AT186" s="7"/>
      <c r="AU186" s="7" t="s">
        <v>3453</v>
      </c>
      <c r="AV186" s="7"/>
      <c r="AW186" s="7"/>
      <c r="AX186" s="7" t="s">
        <v>3454</v>
      </c>
      <c r="AY186" s="7" t="s">
        <v>75</v>
      </c>
      <c r="AZ186" s="7"/>
      <c r="BA186" s="7" t="s">
        <v>76</v>
      </c>
      <c r="BB186" s="7" t="s">
        <v>3455</v>
      </c>
      <c r="BC186" s="7"/>
      <c r="BD186" s="7"/>
      <c r="BE186" s="7"/>
      <c r="BF186" s="7"/>
      <c r="BG186" s="7"/>
      <c r="BH186" s="7"/>
      <c r="BI186" s="7"/>
    </row>
    <row r="187" customFormat="false" ht="14.25" hidden="false" customHeight="true" outlineLevel="0" collapsed="false">
      <c r="A187" s="7" t="s">
        <v>3456</v>
      </c>
      <c r="B187" s="7" t="s">
        <v>3457</v>
      </c>
      <c r="C187" s="7" t="s">
        <v>3458</v>
      </c>
      <c r="D187" s="7" t="s">
        <v>3459</v>
      </c>
      <c r="E187" s="7" t="n">
        <v>2024</v>
      </c>
      <c r="F187" s="8" t="s">
        <v>3460</v>
      </c>
      <c r="G187" s="6" t="s">
        <v>713</v>
      </c>
      <c r="H187" s="7"/>
      <c r="I187" s="7"/>
      <c r="J187" s="7"/>
      <c r="K187" s="7"/>
      <c r="L187" s="7"/>
      <c r="M187" s="7"/>
      <c r="N187" s="7"/>
      <c r="O187" s="7"/>
      <c r="P187" s="7" t="s">
        <v>304</v>
      </c>
      <c r="Q187" s="7" t="s">
        <v>62</v>
      </c>
      <c r="R187" s="7" t="s">
        <v>2425</v>
      </c>
      <c r="S187" s="7"/>
      <c r="T187" s="7" t="s">
        <v>187</v>
      </c>
      <c r="U187" s="7"/>
      <c r="V187" s="7"/>
      <c r="W187" s="7"/>
      <c r="X187" s="7"/>
      <c r="Y187" s="7"/>
      <c r="Z187" s="7" t="s">
        <v>3461</v>
      </c>
      <c r="AA187" s="9" t="s">
        <v>3462</v>
      </c>
      <c r="AB187" s="7" t="s">
        <v>3463</v>
      </c>
      <c r="AC187" s="7" t="s">
        <v>3464</v>
      </c>
      <c r="AD187" s="7" t="s">
        <v>3465</v>
      </c>
      <c r="AE187" s="7"/>
      <c r="AF187" s="7"/>
      <c r="AG187" s="7"/>
      <c r="AH187" s="7"/>
      <c r="AI187" s="7"/>
      <c r="AJ187" s="10"/>
      <c r="AK187" s="7"/>
      <c r="AL187" s="7" t="s">
        <v>3466</v>
      </c>
      <c r="AM187" s="7" t="s">
        <v>3467</v>
      </c>
      <c r="AN187" s="7"/>
      <c r="AO187" s="7"/>
      <c r="AP187" s="7" t="s">
        <v>2435</v>
      </c>
      <c r="AQ187" s="7" t="s">
        <v>2436</v>
      </c>
      <c r="AR187" s="7" t="s">
        <v>2437</v>
      </c>
      <c r="AS187" s="7" t="n">
        <v>203877</v>
      </c>
      <c r="AT187" s="7"/>
      <c r="AU187" s="7" t="s">
        <v>2438</v>
      </c>
      <c r="AV187" s="7"/>
      <c r="AW187" s="7"/>
      <c r="AX187" s="7" t="s">
        <v>2439</v>
      </c>
      <c r="AY187" s="7" t="s">
        <v>75</v>
      </c>
      <c r="AZ187" s="7"/>
      <c r="BA187" s="7" t="s">
        <v>76</v>
      </c>
      <c r="BB187" s="7" t="s">
        <v>3468</v>
      </c>
      <c r="BC187" s="7"/>
      <c r="BD187" s="7"/>
      <c r="BE187" s="7"/>
      <c r="BF187" s="7"/>
      <c r="BG187" s="7"/>
      <c r="BH187" s="7"/>
      <c r="BI187" s="7"/>
    </row>
    <row r="188" customFormat="false" ht="14.25" hidden="false" customHeight="true" outlineLevel="0" collapsed="false">
      <c r="A188" s="7" t="s">
        <v>3469</v>
      </c>
      <c r="B188" s="7" t="s">
        <v>3470</v>
      </c>
      <c r="C188" s="7" t="s">
        <v>3471</v>
      </c>
      <c r="D188" s="7" t="s">
        <v>3472</v>
      </c>
      <c r="E188" s="7" t="n">
        <v>2024</v>
      </c>
      <c r="F188" s="8" t="s">
        <v>3473</v>
      </c>
      <c r="G188" s="6" t="s">
        <v>713</v>
      </c>
      <c r="H188" s="7"/>
      <c r="I188" s="7"/>
      <c r="J188" s="7"/>
      <c r="K188" s="7"/>
      <c r="L188" s="7"/>
      <c r="M188" s="7"/>
      <c r="N188" s="7"/>
      <c r="O188" s="7"/>
      <c r="P188" s="7" t="s">
        <v>304</v>
      </c>
      <c r="Q188" s="7" t="s">
        <v>62</v>
      </c>
      <c r="R188" s="7" t="s">
        <v>3162</v>
      </c>
      <c r="S188" s="7" t="n">
        <v>12998</v>
      </c>
      <c r="T188" s="7" t="s">
        <v>3163</v>
      </c>
      <c r="U188" s="7"/>
      <c r="V188" s="7" t="n">
        <v>1299813</v>
      </c>
      <c r="W188" s="7"/>
      <c r="X188" s="7"/>
      <c r="Y188" s="7"/>
      <c r="Z188" s="7" t="s">
        <v>3474</v>
      </c>
      <c r="AA188" s="9" t="s">
        <v>3475</v>
      </c>
      <c r="AB188" s="7" t="s">
        <v>3476</v>
      </c>
      <c r="AC188" s="7" t="s">
        <v>3477</v>
      </c>
      <c r="AD188" s="7" t="s">
        <v>3478</v>
      </c>
      <c r="AE188" s="7" t="s">
        <v>3479</v>
      </c>
      <c r="AF188" s="7"/>
      <c r="AG188" s="7"/>
      <c r="AH188" s="7"/>
      <c r="AI188" s="7"/>
      <c r="AJ188" s="10"/>
      <c r="AK188" s="7"/>
      <c r="AL188" s="7" t="s">
        <v>3480</v>
      </c>
      <c r="AM188" s="7"/>
      <c r="AN188" s="7" t="s">
        <v>3481</v>
      </c>
      <c r="AO188" s="7" t="s">
        <v>3173</v>
      </c>
      <c r="AP188" s="7" t="s">
        <v>3482</v>
      </c>
      <c r="AQ188" s="7" t="s">
        <v>3483</v>
      </c>
      <c r="AR188" s="7" t="s">
        <v>3484</v>
      </c>
      <c r="AS188" s="7" t="n">
        <v>200977</v>
      </c>
      <c r="AT188" s="7" t="s">
        <v>3177</v>
      </c>
      <c r="AU188" s="7" t="s">
        <v>3485</v>
      </c>
      <c r="AV188" s="7" t="s">
        <v>3179</v>
      </c>
      <c r="AW188" s="7"/>
      <c r="AX188" s="7" t="s">
        <v>3180</v>
      </c>
      <c r="AY188" s="7" t="s">
        <v>75</v>
      </c>
      <c r="AZ188" s="7"/>
      <c r="BA188" s="7" t="s">
        <v>76</v>
      </c>
      <c r="BB188" s="7" t="s">
        <v>3486</v>
      </c>
      <c r="BC188" s="7"/>
      <c r="BD188" s="7"/>
      <c r="BE188" s="7"/>
      <c r="BF188" s="7"/>
      <c r="BG188" s="7"/>
      <c r="BH188" s="7"/>
      <c r="BI188" s="7"/>
    </row>
    <row r="189" customFormat="false" ht="14.25" hidden="false" customHeight="true" outlineLevel="0" collapsed="false">
      <c r="A189" s="7" t="s">
        <v>3487</v>
      </c>
      <c r="B189" s="7" t="s">
        <v>3488</v>
      </c>
      <c r="C189" s="7" t="s">
        <v>3489</v>
      </c>
      <c r="D189" s="7" t="s">
        <v>3490</v>
      </c>
      <c r="E189" s="7" t="n">
        <v>2024</v>
      </c>
      <c r="F189" s="8" t="s">
        <v>3491</v>
      </c>
      <c r="G189" s="6" t="s">
        <v>713</v>
      </c>
      <c r="H189" s="7"/>
      <c r="I189" s="7"/>
      <c r="J189" s="7"/>
      <c r="K189" s="7"/>
      <c r="L189" s="7"/>
      <c r="M189" s="7"/>
      <c r="N189" s="7"/>
      <c r="O189" s="7"/>
      <c r="P189" s="7" t="s">
        <v>304</v>
      </c>
      <c r="Q189" s="7" t="s">
        <v>62</v>
      </c>
      <c r="R189" s="7" t="s">
        <v>3492</v>
      </c>
      <c r="S189" s="7"/>
      <c r="T189" s="7" t="s">
        <v>187</v>
      </c>
      <c r="U189" s="7"/>
      <c r="V189" s="7"/>
      <c r="W189" s="7" t="n">
        <v>1630</v>
      </c>
      <c r="X189" s="7" t="n">
        <v>1634</v>
      </c>
      <c r="Y189" s="7" t="n">
        <v>4</v>
      </c>
      <c r="Z189" s="7" t="s">
        <v>3493</v>
      </c>
      <c r="AA189" s="9" t="s">
        <v>3494</v>
      </c>
      <c r="AB189" s="7" t="s">
        <v>3495</v>
      </c>
      <c r="AC189" s="7" t="s">
        <v>3496</v>
      </c>
      <c r="AD189" s="7" t="s">
        <v>3497</v>
      </c>
      <c r="AE189" s="7" t="s">
        <v>3498</v>
      </c>
      <c r="AF189" s="7"/>
      <c r="AG189" s="7"/>
      <c r="AH189" s="7"/>
      <c r="AI189" s="7"/>
      <c r="AJ189" s="10"/>
      <c r="AK189" s="7"/>
      <c r="AL189" s="7" t="s">
        <v>3499</v>
      </c>
      <c r="AM189" s="7"/>
      <c r="AN189" s="7"/>
      <c r="AO189" s="7"/>
      <c r="AP189" s="7" t="s">
        <v>3492</v>
      </c>
      <c r="AQ189" s="7" t="s">
        <v>3500</v>
      </c>
      <c r="AR189" s="7" t="s">
        <v>2584</v>
      </c>
      <c r="AS189" s="7" t="n">
        <v>203503</v>
      </c>
      <c r="AT189" s="7"/>
      <c r="AU189" s="7" t="s">
        <v>3501</v>
      </c>
      <c r="AV189" s="7"/>
      <c r="AW189" s="7"/>
      <c r="AX189" s="7" t="s">
        <v>3502</v>
      </c>
      <c r="AY189" s="7" t="s">
        <v>75</v>
      </c>
      <c r="AZ189" s="7"/>
      <c r="BA189" s="7" t="s">
        <v>76</v>
      </c>
      <c r="BB189" s="7" t="s">
        <v>3503</v>
      </c>
      <c r="BC189" s="7"/>
      <c r="BD189" s="7"/>
      <c r="BE189" s="7"/>
      <c r="BF189" s="7"/>
      <c r="BG189" s="7"/>
      <c r="BH189" s="7"/>
      <c r="BI189" s="7"/>
    </row>
    <row r="190" customFormat="false" ht="14.25" hidden="false" customHeight="true" outlineLevel="0" collapsed="false">
      <c r="A190" s="7" t="s">
        <v>3504</v>
      </c>
      <c r="B190" s="7" t="s">
        <v>3505</v>
      </c>
      <c r="C190" s="7" t="s">
        <v>3506</v>
      </c>
      <c r="D190" s="7" t="s">
        <v>3507</v>
      </c>
      <c r="E190" s="7" t="n">
        <v>2024</v>
      </c>
      <c r="F190" s="8" t="s">
        <v>3508</v>
      </c>
      <c r="G190" s="6" t="s">
        <v>713</v>
      </c>
      <c r="H190" s="7"/>
      <c r="I190" s="7"/>
      <c r="J190" s="7"/>
      <c r="K190" s="7"/>
      <c r="L190" s="7"/>
      <c r="M190" s="7"/>
      <c r="N190" s="7"/>
      <c r="O190" s="7"/>
      <c r="P190" s="7" t="s">
        <v>304</v>
      </c>
      <c r="Q190" s="7" t="s">
        <v>62</v>
      </c>
      <c r="R190" s="7" t="s">
        <v>2190</v>
      </c>
      <c r="S190" s="7"/>
      <c r="T190" s="7" t="s">
        <v>187</v>
      </c>
      <c r="U190" s="7"/>
      <c r="V190" s="7"/>
      <c r="W190" s="7"/>
      <c r="X190" s="7"/>
      <c r="Y190" s="7"/>
      <c r="Z190" s="7" t="s">
        <v>3509</v>
      </c>
      <c r="AA190" s="9" t="s">
        <v>3510</v>
      </c>
      <c r="AB190" s="7" t="s">
        <v>3511</v>
      </c>
      <c r="AC190" s="7" t="s">
        <v>3512</v>
      </c>
      <c r="AD190" s="7" t="s">
        <v>3513</v>
      </c>
      <c r="AE190" s="7" t="s">
        <v>3514</v>
      </c>
      <c r="AF190" s="7"/>
      <c r="AG190" s="7"/>
      <c r="AH190" s="7"/>
      <c r="AI190" s="7"/>
      <c r="AJ190" s="10"/>
      <c r="AK190" s="7"/>
      <c r="AL190" s="7" t="s">
        <v>3515</v>
      </c>
      <c r="AM190" s="7" t="s">
        <v>3516</v>
      </c>
      <c r="AN190" s="7"/>
      <c r="AO190" s="7"/>
      <c r="AP190" s="7" t="s">
        <v>2199</v>
      </c>
      <c r="AQ190" s="7" t="s">
        <v>2200</v>
      </c>
      <c r="AR190" s="7" t="s">
        <v>2201</v>
      </c>
      <c r="AS190" s="7" t="n">
        <v>199351</v>
      </c>
      <c r="AT190" s="7"/>
      <c r="AU190" s="7" t="s">
        <v>2202</v>
      </c>
      <c r="AV190" s="7"/>
      <c r="AW190" s="7"/>
      <c r="AX190" s="7" t="s">
        <v>2203</v>
      </c>
      <c r="AY190" s="7" t="s">
        <v>75</v>
      </c>
      <c r="AZ190" s="7"/>
      <c r="BA190" s="7" t="s">
        <v>76</v>
      </c>
      <c r="BB190" s="7" t="s">
        <v>3517</v>
      </c>
      <c r="BC190" s="7"/>
      <c r="BD190" s="7"/>
      <c r="BE190" s="7"/>
      <c r="BF190" s="7"/>
      <c r="BG190" s="7"/>
      <c r="BH190" s="7"/>
      <c r="BI190" s="7"/>
    </row>
    <row r="191" customFormat="false" ht="14.25" hidden="false" customHeight="true" outlineLevel="0" collapsed="false">
      <c r="A191" s="7" t="s">
        <v>3518</v>
      </c>
      <c r="B191" s="7" t="s">
        <v>3519</v>
      </c>
      <c r="C191" s="7" t="s">
        <v>3520</v>
      </c>
      <c r="D191" s="7" t="s">
        <v>3521</v>
      </c>
      <c r="E191" s="7" t="n">
        <v>2024</v>
      </c>
      <c r="F191" s="8" t="s">
        <v>3522</v>
      </c>
      <c r="G191" s="6" t="s">
        <v>713</v>
      </c>
      <c r="H191" s="7"/>
      <c r="I191" s="7"/>
      <c r="J191" s="7"/>
      <c r="K191" s="7"/>
      <c r="L191" s="7"/>
      <c r="M191" s="7"/>
      <c r="N191" s="7"/>
      <c r="O191" s="7"/>
      <c r="P191" s="7" t="s">
        <v>304</v>
      </c>
      <c r="Q191" s="7" t="s">
        <v>62</v>
      </c>
      <c r="R191" s="7" t="s">
        <v>2711</v>
      </c>
      <c r="S191" s="7"/>
      <c r="T191" s="7" t="s">
        <v>187</v>
      </c>
      <c r="U191" s="7"/>
      <c r="V191" s="7"/>
      <c r="W191" s="7" t="n">
        <v>302</v>
      </c>
      <c r="X191" s="7" t="n">
        <v>308</v>
      </c>
      <c r="Y191" s="7" t="n">
        <v>6</v>
      </c>
      <c r="Z191" s="7" t="s">
        <v>3523</v>
      </c>
      <c r="AA191" s="9" t="s">
        <v>3524</v>
      </c>
      <c r="AB191" s="7" t="s">
        <v>3525</v>
      </c>
      <c r="AC191" s="7" t="s">
        <v>3526</v>
      </c>
      <c r="AD191" s="7" t="s">
        <v>3527</v>
      </c>
      <c r="AE191" s="7" t="s">
        <v>3528</v>
      </c>
      <c r="AF191" s="7"/>
      <c r="AG191" s="7"/>
      <c r="AH191" s="7"/>
      <c r="AI191" s="7"/>
      <c r="AJ191" s="10"/>
      <c r="AK191" s="7"/>
      <c r="AL191" s="7" t="s">
        <v>3529</v>
      </c>
      <c r="AM191" s="7" t="s">
        <v>3530</v>
      </c>
      <c r="AN191" s="7"/>
      <c r="AO191" s="7"/>
      <c r="AP191" s="7" t="s">
        <v>2711</v>
      </c>
      <c r="AQ191" s="7" t="s">
        <v>2720</v>
      </c>
      <c r="AR191" s="7" t="s">
        <v>2721</v>
      </c>
      <c r="AS191" s="7" t="n">
        <v>200047</v>
      </c>
      <c r="AT191" s="7"/>
      <c r="AU191" s="7" t="s">
        <v>2722</v>
      </c>
      <c r="AV191" s="7"/>
      <c r="AW191" s="7"/>
      <c r="AX191" s="7" t="s">
        <v>2723</v>
      </c>
      <c r="AY191" s="7" t="s">
        <v>75</v>
      </c>
      <c r="AZ191" s="7"/>
      <c r="BA191" s="7" t="s">
        <v>76</v>
      </c>
      <c r="BB191" s="7" t="s">
        <v>3531</v>
      </c>
      <c r="BC191" s="7"/>
      <c r="BD191" s="7"/>
      <c r="BE191" s="7"/>
      <c r="BF191" s="7"/>
      <c r="BG191" s="7"/>
      <c r="BH191" s="7"/>
      <c r="BI191" s="7"/>
    </row>
    <row r="192" customFormat="false" ht="14.25" hidden="false" customHeight="true" outlineLevel="0" collapsed="false">
      <c r="A192" s="7" t="s">
        <v>3532</v>
      </c>
      <c r="B192" s="7" t="s">
        <v>3533</v>
      </c>
      <c r="C192" s="7" t="s">
        <v>3534</v>
      </c>
      <c r="D192" s="7" t="s">
        <v>3535</v>
      </c>
      <c r="E192" s="7" t="n">
        <v>2024</v>
      </c>
      <c r="F192" s="8" t="s">
        <v>3536</v>
      </c>
      <c r="G192" s="6" t="s">
        <v>713</v>
      </c>
      <c r="H192" s="7"/>
      <c r="I192" s="7"/>
      <c r="J192" s="7"/>
      <c r="K192" s="7"/>
      <c r="L192" s="7"/>
      <c r="M192" s="7"/>
      <c r="N192" s="7"/>
      <c r="O192" s="7"/>
      <c r="P192" s="7" t="s">
        <v>304</v>
      </c>
      <c r="Q192" s="7" t="s">
        <v>62</v>
      </c>
      <c r="R192" s="7" t="s">
        <v>2312</v>
      </c>
      <c r="S192" s="7"/>
      <c r="T192" s="7" t="s">
        <v>187</v>
      </c>
      <c r="U192" s="7"/>
      <c r="V192" s="7"/>
      <c r="W192" s="7"/>
      <c r="X192" s="7"/>
      <c r="Y192" s="7"/>
      <c r="Z192" s="7" t="s">
        <v>3537</v>
      </c>
      <c r="AA192" s="9" t="s">
        <v>3538</v>
      </c>
      <c r="AB192" s="7" t="s">
        <v>3539</v>
      </c>
      <c r="AC192" s="7" t="s">
        <v>3540</v>
      </c>
      <c r="AD192" s="7"/>
      <c r="AE192" s="7" t="s">
        <v>3541</v>
      </c>
      <c r="AF192" s="7"/>
      <c r="AG192" s="7"/>
      <c r="AH192" s="7"/>
      <c r="AI192" s="7"/>
      <c r="AJ192" s="10"/>
      <c r="AK192" s="7"/>
      <c r="AL192" s="7" t="s">
        <v>3542</v>
      </c>
      <c r="AM192" s="7" t="s">
        <v>3543</v>
      </c>
      <c r="AN192" s="7"/>
      <c r="AO192" s="7"/>
      <c r="AP192" s="7" t="s">
        <v>2312</v>
      </c>
      <c r="AQ192" s="7" t="s">
        <v>2321</v>
      </c>
      <c r="AR192" s="7" t="s">
        <v>2322</v>
      </c>
      <c r="AS192" s="7" t="n">
        <v>201554</v>
      </c>
      <c r="AT192" s="7"/>
      <c r="AU192" s="7" t="s">
        <v>2323</v>
      </c>
      <c r="AV192" s="7"/>
      <c r="AW192" s="7"/>
      <c r="AX192" s="7" t="s">
        <v>2324</v>
      </c>
      <c r="AY192" s="7" t="s">
        <v>75</v>
      </c>
      <c r="AZ192" s="7"/>
      <c r="BA192" s="7" t="s">
        <v>76</v>
      </c>
      <c r="BB192" s="7" t="s">
        <v>3544</v>
      </c>
      <c r="BC192" s="7"/>
      <c r="BD192" s="7"/>
      <c r="BE192" s="7"/>
      <c r="BF192" s="7"/>
      <c r="BG192" s="7"/>
      <c r="BH192" s="7"/>
      <c r="BI192" s="7"/>
    </row>
    <row r="193" customFormat="false" ht="14.25" hidden="false" customHeight="true" outlineLevel="0" collapsed="false">
      <c r="A193" s="7" t="s">
        <v>3545</v>
      </c>
      <c r="B193" s="7" t="s">
        <v>3546</v>
      </c>
      <c r="C193" s="7" t="s">
        <v>3547</v>
      </c>
      <c r="D193" s="7" t="s">
        <v>3548</v>
      </c>
      <c r="E193" s="7" t="n">
        <v>2024</v>
      </c>
      <c r="F193" s="8" t="s">
        <v>3549</v>
      </c>
      <c r="G193" s="6" t="s">
        <v>713</v>
      </c>
      <c r="H193" s="7"/>
      <c r="I193" s="7"/>
      <c r="J193" s="7"/>
      <c r="K193" s="7"/>
      <c r="L193" s="7"/>
      <c r="M193" s="7"/>
      <c r="N193" s="7"/>
      <c r="O193" s="7"/>
      <c r="P193" s="7" t="s">
        <v>304</v>
      </c>
      <c r="Q193" s="7" t="s">
        <v>62</v>
      </c>
      <c r="R193" s="7" t="s">
        <v>350</v>
      </c>
      <c r="S193" s="7" t="n">
        <v>820</v>
      </c>
      <c r="T193" s="7" t="s">
        <v>307</v>
      </c>
      <c r="U193" s="7"/>
      <c r="V193" s="7"/>
      <c r="W193" s="7" t="n">
        <v>309</v>
      </c>
      <c r="X193" s="7" t="n">
        <v>321</v>
      </c>
      <c r="Y193" s="7" t="n">
        <v>12</v>
      </c>
      <c r="Z193" s="7" t="s">
        <v>3550</v>
      </c>
      <c r="AA193" s="9" t="s">
        <v>3551</v>
      </c>
      <c r="AB193" s="7" t="s">
        <v>3552</v>
      </c>
      <c r="AC193" s="7" t="s">
        <v>3553</v>
      </c>
      <c r="AD193" s="7" t="s">
        <v>3554</v>
      </c>
      <c r="AE193" s="7" t="s">
        <v>3555</v>
      </c>
      <c r="AF193" s="7"/>
      <c r="AG193" s="7"/>
      <c r="AH193" s="7"/>
      <c r="AI193" s="7"/>
      <c r="AJ193" s="10"/>
      <c r="AK193" s="7"/>
      <c r="AL193" s="7" t="s">
        <v>3556</v>
      </c>
      <c r="AM193" s="7" t="s">
        <v>3557</v>
      </c>
      <c r="AN193" s="7" t="s">
        <v>2454</v>
      </c>
      <c r="AO193" s="7"/>
      <c r="AP193" s="7" t="s">
        <v>2455</v>
      </c>
      <c r="AQ193" s="7" t="s">
        <v>2456</v>
      </c>
      <c r="AR193" s="7" t="s">
        <v>2457</v>
      </c>
      <c r="AS193" s="7" t="n">
        <v>306859</v>
      </c>
      <c r="AT193" s="7" t="n">
        <v>23673370</v>
      </c>
      <c r="AU193" s="7" t="s">
        <v>3558</v>
      </c>
      <c r="AV193" s="7"/>
      <c r="AW193" s="7"/>
      <c r="AX193" s="7" t="s">
        <v>365</v>
      </c>
      <c r="AY193" s="7" t="s">
        <v>75</v>
      </c>
      <c r="AZ193" s="7"/>
      <c r="BA193" s="7" t="s">
        <v>76</v>
      </c>
      <c r="BB193" s="7" t="s">
        <v>3559</v>
      </c>
      <c r="BC193" s="7"/>
      <c r="BD193" s="7"/>
      <c r="BE193" s="7"/>
      <c r="BF193" s="7"/>
      <c r="BG193" s="7"/>
      <c r="BH193" s="7"/>
      <c r="BI193" s="7"/>
    </row>
    <row r="194" customFormat="false" ht="14.25" hidden="false" customHeight="true" outlineLevel="0" collapsed="false">
      <c r="A194" s="7" t="s">
        <v>3560</v>
      </c>
      <c r="B194" s="7" t="s">
        <v>3561</v>
      </c>
      <c r="C194" s="7" t="s">
        <v>3562</v>
      </c>
      <c r="D194" s="7" t="s">
        <v>3563</v>
      </c>
      <c r="E194" s="7" t="n">
        <v>2024</v>
      </c>
      <c r="F194" s="8" t="s">
        <v>3564</v>
      </c>
      <c r="G194" s="6" t="s">
        <v>713</v>
      </c>
      <c r="H194" s="7"/>
      <c r="I194" s="7"/>
      <c r="J194" s="7"/>
      <c r="K194" s="7"/>
      <c r="L194" s="7"/>
      <c r="M194" s="7"/>
      <c r="N194" s="7"/>
      <c r="O194" s="7"/>
      <c r="P194" s="7" t="s">
        <v>304</v>
      </c>
      <c r="Q194" s="7" t="s">
        <v>62</v>
      </c>
      <c r="R194" s="7" t="s">
        <v>3565</v>
      </c>
      <c r="S194" s="7"/>
      <c r="T194" s="7" t="s">
        <v>187</v>
      </c>
      <c r="U194" s="7"/>
      <c r="V194" s="7"/>
      <c r="W194" s="7" t="n">
        <v>164</v>
      </c>
      <c r="X194" s="7" t="n">
        <v>169</v>
      </c>
      <c r="Y194" s="7" t="n">
        <v>5</v>
      </c>
      <c r="Z194" s="7" t="s">
        <v>3566</v>
      </c>
      <c r="AA194" s="9" t="s">
        <v>3567</v>
      </c>
      <c r="AB194" s="7" t="s">
        <v>3568</v>
      </c>
      <c r="AC194" s="7" t="s">
        <v>3569</v>
      </c>
      <c r="AD194" s="7" t="s">
        <v>3570</v>
      </c>
      <c r="AE194" s="7" t="s">
        <v>3571</v>
      </c>
      <c r="AF194" s="7"/>
      <c r="AG194" s="7"/>
      <c r="AH194" s="7"/>
      <c r="AI194" s="7"/>
      <c r="AJ194" s="10"/>
      <c r="AK194" s="7"/>
      <c r="AL194" s="7" t="s">
        <v>3572</v>
      </c>
      <c r="AM194" s="7" t="s">
        <v>3573</v>
      </c>
      <c r="AN194" s="7"/>
      <c r="AO194" s="7"/>
      <c r="AP194" s="7" t="s">
        <v>3574</v>
      </c>
      <c r="AQ194" s="7" t="s">
        <v>3575</v>
      </c>
      <c r="AR194" s="7" t="s">
        <v>3576</v>
      </c>
      <c r="AS194" s="7" t="n">
        <v>198610</v>
      </c>
      <c r="AT194" s="7"/>
      <c r="AU194" s="7" t="s">
        <v>3577</v>
      </c>
      <c r="AV194" s="7"/>
      <c r="AW194" s="7"/>
      <c r="AX194" s="7" t="s">
        <v>3578</v>
      </c>
      <c r="AY194" s="7" t="s">
        <v>75</v>
      </c>
      <c r="AZ194" s="7"/>
      <c r="BA194" s="7" t="s">
        <v>76</v>
      </c>
      <c r="BB194" s="7" t="s">
        <v>3579</v>
      </c>
      <c r="BC194" s="7"/>
      <c r="BD194" s="7"/>
      <c r="BE194" s="7"/>
      <c r="BF194" s="7"/>
      <c r="BG194" s="7"/>
      <c r="BH194" s="7"/>
      <c r="BI194" s="7"/>
    </row>
    <row r="195" customFormat="false" ht="14.25" hidden="false" customHeight="true" outlineLevel="0" collapsed="false">
      <c r="A195" s="7" t="s">
        <v>78</v>
      </c>
      <c r="B195" s="7" t="s">
        <v>79</v>
      </c>
      <c r="C195" s="7" t="s">
        <v>80</v>
      </c>
      <c r="D195" s="7" t="s">
        <v>3580</v>
      </c>
      <c r="E195" s="7" t="n">
        <v>2024</v>
      </c>
      <c r="F195" s="8" t="s">
        <v>3581</v>
      </c>
      <c r="G195" s="6" t="s">
        <v>3582</v>
      </c>
      <c r="H195" s="7"/>
      <c r="I195" s="7"/>
      <c r="J195" s="7"/>
      <c r="K195" s="7"/>
      <c r="L195" s="7"/>
      <c r="M195" s="7"/>
      <c r="N195" s="7"/>
      <c r="O195" s="7"/>
      <c r="P195" s="7" t="s">
        <v>304</v>
      </c>
      <c r="Q195" s="7" t="s">
        <v>62</v>
      </c>
      <c r="R195" s="7" t="s">
        <v>2751</v>
      </c>
      <c r="S195" s="7" t="n">
        <v>14366</v>
      </c>
      <c r="T195" s="7" t="s">
        <v>307</v>
      </c>
      <c r="U195" s="7"/>
      <c r="V195" s="7"/>
      <c r="W195" s="7" t="n">
        <v>59</v>
      </c>
      <c r="X195" s="7" t="n">
        <v>70</v>
      </c>
      <c r="Y195" s="7" t="n">
        <v>11</v>
      </c>
      <c r="Z195" s="7" t="s">
        <v>3583</v>
      </c>
      <c r="AA195" s="9" t="s">
        <v>3584</v>
      </c>
      <c r="AB195" s="7" t="s">
        <v>3585</v>
      </c>
      <c r="AC195" s="7" t="s">
        <v>3586</v>
      </c>
      <c r="AD195" s="7" t="s">
        <v>3587</v>
      </c>
      <c r="AE195" s="7" t="s">
        <v>3588</v>
      </c>
      <c r="AF195" s="7"/>
      <c r="AG195" s="7"/>
      <c r="AH195" s="7"/>
      <c r="AI195" s="7"/>
      <c r="AJ195" s="10"/>
      <c r="AK195" s="7"/>
      <c r="AL195" s="7" t="s">
        <v>3589</v>
      </c>
      <c r="AM195" s="7" t="s">
        <v>3590</v>
      </c>
      <c r="AN195" s="7" t="s">
        <v>3591</v>
      </c>
      <c r="AO195" s="7"/>
      <c r="AP195" s="7" t="s">
        <v>3592</v>
      </c>
      <c r="AQ195" s="7" t="s">
        <v>3593</v>
      </c>
      <c r="AR195" s="7" t="s">
        <v>3594</v>
      </c>
      <c r="AS195" s="7" t="n">
        <v>306929</v>
      </c>
      <c r="AT195" s="7" t="n">
        <v>3029743</v>
      </c>
      <c r="AU195" s="7" t="s">
        <v>3595</v>
      </c>
      <c r="AV195" s="7"/>
      <c r="AW195" s="7"/>
      <c r="AX195" s="7" t="s">
        <v>2766</v>
      </c>
      <c r="AY195" s="7" t="s">
        <v>75</v>
      </c>
      <c r="AZ195" s="7"/>
      <c r="BA195" s="7" t="s">
        <v>76</v>
      </c>
      <c r="BB195" s="7" t="s">
        <v>3596</v>
      </c>
      <c r="BC195" s="7"/>
      <c r="BD195" s="7"/>
      <c r="BE195" s="7"/>
      <c r="BF195" s="7"/>
      <c r="BG195" s="7"/>
      <c r="BH195" s="7"/>
      <c r="BI195" s="7"/>
    </row>
    <row r="196" customFormat="false" ht="14.25" hidden="false" customHeight="true" outlineLevel="0" collapsed="false">
      <c r="A196" s="7" t="s">
        <v>3597</v>
      </c>
      <c r="B196" s="7" t="s">
        <v>3598</v>
      </c>
      <c r="C196" s="7" t="s">
        <v>3599</v>
      </c>
      <c r="D196" s="7" t="s">
        <v>3600</v>
      </c>
      <c r="E196" s="7" t="n">
        <v>2024</v>
      </c>
      <c r="F196" s="8" t="s">
        <v>3601</v>
      </c>
      <c r="G196" s="6" t="s">
        <v>713</v>
      </c>
      <c r="H196" s="7"/>
      <c r="I196" s="7"/>
      <c r="J196" s="7"/>
      <c r="K196" s="7"/>
      <c r="L196" s="7"/>
      <c r="M196" s="7"/>
      <c r="N196" s="7"/>
      <c r="O196" s="7"/>
      <c r="P196" s="7" t="s">
        <v>304</v>
      </c>
      <c r="Q196" s="7" t="s">
        <v>62</v>
      </c>
      <c r="R196" s="7" t="s">
        <v>3080</v>
      </c>
      <c r="S196" s="7"/>
      <c r="T196" s="7" t="s">
        <v>187</v>
      </c>
      <c r="U196" s="7"/>
      <c r="V196" s="7"/>
      <c r="W196" s="7"/>
      <c r="X196" s="7"/>
      <c r="Y196" s="7"/>
      <c r="Z196" s="7" t="s">
        <v>3602</v>
      </c>
      <c r="AA196" s="9" t="s">
        <v>3603</v>
      </c>
      <c r="AB196" s="7" t="s">
        <v>3604</v>
      </c>
      <c r="AC196" s="7" t="s">
        <v>3605</v>
      </c>
      <c r="AD196" s="7" t="s">
        <v>3606</v>
      </c>
      <c r="AE196" s="7" t="s">
        <v>3607</v>
      </c>
      <c r="AF196" s="7"/>
      <c r="AG196" s="7"/>
      <c r="AH196" s="7"/>
      <c r="AI196" s="7"/>
      <c r="AJ196" s="10"/>
      <c r="AK196" s="7"/>
      <c r="AL196" s="7" t="s">
        <v>3608</v>
      </c>
      <c r="AM196" s="7"/>
      <c r="AN196" s="7"/>
      <c r="AO196" s="7" t="s">
        <v>3090</v>
      </c>
      <c r="AP196" s="7" t="s">
        <v>3091</v>
      </c>
      <c r="AQ196" s="7" t="s">
        <v>3092</v>
      </c>
      <c r="AR196" s="7" t="s">
        <v>3093</v>
      </c>
      <c r="AS196" s="7" t="n">
        <v>201275</v>
      </c>
      <c r="AT196" s="7"/>
      <c r="AU196" s="7" t="s">
        <v>3094</v>
      </c>
      <c r="AV196" s="7"/>
      <c r="AW196" s="7"/>
      <c r="AX196" s="7" t="s">
        <v>3095</v>
      </c>
      <c r="AY196" s="7" t="s">
        <v>75</v>
      </c>
      <c r="AZ196" s="7"/>
      <c r="BA196" s="7" t="s">
        <v>76</v>
      </c>
      <c r="BB196" s="7" t="s">
        <v>3609</v>
      </c>
      <c r="BC196" s="7"/>
      <c r="BD196" s="7"/>
      <c r="BE196" s="7"/>
      <c r="BF196" s="7"/>
      <c r="BG196" s="7"/>
      <c r="BH196" s="7"/>
      <c r="BI196" s="7"/>
    </row>
    <row r="197" customFormat="false" ht="14.25" hidden="false" customHeight="true" outlineLevel="0" collapsed="false">
      <c r="A197" s="7" t="s">
        <v>3610</v>
      </c>
      <c r="B197" s="7" t="s">
        <v>3611</v>
      </c>
      <c r="C197" s="7" t="s">
        <v>3612</v>
      </c>
      <c r="D197" s="7" t="s">
        <v>3613</v>
      </c>
      <c r="E197" s="7" t="n">
        <v>2024</v>
      </c>
      <c r="F197" s="8" t="s">
        <v>3614</v>
      </c>
      <c r="G197" s="6" t="s">
        <v>3615</v>
      </c>
      <c r="H197" s="7"/>
      <c r="I197" s="7"/>
      <c r="J197" s="7"/>
      <c r="K197" s="7"/>
      <c r="L197" s="7"/>
      <c r="M197" s="7"/>
      <c r="N197" s="7"/>
      <c r="O197" s="7"/>
      <c r="P197" s="7" t="s">
        <v>304</v>
      </c>
      <c r="Q197" s="7" t="s">
        <v>62</v>
      </c>
      <c r="R197" s="7" t="s">
        <v>3616</v>
      </c>
      <c r="S197" s="7"/>
      <c r="T197" s="7" t="s">
        <v>187</v>
      </c>
      <c r="U197" s="7"/>
      <c r="V197" s="7"/>
      <c r="W197" s="7"/>
      <c r="X197" s="7"/>
      <c r="Y197" s="7"/>
      <c r="Z197" s="7" t="s">
        <v>3617</v>
      </c>
      <c r="AA197" s="9" t="s">
        <v>3618</v>
      </c>
      <c r="AB197" s="7" t="s">
        <v>3619</v>
      </c>
      <c r="AC197" s="7" t="s">
        <v>3620</v>
      </c>
      <c r="AD197" s="7" t="s">
        <v>3621</v>
      </c>
      <c r="AE197" s="7" t="s">
        <v>3622</v>
      </c>
      <c r="AF197" s="7"/>
      <c r="AG197" s="7"/>
      <c r="AH197" s="7"/>
      <c r="AI197" s="7"/>
      <c r="AJ197" s="10"/>
      <c r="AK197" s="7"/>
      <c r="AL197" s="7" t="s">
        <v>3623</v>
      </c>
      <c r="AM197" s="7"/>
      <c r="AN197" s="7"/>
      <c r="AO197" s="7"/>
      <c r="AP197" s="7" t="s">
        <v>3624</v>
      </c>
      <c r="AQ197" s="7" t="s">
        <v>3152</v>
      </c>
      <c r="AR197" s="7" t="s">
        <v>3625</v>
      </c>
      <c r="AS197" s="7" t="n">
        <v>206080</v>
      </c>
      <c r="AT197" s="7"/>
      <c r="AU197" s="7" t="s">
        <v>3626</v>
      </c>
      <c r="AV197" s="7"/>
      <c r="AW197" s="7"/>
      <c r="AX197" s="7" t="s">
        <v>3627</v>
      </c>
      <c r="AY197" s="7" t="s">
        <v>75</v>
      </c>
      <c r="AZ197" s="7"/>
      <c r="BA197" s="7" t="s">
        <v>76</v>
      </c>
      <c r="BB197" s="7" t="s">
        <v>3628</v>
      </c>
      <c r="BC197" s="7"/>
      <c r="BD197" s="7"/>
      <c r="BE197" s="7"/>
      <c r="BF197" s="7"/>
      <c r="BG197" s="7"/>
      <c r="BH197" s="7"/>
      <c r="BI197" s="7"/>
    </row>
    <row r="198" customFormat="false" ht="14.25" hidden="false" customHeight="true" outlineLevel="0" collapsed="false">
      <c r="A198" s="7" t="s">
        <v>3629</v>
      </c>
      <c r="B198" s="7" t="s">
        <v>3630</v>
      </c>
      <c r="C198" s="7" t="s">
        <v>3631</v>
      </c>
      <c r="D198" s="7" t="s">
        <v>3632</v>
      </c>
      <c r="E198" s="7" t="n">
        <v>2024</v>
      </c>
      <c r="F198" s="8" t="s">
        <v>3633</v>
      </c>
      <c r="G198" s="6" t="s">
        <v>713</v>
      </c>
      <c r="H198" s="7"/>
      <c r="I198" s="7"/>
      <c r="J198" s="7"/>
      <c r="K198" s="7"/>
      <c r="L198" s="7"/>
      <c r="M198" s="7"/>
      <c r="N198" s="7"/>
      <c r="O198" s="7"/>
      <c r="P198" s="7" t="s">
        <v>304</v>
      </c>
      <c r="Q198" s="7" t="s">
        <v>62</v>
      </c>
      <c r="R198" s="7" t="s">
        <v>305</v>
      </c>
      <c r="S198" s="7" t="n">
        <v>1929</v>
      </c>
      <c r="T198" s="7" t="s">
        <v>307</v>
      </c>
      <c r="U198" s="7"/>
      <c r="V198" s="7"/>
      <c r="W198" s="7" t="n">
        <v>311</v>
      </c>
      <c r="X198" s="7" t="n">
        <v>323</v>
      </c>
      <c r="Y198" s="7" t="n">
        <v>12</v>
      </c>
      <c r="Z198" s="7" t="s">
        <v>3634</v>
      </c>
      <c r="AA198" s="9" t="s">
        <v>3635</v>
      </c>
      <c r="AB198" s="7" t="s">
        <v>3636</v>
      </c>
      <c r="AC198" s="7" t="s">
        <v>3637</v>
      </c>
      <c r="AD198" s="7" t="s">
        <v>3638</v>
      </c>
      <c r="AE198" s="7" t="s">
        <v>3639</v>
      </c>
      <c r="AF198" s="7"/>
      <c r="AG198" s="7"/>
      <c r="AH198" s="7"/>
      <c r="AI198" s="7"/>
      <c r="AJ198" s="10"/>
      <c r="AK198" s="7"/>
      <c r="AL198" s="7" t="s">
        <v>3640</v>
      </c>
      <c r="AM198" s="7" t="s">
        <v>3641</v>
      </c>
      <c r="AN198" s="7" t="s">
        <v>3642</v>
      </c>
      <c r="AO198" s="7"/>
      <c r="AP198" s="7" t="s">
        <v>3643</v>
      </c>
      <c r="AQ198" s="7" t="s">
        <v>3644</v>
      </c>
      <c r="AR198" s="7" t="s">
        <v>3645</v>
      </c>
      <c r="AS198" s="7" t="n">
        <v>305739</v>
      </c>
      <c r="AT198" s="7" t="n">
        <v>18650929</v>
      </c>
      <c r="AU198" s="7" t="s">
        <v>3646</v>
      </c>
      <c r="AV198" s="7"/>
      <c r="AW198" s="7"/>
      <c r="AX198" s="7" t="s">
        <v>321</v>
      </c>
      <c r="AY198" s="7" t="s">
        <v>75</v>
      </c>
      <c r="AZ198" s="7"/>
      <c r="BA198" s="7" t="s">
        <v>76</v>
      </c>
      <c r="BB198" s="7" t="s">
        <v>3647</v>
      </c>
      <c r="BC198" s="7"/>
      <c r="BD198" s="7"/>
      <c r="BE198" s="7"/>
      <c r="BF198" s="7"/>
      <c r="BG198" s="7"/>
      <c r="BH198" s="7"/>
      <c r="BI198" s="7"/>
    </row>
    <row r="199" customFormat="false" ht="14.25" hidden="false" customHeight="true" outlineLevel="0" collapsed="false">
      <c r="A199" s="7" t="s">
        <v>3648</v>
      </c>
      <c r="B199" s="7" t="s">
        <v>3649</v>
      </c>
      <c r="C199" s="7" t="s">
        <v>3650</v>
      </c>
      <c r="D199" s="7" t="s">
        <v>3651</v>
      </c>
      <c r="E199" s="7" t="n">
        <v>2024</v>
      </c>
      <c r="F199" s="8" t="s">
        <v>3652</v>
      </c>
      <c r="G199" s="6" t="s">
        <v>713</v>
      </c>
      <c r="H199" s="7"/>
      <c r="I199" s="7"/>
      <c r="J199" s="7"/>
      <c r="K199" s="7"/>
      <c r="L199" s="7"/>
      <c r="M199" s="7"/>
      <c r="N199" s="7"/>
      <c r="O199" s="7"/>
      <c r="P199" s="7" t="s">
        <v>304</v>
      </c>
      <c r="Q199" s="7" t="s">
        <v>62</v>
      </c>
      <c r="R199" s="7" t="s">
        <v>3653</v>
      </c>
      <c r="S199" s="7"/>
      <c r="T199" s="7" t="s">
        <v>187</v>
      </c>
      <c r="U199" s="7"/>
      <c r="V199" s="7"/>
      <c r="W199" s="7" t="n">
        <v>1537</v>
      </c>
      <c r="X199" s="7" t="n">
        <v>1542</v>
      </c>
      <c r="Y199" s="7" t="n">
        <v>5</v>
      </c>
      <c r="Z199" s="7" t="s">
        <v>3654</v>
      </c>
      <c r="AA199" s="9" t="s">
        <v>3655</v>
      </c>
      <c r="AB199" s="7" t="s">
        <v>3656</v>
      </c>
      <c r="AC199" s="7" t="s">
        <v>3657</v>
      </c>
      <c r="AD199" s="7" t="s">
        <v>3658</v>
      </c>
      <c r="AE199" s="7" t="s">
        <v>3659</v>
      </c>
      <c r="AF199" s="7"/>
      <c r="AG199" s="7"/>
      <c r="AH199" s="7"/>
      <c r="AI199" s="7"/>
      <c r="AJ199" s="10"/>
      <c r="AK199" s="7"/>
      <c r="AL199" s="7" t="s">
        <v>3660</v>
      </c>
      <c r="AM199" s="7" t="s">
        <v>3661</v>
      </c>
      <c r="AN199" s="7" t="s">
        <v>3662</v>
      </c>
      <c r="AO199" s="7"/>
      <c r="AP199" s="7" t="s">
        <v>3663</v>
      </c>
      <c r="AQ199" s="7" t="s">
        <v>3664</v>
      </c>
      <c r="AR199" s="7" t="s">
        <v>3665</v>
      </c>
      <c r="AS199" s="7" t="n">
        <v>198964</v>
      </c>
      <c r="AT199" s="7"/>
      <c r="AU199" s="7" t="s">
        <v>3666</v>
      </c>
      <c r="AV199" s="7"/>
      <c r="AW199" s="7"/>
      <c r="AX199" s="7" t="s">
        <v>3667</v>
      </c>
      <c r="AY199" s="7" t="s">
        <v>75</v>
      </c>
      <c r="AZ199" s="7"/>
      <c r="BA199" s="7" t="s">
        <v>76</v>
      </c>
      <c r="BB199" s="7" t="s">
        <v>3668</v>
      </c>
      <c r="BC199" s="7"/>
      <c r="BD199" s="7"/>
      <c r="BE199" s="7"/>
      <c r="BF199" s="7"/>
      <c r="BG199" s="7"/>
      <c r="BH199" s="7"/>
      <c r="BI199" s="7"/>
    </row>
    <row r="200" customFormat="false" ht="14.25" hidden="false" customHeight="true" outlineLevel="0" collapsed="false">
      <c r="A200" s="13" t="s">
        <v>3669</v>
      </c>
      <c r="B200" s="13" t="s">
        <v>3670</v>
      </c>
      <c r="C200" s="13" t="s">
        <v>3671</v>
      </c>
      <c r="D200" s="13" t="s">
        <v>3672</v>
      </c>
      <c r="E200" s="13" t="n">
        <v>2024</v>
      </c>
      <c r="F200" s="14" t="s">
        <v>3673</v>
      </c>
      <c r="G200" s="15" t="s">
        <v>713</v>
      </c>
      <c r="H200" s="13"/>
      <c r="I200" s="13"/>
      <c r="J200" s="13"/>
      <c r="K200" s="13"/>
      <c r="L200" s="13"/>
      <c r="M200" s="13"/>
      <c r="N200" s="13"/>
      <c r="O200" s="13"/>
      <c r="P200" s="13" t="s">
        <v>304</v>
      </c>
      <c r="Q200" s="13" t="s">
        <v>62</v>
      </c>
      <c r="R200" s="13" t="s">
        <v>3162</v>
      </c>
      <c r="S200" s="13" t="n">
        <v>12996</v>
      </c>
      <c r="T200" s="13" t="s">
        <v>3163</v>
      </c>
      <c r="U200" s="13"/>
      <c r="V200" s="13" t="n">
        <v>1299604</v>
      </c>
      <c r="W200" s="13"/>
      <c r="X200" s="13"/>
      <c r="Y200" s="13"/>
      <c r="Z200" s="13" t="s">
        <v>3674</v>
      </c>
      <c r="AA200" s="16" t="s">
        <v>3675</v>
      </c>
      <c r="AB200" s="13" t="s">
        <v>3676</v>
      </c>
      <c r="AC200" s="13" t="s">
        <v>3677</v>
      </c>
      <c r="AD200" s="13" t="s">
        <v>3678</v>
      </c>
      <c r="AE200" s="13" t="s">
        <v>3679</v>
      </c>
      <c r="AF200" s="13"/>
      <c r="AG200" s="13"/>
      <c r="AH200" s="13"/>
      <c r="AI200" s="13"/>
      <c r="AJ200" s="17"/>
      <c r="AK200" s="13"/>
      <c r="AL200" s="13" t="s">
        <v>3680</v>
      </c>
      <c r="AM200" s="13" t="s">
        <v>3681</v>
      </c>
      <c r="AN200" s="13" t="s">
        <v>3682</v>
      </c>
      <c r="AO200" s="13" t="s">
        <v>3173</v>
      </c>
      <c r="AP200" s="13" t="s">
        <v>3683</v>
      </c>
      <c r="AQ200" s="13" t="s">
        <v>3684</v>
      </c>
      <c r="AR200" s="13" t="s">
        <v>3484</v>
      </c>
      <c r="AS200" s="13" t="n">
        <v>201255</v>
      </c>
      <c r="AT200" s="13" t="s">
        <v>3177</v>
      </c>
      <c r="AU200" s="13" t="s">
        <v>3685</v>
      </c>
      <c r="AV200" s="13" t="s">
        <v>3179</v>
      </c>
      <c r="AW200" s="13"/>
      <c r="AX200" s="13" t="s">
        <v>3180</v>
      </c>
      <c r="AY200" s="13" t="s">
        <v>75</v>
      </c>
      <c r="AZ200" s="13"/>
      <c r="BA200" s="13" t="s">
        <v>76</v>
      </c>
      <c r="BB200" s="13" t="s">
        <v>3686</v>
      </c>
      <c r="BC200" s="13"/>
      <c r="BD200" s="13"/>
      <c r="BE200" s="13"/>
      <c r="BF200" s="13"/>
      <c r="BG200" s="13"/>
      <c r="BH200" s="13"/>
      <c r="BI200" s="13"/>
    </row>
    <row r="201" customFormat="false" ht="14.25" hidden="false" customHeight="true" outlineLevel="0" collapsed="false">
      <c r="A201" s="7" t="s">
        <v>3687</v>
      </c>
      <c r="B201" s="7" t="s">
        <v>3688</v>
      </c>
      <c r="C201" s="7" t="s">
        <v>3689</v>
      </c>
      <c r="D201" s="7" t="s">
        <v>3690</v>
      </c>
      <c r="E201" s="7" t="n">
        <v>2024</v>
      </c>
      <c r="F201" s="8" t="s">
        <v>3691</v>
      </c>
      <c r="G201" s="6" t="s">
        <v>713</v>
      </c>
      <c r="H201" s="7"/>
      <c r="I201" s="7"/>
      <c r="J201" s="7"/>
      <c r="K201" s="7"/>
      <c r="L201" s="7"/>
      <c r="M201" s="7"/>
      <c r="N201" s="7"/>
      <c r="O201" s="7"/>
      <c r="P201" s="7" t="s">
        <v>304</v>
      </c>
      <c r="Q201" s="7" t="s">
        <v>62</v>
      </c>
      <c r="R201" s="7" t="s">
        <v>3692</v>
      </c>
      <c r="S201" s="7"/>
      <c r="T201" s="7" t="s">
        <v>3693</v>
      </c>
      <c r="U201" s="7"/>
      <c r="V201" s="7" t="s">
        <v>3694</v>
      </c>
      <c r="W201" s="7"/>
      <c r="X201" s="7"/>
      <c r="Y201" s="7"/>
      <c r="Z201" s="7" t="s">
        <v>3695</v>
      </c>
      <c r="AA201" s="9" t="s">
        <v>3696</v>
      </c>
      <c r="AB201" s="7" t="s">
        <v>3697</v>
      </c>
      <c r="AC201" s="7" t="s">
        <v>3698</v>
      </c>
      <c r="AD201" s="7"/>
      <c r="AE201" s="7" t="s">
        <v>3699</v>
      </c>
      <c r="AF201" s="7"/>
      <c r="AG201" s="7"/>
      <c r="AH201" s="7"/>
      <c r="AI201" s="7"/>
      <c r="AJ201" s="10"/>
      <c r="AK201" s="7"/>
      <c r="AL201" s="7" t="s">
        <v>3700</v>
      </c>
      <c r="AM201" s="7"/>
      <c r="AN201" s="7" t="s">
        <v>3701</v>
      </c>
      <c r="AO201" s="7"/>
      <c r="AP201" s="7" t="s">
        <v>3702</v>
      </c>
      <c r="AQ201" s="7" t="s">
        <v>3703</v>
      </c>
      <c r="AR201" s="7" t="s">
        <v>3704</v>
      </c>
      <c r="AS201" s="7" t="n">
        <v>206030</v>
      </c>
      <c r="AT201" s="7" t="n">
        <v>26174855</v>
      </c>
      <c r="AU201" s="7" t="s">
        <v>3705</v>
      </c>
      <c r="AV201" s="7"/>
      <c r="AW201" s="7"/>
      <c r="AX201" s="7" t="s">
        <v>3706</v>
      </c>
      <c r="AY201" s="7" t="s">
        <v>75</v>
      </c>
      <c r="AZ201" s="7"/>
      <c r="BA201" s="7" t="s">
        <v>76</v>
      </c>
      <c r="BB201" s="7" t="s">
        <v>3707</v>
      </c>
      <c r="BC201" s="7"/>
      <c r="BD201" s="7"/>
      <c r="BE201" s="7"/>
      <c r="BF201" s="7"/>
      <c r="BG201" s="7"/>
      <c r="BH201" s="7"/>
      <c r="BI201" s="7"/>
    </row>
    <row r="202" customFormat="false" ht="14.25" hidden="false" customHeight="true" outlineLevel="0" collapsed="false">
      <c r="A202" s="18"/>
      <c r="B202" s="18"/>
      <c r="C202" s="18"/>
      <c r="D202" s="18"/>
      <c r="E202" s="18"/>
      <c r="F202" s="19" t="s">
        <v>3708</v>
      </c>
      <c r="G202" s="20"/>
      <c r="H202" s="18"/>
      <c r="I202" s="18"/>
      <c r="J202" s="18"/>
      <c r="K202" s="18"/>
      <c r="L202" s="18"/>
      <c r="M202" s="18"/>
      <c r="N202" s="18"/>
      <c r="O202" s="18"/>
      <c r="P202" s="18"/>
      <c r="Q202" s="18"/>
      <c r="R202" s="18"/>
      <c r="S202" s="18"/>
      <c r="T202" s="18"/>
      <c r="U202" s="18"/>
      <c r="V202" s="18"/>
      <c r="W202" s="18"/>
      <c r="X202" s="18"/>
      <c r="Y202" s="18"/>
      <c r="Z202" s="18"/>
      <c r="AA202" s="20"/>
      <c r="AB202" s="18"/>
      <c r="AC202" s="18"/>
      <c r="AD202" s="18"/>
      <c r="AE202" s="18"/>
      <c r="AF202" s="18"/>
      <c r="AG202" s="18"/>
      <c r="AH202" s="18"/>
      <c r="AI202" s="18"/>
      <c r="AJ202" s="21"/>
      <c r="AK202" s="18"/>
      <c r="AL202" s="18"/>
      <c r="AM202" s="18"/>
      <c r="AN202" s="18"/>
      <c r="AO202" s="18"/>
      <c r="AP202" s="18"/>
      <c r="AQ202" s="18"/>
      <c r="AR202" s="18"/>
      <c r="AS202" s="18"/>
      <c r="AT202" s="18"/>
      <c r="AU202" s="18"/>
      <c r="AV202" s="18"/>
      <c r="AW202" s="18"/>
      <c r="AX202" s="18"/>
      <c r="AY202" s="18"/>
      <c r="AZ202" s="18"/>
      <c r="BA202" s="18"/>
      <c r="BB202" s="18"/>
      <c r="BC202" s="18"/>
      <c r="BD202" s="18"/>
      <c r="BE202" s="18"/>
      <c r="BF202" s="18"/>
      <c r="BG202" s="18"/>
      <c r="BH202" s="18"/>
      <c r="BI202" s="18"/>
    </row>
    <row r="203" customFormat="false" ht="14.25" hidden="false" customHeight="true" outlineLevel="0" collapsed="false">
      <c r="A203" s="7" t="s">
        <v>3709</v>
      </c>
      <c r="B203" s="7" t="s">
        <v>3710</v>
      </c>
      <c r="C203" s="7" t="s">
        <v>3711</v>
      </c>
      <c r="D203" s="6" t="s">
        <v>3712</v>
      </c>
      <c r="E203" s="7" t="n">
        <v>2024</v>
      </c>
      <c r="F203" s="8" t="s">
        <v>3713</v>
      </c>
      <c r="G203" s="6" t="s">
        <v>3714</v>
      </c>
      <c r="H203" s="6" t="s">
        <v>3715</v>
      </c>
      <c r="I203" s="6" t="s">
        <v>3715</v>
      </c>
      <c r="J203" s="7"/>
      <c r="K203" s="7"/>
      <c r="L203" s="7"/>
      <c r="M203" s="7"/>
      <c r="N203" s="7"/>
      <c r="O203" s="7"/>
      <c r="P203" s="7" t="s">
        <v>304</v>
      </c>
      <c r="Q203" s="7" t="s">
        <v>62</v>
      </c>
      <c r="R203" s="7" t="s">
        <v>2913</v>
      </c>
      <c r="S203" s="7"/>
      <c r="T203" s="7" t="s">
        <v>187</v>
      </c>
      <c r="U203" s="7"/>
      <c r="V203" s="7"/>
      <c r="W203" s="7" t="n">
        <v>981</v>
      </c>
      <c r="X203" s="7" t="n">
        <v>986</v>
      </c>
      <c r="Y203" s="7" t="n">
        <v>5</v>
      </c>
      <c r="Z203" s="6" t="s">
        <v>3716</v>
      </c>
      <c r="AA203" s="9" t="s">
        <v>3717</v>
      </c>
      <c r="AB203" s="7" t="s">
        <v>3718</v>
      </c>
      <c r="AC203" s="7" t="s">
        <v>3719</v>
      </c>
      <c r="AD203" s="7" t="s">
        <v>3720</v>
      </c>
      <c r="AE203" s="7" t="s">
        <v>3721</v>
      </c>
      <c r="AF203" s="7"/>
      <c r="AG203" s="7"/>
      <c r="AH203" s="7"/>
      <c r="AI203" s="7"/>
      <c r="AJ203" s="10"/>
      <c r="AK203" s="7"/>
      <c r="AL203" s="7" t="s">
        <v>3722</v>
      </c>
      <c r="AM203" s="7"/>
      <c r="AN203" s="7"/>
      <c r="AO203" s="7"/>
      <c r="AP203" s="7" t="s">
        <v>2921</v>
      </c>
      <c r="AQ203" s="7" t="s">
        <v>2922</v>
      </c>
      <c r="AR203" s="7" t="s">
        <v>2923</v>
      </c>
      <c r="AS203" s="7" t="n">
        <v>205462</v>
      </c>
      <c r="AT203" s="7"/>
      <c r="AU203" s="7" t="s">
        <v>2924</v>
      </c>
      <c r="AV203" s="7"/>
      <c r="AW203" s="7"/>
      <c r="AX203" s="7" t="s">
        <v>2925</v>
      </c>
      <c r="AY203" s="7" t="s">
        <v>75</v>
      </c>
      <c r="AZ203" s="7"/>
      <c r="BA203" s="7" t="s">
        <v>76</v>
      </c>
      <c r="BB203" s="7" t="s">
        <v>3723</v>
      </c>
      <c r="BC203" s="7"/>
      <c r="BD203" s="7"/>
      <c r="BE203" s="7"/>
      <c r="BF203" s="7"/>
      <c r="BG203" s="7"/>
      <c r="BH203" s="7"/>
      <c r="BI203" s="7"/>
    </row>
    <row r="204" customFormat="false" ht="14.25" hidden="false" customHeight="true" outlineLevel="0" collapsed="false">
      <c r="A204" s="7" t="s">
        <v>3724</v>
      </c>
      <c r="B204" s="7" t="s">
        <v>3725</v>
      </c>
      <c r="C204" s="7" t="s">
        <v>3726</v>
      </c>
      <c r="D204" s="7" t="s">
        <v>3727</v>
      </c>
      <c r="E204" s="7" t="n">
        <v>2024</v>
      </c>
      <c r="F204" s="8" t="s">
        <v>3728</v>
      </c>
      <c r="G204" s="6" t="s">
        <v>3714</v>
      </c>
      <c r="H204" s="6" t="s">
        <v>3729</v>
      </c>
      <c r="I204" s="6" t="s">
        <v>3729</v>
      </c>
      <c r="J204" s="7"/>
      <c r="K204" s="7"/>
      <c r="L204" s="7"/>
      <c r="M204" s="7"/>
      <c r="N204" s="7"/>
      <c r="O204" s="7"/>
      <c r="P204" s="7" t="s">
        <v>304</v>
      </c>
      <c r="Q204" s="7" t="s">
        <v>62</v>
      </c>
      <c r="R204" s="7" t="s">
        <v>2794</v>
      </c>
      <c r="S204" s="7" t="s">
        <v>3730</v>
      </c>
      <c r="T204" s="7" t="s">
        <v>307</v>
      </c>
      <c r="U204" s="7"/>
      <c r="V204" s="7"/>
      <c r="W204" s="7" t="n">
        <v>145</v>
      </c>
      <c r="X204" s="7" t="n">
        <v>164</v>
      </c>
      <c r="Y204" s="7" t="n">
        <v>19</v>
      </c>
      <c r="Z204" s="6" t="s">
        <v>3731</v>
      </c>
      <c r="AA204" s="9" t="s">
        <v>3732</v>
      </c>
      <c r="AB204" s="7" t="s">
        <v>3733</v>
      </c>
      <c r="AC204" s="7" t="s">
        <v>3734</v>
      </c>
      <c r="AD204" s="7" t="s">
        <v>3735</v>
      </c>
      <c r="AE204" s="7" t="s">
        <v>3736</v>
      </c>
      <c r="AF204" s="7"/>
      <c r="AG204" s="7"/>
      <c r="AH204" s="7"/>
      <c r="AI204" s="7"/>
      <c r="AJ204" s="10"/>
      <c r="AK204" s="7"/>
      <c r="AL204" s="7" t="s">
        <v>3737</v>
      </c>
      <c r="AM204" s="7" t="s">
        <v>3738</v>
      </c>
      <c r="AN204" s="7" t="s">
        <v>3739</v>
      </c>
      <c r="AO204" s="7"/>
      <c r="AP204" s="7" t="s">
        <v>3740</v>
      </c>
      <c r="AQ204" s="7" t="s">
        <v>3741</v>
      </c>
      <c r="AR204" s="7" t="s">
        <v>3742</v>
      </c>
      <c r="AS204" s="7" t="n">
        <v>314829</v>
      </c>
      <c r="AT204" s="7" t="n">
        <v>18678211</v>
      </c>
      <c r="AU204" s="7" t="s">
        <v>3743</v>
      </c>
      <c r="AV204" s="7"/>
      <c r="AW204" s="7"/>
      <c r="AX204" s="7" t="s">
        <v>2811</v>
      </c>
      <c r="AY204" s="7" t="s">
        <v>75</v>
      </c>
      <c r="AZ204" s="7"/>
      <c r="BA204" s="7" t="s">
        <v>76</v>
      </c>
      <c r="BB204" s="7" t="s">
        <v>3744</v>
      </c>
      <c r="BC204" s="7"/>
      <c r="BD204" s="7"/>
      <c r="BE204" s="7"/>
      <c r="BF204" s="7"/>
      <c r="BG204" s="7"/>
      <c r="BH204" s="7"/>
      <c r="BI204" s="7"/>
    </row>
    <row r="205" customFormat="false" ht="14.25" hidden="false" customHeight="true" outlineLevel="0" collapsed="false">
      <c r="A205" s="7" t="s">
        <v>3745</v>
      </c>
      <c r="B205" s="7" t="s">
        <v>3746</v>
      </c>
      <c r="C205" s="7" t="s">
        <v>3747</v>
      </c>
      <c r="D205" s="7" t="s">
        <v>3748</v>
      </c>
      <c r="E205" s="7" t="n">
        <v>2024</v>
      </c>
      <c r="F205" s="8" t="s">
        <v>3749</v>
      </c>
      <c r="G205" s="6" t="s">
        <v>713</v>
      </c>
      <c r="H205" s="6" t="s">
        <v>3750</v>
      </c>
      <c r="I205" s="6" t="s">
        <v>3751</v>
      </c>
      <c r="J205" s="6" t="s">
        <v>3752</v>
      </c>
      <c r="K205" s="6" t="s">
        <v>3753</v>
      </c>
      <c r="L205" s="6" t="s">
        <v>3754</v>
      </c>
      <c r="M205" s="8" t="s">
        <v>3755</v>
      </c>
      <c r="N205" s="6" t="s">
        <v>3756</v>
      </c>
      <c r="O205" s="6" t="s">
        <v>3757</v>
      </c>
      <c r="P205" s="7" t="s">
        <v>304</v>
      </c>
      <c r="Q205" s="7" t="s">
        <v>62</v>
      </c>
      <c r="R205" s="7" t="s">
        <v>3758</v>
      </c>
      <c r="S205" s="7"/>
      <c r="T205" s="7" t="s">
        <v>187</v>
      </c>
      <c r="U205" s="7"/>
      <c r="V205" s="7"/>
      <c r="W205" s="7" t="n">
        <v>1027</v>
      </c>
      <c r="X205" s="7" t="n">
        <v>1031</v>
      </c>
      <c r="Y205" s="7" t="n">
        <v>4</v>
      </c>
      <c r="Z205" s="6" t="s">
        <v>3759</v>
      </c>
      <c r="AA205" s="9" t="s">
        <v>3760</v>
      </c>
      <c r="AB205" s="7" t="s">
        <v>3761</v>
      </c>
      <c r="AC205" s="7" t="s">
        <v>3762</v>
      </c>
      <c r="AD205" s="7" t="s">
        <v>3763</v>
      </c>
      <c r="AE205" s="7" t="s">
        <v>3764</v>
      </c>
      <c r="AF205" s="7"/>
      <c r="AG205" s="7"/>
      <c r="AH205" s="7"/>
      <c r="AI205" s="7"/>
      <c r="AJ205" s="10"/>
      <c r="AK205" s="7"/>
      <c r="AL205" s="7" t="s">
        <v>3765</v>
      </c>
      <c r="AM205" s="7"/>
      <c r="AN205" s="7"/>
      <c r="AO205" s="7"/>
      <c r="AP205" s="7" t="s">
        <v>3758</v>
      </c>
      <c r="AQ205" s="7" t="s">
        <v>3766</v>
      </c>
      <c r="AR205" s="7" t="s">
        <v>2545</v>
      </c>
      <c r="AS205" s="7" t="n">
        <v>198253</v>
      </c>
      <c r="AT205" s="7"/>
      <c r="AU205" s="7" t="s">
        <v>3767</v>
      </c>
      <c r="AV205" s="7"/>
      <c r="AW205" s="7"/>
      <c r="AX205" s="7" t="s">
        <v>3768</v>
      </c>
      <c r="AY205" s="7" t="s">
        <v>75</v>
      </c>
      <c r="AZ205" s="7"/>
      <c r="BA205" s="7" t="s">
        <v>76</v>
      </c>
      <c r="BB205" s="7" t="s">
        <v>3769</v>
      </c>
      <c r="BC205" s="7"/>
      <c r="BD205" s="7"/>
      <c r="BE205" s="7"/>
      <c r="BF205" s="7"/>
      <c r="BG205" s="7"/>
      <c r="BH205" s="7"/>
      <c r="BI205" s="7"/>
    </row>
    <row r="206" customFormat="false" ht="14.25" hidden="false" customHeight="true" outlineLevel="0" collapsed="false">
      <c r="A206" s="7" t="s">
        <v>3770</v>
      </c>
      <c r="B206" s="7" t="s">
        <v>3771</v>
      </c>
      <c r="C206" s="7" t="s">
        <v>3772</v>
      </c>
      <c r="D206" s="6" t="s">
        <v>3773</v>
      </c>
      <c r="E206" s="7" t="n">
        <v>2024</v>
      </c>
      <c r="F206" s="8" t="s">
        <v>3774</v>
      </c>
      <c r="G206" s="6" t="s">
        <v>713</v>
      </c>
      <c r="H206" s="6" t="s">
        <v>3775</v>
      </c>
      <c r="I206" s="6" t="s">
        <v>3775</v>
      </c>
      <c r="J206" s="6" t="s">
        <v>3776</v>
      </c>
      <c r="K206" s="6" t="s">
        <v>3777</v>
      </c>
      <c r="L206" s="6" t="s">
        <v>3754</v>
      </c>
      <c r="M206" s="6" t="s">
        <v>3778</v>
      </c>
      <c r="N206" s="6" t="s">
        <v>3779</v>
      </c>
      <c r="O206" s="6" t="s">
        <v>3780</v>
      </c>
      <c r="P206" s="7" t="s">
        <v>304</v>
      </c>
      <c r="Q206" s="7" t="s">
        <v>62</v>
      </c>
      <c r="R206" s="7" t="s">
        <v>3162</v>
      </c>
      <c r="S206" s="7" t="n">
        <v>13274</v>
      </c>
      <c r="T206" s="7" t="s">
        <v>3163</v>
      </c>
      <c r="U206" s="7"/>
      <c r="V206" s="7" t="n">
        <v>1327408</v>
      </c>
      <c r="W206" s="7"/>
      <c r="X206" s="7"/>
      <c r="Y206" s="7"/>
      <c r="Z206" s="6" t="s">
        <v>3781</v>
      </c>
      <c r="AA206" s="9" t="s">
        <v>3782</v>
      </c>
      <c r="AB206" s="7" t="s">
        <v>3783</v>
      </c>
      <c r="AC206" s="7" t="s">
        <v>3784</v>
      </c>
      <c r="AD206" s="7" t="s">
        <v>3785</v>
      </c>
      <c r="AE206" s="7" t="s">
        <v>3786</v>
      </c>
      <c r="AF206" s="7"/>
      <c r="AG206" s="7"/>
      <c r="AH206" s="7"/>
      <c r="AI206" s="7"/>
      <c r="AJ206" s="10"/>
      <c r="AK206" s="7"/>
      <c r="AL206" s="7" t="s">
        <v>3787</v>
      </c>
      <c r="AM206" s="7"/>
      <c r="AN206" s="7" t="s">
        <v>3788</v>
      </c>
      <c r="AO206" s="7"/>
      <c r="AP206" s="7" t="s">
        <v>3789</v>
      </c>
      <c r="AQ206" s="7" t="s">
        <v>3092</v>
      </c>
      <c r="AR206" s="7" t="s">
        <v>3790</v>
      </c>
      <c r="AS206" s="7" t="n">
        <v>203646</v>
      </c>
      <c r="AT206" s="7" t="s">
        <v>3177</v>
      </c>
      <c r="AU206" s="7" t="s">
        <v>3791</v>
      </c>
      <c r="AV206" s="7" t="s">
        <v>3179</v>
      </c>
      <c r="AW206" s="7"/>
      <c r="AX206" s="7" t="s">
        <v>3180</v>
      </c>
      <c r="AY206" s="7" t="s">
        <v>75</v>
      </c>
      <c r="AZ206" s="7"/>
      <c r="BA206" s="7" t="s">
        <v>76</v>
      </c>
      <c r="BB206" s="7" t="s">
        <v>3792</v>
      </c>
      <c r="BC206" s="7"/>
      <c r="BD206" s="7"/>
      <c r="BE206" s="7"/>
      <c r="BF206" s="7"/>
      <c r="BG206" s="7"/>
      <c r="BH206" s="7"/>
      <c r="BI206" s="7"/>
    </row>
    <row r="207" customFormat="false" ht="14.25" hidden="false" customHeight="true" outlineLevel="0" collapsed="false">
      <c r="A207" s="7" t="s">
        <v>3793</v>
      </c>
      <c r="B207" s="7" t="s">
        <v>3794</v>
      </c>
      <c r="C207" s="7" t="s">
        <v>3795</v>
      </c>
      <c r="D207" s="7" t="s">
        <v>3796</v>
      </c>
      <c r="E207" s="7" t="n">
        <v>2024</v>
      </c>
      <c r="F207" s="8" t="s">
        <v>3797</v>
      </c>
      <c r="G207" s="6" t="s">
        <v>393</v>
      </c>
      <c r="H207" s="7"/>
      <c r="I207" s="7"/>
      <c r="J207" s="7"/>
      <c r="K207" s="7"/>
      <c r="L207" s="7"/>
      <c r="M207" s="7"/>
      <c r="N207" s="7"/>
      <c r="O207" s="7"/>
      <c r="P207" s="7" t="s">
        <v>304</v>
      </c>
      <c r="Q207" s="7" t="s">
        <v>62</v>
      </c>
      <c r="R207" s="7" t="s">
        <v>3798</v>
      </c>
      <c r="S207" s="7" t="s">
        <v>3799</v>
      </c>
      <c r="T207" s="7" t="s">
        <v>307</v>
      </c>
      <c r="U207" s="7"/>
      <c r="V207" s="7"/>
      <c r="W207" s="7" t="n">
        <v>427</v>
      </c>
      <c r="X207" s="7" t="n">
        <v>436</v>
      </c>
      <c r="Y207" s="7" t="n">
        <v>9</v>
      </c>
      <c r="Z207" s="6" t="s">
        <v>3800</v>
      </c>
      <c r="AA207" s="9" t="s">
        <v>3801</v>
      </c>
      <c r="AB207" s="7" t="s">
        <v>3802</v>
      </c>
      <c r="AC207" s="7" t="s">
        <v>3803</v>
      </c>
      <c r="AD207" s="7" t="s">
        <v>3804</v>
      </c>
      <c r="AE207" s="7" t="s">
        <v>3805</v>
      </c>
      <c r="AF207" s="7"/>
      <c r="AG207" s="7"/>
      <c r="AH207" s="7"/>
      <c r="AI207" s="7"/>
      <c r="AJ207" s="10" t="s">
        <v>3806</v>
      </c>
      <c r="AK207" s="7" t="s">
        <v>3807</v>
      </c>
      <c r="AL207" s="7" t="s">
        <v>3808</v>
      </c>
      <c r="AM207" s="7" t="s">
        <v>3809</v>
      </c>
      <c r="AN207" s="7" t="s">
        <v>3810</v>
      </c>
      <c r="AO207" s="7"/>
      <c r="AP207" s="7" t="s">
        <v>3811</v>
      </c>
      <c r="AQ207" s="7" t="s">
        <v>3812</v>
      </c>
      <c r="AR207" s="7" t="s">
        <v>3813</v>
      </c>
      <c r="AS207" s="7" t="n">
        <v>320969</v>
      </c>
      <c r="AT207" s="7" t="n">
        <v>3029743</v>
      </c>
      <c r="AU207" s="7" t="s">
        <v>3814</v>
      </c>
      <c r="AV207" s="7"/>
      <c r="AW207" s="7"/>
      <c r="AX207" s="7" t="s">
        <v>2766</v>
      </c>
      <c r="AY207" s="7" t="s">
        <v>75</v>
      </c>
      <c r="AZ207" s="7"/>
      <c r="BA207" s="7" t="s">
        <v>76</v>
      </c>
      <c r="BB207" s="7" t="s">
        <v>3815</v>
      </c>
      <c r="BC207" s="7"/>
      <c r="BD207" s="7"/>
      <c r="BE207" s="7"/>
      <c r="BF207" s="7"/>
      <c r="BG207" s="7"/>
      <c r="BH207" s="7"/>
      <c r="BI207" s="7"/>
    </row>
    <row r="208" customFormat="false" ht="14.25" hidden="false" customHeight="true" outlineLevel="0" collapsed="false">
      <c r="A208" s="7" t="s">
        <v>3816</v>
      </c>
      <c r="B208" s="7" t="s">
        <v>3817</v>
      </c>
      <c r="C208" s="7" t="s">
        <v>3818</v>
      </c>
      <c r="D208" s="7" t="s">
        <v>3819</v>
      </c>
      <c r="E208" s="7" t="n">
        <v>2024</v>
      </c>
      <c r="F208" s="8" t="s">
        <v>3820</v>
      </c>
      <c r="G208" s="6" t="s">
        <v>713</v>
      </c>
      <c r="H208" s="7"/>
      <c r="I208" s="7"/>
      <c r="J208" s="7"/>
      <c r="K208" s="7"/>
      <c r="L208" s="7"/>
      <c r="M208" s="7"/>
      <c r="N208" s="7"/>
      <c r="O208" s="7"/>
      <c r="P208" s="7" t="s">
        <v>304</v>
      </c>
      <c r="Q208" s="7" t="s">
        <v>62</v>
      </c>
      <c r="R208" s="7" t="s">
        <v>3821</v>
      </c>
      <c r="S208" s="7"/>
      <c r="T208" s="7" t="s">
        <v>187</v>
      </c>
      <c r="U208" s="7"/>
      <c r="V208" s="7"/>
      <c r="W208" s="7"/>
      <c r="X208" s="7"/>
      <c r="Y208" s="7"/>
      <c r="Z208" s="6" t="s">
        <v>3822</v>
      </c>
      <c r="AA208" s="9" t="s">
        <v>3823</v>
      </c>
      <c r="AB208" s="7" t="s">
        <v>3824</v>
      </c>
      <c r="AC208" s="7" t="s">
        <v>3825</v>
      </c>
      <c r="AD208" s="7" t="s">
        <v>3826</v>
      </c>
      <c r="AE208" s="7" t="s">
        <v>3827</v>
      </c>
      <c r="AF208" s="7"/>
      <c r="AG208" s="7"/>
      <c r="AH208" s="7"/>
      <c r="AI208" s="7"/>
      <c r="AJ208" s="10"/>
      <c r="AK208" s="7"/>
      <c r="AL208" s="7" t="s">
        <v>3828</v>
      </c>
      <c r="AM208" s="7" t="s">
        <v>3829</v>
      </c>
      <c r="AN208" s="7"/>
      <c r="AO208" s="7"/>
      <c r="AP208" s="7" t="s">
        <v>3830</v>
      </c>
      <c r="AQ208" s="7" t="s">
        <v>3831</v>
      </c>
      <c r="AR208" s="7" t="s">
        <v>3832</v>
      </c>
      <c r="AS208" s="7" t="n">
        <v>205131</v>
      </c>
      <c r="AT208" s="7"/>
      <c r="AU208" s="7" t="s">
        <v>3833</v>
      </c>
      <c r="AV208" s="7"/>
      <c r="AW208" s="7"/>
      <c r="AX208" s="7" t="s">
        <v>3834</v>
      </c>
      <c r="AY208" s="7" t="s">
        <v>75</v>
      </c>
      <c r="AZ208" s="7"/>
      <c r="BA208" s="7" t="s">
        <v>76</v>
      </c>
      <c r="BB208" s="7" t="s">
        <v>3835</v>
      </c>
      <c r="BC208" s="7"/>
      <c r="BD208" s="7"/>
      <c r="BE208" s="7"/>
      <c r="BF208" s="7"/>
      <c r="BG208" s="7"/>
      <c r="BH208" s="7"/>
      <c r="BI208" s="7"/>
    </row>
    <row r="209" customFormat="false" ht="14.25" hidden="false" customHeight="true" outlineLevel="0" collapsed="false">
      <c r="A209" s="7" t="s">
        <v>3836</v>
      </c>
      <c r="B209" s="7" t="s">
        <v>3837</v>
      </c>
      <c r="C209" s="7" t="s">
        <v>3838</v>
      </c>
      <c r="D209" s="7" t="s">
        <v>3839</v>
      </c>
      <c r="E209" s="7" t="n">
        <v>2024</v>
      </c>
      <c r="F209" s="8" t="s">
        <v>3840</v>
      </c>
      <c r="G209" s="6" t="s">
        <v>3841</v>
      </c>
      <c r="H209" s="7"/>
      <c r="I209" s="7"/>
      <c r="J209" s="7"/>
      <c r="K209" s="7"/>
      <c r="L209" s="7"/>
      <c r="M209" s="7"/>
      <c r="N209" s="7"/>
      <c r="O209" s="7"/>
      <c r="P209" s="7" t="s">
        <v>304</v>
      </c>
      <c r="Q209" s="7" t="s">
        <v>62</v>
      </c>
      <c r="R209" s="7" t="s">
        <v>3842</v>
      </c>
      <c r="S209" s="7"/>
      <c r="T209" s="7" t="s">
        <v>187</v>
      </c>
      <c r="U209" s="7"/>
      <c r="V209" s="7"/>
      <c r="W209" s="7"/>
      <c r="X209" s="7"/>
      <c r="Y209" s="7"/>
      <c r="Z209" s="6" t="s">
        <v>3843</v>
      </c>
      <c r="AA209" s="9" t="s">
        <v>3844</v>
      </c>
      <c r="AB209" s="7" t="s">
        <v>3845</v>
      </c>
      <c r="AC209" s="7" t="s">
        <v>3846</v>
      </c>
      <c r="AD209" s="7" t="s">
        <v>3847</v>
      </c>
      <c r="AE209" s="7" t="s">
        <v>3848</v>
      </c>
      <c r="AF209" s="7"/>
      <c r="AG209" s="7"/>
      <c r="AH209" s="7"/>
      <c r="AI209" s="7"/>
      <c r="AJ209" s="10"/>
      <c r="AK209" s="7"/>
      <c r="AL209" s="7" t="s">
        <v>3849</v>
      </c>
      <c r="AM209" s="7" t="s">
        <v>3850</v>
      </c>
      <c r="AN209" s="7"/>
      <c r="AO209" s="7"/>
      <c r="AP209" s="7" t="s">
        <v>3842</v>
      </c>
      <c r="AQ209" s="7" t="s">
        <v>3313</v>
      </c>
      <c r="AR209" s="7" t="s">
        <v>3314</v>
      </c>
      <c r="AS209" s="7" t="n">
        <v>199752</v>
      </c>
      <c r="AT209" s="7"/>
      <c r="AU209" s="7" t="s">
        <v>3851</v>
      </c>
      <c r="AV209" s="7"/>
      <c r="AW209" s="7"/>
      <c r="AX209" s="7" t="s">
        <v>3852</v>
      </c>
      <c r="AY209" s="7" t="s">
        <v>75</v>
      </c>
      <c r="AZ209" s="7"/>
      <c r="BA209" s="7" t="s">
        <v>76</v>
      </c>
      <c r="BB209" s="7" t="s">
        <v>3853</v>
      </c>
      <c r="BC209" s="7"/>
      <c r="BD209" s="7"/>
      <c r="BE209" s="7"/>
      <c r="BF209" s="7"/>
      <c r="BG209" s="7"/>
      <c r="BH209" s="7"/>
      <c r="BI209" s="7"/>
    </row>
    <row r="210" customFormat="false" ht="14.25" hidden="false" customHeight="true" outlineLevel="0" collapsed="false">
      <c r="A210" s="7" t="s">
        <v>78</v>
      </c>
      <c r="B210" s="7" t="s">
        <v>79</v>
      </c>
      <c r="C210" s="7" t="s">
        <v>80</v>
      </c>
      <c r="D210" s="7" t="s">
        <v>3854</v>
      </c>
      <c r="E210" s="7" t="n">
        <v>2024</v>
      </c>
      <c r="F210" s="8" t="s">
        <v>3855</v>
      </c>
      <c r="G210" s="6" t="s">
        <v>713</v>
      </c>
      <c r="H210" s="7"/>
      <c r="I210" s="7"/>
      <c r="J210" s="7"/>
      <c r="K210" s="7"/>
      <c r="L210" s="7"/>
      <c r="M210" s="7"/>
      <c r="N210" s="7"/>
      <c r="O210" s="7"/>
      <c r="P210" s="7" t="s">
        <v>304</v>
      </c>
      <c r="Q210" s="7" t="s">
        <v>62</v>
      </c>
      <c r="R210" s="7" t="s">
        <v>3856</v>
      </c>
      <c r="S210" s="7" t="n">
        <v>3</v>
      </c>
      <c r="T210" s="7" t="s">
        <v>3857</v>
      </c>
      <c r="U210" s="7"/>
      <c r="V210" s="7"/>
      <c r="W210" s="7" t="n">
        <v>367</v>
      </c>
      <c r="X210" s="7" t="n">
        <v>374</v>
      </c>
      <c r="Y210" s="7" t="n">
        <v>7</v>
      </c>
      <c r="Z210" s="6" t="s">
        <v>3858</v>
      </c>
      <c r="AA210" s="9" t="s">
        <v>3859</v>
      </c>
      <c r="AB210" s="7" t="s">
        <v>3860</v>
      </c>
      <c r="AC210" s="7" t="s">
        <v>3861</v>
      </c>
      <c r="AD210" s="7" t="s">
        <v>3587</v>
      </c>
      <c r="AE210" s="7"/>
      <c r="AF210" s="7"/>
      <c r="AG210" s="7"/>
      <c r="AH210" s="7"/>
      <c r="AI210" s="7"/>
      <c r="AJ210" s="10" t="s">
        <v>3862</v>
      </c>
      <c r="AK210" s="7" t="s">
        <v>3863</v>
      </c>
      <c r="AL210" s="7" t="s">
        <v>3864</v>
      </c>
      <c r="AM210" s="7"/>
      <c r="AN210" s="7" t="s">
        <v>3865</v>
      </c>
      <c r="AO210" s="7"/>
      <c r="AP210" s="7" t="s">
        <v>3866</v>
      </c>
      <c r="AQ210" s="7" t="s">
        <v>3867</v>
      </c>
      <c r="AR210" s="7" t="s">
        <v>3868</v>
      </c>
      <c r="AS210" s="7" t="n">
        <v>310579</v>
      </c>
      <c r="AT210" s="7" t="n">
        <v>21845921</v>
      </c>
      <c r="AU210" s="7"/>
      <c r="AV210" s="7"/>
      <c r="AW210" s="7"/>
      <c r="AX210" s="7" t="s">
        <v>3869</v>
      </c>
      <c r="AY210" s="7" t="s">
        <v>75</v>
      </c>
      <c r="AZ210" s="7" t="s">
        <v>636</v>
      </c>
      <c r="BA210" s="7" t="s">
        <v>76</v>
      </c>
      <c r="BB210" s="7" t="s">
        <v>3870</v>
      </c>
      <c r="BC210" s="7"/>
      <c r="BD210" s="7"/>
      <c r="BE210" s="7"/>
      <c r="BF210" s="7"/>
      <c r="BG210" s="7"/>
      <c r="BH210" s="7"/>
      <c r="BI210" s="7"/>
    </row>
    <row r="211" customFormat="false" ht="14.25" hidden="false" customHeight="true" outlineLevel="0" collapsed="false">
      <c r="A211" s="7" t="s">
        <v>3871</v>
      </c>
      <c r="B211" s="7" t="s">
        <v>3872</v>
      </c>
      <c r="C211" s="7" t="s">
        <v>3873</v>
      </c>
      <c r="D211" s="7" t="s">
        <v>3874</v>
      </c>
      <c r="E211" s="7" t="n">
        <v>2024</v>
      </c>
      <c r="F211" s="8" t="s">
        <v>3875</v>
      </c>
      <c r="G211" s="6" t="s">
        <v>149</v>
      </c>
      <c r="H211" s="6" t="s">
        <v>3876</v>
      </c>
      <c r="I211" s="6" t="s">
        <v>3877</v>
      </c>
      <c r="J211" s="6" t="s">
        <v>3878</v>
      </c>
      <c r="K211" s="6" t="s">
        <v>3879</v>
      </c>
      <c r="L211" s="6" t="s">
        <v>3754</v>
      </c>
      <c r="M211" s="6" t="s">
        <v>3880</v>
      </c>
      <c r="N211" s="6" t="s">
        <v>3881</v>
      </c>
      <c r="O211" s="6" t="s">
        <v>3882</v>
      </c>
      <c r="P211" s="7" t="s">
        <v>304</v>
      </c>
      <c r="Q211" s="7" t="s">
        <v>62</v>
      </c>
      <c r="R211" s="7" t="s">
        <v>3103</v>
      </c>
      <c r="S211" s="7" t="n">
        <v>48</v>
      </c>
      <c r="T211" s="7" t="s">
        <v>3104</v>
      </c>
      <c r="U211" s="7" t="n">
        <v>3</v>
      </c>
      <c r="V211" s="7"/>
      <c r="W211" s="7" t="n">
        <v>539</v>
      </c>
      <c r="X211" s="7" t="n">
        <v>545</v>
      </c>
      <c r="Y211" s="7" t="n">
        <v>6</v>
      </c>
      <c r="Z211" s="6" t="s">
        <v>3883</v>
      </c>
      <c r="AA211" s="9" t="s">
        <v>3884</v>
      </c>
      <c r="AB211" s="7" t="s">
        <v>3885</v>
      </c>
      <c r="AC211" s="7" t="s">
        <v>3886</v>
      </c>
      <c r="AD211" s="7" t="s">
        <v>3887</v>
      </c>
      <c r="AE211" s="7" t="s">
        <v>3888</v>
      </c>
      <c r="AF211" s="7"/>
      <c r="AG211" s="7"/>
      <c r="AH211" s="7"/>
      <c r="AI211" s="7"/>
      <c r="AJ211" s="10" t="s">
        <v>3889</v>
      </c>
      <c r="AK211" s="7" t="s">
        <v>3890</v>
      </c>
      <c r="AL211" s="7" t="s">
        <v>3891</v>
      </c>
      <c r="AM211" s="7" t="s">
        <v>3892</v>
      </c>
      <c r="AN211" s="7" t="s">
        <v>3893</v>
      </c>
      <c r="AO211" s="7"/>
      <c r="AP211" s="7" t="s">
        <v>3894</v>
      </c>
      <c r="AQ211" s="7" t="s">
        <v>3895</v>
      </c>
      <c r="AR211" s="7" t="s">
        <v>3243</v>
      </c>
      <c r="AS211" s="7" t="n">
        <v>204492</v>
      </c>
      <c r="AT211" s="7" t="n">
        <v>16821750</v>
      </c>
      <c r="AU211" s="7"/>
      <c r="AV211" s="7"/>
      <c r="AW211" s="7"/>
      <c r="AX211" s="7" t="s">
        <v>3116</v>
      </c>
      <c r="AY211" s="7" t="s">
        <v>75</v>
      </c>
      <c r="AZ211" s="7"/>
      <c r="BA211" s="7" t="s">
        <v>76</v>
      </c>
      <c r="BB211" s="7" t="s">
        <v>3896</v>
      </c>
      <c r="BC211" s="7"/>
      <c r="BD211" s="7"/>
      <c r="BE211" s="7"/>
      <c r="BF211" s="7"/>
      <c r="BG211" s="7"/>
      <c r="BH211" s="7"/>
      <c r="BI211" s="7"/>
    </row>
    <row r="212" customFormat="false" ht="14.25" hidden="false" customHeight="true" outlineLevel="0" collapsed="false">
      <c r="A212" s="7" t="s">
        <v>3897</v>
      </c>
      <c r="B212" s="7" t="s">
        <v>3898</v>
      </c>
      <c r="C212" s="7" t="s">
        <v>3899</v>
      </c>
      <c r="D212" s="7" t="s">
        <v>3900</v>
      </c>
      <c r="E212" s="7" t="n">
        <v>2024</v>
      </c>
      <c r="F212" s="8" t="s">
        <v>3901</v>
      </c>
      <c r="G212" s="6" t="s">
        <v>3902</v>
      </c>
      <c r="H212" s="7"/>
      <c r="I212" s="7"/>
      <c r="J212" s="7"/>
      <c r="K212" s="7"/>
      <c r="L212" s="7"/>
      <c r="M212" s="7"/>
      <c r="N212" s="7"/>
      <c r="O212" s="7"/>
      <c r="P212" s="7" t="s">
        <v>304</v>
      </c>
      <c r="Q212" s="7" t="s">
        <v>62</v>
      </c>
      <c r="R212" s="7" t="s">
        <v>3903</v>
      </c>
      <c r="S212" s="7"/>
      <c r="T212" s="7" t="s">
        <v>187</v>
      </c>
      <c r="U212" s="7"/>
      <c r="V212" s="7"/>
      <c r="W212" s="7"/>
      <c r="X212" s="7"/>
      <c r="Y212" s="7"/>
      <c r="Z212" s="6" t="s">
        <v>3904</v>
      </c>
      <c r="AA212" s="9" t="s">
        <v>3905</v>
      </c>
      <c r="AB212" s="7" t="s">
        <v>3906</v>
      </c>
      <c r="AC212" s="7" t="s">
        <v>3907</v>
      </c>
      <c r="AD212" s="7" t="s">
        <v>3908</v>
      </c>
      <c r="AE212" s="7" t="s">
        <v>3909</v>
      </c>
      <c r="AF212" s="7"/>
      <c r="AG212" s="7"/>
      <c r="AH212" s="7"/>
      <c r="AI212" s="7"/>
      <c r="AJ212" s="10"/>
      <c r="AK212" s="7"/>
      <c r="AL212" s="7" t="s">
        <v>3910</v>
      </c>
      <c r="AM212" s="7"/>
      <c r="AN212" s="7"/>
      <c r="AO212" s="7"/>
      <c r="AP212" s="7" t="s">
        <v>3911</v>
      </c>
      <c r="AQ212" s="7" t="s">
        <v>2922</v>
      </c>
      <c r="AR212" s="7" t="s">
        <v>319</v>
      </c>
      <c r="AS212" s="7" t="n">
        <v>204680</v>
      </c>
      <c r="AT212" s="7"/>
      <c r="AU212" s="7" t="s">
        <v>3912</v>
      </c>
      <c r="AV212" s="7"/>
      <c r="AW212" s="7"/>
      <c r="AX212" s="7" t="s">
        <v>3913</v>
      </c>
      <c r="AY212" s="7" t="s">
        <v>75</v>
      </c>
      <c r="AZ212" s="7"/>
      <c r="BA212" s="7" t="s">
        <v>76</v>
      </c>
      <c r="BB212" s="7" t="s">
        <v>3914</v>
      </c>
      <c r="BC212" s="7"/>
      <c r="BD212" s="7"/>
      <c r="BE212" s="7"/>
      <c r="BF212" s="7"/>
      <c r="BG212" s="7"/>
      <c r="BH212" s="7"/>
      <c r="BI212" s="7"/>
    </row>
    <row r="213" customFormat="false" ht="14.25" hidden="false" customHeight="true" outlineLevel="0" collapsed="false">
      <c r="A213" s="7" t="s">
        <v>3915</v>
      </c>
      <c r="B213" s="7" t="s">
        <v>3916</v>
      </c>
      <c r="C213" s="7" t="s">
        <v>3917</v>
      </c>
      <c r="D213" s="7" t="s">
        <v>3918</v>
      </c>
      <c r="E213" s="7" t="n">
        <v>2024</v>
      </c>
      <c r="F213" s="8" t="s">
        <v>3919</v>
      </c>
      <c r="G213" s="6" t="s">
        <v>3102</v>
      </c>
      <c r="H213" s="6" t="s">
        <v>3920</v>
      </c>
      <c r="I213" s="6" t="s">
        <v>3921</v>
      </c>
      <c r="J213" s="6" t="s">
        <v>3922</v>
      </c>
      <c r="K213" s="6" t="s">
        <v>3923</v>
      </c>
      <c r="L213" s="6" t="s">
        <v>3924</v>
      </c>
      <c r="M213" s="6" t="s">
        <v>3925</v>
      </c>
      <c r="N213" s="6" t="s">
        <v>3926</v>
      </c>
      <c r="O213" s="6" t="s">
        <v>3927</v>
      </c>
      <c r="P213" s="7" t="s">
        <v>304</v>
      </c>
      <c r="Q213" s="7" t="s">
        <v>62</v>
      </c>
      <c r="R213" s="7" t="s">
        <v>3103</v>
      </c>
      <c r="S213" s="7" t="n">
        <v>48</v>
      </c>
      <c r="T213" s="7" t="s">
        <v>3104</v>
      </c>
      <c r="U213" s="7" t="n">
        <v>4</v>
      </c>
      <c r="V213" s="7"/>
      <c r="W213" s="7" t="n">
        <v>397</v>
      </c>
      <c r="X213" s="7" t="n">
        <v>402</v>
      </c>
      <c r="Y213" s="7" t="n">
        <v>5</v>
      </c>
      <c r="Z213" s="6" t="s">
        <v>3928</v>
      </c>
      <c r="AA213" s="9" t="s">
        <v>3929</v>
      </c>
      <c r="AB213" s="7" t="s">
        <v>3930</v>
      </c>
      <c r="AC213" s="7" t="s">
        <v>3931</v>
      </c>
      <c r="AD213" s="7" t="s">
        <v>3932</v>
      </c>
      <c r="AE213" s="7" t="s">
        <v>3933</v>
      </c>
      <c r="AF213" s="7"/>
      <c r="AG213" s="7"/>
      <c r="AH213" s="7"/>
      <c r="AI213" s="7"/>
      <c r="AJ213" s="10"/>
      <c r="AK213" s="7"/>
      <c r="AL213" s="7" t="s">
        <v>3934</v>
      </c>
      <c r="AM213" s="7"/>
      <c r="AN213" s="7" t="s">
        <v>3112</v>
      </c>
      <c r="AO213" s="7"/>
      <c r="AP213" s="7" t="s">
        <v>3113</v>
      </c>
      <c r="AQ213" s="7" t="s">
        <v>3114</v>
      </c>
      <c r="AR213" s="7" t="s">
        <v>3115</v>
      </c>
      <c r="AS213" s="7" t="n">
        <v>204515</v>
      </c>
      <c r="AT213" s="7" t="n">
        <v>16821750</v>
      </c>
      <c r="AU213" s="7"/>
      <c r="AV213" s="7"/>
      <c r="AW213" s="7"/>
      <c r="AX213" s="7" t="s">
        <v>3116</v>
      </c>
      <c r="AY213" s="7" t="s">
        <v>75</v>
      </c>
      <c r="AZ213" s="7" t="s">
        <v>127</v>
      </c>
      <c r="BA213" s="7" t="s">
        <v>76</v>
      </c>
      <c r="BB213" s="7" t="s">
        <v>3935</v>
      </c>
      <c r="BC213" s="7"/>
      <c r="BD213" s="7"/>
      <c r="BE213" s="7"/>
      <c r="BF213" s="7"/>
      <c r="BG213" s="7"/>
      <c r="BH213" s="7"/>
      <c r="BI213" s="7"/>
    </row>
    <row r="214" customFormat="false" ht="14.25" hidden="false" customHeight="true" outlineLevel="0" collapsed="false">
      <c r="A214" s="7" t="s">
        <v>3936</v>
      </c>
      <c r="B214" s="7" t="s">
        <v>3937</v>
      </c>
      <c r="C214" s="7" t="s">
        <v>3938</v>
      </c>
      <c r="D214" s="7" t="s">
        <v>3939</v>
      </c>
      <c r="E214" s="7" t="n">
        <v>2024</v>
      </c>
      <c r="F214" s="8" t="s">
        <v>3940</v>
      </c>
      <c r="G214" s="6" t="s">
        <v>713</v>
      </c>
      <c r="H214" s="7"/>
      <c r="I214" s="7"/>
      <c r="J214" s="7"/>
      <c r="K214" s="7"/>
      <c r="L214" s="7"/>
      <c r="M214" s="7"/>
      <c r="N214" s="7"/>
      <c r="O214" s="7"/>
      <c r="P214" s="7" t="s">
        <v>304</v>
      </c>
      <c r="Q214" s="7" t="s">
        <v>62</v>
      </c>
      <c r="R214" s="7" t="s">
        <v>2872</v>
      </c>
      <c r="S214" s="7" t="n">
        <v>3111</v>
      </c>
      <c r="T214" s="7" t="s">
        <v>1668</v>
      </c>
      <c r="U214" s="7" t="n">
        <v>1</v>
      </c>
      <c r="V214" s="7" t="n">
        <v>30020</v>
      </c>
      <c r="W214" s="7"/>
      <c r="X214" s="7"/>
      <c r="Y214" s="7"/>
      <c r="Z214" s="6" t="s">
        <v>3941</v>
      </c>
      <c r="AA214" s="9" t="s">
        <v>3942</v>
      </c>
      <c r="AB214" s="7" t="s">
        <v>3943</v>
      </c>
      <c r="AC214" s="7" t="s">
        <v>3944</v>
      </c>
      <c r="AD214" s="7" t="s">
        <v>3945</v>
      </c>
      <c r="AE214" s="7"/>
      <c r="AF214" s="7"/>
      <c r="AG214" s="7"/>
      <c r="AH214" s="7"/>
      <c r="AI214" s="7"/>
      <c r="AJ214" s="10"/>
      <c r="AK214" s="7"/>
      <c r="AL214" s="7" t="s">
        <v>3946</v>
      </c>
      <c r="AM214" s="7" t="s">
        <v>3947</v>
      </c>
      <c r="AN214" s="7" t="s">
        <v>3948</v>
      </c>
      <c r="AO214" s="7" t="s">
        <v>3949</v>
      </c>
      <c r="AP214" s="7" t="s">
        <v>3950</v>
      </c>
      <c r="AQ214" s="7" t="s">
        <v>3951</v>
      </c>
      <c r="AR214" s="7" t="s">
        <v>3952</v>
      </c>
      <c r="AS214" s="7" t="n">
        <v>201324</v>
      </c>
      <c r="AT214" s="7" t="s">
        <v>2884</v>
      </c>
      <c r="AU214" s="7"/>
      <c r="AV214" s="7"/>
      <c r="AW214" s="7"/>
      <c r="AX214" s="7" t="s">
        <v>2885</v>
      </c>
      <c r="AY214" s="7" t="s">
        <v>75</v>
      </c>
      <c r="AZ214" s="7"/>
      <c r="BA214" s="7" t="s">
        <v>76</v>
      </c>
      <c r="BB214" s="7" t="s">
        <v>3953</v>
      </c>
      <c r="BC214" s="7"/>
      <c r="BD214" s="7"/>
      <c r="BE214" s="7"/>
      <c r="BF214" s="7"/>
      <c r="BG214" s="7"/>
      <c r="BH214" s="7"/>
      <c r="BI214" s="7"/>
    </row>
    <row r="215" customFormat="false" ht="14.25" hidden="false" customHeight="true" outlineLevel="0" collapsed="false">
      <c r="A215" s="7" t="s">
        <v>3954</v>
      </c>
      <c r="B215" s="7" t="s">
        <v>3955</v>
      </c>
      <c r="C215" s="7" t="s">
        <v>3956</v>
      </c>
      <c r="D215" s="7" t="s">
        <v>3957</v>
      </c>
      <c r="E215" s="7" t="n">
        <v>2024</v>
      </c>
      <c r="F215" s="8" t="s">
        <v>3958</v>
      </c>
      <c r="G215" s="6" t="s">
        <v>3841</v>
      </c>
      <c r="H215" s="7"/>
      <c r="I215" s="7"/>
      <c r="J215" s="7"/>
      <c r="K215" s="7"/>
      <c r="L215" s="7"/>
      <c r="M215" s="7"/>
      <c r="N215" s="7"/>
      <c r="O215" s="7"/>
      <c r="P215" s="7" t="s">
        <v>304</v>
      </c>
      <c r="Q215" s="7" t="s">
        <v>62</v>
      </c>
      <c r="R215" s="7" t="s">
        <v>3959</v>
      </c>
      <c r="S215" s="7"/>
      <c r="T215" s="7" t="s">
        <v>187</v>
      </c>
      <c r="U215" s="7"/>
      <c r="V215" s="7"/>
      <c r="W215" s="7"/>
      <c r="X215" s="7"/>
      <c r="Y215" s="7"/>
      <c r="Z215" s="6" t="s">
        <v>3960</v>
      </c>
      <c r="AA215" s="9" t="s">
        <v>3961</v>
      </c>
      <c r="AB215" s="7" t="s">
        <v>3962</v>
      </c>
      <c r="AC215" s="7" t="s">
        <v>3963</v>
      </c>
      <c r="AD215" s="7" t="s">
        <v>3964</v>
      </c>
      <c r="AE215" s="7" t="s">
        <v>3965</v>
      </c>
      <c r="AF215" s="7"/>
      <c r="AG215" s="7"/>
      <c r="AH215" s="7"/>
      <c r="AI215" s="7"/>
      <c r="AJ215" s="10"/>
      <c r="AK215" s="7"/>
      <c r="AL215" s="7" t="s">
        <v>3966</v>
      </c>
      <c r="AM215" s="7" t="s">
        <v>3967</v>
      </c>
      <c r="AN215" s="7"/>
      <c r="AO215" s="7"/>
      <c r="AP215" s="7" t="s">
        <v>3968</v>
      </c>
      <c r="AQ215" s="7" t="s">
        <v>3434</v>
      </c>
      <c r="AR215" s="7" t="s">
        <v>3969</v>
      </c>
      <c r="AS215" s="7" t="n">
        <v>199651</v>
      </c>
      <c r="AT215" s="7"/>
      <c r="AU215" s="7" t="s">
        <v>3970</v>
      </c>
      <c r="AV215" s="7"/>
      <c r="AW215" s="7"/>
      <c r="AX215" s="7" t="s">
        <v>3971</v>
      </c>
      <c r="AY215" s="7" t="s">
        <v>75</v>
      </c>
      <c r="AZ215" s="7"/>
      <c r="BA215" s="7" t="s">
        <v>76</v>
      </c>
      <c r="BB215" s="7" t="s">
        <v>3972</v>
      </c>
      <c r="BC215" s="7"/>
      <c r="BD215" s="7"/>
      <c r="BE215" s="7"/>
      <c r="BF215" s="7"/>
      <c r="BG215" s="7"/>
      <c r="BH215" s="7"/>
      <c r="BI215" s="7"/>
    </row>
    <row r="216" customFormat="false" ht="14.25" hidden="false" customHeight="true" outlineLevel="0" collapsed="false">
      <c r="A216" s="7" t="s">
        <v>3973</v>
      </c>
      <c r="B216" s="7" t="s">
        <v>3974</v>
      </c>
      <c r="C216" s="7" t="s">
        <v>3975</v>
      </c>
      <c r="D216" s="7" t="s">
        <v>3976</v>
      </c>
      <c r="E216" s="7" t="n">
        <v>2024</v>
      </c>
      <c r="F216" s="8" t="s">
        <v>3977</v>
      </c>
      <c r="G216" s="6" t="s">
        <v>713</v>
      </c>
      <c r="H216" s="6"/>
      <c r="I216" s="6" t="s">
        <v>3715</v>
      </c>
      <c r="J216" s="7"/>
      <c r="K216" s="7"/>
      <c r="L216" s="7"/>
      <c r="M216" s="7"/>
      <c r="N216" s="7"/>
      <c r="O216" s="7"/>
      <c r="P216" s="7" t="s">
        <v>304</v>
      </c>
      <c r="Q216" s="7" t="s">
        <v>62</v>
      </c>
      <c r="R216" s="7" t="s">
        <v>2913</v>
      </c>
      <c r="S216" s="7"/>
      <c r="T216" s="7" t="s">
        <v>187</v>
      </c>
      <c r="U216" s="7"/>
      <c r="V216" s="7"/>
      <c r="W216" s="7" t="n">
        <v>833</v>
      </c>
      <c r="X216" s="7" t="n">
        <v>838</v>
      </c>
      <c r="Y216" s="7" t="n">
        <v>5</v>
      </c>
      <c r="Z216" s="6" t="s">
        <v>3978</v>
      </c>
      <c r="AA216" s="9" t="s">
        <v>3979</v>
      </c>
      <c r="AB216" s="7" t="s">
        <v>3980</v>
      </c>
      <c r="AC216" s="7" t="s">
        <v>3981</v>
      </c>
      <c r="AD216" s="7" t="s">
        <v>3982</v>
      </c>
      <c r="AE216" s="7" t="s">
        <v>3983</v>
      </c>
      <c r="AF216" s="7"/>
      <c r="AG216" s="7"/>
      <c r="AH216" s="7"/>
      <c r="AI216" s="7"/>
      <c r="AJ216" s="10"/>
      <c r="AK216" s="7"/>
      <c r="AL216" s="7" t="s">
        <v>3984</v>
      </c>
      <c r="AM216" s="7" t="s">
        <v>3985</v>
      </c>
      <c r="AN216" s="7"/>
      <c r="AO216" s="7"/>
      <c r="AP216" s="7" t="s">
        <v>2921</v>
      </c>
      <c r="AQ216" s="7" t="s">
        <v>2922</v>
      </c>
      <c r="AR216" s="7" t="s">
        <v>2923</v>
      </c>
      <c r="AS216" s="7" t="n">
        <v>205462</v>
      </c>
      <c r="AT216" s="7"/>
      <c r="AU216" s="7" t="s">
        <v>2924</v>
      </c>
      <c r="AV216" s="7"/>
      <c r="AW216" s="7"/>
      <c r="AX216" s="7" t="s">
        <v>2925</v>
      </c>
      <c r="AY216" s="7" t="s">
        <v>75</v>
      </c>
      <c r="AZ216" s="7"/>
      <c r="BA216" s="7" t="s">
        <v>76</v>
      </c>
      <c r="BB216" s="7" t="s">
        <v>3986</v>
      </c>
      <c r="BC216" s="7"/>
      <c r="BD216" s="7"/>
      <c r="BE216" s="7"/>
      <c r="BF216" s="7"/>
      <c r="BG216" s="7"/>
      <c r="BH216" s="7"/>
      <c r="BI216" s="7"/>
    </row>
    <row r="217" customFormat="false" ht="14.25" hidden="false" customHeight="true" outlineLevel="0" collapsed="false">
      <c r="A217" s="7" t="s">
        <v>3987</v>
      </c>
      <c r="B217" s="7" t="s">
        <v>3988</v>
      </c>
      <c r="C217" s="7" t="s">
        <v>3989</v>
      </c>
      <c r="D217" s="7" t="s">
        <v>3990</v>
      </c>
      <c r="E217" s="7" t="n">
        <v>2023</v>
      </c>
      <c r="F217" s="8" t="s">
        <v>3991</v>
      </c>
      <c r="G217" s="6" t="s">
        <v>713</v>
      </c>
      <c r="H217" s="6" t="s">
        <v>3992</v>
      </c>
      <c r="I217" s="6" t="s">
        <v>3992</v>
      </c>
      <c r="J217" s="6" t="s">
        <v>3993</v>
      </c>
      <c r="K217" s="6" t="s">
        <v>3994</v>
      </c>
      <c r="L217" s="6" t="s">
        <v>3754</v>
      </c>
      <c r="M217" s="6" t="s">
        <v>3995</v>
      </c>
      <c r="N217" s="6" t="s">
        <v>3996</v>
      </c>
      <c r="O217" s="6" t="s">
        <v>3997</v>
      </c>
      <c r="P217" s="7" t="s">
        <v>61</v>
      </c>
      <c r="Q217" s="7" t="s">
        <v>62</v>
      </c>
      <c r="R217" s="7" t="s">
        <v>3998</v>
      </c>
      <c r="S217" s="7" t="n">
        <v>13</v>
      </c>
      <c r="T217" s="7" t="s">
        <v>466</v>
      </c>
      <c r="U217" s="7" t="n">
        <v>2</v>
      </c>
      <c r="V217" s="7" t="s">
        <v>3999</v>
      </c>
      <c r="W217" s="7"/>
      <c r="X217" s="7"/>
      <c r="Y217" s="7"/>
      <c r="Z217" s="6" t="s">
        <v>4000</v>
      </c>
      <c r="AA217" s="9" t="s">
        <v>4001</v>
      </c>
      <c r="AB217" s="7" t="s">
        <v>4002</v>
      </c>
      <c r="AC217" s="7" t="s">
        <v>4003</v>
      </c>
      <c r="AD217" s="7" t="s">
        <v>4004</v>
      </c>
      <c r="AE217" s="7" t="s">
        <v>4005</v>
      </c>
      <c r="AF217" s="7"/>
      <c r="AG217" s="7"/>
      <c r="AH217" s="7"/>
      <c r="AI217" s="7"/>
      <c r="AJ217" s="10" t="s">
        <v>4006</v>
      </c>
      <c r="AK217" s="7" t="s">
        <v>4007</v>
      </c>
      <c r="AL217" s="7" t="s">
        <v>4008</v>
      </c>
      <c r="AM217" s="7" t="s">
        <v>4009</v>
      </c>
      <c r="AN217" s="7"/>
      <c r="AO217" s="7"/>
      <c r="AP217" s="7"/>
      <c r="AQ217" s="7"/>
      <c r="AR217" s="7"/>
      <c r="AS217" s="7"/>
      <c r="AT217" s="7" t="n">
        <v>20458932</v>
      </c>
      <c r="AU217" s="7"/>
      <c r="AV217" s="7"/>
      <c r="AW217" s="7"/>
      <c r="AX217" s="7" t="s">
        <v>4010</v>
      </c>
      <c r="AY217" s="7" t="s">
        <v>75</v>
      </c>
      <c r="AZ217" s="7" t="s">
        <v>107</v>
      </c>
      <c r="BA217" s="7" t="s">
        <v>76</v>
      </c>
      <c r="BB217" s="7" t="s">
        <v>4011</v>
      </c>
      <c r="BC217" s="7"/>
      <c r="BD217" s="7"/>
      <c r="BE217" s="7"/>
      <c r="BF217" s="7"/>
      <c r="BG217" s="7"/>
      <c r="BH217" s="7"/>
      <c r="BI217" s="7"/>
    </row>
    <row r="218" customFormat="false" ht="14.25" hidden="false" customHeight="true" outlineLevel="0" collapsed="false">
      <c r="A218" s="7" t="s">
        <v>4012</v>
      </c>
      <c r="B218" s="7" t="s">
        <v>4013</v>
      </c>
      <c r="C218" s="7" t="s">
        <v>4014</v>
      </c>
      <c r="D218" s="7" t="s">
        <v>4015</v>
      </c>
      <c r="E218" s="7" t="n">
        <v>2023</v>
      </c>
      <c r="F218" s="8" t="s">
        <v>4016</v>
      </c>
      <c r="G218" s="6" t="s">
        <v>3714</v>
      </c>
      <c r="H218" s="7"/>
      <c r="I218" s="7"/>
      <c r="J218" s="7"/>
      <c r="K218" s="7"/>
      <c r="L218" s="7"/>
      <c r="M218" s="7"/>
      <c r="N218" s="7"/>
      <c r="O218" s="6"/>
      <c r="P218" s="7" t="s">
        <v>61</v>
      </c>
      <c r="Q218" s="7" t="s">
        <v>62</v>
      </c>
      <c r="R218" s="7" t="s">
        <v>114</v>
      </c>
      <c r="S218" s="7" t="n">
        <v>20</v>
      </c>
      <c r="T218" s="7" t="s">
        <v>115</v>
      </c>
      <c r="U218" s="7" t="n">
        <v>5</v>
      </c>
      <c r="V218" s="7" t="n">
        <v>4130</v>
      </c>
      <c r="W218" s="7"/>
      <c r="X218" s="7"/>
      <c r="Y218" s="7"/>
      <c r="Z218" s="6" t="s">
        <v>4017</v>
      </c>
      <c r="AA218" s="9" t="s">
        <v>4018</v>
      </c>
      <c r="AB218" s="7" t="s">
        <v>4019</v>
      </c>
      <c r="AC218" s="7" t="s">
        <v>4020</v>
      </c>
      <c r="AD218" s="7" t="s">
        <v>4021</v>
      </c>
      <c r="AE218" s="7" t="s">
        <v>4022</v>
      </c>
      <c r="AF218" s="7"/>
      <c r="AG218" s="7"/>
      <c r="AH218" s="7"/>
      <c r="AI218" s="7"/>
      <c r="AJ218" s="10"/>
      <c r="AK218" s="7"/>
      <c r="AL218" s="7" t="s">
        <v>4023</v>
      </c>
      <c r="AM218" s="7" t="s">
        <v>4024</v>
      </c>
      <c r="AN218" s="7"/>
      <c r="AO218" s="7"/>
      <c r="AP218" s="7"/>
      <c r="AQ218" s="7"/>
      <c r="AR218" s="7"/>
      <c r="AS218" s="7"/>
      <c r="AT218" s="7" t="n">
        <v>16617827</v>
      </c>
      <c r="AU218" s="7"/>
      <c r="AV218" s="7"/>
      <c r="AW218" s="7" t="n">
        <v>36901139</v>
      </c>
      <c r="AX218" s="7" t="s">
        <v>126</v>
      </c>
      <c r="AY218" s="7" t="s">
        <v>75</v>
      </c>
      <c r="AZ218" s="7" t="s">
        <v>107</v>
      </c>
      <c r="BA218" s="7" t="s">
        <v>76</v>
      </c>
      <c r="BB218" s="7" t="s">
        <v>4025</v>
      </c>
      <c r="BC218" s="7"/>
      <c r="BD218" s="7"/>
      <c r="BE218" s="7"/>
      <c r="BF218" s="7"/>
      <c r="BG218" s="7"/>
      <c r="BH218" s="7"/>
      <c r="BI218" s="7"/>
    </row>
    <row r="219" customFormat="false" ht="14.25" hidden="false" customHeight="true" outlineLevel="0" collapsed="false">
      <c r="A219" s="7" t="s">
        <v>4026</v>
      </c>
      <c r="B219" s="7" t="s">
        <v>4027</v>
      </c>
      <c r="C219" s="7" t="s">
        <v>4028</v>
      </c>
      <c r="D219" s="7" t="s">
        <v>4029</v>
      </c>
      <c r="E219" s="7" t="n">
        <v>2023</v>
      </c>
      <c r="F219" s="8" t="s">
        <v>4030</v>
      </c>
      <c r="G219" s="6" t="s">
        <v>713</v>
      </c>
      <c r="H219" s="7"/>
      <c r="I219" s="7"/>
      <c r="J219" s="7"/>
      <c r="K219" s="7"/>
      <c r="L219" s="7"/>
      <c r="M219" s="7"/>
      <c r="N219" s="7"/>
      <c r="O219" s="7"/>
      <c r="P219" s="7" t="s">
        <v>61</v>
      </c>
      <c r="Q219" s="7" t="s">
        <v>62</v>
      </c>
      <c r="R219" s="7" t="s">
        <v>4031</v>
      </c>
      <c r="S219" s="7" t="n">
        <v>4</v>
      </c>
      <c r="T219" s="7" t="s">
        <v>151</v>
      </c>
      <c r="U219" s="7"/>
      <c r="V219" s="7" t="n">
        <v>100209</v>
      </c>
      <c r="W219" s="7"/>
      <c r="X219" s="7"/>
      <c r="Y219" s="7"/>
      <c r="Z219" s="6" t="s">
        <v>4032</v>
      </c>
      <c r="AA219" s="9" t="s">
        <v>4033</v>
      </c>
      <c r="AB219" s="7" t="s">
        <v>4034</v>
      </c>
      <c r="AC219" s="7" t="s">
        <v>4035</v>
      </c>
      <c r="AD219" s="7" t="s">
        <v>4036</v>
      </c>
      <c r="AE219" s="7" t="s">
        <v>4037</v>
      </c>
      <c r="AF219" s="7"/>
      <c r="AG219" s="7"/>
      <c r="AH219" s="7"/>
      <c r="AI219" s="7"/>
      <c r="AJ219" s="10"/>
      <c r="AK219" s="7"/>
      <c r="AL219" s="7" t="s">
        <v>4038</v>
      </c>
      <c r="AM219" s="7" t="s">
        <v>4039</v>
      </c>
      <c r="AN219" s="7"/>
      <c r="AO219" s="7"/>
      <c r="AP219" s="7"/>
      <c r="AQ219" s="7"/>
      <c r="AR219" s="7"/>
      <c r="AS219" s="7"/>
      <c r="AT219" s="7" t="n">
        <v>26663511</v>
      </c>
      <c r="AU219" s="7"/>
      <c r="AV219" s="7"/>
      <c r="AW219" s="7"/>
      <c r="AX219" s="7" t="s">
        <v>4040</v>
      </c>
      <c r="AY219" s="7" t="s">
        <v>75</v>
      </c>
      <c r="AZ219" s="7" t="s">
        <v>127</v>
      </c>
      <c r="BA219" s="7" t="s">
        <v>76</v>
      </c>
      <c r="BB219" s="7" t="s">
        <v>4041</v>
      </c>
      <c r="BC219" s="7"/>
      <c r="BD219" s="7"/>
      <c r="BE219" s="7"/>
      <c r="BF219" s="7"/>
      <c r="BG219" s="7"/>
      <c r="BH219" s="7"/>
      <c r="BI219" s="7"/>
    </row>
    <row r="220" customFormat="false" ht="14.25" hidden="false" customHeight="true" outlineLevel="0" collapsed="false">
      <c r="A220" s="7" t="s">
        <v>4042</v>
      </c>
      <c r="B220" s="7" t="s">
        <v>4043</v>
      </c>
      <c r="C220" s="7" t="s">
        <v>4044</v>
      </c>
      <c r="D220" s="7" t="s">
        <v>4045</v>
      </c>
      <c r="E220" s="7" t="n">
        <v>2023</v>
      </c>
      <c r="F220" s="8" t="s">
        <v>4046</v>
      </c>
      <c r="G220" s="6" t="s">
        <v>169</v>
      </c>
      <c r="H220" s="7"/>
      <c r="I220" s="7"/>
      <c r="J220" s="7"/>
      <c r="K220" s="7"/>
      <c r="L220" s="7"/>
      <c r="M220" s="7"/>
      <c r="N220" s="7"/>
      <c r="O220" s="7"/>
      <c r="P220" s="7" t="s">
        <v>61</v>
      </c>
      <c r="Q220" s="7" t="s">
        <v>62</v>
      </c>
      <c r="R220" s="7" t="s">
        <v>4047</v>
      </c>
      <c r="S220" s="7" t="n">
        <v>8</v>
      </c>
      <c r="T220" s="7" t="s">
        <v>4048</v>
      </c>
      <c r="U220" s="7" t="n">
        <v>1</v>
      </c>
      <c r="V220" s="7" t="n">
        <v>33</v>
      </c>
      <c r="W220" s="7"/>
      <c r="X220" s="7"/>
      <c r="Y220" s="7"/>
      <c r="Z220" s="6" t="s">
        <v>4049</v>
      </c>
      <c r="AA220" s="9" t="s">
        <v>4050</v>
      </c>
      <c r="AB220" s="7" t="s">
        <v>4051</v>
      </c>
      <c r="AC220" s="7" t="s">
        <v>4052</v>
      </c>
      <c r="AD220" s="7" t="s">
        <v>4053</v>
      </c>
      <c r="AE220" s="7" t="s">
        <v>4054</v>
      </c>
      <c r="AF220" s="7"/>
      <c r="AG220" s="7" t="s">
        <v>225</v>
      </c>
      <c r="AH220" s="7"/>
      <c r="AI220" s="7"/>
      <c r="AJ220" s="10" t="s">
        <v>4055</v>
      </c>
      <c r="AK220" s="7" t="s">
        <v>4056</v>
      </c>
      <c r="AL220" s="7" t="s">
        <v>4057</v>
      </c>
      <c r="AM220" s="7" t="s">
        <v>4058</v>
      </c>
      <c r="AN220" s="7"/>
      <c r="AO220" s="7"/>
      <c r="AP220" s="7"/>
      <c r="AQ220" s="7"/>
      <c r="AR220" s="7"/>
      <c r="AS220" s="7"/>
      <c r="AT220" s="7" t="n">
        <v>24146366</v>
      </c>
      <c r="AU220" s="7"/>
      <c r="AV220" s="7"/>
      <c r="AW220" s="7"/>
      <c r="AX220" s="7" t="s">
        <v>4059</v>
      </c>
      <c r="AY220" s="7" t="s">
        <v>75</v>
      </c>
      <c r="AZ220" s="7" t="s">
        <v>107</v>
      </c>
      <c r="BA220" s="7" t="s">
        <v>76</v>
      </c>
      <c r="BB220" s="7" t="s">
        <v>4060</v>
      </c>
      <c r="BC220" s="7"/>
      <c r="BD220" s="7"/>
      <c r="BE220" s="7"/>
      <c r="BF220" s="7"/>
      <c r="BG220" s="7"/>
      <c r="BH220" s="7"/>
      <c r="BI220" s="7"/>
    </row>
    <row r="221" customFormat="false" ht="14.25" hidden="false" customHeight="true" outlineLevel="0" collapsed="false">
      <c r="A221" s="7" t="s">
        <v>4061</v>
      </c>
      <c r="B221" s="7" t="s">
        <v>4062</v>
      </c>
      <c r="C221" s="7" t="s">
        <v>4063</v>
      </c>
      <c r="D221" s="7" t="s">
        <v>4064</v>
      </c>
      <c r="E221" s="7" t="n">
        <v>2023</v>
      </c>
      <c r="F221" s="8" t="s">
        <v>4065</v>
      </c>
      <c r="G221" s="6" t="s">
        <v>713</v>
      </c>
      <c r="H221" s="7"/>
      <c r="I221" s="7"/>
      <c r="J221" s="7"/>
      <c r="K221" s="7"/>
      <c r="L221" s="7"/>
      <c r="M221" s="7"/>
      <c r="N221" s="7"/>
      <c r="O221" s="7"/>
      <c r="P221" s="7" t="s">
        <v>61</v>
      </c>
      <c r="Q221" s="7" t="s">
        <v>62</v>
      </c>
      <c r="R221" s="7" t="s">
        <v>4066</v>
      </c>
      <c r="S221" s="7" t="n">
        <v>16</v>
      </c>
      <c r="T221" s="7" t="s">
        <v>903</v>
      </c>
      <c r="U221" s="7" t="n">
        <v>1</v>
      </c>
      <c r="V221" s="7" t="n">
        <v>269</v>
      </c>
      <c r="W221" s="7"/>
      <c r="X221" s="7"/>
      <c r="Y221" s="7"/>
      <c r="Z221" s="7" t="s">
        <v>4067</v>
      </c>
      <c r="AA221" s="9" t="s">
        <v>4068</v>
      </c>
      <c r="AB221" s="7" t="s">
        <v>4069</v>
      </c>
      <c r="AC221" s="7" t="s">
        <v>4070</v>
      </c>
      <c r="AD221" s="7" t="s">
        <v>4071</v>
      </c>
      <c r="AE221" s="7" t="s">
        <v>4072</v>
      </c>
      <c r="AF221" s="7"/>
      <c r="AG221" s="7" t="s">
        <v>4073</v>
      </c>
      <c r="AH221" s="7"/>
      <c r="AI221" s="7"/>
      <c r="AJ221" s="10" t="s">
        <v>4074</v>
      </c>
      <c r="AK221" s="7" t="s">
        <v>4075</v>
      </c>
      <c r="AL221" s="7" t="s">
        <v>4076</v>
      </c>
      <c r="AM221" s="7" t="s">
        <v>4077</v>
      </c>
      <c r="AN221" s="7"/>
      <c r="AO221" s="7"/>
      <c r="AP221" s="7"/>
      <c r="AQ221" s="7"/>
      <c r="AR221" s="7"/>
      <c r="AS221" s="7"/>
      <c r="AT221" s="7" t="n">
        <v>17558794</v>
      </c>
      <c r="AU221" s="7"/>
      <c r="AV221" s="7"/>
      <c r="AW221" s="7" t="n">
        <v>37904220</v>
      </c>
      <c r="AX221" s="7" t="s">
        <v>4078</v>
      </c>
      <c r="AY221" s="7" t="s">
        <v>75</v>
      </c>
      <c r="AZ221" s="7" t="s">
        <v>127</v>
      </c>
      <c r="BA221" s="7" t="s">
        <v>76</v>
      </c>
      <c r="BB221" s="7" t="s">
        <v>4079</v>
      </c>
      <c r="BC221" s="7"/>
      <c r="BD221" s="7"/>
      <c r="BE221" s="7"/>
      <c r="BF221" s="7"/>
      <c r="BG221" s="7"/>
      <c r="BH221" s="7"/>
      <c r="BI221" s="7"/>
    </row>
    <row r="222" customFormat="false" ht="14.25" hidden="false" customHeight="true" outlineLevel="0" collapsed="false">
      <c r="A222" s="7" t="s">
        <v>4080</v>
      </c>
      <c r="B222" s="7" t="s">
        <v>4081</v>
      </c>
      <c r="C222" s="7" t="s">
        <v>4082</v>
      </c>
      <c r="D222" s="7" t="s">
        <v>4083</v>
      </c>
      <c r="E222" s="7" t="n">
        <v>2023</v>
      </c>
      <c r="F222" s="8" t="s">
        <v>4084</v>
      </c>
      <c r="G222" s="6" t="s">
        <v>713</v>
      </c>
      <c r="H222" s="7"/>
      <c r="I222" s="7"/>
      <c r="J222" s="7"/>
      <c r="K222" s="7"/>
      <c r="L222" s="7"/>
      <c r="M222" s="7"/>
      <c r="N222" s="7"/>
      <c r="O222" s="7"/>
      <c r="P222" s="7" t="s">
        <v>61</v>
      </c>
      <c r="Q222" s="7" t="s">
        <v>62</v>
      </c>
      <c r="R222" s="7" t="s">
        <v>4085</v>
      </c>
      <c r="S222" s="7" t="n">
        <v>9</v>
      </c>
      <c r="T222" s="7" t="s">
        <v>4086</v>
      </c>
      <c r="U222" s="7"/>
      <c r="V222" s="7" t="n">
        <v>100352</v>
      </c>
      <c r="W222" s="7"/>
      <c r="X222" s="7"/>
      <c r="Y222" s="7"/>
      <c r="Z222" s="7" t="s">
        <v>4087</v>
      </c>
      <c r="AA222" s="9" t="s">
        <v>4088</v>
      </c>
      <c r="AB222" s="7" t="s">
        <v>4089</v>
      </c>
      <c r="AC222" s="7" t="s">
        <v>4090</v>
      </c>
      <c r="AD222" s="7" t="s">
        <v>4091</v>
      </c>
      <c r="AE222" s="7"/>
      <c r="AF222" s="7"/>
      <c r="AG222" s="7"/>
      <c r="AH222" s="7"/>
      <c r="AI222" s="7"/>
      <c r="AJ222" s="10"/>
      <c r="AK222" s="7"/>
      <c r="AL222" s="7" t="s">
        <v>4092</v>
      </c>
      <c r="AM222" s="7" t="s">
        <v>4093</v>
      </c>
      <c r="AN222" s="7"/>
      <c r="AO222" s="7"/>
      <c r="AP222" s="7"/>
      <c r="AQ222" s="7"/>
      <c r="AR222" s="7"/>
      <c r="AS222" s="7"/>
      <c r="AT222" s="7" t="n">
        <v>27726622</v>
      </c>
      <c r="AU222" s="7"/>
      <c r="AV222" s="7"/>
      <c r="AW222" s="7"/>
      <c r="AX222" s="7" t="s">
        <v>4094</v>
      </c>
      <c r="AY222" s="7" t="s">
        <v>75</v>
      </c>
      <c r="AZ222" s="7" t="s">
        <v>127</v>
      </c>
      <c r="BA222" s="7" t="s">
        <v>76</v>
      </c>
      <c r="BB222" s="7" t="s">
        <v>4095</v>
      </c>
      <c r="BC222" s="7"/>
      <c r="BD222" s="7"/>
      <c r="BE222" s="7"/>
      <c r="BF222" s="7"/>
      <c r="BG222" s="7"/>
      <c r="BH222" s="7"/>
      <c r="BI222" s="7"/>
    </row>
    <row r="223" customFormat="false" ht="14.25" hidden="false" customHeight="true" outlineLevel="0" collapsed="false">
      <c r="A223" s="7" t="s">
        <v>4096</v>
      </c>
      <c r="B223" s="7" t="s">
        <v>4097</v>
      </c>
      <c r="C223" s="7" t="s">
        <v>4098</v>
      </c>
      <c r="D223" s="7" t="s">
        <v>4099</v>
      </c>
      <c r="E223" s="7" t="n">
        <v>2023</v>
      </c>
      <c r="F223" s="8" t="s">
        <v>4100</v>
      </c>
      <c r="G223" s="6" t="s">
        <v>1686</v>
      </c>
      <c r="H223" s="7"/>
      <c r="I223" s="6" t="s">
        <v>4101</v>
      </c>
      <c r="J223" s="7"/>
      <c r="K223" s="7"/>
      <c r="L223" s="7"/>
      <c r="M223" s="7"/>
      <c r="N223" s="7"/>
      <c r="O223" s="7"/>
      <c r="P223" s="7" t="s">
        <v>61</v>
      </c>
      <c r="Q223" s="7" t="s">
        <v>62</v>
      </c>
      <c r="R223" s="7" t="s">
        <v>4102</v>
      </c>
      <c r="S223" s="7" t="n">
        <v>22</v>
      </c>
      <c r="T223" s="7" t="s">
        <v>64</v>
      </c>
      <c r="U223" s="7"/>
      <c r="V223" s="7" t="n">
        <v>100511</v>
      </c>
      <c r="W223" s="7"/>
      <c r="X223" s="7"/>
      <c r="Y223" s="7"/>
      <c r="Z223" s="7" t="s">
        <v>4103</v>
      </c>
      <c r="AA223" s="9" t="s">
        <v>4104</v>
      </c>
      <c r="AB223" s="7" t="s">
        <v>4105</v>
      </c>
      <c r="AC223" s="7" t="s">
        <v>4106</v>
      </c>
      <c r="AD223" s="7" t="s">
        <v>4107</v>
      </c>
      <c r="AE223" s="7" t="s">
        <v>4108</v>
      </c>
      <c r="AF223" s="7"/>
      <c r="AG223" s="7" t="s">
        <v>4109</v>
      </c>
      <c r="AH223" s="7"/>
      <c r="AI223" s="7"/>
      <c r="AJ223" s="10" t="s">
        <v>4110</v>
      </c>
      <c r="AK223" s="7" t="s">
        <v>4111</v>
      </c>
      <c r="AL223" s="7" t="s">
        <v>4112</v>
      </c>
      <c r="AM223" s="7" t="s">
        <v>4113</v>
      </c>
      <c r="AN223" s="7"/>
      <c r="AO223" s="7"/>
      <c r="AP223" s="7"/>
      <c r="AQ223" s="7"/>
      <c r="AR223" s="7"/>
      <c r="AS223" s="7"/>
      <c r="AT223" s="7" t="s">
        <v>4114</v>
      </c>
      <c r="AU223" s="7"/>
      <c r="AV223" s="7"/>
      <c r="AW223" s="7"/>
      <c r="AX223" s="7" t="s">
        <v>4115</v>
      </c>
      <c r="AY223" s="7" t="s">
        <v>75</v>
      </c>
      <c r="AZ223" s="7" t="s">
        <v>107</v>
      </c>
      <c r="BA223" s="7" t="s">
        <v>76</v>
      </c>
      <c r="BB223" s="7" t="s">
        <v>4116</v>
      </c>
      <c r="BC223" s="7"/>
      <c r="BD223" s="7"/>
      <c r="BE223" s="7"/>
      <c r="BF223" s="7"/>
      <c r="BG223" s="7"/>
      <c r="BH223" s="7"/>
      <c r="BI223" s="7"/>
    </row>
    <row r="224" customFormat="false" ht="14.25" hidden="false" customHeight="true" outlineLevel="0" collapsed="false">
      <c r="A224" s="7" t="s">
        <v>4117</v>
      </c>
      <c r="B224" s="7" t="s">
        <v>4118</v>
      </c>
      <c r="C224" s="7" t="s">
        <v>4119</v>
      </c>
      <c r="D224" s="7" t="s">
        <v>4120</v>
      </c>
      <c r="E224" s="7" t="n">
        <v>2023</v>
      </c>
      <c r="F224" s="8" t="s">
        <v>4121</v>
      </c>
      <c r="G224" s="6" t="s">
        <v>169</v>
      </c>
      <c r="H224" s="7"/>
      <c r="I224" s="7"/>
      <c r="J224" s="7"/>
      <c r="K224" s="7"/>
      <c r="L224" s="7"/>
      <c r="M224" s="7"/>
      <c r="N224" s="7"/>
      <c r="O224" s="7"/>
      <c r="P224" s="7" t="s">
        <v>61</v>
      </c>
      <c r="Q224" s="7" t="s">
        <v>62</v>
      </c>
      <c r="R224" s="7" t="s">
        <v>679</v>
      </c>
      <c r="S224" s="7" t="n">
        <v>17</v>
      </c>
      <c r="T224" s="7" t="s">
        <v>500</v>
      </c>
      <c r="U224" s="11" t="n">
        <v>45909</v>
      </c>
      <c r="V224" s="7" t="s">
        <v>4122</v>
      </c>
      <c r="W224" s="7"/>
      <c r="X224" s="7"/>
      <c r="Y224" s="7"/>
      <c r="Z224" s="7" t="s">
        <v>4123</v>
      </c>
      <c r="AA224" s="9" t="s">
        <v>4124</v>
      </c>
      <c r="AB224" s="7" t="s">
        <v>4125</v>
      </c>
      <c r="AC224" s="7" t="s">
        <v>4126</v>
      </c>
      <c r="AD224" s="7"/>
      <c r="AE224" s="7" t="s">
        <v>4127</v>
      </c>
      <c r="AF224" s="7"/>
      <c r="AG224" s="7" t="s">
        <v>4128</v>
      </c>
      <c r="AH224" s="7" t="s">
        <v>4129</v>
      </c>
      <c r="AI224" s="7" t="s">
        <v>4130</v>
      </c>
      <c r="AJ224" s="10" t="s">
        <v>4131</v>
      </c>
      <c r="AK224" s="7" t="s">
        <v>4132</v>
      </c>
      <c r="AL224" s="7" t="s">
        <v>4133</v>
      </c>
      <c r="AM224" s="7" t="s">
        <v>4134</v>
      </c>
      <c r="AN224" s="7"/>
      <c r="AO224" s="7"/>
      <c r="AP224" s="7"/>
      <c r="AQ224" s="7"/>
      <c r="AR224" s="7"/>
      <c r="AS224" s="7"/>
      <c r="AT224" s="7" t="n">
        <v>19352727</v>
      </c>
      <c r="AU224" s="7"/>
      <c r="AV224" s="7"/>
      <c r="AW224" s="7" t="n">
        <v>37676889</v>
      </c>
      <c r="AX224" s="7" t="s">
        <v>689</v>
      </c>
      <c r="AY224" s="7" t="s">
        <v>75</v>
      </c>
      <c r="AZ224" s="7"/>
      <c r="BA224" s="7" t="s">
        <v>76</v>
      </c>
      <c r="BB224" s="7" t="s">
        <v>4135</v>
      </c>
      <c r="BC224" s="7"/>
      <c r="BD224" s="7"/>
      <c r="BE224" s="7"/>
      <c r="BF224" s="7"/>
      <c r="BG224" s="7"/>
      <c r="BH224" s="7"/>
      <c r="BI224" s="7"/>
    </row>
    <row r="225" customFormat="false" ht="14.25" hidden="false" customHeight="true" outlineLevel="0" collapsed="false">
      <c r="A225" s="7" t="s">
        <v>4136</v>
      </c>
      <c r="B225" s="7" t="s">
        <v>4137</v>
      </c>
      <c r="C225" s="7" t="s">
        <v>4138</v>
      </c>
      <c r="D225" s="7" t="s">
        <v>4139</v>
      </c>
      <c r="E225" s="7" t="n">
        <v>2023</v>
      </c>
      <c r="F225" s="8" t="s">
        <v>4140</v>
      </c>
      <c r="G225" s="6" t="s">
        <v>713</v>
      </c>
      <c r="H225" s="7"/>
      <c r="I225" s="7"/>
      <c r="J225" s="7"/>
      <c r="K225" s="7"/>
      <c r="L225" s="7"/>
      <c r="M225" s="7"/>
      <c r="N225" s="7"/>
      <c r="O225" s="7"/>
      <c r="P225" s="7" t="s">
        <v>61</v>
      </c>
      <c r="Q225" s="7" t="s">
        <v>62</v>
      </c>
      <c r="R225" s="7" t="s">
        <v>4141</v>
      </c>
      <c r="S225" s="7" t="n">
        <v>15</v>
      </c>
      <c r="T225" s="7" t="s">
        <v>4142</v>
      </c>
      <c r="U225" s="7" t="n">
        <v>3</v>
      </c>
      <c r="V225" s="7"/>
      <c r="W225" s="7" t="n">
        <v>112</v>
      </c>
      <c r="X225" s="7" t="n">
        <v>124</v>
      </c>
      <c r="Y225" s="7" t="n">
        <v>12</v>
      </c>
      <c r="Z225" s="7"/>
      <c r="AA225" s="9" t="s">
        <v>4143</v>
      </c>
      <c r="AB225" s="7" t="s">
        <v>4144</v>
      </c>
      <c r="AC225" s="7" t="s">
        <v>4145</v>
      </c>
      <c r="AD225" s="7" t="s">
        <v>4146</v>
      </c>
      <c r="AE225" s="7"/>
      <c r="AF225" s="7"/>
      <c r="AG225" s="7"/>
      <c r="AH225" s="7"/>
      <c r="AI225" s="7"/>
      <c r="AJ225" s="10"/>
      <c r="AK225" s="7"/>
      <c r="AL225" s="7" t="s">
        <v>4147</v>
      </c>
      <c r="AM225" s="7" t="s">
        <v>4148</v>
      </c>
      <c r="AN225" s="7"/>
      <c r="AO225" s="7"/>
      <c r="AP225" s="7"/>
      <c r="AQ225" s="7"/>
      <c r="AR225" s="7"/>
      <c r="AS225" s="7"/>
      <c r="AT225" s="7" t="n">
        <v>20084595</v>
      </c>
      <c r="AU225" s="7"/>
      <c r="AV225" s="7"/>
      <c r="AW225" s="7"/>
      <c r="AX225" s="7" t="s">
        <v>4149</v>
      </c>
      <c r="AY225" s="7" t="s">
        <v>75</v>
      </c>
      <c r="AZ225" s="7"/>
      <c r="BA225" s="7" t="s">
        <v>76</v>
      </c>
      <c r="BB225" s="7" t="s">
        <v>4150</v>
      </c>
      <c r="BC225" s="7"/>
      <c r="BD225" s="7"/>
      <c r="BE225" s="7"/>
      <c r="BF225" s="7"/>
      <c r="BG225" s="7"/>
      <c r="BH225" s="7"/>
      <c r="BI225" s="7"/>
    </row>
    <row r="226" customFormat="false" ht="14.25" hidden="false" customHeight="true" outlineLevel="0" collapsed="false">
      <c r="A226" s="7" t="s">
        <v>4151</v>
      </c>
      <c r="B226" s="7" t="s">
        <v>4152</v>
      </c>
      <c r="C226" s="7" t="s">
        <v>4153</v>
      </c>
      <c r="D226" s="7" t="s">
        <v>4154</v>
      </c>
      <c r="E226" s="7" t="n">
        <v>2023</v>
      </c>
      <c r="F226" s="8" t="s">
        <v>4155</v>
      </c>
      <c r="G226" s="6" t="s">
        <v>713</v>
      </c>
      <c r="H226" s="7"/>
      <c r="I226" s="7"/>
      <c r="J226" s="7"/>
      <c r="K226" s="7"/>
      <c r="L226" s="7"/>
      <c r="M226" s="7"/>
      <c r="N226" s="7"/>
      <c r="O226" s="7"/>
      <c r="P226" s="7" t="s">
        <v>61</v>
      </c>
      <c r="Q226" s="7" t="s">
        <v>62</v>
      </c>
      <c r="R226" s="7" t="s">
        <v>4156</v>
      </c>
      <c r="S226" s="7" t="n">
        <v>10</v>
      </c>
      <c r="T226" s="7" t="s">
        <v>187</v>
      </c>
      <c r="U226" s="7" t="n">
        <v>24</v>
      </c>
      <c r="V226" s="7"/>
      <c r="W226" s="7" t="n">
        <v>21544</v>
      </c>
      <c r="X226" s="7" t="n">
        <v>21553</v>
      </c>
      <c r="Y226" s="7" t="n">
        <v>9</v>
      </c>
      <c r="Z226" s="7" t="s">
        <v>4157</v>
      </c>
      <c r="AA226" s="9" t="s">
        <v>4158</v>
      </c>
      <c r="AB226" s="7" t="s">
        <v>4159</v>
      </c>
      <c r="AC226" s="7" t="s">
        <v>4160</v>
      </c>
      <c r="AD226" s="7" t="s">
        <v>4161</v>
      </c>
      <c r="AE226" s="7" t="s">
        <v>4162</v>
      </c>
      <c r="AF226" s="7"/>
      <c r="AG226" s="7"/>
      <c r="AH226" s="7"/>
      <c r="AI226" s="7"/>
      <c r="AJ226" s="10" t="s">
        <v>4163</v>
      </c>
      <c r="AK226" s="7" t="s">
        <v>4164</v>
      </c>
      <c r="AL226" s="7" t="s">
        <v>4165</v>
      </c>
      <c r="AM226" s="7" t="s">
        <v>4166</v>
      </c>
      <c r="AN226" s="7"/>
      <c r="AO226" s="7"/>
      <c r="AP226" s="7"/>
      <c r="AQ226" s="7"/>
      <c r="AR226" s="7"/>
      <c r="AS226" s="7"/>
      <c r="AT226" s="7" t="n">
        <v>23274662</v>
      </c>
      <c r="AU226" s="7"/>
      <c r="AV226" s="7"/>
      <c r="AW226" s="7"/>
      <c r="AX226" s="7" t="s">
        <v>4167</v>
      </c>
      <c r="AY226" s="7" t="s">
        <v>75</v>
      </c>
      <c r="AZ226" s="7"/>
      <c r="BA226" s="7" t="s">
        <v>76</v>
      </c>
      <c r="BB226" s="7" t="s">
        <v>4168</v>
      </c>
      <c r="BC226" s="7"/>
      <c r="BD226" s="7"/>
      <c r="BE226" s="7"/>
      <c r="BF226" s="7"/>
      <c r="BG226" s="7"/>
      <c r="BH226" s="7"/>
      <c r="BI226" s="7"/>
    </row>
    <row r="227" customFormat="false" ht="14.25" hidden="false" customHeight="true" outlineLevel="0" collapsed="false">
      <c r="A227" s="7" t="s">
        <v>4169</v>
      </c>
      <c r="B227" s="7" t="s">
        <v>4170</v>
      </c>
      <c r="C227" s="7" t="s">
        <v>4171</v>
      </c>
      <c r="D227" s="6" t="s">
        <v>4172</v>
      </c>
      <c r="E227" s="7" t="n">
        <v>2023</v>
      </c>
      <c r="F227" s="8" t="s">
        <v>4173</v>
      </c>
      <c r="G227" s="6" t="s">
        <v>149</v>
      </c>
      <c r="H227" s="7"/>
      <c r="I227" s="6" t="s">
        <v>4174</v>
      </c>
      <c r="J227" s="7"/>
      <c r="K227" s="7"/>
      <c r="L227" s="7"/>
      <c r="M227" s="7"/>
      <c r="N227" s="7"/>
      <c r="O227" s="7"/>
      <c r="P227" s="7" t="s">
        <v>61</v>
      </c>
      <c r="Q227" s="7" t="s">
        <v>62</v>
      </c>
      <c r="R227" s="7" t="s">
        <v>4175</v>
      </c>
      <c r="S227" s="7" t="n">
        <v>37</v>
      </c>
      <c r="T227" s="7" t="s">
        <v>64</v>
      </c>
      <c r="U227" s="7"/>
      <c r="V227" s="7" t="n">
        <v>100792</v>
      </c>
      <c r="W227" s="7"/>
      <c r="X227" s="7"/>
      <c r="Y227" s="7"/>
      <c r="Z227" s="7" t="s">
        <v>4176</v>
      </c>
      <c r="AA227" s="9" t="s">
        <v>4177</v>
      </c>
      <c r="AB227" s="7" t="s">
        <v>4178</v>
      </c>
      <c r="AC227" s="7" t="s">
        <v>4179</v>
      </c>
      <c r="AD227" s="7" t="s">
        <v>4180</v>
      </c>
      <c r="AE227" s="7" t="s">
        <v>4181</v>
      </c>
      <c r="AF227" s="7"/>
      <c r="AG227" s="7"/>
      <c r="AH227" s="7"/>
      <c r="AI227" s="7"/>
      <c r="AJ227" s="10" t="s">
        <v>4182</v>
      </c>
      <c r="AK227" s="7" t="s">
        <v>4183</v>
      </c>
      <c r="AL227" s="7" t="s">
        <v>4184</v>
      </c>
      <c r="AM227" s="7" t="s">
        <v>4185</v>
      </c>
      <c r="AN227" s="7"/>
      <c r="AO227" s="7"/>
      <c r="AP227" s="7"/>
      <c r="AQ227" s="7"/>
      <c r="AR227" s="7"/>
      <c r="AS227" s="7"/>
      <c r="AT227" s="7" t="n">
        <v>26666065</v>
      </c>
      <c r="AU227" s="7"/>
      <c r="AV227" s="7"/>
      <c r="AW227" s="7"/>
      <c r="AX227" s="7" t="s">
        <v>4186</v>
      </c>
      <c r="AY227" s="7" t="s">
        <v>75</v>
      </c>
      <c r="AZ227" s="7" t="s">
        <v>107</v>
      </c>
      <c r="BA227" s="7" t="s">
        <v>76</v>
      </c>
      <c r="BB227" s="7" t="s">
        <v>4187</v>
      </c>
      <c r="BC227" s="7"/>
      <c r="BD227" s="7"/>
      <c r="BE227" s="7"/>
      <c r="BF227" s="7"/>
      <c r="BG227" s="7"/>
      <c r="BH227" s="7"/>
      <c r="BI227" s="7"/>
    </row>
    <row r="228" customFormat="false" ht="14.25" hidden="false" customHeight="true" outlineLevel="0" collapsed="false">
      <c r="A228" s="7" t="s">
        <v>4188</v>
      </c>
      <c r="B228" s="7" t="s">
        <v>4189</v>
      </c>
      <c r="C228" s="7" t="s">
        <v>4190</v>
      </c>
      <c r="D228" s="7" t="s">
        <v>4191</v>
      </c>
      <c r="E228" s="7" t="n">
        <v>2023</v>
      </c>
      <c r="F228" s="8" t="s">
        <v>4192</v>
      </c>
      <c r="G228" s="6" t="s">
        <v>1686</v>
      </c>
      <c r="H228" s="7"/>
      <c r="I228" s="7"/>
      <c r="J228" s="7"/>
      <c r="K228" s="7"/>
      <c r="L228" s="7"/>
      <c r="M228" s="7"/>
      <c r="N228" s="7"/>
      <c r="O228" s="7"/>
      <c r="P228" s="7" t="s">
        <v>61</v>
      </c>
      <c r="Q228" s="7" t="s">
        <v>62</v>
      </c>
      <c r="R228" s="7" t="s">
        <v>4193</v>
      </c>
      <c r="S228" s="7" t="n">
        <v>327</v>
      </c>
      <c r="T228" s="7" t="s">
        <v>64</v>
      </c>
      <c r="U228" s="7"/>
      <c r="V228" s="7" t="n">
        <v>115949</v>
      </c>
      <c r="W228" s="7"/>
      <c r="X228" s="7"/>
      <c r="Y228" s="7"/>
      <c r="Z228" s="7" t="s">
        <v>4194</v>
      </c>
      <c r="AA228" s="9" t="s">
        <v>4195</v>
      </c>
      <c r="AB228" s="7" t="s">
        <v>4196</v>
      </c>
      <c r="AC228" s="7" t="s">
        <v>4197</v>
      </c>
      <c r="AD228" s="7" t="s">
        <v>4198</v>
      </c>
      <c r="AE228" s="7" t="s">
        <v>4199</v>
      </c>
      <c r="AF228" s="7"/>
      <c r="AG228" s="7"/>
      <c r="AH228" s="7"/>
      <c r="AI228" s="7"/>
      <c r="AJ228" s="10" t="s">
        <v>4200</v>
      </c>
      <c r="AK228" s="7" t="s">
        <v>4201</v>
      </c>
      <c r="AL228" s="7" t="s">
        <v>4202</v>
      </c>
      <c r="AM228" s="7" t="s">
        <v>4203</v>
      </c>
      <c r="AN228" s="7"/>
      <c r="AO228" s="7"/>
      <c r="AP228" s="7"/>
      <c r="AQ228" s="7"/>
      <c r="AR228" s="7"/>
      <c r="AS228" s="7"/>
      <c r="AT228" s="7" t="n">
        <v>2779536</v>
      </c>
      <c r="AU228" s="7"/>
      <c r="AV228" s="7" t="s">
        <v>4204</v>
      </c>
      <c r="AW228" s="7" t="n">
        <v>37207379</v>
      </c>
      <c r="AX228" s="7" t="s">
        <v>4205</v>
      </c>
      <c r="AY228" s="7" t="s">
        <v>75</v>
      </c>
      <c r="AZ228" s="7"/>
      <c r="BA228" s="7" t="s">
        <v>76</v>
      </c>
      <c r="BB228" s="7" t="s">
        <v>4206</v>
      </c>
      <c r="BC228" s="7"/>
      <c r="BD228" s="7"/>
      <c r="BE228" s="7"/>
      <c r="BF228" s="7"/>
      <c r="BG228" s="7"/>
      <c r="BH228" s="7"/>
      <c r="BI228" s="7"/>
    </row>
    <row r="229" customFormat="false" ht="14.25" hidden="false" customHeight="true" outlineLevel="0" collapsed="false">
      <c r="A229" s="7" t="s">
        <v>4207</v>
      </c>
      <c r="B229" s="7" t="s">
        <v>4208</v>
      </c>
      <c r="C229" s="7" t="s">
        <v>4209</v>
      </c>
      <c r="D229" s="7" t="s">
        <v>4210</v>
      </c>
      <c r="E229" s="7" t="n">
        <v>2023</v>
      </c>
      <c r="F229" s="8" t="s">
        <v>4211</v>
      </c>
      <c r="G229" s="6" t="s">
        <v>149</v>
      </c>
      <c r="H229" s="7"/>
      <c r="I229" s="7"/>
      <c r="J229" s="7"/>
      <c r="K229" s="7"/>
      <c r="L229" s="7"/>
      <c r="M229" s="7"/>
      <c r="N229" s="7"/>
      <c r="O229" s="7"/>
      <c r="P229" s="7" t="s">
        <v>61</v>
      </c>
      <c r="Q229" s="7" t="s">
        <v>62</v>
      </c>
      <c r="R229" s="7" t="s">
        <v>1720</v>
      </c>
      <c r="S229" s="7" t="n">
        <v>13</v>
      </c>
      <c r="T229" s="7" t="s">
        <v>749</v>
      </c>
      <c r="U229" s="7" t="n">
        <v>1</v>
      </c>
      <c r="V229" s="7" t="n">
        <v>10609</v>
      </c>
      <c r="W229" s="7"/>
      <c r="X229" s="7"/>
      <c r="Y229" s="7"/>
      <c r="Z229" s="7" t="s">
        <v>4212</v>
      </c>
      <c r="AA229" s="9" t="s">
        <v>4213</v>
      </c>
      <c r="AB229" s="7" t="s">
        <v>4214</v>
      </c>
      <c r="AC229" s="7" t="s">
        <v>4215</v>
      </c>
      <c r="AD229" s="7"/>
      <c r="AE229" s="7" t="s">
        <v>4216</v>
      </c>
      <c r="AF229" s="7"/>
      <c r="AG229" s="7"/>
      <c r="AH229" s="7"/>
      <c r="AI229" s="7"/>
      <c r="AJ229" s="10" t="s">
        <v>4217</v>
      </c>
      <c r="AK229" s="7" t="s">
        <v>4218</v>
      </c>
      <c r="AL229" s="7" t="s">
        <v>4219</v>
      </c>
      <c r="AM229" s="7" t="s">
        <v>4220</v>
      </c>
      <c r="AN229" s="7"/>
      <c r="AO229" s="7"/>
      <c r="AP229" s="7"/>
      <c r="AQ229" s="7"/>
      <c r="AR229" s="7"/>
      <c r="AS229" s="7"/>
      <c r="AT229" s="7" t="n">
        <v>20452322</v>
      </c>
      <c r="AU229" s="7"/>
      <c r="AV229" s="7"/>
      <c r="AW229" s="7" t="n">
        <v>37391476</v>
      </c>
      <c r="AX229" s="7" t="s">
        <v>1729</v>
      </c>
      <c r="AY229" s="7" t="s">
        <v>75</v>
      </c>
      <c r="AZ229" s="7" t="s">
        <v>107</v>
      </c>
      <c r="BA229" s="7" t="s">
        <v>76</v>
      </c>
      <c r="BB229" s="7" t="s">
        <v>4221</v>
      </c>
      <c r="BC229" s="7"/>
      <c r="BD229" s="7"/>
      <c r="BE229" s="7"/>
      <c r="BF229" s="7"/>
      <c r="BG229" s="7"/>
      <c r="BH229" s="7"/>
      <c r="BI229" s="7"/>
    </row>
    <row r="230" customFormat="false" ht="14.25" hidden="false" customHeight="true" outlineLevel="0" collapsed="false">
      <c r="A230" s="7" t="s">
        <v>4222</v>
      </c>
      <c r="B230" s="7" t="s">
        <v>4223</v>
      </c>
      <c r="C230" s="7" t="s">
        <v>4224</v>
      </c>
      <c r="D230" s="7" t="s">
        <v>4225</v>
      </c>
      <c r="E230" s="7" t="n">
        <v>2023</v>
      </c>
      <c r="F230" s="8" t="s">
        <v>4226</v>
      </c>
      <c r="G230" s="6" t="s">
        <v>169</v>
      </c>
      <c r="H230" s="7"/>
      <c r="I230" s="7"/>
      <c r="J230" s="7"/>
      <c r="K230" s="7"/>
      <c r="L230" s="7"/>
      <c r="M230" s="7"/>
      <c r="N230" s="7"/>
      <c r="O230" s="7"/>
      <c r="P230" s="7" t="s">
        <v>61</v>
      </c>
      <c r="Q230" s="7" t="s">
        <v>62</v>
      </c>
      <c r="R230" s="7" t="s">
        <v>4227</v>
      </c>
      <c r="S230" s="7" t="n">
        <v>10</v>
      </c>
      <c r="T230" s="7" t="s">
        <v>115</v>
      </c>
      <c r="U230" s="7" t="n">
        <v>9</v>
      </c>
      <c r="V230" s="7" t="n">
        <v>1508</v>
      </c>
      <c r="W230" s="7"/>
      <c r="X230" s="7"/>
      <c r="Y230" s="7"/>
      <c r="Z230" s="7" t="s">
        <v>4228</v>
      </c>
      <c r="AA230" s="9" t="s">
        <v>4229</v>
      </c>
      <c r="AB230" s="7" t="s">
        <v>4230</v>
      </c>
      <c r="AC230" s="7" t="s">
        <v>4231</v>
      </c>
      <c r="AD230" s="7" t="s">
        <v>4232</v>
      </c>
      <c r="AE230" s="7" t="s">
        <v>4233</v>
      </c>
      <c r="AF230" s="7"/>
      <c r="AG230" s="7" t="s">
        <v>4234</v>
      </c>
      <c r="AH230" s="7"/>
      <c r="AI230" s="7"/>
      <c r="AJ230" s="10" t="s">
        <v>4235</v>
      </c>
      <c r="AK230" s="7" t="s">
        <v>4236</v>
      </c>
      <c r="AL230" s="7" t="s">
        <v>4237</v>
      </c>
      <c r="AM230" s="7" t="s">
        <v>4238</v>
      </c>
      <c r="AN230" s="7"/>
      <c r="AO230" s="7"/>
      <c r="AP230" s="7"/>
      <c r="AQ230" s="7"/>
      <c r="AR230" s="7"/>
      <c r="AS230" s="7"/>
      <c r="AT230" s="7" t="n">
        <v>22279067</v>
      </c>
      <c r="AU230" s="7"/>
      <c r="AV230" s="7"/>
      <c r="AW230" s="7"/>
      <c r="AX230" s="7" t="s">
        <v>4239</v>
      </c>
      <c r="AY230" s="7" t="s">
        <v>75</v>
      </c>
      <c r="AZ230" s="7" t="s">
        <v>107</v>
      </c>
      <c r="BA230" s="7" t="s">
        <v>76</v>
      </c>
      <c r="BB230" s="7" t="s">
        <v>4240</v>
      </c>
      <c r="BC230" s="7"/>
      <c r="BD230" s="7"/>
      <c r="BE230" s="7"/>
      <c r="BF230" s="7"/>
      <c r="BG230" s="7"/>
      <c r="BH230" s="7"/>
      <c r="BI230" s="7"/>
    </row>
    <row r="231" customFormat="false" ht="14.25" hidden="false" customHeight="true" outlineLevel="0" collapsed="false">
      <c r="A231" s="7" t="s">
        <v>4241</v>
      </c>
      <c r="B231" s="7" t="s">
        <v>4242</v>
      </c>
      <c r="C231" s="7" t="s">
        <v>4243</v>
      </c>
      <c r="D231" s="7" t="s">
        <v>4244</v>
      </c>
      <c r="E231" s="7" t="n">
        <v>2023</v>
      </c>
      <c r="F231" s="8" t="s">
        <v>4245</v>
      </c>
      <c r="G231" s="6" t="s">
        <v>713</v>
      </c>
      <c r="H231" s="7"/>
      <c r="I231" s="7"/>
      <c r="J231" s="7"/>
      <c r="K231" s="7"/>
      <c r="L231" s="7"/>
      <c r="M231" s="7"/>
      <c r="N231" s="7"/>
      <c r="O231" s="7"/>
      <c r="P231" s="7" t="s">
        <v>61</v>
      </c>
      <c r="Q231" s="7" t="s">
        <v>62</v>
      </c>
      <c r="R231" s="7" t="s">
        <v>4246</v>
      </c>
      <c r="S231" s="7" t="n">
        <v>69</v>
      </c>
      <c r="T231" s="7" t="s">
        <v>395</v>
      </c>
      <c r="U231" s="7" t="n">
        <v>6</v>
      </c>
      <c r="V231" s="7" t="s">
        <v>4247</v>
      </c>
      <c r="W231" s="7"/>
      <c r="X231" s="7"/>
      <c r="Y231" s="7"/>
      <c r="Z231" s="7" t="s">
        <v>4248</v>
      </c>
      <c r="AA231" s="9" t="s">
        <v>4249</v>
      </c>
      <c r="AB231" s="7" t="s">
        <v>4250</v>
      </c>
      <c r="AC231" s="7" t="s">
        <v>4251</v>
      </c>
      <c r="AD231" s="7" t="s">
        <v>4252</v>
      </c>
      <c r="AE231" s="7" t="s">
        <v>4253</v>
      </c>
      <c r="AF231" s="7"/>
      <c r="AG231" s="7" t="s">
        <v>4254</v>
      </c>
      <c r="AH231" s="7"/>
      <c r="AI231" s="7"/>
      <c r="AJ231" s="10"/>
      <c r="AK231" s="7"/>
      <c r="AL231" s="7" t="s">
        <v>4255</v>
      </c>
      <c r="AM231" s="7" t="s">
        <v>4256</v>
      </c>
      <c r="AN231" s="7"/>
      <c r="AO231" s="7"/>
      <c r="AP231" s="7"/>
      <c r="AQ231" s="7"/>
      <c r="AR231" s="7"/>
      <c r="AS231" s="7"/>
      <c r="AT231" s="7" t="n">
        <v>1426338</v>
      </c>
      <c r="AU231" s="7"/>
      <c r="AV231" s="7" t="s">
        <v>4257</v>
      </c>
      <c r="AW231" s="7" t="n">
        <v>37805828</v>
      </c>
      <c r="AX231" s="7" t="s">
        <v>4258</v>
      </c>
      <c r="AY231" s="7" t="s">
        <v>75</v>
      </c>
      <c r="AZ231" s="7"/>
      <c r="BA231" s="7" t="s">
        <v>76</v>
      </c>
      <c r="BB231" s="7" t="s">
        <v>4259</v>
      </c>
      <c r="BC231" s="7"/>
      <c r="BD231" s="7"/>
      <c r="BE231" s="7"/>
      <c r="BF231" s="7"/>
      <c r="BG231" s="7"/>
      <c r="BH231" s="7"/>
      <c r="BI231" s="7"/>
    </row>
    <row r="232" customFormat="false" ht="14.25" hidden="false" customHeight="true" outlineLevel="0" collapsed="false">
      <c r="A232" s="7" t="s">
        <v>4260</v>
      </c>
      <c r="B232" s="7" t="s">
        <v>4261</v>
      </c>
      <c r="C232" s="7" t="s">
        <v>4262</v>
      </c>
      <c r="D232" s="7" t="s">
        <v>4263</v>
      </c>
      <c r="E232" s="7" t="n">
        <v>2023</v>
      </c>
      <c r="F232" s="8" t="s">
        <v>4264</v>
      </c>
      <c r="G232" s="6" t="s">
        <v>1230</v>
      </c>
      <c r="H232" s="6"/>
      <c r="I232" s="7"/>
      <c r="J232" s="7"/>
      <c r="K232" s="7"/>
      <c r="L232" s="7"/>
      <c r="M232" s="7"/>
      <c r="N232" s="7"/>
      <c r="O232" s="7"/>
      <c r="P232" s="7" t="s">
        <v>61</v>
      </c>
      <c r="Q232" s="7" t="s">
        <v>62</v>
      </c>
      <c r="R232" s="7" t="s">
        <v>4265</v>
      </c>
      <c r="S232" s="7" t="n">
        <v>8</v>
      </c>
      <c r="T232" s="7" t="s">
        <v>4266</v>
      </c>
      <c r="U232" s="7" t="n">
        <v>1</v>
      </c>
      <c r="V232" s="7"/>
      <c r="W232" s="7"/>
      <c r="X232" s="7"/>
      <c r="Y232" s="7"/>
      <c r="Z232" s="7" t="s">
        <v>4267</v>
      </c>
      <c r="AA232" s="9" t="s">
        <v>4268</v>
      </c>
      <c r="AB232" s="7" t="s">
        <v>4269</v>
      </c>
      <c r="AC232" s="7" t="s">
        <v>4270</v>
      </c>
      <c r="AD232" s="7" t="s">
        <v>4271</v>
      </c>
      <c r="AE232" s="7"/>
      <c r="AF232" s="7"/>
      <c r="AG232" s="7"/>
      <c r="AH232" s="7"/>
      <c r="AI232" s="7"/>
      <c r="AJ232" s="10" t="s">
        <v>4272</v>
      </c>
      <c r="AK232" s="7" t="s">
        <v>4273</v>
      </c>
      <c r="AL232" s="7" t="s">
        <v>4274</v>
      </c>
      <c r="AM232" s="7" t="s">
        <v>4275</v>
      </c>
      <c r="AN232" s="7"/>
      <c r="AO232" s="7"/>
      <c r="AP232" s="7"/>
      <c r="AQ232" s="7"/>
      <c r="AR232" s="7"/>
      <c r="AS232" s="7"/>
      <c r="AT232" s="7" t="n">
        <v>20574991</v>
      </c>
      <c r="AU232" s="7"/>
      <c r="AV232" s="7"/>
      <c r="AW232" s="7"/>
      <c r="AX232" s="7" t="s">
        <v>4276</v>
      </c>
      <c r="AY232" s="7" t="s">
        <v>75</v>
      </c>
      <c r="AZ232" s="7" t="s">
        <v>107</v>
      </c>
      <c r="BA232" s="7" t="s">
        <v>76</v>
      </c>
      <c r="BB232" s="7" t="s">
        <v>4277</v>
      </c>
      <c r="BC232" s="7"/>
      <c r="BD232" s="7"/>
      <c r="BE232" s="7"/>
      <c r="BF232" s="7"/>
      <c r="BG232" s="7"/>
      <c r="BH232" s="7"/>
      <c r="BI232" s="7"/>
    </row>
    <row r="233" customFormat="false" ht="14.25" hidden="false" customHeight="true" outlineLevel="0" collapsed="false">
      <c r="A233" s="7" t="s">
        <v>4278</v>
      </c>
      <c r="B233" s="7" t="s">
        <v>4279</v>
      </c>
      <c r="C233" s="7" t="s">
        <v>4280</v>
      </c>
      <c r="D233" s="7" t="s">
        <v>4281</v>
      </c>
      <c r="E233" s="7" t="n">
        <v>2023</v>
      </c>
      <c r="F233" s="8" t="s">
        <v>4282</v>
      </c>
      <c r="G233" s="6" t="s">
        <v>713</v>
      </c>
      <c r="H233" s="7"/>
      <c r="I233" s="7"/>
      <c r="J233" s="7"/>
      <c r="K233" s="7"/>
      <c r="L233" s="7"/>
      <c r="M233" s="7"/>
      <c r="N233" s="7"/>
      <c r="O233" s="7"/>
      <c r="P233" s="7" t="s">
        <v>61</v>
      </c>
      <c r="Q233" s="7" t="s">
        <v>62</v>
      </c>
      <c r="R233" s="7" t="s">
        <v>731</v>
      </c>
      <c r="S233" s="7" t="n">
        <v>7</v>
      </c>
      <c r="T233" s="7" t="s">
        <v>732</v>
      </c>
      <c r="U233" s="7" t="n">
        <v>2</v>
      </c>
      <c r="V233" s="7"/>
      <c r="W233" s="7" t="n">
        <v>273</v>
      </c>
      <c r="X233" s="7" t="n">
        <v>278</v>
      </c>
      <c r="Y233" s="7" t="n">
        <v>5</v>
      </c>
      <c r="Z233" s="7" t="s">
        <v>4283</v>
      </c>
      <c r="AA233" s="9" t="s">
        <v>4284</v>
      </c>
      <c r="AB233" s="7" t="s">
        <v>4285</v>
      </c>
      <c r="AC233" s="7" t="s">
        <v>4286</v>
      </c>
      <c r="AD233" s="7" t="s">
        <v>4287</v>
      </c>
      <c r="AE233" s="7"/>
      <c r="AF233" s="7"/>
      <c r="AG233" s="7"/>
      <c r="AH233" s="7"/>
      <c r="AI233" s="7"/>
      <c r="AJ233" s="10"/>
      <c r="AK233" s="7"/>
      <c r="AL233" s="7" t="s">
        <v>4288</v>
      </c>
      <c r="AM233" s="7" t="s">
        <v>4289</v>
      </c>
      <c r="AN233" s="7"/>
      <c r="AO233" s="7"/>
      <c r="AP233" s="7"/>
      <c r="AQ233" s="7"/>
      <c r="AR233" s="7"/>
      <c r="AS233" s="7"/>
      <c r="AT233" s="7" t="n">
        <v>25499904</v>
      </c>
      <c r="AU233" s="7"/>
      <c r="AV233" s="7"/>
      <c r="AW233" s="7"/>
      <c r="AX233" s="7" t="s">
        <v>740</v>
      </c>
      <c r="AY233" s="7" t="s">
        <v>75</v>
      </c>
      <c r="AZ233" s="7" t="s">
        <v>107</v>
      </c>
      <c r="BA233" s="7" t="s">
        <v>76</v>
      </c>
      <c r="BB233" s="7" t="s">
        <v>4290</v>
      </c>
      <c r="BC233" s="7"/>
      <c r="BD233" s="7"/>
      <c r="BE233" s="7"/>
      <c r="BF233" s="7"/>
      <c r="BG233" s="7"/>
      <c r="BH233" s="7"/>
      <c r="BI233" s="7"/>
    </row>
    <row r="234" customFormat="false" ht="14.25" hidden="false" customHeight="true" outlineLevel="0" collapsed="false">
      <c r="A234" s="7" t="s">
        <v>4291</v>
      </c>
      <c r="B234" s="7" t="s">
        <v>4292</v>
      </c>
      <c r="C234" s="7" t="s">
        <v>4293</v>
      </c>
      <c r="D234" s="7" t="s">
        <v>4294</v>
      </c>
      <c r="E234" s="7" t="n">
        <v>2023</v>
      </c>
      <c r="F234" s="8" t="s">
        <v>4295</v>
      </c>
      <c r="G234" s="6" t="s">
        <v>3714</v>
      </c>
      <c r="H234" s="7"/>
      <c r="I234" s="7"/>
      <c r="J234" s="7"/>
      <c r="K234" s="7"/>
      <c r="L234" s="7"/>
      <c r="M234" s="7"/>
      <c r="N234" s="7"/>
      <c r="O234" s="7"/>
      <c r="P234" s="7" t="s">
        <v>61</v>
      </c>
      <c r="Q234" s="7" t="s">
        <v>62</v>
      </c>
      <c r="R234" s="7" t="s">
        <v>4296</v>
      </c>
      <c r="S234" s="7" t="n">
        <v>26</v>
      </c>
      <c r="T234" s="7" t="s">
        <v>4297</v>
      </c>
      <c r="U234" s="7" t="n">
        <v>1</v>
      </c>
      <c r="V234" s="7"/>
      <c r="W234" s="7"/>
      <c r="X234" s="7"/>
      <c r="Y234" s="7"/>
      <c r="Z234" s="7" t="s">
        <v>4298</v>
      </c>
      <c r="AA234" s="9" t="s">
        <v>4299</v>
      </c>
      <c r="AB234" s="7" t="s">
        <v>4300</v>
      </c>
      <c r="AC234" s="7" t="s">
        <v>4301</v>
      </c>
      <c r="AD234" s="7" t="s">
        <v>4302</v>
      </c>
      <c r="AE234" s="7"/>
      <c r="AF234" s="7"/>
      <c r="AG234" s="7"/>
      <c r="AH234" s="7"/>
      <c r="AI234" s="7"/>
      <c r="AJ234" s="10" t="s">
        <v>4303</v>
      </c>
      <c r="AK234" s="7" t="s">
        <v>4304</v>
      </c>
      <c r="AL234" s="7" t="s">
        <v>4305</v>
      </c>
      <c r="AM234" s="7"/>
      <c r="AN234" s="7"/>
      <c r="AO234" s="7"/>
      <c r="AP234" s="7"/>
      <c r="AQ234" s="7"/>
      <c r="AR234" s="7"/>
      <c r="AS234" s="7"/>
      <c r="AT234" s="7" t="n">
        <v>7175000</v>
      </c>
      <c r="AU234" s="7"/>
      <c r="AV234" s="7"/>
      <c r="AW234" s="7"/>
      <c r="AX234" s="7" t="s">
        <v>4306</v>
      </c>
      <c r="AY234" s="7" t="s">
        <v>75</v>
      </c>
      <c r="AZ234" s="7" t="s">
        <v>127</v>
      </c>
      <c r="BA234" s="7" t="s">
        <v>76</v>
      </c>
      <c r="BB234" s="7" t="s">
        <v>4307</v>
      </c>
      <c r="BC234" s="7"/>
      <c r="BD234" s="7"/>
      <c r="BE234" s="7"/>
      <c r="BF234" s="7"/>
      <c r="BG234" s="7"/>
      <c r="BH234" s="7"/>
      <c r="BI234" s="7"/>
    </row>
    <row r="235" customFormat="false" ht="14.25" hidden="false" customHeight="true" outlineLevel="0" collapsed="false">
      <c r="A235" s="7" t="s">
        <v>4308</v>
      </c>
      <c r="B235" s="7" t="s">
        <v>4309</v>
      </c>
      <c r="C235" s="7" t="s">
        <v>4310</v>
      </c>
      <c r="D235" s="7" t="s">
        <v>4311</v>
      </c>
      <c r="E235" s="7" t="n">
        <v>2023</v>
      </c>
      <c r="F235" s="8" t="s">
        <v>4312</v>
      </c>
      <c r="G235" s="6" t="s">
        <v>149</v>
      </c>
      <c r="H235" s="7"/>
      <c r="I235" s="7"/>
      <c r="J235" s="7"/>
      <c r="K235" s="7"/>
      <c r="L235" s="7"/>
      <c r="M235" s="7"/>
      <c r="N235" s="7"/>
      <c r="O235" s="7"/>
      <c r="P235" s="7" t="s">
        <v>61</v>
      </c>
      <c r="Q235" s="7" t="s">
        <v>62</v>
      </c>
      <c r="R235" s="7" t="s">
        <v>902</v>
      </c>
      <c r="S235" s="7" t="n">
        <v>22</v>
      </c>
      <c r="T235" s="7" t="s">
        <v>903</v>
      </c>
      <c r="U235" s="7" t="n">
        <v>1</v>
      </c>
      <c r="V235" s="7" t="n">
        <v>286</v>
      </c>
      <c r="W235" s="7"/>
      <c r="X235" s="7"/>
      <c r="Y235" s="7"/>
      <c r="Z235" s="7" t="s">
        <v>4313</v>
      </c>
      <c r="AA235" s="9" t="s">
        <v>4314</v>
      </c>
      <c r="AB235" s="7" t="s">
        <v>4315</v>
      </c>
      <c r="AC235" s="7" t="s">
        <v>4316</v>
      </c>
      <c r="AD235" s="7"/>
      <c r="AE235" s="7" t="s">
        <v>4317</v>
      </c>
      <c r="AF235" s="7"/>
      <c r="AG235" s="7"/>
      <c r="AH235" s="7"/>
      <c r="AI235" s="7"/>
      <c r="AJ235" s="10" t="s">
        <v>4318</v>
      </c>
      <c r="AK235" s="7" t="s">
        <v>4319</v>
      </c>
      <c r="AL235" s="7" t="s">
        <v>4320</v>
      </c>
      <c r="AM235" s="7" t="s">
        <v>4321</v>
      </c>
      <c r="AN235" s="7"/>
      <c r="AO235" s="7"/>
      <c r="AP235" s="7"/>
      <c r="AQ235" s="7"/>
      <c r="AR235" s="7"/>
      <c r="AS235" s="7"/>
      <c r="AT235" s="7" t="n">
        <v>14752875</v>
      </c>
      <c r="AU235" s="7"/>
      <c r="AV235" s="7"/>
      <c r="AW235" s="7"/>
      <c r="AX235" s="7" t="s">
        <v>914</v>
      </c>
      <c r="AY235" s="7" t="s">
        <v>75</v>
      </c>
      <c r="AZ235" s="7" t="s">
        <v>107</v>
      </c>
      <c r="BA235" s="7" t="s">
        <v>76</v>
      </c>
      <c r="BB235" s="7" t="s">
        <v>4322</v>
      </c>
      <c r="BC235" s="7"/>
      <c r="BD235" s="7"/>
      <c r="BE235" s="7"/>
      <c r="BF235" s="7"/>
      <c r="BG235" s="7"/>
      <c r="BH235" s="7"/>
      <c r="BI235" s="7"/>
    </row>
    <row r="236" customFormat="false" ht="14.25" hidden="false" customHeight="true" outlineLevel="0" collapsed="false">
      <c r="A236" s="7" t="s">
        <v>4323</v>
      </c>
      <c r="B236" s="7" t="s">
        <v>4324</v>
      </c>
      <c r="C236" s="7" t="s">
        <v>4325</v>
      </c>
      <c r="D236" s="7" t="s">
        <v>4326</v>
      </c>
      <c r="E236" s="7" t="n">
        <v>2023</v>
      </c>
      <c r="F236" s="8" t="s">
        <v>4327</v>
      </c>
      <c r="G236" s="6" t="s">
        <v>4328</v>
      </c>
      <c r="H236" s="7"/>
      <c r="I236" s="7"/>
      <c r="J236" s="7"/>
      <c r="K236" s="7"/>
      <c r="L236" s="7"/>
      <c r="M236" s="7"/>
      <c r="N236" s="7"/>
      <c r="O236" s="7"/>
      <c r="P236" s="7" t="s">
        <v>61</v>
      </c>
      <c r="Q236" s="7" t="s">
        <v>62</v>
      </c>
      <c r="R236" s="7" t="s">
        <v>4329</v>
      </c>
      <c r="S236" s="7" t="n">
        <v>220</v>
      </c>
      <c r="T236" s="7" t="s">
        <v>202</v>
      </c>
      <c r="U236" s="7"/>
      <c r="V236" s="7"/>
      <c r="W236" s="7" t="n">
        <v>142</v>
      </c>
      <c r="X236" s="7" t="n">
        <v>147</v>
      </c>
      <c r="Y236" s="7" t="n">
        <v>5</v>
      </c>
      <c r="Z236" s="7" t="s">
        <v>4330</v>
      </c>
      <c r="AA236" s="9" t="s">
        <v>4331</v>
      </c>
      <c r="AB236" s="7" t="s">
        <v>4332</v>
      </c>
      <c r="AC236" s="7" t="s">
        <v>4333</v>
      </c>
      <c r="AD236" s="7" t="s">
        <v>4334</v>
      </c>
      <c r="AE236" s="7" t="s">
        <v>4335</v>
      </c>
      <c r="AF236" s="7"/>
      <c r="AG236" s="7"/>
      <c r="AH236" s="7"/>
      <c r="AI236" s="7"/>
      <c r="AJ236" s="10" t="s">
        <v>4336</v>
      </c>
      <c r="AK236" s="7" t="s">
        <v>4337</v>
      </c>
      <c r="AL236" s="7" t="s">
        <v>4338</v>
      </c>
      <c r="AM236" s="7" t="s">
        <v>4339</v>
      </c>
      <c r="AN236" s="7"/>
      <c r="AO236" s="7"/>
      <c r="AP236" s="7"/>
      <c r="AQ236" s="7"/>
      <c r="AR236" s="7"/>
      <c r="AS236" s="7"/>
      <c r="AT236" s="7" t="n">
        <v>333506</v>
      </c>
      <c r="AU236" s="7"/>
      <c r="AV236" s="7" t="s">
        <v>4340</v>
      </c>
      <c r="AW236" s="7" t="n">
        <v>37327561</v>
      </c>
      <c r="AX236" s="7" t="s">
        <v>4329</v>
      </c>
      <c r="AY236" s="7" t="s">
        <v>75</v>
      </c>
      <c r="AZ236" s="7" t="s">
        <v>409</v>
      </c>
      <c r="BA236" s="7" t="s">
        <v>76</v>
      </c>
      <c r="BB236" s="7" t="s">
        <v>4341</v>
      </c>
      <c r="BC236" s="7"/>
      <c r="BD236" s="7"/>
      <c r="BE236" s="7"/>
      <c r="BF236" s="7"/>
      <c r="BG236" s="7"/>
      <c r="BH236" s="7"/>
      <c r="BI236" s="7"/>
    </row>
    <row r="237" customFormat="false" ht="14.25" hidden="false" customHeight="true" outlineLevel="0" collapsed="false">
      <c r="A237" s="7" t="s">
        <v>4342</v>
      </c>
      <c r="B237" s="7" t="s">
        <v>4343</v>
      </c>
      <c r="C237" s="7" t="s">
        <v>4344</v>
      </c>
      <c r="D237" s="7" t="s">
        <v>4345</v>
      </c>
      <c r="E237" s="7" t="n">
        <v>2023</v>
      </c>
      <c r="F237" s="8" t="s">
        <v>4346</v>
      </c>
      <c r="G237" s="6" t="s">
        <v>1686</v>
      </c>
      <c r="H237" s="7"/>
      <c r="I237" s="7"/>
      <c r="J237" s="7"/>
      <c r="K237" s="7"/>
      <c r="L237" s="7"/>
      <c r="M237" s="7"/>
      <c r="N237" s="7"/>
      <c r="O237" s="7"/>
      <c r="P237" s="7" t="s">
        <v>61</v>
      </c>
      <c r="Q237" s="7" t="s">
        <v>62</v>
      </c>
      <c r="R237" s="7" t="s">
        <v>993</v>
      </c>
      <c r="S237" s="7" t="n">
        <v>18</v>
      </c>
      <c r="T237" s="7" t="s">
        <v>500</v>
      </c>
      <c r="U237" s="11" t="n">
        <v>46003</v>
      </c>
      <c r="V237" s="7" t="s">
        <v>4347</v>
      </c>
      <c r="W237" s="7"/>
      <c r="X237" s="7"/>
      <c r="Y237" s="7"/>
      <c r="Z237" s="7" t="s">
        <v>4348</v>
      </c>
      <c r="AA237" s="9" t="s">
        <v>4349</v>
      </c>
      <c r="AB237" s="7" t="s">
        <v>4350</v>
      </c>
      <c r="AC237" s="7" t="s">
        <v>4351</v>
      </c>
      <c r="AD237" s="7"/>
      <c r="AE237" s="7" t="s">
        <v>4352</v>
      </c>
      <c r="AF237" s="7"/>
      <c r="AG237" s="7"/>
      <c r="AH237" s="7"/>
      <c r="AI237" s="7"/>
      <c r="AJ237" s="10"/>
      <c r="AK237" s="7"/>
      <c r="AL237" s="7" t="s">
        <v>4353</v>
      </c>
      <c r="AM237" s="7" t="s">
        <v>4354</v>
      </c>
      <c r="AN237" s="7"/>
      <c r="AO237" s="7"/>
      <c r="AP237" s="7"/>
      <c r="AQ237" s="7"/>
      <c r="AR237" s="7"/>
      <c r="AS237" s="7"/>
      <c r="AT237" s="7" t="n">
        <v>19326203</v>
      </c>
      <c r="AU237" s="7"/>
      <c r="AV237" s="7" t="s">
        <v>1007</v>
      </c>
      <c r="AW237" s="7" t="n">
        <v>38055693</v>
      </c>
      <c r="AX237" s="7" t="s">
        <v>993</v>
      </c>
      <c r="AY237" s="7" t="s">
        <v>75</v>
      </c>
      <c r="AZ237" s="7" t="s">
        <v>107</v>
      </c>
      <c r="BA237" s="7" t="s">
        <v>76</v>
      </c>
      <c r="BB237" s="7" t="s">
        <v>4355</v>
      </c>
      <c r="BC237" s="7"/>
      <c r="BD237" s="7"/>
      <c r="BE237" s="7"/>
      <c r="BF237" s="7"/>
      <c r="BG237" s="7"/>
      <c r="BH237" s="7"/>
      <c r="BI237" s="7"/>
    </row>
    <row r="238" customFormat="false" ht="14.25" hidden="false" customHeight="true" outlineLevel="0" collapsed="false">
      <c r="A238" s="7" t="s">
        <v>4356</v>
      </c>
      <c r="B238" s="7" t="s">
        <v>4357</v>
      </c>
      <c r="C238" s="7" t="s">
        <v>4358</v>
      </c>
      <c r="D238" s="7" t="s">
        <v>4359</v>
      </c>
      <c r="E238" s="7" t="n">
        <v>2023</v>
      </c>
      <c r="F238" s="8" t="s">
        <v>4360</v>
      </c>
      <c r="G238" s="6" t="s">
        <v>713</v>
      </c>
      <c r="H238" s="7"/>
      <c r="I238" s="7"/>
      <c r="J238" s="7"/>
      <c r="K238" s="7"/>
      <c r="L238" s="7"/>
      <c r="M238" s="7"/>
      <c r="N238" s="7"/>
      <c r="O238" s="7"/>
      <c r="P238" s="7" t="s">
        <v>61</v>
      </c>
      <c r="Q238" s="7" t="s">
        <v>62</v>
      </c>
      <c r="R238" s="7" t="s">
        <v>4361</v>
      </c>
      <c r="S238" s="7" t="n">
        <v>10</v>
      </c>
      <c r="T238" s="7" t="s">
        <v>4362</v>
      </c>
      <c r="U238" s="7" t="n">
        <v>105</v>
      </c>
      <c r="V238" s="7"/>
      <c r="W238" s="7" t="n">
        <v>990</v>
      </c>
      <c r="X238" s="7" t="n">
        <v>1015</v>
      </c>
      <c r="Y238" s="7" t="n">
        <v>25</v>
      </c>
      <c r="Z238" s="7" t="s">
        <v>4363</v>
      </c>
      <c r="AA238" s="9" t="s">
        <v>4364</v>
      </c>
      <c r="AB238" s="7" t="s">
        <v>4365</v>
      </c>
      <c r="AC238" s="7" t="s">
        <v>4366</v>
      </c>
      <c r="AD238" s="7" t="s">
        <v>4367</v>
      </c>
      <c r="AE238" s="7"/>
      <c r="AF238" s="7"/>
      <c r="AG238" s="7"/>
      <c r="AH238" s="7"/>
      <c r="AI238" s="7"/>
      <c r="AJ238" s="10"/>
      <c r="AK238" s="7"/>
      <c r="AL238" s="7" t="s">
        <v>4368</v>
      </c>
      <c r="AM238" s="7" t="s">
        <v>4369</v>
      </c>
      <c r="AN238" s="7"/>
      <c r="AO238" s="7"/>
      <c r="AP238" s="7"/>
      <c r="AQ238" s="7"/>
      <c r="AR238" s="7"/>
      <c r="AS238" s="7"/>
      <c r="AT238" s="7" t="n">
        <v>23945443</v>
      </c>
      <c r="AU238" s="7"/>
      <c r="AV238" s="7"/>
      <c r="AW238" s="7"/>
      <c r="AX238" s="7" t="s">
        <v>4370</v>
      </c>
      <c r="AY238" s="7" t="s">
        <v>75</v>
      </c>
      <c r="AZ238" s="7" t="s">
        <v>4371</v>
      </c>
      <c r="BA238" s="7" t="s">
        <v>76</v>
      </c>
      <c r="BB238" s="7" t="s">
        <v>4372</v>
      </c>
      <c r="BC238" s="7"/>
      <c r="BD238" s="7"/>
      <c r="BE238" s="7"/>
      <c r="BF238" s="7"/>
      <c r="BG238" s="7"/>
      <c r="BH238" s="7"/>
      <c r="BI238" s="7"/>
    </row>
    <row r="239" customFormat="false" ht="14.25" hidden="false" customHeight="true" outlineLevel="0" collapsed="false">
      <c r="A239" s="7" t="s">
        <v>4373</v>
      </c>
      <c r="B239" s="7" t="s">
        <v>4374</v>
      </c>
      <c r="C239" s="7" t="s">
        <v>4375</v>
      </c>
      <c r="D239" s="7" t="s">
        <v>4376</v>
      </c>
      <c r="E239" s="7" t="n">
        <v>2023</v>
      </c>
      <c r="F239" s="8" t="s">
        <v>4377</v>
      </c>
      <c r="G239" s="6" t="s">
        <v>713</v>
      </c>
      <c r="H239" s="7"/>
      <c r="I239" s="7"/>
      <c r="J239" s="7"/>
      <c r="K239" s="7"/>
      <c r="L239" s="7"/>
      <c r="M239" s="7"/>
      <c r="N239" s="7"/>
      <c r="O239" s="7"/>
      <c r="P239" s="7" t="s">
        <v>61</v>
      </c>
      <c r="Q239" s="7" t="s">
        <v>62</v>
      </c>
      <c r="R239" s="7" t="s">
        <v>4378</v>
      </c>
      <c r="S239" s="7" t="n">
        <v>12</v>
      </c>
      <c r="T239" s="7" t="s">
        <v>115</v>
      </c>
      <c r="U239" s="7" t="n">
        <v>19</v>
      </c>
      <c r="V239" s="7" t="n">
        <v>4144</v>
      </c>
      <c r="W239" s="7"/>
      <c r="X239" s="7"/>
      <c r="Y239" s="7"/>
      <c r="Z239" s="7" t="s">
        <v>4379</v>
      </c>
      <c r="AA239" s="9" t="s">
        <v>4380</v>
      </c>
      <c r="AB239" s="7" t="s">
        <v>4381</v>
      </c>
      <c r="AC239" s="7" t="s">
        <v>4382</v>
      </c>
      <c r="AD239" s="7" t="s">
        <v>4383</v>
      </c>
      <c r="AE239" s="7"/>
      <c r="AF239" s="7"/>
      <c r="AG239" s="7"/>
      <c r="AH239" s="7"/>
      <c r="AI239" s="7"/>
      <c r="AJ239" s="10" t="s">
        <v>4384</v>
      </c>
      <c r="AK239" s="7" t="s">
        <v>4385</v>
      </c>
      <c r="AL239" s="7" t="s">
        <v>4386</v>
      </c>
      <c r="AM239" s="7" t="s">
        <v>4387</v>
      </c>
      <c r="AN239" s="7"/>
      <c r="AO239" s="7"/>
      <c r="AP239" s="7"/>
      <c r="AQ239" s="7"/>
      <c r="AR239" s="7"/>
      <c r="AS239" s="7"/>
      <c r="AT239" s="7" t="n">
        <v>20799292</v>
      </c>
      <c r="AU239" s="7"/>
      <c r="AV239" s="7"/>
      <c r="AW239" s="7"/>
      <c r="AX239" s="7" t="s">
        <v>4378</v>
      </c>
      <c r="AY239" s="7" t="s">
        <v>75</v>
      </c>
      <c r="AZ239" s="7" t="s">
        <v>127</v>
      </c>
      <c r="BA239" s="7" t="s">
        <v>76</v>
      </c>
      <c r="BB239" s="7" t="s">
        <v>4388</v>
      </c>
      <c r="BC239" s="7"/>
      <c r="BD239" s="7"/>
      <c r="BE239" s="7"/>
      <c r="BF239" s="7"/>
      <c r="BG239" s="7"/>
      <c r="BH239" s="7"/>
      <c r="BI239" s="7"/>
    </row>
    <row r="240" customFormat="false" ht="14.25" hidden="false" customHeight="true" outlineLevel="0" collapsed="false">
      <c r="A240" s="7" t="s">
        <v>4389</v>
      </c>
      <c r="B240" s="7" t="s">
        <v>4390</v>
      </c>
      <c r="C240" s="7" t="s">
        <v>4391</v>
      </c>
      <c r="D240" s="7" t="s">
        <v>4392</v>
      </c>
      <c r="E240" s="7" t="n">
        <v>2023</v>
      </c>
      <c r="F240" s="8" t="s">
        <v>4393</v>
      </c>
      <c r="G240" s="6" t="s">
        <v>713</v>
      </c>
      <c r="H240" s="6"/>
      <c r="I240" s="6" t="s">
        <v>4394</v>
      </c>
      <c r="J240" s="7"/>
      <c r="K240" s="7"/>
      <c r="L240" s="7"/>
      <c r="M240" s="7"/>
      <c r="N240" s="7"/>
      <c r="O240" s="7"/>
      <c r="P240" s="7" t="s">
        <v>61</v>
      </c>
      <c r="Q240" s="7" t="s">
        <v>62</v>
      </c>
      <c r="R240" s="7" t="s">
        <v>1933</v>
      </c>
      <c r="S240" s="7" t="n">
        <v>3</v>
      </c>
      <c r="T240" s="7" t="s">
        <v>500</v>
      </c>
      <c r="U240" s="7" t="n">
        <v>7</v>
      </c>
      <c r="V240" s="7" t="s">
        <v>4395</v>
      </c>
      <c r="W240" s="7"/>
      <c r="X240" s="7"/>
      <c r="Y240" s="7"/>
      <c r="Z240" s="7" t="s">
        <v>4396</v>
      </c>
      <c r="AA240" s="9" t="s">
        <v>4397</v>
      </c>
      <c r="AB240" s="7" t="s">
        <v>4398</v>
      </c>
      <c r="AC240" s="7" t="s">
        <v>4399</v>
      </c>
      <c r="AD240" s="7"/>
      <c r="AE240" s="7"/>
      <c r="AF240" s="7"/>
      <c r="AG240" s="7"/>
      <c r="AH240" s="7"/>
      <c r="AI240" s="7"/>
      <c r="AJ240" s="10" t="s">
        <v>4400</v>
      </c>
      <c r="AK240" s="7" t="s">
        <v>4401</v>
      </c>
      <c r="AL240" s="7" t="s">
        <v>4402</v>
      </c>
      <c r="AM240" s="7" t="s">
        <v>4403</v>
      </c>
      <c r="AN240" s="7"/>
      <c r="AO240" s="7"/>
      <c r="AP240" s="7"/>
      <c r="AQ240" s="7"/>
      <c r="AR240" s="7"/>
      <c r="AS240" s="7"/>
      <c r="AT240" s="7" t="n">
        <v>27673375</v>
      </c>
      <c r="AU240" s="7"/>
      <c r="AV240" s="7"/>
      <c r="AW240" s="7"/>
      <c r="AX240" s="7" t="s">
        <v>1943</v>
      </c>
      <c r="AY240" s="7" t="s">
        <v>75</v>
      </c>
      <c r="AZ240" s="7" t="s">
        <v>127</v>
      </c>
      <c r="BA240" s="7" t="s">
        <v>76</v>
      </c>
      <c r="BB240" s="7" t="s">
        <v>4404</v>
      </c>
      <c r="BC240" s="7"/>
      <c r="BD240" s="7"/>
      <c r="BE240" s="7"/>
      <c r="BF240" s="7"/>
      <c r="BG240" s="7"/>
      <c r="BH240" s="7"/>
      <c r="BI240" s="7"/>
    </row>
    <row r="241" customFormat="false" ht="14.25" hidden="false" customHeight="true" outlineLevel="0" collapsed="false">
      <c r="A241" s="7" t="s">
        <v>1306</v>
      </c>
      <c r="B241" s="7" t="s">
        <v>4405</v>
      </c>
      <c r="C241" s="7" t="s">
        <v>1308</v>
      </c>
      <c r="D241" s="7" t="s">
        <v>4406</v>
      </c>
      <c r="E241" s="7" t="n">
        <v>2023</v>
      </c>
      <c r="F241" s="8" t="s">
        <v>4407</v>
      </c>
      <c r="G241" s="6" t="s">
        <v>713</v>
      </c>
      <c r="H241" s="7"/>
      <c r="I241" s="7"/>
      <c r="J241" s="7"/>
      <c r="K241" s="7"/>
      <c r="L241" s="7"/>
      <c r="M241" s="7"/>
      <c r="N241" s="7"/>
      <c r="O241" s="7"/>
      <c r="P241" s="7" t="s">
        <v>61</v>
      </c>
      <c r="Q241" s="7" t="s">
        <v>62</v>
      </c>
      <c r="R241" s="7" t="s">
        <v>4408</v>
      </c>
      <c r="S241" s="7" t="n">
        <v>11</v>
      </c>
      <c r="T241" s="7" t="s">
        <v>4409</v>
      </c>
      <c r="U241" s="7" t="s">
        <v>4410</v>
      </c>
      <c r="V241" s="7"/>
      <c r="W241" s="7" t="n">
        <v>517</v>
      </c>
      <c r="X241" s="7" t="n">
        <v>526</v>
      </c>
      <c r="Y241" s="7" t="n">
        <v>9</v>
      </c>
      <c r="Z241" s="7"/>
      <c r="AA241" s="9" t="s">
        <v>4411</v>
      </c>
      <c r="AB241" s="7" t="s">
        <v>4412</v>
      </c>
      <c r="AC241" s="7" t="s">
        <v>4413</v>
      </c>
      <c r="AD241" s="7" t="s">
        <v>4414</v>
      </c>
      <c r="AE241" s="7"/>
      <c r="AF241" s="7"/>
      <c r="AG241" s="7"/>
      <c r="AH241" s="7"/>
      <c r="AI241" s="7"/>
      <c r="AJ241" s="10"/>
      <c r="AK241" s="7"/>
      <c r="AL241" s="7" t="s">
        <v>4415</v>
      </c>
      <c r="AM241" s="7"/>
      <c r="AN241" s="7"/>
      <c r="AO241" s="7"/>
      <c r="AP241" s="7"/>
      <c r="AQ241" s="7"/>
      <c r="AR241" s="7"/>
      <c r="AS241" s="7"/>
      <c r="AT241" s="7" t="n">
        <v>21476799</v>
      </c>
      <c r="AU241" s="7"/>
      <c r="AV241" s="7"/>
      <c r="AW241" s="7"/>
      <c r="AX241" s="7" t="s">
        <v>4416</v>
      </c>
      <c r="AY241" s="7" t="s">
        <v>75</v>
      </c>
      <c r="AZ241" s="7"/>
      <c r="BA241" s="7" t="s">
        <v>76</v>
      </c>
      <c r="BB241" s="7" t="s">
        <v>4417</v>
      </c>
      <c r="BC241" s="7"/>
      <c r="BD241" s="7"/>
      <c r="BE241" s="7"/>
      <c r="BF241" s="7"/>
      <c r="BG241" s="7"/>
      <c r="BH241" s="7"/>
      <c r="BI241" s="7"/>
    </row>
    <row r="242" customFormat="false" ht="14.25" hidden="false" customHeight="true" outlineLevel="0" collapsed="false">
      <c r="A242" s="7" t="s">
        <v>4418</v>
      </c>
      <c r="B242" s="7" t="s">
        <v>4419</v>
      </c>
      <c r="C242" s="7" t="s">
        <v>4420</v>
      </c>
      <c r="D242" s="7" t="s">
        <v>4421</v>
      </c>
      <c r="E242" s="7" t="n">
        <v>2023</v>
      </c>
      <c r="F242" s="8" t="s">
        <v>4422</v>
      </c>
      <c r="G242" s="6" t="s">
        <v>1230</v>
      </c>
      <c r="H242" s="7"/>
      <c r="I242" s="7"/>
      <c r="J242" s="7"/>
      <c r="K242" s="7"/>
      <c r="L242" s="7"/>
      <c r="M242" s="7"/>
      <c r="N242" s="7"/>
      <c r="O242" s="7"/>
      <c r="P242" s="7" t="s">
        <v>61</v>
      </c>
      <c r="Q242" s="7" t="s">
        <v>62</v>
      </c>
      <c r="R242" s="7" t="s">
        <v>4423</v>
      </c>
      <c r="S242" s="7" t="n">
        <v>15</v>
      </c>
      <c r="T242" s="7" t="s">
        <v>307</v>
      </c>
      <c r="U242" s="7" t="n">
        <v>1</v>
      </c>
      <c r="V242" s="7"/>
      <c r="W242" s="7" t="n">
        <v>105</v>
      </c>
      <c r="X242" s="7" t="n">
        <v>118</v>
      </c>
      <c r="Y242" s="7" t="n">
        <v>13</v>
      </c>
      <c r="Z242" s="7" t="s">
        <v>4424</v>
      </c>
      <c r="AA242" s="9" t="s">
        <v>4425</v>
      </c>
      <c r="AB242" s="7" t="s">
        <v>4426</v>
      </c>
      <c r="AC242" s="7" t="s">
        <v>4427</v>
      </c>
      <c r="AD242" s="7" t="s">
        <v>4428</v>
      </c>
      <c r="AE242" s="7" t="s">
        <v>4429</v>
      </c>
      <c r="AF242" s="7"/>
      <c r="AG242" s="7"/>
      <c r="AH242" s="7"/>
      <c r="AI242" s="7"/>
      <c r="AJ242" s="10"/>
      <c r="AK242" s="7"/>
      <c r="AL242" s="7" t="s">
        <v>4430</v>
      </c>
      <c r="AM242" s="7" t="s">
        <v>4431</v>
      </c>
      <c r="AN242" s="7"/>
      <c r="AO242" s="7"/>
      <c r="AP242" s="7"/>
      <c r="AQ242" s="7"/>
      <c r="AR242" s="7"/>
      <c r="AS242" s="7"/>
      <c r="AT242" s="7" t="s">
        <v>4432</v>
      </c>
      <c r="AU242" s="7"/>
      <c r="AV242" s="7"/>
      <c r="AW242" s="7"/>
      <c r="AX242" s="7" t="s">
        <v>4433</v>
      </c>
      <c r="AY242" s="7" t="s">
        <v>75</v>
      </c>
      <c r="AZ242" s="7"/>
      <c r="BA242" s="7" t="s">
        <v>76</v>
      </c>
      <c r="BB242" s="7" t="s">
        <v>4434</v>
      </c>
      <c r="BC242" s="7"/>
      <c r="BD242" s="7"/>
      <c r="BE242" s="7"/>
      <c r="BF242" s="7"/>
      <c r="BG242" s="7"/>
      <c r="BH242" s="7"/>
      <c r="BI242" s="7"/>
    </row>
    <row r="243" customFormat="false" ht="14.25" hidden="false" customHeight="true" outlineLevel="0" collapsed="false">
      <c r="A243" s="7" t="s">
        <v>4435</v>
      </c>
      <c r="B243" s="7" t="s">
        <v>4436</v>
      </c>
      <c r="C243" s="7" t="s">
        <v>4437</v>
      </c>
      <c r="D243" s="7" t="s">
        <v>4438</v>
      </c>
      <c r="E243" s="7" t="n">
        <v>2023</v>
      </c>
      <c r="F243" s="8" t="s">
        <v>4439</v>
      </c>
      <c r="G243" s="6" t="s">
        <v>393</v>
      </c>
      <c r="H243" s="7"/>
      <c r="I243" s="7"/>
      <c r="J243" s="7"/>
      <c r="K243" s="7"/>
      <c r="L243" s="7"/>
      <c r="M243" s="7"/>
      <c r="N243" s="7"/>
      <c r="O243" s="7"/>
      <c r="P243" s="7" t="s">
        <v>61</v>
      </c>
      <c r="Q243" s="7" t="s">
        <v>62</v>
      </c>
      <c r="R243" s="7" t="s">
        <v>4047</v>
      </c>
      <c r="S243" s="7" t="n">
        <v>8</v>
      </c>
      <c r="T243" s="7" t="s">
        <v>4048</v>
      </c>
      <c r="U243" s="7" t="n">
        <v>4</v>
      </c>
      <c r="V243" s="7" t="n">
        <v>184</v>
      </c>
      <c r="W243" s="7"/>
      <c r="X243" s="7"/>
      <c r="Y243" s="7"/>
      <c r="Z243" s="7" t="s">
        <v>4440</v>
      </c>
      <c r="AA243" s="9" t="s">
        <v>4441</v>
      </c>
      <c r="AB243" s="7" t="s">
        <v>4442</v>
      </c>
      <c r="AC243" s="7" t="s">
        <v>4443</v>
      </c>
      <c r="AD243" s="7" t="s">
        <v>4444</v>
      </c>
      <c r="AE243" s="7" t="s">
        <v>4445</v>
      </c>
      <c r="AF243" s="7"/>
      <c r="AG243" s="7" t="s">
        <v>4446</v>
      </c>
      <c r="AH243" s="7"/>
      <c r="AI243" s="7"/>
      <c r="AJ243" s="10" t="s">
        <v>4447</v>
      </c>
      <c r="AK243" s="7" t="s">
        <v>4448</v>
      </c>
      <c r="AL243" s="7" t="s">
        <v>4449</v>
      </c>
      <c r="AM243" s="7" t="s">
        <v>4450</v>
      </c>
      <c r="AN243" s="7"/>
      <c r="AO243" s="7"/>
      <c r="AP243" s="7"/>
      <c r="AQ243" s="7"/>
      <c r="AR243" s="7"/>
      <c r="AS243" s="7"/>
      <c r="AT243" s="7" t="n">
        <v>24146366</v>
      </c>
      <c r="AU243" s="7"/>
      <c r="AV243" s="7"/>
      <c r="AW243" s="7"/>
      <c r="AX243" s="7" t="s">
        <v>4059</v>
      </c>
      <c r="AY243" s="7" t="s">
        <v>75</v>
      </c>
      <c r="AZ243" s="7" t="s">
        <v>107</v>
      </c>
      <c r="BA243" s="7" t="s">
        <v>76</v>
      </c>
      <c r="BB243" s="7" t="s">
        <v>4451</v>
      </c>
      <c r="BC243" s="7"/>
      <c r="BD243" s="7"/>
      <c r="BE243" s="7"/>
      <c r="BF243" s="7"/>
      <c r="BG243" s="7"/>
      <c r="BH243" s="7"/>
      <c r="BI243" s="7"/>
    </row>
    <row r="244" customFormat="false" ht="14.25" hidden="false" customHeight="true" outlineLevel="0" collapsed="false">
      <c r="A244" s="7" t="s">
        <v>4452</v>
      </c>
      <c r="B244" s="7" t="s">
        <v>4453</v>
      </c>
      <c r="C244" s="7" t="s">
        <v>4454</v>
      </c>
      <c r="D244" s="7" t="s">
        <v>4455</v>
      </c>
      <c r="E244" s="7" t="n">
        <v>2023</v>
      </c>
      <c r="F244" s="8" t="s">
        <v>4456</v>
      </c>
      <c r="G244" s="6" t="s">
        <v>169</v>
      </c>
      <c r="H244" s="7"/>
      <c r="I244" s="7"/>
      <c r="J244" s="7"/>
      <c r="K244" s="7"/>
      <c r="L244" s="7"/>
      <c r="M244" s="7"/>
      <c r="N244" s="7"/>
      <c r="O244" s="7"/>
      <c r="P244" s="7" t="s">
        <v>61</v>
      </c>
      <c r="Q244" s="7" t="s">
        <v>62</v>
      </c>
      <c r="R244" s="7" t="s">
        <v>4457</v>
      </c>
      <c r="S244" s="7" t="n">
        <v>71</v>
      </c>
      <c r="T244" s="7" t="s">
        <v>4457</v>
      </c>
      <c r="U244" s="7" t="n">
        <v>11</v>
      </c>
      <c r="V244" s="7"/>
      <c r="W244" s="7" t="n">
        <v>36</v>
      </c>
      <c r="X244" s="7" t="n">
        <v>39</v>
      </c>
      <c r="Y244" s="7" t="n">
        <v>3</v>
      </c>
      <c r="Z244" s="7" t="s">
        <v>4458</v>
      </c>
      <c r="AA244" s="9" t="s">
        <v>4459</v>
      </c>
      <c r="AB244" s="7" t="s">
        <v>4460</v>
      </c>
      <c r="AC244" s="7" t="s">
        <v>4461</v>
      </c>
      <c r="AD244" s="7"/>
      <c r="AE244" s="7" t="s">
        <v>4462</v>
      </c>
      <c r="AF244" s="7"/>
      <c r="AG244" s="7" t="s">
        <v>4463</v>
      </c>
      <c r="AH244" s="7"/>
      <c r="AI244" s="7"/>
      <c r="AJ244" s="10"/>
      <c r="AK244" s="7"/>
      <c r="AL244" s="7" t="s">
        <v>4464</v>
      </c>
      <c r="AM244" s="7"/>
      <c r="AN244" s="7"/>
      <c r="AO244" s="7"/>
      <c r="AP244" s="7"/>
      <c r="AQ244" s="7"/>
      <c r="AR244" s="7"/>
      <c r="AS244" s="7"/>
      <c r="AT244" s="7" t="n">
        <v>45772</v>
      </c>
      <c r="AU244" s="7"/>
      <c r="AV244" s="7"/>
      <c r="AW244" s="7" t="n">
        <v>38720494</v>
      </c>
      <c r="AX244" s="7" t="s">
        <v>4465</v>
      </c>
      <c r="AY244" s="7" t="s">
        <v>75</v>
      </c>
      <c r="AZ244" s="7"/>
      <c r="BA244" s="7" t="s">
        <v>76</v>
      </c>
      <c r="BB244" s="7" t="s">
        <v>4466</v>
      </c>
      <c r="BC244" s="7"/>
      <c r="BD244" s="7"/>
      <c r="BE244" s="7"/>
      <c r="BF244" s="7"/>
      <c r="BG244" s="7"/>
      <c r="BH244" s="7"/>
      <c r="BI244" s="7"/>
    </row>
    <row r="245" customFormat="false" ht="14.25" hidden="false" customHeight="true" outlineLevel="0" collapsed="false">
      <c r="A245" s="7" t="s">
        <v>4467</v>
      </c>
      <c r="B245" s="7" t="s">
        <v>4468</v>
      </c>
      <c r="C245" s="7" t="s">
        <v>4469</v>
      </c>
      <c r="D245" s="7" t="s">
        <v>4470</v>
      </c>
      <c r="E245" s="7" t="n">
        <v>2023</v>
      </c>
      <c r="F245" s="8" t="s">
        <v>4471</v>
      </c>
      <c r="G245" s="6" t="s">
        <v>713</v>
      </c>
      <c r="H245" s="7"/>
      <c r="I245" s="7"/>
      <c r="J245" s="7"/>
      <c r="K245" s="7"/>
      <c r="L245" s="7"/>
      <c r="M245" s="7"/>
      <c r="N245" s="7"/>
      <c r="O245" s="7"/>
      <c r="P245" s="7" t="s">
        <v>61</v>
      </c>
      <c r="Q245" s="7" t="s">
        <v>62</v>
      </c>
      <c r="R245" s="7" t="s">
        <v>186</v>
      </c>
      <c r="S245" s="7" t="n">
        <v>11</v>
      </c>
      <c r="T245" s="7" t="s">
        <v>187</v>
      </c>
      <c r="U245" s="7"/>
      <c r="V245" s="7"/>
      <c r="W245" s="7" t="n">
        <v>51199</v>
      </c>
      <c r="X245" s="7" t="n">
        <v>51213</v>
      </c>
      <c r="Y245" s="7" t="n">
        <v>14</v>
      </c>
      <c r="Z245" s="7" t="s">
        <v>4472</v>
      </c>
      <c r="AA245" s="9" t="s">
        <v>4473</v>
      </c>
      <c r="AB245" s="7" t="s">
        <v>4474</v>
      </c>
      <c r="AC245" s="7" t="s">
        <v>4475</v>
      </c>
      <c r="AD245" s="7" t="s">
        <v>4476</v>
      </c>
      <c r="AE245" s="7" t="s">
        <v>4477</v>
      </c>
      <c r="AF245" s="7"/>
      <c r="AG245" s="7"/>
      <c r="AH245" s="7"/>
      <c r="AI245" s="7"/>
      <c r="AJ245" s="10"/>
      <c r="AK245" s="7"/>
      <c r="AL245" s="7" t="s">
        <v>4478</v>
      </c>
      <c r="AM245" s="7" t="s">
        <v>4479</v>
      </c>
      <c r="AN245" s="7"/>
      <c r="AO245" s="7"/>
      <c r="AP245" s="7"/>
      <c r="AQ245" s="7"/>
      <c r="AR245" s="7"/>
      <c r="AS245" s="7"/>
      <c r="AT245" s="7" t="n">
        <v>21693536</v>
      </c>
      <c r="AU245" s="7"/>
      <c r="AV245" s="7"/>
      <c r="AW245" s="7"/>
      <c r="AX245" s="7" t="s">
        <v>186</v>
      </c>
      <c r="AY245" s="7" t="s">
        <v>75</v>
      </c>
      <c r="AZ245" s="7" t="s">
        <v>127</v>
      </c>
      <c r="BA245" s="7" t="s">
        <v>76</v>
      </c>
      <c r="BB245" s="7" t="s">
        <v>4480</v>
      </c>
      <c r="BC245" s="7"/>
      <c r="BD245" s="7"/>
      <c r="BE245" s="7"/>
      <c r="BF245" s="7"/>
      <c r="BG245" s="7"/>
      <c r="BH245" s="7"/>
      <c r="BI245" s="7"/>
    </row>
    <row r="246" customFormat="false" ht="14.25" hidden="false" customHeight="true" outlineLevel="0" collapsed="false">
      <c r="A246" s="7" t="s">
        <v>4481</v>
      </c>
      <c r="B246" s="7" t="s">
        <v>4482</v>
      </c>
      <c r="C246" s="7" t="s">
        <v>4483</v>
      </c>
      <c r="D246" s="7" t="s">
        <v>4484</v>
      </c>
      <c r="E246" s="7" t="n">
        <v>2023</v>
      </c>
      <c r="F246" s="8" t="s">
        <v>4485</v>
      </c>
      <c r="G246" s="6" t="s">
        <v>393</v>
      </c>
      <c r="H246" s="6"/>
      <c r="I246" s="6" t="s">
        <v>4486</v>
      </c>
      <c r="J246" s="7"/>
      <c r="K246" s="7"/>
      <c r="L246" s="7"/>
      <c r="M246" s="7"/>
      <c r="N246" s="7"/>
      <c r="O246" s="7"/>
      <c r="P246" s="7" t="s">
        <v>61</v>
      </c>
      <c r="Q246" s="7" t="s">
        <v>62</v>
      </c>
      <c r="R246" s="7" t="s">
        <v>4487</v>
      </c>
      <c r="S246" s="7" t="n">
        <v>19</v>
      </c>
      <c r="T246" s="7" t="s">
        <v>903</v>
      </c>
      <c r="U246" s="7" t="n">
        <v>1</v>
      </c>
      <c r="V246" s="7" t="n">
        <v>24</v>
      </c>
      <c r="W246" s="7"/>
      <c r="X246" s="7"/>
      <c r="Y246" s="7"/>
      <c r="Z246" s="7" t="s">
        <v>4488</v>
      </c>
      <c r="AA246" s="9" t="s">
        <v>4489</v>
      </c>
      <c r="AB246" s="7" t="s">
        <v>4490</v>
      </c>
      <c r="AC246" s="7" t="s">
        <v>4491</v>
      </c>
      <c r="AD246" s="7" t="s">
        <v>4492</v>
      </c>
      <c r="AE246" s="7" t="s">
        <v>4493</v>
      </c>
      <c r="AF246" s="7"/>
      <c r="AG246" s="7" t="s">
        <v>4494</v>
      </c>
      <c r="AH246" s="7"/>
      <c r="AI246" s="7"/>
      <c r="AJ246" s="10" t="s">
        <v>4495</v>
      </c>
      <c r="AK246" s="7" t="s">
        <v>4496</v>
      </c>
      <c r="AL246" s="7" t="s">
        <v>4497</v>
      </c>
      <c r="AM246" s="7" t="s">
        <v>4498</v>
      </c>
      <c r="AN246" s="7"/>
      <c r="AO246" s="7"/>
      <c r="AP246" s="7"/>
      <c r="AQ246" s="7"/>
      <c r="AR246" s="7"/>
      <c r="AS246" s="7"/>
      <c r="AT246" s="7" t="n">
        <v>17466148</v>
      </c>
      <c r="AU246" s="7"/>
      <c r="AV246" s="7"/>
      <c r="AW246" s="7" t="n">
        <v>36717812</v>
      </c>
      <c r="AX246" s="7" t="s">
        <v>4499</v>
      </c>
      <c r="AY246" s="7" t="s">
        <v>75</v>
      </c>
      <c r="AZ246" s="7" t="s">
        <v>107</v>
      </c>
      <c r="BA246" s="7" t="s">
        <v>76</v>
      </c>
      <c r="BB246" s="7" t="s">
        <v>4500</v>
      </c>
      <c r="BC246" s="7"/>
      <c r="BD246" s="7"/>
      <c r="BE246" s="7"/>
      <c r="BF246" s="7"/>
      <c r="BG246" s="7"/>
      <c r="BH246" s="7"/>
      <c r="BI246" s="7"/>
    </row>
    <row r="247" customFormat="false" ht="14.25" hidden="false" customHeight="true" outlineLevel="0" collapsed="false">
      <c r="A247" s="7" t="s">
        <v>4501</v>
      </c>
      <c r="B247" s="7" t="s">
        <v>4502</v>
      </c>
      <c r="C247" s="7" t="s">
        <v>4503</v>
      </c>
      <c r="D247" s="6" t="s">
        <v>4504</v>
      </c>
      <c r="E247" s="7" t="n">
        <v>2023</v>
      </c>
      <c r="F247" s="8" t="s">
        <v>4505</v>
      </c>
      <c r="G247" s="6" t="s">
        <v>149</v>
      </c>
      <c r="H247" s="6"/>
      <c r="I247" s="7" t="s">
        <v>4506</v>
      </c>
      <c r="J247" s="7"/>
      <c r="K247" s="7"/>
      <c r="L247" s="7"/>
      <c r="M247" s="7"/>
      <c r="N247" s="7"/>
      <c r="O247" s="7"/>
      <c r="P247" s="7" t="s">
        <v>61</v>
      </c>
      <c r="Q247" s="7" t="s">
        <v>62</v>
      </c>
      <c r="R247" s="7" t="s">
        <v>603</v>
      </c>
      <c r="S247" s="7" t="n">
        <v>108</v>
      </c>
      <c r="T247" s="7" t="s">
        <v>604</v>
      </c>
      <c r="U247" s="7" t="n">
        <v>1</v>
      </c>
      <c r="V247" s="7"/>
      <c r="W247" s="7" t="n">
        <v>41</v>
      </c>
      <c r="X247" s="7" t="n">
        <v>43</v>
      </c>
      <c r="Y247" s="7" t="n">
        <v>2</v>
      </c>
      <c r="Z247" s="7" t="s">
        <v>4507</v>
      </c>
      <c r="AA247" s="9" t="s">
        <v>4508</v>
      </c>
      <c r="AB247" s="7" t="s">
        <v>4509</v>
      </c>
      <c r="AC247" s="7" t="s">
        <v>4510</v>
      </c>
      <c r="AD247" s="7"/>
      <c r="AE247" s="7" t="s">
        <v>4511</v>
      </c>
      <c r="AF247" s="7"/>
      <c r="AG247" s="7"/>
      <c r="AH247" s="7"/>
      <c r="AI247" s="7"/>
      <c r="AJ247" s="10" t="s">
        <v>4512</v>
      </c>
      <c r="AK247" s="7" t="s">
        <v>4513</v>
      </c>
      <c r="AL247" s="7" t="s">
        <v>4514</v>
      </c>
      <c r="AM247" s="7" t="s">
        <v>4515</v>
      </c>
      <c r="AN247" s="7"/>
      <c r="AO247" s="7"/>
      <c r="AP247" s="7"/>
      <c r="AQ247" s="7"/>
      <c r="AR247" s="7"/>
      <c r="AS247" s="7"/>
      <c r="AT247" s="7" t="n">
        <v>29637</v>
      </c>
      <c r="AU247" s="7"/>
      <c r="AV247" s="7" t="s">
        <v>616</v>
      </c>
      <c r="AW247" s="7" t="n">
        <v>36509050</v>
      </c>
      <c r="AX247" s="7" t="s">
        <v>617</v>
      </c>
      <c r="AY247" s="7" t="s">
        <v>75</v>
      </c>
      <c r="AZ247" s="7" t="s">
        <v>636</v>
      </c>
      <c r="BA247" s="7" t="s">
        <v>76</v>
      </c>
      <c r="BB247" s="7" t="s">
        <v>4516</v>
      </c>
      <c r="BC247" s="7"/>
      <c r="BD247" s="7"/>
      <c r="BE247" s="7"/>
      <c r="BF247" s="7"/>
      <c r="BG247" s="7"/>
      <c r="BH247" s="7"/>
      <c r="BI247" s="7"/>
    </row>
    <row r="248" customFormat="false" ht="14.25" hidden="false" customHeight="true" outlineLevel="0" collapsed="false">
      <c r="A248" s="7" t="s">
        <v>4517</v>
      </c>
      <c r="B248" s="7" t="s">
        <v>4518</v>
      </c>
      <c r="C248" s="7" t="s">
        <v>4519</v>
      </c>
      <c r="D248" s="7" t="s">
        <v>4520</v>
      </c>
      <c r="E248" s="7" t="n">
        <v>2023</v>
      </c>
      <c r="F248" s="8" t="s">
        <v>4521</v>
      </c>
      <c r="G248" s="6" t="s">
        <v>713</v>
      </c>
      <c r="H248" s="7"/>
      <c r="I248" s="7"/>
      <c r="J248" s="7"/>
      <c r="K248" s="7"/>
      <c r="L248" s="7"/>
      <c r="M248" s="7"/>
      <c r="N248" s="7"/>
      <c r="O248" s="7"/>
      <c r="P248" s="7" t="s">
        <v>61</v>
      </c>
      <c r="Q248" s="7" t="s">
        <v>62</v>
      </c>
      <c r="R248" s="7" t="s">
        <v>4522</v>
      </c>
      <c r="S248" s="7" t="n">
        <v>3</v>
      </c>
      <c r="T248" s="7" t="s">
        <v>1633</v>
      </c>
      <c r="U248" s="7" t="n">
        <v>7</v>
      </c>
      <c r="V248" s="7" t="n">
        <v>100516</v>
      </c>
      <c r="W248" s="7"/>
      <c r="X248" s="7"/>
      <c r="Y248" s="7"/>
      <c r="Z248" s="7" t="s">
        <v>4523</v>
      </c>
      <c r="AA248" s="9" t="s">
        <v>4524</v>
      </c>
      <c r="AB248" s="7" t="s">
        <v>4525</v>
      </c>
      <c r="AC248" s="7" t="s">
        <v>4526</v>
      </c>
      <c r="AD248" s="7" t="s">
        <v>4527</v>
      </c>
      <c r="AE248" s="7" t="s">
        <v>4528</v>
      </c>
      <c r="AF248" s="7"/>
      <c r="AG248" s="7" t="s">
        <v>4529</v>
      </c>
      <c r="AH248" s="7"/>
      <c r="AI248" s="7"/>
      <c r="AJ248" s="10" t="s">
        <v>4530</v>
      </c>
      <c r="AK248" s="7" t="s">
        <v>4531</v>
      </c>
      <c r="AL248" s="7" t="s">
        <v>4532</v>
      </c>
      <c r="AM248" s="7" t="s">
        <v>4533</v>
      </c>
      <c r="AN248" s="7"/>
      <c r="AO248" s="7"/>
      <c r="AP248" s="7"/>
      <c r="AQ248" s="7"/>
      <c r="AR248" s="7"/>
      <c r="AS248" s="7"/>
      <c r="AT248" s="7" t="n">
        <v>26672375</v>
      </c>
      <c r="AU248" s="7"/>
      <c r="AV248" s="7"/>
      <c r="AW248" s="7" t="n">
        <v>37533635</v>
      </c>
      <c r="AX248" s="7" t="s">
        <v>4534</v>
      </c>
      <c r="AY248" s="7" t="s">
        <v>75</v>
      </c>
      <c r="AZ248" s="7" t="s">
        <v>107</v>
      </c>
      <c r="BA248" s="7" t="s">
        <v>76</v>
      </c>
      <c r="BB248" s="7" t="s">
        <v>4535</v>
      </c>
      <c r="BC248" s="7"/>
      <c r="BD248" s="7"/>
      <c r="BE248" s="7"/>
      <c r="BF248" s="7"/>
      <c r="BG248" s="7"/>
      <c r="BH248" s="7"/>
      <c r="BI248" s="7"/>
    </row>
    <row r="249" customFormat="false" ht="14.25" hidden="false" customHeight="true" outlineLevel="0" collapsed="false">
      <c r="A249" s="7" t="s">
        <v>4536</v>
      </c>
      <c r="B249" s="7" t="s">
        <v>4537</v>
      </c>
      <c r="C249" s="7" t="s">
        <v>4538</v>
      </c>
      <c r="D249" s="7" t="s">
        <v>4539</v>
      </c>
      <c r="E249" s="7" t="n">
        <v>2023</v>
      </c>
      <c r="F249" s="8" t="s">
        <v>4540</v>
      </c>
      <c r="G249" s="6" t="s">
        <v>713</v>
      </c>
      <c r="H249" s="7"/>
      <c r="I249" s="7"/>
      <c r="J249" s="7"/>
      <c r="K249" s="7"/>
      <c r="L249" s="7"/>
      <c r="M249" s="7"/>
      <c r="N249" s="7"/>
      <c r="O249" s="7"/>
      <c r="P249" s="7" t="s">
        <v>61</v>
      </c>
      <c r="Q249" s="7" t="s">
        <v>62</v>
      </c>
      <c r="R249" s="7" t="s">
        <v>186</v>
      </c>
      <c r="S249" s="7" t="n">
        <v>11</v>
      </c>
      <c r="T249" s="7" t="s">
        <v>187</v>
      </c>
      <c r="U249" s="7"/>
      <c r="V249" s="7"/>
      <c r="W249" s="7" t="n">
        <v>86285</v>
      </c>
      <c r="X249" s="7" t="n">
        <v>86296</v>
      </c>
      <c r="Y249" s="7" t="n">
        <v>11</v>
      </c>
      <c r="Z249" s="7" t="s">
        <v>4541</v>
      </c>
      <c r="AA249" s="9" t="s">
        <v>4542</v>
      </c>
      <c r="AB249" s="7" t="s">
        <v>4543</v>
      </c>
      <c r="AC249" s="7" t="s">
        <v>4544</v>
      </c>
      <c r="AD249" s="7" t="s">
        <v>4545</v>
      </c>
      <c r="AE249" s="7" t="s">
        <v>4546</v>
      </c>
      <c r="AF249" s="7"/>
      <c r="AG249" s="7"/>
      <c r="AH249" s="7"/>
      <c r="AI249" s="7"/>
      <c r="AJ249" s="10"/>
      <c r="AK249" s="7"/>
      <c r="AL249" s="7" t="s">
        <v>4547</v>
      </c>
      <c r="AM249" s="7" t="s">
        <v>4548</v>
      </c>
      <c r="AN249" s="7"/>
      <c r="AO249" s="7"/>
      <c r="AP249" s="7"/>
      <c r="AQ249" s="7"/>
      <c r="AR249" s="7"/>
      <c r="AS249" s="7"/>
      <c r="AT249" s="7" t="n">
        <v>21693536</v>
      </c>
      <c r="AU249" s="7"/>
      <c r="AV249" s="7"/>
      <c r="AW249" s="7"/>
      <c r="AX249" s="7" t="s">
        <v>186</v>
      </c>
      <c r="AY249" s="7" t="s">
        <v>75</v>
      </c>
      <c r="AZ249" s="7" t="s">
        <v>127</v>
      </c>
      <c r="BA249" s="7" t="s">
        <v>76</v>
      </c>
      <c r="BB249" s="7" t="s">
        <v>4549</v>
      </c>
      <c r="BC249" s="7"/>
      <c r="BD249" s="7"/>
      <c r="BE249" s="7"/>
      <c r="BF249" s="7"/>
      <c r="BG249" s="7"/>
      <c r="BH249" s="7"/>
      <c r="BI249" s="7"/>
    </row>
    <row r="250" customFormat="false" ht="14.25" hidden="false" customHeight="true" outlineLevel="0" collapsed="false">
      <c r="A250" s="7" t="s">
        <v>4550</v>
      </c>
      <c r="B250" s="7" t="s">
        <v>4551</v>
      </c>
      <c r="C250" s="7" t="s">
        <v>4552</v>
      </c>
      <c r="D250" s="7" t="s">
        <v>4553</v>
      </c>
      <c r="E250" s="7" t="n">
        <v>2023</v>
      </c>
      <c r="F250" s="8" t="s">
        <v>4554</v>
      </c>
      <c r="G250" s="6" t="s">
        <v>713</v>
      </c>
      <c r="H250" s="7"/>
      <c r="I250" s="7"/>
      <c r="J250" s="7"/>
      <c r="K250" s="7"/>
      <c r="L250" s="7"/>
      <c r="M250" s="7"/>
      <c r="N250" s="7"/>
      <c r="O250" s="7"/>
      <c r="P250" s="7" t="s">
        <v>61</v>
      </c>
      <c r="Q250" s="7" t="s">
        <v>62</v>
      </c>
      <c r="R250" s="7" t="s">
        <v>4555</v>
      </c>
      <c r="S250" s="7" t="n">
        <v>13</v>
      </c>
      <c r="T250" s="7" t="s">
        <v>115</v>
      </c>
      <c r="U250" s="7" t="n">
        <v>4</v>
      </c>
      <c r="V250" s="7"/>
      <c r="W250" s="7" t="n">
        <v>546</v>
      </c>
      <c r="X250" s="7" t="n">
        <v>562</v>
      </c>
      <c r="Y250" s="7" t="n">
        <v>16</v>
      </c>
      <c r="Z250" s="7" t="s">
        <v>4556</v>
      </c>
      <c r="AA250" s="9" t="s">
        <v>4557</v>
      </c>
      <c r="AB250" s="7" t="s">
        <v>4558</v>
      </c>
      <c r="AC250" s="7" t="s">
        <v>4559</v>
      </c>
      <c r="AD250" s="7" t="s">
        <v>4560</v>
      </c>
      <c r="AE250" s="7" t="s">
        <v>4561</v>
      </c>
      <c r="AF250" s="7"/>
      <c r="AG250" s="7"/>
      <c r="AH250" s="7"/>
      <c r="AI250" s="7"/>
      <c r="AJ250" s="10" t="s">
        <v>4562</v>
      </c>
      <c r="AK250" s="7" t="s">
        <v>4563</v>
      </c>
      <c r="AL250" s="7" t="s">
        <v>4564</v>
      </c>
      <c r="AM250" s="7" t="s">
        <v>4565</v>
      </c>
      <c r="AN250" s="7"/>
      <c r="AO250" s="7"/>
      <c r="AP250" s="7"/>
      <c r="AQ250" s="7"/>
      <c r="AR250" s="7"/>
      <c r="AS250" s="7"/>
      <c r="AT250" s="7" t="n">
        <v>20394349</v>
      </c>
      <c r="AU250" s="7"/>
      <c r="AV250" s="7"/>
      <c r="AW250" s="7"/>
      <c r="AX250" s="7" t="s">
        <v>4566</v>
      </c>
      <c r="AY250" s="7" t="s">
        <v>75</v>
      </c>
      <c r="AZ250" s="7" t="s">
        <v>107</v>
      </c>
      <c r="BA250" s="7" t="s">
        <v>76</v>
      </c>
      <c r="BB250" s="7" t="s">
        <v>4567</v>
      </c>
      <c r="BC250" s="7"/>
      <c r="BD250" s="7"/>
      <c r="BE250" s="7"/>
      <c r="BF250" s="7"/>
      <c r="BG250" s="7"/>
      <c r="BH250" s="7"/>
      <c r="BI250" s="7"/>
    </row>
    <row r="251" customFormat="false" ht="14.25" hidden="false" customHeight="true" outlineLevel="0" collapsed="false">
      <c r="A251" s="7" t="s">
        <v>4568</v>
      </c>
      <c r="B251" s="7" t="s">
        <v>4569</v>
      </c>
      <c r="C251" s="7" t="s">
        <v>4570</v>
      </c>
      <c r="D251" s="6" t="s">
        <v>4571</v>
      </c>
      <c r="E251" s="7" t="n">
        <v>2023</v>
      </c>
      <c r="F251" s="8" t="s">
        <v>4572</v>
      </c>
      <c r="G251" s="6" t="s">
        <v>1686</v>
      </c>
      <c r="H251" s="7"/>
      <c r="I251" s="6" t="s">
        <v>4573</v>
      </c>
      <c r="J251" s="7"/>
      <c r="K251" s="7"/>
      <c r="L251" s="7"/>
      <c r="M251" s="7"/>
      <c r="N251" s="7"/>
      <c r="O251" s="7"/>
      <c r="P251" s="7" t="s">
        <v>61</v>
      </c>
      <c r="Q251" s="7" t="s">
        <v>62</v>
      </c>
      <c r="R251" s="7" t="s">
        <v>4574</v>
      </c>
      <c r="S251" s="7" t="n">
        <v>14</v>
      </c>
      <c r="T251" s="7" t="s">
        <v>1328</v>
      </c>
      <c r="U251" s="7"/>
      <c r="V251" s="7" t="n">
        <v>1271618</v>
      </c>
      <c r="W251" s="7"/>
      <c r="X251" s="7"/>
      <c r="Y251" s="7"/>
      <c r="Z251" s="7" t="s">
        <v>4575</v>
      </c>
      <c r="AA251" s="9" t="s">
        <v>4576</v>
      </c>
      <c r="AB251" s="7" t="s">
        <v>4577</v>
      </c>
      <c r="AC251" s="7" t="s">
        <v>4578</v>
      </c>
      <c r="AD251" s="7" t="s">
        <v>4579</v>
      </c>
      <c r="AE251" s="7" t="s">
        <v>4580</v>
      </c>
      <c r="AF251" s="7"/>
      <c r="AG251" s="7" t="s">
        <v>4581</v>
      </c>
      <c r="AH251" s="7"/>
      <c r="AI251" s="7"/>
      <c r="AJ251" s="10"/>
      <c r="AK251" s="7"/>
      <c r="AL251" s="7" t="s">
        <v>4582</v>
      </c>
      <c r="AM251" s="7" t="s">
        <v>4583</v>
      </c>
      <c r="AN251" s="7"/>
      <c r="AO251" s="7"/>
      <c r="AP251" s="7"/>
      <c r="AQ251" s="7"/>
      <c r="AR251" s="7"/>
      <c r="AS251" s="7"/>
      <c r="AT251" s="7" t="n">
        <v>16639812</v>
      </c>
      <c r="AU251" s="7"/>
      <c r="AV251" s="7"/>
      <c r="AW251" s="7"/>
      <c r="AX251" s="7" t="s">
        <v>4584</v>
      </c>
      <c r="AY251" s="7" t="s">
        <v>75</v>
      </c>
      <c r="AZ251" s="7" t="s">
        <v>107</v>
      </c>
      <c r="BA251" s="7" t="s">
        <v>76</v>
      </c>
      <c r="BB251" s="7" t="s">
        <v>4585</v>
      </c>
      <c r="BC251" s="7"/>
      <c r="BD251" s="7"/>
      <c r="BE251" s="7"/>
      <c r="BF251" s="7"/>
      <c r="BG251" s="7"/>
      <c r="BH251" s="7"/>
      <c r="BI251" s="7"/>
    </row>
    <row r="252" customFormat="false" ht="14.25" hidden="false" customHeight="true" outlineLevel="0" collapsed="false">
      <c r="A252" s="7" t="s">
        <v>4586</v>
      </c>
      <c r="B252" s="7" t="s">
        <v>4587</v>
      </c>
      <c r="C252" s="7" t="s">
        <v>4588</v>
      </c>
      <c r="D252" s="7" t="s">
        <v>4589</v>
      </c>
      <c r="E252" s="7" t="n">
        <v>2023</v>
      </c>
      <c r="F252" s="8" t="s">
        <v>4590</v>
      </c>
      <c r="G252" s="6" t="s">
        <v>713</v>
      </c>
      <c r="H252" s="7"/>
      <c r="I252" s="7"/>
      <c r="J252" s="7"/>
      <c r="K252" s="7"/>
      <c r="L252" s="7"/>
      <c r="M252" s="7"/>
      <c r="N252" s="7"/>
      <c r="O252" s="7"/>
      <c r="P252" s="7" t="s">
        <v>61</v>
      </c>
      <c r="Q252" s="7" t="s">
        <v>62</v>
      </c>
      <c r="R252" s="7" t="s">
        <v>4591</v>
      </c>
      <c r="S252" s="7"/>
      <c r="T252" s="7" t="s">
        <v>4592</v>
      </c>
      <c r="U252" s="7"/>
      <c r="V252" s="7"/>
      <c r="W252" s="7"/>
      <c r="X252" s="7"/>
      <c r="Y252" s="7"/>
      <c r="Z252" s="7" t="s">
        <v>4593</v>
      </c>
      <c r="AA252" s="9" t="s">
        <v>4594</v>
      </c>
      <c r="AB252" s="7" t="s">
        <v>4595</v>
      </c>
      <c r="AC252" s="7" t="s">
        <v>4596</v>
      </c>
      <c r="AD252" s="7" t="s">
        <v>4597</v>
      </c>
      <c r="AE252" s="7" t="s">
        <v>4598</v>
      </c>
      <c r="AF252" s="7"/>
      <c r="AG252" s="7"/>
      <c r="AH252" s="7"/>
      <c r="AI252" s="7"/>
      <c r="AJ252" s="10"/>
      <c r="AK252" s="7"/>
      <c r="AL252" s="7" t="s">
        <v>4599</v>
      </c>
      <c r="AM252" s="7" t="s">
        <v>4600</v>
      </c>
      <c r="AN252" s="7"/>
      <c r="AO252" s="7"/>
      <c r="AP252" s="7"/>
      <c r="AQ252" s="7"/>
      <c r="AR252" s="7"/>
      <c r="AS252" s="7"/>
      <c r="AT252" s="7" t="n">
        <v>1969722</v>
      </c>
      <c r="AU252" s="7"/>
      <c r="AV252" s="7" t="s">
        <v>4601</v>
      </c>
      <c r="AW252" s="7"/>
      <c r="AX252" s="7" t="s">
        <v>4602</v>
      </c>
      <c r="AY252" s="7" t="s">
        <v>194</v>
      </c>
      <c r="AZ252" s="7"/>
      <c r="BA252" s="7" t="s">
        <v>76</v>
      </c>
      <c r="BB252" s="7" t="s">
        <v>4603</v>
      </c>
      <c r="BC252" s="7"/>
      <c r="BD252" s="7"/>
      <c r="BE252" s="7"/>
      <c r="BF252" s="7"/>
      <c r="BG252" s="7"/>
      <c r="BH252" s="7"/>
      <c r="BI252" s="7"/>
    </row>
    <row r="253" customFormat="false" ht="14.25" hidden="false" customHeight="true" outlineLevel="0" collapsed="false">
      <c r="A253" s="7" t="s">
        <v>4604</v>
      </c>
      <c r="B253" s="7" t="s">
        <v>4605</v>
      </c>
      <c r="C253" s="7" t="s">
        <v>4606</v>
      </c>
      <c r="D253" s="7" t="s">
        <v>4607</v>
      </c>
      <c r="E253" s="7" t="n">
        <v>2023</v>
      </c>
      <c r="F253" s="8" t="s">
        <v>4608</v>
      </c>
      <c r="G253" s="6" t="s">
        <v>713</v>
      </c>
      <c r="H253" s="7"/>
      <c r="I253" s="7"/>
      <c r="J253" s="7"/>
      <c r="K253" s="7"/>
      <c r="L253" s="7"/>
      <c r="M253" s="7"/>
      <c r="N253" s="7"/>
      <c r="O253" s="7"/>
      <c r="P253" s="7" t="s">
        <v>61</v>
      </c>
      <c r="Q253" s="7" t="s">
        <v>62</v>
      </c>
      <c r="R253" s="7" t="s">
        <v>4609</v>
      </c>
      <c r="S253" s="7" t="n">
        <v>56</v>
      </c>
      <c r="T253" s="7" t="s">
        <v>115</v>
      </c>
      <c r="U253" s="7" t="n">
        <v>1</v>
      </c>
      <c r="V253" s="7" t="n">
        <v>232</v>
      </c>
      <c r="W253" s="7"/>
      <c r="X253" s="7"/>
      <c r="Y253" s="7"/>
      <c r="Z253" s="7" t="s">
        <v>4610</v>
      </c>
      <c r="AA253" s="9" t="s">
        <v>4611</v>
      </c>
      <c r="AB253" s="7" t="s">
        <v>4612</v>
      </c>
      <c r="AC253" s="7" t="s">
        <v>4613</v>
      </c>
      <c r="AD253" s="7" t="s">
        <v>4614</v>
      </c>
      <c r="AE253" s="7"/>
      <c r="AF253" s="7"/>
      <c r="AG253" s="7"/>
      <c r="AH253" s="7"/>
      <c r="AI253" s="7"/>
      <c r="AJ253" s="10"/>
      <c r="AK253" s="7"/>
      <c r="AL253" s="7" t="s">
        <v>4615</v>
      </c>
      <c r="AM253" s="7" t="s">
        <v>4616</v>
      </c>
      <c r="AN253" s="7"/>
      <c r="AO253" s="7"/>
      <c r="AP253" s="7"/>
      <c r="AQ253" s="7"/>
      <c r="AR253" s="7"/>
      <c r="AS253" s="7"/>
      <c r="AT253" s="7" t="n">
        <v>26734591</v>
      </c>
      <c r="AU253" s="7"/>
      <c r="AV253" s="7"/>
      <c r="AW253" s="7"/>
      <c r="AX253" s="7" t="s">
        <v>4617</v>
      </c>
      <c r="AY253" s="7" t="s">
        <v>75</v>
      </c>
      <c r="AZ253" s="7" t="s">
        <v>2509</v>
      </c>
      <c r="BA253" s="7" t="s">
        <v>76</v>
      </c>
      <c r="BB253" s="7" t="s">
        <v>4618</v>
      </c>
      <c r="BC253" s="7"/>
      <c r="BD253" s="7"/>
      <c r="BE253" s="7"/>
      <c r="BF253" s="7"/>
      <c r="BG253" s="7"/>
      <c r="BH253" s="7"/>
      <c r="BI253" s="7"/>
    </row>
    <row r="254" customFormat="false" ht="14.25" hidden="false" customHeight="true" outlineLevel="0" collapsed="false">
      <c r="A254" s="7" t="s">
        <v>4619</v>
      </c>
      <c r="B254" s="7" t="s">
        <v>4620</v>
      </c>
      <c r="C254" s="7" t="s">
        <v>4621</v>
      </c>
      <c r="D254" s="7" t="s">
        <v>4622</v>
      </c>
      <c r="E254" s="7" t="n">
        <v>2023</v>
      </c>
      <c r="F254" s="8" t="s">
        <v>4623</v>
      </c>
      <c r="G254" s="6" t="s">
        <v>713</v>
      </c>
      <c r="H254" s="6"/>
      <c r="I254" s="6" t="s">
        <v>3920</v>
      </c>
      <c r="J254" s="7"/>
      <c r="K254" s="7"/>
      <c r="L254" s="7"/>
      <c r="M254" s="7"/>
      <c r="N254" s="7"/>
      <c r="O254" s="7"/>
      <c r="P254" s="7" t="s">
        <v>61</v>
      </c>
      <c r="Q254" s="7" t="s">
        <v>62</v>
      </c>
      <c r="R254" s="7" t="s">
        <v>4624</v>
      </c>
      <c r="S254" s="7" t="n">
        <v>60</v>
      </c>
      <c r="T254" s="7" t="s">
        <v>586</v>
      </c>
      <c r="U254" s="7" t="n">
        <v>9</v>
      </c>
      <c r="V254" s="7"/>
      <c r="W254" s="7" t="n">
        <v>709</v>
      </c>
      <c r="X254" s="7" t="n">
        <v>713</v>
      </c>
      <c r="Y254" s="7" t="n">
        <v>4</v>
      </c>
      <c r="Z254" s="7" t="s">
        <v>4625</v>
      </c>
      <c r="AA254" s="9" t="s">
        <v>4626</v>
      </c>
      <c r="AB254" s="7" t="s">
        <v>4627</v>
      </c>
      <c r="AC254" s="7" t="s">
        <v>4628</v>
      </c>
      <c r="AD254" s="7" t="s">
        <v>4629</v>
      </c>
      <c r="AE254" s="7" t="s">
        <v>4630</v>
      </c>
      <c r="AF254" s="7"/>
      <c r="AG254" s="7"/>
      <c r="AH254" s="7"/>
      <c r="AI254" s="7"/>
      <c r="AJ254" s="10"/>
      <c r="AK254" s="7"/>
      <c r="AL254" s="7" t="s">
        <v>4631</v>
      </c>
      <c r="AM254" s="7" t="s">
        <v>4632</v>
      </c>
      <c r="AN254" s="7"/>
      <c r="AO254" s="7"/>
      <c r="AP254" s="7"/>
      <c r="AQ254" s="7"/>
      <c r="AR254" s="7"/>
      <c r="AS254" s="7"/>
      <c r="AT254" s="7" t="n">
        <v>196061</v>
      </c>
      <c r="AU254" s="7"/>
      <c r="AV254" s="7" t="s">
        <v>4633</v>
      </c>
      <c r="AW254" s="7" t="n">
        <v>37260063</v>
      </c>
      <c r="AX254" s="7" t="s">
        <v>4634</v>
      </c>
      <c r="AY254" s="7" t="s">
        <v>75</v>
      </c>
      <c r="AZ254" s="7"/>
      <c r="BA254" s="7" t="s">
        <v>76</v>
      </c>
      <c r="BB254" s="7" t="s">
        <v>4635</v>
      </c>
      <c r="BC254" s="7"/>
      <c r="BD254" s="7"/>
      <c r="BE254" s="7"/>
      <c r="BF254" s="7"/>
      <c r="BG254" s="7"/>
      <c r="BH254" s="7"/>
      <c r="BI254" s="7"/>
    </row>
    <row r="255" customFormat="false" ht="14.25" hidden="false" customHeight="true" outlineLevel="0" collapsed="false">
      <c r="A255" s="7" t="s">
        <v>4636</v>
      </c>
      <c r="B255" s="7" t="s">
        <v>4637</v>
      </c>
      <c r="C255" s="7" t="s">
        <v>4638</v>
      </c>
      <c r="D255" s="7" t="s">
        <v>4639</v>
      </c>
      <c r="E255" s="7" t="n">
        <v>2023</v>
      </c>
      <c r="F255" s="8" t="s">
        <v>4640</v>
      </c>
      <c r="G255" s="6" t="s">
        <v>393</v>
      </c>
      <c r="H255" s="7"/>
      <c r="I255" s="7"/>
      <c r="J255" s="7"/>
      <c r="K255" s="7"/>
      <c r="L255" s="7"/>
      <c r="M255" s="7"/>
      <c r="N255" s="7"/>
      <c r="O255" s="7"/>
      <c r="P255" s="7" t="s">
        <v>61</v>
      </c>
      <c r="Q255" s="7" t="s">
        <v>62</v>
      </c>
      <c r="R255" s="7" t="s">
        <v>4641</v>
      </c>
      <c r="S255" s="7" t="n">
        <v>2023</v>
      </c>
      <c r="T255" s="7" t="s">
        <v>4642</v>
      </c>
      <c r="U255" s="7"/>
      <c r="V255" s="7"/>
      <c r="W255" s="7" t="n">
        <v>142</v>
      </c>
      <c r="X255" s="7" t="n">
        <v>159</v>
      </c>
      <c r="Y255" s="7" t="n">
        <v>17</v>
      </c>
      <c r="Z255" s="7" t="s">
        <v>4643</v>
      </c>
      <c r="AA255" s="9" t="s">
        <v>4644</v>
      </c>
      <c r="AB255" s="7" t="s">
        <v>4645</v>
      </c>
      <c r="AC255" s="7" t="s">
        <v>4646</v>
      </c>
      <c r="AD255" s="7"/>
      <c r="AE255" s="7" t="s">
        <v>4647</v>
      </c>
      <c r="AF255" s="7"/>
      <c r="AG255" s="7" t="s">
        <v>4648</v>
      </c>
      <c r="AH255" s="7"/>
      <c r="AI255" s="7"/>
      <c r="AJ255" s="10"/>
      <c r="AK255" s="7"/>
      <c r="AL255" s="7" t="s">
        <v>4649</v>
      </c>
      <c r="AM255" s="7" t="s">
        <v>4650</v>
      </c>
      <c r="AN255" s="7"/>
      <c r="AO255" s="7"/>
      <c r="AP255" s="7"/>
      <c r="AQ255" s="7"/>
      <c r="AR255" s="7"/>
      <c r="AS255" s="7"/>
      <c r="AT255" s="7" t="s">
        <v>4651</v>
      </c>
      <c r="AU255" s="7"/>
      <c r="AV255" s="7"/>
      <c r="AW255" s="7"/>
      <c r="AX255" s="7" t="s">
        <v>4652</v>
      </c>
      <c r="AY255" s="7" t="s">
        <v>75</v>
      </c>
      <c r="AZ255" s="7"/>
      <c r="BA255" s="7" t="s">
        <v>76</v>
      </c>
      <c r="BB255" s="7" t="s">
        <v>4653</v>
      </c>
      <c r="BC255" s="7"/>
      <c r="BD255" s="7"/>
      <c r="BE255" s="7"/>
      <c r="BF255" s="7"/>
      <c r="BG255" s="7"/>
      <c r="BH255" s="7"/>
      <c r="BI255" s="7"/>
    </row>
    <row r="256" customFormat="false" ht="14.25" hidden="false" customHeight="true" outlineLevel="0" collapsed="false">
      <c r="A256" s="7" t="s">
        <v>4654</v>
      </c>
      <c r="B256" s="7" t="s">
        <v>4655</v>
      </c>
      <c r="C256" s="7" t="s">
        <v>4656</v>
      </c>
      <c r="D256" s="7" t="s">
        <v>4657</v>
      </c>
      <c r="E256" s="7" t="n">
        <v>2023</v>
      </c>
      <c r="F256" s="8" t="s">
        <v>4658</v>
      </c>
      <c r="G256" s="6" t="s">
        <v>393</v>
      </c>
      <c r="H256" s="7"/>
      <c r="I256" s="7"/>
      <c r="J256" s="7"/>
      <c r="K256" s="7"/>
      <c r="L256" s="7"/>
      <c r="M256" s="7"/>
      <c r="N256" s="7"/>
      <c r="O256" s="7"/>
      <c r="P256" s="7" t="s">
        <v>61</v>
      </c>
      <c r="Q256" s="7" t="s">
        <v>62</v>
      </c>
      <c r="R256" s="7" t="s">
        <v>1327</v>
      </c>
      <c r="S256" s="7" t="n">
        <v>14</v>
      </c>
      <c r="T256" s="7" t="s">
        <v>1328</v>
      </c>
      <c r="U256" s="7"/>
      <c r="V256" s="7" t="n">
        <v>1243516</v>
      </c>
      <c r="W256" s="7"/>
      <c r="X256" s="7"/>
      <c r="Y256" s="7"/>
      <c r="Z256" s="7" t="s">
        <v>4659</v>
      </c>
      <c r="AA256" s="9" t="s">
        <v>4660</v>
      </c>
      <c r="AB256" s="7" t="s">
        <v>4661</v>
      </c>
      <c r="AC256" s="7" t="s">
        <v>4662</v>
      </c>
      <c r="AD256" s="7" t="s">
        <v>4663</v>
      </c>
      <c r="AE256" s="7" t="s">
        <v>4664</v>
      </c>
      <c r="AF256" s="7"/>
      <c r="AG256" s="7" t="s">
        <v>4665</v>
      </c>
      <c r="AH256" s="7"/>
      <c r="AI256" s="7"/>
      <c r="AJ256" s="10" t="s">
        <v>4666</v>
      </c>
      <c r="AK256" s="7" t="s">
        <v>4667</v>
      </c>
      <c r="AL256" s="7" t="s">
        <v>4668</v>
      </c>
      <c r="AM256" s="7" t="s">
        <v>4669</v>
      </c>
      <c r="AN256" s="7"/>
      <c r="AO256" s="7"/>
      <c r="AP256" s="7"/>
      <c r="AQ256" s="7"/>
      <c r="AR256" s="7"/>
      <c r="AS256" s="7"/>
      <c r="AT256" s="7" t="n">
        <v>16643224</v>
      </c>
      <c r="AU256" s="7"/>
      <c r="AV256" s="7"/>
      <c r="AW256" s="7" t="n">
        <v>37638052</v>
      </c>
      <c r="AX256" s="7" t="s">
        <v>1340</v>
      </c>
      <c r="AY256" s="7" t="s">
        <v>75</v>
      </c>
      <c r="AZ256" s="7" t="s">
        <v>107</v>
      </c>
      <c r="BA256" s="7" t="s">
        <v>76</v>
      </c>
      <c r="BB256" s="7" t="s">
        <v>4670</v>
      </c>
      <c r="BC256" s="7"/>
      <c r="BD256" s="7"/>
      <c r="BE256" s="7"/>
      <c r="BF256" s="7"/>
      <c r="BG256" s="7"/>
      <c r="BH256" s="7"/>
      <c r="BI256" s="7"/>
    </row>
    <row r="257" customFormat="false" ht="14.25" hidden="false" customHeight="true" outlineLevel="0" collapsed="false">
      <c r="A257" s="7" t="s">
        <v>4671</v>
      </c>
      <c r="B257" s="7" t="s">
        <v>4672</v>
      </c>
      <c r="C257" s="7" t="s">
        <v>4673</v>
      </c>
      <c r="D257" s="7" t="s">
        <v>4674</v>
      </c>
      <c r="E257" s="7" t="n">
        <v>2023</v>
      </c>
      <c r="F257" s="8" t="s">
        <v>4675</v>
      </c>
      <c r="G257" s="6" t="s">
        <v>290</v>
      </c>
      <c r="H257" s="7"/>
      <c r="I257" s="7"/>
      <c r="J257" s="7"/>
      <c r="K257" s="7"/>
      <c r="L257" s="7"/>
      <c r="M257" s="7"/>
      <c r="N257" s="7"/>
      <c r="O257" s="7"/>
      <c r="P257" s="7" t="s">
        <v>61</v>
      </c>
      <c r="Q257" s="7" t="s">
        <v>62</v>
      </c>
      <c r="R257" s="7" t="s">
        <v>4676</v>
      </c>
      <c r="S257" s="7" t="n">
        <v>83</v>
      </c>
      <c r="T257" s="7" t="s">
        <v>4677</v>
      </c>
      <c r="U257" s="7"/>
      <c r="V257" s="7" t="s">
        <v>4678</v>
      </c>
      <c r="W257" s="7"/>
      <c r="X257" s="7"/>
      <c r="Y257" s="7"/>
      <c r="Z257" s="7" t="s">
        <v>4679</v>
      </c>
      <c r="AA257" s="9" t="s">
        <v>4680</v>
      </c>
      <c r="AB257" s="7" t="s">
        <v>4681</v>
      </c>
      <c r="AC257" s="7" t="s">
        <v>4682</v>
      </c>
      <c r="AD257" s="7" t="s">
        <v>4683</v>
      </c>
      <c r="AE257" s="7" t="s">
        <v>4684</v>
      </c>
      <c r="AF257" s="7"/>
      <c r="AG257" s="7" t="s">
        <v>4685</v>
      </c>
      <c r="AH257" s="7"/>
      <c r="AI257" s="7"/>
      <c r="AJ257" s="10" t="s">
        <v>4686</v>
      </c>
      <c r="AK257" s="7" t="s">
        <v>4687</v>
      </c>
      <c r="AL257" s="7" t="s">
        <v>4688</v>
      </c>
      <c r="AM257" s="7" t="s">
        <v>4689</v>
      </c>
      <c r="AN257" s="7"/>
      <c r="AO257" s="7"/>
      <c r="AP257" s="7"/>
      <c r="AQ257" s="7"/>
      <c r="AR257" s="7"/>
      <c r="AS257" s="7"/>
      <c r="AT257" s="7" t="n">
        <v>15196984</v>
      </c>
      <c r="AU257" s="7"/>
      <c r="AV257" s="7"/>
      <c r="AW257" s="7" t="n">
        <v>38055507</v>
      </c>
      <c r="AX257" s="7" t="s">
        <v>4690</v>
      </c>
      <c r="AY257" s="7" t="s">
        <v>75</v>
      </c>
      <c r="AZ257" s="7" t="s">
        <v>127</v>
      </c>
      <c r="BA257" s="7" t="s">
        <v>76</v>
      </c>
      <c r="BB257" s="7" t="s">
        <v>4691</v>
      </c>
      <c r="BC257" s="7"/>
      <c r="BD257" s="7"/>
      <c r="BE257" s="7"/>
      <c r="BF257" s="7"/>
      <c r="BG257" s="7"/>
      <c r="BH257" s="7"/>
      <c r="BI257" s="7"/>
    </row>
    <row r="258" customFormat="false" ht="14.25" hidden="false" customHeight="true" outlineLevel="0" collapsed="false">
      <c r="A258" s="7" t="s">
        <v>4692</v>
      </c>
      <c r="B258" s="7" t="s">
        <v>4693</v>
      </c>
      <c r="C258" s="7" t="s">
        <v>4694</v>
      </c>
      <c r="D258" s="7" t="s">
        <v>4695</v>
      </c>
      <c r="E258" s="7" t="n">
        <v>2023</v>
      </c>
      <c r="F258" s="8" t="s">
        <v>4696</v>
      </c>
      <c r="G258" s="6" t="s">
        <v>149</v>
      </c>
      <c r="H258" s="7"/>
      <c r="I258" s="7"/>
      <c r="J258" s="7"/>
      <c r="K258" s="7"/>
      <c r="L258" s="7"/>
      <c r="M258" s="7"/>
      <c r="N258" s="7"/>
      <c r="O258" s="7"/>
      <c r="P258" s="7" t="s">
        <v>61</v>
      </c>
      <c r="Q258" s="7" t="s">
        <v>62</v>
      </c>
      <c r="R258" s="7" t="s">
        <v>603</v>
      </c>
      <c r="S258" s="7" t="n">
        <v>109</v>
      </c>
      <c r="T258" s="7" t="s">
        <v>604</v>
      </c>
      <c r="U258" s="7" t="n">
        <v>5</v>
      </c>
      <c r="V258" s="7"/>
      <c r="W258" s="7" t="n">
        <v>999</v>
      </c>
      <c r="X258" s="7" t="n">
        <v>1005</v>
      </c>
      <c r="Y258" s="7" t="n">
        <v>6</v>
      </c>
      <c r="Z258" s="7" t="s">
        <v>4697</v>
      </c>
      <c r="AA258" s="9" t="s">
        <v>4698</v>
      </c>
      <c r="AB258" s="7" t="s">
        <v>4699</v>
      </c>
      <c r="AC258" s="7" t="s">
        <v>4700</v>
      </c>
      <c r="AD258" s="7"/>
      <c r="AE258" s="7" t="s">
        <v>4701</v>
      </c>
      <c r="AF258" s="7"/>
      <c r="AG258" s="7" t="s">
        <v>4702</v>
      </c>
      <c r="AH258" s="7"/>
      <c r="AI258" s="7"/>
      <c r="AJ258" s="10" t="s">
        <v>4703</v>
      </c>
      <c r="AK258" s="7" t="s">
        <v>4704</v>
      </c>
      <c r="AL258" s="7" t="s">
        <v>4705</v>
      </c>
      <c r="AM258" s="7" t="s">
        <v>4706</v>
      </c>
      <c r="AN258" s="7"/>
      <c r="AO258" s="7"/>
      <c r="AP258" s="7"/>
      <c r="AQ258" s="7"/>
      <c r="AR258" s="7"/>
      <c r="AS258" s="7"/>
      <c r="AT258" s="7" t="n">
        <v>29637</v>
      </c>
      <c r="AU258" s="7"/>
      <c r="AV258" s="7" t="s">
        <v>616</v>
      </c>
      <c r="AW258" s="7" t="n">
        <v>37696519</v>
      </c>
      <c r="AX258" s="7" t="s">
        <v>617</v>
      </c>
      <c r="AY258" s="7" t="s">
        <v>75</v>
      </c>
      <c r="AZ258" s="7"/>
      <c r="BA258" s="7" t="s">
        <v>76</v>
      </c>
      <c r="BB258" s="7" t="s">
        <v>4707</v>
      </c>
      <c r="BC258" s="7"/>
      <c r="BD258" s="7"/>
      <c r="BE258" s="7"/>
      <c r="BF258" s="7"/>
      <c r="BG258" s="7"/>
      <c r="BH258" s="7"/>
      <c r="BI258" s="7"/>
    </row>
    <row r="259" customFormat="false" ht="14.25" hidden="false" customHeight="true" outlineLevel="0" collapsed="false">
      <c r="A259" s="7" t="s">
        <v>4708</v>
      </c>
      <c r="B259" s="7" t="s">
        <v>4709</v>
      </c>
      <c r="C259" s="7" t="s">
        <v>4710</v>
      </c>
      <c r="D259" s="7" t="s">
        <v>4711</v>
      </c>
      <c r="E259" s="7" t="n">
        <v>2023</v>
      </c>
      <c r="F259" s="8" t="s">
        <v>4712</v>
      </c>
      <c r="G259" s="6" t="s">
        <v>713</v>
      </c>
      <c r="H259" s="7"/>
      <c r="I259" s="7"/>
      <c r="J259" s="7"/>
      <c r="K259" s="7"/>
      <c r="L259" s="7"/>
      <c r="M259" s="7"/>
      <c r="N259" s="7"/>
      <c r="O259" s="7"/>
      <c r="P259" s="7" t="s">
        <v>61</v>
      </c>
      <c r="Q259" s="7" t="s">
        <v>62</v>
      </c>
      <c r="R259" s="7" t="s">
        <v>4713</v>
      </c>
      <c r="S259" s="7" t="n">
        <v>11</v>
      </c>
      <c r="T259" s="7" t="s">
        <v>4714</v>
      </c>
      <c r="U259" s="7"/>
      <c r="V259" s="7"/>
      <c r="W259" s="7" t="n">
        <v>210</v>
      </c>
      <c r="X259" s="7" t="n">
        <v>222</v>
      </c>
      <c r="Y259" s="7" t="n">
        <v>12</v>
      </c>
      <c r="Z259" s="7" t="s">
        <v>4715</v>
      </c>
      <c r="AA259" s="9" t="s">
        <v>4716</v>
      </c>
      <c r="AB259" s="7" t="s">
        <v>4717</v>
      </c>
      <c r="AC259" s="7" t="s">
        <v>4718</v>
      </c>
      <c r="AD259" s="7" t="s">
        <v>4719</v>
      </c>
      <c r="AE259" s="7"/>
      <c r="AF259" s="7"/>
      <c r="AG259" s="7"/>
      <c r="AH259" s="7"/>
      <c r="AI259" s="7"/>
      <c r="AJ259" s="10"/>
      <c r="AK259" s="7"/>
      <c r="AL259" s="7" t="s">
        <v>4720</v>
      </c>
      <c r="AM259" s="7"/>
      <c r="AN259" s="7"/>
      <c r="AO259" s="7"/>
      <c r="AP259" s="7"/>
      <c r="AQ259" s="7"/>
      <c r="AR259" s="7"/>
      <c r="AS259" s="7"/>
      <c r="AT259" s="7" t="n">
        <v>23218169</v>
      </c>
      <c r="AU259" s="7"/>
      <c r="AV259" s="7"/>
      <c r="AW259" s="7"/>
      <c r="AX259" s="7" t="s">
        <v>4721</v>
      </c>
      <c r="AY259" s="7" t="s">
        <v>75</v>
      </c>
      <c r="AZ259" s="7" t="s">
        <v>127</v>
      </c>
      <c r="BA259" s="7" t="s">
        <v>76</v>
      </c>
      <c r="BB259" s="7" t="s">
        <v>4722</v>
      </c>
      <c r="BC259" s="7"/>
      <c r="BD259" s="7"/>
      <c r="BE259" s="7"/>
      <c r="BF259" s="7"/>
      <c r="BG259" s="7"/>
      <c r="BH259" s="7"/>
      <c r="BI259" s="7"/>
    </row>
    <row r="260" customFormat="false" ht="14.25" hidden="false" customHeight="true" outlineLevel="0" collapsed="false">
      <c r="A260" s="7" t="s">
        <v>4723</v>
      </c>
      <c r="B260" s="7" t="s">
        <v>4724</v>
      </c>
      <c r="C260" s="7" t="s">
        <v>4725</v>
      </c>
      <c r="D260" s="7" t="s">
        <v>4726</v>
      </c>
      <c r="E260" s="7" t="n">
        <v>2023</v>
      </c>
      <c r="F260" s="8" t="s">
        <v>4727</v>
      </c>
      <c r="G260" s="6" t="s">
        <v>149</v>
      </c>
      <c r="H260" s="7"/>
      <c r="I260" s="6" t="s">
        <v>4728</v>
      </c>
      <c r="J260" s="7"/>
      <c r="K260" s="7"/>
      <c r="L260" s="7"/>
      <c r="M260" s="7"/>
      <c r="N260" s="7"/>
      <c r="O260" s="7"/>
      <c r="P260" s="7" t="s">
        <v>61</v>
      </c>
      <c r="Q260" s="7" t="s">
        <v>62</v>
      </c>
      <c r="R260" s="7" t="s">
        <v>4729</v>
      </c>
      <c r="S260" s="7" t="n">
        <v>47</v>
      </c>
      <c r="T260" s="7" t="s">
        <v>4730</v>
      </c>
      <c r="U260" s="7" t="n">
        <v>3</v>
      </c>
      <c r="V260" s="7"/>
      <c r="W260" s="7" t="n">
        <v>155</v>
      </c>
      <c r="X260" s="7" t="n">
        <v>169</v>
      </c>
      <c r="Y260" s="7" t="n">
        <v>14</v>
      </c>
      <c r="Z260" s="7" t="s">
        <v>4731</v>
      </c>
      <c r="AA260" s="9" t="s">
        <v>4732</v>
      </c>
      <c r="AB260" s="7" t="s">
        <v>4733</v>
      </c>
      <c r="AC260" s="7" t="s">
        <v>4734</v>
      </c>
      <c r="AD260" s="7" t="s">
        <v>4735</v>
      </c>
      <c r="AE260" s="7" t="s">
        <v>4736</v>
      </c>
      <c r="AF260" s="7"/>
      <c r="AG260" s="7"/>
      <c r="AH260" s="7"/>
      <c r="AI260" s="7"/>
      <c r="AJ260" s="10" t="s">
        <v>4737</v>
      </c>
      <c r="AK260" s="7" t="s">
        <v>4738</v>
      </c>
      <c r="AL260" s="7" t="s">
        <v>4739</v>
      </c>
      <c r="AM260" s="7" t="s">
        <v>4740</v>
      </c>
      <c r="AN260" s="7"/>
      <c r="AO260" s="7"/>
      <c r="AP260" s="7"/>
      <c r="AQ260" s="7"/>
      <c r="AR260" s="7"/>
      <c r="AS260" s="7"/>
      <c r="AT260" s="7" t="n">
        <v>13000179</v>
      </c>
      <c r="AU260" s="7"/>
      <c r="AV260" s="7"/>
      <c r="AW260" s="7"/>
      <c r="AX260" s="7" t="s">
        <v>4741</v>
      </c>
      <c r="AY260" s="7" t="s">
        <v>75</v>
      </c>
      <c r="AZ260" s="7"/>
      <c r="BA260" s="7" t="s">
        <v>76</v>
      </c>
      <c r="BB260" s="7" t="s">
        <v>4742</v>
      </c>
      <c r="BC260" s="7"/>
      <c r="BD260" s="7"/>
      <c r="BE260" s="7"/>
      <c r="BF260" s="7"/>
      <c r="BG260" s="7"/>
      <c r="BH260" s="7"/>
      <c r="BI260" s="7"/>
    </row>
    <row r="261" customFormat="false" ht="14.25" hidden="false" customHeight="true" outlineLevel="0" collapsed="false">
      <c r="A261" s="7" t="s">
        <v>4743</v>
      </c>
      <c r="B261" s="7" t="s">
        <v>4744</v>
      </c>
      <c r="C261" s="7" t="s">
        <v>4745</v>
      </c>
      <c r="D261" s="7" t="s">
        <v>4746</v>
      </c>
      <c r="E261" s="7" t="n">
        <v>2023</v>
      </c>
      <c r="F261" s="8" t="s">
        <v>4747</v>
      </c>
      <c r="G261" s="6" t="s">
        <v>149</v>
      </c>
      <c r="H261" s="7"/>
      <c r="I261" s="7"/>
      <c r="J261" s="7"/>
      <c r="K261" s="7"/>
      <c r="L261" s="7"/>
      <c r="M261" s="7"/>
      <c r="N261" s="7"/>
      <c r="O261" s="7"/>
      <c r="P261" s="7" t="s">
        <v>61</v>
      </c>
      <c r="Q261" s="7" t="s">
        <v>62</v>
      </c>
      <c r="R261" s="7" t="s">
        <v>1933</v>
      </c>
      <c r="S261" s="7" t="n">
        <v>3</v>
      </c>
      <c r="T261" s="7" t="s">
        <v>500</v>
      </c>
      <c r="U261" s="11" t="n">
        <v>45877</v>
      </c>
      <c r="V261" s="7" t="s">
        <v>4748</v>
      </c>
      <c r="W261" s="7"/>
      <c r="X261" s="7"/>
      <c r="Y261" s="7"/>
      <c r="Z261" s="7" t="s">
        <v>4749</v>
      </c>
      <c r="AA261" s="9" t="s">
        <v>4750</v>
      </c>
      <c r="AB261" s="7" t="s">
        <v>4751</v>
      </c>
      <c r="AC261" s="7" t="s">
        <v>4752</v>
      </c>
      <c r="AD261" s="7"/>
      <c r="AE261" s="7"/>
      <c r="AF261" s="7"/>
      <c r="AG261" s="7"/>
      <c r="AH261" s="7"/>
      <c r="AI261" s="7"/>
      <c r="AJ261" s="10" t="s">
        <v>4753</v>
      </c>
      <c r="AK261" s="7" t="s">
        <v>4754</v>
      </c>
      <c r="AL261" s="7" t="s">
        <v>4755</v>
      </c>
      <c r="AM261" s="7" t="s">
        <v>4756</v>
      </c>
      <c r="AN261" s="7"/>
      <c r="AO261" s="7"/>
      <c r="AP261" s="7"/>
      <c r="AQ261" s="7"/>
      <c r="AR261" s="7"/>
      <c r="AS261" s="7"/>
      <c r="AT261" s="7" t="n">
        <v>27673375</v>
      </c>
      <c r="AU261" s="7"/>
      <c r="AV261" s="7"/>
      <c r="AW261" s="7"/>
      <c r="AX261" s="7" t="s">
        <v>1943</v>
      </c>
      <c r="AY261" s="7" t="s">
        <v>75</v>
      </c>
      <c r="AZ261" s="7" t="s">
        <v>107</v>
      </c>
      <c r="BA261" s="7" t="s">
        <v>76</v>
      </c>
      <c r="BB261" s="7" t="s">
        <v>4757</v>
      </c>
      <c r="BC261" s="7"/>
      <c r="BD261" s="7"/>
      <c r="BE261" s="7"/>
      <c r="BF261" s="7"/>
      <c r="BG261" s="7"/>
      <c r="BH261" s="7"/>
      <c r="BI261" s="7"/>
    </row>
    <row r="262" customFormat="false" ht="14.25" hidden="false" customHeight="true" outlineLevel="0" collapsed="false">
      <c r="A262" s="7" t="s">
        <v>4758</v>
      </c>
      <c r="B262" s="7" t="s">
        <v>4759</v>
      </c>
      <c r="C262" s="7" t="s">
        <v>4760</v>
      </c>
      <c r="D262" s="7" t="s">
        <v>4761</v>
      </c>
      <c r="E262" s="7" t="n">
        <v>2023</v>
      </c>
      <c r="F262" s="8" t="s">
        <v>4762</v>
      </c>
      <c r="G262" s="6" t="s">
        <v>169</v>
      </c>
      <c r="H262" s="7"/>
      <c r="I262" s="7"/>
      <c r="J262" s="7"/>
      <c r="K262" s="7"/>
      <c r="L262" s="7"/>
      <c r="M262" s="7"/>
      <c r="N262" s="7"/>
      <c r="O262" s="7"/>
      <c r="P262" s="7" t="s">
        <v>61</v>
      </c>
      <c r="Q262" s="7" t="s">
        <v>62</v>
      </c>
      <c r="R262" s="7" t="s">
        <v>1327</v>
      </c>
      <c r="S262" s="7" t="n">
        <v>14</v>
      </c>
      <c r="T262" s="7" t="s">
        <v>4763</v>
      </c>
      <c r="U262" s="7"/>
      <c r="V262" s="7" t="n">
        <v>1071023</v>
      </c>
      <c r="W262" s="7"/>
      <c r="X262" s="7"/>
      <c r="Y262" s="7"/>
      <c r="Z262" s="7" t="s">
        <v>4764</v>
      </c>
      <c r="AA262" s="9" t="s">
        <v>4765</v>
      </c>
      <c r="AB262" s="7" t="s">
        <v>4766</v>
      </c>
      <c r="AC262" s="7" t="s">
        <v>4767</v>
      </c>
      <c r="AD262" s="7" t="s">
        <v>4768</v>
      </c>
      <c r="AE262" s="7" t="s">
        <v>4769</v>
      </c>
      <c r="AF262" s="7"/>
      <c r="AG262" s="7" t="s">
        <v>4770</v>
      </c>
      <c r="AH262" s="7"/>
      <c r="AI262" s="7"/>
      <c r="AJ262" s="10" t="s">
        <v>4771</v>
      </c>
      <c r="AK262" s="7" t="s">
        <v>4772</v>
      </c>
      <c r="AL262" s="7" t="s">
        <v>4773</v>
      </c>
      <c r="AM262" s="7" t="s">
        <v>4774</v>
      </c>
      <c r="AN262" s="7"/>
      <c r="AO262" s="7"/>
      <c r="AP262" s="7"/>
      <c r="AQ262" s="7"/>
      <c r="AR262" s="7"/>
      <c r="AS262" s="7"/>
      <c r="AT262" s="7" t="n">
        <v>16643224</v>
      </c>
      <c r="AU262" s="7"/>
      <c r="AV262" s="7"/>
      <c r="AW262" s="7" t="n">
        <v>36865549</v>
      </c>
      <c r="AX262" s="7" t="s">
        <v>1340</v>
      </c>
      <c r="AY262" s="7" t="s">
        <v>75</v>
      </c>
      <c r="AZ262" s="7" t="s">
        <v>107</v>
      </c>
      <c r="BA262" s="7" t="s">
        <v>76</v>
      </c>
      <c r="BB262" s="7" t="s">
        <v>4775</v>
      </c>
      <c r="BC262" s="7"/>
      <c r="BD262" s="7"/>
      <c r="BE262" s="7"/>
      <c r="BF262" s="7"/>
      <c r="BG262" s="7"/>
      <c r="BH262" s="7"/>
      <c r="BI262" s="7"/>
    </row>
    <row r="263" customFormat="false" ht="14.25" hidden="false" customHeight="true" outlineLevel="0" collapsed="false">
      <c r="A263" s="7" t="s">
        <v>4776</v>
      </c>
      <c r="B263" s="7" t="s">
        <v>4777</v>
      </c>
      <c r="C263" s="7" t="s">
        <v>4778</v>
      </c>
      <c r="D263" s="7" t="s">
        <v>4779</v>
      </c>
      <c r="E263" s="7" t="n">
        <v>2023</v>
      </c>
      <c r="F263" s="8" t="s">
        <v>4780</v>
      </c>
      <c r="G263" s="6" t="s">
        <v>713</v>
      </c>
      <c r="H263" s="6"/>
      <c r="I263" s="7"/>
      <c r="J263" s="7"/>
      <c r="K263" s="7"/>
      <c r="L263" s="7"/>
      <c r="M263" s="7"/>
      <c r="N263" s="7"/>
      <c r="O263" s="7"/>
      <c r="P263" s="7" t="s">
        <v>61</v>
      </c>
      <c r="Q263" s="7" t="s">
        <v>62</v>
      </c>
      <c r="R263" s="7" t="s">
        <v>4609</v>
      </c>
      <c r="S263" s="7" t="n">
        <v>58</v>
      </c>
      <c r="T263" s="7" t="s">
        <v>115</v>
      </c>
      <c r="U263" s="7" t="n">
        <v>1</v>
      </c>
      <c r="V263" s="7" t="n">
        <v>131</v>
      </c>
      <c r="W263" s="7"/>
      <c r="X263" s="7"/>
      <c r="Y263" s="7"/>
      <c r="Z263" s="7" t="s">
        <v>4781</v>
      </c>
      <c r="AA263" s="9" t="s">
        <v>4782</v>
      </c>
      <c r="AB263" s="7" t="s">
        <v>4783</v>
      </c>
      <c r="AC263" s="7" t="s">
        <v>4784</v>
      </c>
      <c r="AD263" s="7" t="s">
        <v>4785</v>
      </c>
      <c r="AE263" s="7"/>
      <c r="AF263" s="7"/>
      <c r="AG263" s="7"/>
      <c r="AH263" s="7"/>
      <c r="AI263" s="7"/>
      <c r="AJ263" s="10"/>
      <c r="AK263" s="7"/>
      <c r="AL263" s="7" t="s">
        <v>4786</v>
      </c>
      <c r="AM263" s="7" t="s">
        <v>4787</v>
      </c>
      <c r="AN263" s="7"/>
      <c r="AO263" s="7"/>
      <c r="AP263" s="7"/>
      <c r="AQ263" s="7"/>
      <c r="AR263" s="7"/>
      <c r="AS263" s="7"/>
      <c r="AT263" s="7" t="n">
        <v>26734591</v>
      </c>
      <c r="AU263" s="7"/>
      <c r="AV263" s="7"/>
      <c r="AW263" s="7"/>
      <c r="AX263" s="7" t="s">
        <v>4617</v>
      </c>
      <c r="AY263" s="7" t="s">
        <v>75</v>
      </c>
      <c r="AZ263" s="7" t="s">
        <v>2509</v>
      </c>
      <c r="BA263" s="7" t="s">
        <v>76</v>
      </c>
      <c r="BB263" s="7" t="s">
        <v>4788</v>
      </c>
      <c r="BC263" s="7"/>
      <c r="BD263" s="7"/>
      <c r="BE263" s="7"/>
      <c r="BF263" s="7"/>
      <c r="BG263" s="7"/>
      <c r="BH263" s="7"/>
      <c r="BI263" s="7"/>
    </row>
    <row r="264" customFormat="false" ht="14.25" hidden="false" customHeight="true" outlineLevel="0" collapsed="false">
      <c r="A264" s="7" t="s">
        <v>4789</v>
      </c>
      <c r="B264" s="7" t="s">
        <v>4790</v>
      </c>
      <c r="C264" s="7" t="s">
        <v>4791</v>
      </c>
      <c r="D264" s="7" t="s">
        <v>4792</v>
      </c>
      <c r="E264" s="7" t="n">
        <v>2023</v>
      </c>
      <c r="F264" s="8" t="s">
        <v>4793</v>
      </c>
      <c r="G264" s="6" t="s">
        <v>1686</v>
      </c>
      <c r="H264" s="7"/>
      <c r="I264" s="7"/>
      <c r="J264" s="7"/>
      <c r="K264" s="7"/>
      <c r="L264" s="7"/>
      <c r="M264" s="7"/>
      <c r="N264" s="7"/>
      <c r="O264" s="7"/>
      <c r="P264" s="7" t="s">
        <v>61</v>
      </c>
      <c r="Q264" s="7" t="s">
        <v>62</v>
      </c>
      <c r="R264" s="7" t="s">
        <v>4794</v>
      </c>
      <c r="S264" s="7" t="n">
        <v>16</v>
      </c>
      <c r="T264" s="7" t="s">
        <v>903</v>
      </c>
      <c r="U264" s="7" t="n">
        <v>1</v>
      </c>
      <c r="V264" s="7" t="n">
        <v>419</v>
      </c>
      <c r="W264" s="7"/>
      <c r="X264" s="7"/>
      <c r="Y264" s="7"/>
      <c r="Z264" s="7" t="s">
        <v>4795</v>
      </c>
      <c r="AA264" s="9" t="s">
        <v>4796</v>
      </c>
      <c r="AB264" s="7" t="s">
        <v>4797</v>
      </c>
      <c r="AC264" s="7" t="s">
        <v>4798</v>
      </c>
      <c r="AD264" s="7" t="s">
        <v>4799</v>
      </c>
      <c r="AE264" s="7" t="s">
        <v>4800</v>
      </c>
      <c r="AF264" s="7"/>
      <c r="AG264" s="7" t="s">
        <v>4801</v>
      </c>
      <c r="AH264" s="7"/>
      <c r="AI264" s="7"/>
      <c r="AJ264" s="10" t="s">
        <v>4802</v>
      </c>
      <c r="AK264" s="7" t="s">
        <v>4803</v>
      </c>
      <c r="AL264" s="7" t="s">
        <v>4804</v>
      </c>
      <c r="AM264" s="7" t="s">
        <v>4805</v>
      </c>
      <c r="AN264" s="7"/>
      <c r="AO264" s="7"/>
      <c r="AP264" s="7"/>
      <c r="AQ264" s="7"/>
      <c r="AR264" s="7"/>
      <c r="AS264" s="7"/>
      <c r="AT264" s="7" t="n">
        <v>17563305</v>
      </c>
      <c r="AU264" s="7"/>
      <c r="AV264" s="7"/>
      <c r="AW264" s="7" t="n">
        <v>37968661</v>
      </c>
      <c r="AX264" s="7" t="s">
        <v>1044</v>
      </c>
      <c r="AY264" s="7" t="s">
        <v>75</v>
      </c>
      <c r="AZ264" s="7" t="s">
        <v>107</v>
      </c>
      <c r="BA264" s="7" t="s">
        <v>76</v>
      </c>
      <c r="BB264" s="7" t="s">
        <v>4806</v>
      </c>
      <c r="BC264" s="7"/>
      <c r="BD264" s="7"/>
      <c r="BE264" s="7"/>
      <c r="BF264" s="7"/>
      <c r="BG264" s="7"/>
      <c r="BH264" s="7"/>
      <c r="BI264" s="7"/>
    </row>
    <row r="265" customFormat="false" ht="14.25" hidden="false" customHeight="true" outlineLevel="0" collapsed="false">
      <c r="A265" s="7" t="s">
        <v>4807</v>
      </c>
      <c r="B265" s="7" t="s">
        <v>4808</v>
      </c>
      <c r="C265" s="7" t="s">
        <v>4809</v>
      </c>
      <c r="D265" s="7" t="s">
        <v>4810</v>
      </c>
      <c r="E265" s="7" t="n">
        <v>2023</v>
      </c>
      <c r="F265" s="8" t="s">
        <v>4811</v>
      </c>
      <c r="G265" s="6" t="s">
        <v>1686</v>
      </c>
      <c r="H265" s="6"/>
      <c r="I265" s="6" t="s">
        <v>4812</v>
      </c>
      <c r="J265" s="7"/>
      <c r="K265" s="7"/>
      <c r="L265" s="7"/>
      <c r="M265" s="7"/>
      <c r="N265" s="7"/>
      <c r="O265" s="7"/>
      <c r="P265" s="7" t="s">
        <v>61</v>
      </c>
      <c r="Q265" s="7" t="s">
        <v>62</v>
      </c>
      <c r="R265" s="7" t="s">
        <v>4813</v>
      </c>
      <c r="S265" s="7" t="n">
        <v>117</v>
      </c>
      <c r="T265" s="7" t="s">
        <v>395</v>
      </c>
      <c r="U265" s="7" t="n">
        <v>2</v>
      </c>
      <c r="V265" s="7"/>
      <c r="W265" s="7" t="n">
        <v>111</v>
      </c>
      <c r="X265" s="7" t="n">
        <v>117</v>
      </c>
      <c r="Y265" s="7" t="n">
        <v>6</v>
      </c>
      <c r="Z265" s="7" t="s">
        <v>4814</v>
      </c>
      <c r="AA265" s="9" t="s">
        <v>4815</v>
      </c>
      <c r="AB265" s="7" t="s">
        <v>4816</v>
      </c>
      <c r="AC265" s="7" t="s">
        <v>4817</v>
      </c>
      <c r="AD265" s="7" t="s">
        <v>4818</v>
      </c>
      <c r="AE265" s="7" t="s">
        <v>4819</v>
      </c>
      <c r="AF265" s="7"/>
      <c r="AG265" s="7"/>
      <c r="AH265" s="7" t="s">
        <v>4820</v>
      </c>
      <c r="AI265" s="7" t="s">
        <v>4821</v>
      </c>
      <c r="AJ265" s="10"/>
      <c r="AK265" s="7"/>
      <c r="AL265" s="7" t="s">
        <v>4822</v>
      </c>
      <c r="AM265" s="7" t="s">
        <v>4823</v>
      </c>
      <c r="AN265" s="7"/>
      <c r="AO265" s="7"/>
      <c r="AP265" s="7"/>
      <c r="AQ265" s="7"/>
      <c r="AR265" s="7"/>
      <c r="AS265" s="7"/>
      <c r="AT265" s="7" t="n">
        <v>359203</v>
      </c>
      <c r="AU265" s="7"/>
      <c r="AV265" s="7" t="s">
        <v>4824</v>
      </c>
      <c r="AW265" s="7" t="n">
        <v>36162054</v>
      </c>
      <c r="AX265" s="7" t="s">
        <v>4825</v>
      </c>
      <c r="AY265" s="7" t="s">
        <v>75</v>
      </c>
      <c r="AZ265" s="7" t="s">
        <v>636</v>
      </c>
      <c r="BA265" s="7" t="s">
        <v>76</v>
      </c>
      <c r="BB265" s="7" t="s">
        <v>4826</v>
      </c>
      <c r="BC265" s="7"/>
      <c r="BD265" s="7"/>
      <c r="BE265" s="7"/>
      <c r="BF265" s="7"/>
      <c r="BG265" s="7"/>
      <c r="BH265" s="7"/>
      <c r="BI265" s="7"/>
    </row>
    <row r="266" customFormat="false" ht="14.25" hidden="false" customHeight="true" outlineLevel="0" collapsed="false">
      <c r="A266" s="7" t="s">
        <v>4827</v>
      </c>
      <c r="B266" s="7" t="s">
        <v>4828</v>
      </c>
      <c r="C266" s="7" t="s">
        <v>4829</v>
      </c>
      <c r="D266" s="7" t="s">
        <v>4830</v>
      </c>
      <c r="E266" s="7" t="n">
        <v>2023</v>
      </c>
      <c r="F266" s="8" t="s">
        <v>4831</v>
      </c>
      <c r="G266" s="6" t="s">
        <v>290</v>
      </c>
      <c r="H266" s="7"/>
      <c r="I266" s="7"/>
      <c r="J266" s="7"/>
      <c r="K266" s="7"/>
      <c r="L266" s="7"/>
      <c r="M266" s="7"/>
      <c r="N266" s="7"/>
      <c r="O266" s="7"/>
      <c r="P266" s="7" t="s">
        <v>61</v>
      </c>
      <c r="Q266" s="7" t="s">
        <v>62</v>
      </c>
      <c r="R266" s="7" t="s">
        <v>4832</v>
      </c>
      <c r="S266" s="7" t="n">
        <v>7</v>
      </c>
      <c r="T266" s="7" t="s">
        <v>4833</v>
      </c>
      <c r="U266" s="7" t="n">
        <v>9</v>
      </c>
      <c r="V266" s="7"/>
      <c r="W266" s="7" t="n">
        <v>4065</v>
      </c>
      <c r="X266" s="7" t="n">
        <v>4069</v>
      </c>
      <c r="Y266" s="7" t="n">
        <v>4</v>
      </c>
      <c r="Z266" s="7" t="s">
        <v>4834</v>
      </c>
      <c r="AA266" s="9" t="s">
        <v>4835</v>
      </c>
      <c r="AB266" s="7" t="s">
        <v>4836</v>
      </c>
      <c r="AC266" s="7" t="s">
        <v>4837</v>
      </c>
      <c r="AD266" s="7" t="s">
        <v>4838</v>
      </c>
      <c r="AE266" s="7" t="s">
        <v>4839</v>
      </c>
      <c r="AF266" s="7"/>
      <c r="AG266" s="7" t="s">
        <v>4840</v>
      </c>
      <c r="AH266" s="7"/>
      <c r="AI266" s="7"/>
      <c r="AJ266" s="10"/>
      <c r="AK266" s="7"/>
      <c r="AL266" s="7" t="s">
        <v>4841</v>
      </c>
      <c r="AM266" s="7" t="s">
        <v>4842</v>
      </c>
      <c r="AN266" s="7"/>
      <c r="AO266" s="7"/>
      <c r="AP266" s="7"/>
      <c r="AQ266" s="7"/>
      <c r="AR266" s="7"/>
      <c r="AS266" s="7"/>
      <c r="AT266" s="7" t="n">
        <v>26160684</v>
      </c>
      <c r="AU266" s="7"/>
      <c r="AV266" s="7"/>
      <c r="AW266" s="7"/>
      <c r="AX266" s="7" t="s">
        <v>4843</v>
      </c>
      <c r="AY266" s="7" t="s">
        <v>75</v>
      </c>
      <c r="AZ266" s="7" t="s">
        <v>2509</v>
      </c>
      <c r="BA266" s="7" t="s">
        <v>76</v>
      </c>
      <c r="BB266" s="7" t="s">
        <v>4844</v>
      </c>
      <c r="BC266" s="7"/>
      <c r="BD266" s="7"/>
      <c r="BE266" s="7"/>
      <c r="BF266" s="7"/>
      <c r="BG266" s="7"/>
      <c r="BH266" s="7"/>
      <c r="BI266" s="7"/>
    </row>
    <row r="267" customFormat="false" ht="14.25" hidden="false" customHeight="true" outlineLevel="0" collapsed="false">
      <c r="A267" s="7" t="s">
        <v>4845</v>
      </c>
      <c r="B267" s="7" t="s">
        <v>4846</v>
      </c>
      <c r="C267" s="7" t="s">
        <v>4847</v>
      </c>
      <c r="D267" s="7" t="s">
        <v>4848</v>
      </c>
      <c r="E267" s="7" t="n">
        <v>2023</v>
      </c>
      <c r="F267" s="8" t="s">
        <v>4849</v>
      </c>
      <c r="G267" s="6" t="s">
        <v>713</v>
      </c>
      <c r="H267" s="7"/>
      <c r="I267" s="7"/>
      <c r="J267" s="7"/>
      <c r="K267" s="7"/>
      <c r="L267" s="7"/>
      <c r="M267" s="7"/>
      <c r="N267" s="7"/>
      <c r="O267" s="7"/>
      <c r="P267" s="7" t="s">
        <v>61</v>
      </c>
      <c r="Q267" s="7" t="s">
        <v>62</v>
      </c>
      <c r="R267" s="7" t="s">
        <v>4850</v>
      </c>
      <c r="S267" s="7" t="n">
        <v>44</v>
      </c>
      <c r="T267" s="7" t="s">
        <v>2494</v>
      </c>
      <c r="U267" s="7" t="n">
        <v>1</v>
      </c>
      <c r="V267" s="7"/>
      <c r="W267" s="7" t="n">
        <v>125</v>
      </c>
      <c r="X267" s="7" t="n">
        <v>137</v>
      </c>
      <c r="Y267" s="7" t="n">
        <v>12</v>
      </c>
      <c r="Z267" s="7" t="s">
        <v>4851</v>
      </c>
      <c r="AA267" s="9" t="s">
        <v>4852</v>
      </c>
      <c r="AB267" s="7" t="s">
        <v>4853</v>
      </c>
      <c r="AC267" s="7" t="s">
        <v>4854</v>
      </c>
      <c r="AD267" s="7" t="s">
        <v>4855</v>
      </c>
      <c r="AE267" s="7" t="s">
        <v>4856</v>
      </c>
      <c r="AF267" s="7"/>
      <c r="AG267" s="7"/>
      <c r="AH267" s="7"/>
      <c r="AI267" s="7"/>
      <c r="AJ267" s="10"/>
      <c r="AK267" s="7"/>
      <c r="AL267" s="7" t="s">
        <v>4857</v>
      </c>
      <c r="AM267" s="7" t="s">
        <v>4858</v>
      </c>
      <c r="AN267" s="7"/>
      <c r="AO267" s="7"/>
      <c r="AP267" s="7"/>
      <c r="AQ267" s="7"/>
      <c r="AR267" s="7"/>
      <c r="AS267" s="7"/>
      <c r="AT267" s="7" t="n">
        <v>10641246</v>
      </c>
      <c r="AU267" s="7"/>
      <c r="AV267" s="7"/>
      <c r="AW267" s="7"/>
      <c r="AX267" s="7" t="s">
        <v>4859</v>
      </c>
      <c r="AY267" s="7" t="s">
        <v>75</v>
      </c>
      <c r="AZ267" s="7"/>
      <c r="BA267" s="7" t="s">
        <v>76</v>
      </c>
      <c r="BB267" s="7" t="s">
        <v>4860</v>
      </c>
      <c r="BC267" s="7"/>
      <c r="BD267" s="7"/>
      <c r="BE267" s="7"/>
      <c r="BF267" s="7"/>
      <c r="BG267" s="7"/>
      <c r="BH267" s="7"/>
      <c r="BI267" s="7"/>
    </row>
    <row r="268" customFormat="false" ht="14.25" hidden="false" customHeight="true" outlineLevel="0" collapsed="false">
      <c r="A268" s="7" t="s">
        <v>4861</v>
      </c>
      <c r="B268" s="7" t="s">
        <v>4862</v>
      </c>
      <c r="C268" s="7" t="s">
        <v>4863</v>
      </c>
      <c r="D268" s="7" t="s">
        <v>4864</v>
      </c>
      <c r="E268" s="7" t="n">
        <v>2023</v>
      </c>
      <c r="F268" s="8" t="s">
        <v>4865</v>
      </c>
      <c r="G268" s="6" t="s">
        <v>713</v>
      </c>
      <c r="H268" s="7"/>
      <c r="I268" s="7"/>
      <c r="J268" s="7"/>
      <c r="K268" s="7"/>
      <c r="L268" s="7"/>
      <c r="M268" s="7"/>
      <c r="N268" s="7"/>
      <c r="O268" s="7"/>
      <c r="P268" s="7" t="s">
        <v>61</v>
      </c>
      <c r="Q268" s="7" t="s">
        <v>62</v>
      </c>
      <c r="R268" s="7" t="s">
        <v>849</v>
      </c>
      <c r="S268" s="7" t="n">
        <v>13</v>
      </c>
      <c r="T268" s="7" t="s">
        <v>115</v>
      </c>
      <c r="U268" s="7" t="n">
        <v>22</v>
      </c>
      <c r="V268" s="7" t="n">
        <v>3441</v>
      </c>
      <c r="W268" s="7"/>
      <c r="X268" s="7"/>
      <c r="Y268" s="7"/>
      <c r="Z268" s="7" t="s">
        <v>4866</v>
      </c>
      <c r="AA268" s="9" t="s">
        <v>4867</v>
      </c>
      <c r="AB268" s="7" t="s">
        <v>4868</v>
      </c>
      <c r="AC268" s="7" t="s">
        <v>4869</v>
      </c>
      <c r="AD268" s="7" t="s">
        <v>4870</v>
      </c>
      <c r="AE268" s="7" t="s">
        <v>4871</v>
      </c>
      <c r="AF268" s="7"/>
      <c r="AG268" s="7" t="s">
        <v>4872</v>
      </c>
      <c r="AH268" s="7" t="s">
        <v>4873</v>
      </c>
      <c r="AI268" s="7"/>
      <c r="AJ268" s="10" t="s">
        <v>4874</v>
      </c>
      <c r="AK268" s="7" t="s">
        <v>4875</v>
      </c>
      <c r="AL268" s="7" t="s">
        <v>4876</v>
      </c>
      <c r="AM268" s="7" t="s">
        <v>4877</v>
      </c>
      <c r="AN268" s="7"/>
      <c r="AO268" s="7"/>
      <c r="AP268" s="7"/>
      <c r="AQ268" s="7"/>
      <c r="AR268" s="7"/>
      <c r="AS268" s="7"/>
      <c r="AT268" s="7" t="n">
        <v>20754418</v>
      </c>
      <c r="AU268" s="7"/>
      <c r="AV268" s="7"/>
      <c r="AW268" s="7"/>
      <c r="AX268" s="7" t="s">
        <v>861</v>
      </c>
      <c r="AY268" s="7" t="s">
        <v>75</v>
      </c>
      <c r="AZ268" s="7" t="s">
        <v>107</v>
      </c>
      <c r="BA268" s="7" t="s">
        <v>76</v>
      </c>
      <c r="BB268" s="7" t="s">
        <v>4878</v>
      </c>
      <c r="BC268" s="7"/>
      <c r="BD268" s="7"/>
      <c r="BE268" s="7"/>
      <c r="BF268" s="7"/>
      <c r="BG268" s="7"/>
      <c r="BH268" s="7"/>
      <c r="BI268" s="7"/>
    </row>
    <row r="269" customFormat="false" ht="14.25" hidden="false" customHeight="true" outlineLevel="0" collapsed="false">
      <c r="A269" s="7" t="s">
        <v>4879</v>
      </c>
      <c r="B269" s="7" t="s">
        <v>4880</v>
      </c>
      <c r="C269" s="7" t="s">
        <v>4881</v>
      </c>
      <c r="D269" s="7" t="s">
        <v>4882</v>
      </c>
      <c r="E269" s="7" t="n">
        <v>2023</v>
      </c>
      <c r="F269" s="8" t="s">
        <v>4883</v>
      </c>
      <c r="G269" s="6" t="s">
        <v>713</v>
      </c>
      <c r="H269" s="7"/>
      <c r="I269" s="7"/>
      <c r="J269" s="7"/>
      <c r="K269" s="7"/>
      <c r="L269" s="7"/>
      <c r="M269" s="7"/>
      <c r="N269" s="7"/>
      <c r="O269" s="7"/>
      <c r="P269" s="7" t="s">
        <v>61</v>
      </c>
      <c r="Q269" s="7" t="s">
        <v>62</v>
      </c>
      <c r="R269" s="7" t="s">
        <v>4884</v>
      </c>
      <c r="S269" s="7" t="n">
        <v>9</v>
      </c>
      <c r="T269" s="7" t="s">
        <v>903</v>
      </c>
      <c r="U269" s="7" t="n">
        <v>1</v>
      </c>
      <c r="V269" s="7" t="n">
        <v>24</v>
      </c>
      <c r="W269" s="7"/>
      <c r="X269" s="7"/>
      <c r="Y269" s="7"/>
      <c r="Z269" s="7" t="s">
        <v>4885</v>
      </c>
      <c r="AA269" s="9" t="s">
        <v>4886</v>
      </c>
      <c r="AB269" s="7" t="s">
        <v>4887</v>
      </c>
      <c r="AC269" s="7" t="s">
        <v>4888</v>
      </c>
      <c r="AD269" s="7" t="s">
        <v>4889</v>
      </c>
      <c r="AE269" s="7" t="s">
        <v>4890</v>
      </c>
      <c r="AF269" s="7"/>
      <c r="AG269" s="7" t="s">
        <v>4891</v>
      </c>
      <c r="AH269" s="7"/>
      <c r="AI269" s="7"/>
      <c r="AJ269" s="10"/>
      <c r="AK269" s="7"/>
      <c r="AL269" s="7" t="s">
        <v>4892</v>
      </c>
      <c r="AM269" s="7" t="s">
        <v>4893</v>
      </c>
      <c r="AN269" s="7"/>
      <c r="AO269" s="7"/>
      <c r="AP269" s="7"/>
      <c r="AQ269" s="7"/>
      <c r="AR269" s="7"/>
      <c r="AS269" s="7"/>
      <c r="AT269" s="7" t="n">
        <v>20550936</v>
      </c>
      <c r="AU269" s="7"/>
      <c r="AV269" s="7"/>
      <c r="AW269" s="7"/>
      <c r="AX269" s="7" t="s">
        <v>4894</v>
      </c>
      <c r="AY269" s="7" t="s">
        <v>75</v>
      </c>
      <c r="AZ269" s="7" t="s">
        <v>107</v>
      </c>
      <c r="BA269" s="7" t="s">
        <v>76</v>
      </c>
      <c r="BB269" s="7" t="s">
        <v>4895</v>
      </c>
      <c r="BC269" s="7"/>
      <c r="BD269" s="7"/>
      <c r="BE269" s="7"/>
      <c r="BF269" s="7"/>
      <c r="BG269" s="7"/>
      <c r="BH269" s="7"/>
      <c r="BI269" s="7"/>
    </row>
    <row r="270" customFormat="false" ht="14.25" hidden="false" customHeight="true" outlineLevel="0" collapsed="false">
      <c r="A270" s="7" t="s">
        <v>4896</v>
      </c>
      <c r="B270" s="7" t="s">
        <v>4897</v>
      </c>
      <c r="C270" s="7" t="s">
        <v>4898</v>
      </c>
      <c r="D270" s="7" t="s">
        <v>4899</v>
      </c>
      <c r="E270" s="7" t="n">
        <v>2023</v>
      </c>
      <c r="F270" s="8" t="s">
        <v>4900</v>
      </c>
      <c r="G270" s="6" t="s">
        <v>149</v>
      </c>
      <c r="H270" s="7"/>
      <c r="I270" s="7"/>
      <c r="J270" s="7"/>
      <c r="K270" s="7"/>
      <c r="L270" s="7"/>
      <c r="M270" s="7"/>
      <c r="N270" s="7"/>
      <c r="O270" s="7"/>
      <c r="P270" s="7" t="s">
        <v>61</v>
      </c>
      <c r="Q270" s="7" t="s">
        <v>62</v>
      </c>
      <c r="R270" s="7" t="s">
        <v>4794</v>
      </c>
      <c r="S270" s="7" t="n">
        <v>16</v>
      </c>
      <c r="T270" s="7" t="s">
        <v>903</v>
      </c>
      <c r="U270" s="7" t="n">
        <v>1</v>
      </c>
      <c r="V270" s="7" t="n">
        <v>377</v>
      </c>
      <c r="W270" s="7"/>
      <c r="X270" s="7"/>
      <c r="Y270" s="7"/>
      <c r="Z270" s="7" t="s">
        <v>4901</v>
      </c>
      <c r="AA270" s="9" t="s">
        <v>4902</v>
      </c>
      <c r="AB270" s="7" t="s">
        <v>4903</v>
      </c>
      <c r="AC270" s="7" t="s">
        <v>4904</v>
      </c>
      <c r="AD270" s="7" t="s">
        <v>4905</v>
      </c>
      <c r="AE270" s="7" t="s">
        <v>4906</v>
      </c>
      <c r="AF270" s="7"/>
      <c r="AG270" s="7"/>
      <c r="AH270" s="7"/>
      <c r="AI270" s="7"/>
      <c r="AJ270" s="10"/>
      <c r="AK270" s="7"/>
      <c r="AL270" s="7" t="s">
        <v>4907</v>
      </c>
      <c r="AM270" s="7" t="s">
        <v>4908</v>
      </c>
      <c r="AN270" s="7"/>
      <c r="AO270" s="7"/>
      <c r="AP270" s="7"/>
      <c r="AQ270" s="7"/>
      <c r="AR270" s="7"/>
      <c r="AS270" s="7"/>
      <c r="AT270" s="7" t="n">
        <v>17563305</v>
      </c>
      <c r="AU270" s="7"/>
      <c r="AV270" s="7"/>
      <c r="AW270" s="7" t="n">
        <v>37872579</v>
      </c>
      <c r="AX270" s="7" t="s">
        <v>1044</v>
      </c>
      <c r="AY270" s="7" t="s">
        <v>75</v>
      </c>
      <c r="AZ270" s="7" t="s">
        <v>107</v>
      </c>
      <c r="BA270" s="7" t="s">
        <v>76</v>
      </c>
      <c r="BB270" s="7" t="s">
        <v>4909</v>
      </c>
      <c r="BC270" s="7"/>
      <c r="BD270" s="7"/>
      <c r="BE270" s="7"/>
      <c r="BF270" s="7"/>
      <c r="BG270" s="7"/>
      <c r="BH270" s="7"/>
      <c r="BI270" s="7"/>
    </row>
    <row r="271" customFormat="false" ht="14.25" hidden="false" customHeight="true" outlineLevel="0" collapsed="false">
      <c r="A271" s="7" t="s">
        <v>4910</v>
      </c>
      <c r="B271" s="7" t="s">
        <v>4911</v>
      </c>
      <c r="C271" s="7" t="s">
        <v>4912</v>
      </c>
      <c r="D271" s="7" t="s">
        <v>4913</v>
      </c>
      <c r="E271" s="7" t="n">
        <v>2023</v>
      </c>
      <c r="F271" s="8" t="s">
        <v>4914</v>
      </c>
      <c r="G271" s="6" t="s">
        <v>169</v>
      </c>
      <c r="H271" s="7"/>
      <c r="I271" s="7"/>
      <c r="J271" s="7"/>
      <c r="K271" s="7"/>
      <c r="L271" s="7"/>
      <c r="M271" s="7"/>
      <c r="N271" s="7"/>
      <c r="O271" s="7"/>
      <c r="P271" s="7" t="s">
        <v>61</v>
      </c>
      <c r="Q271" s="7" t="s">
        <v>62</v>
      </c>
      <c r="R271" s="7" t="s">
        <v>2003</v>
      </c>
      <c r="S271" s="7" t="n">
        <v>10</v>
      </c>
      <c r="T271" s="7" t="s">
        <v>1328</v>
      </c>
      <c r="U271" s="7"/>
      <c r="V271" s="7" t="n">
        <v>1233220</v>
      </c>
      <c r="W271" s="7"/>
      <c r="X271" s="7"/>
      <c r="Y271" s="7"/>
      <c r="Z271" s="7" t="s">
        <v>4915</v>
      </c>
      <c r="AA271" s="9" t="s">
        <v>4916</v>
      </c>
      <c r="AB271" s="7" t="s">
        <v>4917</v>
      </c>
      <c r="AC271" s="7" t="s">
        <v>4918</v>
      </c>
      <c r="AD271" s="7" t="s">
        <v>4919</v>
      </c>
      <c r="AE271" s="7" t="s">
        <v>4920</v>
      </c>
      <c r="AF271" s="7"/>
      <c r="AG271" s="7"/>
      <c r="AH271" s="7"/>
      <c r="AI271" s="7"/>
      <c r="AJ271" s="10" t="s">
        <v>4921</v>
      </c>
      <c r="AK271" s="7" t="s">
        <v>4922</v>
      </c>
      <c r="AL271" s="7" t="s">
        <v>4923</v>
      </c>
      <c r="AM271" s="7" t="s">
        <v>4924</v>
      </c>
      <c r="AN271" s="7"/>
      <c r="AO271" s="7"/>
      <c r="AP271" s="7"/>
      <c r="AQ271" s="7"/>
      <c r="AR271" s="7"/>
      <c r="AS271" s="7"/>
      <c r="AT271" s="7" t="s">
        <v>2014</v>
      </c>
      <c r="AU271" s="7"/>
      <c r="AV271" s="7"/>
      <c r="AW271" s="7"/>
      <c r="AX271" s="7" t="s">
        <v>2015</v>
      </c>
      <c r="AY271" s="7" t="s">
        <v>75</v>
      </c>
      <c r="AZ271" s="7" t="s">
        <v>107</v>
      </c>
      <c r="BA271" s="7" t="s">
        <v>76</v>
      </c>
      <c r="BB271" s="7" t="s">
        <v>4925</v>
      </c>
      <c r="BC271" s="7"/>
      <c r="BD271" s="7"/>
      <c r="BE271" s="7"/>
      <c r="BF271" s="7"/>
      <c r="BG271" s="7"/>
      <c r="BH271" s="7"/>
      <c r="BI271" s="7"/>
    </row>
    <row r="272" customFormat="false" ht="14.25" hidden="false" customHeight="true" outlineLevel="0" collapsed="false">
      <c r="A272" s="7" t="s">
        <v>4926</v>
      </c>
      <c r="B272" s="7" t="s">
        <v>4927</v>
      </c>
      <c r="C272" s="7" t="s">
        <v>4928</v>
      </c>
      <c r="D272" s="7" t="s">
        <v>4929</v>
      </c>
      <c r="E272" s="7" t="n">
        <v>2023</v>
      </c>
      <c r="F272" s="8" t="s">
        <v>4930</v>
      </c>
      <c r="G272" s="6" t="s">
        <v>1686</v>
      </c>
      <c r="H272" s="6"/>
      <c r="I272" s="6" t="s">
        <v>4931</v>
      </c>
      <c r="J272" s="7"/>
      <c r="K272" s="7"/>
      <c r="L272" s="7"/>
      <c r="M272" s="7"/>
      <c r="N272" s="7"/>
      <c r="O272" s="7"/>
      <c r="P272" s="7" t="s">
        <v>61</v>
      </c>
      <c r="Q272" s="7" t="s">
        <v>62</v>
      </c>
      <c r="R272" s="7" t="s">
        <v>679</v>
      </c>
      <c r="S272" s="7" t="n">
        <v>17</v>
      </c>
      <c r="T272" s="7" t="s">
        <v>500</v>
      </c>
      <c r="U272" s="7" t="n">
        <v>2</v>
      </c>
      <c r="V272" s="7" t="s">
        <v>4932</v>
      </c>
      <c r="W272" s="7"/>
      <c r="X272" s="7"/>
      <c r="Y272" s="7"/>
      <c r="Z272" s="7" t="s">
        <v>4933</v>
      </c>
      <c r="AA272" s="9" t="s">
        <v>4934</v>
      </c>
      <c r="AB272" s="7" t="s">
        <v>4935</v>
      </c>
      <c r="AC272" s="7" t="s">
        <v>4936</v>
      </c>
      <c r="AD272" s="7"/>
      <c r="AE272" s="7" t="s">
        <v>4937</v>
      </c>
      <c r="AF272" s="7"/>
      <c r="AG272" s="7" t="s">
        <v>4938</v>
      </c>
      <c r="AH272" s="7"/>
      <c r="AI272" s="7"/>
      <c r="AJ272" s="10" t="s">
        <v>4939</v>
      </c>
      <c r="AK272" s="7" t="s">
        <v>4940</v>
      </c>
      <c r="AL272" s="7" t="s">
        <v>4941</v>
      </c>
      <c r="AM272" s="7" t="s">
        <v>4942</v>
      </c>
      <c r="AN272" s="7"/>
      <c r="AO272" s="7"/>
      <c r="AP272" s="7"/>
      <c r="AQ272" s="7"/>
      <c r="AR272" s="7"/>
      <c r="AS272" s="7"/>
      <c r="AT272" s="7" t="n">
        <v>19352727</v>
      </c>
      <c r="AU272" s="7"/>
      <c r="AV272" s="7"/>
      <c r="AW272" s="7" t="n">
        <v>36795786</v>
      </c>
      <c r="AX272" s="7" t="s">
        <v>689</v>
      </c>
      <c r="AY272" s="7" t="s">
        <v>75</v>
      </c>
      <c r="AZ272" s="7" t="s">
        <v>107</v>
      </c>
      <c r="BA272" s="7" t="s">
        <v>76</v>
      </c>
      <c r="BB272" s="7" t="s">
        <v>4943</v>
      </c>
      <c r="BC272" s="7"/>
      <c r="BD272" s="7"/>
      <c r="BE272" s="7"/>
      <c r="BF272" s="7"/>
      <c r="BG272" s="7"/>
      <c r="BH272" s="7"/>
      <c r="BI272" s="7"/>
    </row>
    <row r="273" customFormat="false" ht="14.25" hidden="false" customHeight="true" outlineLevel="0" collapsed="false">
      <c r="A273" s="7" t="s">
        <v>4944</v>
      </c>
      <c r="B273" s="7" t="s">
        <v>4945</v>
      </c>
      <c r="C273" s="7" t="s">
        <v>4946</v>
      </c>
      <c r="D273" s="7" t="s">
        <v>4947</v>
      </c>
      <c r="E273" s="7" t="n">
        <v>2023</v>
      </c>
      <c r="F273" s="8" t="s">
        <v>4948</v>
      </c>
      <c r="G273" s="6" t="s">
        <v>149</v>
      </c>
      <c r="H273" s="7"/>
      <c r="I273" s="7"/>
      <c r="J273" s="7"/>
      <c r="K273" s="7"/>
      <c r="L273" s="7"/>
      <c r="M273" s="7"/>
      <c r="N273" s="7"/>
      <c r="O273" s="7"/>
      <c r="P273" s="7" t="s">
        <v>61</v>
      </c>
      <c r="Q273" s="7" t="s">
        <v>62</v>
      </c>
      <c r="R273" s="7" t="s">
        <v>4949</v>
      </c>
      <c r="S273" s="7" t="n">
        <v>12</v>
      </c>
      <c r="T273" s="7" t="s">
        <v>903</v>
      </c>
      <c r="U273" s="7" t="n">
        <v>1</v>
      </c>
      <c r="V273" s="7" t="n">
        <v>6</v>
      </c>
      <c r="W273" s="7"/>
      <c r="X273" s="7"/>
      <c r="Y273" s="7"/>
      <c r="Z273" s="7" t="s">
        <v>4950</v>
      </c>
      <c r="AA273" s="9" t="s">
        <v>4951</v>
      </c>
      <c r="AB273" s="7" t="s">
        <v>4952</v>
      </c>
      <c r="AC273" s="7" t="s">
        <v>4953</v>
      </c>
      <c r="AD273" s="7" t="s">
        <v>4954</v>
      </c>
      <c r="AE273" s="7" t="s">
        <v>4955</v>
      </c>
      <c r="AF273" s="7"/>
      <c r="AG273" s="7"/>
      <c r="AH273" s="7"/>
      <c r="AI273" s="7"/>
      <c r="AJ273" s="10" t="s">
        <v>4956</v>
      </c>
      <c r="AK273" s="7" t="s">
        <v>4957</v>
      </c>
      <c r="AL273" s="7" t="s">
        <v>4958</v>
      </c>
      <c r="AM273" s="7" t="s">
        <v>4959</v>
      </c>
      <c r="AN273" s="7"/>
      <c r="AO273" s="7"/>
      <c r="AP273" s="7"/>
      <c r="AQ273" s="7"/>
      <c r="AR273" s="7"/>
      <c r="AS273" s="7"/>
      <c r="AT273" s="7" t="n">
        <v>20955162</v>
      </c>
      <c r="AU273" s="7"/>
      <c r="AV273" s="7"/>
      <c r="AW273" s="7" t="n">
        <v>36747280</v>
      </c>
      <c r="AX273" s="7" t="s">
        <v>4960</v>
      </c>
      <c r="AY273" s="7" t="s">
        <v>75</v>
      </c>
      <c r="AZ273" s="7" t="s">
        <v>107</v>
      </c>
      <c r="BA273" s="7" t="s">
        <v>76</v>
      </c>
      <c r="BB273" s="7" t="s">
        <v>4961</v>
      </c>
      <c r="BC273" s="7"/>
      <c r="BD273" s="7"/>
      <c r="BE273" s="7"/>
      <c r="BF273" s="7"/>
      <c r="BG273" s="7"/>
      <c r="BH273" s="7"/>
      <c r="BI273" s="7"/>
    </row>
    <row r="274" customFormat="false" ht="14.25" hidden="false" customHeight="true" outlineLevel="0" collapsed="false">
      <c r="A274" s="7" t="s">
        <v>4962</v>
      </c>
      <c r="B274" s="7" t="s">
        <v>4963</v>
      </c>
      <c r="C274" s="7" t="s">
        <v>4964</v>
      </c>
      <c r="D274" s="7" t="s">
        <v>4965</v>
      </c>
      <c r="E274" s="7" t="n">
        <v>2023</v>
      </c>
      <c r="F274" s="8" t="s">
        <v>4966</v>
      </c>
      <c r="G274" s="6" t="s">
        <v>713</v>
      </c>
      <c r="H274" s="7"/>
      <c r="I274" s="7"/>
      <c r="J274" s="7"/>
      <c r="K274" s="7"/>
      <c r="L274" s="7"/>
      <c r="M274" s="7"/>
      <c r="N274" s="7"/>
      <c r="O274" s="7"/>
      <c r="P274" s="7" t="s">
        <v>61</v>
      </c>
      <c r="Q274" s="7" t="s">
        <v>62</v>
      </c>
      <c r="R274" s="7" t="s">
        <v>4967</v>
      </c>
      <c r="S274" s="7" t="n">
        <v>11</v>
      </c>
      <c r="T274" s="7" t="s">
        <v>4968</v>
      </c>
      <c r="U274" s="7" t="n">
        <v>3</v>
      </c>
      <c r="V274" s="7"/>
      <c r="W274" s="7"/>
      <c r="X274" s="7"/>
      <c r="Y274" s="7"/>
      <c r="Z274" s="7" t="s">
        <v>4969</v>
      </c>
      <c r="AA274" s="9" t="s">
        <v>4970</v>
      </c>
      <c r="AB274" s="7" t="s">
        <v>4971</v>
      </c>
      <c r="AC274" s="7" t="s">
        <v>4972</v>
      </c>
      <c r="AD274" s="7" t="s">
        <v>4973</v>
      </c>
      <c r="AE274" s="7" t="s">
        <v>4974</v>
      </c>
      <c r="AF274" s="7"/>
      <c r="AG274" s="7"/>
      <c r="AH274" s="7"/>
      <c r="AI274" s="7"/>
      <c r="AJ274" s="10" t="s">
        <v>4975</v>
      </c>
      <c r="AK274" s="7" t="s">
        <v>4976</v>
      </c>
      <c r="AL274" s="7" t="s">
        <v>4977</v>
      </c>
      <c r="AM274" s="7" t="s">
        <v>4978</v>
      </c>
      <c r="AN274" s="7"/>
      <c r="AO274" s="7"/>
      <c r="AP274" s="7"/>
      <c r="AQ274" s="7"/>
      <c r="AR274" s="7"/>
      <c r="AS274" s="7"/>
      <c r="AT274" s="7" t="n">
        <v>21650497</v>
      </c>
      <c r="AU274" s="7"/>
      <c r="AV274" s="7"/>
      <c r="AW274" s="7" t="n">
        <v>37158750</v>
      </c>
      <c r="AX274" s="7" t="s">
        <v>4979</v>
      </c>
      <c r="AY274" s="7" t="s">
        <v>75</v>
      </c>
      <c r="AZ274" s="7" t="s">
        <v>107</v>
      </c>
      <c r="BA274" s="7" t="s">
        <v>76</v>
      </c>
      <c r="BB274" s="7" t="s">
        <v>4980</v>
      </c>
      <c r="BC274" s="7"/>
      <c r="BD274" s="7"/>
      <c r="BE274" s="7"/>
      <c r="BF274" s="7"/>
      <c r="BG274" s="7"/>
      <c r="BH274" s="7"/>
      <c r="BI274" s="7"/>
    </row>
    <row r="275" customFormat="false" ht="14.25" hidden="false" customHeight="true" outlineLevel="0" collapsed="false">
      <c r="A275" s="7" t="s">
        <v>4981</v>
      </c>
      <c r="B275" s="7" t="s">
        <v>4982</v>
      </c>
      <c r="C275" s="7" t="s">
        <v>4983</v>
      </c>
      <c r="D275" s="7" t="s">
        <v>4984</v>
      </c>
      <c r="E275" s="7" t="n">
        <v>2023</v>
      </c>
      <c r="F275" s="8" t="s">
        <v>4985</v>
      </c>
      <c r="G275" s="6" t="s">
        <v>169</v>
      </c>
      <c r="H275" s="7"/>
      <c r="I275" s="7"/>
      <c r="J275" s="7"/>
      <c r="K275" s="7"/>
      <c r="L275" s="7"/>
      <c r="M275" s="7"/>
      <c r="N275" s="7"/>
      <c r="O275" s="7"/>
      <c r="P275" s="7" t="s">
        <v>61</v>
      </c>
      <c r="Q275" s="7" t="s">
        <v>62</v>
      </c>
      <c r="R275" s="7" t="s">
        <v>4986</v>
      </c>
      <c r="S275" s="7" t="n">
        <v>51</v>
      </c>
      <c r="T275" s="7" t="s">
        <v>307</v>
      </c>
      <c r="U275" s="7" t="n">
        <v>2</v>
      </c>
      <c r="V275" s="7"/>
      <c r="W275" s="7" t="n">
        <v>433</v>
      </c>
      <c r="X275" s="7" t="n">
        <v>438</v>
      </c>
      <c r="Y275" s="7" t="n">
        <v>5</v>
      </c>
      <c r="Z275" s="7" t="s">
        <v>4987</v>
      </c>
      <c r="AA275" s="9" t="s">
        <v>4988</v>
      </c>
      <c r="AB275" s="7" t="s">
        <v>4989</v>
      </c>
      <c r="AC275" s="7" t="s">
        <v>4990</v>
      </c>
      <c r="AD275" s="7" t="s">
        <v>4991</v>
      </c>
      <c r="AE275" s="7" t="s">
        <v>4992</v>
      </c>
      <c r="AF275" s="7"/>
      <c r="AG275" s="7" t="s">
        <v>4993</v>
      </c>
      <c r="AH275" s="7"/>
      <c r="AI275" s="7"/>
      <c r="AJ275" s="10" t="s">
        <v>4994</v>
      </c>
      <c r="AK275" s="7"/>
      <c r="AL275" s="7" t="s">
        <v>4995</v>
      </c>
      <c r="AM275" s="7" t="s">
        <v>4996</v>
      </c>
      <c r="AN275" s="7"/>
      <c r="AO275" s="7"/>
      <c r="AP275" s="7"/>
      <c r="AQ275" s="7"/>
      <c r="AR275" s="7"/>
      <c r="AS275" s="7"/>
      <c r="AT275" s="7" t="n">
        <v>3008126</v>
      </c>
      <c r="AU275" s="7"/>
      <c r="AV275" s="7" t="s">
        <v>4997</v>
      </c>
      <c r="AW275" s="7" t="n">
        <v>35999341</v>
      </c>
      <c r="AX275" s="7" t="s">
        <v>4986</v>
      </c>
      <c r="AY275" s="7" t="s">
        <v>75</v>
      </c>
      <c r="AZ275" s="7" t="s">
        <v>636</v>
      </c>
      <c r="BA275" s="7" t="s">
        <v>76</v>
      </c>
      <c r="BB275" s="7" t="s">
        <v>4998</v>
      </c>
      <c r="BC275" s="7"/>
      <c r="BD275" s="7"/>
      <c r="BE275" s="7"/>
      <c r="BF275" s="7"/>
      <c r="BG275" s="7"/>
      <c r="BH275" s="7"/>
      <c r="BI275" s="7"/>
    </row>
    <row r="276" customFormat="false" ht="14.25" hidden="false" customHeight="true" outlineLevel="0" collapsed="false">
      <c r="A276" s="7" t="s">
        <v>4999</v>
      </c>
      <c r="B276" s="7" t="s">
        <v>5000</v>
      </c>
      <c r="C276" s="7" t="s">
        <v>5001</v>
      </c>
      <c r="D276" s="6" t="s">
        <v>5002</v>
      </c>
      <c r="E276" s="7" t="n">
        <v>2023</v>
      </c>
      <c r="F276" s="8" t="s">
        <v>5003</v>
      </c>
      <c r="G276" s="6" t="s">
        <v>3714</v>
      </c>
      <c r="H276" s="7"/>
      <c r="I276" s="7" t="s">
        <v>5004</v>
      </c>
      <c r="J276" s="7"/>
      <c r="K276" s="7"/>
      <c r="L276" s="7"/>
      <c r="M276" s="7"/>
      <c r="N276" s="7"/>
      <c r="O276" s="7"/>
      <c r="P276" s="7" t="s">
        <v>61</v>
      </c>
      <c r="Q276" s="7" t="s">
        <v>62</v>
      </c>
      <c r="R276" s="7" t="s">
        <v>679</v>
      </c>
      <c r="S276" s="7" t="n">
        <v>17</v>
      </c>
      <c r="T276" s="7" t="s">
        <v>500</v>
      </c>
      <c r="U276" s="11" t="n">
        <v>45814</v>
      </c>
      <c r="V276" s="7" t="s">
        <v>5005</v>
      </c>
      <c r="W276" s="7"/>
      <c r="X276" s="7"/>
      <c r="Y276" s="7"/>
      <c r="Z276" s="7" t="s">
        <v>5006</v>
      </c>
      <c r="AA276" s="9" t="s">
        <v>5007</v>
      </c>
      <c r="AB276" s="7" t="s">
        <v>5008</v>
      </c>
      <c r="AC276" s="7" t="s">
        <v>5009</v>
      </c>
      <c r="AD276" s="7"/>
      <c r="AE276" s="7" t="s">
        <v>5010</v>
      </c>
      <c r="AF276" s="7"/>
      <c r="AG276" s="7"/>
      <c r="AH276" s="7"/>
      <c r="AI276" s="7"/>
      <c r="AJ276" s="10" t="s">
        <v>5011</v>
      </c>
      <c r="AK276" s="7" t="s">
        <v>5012</v>
      </c>
      <c r="AL276" s="7" t="s">
        <v>5013</v>
      </c>
      <c r="AM276" s="7" t="s">
        <v>5014</v>
      </c>
      <c r="AN276" s="7"/>
      <c r="AO276" s="7"/>
      <c r="AP276" s="7"/>
      <c r="AQ276" s="7"/>
      <c r="AR276" s="7"/>
      <c r="AS276" s="7"/>
      <c r="AT276" s="7" t="n">
        <v>19352727</v>
      </c>
      <c r="AU276" s="7"/>
      <c r="AV276" s="7"/>
      <c r="AW276" s="7" t="n">
        <v>37307291</v>
      </c>
      <c r="AX276" s="7" t="s">
        <v>689</v>
      </c>
      <c r="AY276" s="7" t="s">
        <v>75</v>
      </c>
      <c r="AZ276" s="7" t="s">
        <v>127</v>
      </c>
      <c r="BA276" s="7" t="s">
        <v>76</v>
      </c>
      <c r="BB276" s="7" t="s">
        <v>5015</v>
      </c>
      <c r="BC276" s="7"/>
      <c r="BD276" s="7"/>
      <c r="BE276" s="7"/>
      <c r="BF276" s="7"/>
      <c r="BG276" s="7"/>
      <c r="BH276" s="7"/>
      <c r="BI276" s="7"/>
    </row>
    <row r="277" customFormat="false" ht="14.25" hidden="false" customHeight="true" outlineLevel="0" collapsed="false">
      <c r="A277" s="7" t="s">
        <v>5016</v>
      </c>
      <c r="B277" s="7" t="s">
        <v>5017</v>
      </c>
      <c r="C277" s="7" t="s">
        <v>5018</v>
      </c>
      <c r="D277" s="6" t="s">
        <v>5019</v>
      </c>
      <c r="E277" s="7" t="n">
        <v>2023</v>
      </c>
      <c r="F277" s="8" t="s">
        <v>5020</v>
      </c>
      <c r="G277" s="6" t="s">
        <v>3102</v>
      </c>
      <c r="H277" s="7"/>
      <c r="I277" s="7" t="s">
        <v>5021</v>
      </c>
      <c r="J277" s="7"/>
      <c r="K277" s="7"/>
      <c r="L277" s="7"/>
      <c r="M277" s="7"/>
      <c r="N277" s="7"/>
      <c r="O277" s="7"/>
      <c r="P277" s="7" t="s">
        <v>61</v>
      </c>
      <c r="Q277" s="7" t="s">
        <v>62</v>
      </c>
      <c r="R277" s="7" t="s">
        <v>5022</v>
      </c>
      <c r="S277" s="7" t="n">
        <v>10</v>
      </c>
      <c r="T277" s="7" t="s">
        <v>1328</v>
      </c>
      <c r="U277" s="7"/>
      <c r="V277" s="7" t="n">
        <v>1294049</v>
      </c>
      <c r="W277" s="7"/>
      <c r="X277" s="7"/>
      <c r="Y277" s="7"/>
      <c r="Z277" s="7" t="s">
        <v>5023</v>
      </c>
      <c r="AA277" s="9" t="s">
        <v>5024</v>
      </c>
      <c r="AB277" s="7" t="s">
        <v>5025</v>
      </c>
      <c r="AC277" s="7" t="s">
        <v>5026</v>
      </c>
      <c r="AD277" s="7" t="s">
        <v>5027</v>
      </c>
      <c r="AE277" s="7" t="s">
        <v>5028</v>
      </c>
      <c r="AF277" s="7"/>
      <c r="AG277" s="7"/>
      <c r="AH277" s="7"/>
      <c r="AI277" s="7"/>
      <c r="AJ277" s="10" t="s">
        <v>5029</v>
      </c>
      <c r="AK277" s="7" t="s">
        <v>5030</v>
      </c>
      <c r="AL277" s="7" t="s">
        <v>5031</v>
      </c>
      <c r="AM277" s="7" t="s">
        <v>5032</v>
      </c>
      <c r="AN277" s="7"/>
      <c r="AO277" s="7"/>
      <c r="AP277" s="7"/>
      <c r="AQ277" s="7"/>
      <c r="AR277" s="7"/>
      <c r="AS277" s="7"/>
      <c r="AT277" s="7" t="n">
        <v>22971769</v>
      </c>
      <c r="AU277" s="7"/>
      <c r="AV277" s="7"/>
      <c r="AW277" s="7"/>
      <c r="AX277" s="7" t="s">
        <v>5033</v>
      </c>
      <c r="AY277" s="7" t="s">
        <v>75</v>
      </c>
      <c r="AZ277" s="7" t="s">
        <v>107</v>
      </c>
      <c r="BA277" s="7" t="s">
        <v>76</v>
      </c>
      <c r="BB277" s="7" t="s">
        <v>5034</v>
      </c>
      <c r="BC277" s="7"/>
      <c r="BD277" s="7"/>
      <c r="BE277" s="7"/>
      <c r="BF277" s="7"/>
      <c r="BG277" s="7"/>
      <c r="BH277" s="7"/>
      <c r="BI277" s="7"/>
    </row>
    <row r="278" customFormat="false" ht="14.25" hidden="false" customHeight="true" outlineLevel="0" collapsed="false">
      <c r="A278" s="7" t="s">
        <v>5035</v>
      </c>
      <c r="B278" s="7" t="s">
        <v>5036</v>
      </c>
      <c r="C278" s="7" t="s">
        <v>5037</v>
      </c>
      <c r="D278" s="7" t="s">
        <v>5038</v>
      </c>
      <c r="E278" s="7" t="n">
        <v>2023</v>
      </c>
      <c r="F278" s="8" t="s">
        <v>5039</v>
      </c>
      <c r="G278" s="6" t="s">
        <v>713</v>
      </c>
      <c r="H278" s="6"/>
      <c r="I278" s="6" t="s">
        <v>5040</v>
      </c>
      <c r="J278" s="7"/>
      <c r="K278" s="7"/>
      <c r="L278" s="7"/>
      <c r="M278" s="7"/>
      <c r="N278" s="7"/>
      <c r="O278" s="7"/>
      <c r="P278" s="7" t="s">
        <v>61</v>
      </c>
      <c r="Q278" s="7" t="s">
        <v>62</v>
      </c>
      <c r="R278" s="7" t="s">
        <v>1933</v>
      </c>
      <c r="S278" s="7" t="n">
        <v>3</v>
      </c>
      <c r="T278" s="7" t="s">
        <v>500</v>
      </c>
      <c r="U278" s="7" t="n">
        <v>11</v>
      </c>
      <c r="V278" s="7" t="s">
        <v>5041</v>
      </c>
      <c r="W278" s="7"/>
      <c r="X278" s="7"/>
      <c r="Y278" s="7"/>
      <c r="Z278" s="7" t="s">
        <v>5042</v>
      </c>
      <c r="AA278" s="9" t="s">
        <v>5043</v>
      </c>
      <c r="AB278" s="7" t="s">
        <v>5044</v>
      </c>
      <c r="AC278" s="7" t="s">
        <v>5045</v>
      </c>
      <c r="AD278" s="7"/>
      <c r="AE278" s="7"/>
      <c r="AF278" s="7"/>
      <c r="AG278" s="7"/>
      <c r="AH278" s="7"/>
      <c r="AI278" s="7"/>
      <c r="AJ278" s="10"/>
      <c r="AK278" s="7"/>
      <c r="AL278" s="7" t="s">
        <v>5046</v>
      </c>
      <c r="AM278" s="7" t="s">
        <v>5047</v>
      </c>
      <c r="AN278" s="7"/>
      <c r="AO278" s="7"/>
      <c r="AP278" s="7"/>
      <c r="AQ278" s="7"/>
      <c r="AR278" s="7"/>
      <c r="AS278" s="7"/>
      <c r="AT278" s="7" t="n">
        <v>27673375</v>
      </c>
      <c r="AU278" s="7"/>
      <c r="AV278" s="7"/>
      <c r="AW278" s="7"/>
      <c r="AX278" s="7" t="s">
        <v>1943</v>
      </c>
      <c r="AY278" s="7" t="s">
        <v>75</v>
      </c>
      <c r="AZ278" s="7" t="s">
        <v>107</v>
      </c>
      <c r="BA278" s="7" t="s">
        <v>76</v>
      </c>
      <c r="BB278" s="7" t="s">
        <v>5048</v>
      </c>
      <c r="BC278" s="7"/>
      <c r="BD278" s="7"/>
      <c r="BE278" s="7"/>
      <c r="BF278" s="7"/>
      <c r="BG278" s="7"/>
      <c r="BH278" s="7"/>
      <c r="BI278" s="7"/>
    </row>
    <row r="279" customFormat="false" ht="14.25" hidden="false" customHeight="true" outlineLevel="0" collapsed="false">
      <c r="A279" s="7" t="s">
        <v>5049</v>
      </c>
      <c r="B279" s="7" t="s">
        <v>5050</v>
      </c>
      <c r="C279" s="7" t="s">
        <v>5051</v>
      </c>
      <c r="D279" s="7" t="s">
        <v>5052</v>
      </c>
      <c r="E279" s="7" t="n">
        <v>2023</v>
      </c>
      <c r="F279" s="8" t="s">
        <v>5053</v>
      </c>
      <c r="G279" s="6" t="s">
        <v>713</v>
      </c>
      <c r="H279" s="7"/>
      <c r="I279" s="7"/>
      <c r="J279" s="7"/>
      <c r="K279" s="7"/>
      <c r="L279" s="7"/>
      <c r="M279" s="7"/>
      <c r="N279" s="7"/>
      <c r="O279" s="7"/>
      <c r="P279" s="7" t="s">
        <v>61</v>
      </c>
      <c r="Q279" s="7" t="s">
        <v>62</v>
      </c>
      <c r="R279" s="7" t="s">
        <v>5054</v>
      </c>
      <c r="S279" s="7"/>
      <c r="T279" s="7" t="s">
        <v>202</v>
      </c>
      <c r="U279" s="7"/>
      <c r="V279" s="7"/>
      <c r="W279" s="7"/>
      <c r="X279" s="7"/>
      <c r="Y279" s="7"/>
      <c r="Z279" s="7" t="s">
        <v>5055</v>
      </c>
      <c r="AA279" s="9" t="s">
        <v>5056</v>
      </c>
      <c r="AB279" s="7" t="s">
        <v>5057</v>
      </c>
      <c r="AC279" s="7" t="s">
        <v>5058</v>
      </c>
      <c r="AD279" s="7" t="s">
        <v>5059</v>
      </c>
      <c r="AE279" s="7"/>
      <c r="AF279" s="7"/>
      <c r="AG279" s="7"/>
      <c r="AH279" s="7"/>
      <c r="AI279" s="7"/>
      <c r="AJ279" s="10"/>
      <c r="AK279" s="7"/>
      <c r="AL279" s="7" t="s">
        <v>5060</v>
      </c>
      <c r="AM279" s="7" t="s">
        <v>5061</v>
      </c>
      <c r="AN279" s="7"/>
      <c r="AO279" s="7"/>
      <c r="AP279" s="7"/>
      <c r="AQ279" s="7"/>
      <c r="AR279" s="7"/>
      <c r="AS279" s="7"/>
      <c r="AT279" s="7" t="n">
        <v>3771237</v>
      </c>
      <c r="AU279" s="7"/>
      <c r="AV279" s="7" t="s">
        <v>5062</v>
      </c>
      <c r="AW279" s="7"/>
      <c r="AX279" s="7" t="s">
        <v>5063</v>
      </c>
      <c r="AY279" s="7" t="s">
        <v>194</v>
      </c>
      <c r="AZ279" s="7"/>
      <c r="BA279" s="7" t="s">
        <v>76</v>
      </c>
      <c r="BB279" s="7" t="s">
        <v>5064</v>
      </c>
      <c r="BC279" s="7"/>
      <c r="BD279" s="7"/>
      <c r="BE279" s="7"/>
      <c r="BF279" s="7"/>
      <c r="BG279" s="7"/>
      <c r="BH279" s="7"/>
      <c r="BI279" s="7"/>
    </row>
    <row r="280" customFormat="false" ht="14.25" hidden="false" customHeight="true" outlineLevel="0" collapsed="false">
      <c r="A280" s="7" t="s">
        <v>5065</v>
      </c>
      <c r="B280" s="7" t="s">
        <v>5066</v>
      </c>
      <c r="C280" s="7" t="s">
        <v>5067</v>
      </c>
      <c r="D280" s="7" t="s">
        <v>5068</v>
      </c>
      <c r="E280" s="7" t="n">
        <v>2023</v>
      </c>
      <c r="F280" s="8" t="s">
        <v>5069</v>
      </c>
      <c r="G280" s="6" t="s">
        <v>713</v>
      </c>
      <c r="H280" s="7"/>
      <c r="I280" s="7"/>
      <c r="J280" s="7"/>
      <c r="K280" s="7"/>
      <c r="L280" s="7"/>
      <c r="M280" s="7"/>
      <c r="N280" s="7"/>
      <c r="O280" s="7"/>
      <c r="P280" s="7" t="s">
        <v>61</v>
      </c>
      <c r="Q280" s="7" t="s">
        <v>62</v>
      </c>
      <c r="R280" s="7" t="s">
        <v>5070</v>
      </c>
      <c r="S280" s="7" t="n">
        <v>35</v>
      </c>
      <c r="T280" s="7" t="s">
        <v>5071</v>
      </c>
      <c r="U280" s="7" t="n">
        <v>8</v>
      </c>
      <c r="V280" s="7" t="s">
        <v>5072</v>
      </c>
      <c r="W280" s="7"/>
      <c r="X280" s="7"/>
      <c r="Y280" s="7"/>
      <c r="Z280" s="7" t="s">
        <v>5073</v>
      </c>
      <c r="AA280" s="9" t="s">
        <v>5074</v>
      </c>
      <c r="AB280" s="7" t="s">
        <v>5075</v>
      </c>
      <c r="AC280" s="7" t="s">
        <v>5076</v>
      </c>
      <c r="AD280" s="7" t="s">
        <v>5077</v>
      </c>
      <c r="AE280" s="7" t="s">
        <v>5078</v>
      </c>
      <c r="AF280" s="7"/>
      <c r="AG280" s="7"/>
      <c r="AH280" s="7"/>
      <c r="AI280" s="7"/>
      <c r="AJ280" s="10"/>
      <c r="AK280" s="7"/>
      <c r="AL280" s="7" t="s">
        <v>5079</v>
      </c>
      <c r="AM280" s="7" t="s">
        <v>5080</v>
      </c>
      <c r="AN280" s="7"/>
      <c r="AO280" s="7"/>
      <c r="AP280" s="7"/>
      <c r="AQ280" s="7"/>
      <c r="AR280" s="7"/>
      <c r="AS280" s="7"/>
      <c r="AT280" s="7" t="n">
        <v>15320626</v>
      </c>
      <c r="AU280" s="7"/>
      <c r="AV280" s="7" t="s">
        <v>5081</v>
      </c>
      <c r="AW280" s="7"/>
      <c r="AX280" s="7" t="s">
        <v>5082</v>
      </c>
      <c r="AY280" s="7" t="s">
        <v>75</v>
      </c>
      <c r="AZ280" s="7"/>
      <c r="BA280" s="7" t="s">
        <v>76</v>
      </c>
      <c r="BB280" s="7" t="s">
        <v>5083</v>
      </c>
      <c r="BC280" s="7"/>
      <c r="BD280" s="7"/>
      <c r="BE280" s="7"/>
      <c r="BF280" s="7"/>
      <c r="BG280" s="7"/>
      <c r="BH280" s="7"/>
      <c r="BI280" s="7"/>
    </row>
    <row r="281" customFormat="false" ht="14.25" hidden="false" customHeight="true" outlineLevel="0" collapsed="false">
      <c r="A281" s="7" t="s">
        <v>5084</v>
      </c>
      <c r="B281" s="7" t="s">
        <v>5085</v>
      </c>
      <c r="C281" s="7" t="s">
        <v>5086</v>
      </c>
      <c r="D281" s="7" t="s">
        <v>5087</v>
      </c>
      <c r="E281" s="7" t="n">
        <v>2023</v>
      </c>
      <c r="F281" s="8" t="s">
        <v>5088</v>
      </c>
      <c r="G281" s="6" t="s">
        <v>149</v>
      </c>
      <c r="H281" s="7"/>
      <c r="I281" s="7"/>
      <c r="J281" s="7"/>
      <c r="K281" s="7"/>
      <c r="L281" s="7"/>
      <c r="M281" s="7"/>
      <c r="N281" s="7"/>
      <c r="O281" s="7"/>
      <c r="P281" s="7" t="s">
        <v>61</v>
      </c>
      <c r="Q281" s="7" t="s">
        <v>62</v>
      </c>
      <c r="R281" s="7" t="s">
        <v>902</v>
      </c>
      <c r="S281" s="7" t="n">
        <v>22</v>
      </c>
      <c r="T281" s="7" t="s">
        <v>903</v>
      </c>
      <c r="U281" s="7" t="n">
        <v>1</v>
      </c>
      <c r="V281" s="7" t="n">
        <v>368</v>
      </c>
      <c r="W281" s="7"/>
      <c r="X281" s="7"/>
      <c r="Y281" s="7"/>
      <c r="Z281" s="7" t="s">
        <v>5089</v>
      </c>
      <c r="AA281" s="9" t="s">
        <v>5090</v>
      </c>
      <c r="AB281" s="7" t="s">
        <v>5091</v>
      </c>
      <c r="AC281" s="7" t="s">
        <v>5092</v>
      </c>
      <c r="AD281" s="7" t="s">
        <v>5093</v>
      </c>
      <c r="AE281" s="7" t="s">
        <v>5094</v>
      </c>
      <c r="AF281" s="7"/>
      <c r="AG281" s="7" t="s">
        <v>5095</v>
      </c>
      <c r="AH281" s="7"/>
      <c r="AI281" s="7"/>
      <c r="AJ281" s="10" t="s">
        <v>5096</v>
      </c>
      <c r="AK281" s="7"/>
      <c r="AL281" s="7" t="s">
        <v>5097</v>
      </c>
      <c r="AM281" s="7" t="s">
        <v>5098</v>
      </c>
      <c r="AN281" s="7"/>
      <c r="AO281" s="7"/>
      <c r="AP281" s="7"/>
      <c r="AQ281" s="7"/>
      <c r="AR281" s="7"/>
      <c r="AS281" s="7"/>
      <c r="AT281" s="7" t="n">
        <v>14752875</v>
      </c>
      <c r="AU281" s="7"/>
      <c r="AV281" s="7"/>
      <c r="AW281" s="7" t="n">
        <v>38041142</v>
      </c>
      <c r="AX281" s="7" t="s">
        <v>914</v>
      </c>
      <c r="AY281" s="7" t="s">
        <v>75</v>
      </c>
      <c r="AZ281" s="7" t="s">
        <v>127</v>
      </c>
      <c r="BA281" s="7" t="s">
        <v>76</v>
      </c>
      <c r="BB281" s="7" t="s">
        <v>5099</v>
      </c>
      <c r="BC281" s="7"/>
      <c r="BD281" s="7"/>
      <c r="BE281" s="7"/>
      <c r="BF281" s="7"/>
      <c r="BG281" s="7"/>
      <c r="BH281" s="7"/>
      <c r="BI281" s="7"/>
    </row>
    <row r="282" customFormat="false" ht="14.25" hidden="false" customHeight="true" outlineLevel="0" collapsed="false">
      <c r="A282" s="7" t="s">
        <v>5100</v>
      </c>
      <c r="B282" s="7" t="s">
        <v>5101</v>
      </c>
      <c r="C282" s="7" t="s">
        <v>5102</v>
      </c>
      <c r="D282" s="7" t="s">
        <v>5103</v>
      </c>
      <c r="E282" s="7" t="n">
        <v>2023</v>
      </c>
      <c r="F282" s="8" t="s">
        <v>5104</v>
      </c>
      <c r="G282" s="6" t="s">
        <v>713</v>
      </c>
      <c r="H282" s="7"/>
      <c r="I282" s="7"/>
      <c r="J282" s="7"/>
      <c r="K282" s="7"/>
      <c r="L282" s="7"/>
      <c r="M282" s="7"/>
      <c r="N282" s="7"/>
      <c r="O282" s="7"/>
      <c r="P282" s="7" t="s">
        <v>61</v>
      </c>
      <c r="Q282" s="7" t="s">
        <v>62</v>
      </c>
      <c r="R282" s="7" t="s">
        <v>5105</v>
      </c>
      <c r="S282" s="7" t="n">
        <v>11</v>
      </c>
      <c r="T282" s="7" t="s">
        <v>5106</v>
      </c>
      <c r="U282" s="7" t="n">
        <v>3</v>
      </c>
      <c r="V282" s="7"/>
      <c r="W282" s="7" t="n">
        <v>288</v>
      </c>
      <c r="X282" s="7" t="n">
        <v>293</v>
      </c>
      <c r="Y282" s="7" t="n">
        <v>5</v>
      </c>
      <c r="Z282" s="7" t="s">
        <v>5107</v>
      </c>
      <c r="AA282" s="9" t="s">
        <v>5108</v>
      </c>
      <c r="AB282" s="7" t="s">
        <v>5109</v>
      </c>
      <c r="AC282" s="7" t="s">
        <v>5110</v>
      </c>
      <c r="AD282" s="7" t="s">
        <v>5111</v>
      </c>
      <c r="AE282" s="7"/>
      <c r="AF282" s="7"/>
      <c r="AG282" s="7"/>
      <c r="AH282" s="7"/>
      <c r="AI282" s="7"/>
      <c r="AJ282" s="10" t="s">
        <v>5112</v>
      </c>
      <c r="AK282" s="7" t="s">
        <v>5113</v>
      </c>
      <c r="AL282" s="7" t="s">
        <v>5114</v>
      </c>
      <c r="AM282" s="7" t="s">
        <v>5115</v>
      </c>
      <c r="AN282" s="7"/>
      <c r="AO282" s="7"/>
      <c r="AP282" s="7"/>
      <c r="AQ282" s="7"/>
      <c r="AR282" s="7"/>
      <c r="AS282" s="7"/>
      <c r="AT282" s="7" t="n">
        <v>23013699</v>
      </c>
      <c r="AU282" s="7"/>
      <c r="AV282" s="7"/>
      <c r="AW282" s="7"/>
      <c r="AX282" s="7" t="s">
        <v>5116</v>
      </c>
      <c r="AY282" s="7" t="s">
        <v>75</v>
      </c>
      <c r="AZ282" s="7" t="s">
        <v>2509</v>
      </c>
      <c r="BA282" s="7" t="s">
        <v>76</v>
      </c>
      <c r="BB282" s="7" t="s">
        <v>5117</v>
      </c>
      <c r="BC282" s="7"/>
      <c r="BD282" s="7"/>
      <c r="BE282" s="7"/>
      <c r="BF282" s="7"/>
      <c r="BG282" s="7"/>
      <c r="BH282" s="7"/>
      <c r="BI282" s="7"/>
    </row>
    <row r="283" customFormat="false" ht="14.25" hidden="false" customHeight="true" outlineLevel="0" collapsed="false">
      <c r="A283" s="7" t="s">
        <v>5118</v>
      </c>
      <c r="B283" s="7" t="s">
        <v>5119</v>
      </c>
      <c r="C283" s="7" t="s">
        <v>5120</v>
      </c>
      <c r="D283" s="7" t="s">
        <v>5121</v>
      </c>
      <c r="E283" s="7" t="n">
        <v>2023</v>
      </c>
      <c r="F283" s="8" t="s">
        <v>5122</v>
      </c>
      <c r="G283" s="6" t="s">
        <v>5123</v>
      </c>
      <c r="H283" s="7"/>
      <c r="I283" s="7"/>
      <c r="J283" s="7"/>
      <c r="K283" s="7"/>
      <c r="L283" s="7"/>
      <c r="M283" s="7"/>
      <c r="N283" s="7"/>
      <c r="O283" s="7"/>
      <c r="P283" s="7" t="s">
        <v>255</v>
      </c>
      <c r="Q283" s="7" t="s">
        <v>62</v>
      </c>
      <c r="R283" s="7" t="s">
        <v>5124</v>
      </c>
      <c r="S283" s="7" t="n">
        <v>1</v>
      </c>
      <c r="T283" s="7" t="s">
        <v>274</v>
      </c>
      <c r="U283" s="7"/>
      <c r="V283" s="7"/>
      <c r="W283" s="7" t="n">
        <v>375</v>
      </c>
      <c r="X283" s="7" t="n">
        <v>380</v>
      </c>
      <c r="Y283" s="7" t="n">
        <v>5</v>
      </c>
      <c r="Z283" s="7" t="s">
        <v>5125</v>
      </c>
      <c r="AA283" s="9" t="s">
        <v>5126</v>
      </c>
      <c r="AB283" s="7" t="s">
        <v>5127</v>
      </c>
      <c r="AC283" s="7" t="s">
        <v>5128</v>
      </c>
      <c r="AD283" s="7" t="s">
        <v>5129</v>
      </c>
      <c r="AE283" s="7"/>
      <c r="AF283" s="7"/>
      <c r="AG283" s="7"/>
      <c r="AH283" s="7"/>
      <c r="AI283" s="7"/>
      <c r="AJ283" s="10"/>
      <c r="AK283" s="7"/>
      <c r="AL283" s="7" t="s">
        <v>5130</v>
      </c>
      <c r="AM283" s="7"/>
      <c r="AN283" s="7"/>
      <c r="AO283" s="7"/>
      <c r="AP283" s="7"/>
      <c r="AQ283" s="7"/>
      <c r="AR283" s="7"/>
      <c r="AS283" s="7"/>
      <c r="AT283" s="7"/>
      <c r="AU283" s="7" t="s">
        <v>5131</v>
      </c>
      <c r="AV283" s="7"/>
      <c r="AW283" s="7"/>
      <c r="AX283" s="7" t="s">
        <v>5124</v>
      </c>
      <c r="AY283" s="7" t="s">
        <v>75</v>
      </c>
      <c r="AZ283" s="7"/>
      <c r="BA283" s="7" t="s">
        <v>76</v>
      </c>
      <c r="BB283" s="7" t="s">
        <v>5132</v>
      </c>
      <c r="BC283" s="7"/>
      <c r="BD283" s="7"/>
      <c r="BE283" s="7"/>
      <c r="BF283" s="7"/>
      <c r="BG283" s="7"/>
      <c r="BH283" s="7"/>
      <c r="BI283" s="7"/>
    </row>
    <row r="284" customFormat="false" ht="14.25" hidden="false" customHeight="true" outlineLevel="0" collapsed="false">
      <c r="A284" s="7" t="s">
        <v>5133</v>
      </c>
      <c r="B284" s="7" t="s">
        <v>5134</v>
      </c>
      <c r="C284" s="7" t="s">
        <v>5135</v>
      </c>
      <c r="D284" s="7" t="s">
        <v>5136</v>
      </c>
      <c r="E284" s="7" t="n">
        <v>2023</v>
      </c>
      <c r="F284" s="8" t="s">
        <v>5137</v>
      </c>
      <c r="G284" s="6" t="s">
        <v>5138</v>
      </c>
      <c r="H284" s="7"/>
      <c r="I284" s="7"/>
      <c r="J284" s="7"/>
      <c r="K284" s="7"/>
      <c r="L284" s="7"/>
      <c r="M284" s="7"/>
      <c r="N284" s="7"/>
      <c r="O284" s="7"/>
      <c r="P284" s="7" t="s">
        <v>255</v>
      </c>
      <c r="Q284" s="7" t="s">
        <v>62</v>
      </c>
      <c r="R284" s="7" t="s">
        <v>5139</v>
      </c>
      <c r="S284" s="7" t="n">
        <v>181</v>
      </c>
      <c r="T284" s="7" t="s">
        <v>307</v>
      </c>
      <c r="U284" s="7"/>
      <c r="V284" s="7"/>
      <c r="W284" s="7" t="n">
        <v>450</v>
      </c>
      <c r="X284" s="7" t="n">
        <v>458</v>
      </c>
      <c r="Y284" s="7" t="n">
        <v>8</v>
      </c>
      <c r="Z284" s="7" t="s">
        <v>5140</v>
      </c>
      <c r="AA284" s="9" t="s">
        <v>5141</v>
      </c>
      <c r="AB284" s="7" t="s">
        <v>5142</v>
      </c>
      <c r="AC284" s="7" t="s">
        <v>5143</v>
      </c>
      <c r="AD284" s="7" t="s">
        <v>5144</v>
      </c>
      <c r="AE284" s="7" t="s">
        <v>5145</v>
      </c>
      <c r="AF284" s="7"/>
      <c r="AG284" s="7"/>
      <c r="AH284" s="7"/>
      <c r="AI284" s="7"/>
      <c r="AJ284" s="10"/>
      <c r="AK284" s="7"/>
      <c r="AL284" s="7" t="s">
        <v>5146</v>
      </c>
      <c r="AM284" s="7" t="s">
        <v>5147</v>
      </c>
      <c r="AN284" s="7"/>
      <c r="AO284" s="7"/>
      <c r="AP284" s="7"/>
      <c r="AQ284" s="7"/>
      <c r="AR284" s="7"/>
      <c r="AS284" s="7"/>
      <c r="AT284" s="7" t="n">
        <v>23674512</v>
      </c>
      <c r="AU284" s="7"/>
      <c r="AV284" s="7"/>
      <c r="AW284" s="7"/>
      <c r="AX284" s="7" t="s">
        <v>5148</v>
      </c>
      <c r="AY284" s="7" t="s">
        <v>75</v>
      </c>
      <c r="AZ284" s="7"/>
      <c r="BA284" s="7" t="s">
        <v>76</v>
      </c>
      <c r="BB284" s="7" t="s">
        <v>5149</v>
      </c>
      <c r="BC284" s="7"/>
      <c r="BD284" s="7"/>
      <c r="BE284" s="7"/>
      <c r="BF284" s="7"/>
      <c r="BG284" s="7"/>
      <c r="BH284" s="7"/>
      <c r="BI284" s="7"/>
    </row>
    <row r="285" customFormat="false" ht="14.25" hidden="false" customHeight="true" outlineLevel="0" collapsed="false">
      <c r="A285" s="7" t="s">
        <v>5150</v>
      </c>
      <c r="B285" s="7" t="s">
        <v>5151</v>
      </c>
      <c r="C285" s="7" t="s">
        <v>5152</v>
      </c>
      <c r="D285" s="7" t="s">
        <v>5153</v>
      </c>
      <c r="E285" s="7" t="n">
        <v>2023</v>
      </c>
      <c r="F285" s="8" t="s">
        <v>5154</v>
      </c>
      <c r="G285" s="6" t="s">
        <v>5123</v>
      </c>
      <c r="H285" s="7"/>
      <c r="I285" s="7"/>
      <c r="J285" s="7"/>
      <c r="K285" s="7"/>
      <c r="L285" s="7"/>
      <c r="M285" s="7"/>
      <c r="N285" s="7"/>
      <c r="O285" s="7"/>
      <c r="P285" s="7" t="s">
        <v>255</v>
      </c>
      <c r="Q285" s="7" t="s">
        <v>62</v>
      </c>
      <c r="R285" s="7" t="s">
        <v>2892</v>
      </c>
      <c r="S285" s="7" t="n">
        <v>1008</v>
      </c>
      <c r="T285" s="7" t="s">
        <v>307</v>
      </c>
      <c r="U285" s="7"/>
      <c r="V285" s="7"/>
      <c r="W285" s="7" t="n">
        <v>475</v>
      </c>
      <c r="X285" s="7" t="n">
        <v>496</v>
      </c>
      <c r="Y285" s="7" t="n">
        <v>21</v>
      </c>
      <c r="Z285" s="7" t="s">
        <v>5155</v>
      </c>
      <c r="AA285" s="9" t="s">
        <v>5156</v>
      </c>
      <c r="AB285" s="7" t="s">
        <v>5157</v>
      </c>
      <c r="AC285" s="7" t="s">
        <v>5158</v>
      </c>
      <c r="AD285" s="7" t="s">
        <v>5159</v>
      </c>
      <c r="AE285" s="7" t="s">
        <v>5160</v>
      </c>
      <c r="AF285" s="7"/>
      <c r="AG285" s="7"/>
      <c r="AH285" s="7"/>
      <c r="AI285" s="7"/>
      <c r="AJ285" s="10"/>
      <c r="AK285" s="7"/>
      <c r="AL285" s="7" t="s">
        <v>5161</v>
      </c>
      <c r="AM285" s="7" t="s">
        <v>5162</v>
      </c>
      <c r="AN285" s="7"/>
      <c r="AO285" s="7"/>
      <c r="AP285" s="7"/>
      <c r="AQ285" s="7"/>
      <c r="AR285" s="7"/>
      <c r="AS285" s="7"/>
      <c r="AT285" s="7" t="n">
        <v>18761100</v>
      </c>
      <c r="AU285" s="7"/>
      <c r="AV285" s="7"/>
      <c r="AW285" s="7"/>
      <c r="AX285" s="7" t="s">
        <v>2906</v>
      </c>
      <c r="AY285" s="7" t="s">
        <v>75</v>
      </c>
      <c r="AZ285" s="7"/>
      <c r="BA285" s="7" t="s">
        <v>76</v>
      </c>
      <c r="BB285" s="7" t="s">
        <v>5163</v>
      </c>
      <c r="BC285" s="7"/>
      <c r="BD285" s="7"/>
      <c r="BE285" s="7"/>
      <c r="BF285" s="7"/>
      <c r="BG285" s="7"/>
      <c r="BH285" s="7"/>
      <c r="BI285" s="7"/>
    </row>
    <row r="286" customFormat="false" ht="14.25" hidden="false" customHeight="true" outlineLevel="0" collapsed="false">
      <c r="A286" s="7" t="s">
        <v>5164</v>
      </c>
      <c r="B286" s="7" t="s">
        <v>5165</v>
      </c>
      <c r="C286" s="7" t="s">
        <v>5166</v>
      </c>
      <c r="D286" s="7" t="s">
        <v>5167</v>
      </c>
      <c r="E286" s="7" t="n">
        <v>2023</v>
      </c>
      <c r="F286" s="8" t="s">
        <v>5168</v>
      </c>
      <c r="G286" s="6" t="s">
        <v>5123</v>
      </c>
      <c r="H286" s="7"/>
      <c r="I286" s="7"/>
      <c r="J286" s="7"/>
      <c r="K286" s="7"/>
      <c r="L286" s="7"/>
      <c r="M286" s="7"/>
      <c r="N286" s="7"/>
      <c r="O286" s="7"/>
      <c r="P286" s="7" t="s">
        <v>255</v>
      </c>
      <c r="Q286" s="7" t="s">
        <v>62</v>
      </c>
      <c r="R286" s="7" t="s">
        <v>5139</v>
      </c>
      <c r="S286" s="7" t="n">
        <v>141</v>
      </c>
      <c r="T286" s="7" t="s">
        <v>307</v>
      </c>
      <c r="U286" s="7"/>
      <c r="V286" s="7"/>
      <c r="W286" s="7" t="n">
        <v>165</v>
      </c>
      <c r="X286" s="7" t="n">
        <v>175</v>
      </c>
      <c r="Y286" s="7" t="n">
        <v>10</v>
      </c>
      <c r="Z286" s="7" t="s">
        <v>5169</v>
      </c>
      <c r="AA286" s="9" t="s">
        <v>5170</v>
      </c>
      <c r="AB286" s="7" t="s">
        <v>5171</v>
      </c>
      <c r="AC286" s="7" t="s">
        <v>5172</v>
      </c>
      <c r="AD286" s="7" t="s">
        <v>5173</v>
      </c>
      <c r="AE286" s="7" t="s">
        <v>5174</v>
      </c>
      <c r="AF286" s="7"/>
      <c r="AG286" s="7"/>
      <c r="AH286" s="7"/>
      <c r="AI286" s="7"/>
      <c r="AJ286" s="10"/>
      <c r="AK286" s="7"/>
      <c r="AL286" s="7" t="s">
        <v>5175</v>
      </c>
      <c r="AM286" s="7" t="s">
        <v>5176</v>
      </c>
      <c r="AN286" s="7"/>
      <c r="AO286" s="7"/>
      <c r="AP286" s="7"/>
      <c r="AQ286" s="7"/>
      <c r="AR286" s="7"/>
      <c r="AS286" s="7"/>
      <c r="AT286" s="7" t="n">
        <v>23674512</v>
      </c>
      <c r="AU286" s="7"/>
      <c r="AV286" s="7"/>
      <c r="AW286" s="7"/>
      <c r="AX286" s="7" t="s">
        <v>5148</v>
      </c>
      <c r="AY286" s="7" t="s">
        <v>75</v>
      </c>
      <c r="AZ286" s="7"/>
      <c r="BA286" s="7" t="s">
        <v>76</v>
      </c>
      <c r="BB286" s="7" t="s">
        <v>5177</v>
      </c>
      <c r="BC286" s="7"/>
      <c r="BD286" s="7"/>
      <c r="BE286" s="7"/>
      <c r="BF286" s="7"/>
      <c r="BG286" s="7"/>
      <c r="BH286" s="7"/>
      <c r="BI286" s="7"/>
    </row>
    <row r="287" customFormat="false" ht="14.25" hidden="false" customHeight="true" outlineLevel="0" collapsed="false">
      <c r="A287" s="7" t="s">
        <v>5178</v>
      </c>
      <c r="B287" s="7" t="s">
        <v>5179</v>
      </c>
      <c r="C287" s="7" t="s">
        <v>5180</v>
      </c>
      <c r="D287" s="7" t="s">
        <v>5181</v>
      </c>
      <c r="E287" s="7" t="n">
        <v>2023</v>
      </c>
      <c r="F287" s="8" t="s">
        <v>5182</v>
      </c>
      <c r="G287" s="6" t="s">
        <v>5123</v>
      </c>
      <c r="H287" s="7"/>
      <c r="I287" s="7"/>
      <c r="J287" s="7"/>
      <c r="K287" s="7"/>
      <c r="L287" s="7"/>
      <c r="M287" s="7"/>
      <c r="N287" s="7"/>
      <c r="O287" s="7"/>
      <c r="P287" s="7" t="s">
        <v>255</v>
      </c>
      <c r="Q287" s="7" t="s">
        <v>62</v>
      </c>
      <c r="R287" s="7" t="s">
        <v>5183</v>
      </c>
      <c r="S287" s="7" t="n">
        <v>37</v>
      </c>
      <c r="T287" s="7" t="s">
        <v>5184</v>
      </c>
      <c r="U287" s="7"/>
      <c r="V287" s="7"/>
      <c r="W287" s="7" t="n">
        <v>137</v>
      </c>
      <c r="X287" s="7" t="n">
        <v>157</v>
      </c>
      <c r="Y287" s="7" t="n">
        <v>20</v>
      </c>
      <c r="Z287" s="7" t="s">
        <v>5185</v>
      </c>
      <c r="AA287" s="9" t="s">
        <v>5186</v>
      </c>
      <c r="AB287" s="7" t="s">
        <v>5187</v>
      </c>
      <c r="AC287" s="7" t="s">
        <v>5188</v>
      </c>
      <c r="AD287" s="7" t="s">
        <v>5189</v>
      </c>
      <c r="AE287" s="7"/>
      <c r="AF287" s="7"/>
      <c r="AG287" s="7"/>
      <c r="AH287" s="7"/>
      <c r="AI287" s="7"/>
      <c r="AJ287" s="10"/>
      <c r="AK287" s="7"/>
      <c r="AL287" s="7" t="s">
        <v>5190</v>
      </c>
      <c r="AM287" s="7" t="s">
        <v>5191</v>
      </c>
      <c r="AN287" s="7"/>
      <c r="AO287" s="7"/>
      <c r="AP287" s="7"/>
      <c r="AQ287" s="7"/>
      <c r="AR287" s="7"/>
      <c r="AS287" s="7"/>
      <c r="AT287" s="7" t="n">
        <v>22129391</v>
      </c>
      <c r="AU287" s="7"/>
      <c r="AV287" s="7"/>
      <c r="AW287" s="7"/>
      <c r="AX287" s="7" t="s">
        <v>5192</v>
      </c>
      <c r="AY287" s="7" t="s">
        <v>75</v>
      </c>
      <c r="AZ287" s="7"/>
      <c r="BA287" s="7" t="s">
        <v>76</v>
      </c>
      <c r="BB287" s="7" t="s">
        <v>5193</v>
      </c>
      <c r="BC287" s="7"/>
      <c r="BD287" s="7"/>
      <c r="BE287" s="7"/>
      <c r="BF287" s="7"/>
      <c r="BG287" s="7"/>
      <c r="BH287" s="7"/>
      <c r="BI287" s="7"/>
    </row>
    <row r="288" customFormat="false" ht="14.25" hidden="false" customHeight="true" outlineLevel="0" collapsed="false">
      <c r="A288" s="7" t="s">
        <v>5194</v>
      </c>
      <c r="B288" s="7" t="s">
        <v>5195</v>
      </c>
      <c r="C288" s="7" t="s">
        <v>5196</v>
      </c>
      <c r="D288" s="7" t="s">
        <v>5197</v>
      </c>
      <c r="E288" s="7" t="n">
        <v>2023</v>
      </c>
      <c r="F288" s="8" t="s">
        <v>5198</v>
      </c>
      <c r="G288" s="6" t="s">
        <v>5123</v>
      </c>
      <c r="H288" s="7"/>
      <c r="I288" s="7"/>
      <c r="J288" s="7"/>
      <c r="K288" s="7"/>
      <c r="L288" s="7"/>
      <c r="M288" s="7"/>
      <c r="N288" s="7"/>
      <c r="O288" s="7"/>
      <c r="P288" s="7" t="s">
        <v>255</v>
      </c>
      <c r="Q288" s="7" t="s">
        <v>62</v>
      </c>
      <c r="R288" s="7" t="s">
        <v>5199</v>
      </c>
      <c r="S288" s="7"/>
      <c r="T288" s="7" t="s">
        <v>2112</v>
      </c>
      <c r="U288" s="7"/>
      <c r="V288" s="7"/>
      <c r="W288" s="7" t="n">
        <v>167</v>
      </c>
      <c r="X288" s="7" t="n">
        <v>179</v>
      </c>
      <c r="Y288" s="7" t="n">
        <v>12</v>
      </c>
      <c r="Z288" s="7" t="s">
        <v>5200</v>
      </c>
      <c r="AA288" s="9" t="s">
        <v>5201</v>
      </c>
      <c r="AB288" s="7" t="s">
        <v>5202</v>
      </c>
      <c r="AC288" s="7" t="s">
        <v>5203</v>
      </c>
      <c r="AD288" s="7"/>
      <c r="AE288" s="7"/>
      <c r="AF288" s="7"/>
      <c r="AG288" s="7"/>
      <c r="AH288" s="7"/>
      <c r="AI288" s="7"/>
      <c r="AJ288" s="10"/>
      <c r="AK288" s="7"/>
      <c r="AL288" s="7" t="s">
        <v>5204</v>
      </c>
      <c r="AM288" s="7"/>
      <c r="AN288" s="7"/>
      <c r="AO288" s="7"/>
      <c r="AP288" s="7"/>
      <c r="AQ288" s="7"/>
      <c r="AR288" s="7"/>
      <c r="AS288" s="7"/>
      <c r="AT288" s="7"/>
      <c r="AU288" s="7" t="s">
        <v>5205</v>
      </c>
      <c r="AV288" s="7"/>
      <c r="AW288" s="7"/>
      <c r="AX288" s="7" t="s">
        <v>5206</v>
      </c>
      <c r="AY288" s="7" t="s">
        <v>75</v>
      </c>
      <c r="AZ288" s="7"/>
      <c r="BA288" s="7" t="s">
        <v>76</v>
      </c>
      <c r="BB288" s="7" t="s">
        <v>5207</v>
      </c>
      <c r="BC288" s="7"/>
      <c r="BD288" s="7"/>
      <c r="BE288" s="7"/>
      <c r="BF288" s="7"/>
      <c r="BG288" s="7"/>
      <c r="BH288" s="7"/>
      <c r="BI288" s="7"/>
    </row>
    <row r="289" customFormat="false" ht="14.25" hidden="false" customHeight="true" outlineLevel="0" collapsed="false">
      <c r="A289" s="7" t="s">
        <v>5208</v>
      </c>
      <c r="B289" s="7" t="s">
        <v>5209</v>
      </c>
      <c r="C289" s="7" t="s">
        <v>5210</v>
      </c>
      <c r="D289" s="7" t="s">
        <v>5211</v>
      </c>
      <c r="E289" s="7" t="n">
        <v>2023</v>
      </c>
      <c r="F289" s="8" t="s">
        <v>5212</v>
      </c>
      <c r="G289" s="6" t="s">
        <v>149</v>
      </c>
      <c r="H289" s="7"/>
      <c r="I289" s="7"/>
      <c r="J289" s="7"/>
      <c r="K289" s="7"/>
      <c r="L289" s="7"/>
      <c r="M289" s="7"/>
      <c r="N289" s="7"/>
      <c r="O289" s="7"/>
      <c r="P289" s="7" t="s">
        <v>255</v>
      </c>
      <c r="Q289" s="7" t="s">
        <v>62</v>
      </c>
      <c r="R289" s="7" t="s">
        <v>5213</v>
      </c>
      <c r="S289" s="7" t="n">
        <v>118</v>
      </c>
      <c r="T289" s="7" t="s">
        <v>307</v>
      </c>
      <c r="U289" s="7"/>
      <c r="V289" s="7"/>
      <c r="W289" s="7" t="n">
        <v>241</v>
      </c>
      <c r="X289" s="7" t="n">
        <v>252</v>
      </c>
      <c r="Y289" s="7" t="n">
        <v>11</v>
      </c>
      <c r="Z289" s="7" t="s">
        <v>5214</v>
      </c>
      <c r="AA289" s="9" t="s">
        <v>5215</v>
      </c>
      <c r="AB289" s="7" t="s">
        <v>5216</v>
      </c>
      <c r="AC289" s="7" t="s">
        <v>5217</v>
      </c>
      <c r="AD289" s="7" t="s">
        <v>5218</v>
      </c>
      <c r="AE289" s="7" t="s">
        <v>5219</v>
      </c>
      <c r="AF289" s="7"/>
      <c r="AG289" s="7"/>
      <c r="AH289" s="7"/>
      <c r="AI289" s="7"/>
      <c r="AJ289" s="10"/>
      <c r="AK289" s="7"/>
      <c r="AL289" s="7" t="s">
        <v>5220</v>
      </c>
      <c r="AM289" s="7" t="s">
        <v>5221</v>
      </c>
      <c r="AN289" s="7"/>
      <c r="AO289" s="7"/>
      <c r="AP289" s="7"/>
      <c r="AQ289" s="7"/>
      <c r="AR289" s="7"/>
      <c r="AS289" s="7"/>
      <c r="AT289" s="7" t="n">
        <v>21976503</v>
      </c>
      <c r="AU289" s="7"/>
      <c r="AV289" s="7"/>
      <c r="AW289" s="7"/>
      <c r="AX289" s="7" t="s">
        <v>5222</v>
      </c>
      <c r="AY289" s="7" t="s">
        <v>75</v>
      </c>
      <c r="AZ289" s="7"/>
      <c r="BA289" s="7" t="s">
        <v>76</v>
      </c>
      <c r="BB289" s="7" t="s">
        <v>5223</v>
      </c>
      <c r="BC289" s="7"/>
      <c r="BD289" s="7"/>
      <c r="BE289" s="7"/>
      <c r="BF289" s="7"/>
      <c r="BG289" s="7"/>
      <c r="BH289" s="7"/>
      <c r="BI289" s="7"/>
    </row>
    <row r="290" customFormat="false" ht="14.25" hidden="false" customHeight="true" outlineLevel="0" collapsed="false">
      <c r="A290" s="7" t="s">
        <v>5224</v>
      </c>
      <c r="B290" s="7" t="s">
        <v>5225</v>
      </c>
      <c r="C290" s="7" t="s">
        <v>5226</v>
      </c>
      <c r="D290" s="7" t="s">
        <v>5227</v>
      </c>
      <c r="E290" s="7" t="n">
        <v>2023</v>
      </c>
      <c r="F290" s="8" t="s">
        <v>5228</v>
      </c>
      <c r="G290" s="6" t="s">
        <v>5123</v>
      </c>
      <c r="H290" s="7"/>
      <c r="I290" s="7"/>
      <c r="J290" s="7"/>
      <c r="K290" s="7"/>
      <c r="L290" s="7"/>
      <c r="M290" s="7"/>
      <c r="N290" s="7"/>
      <c r="O290" s="7"/>
      <c r="P290" s="7" t="s">
        <v>304</v>
      </c>
      <c r="Q290" s="7" t="s">
        <v>62</v>
      </c>
      <c r="R290" s="7" t="s">
        <v>5229</v>
      </c>
      <c r="S290" s="7"/>
      <c r="T290" s="7" t="s">
        <v>187</v>
      </c>
      <c r="U290" s="7"/>
      <c r="V290" s="7"/>
      <c r="W290" s="7"/>
      <c r="X290" s="7"/>
      <c r="Y290" s="7"/>
      <c r="Z290" s="7" t="s">
        <v>5230</v>
      </c>
      <c r="AA290" s="9" t="s">
        <v>5231</v>
      </c>
      <c r="AB290" s="7" t="s">
        <v>5232</v>
      </c>
      <c r="AC290" s="7" t="s">
        <v>5233</v>
      </c>
      <c r="AD290" s="7" t="s">
        <v>5234</v>
      </c>
      <c r="AE290" s="7" t="s">
        <v>5235</v>
      </c>
      <c r="AF290" s="7"/>
      <c r="AG290" s="7"/>
      <c r="AH290" s="7"/>
      <c r="AI290" s="7"/>
      <c r="AJ290" s="10"/>
      <c r="AK290" s="7"/>
      <c r="AL290" s="7" t="s">
        <v>5236</v>
      </c>
      <c r="AM290" s="7"/>
      <c r="AN290" s="7"/>
      <c r="AO290" s="7"/>
      <c r="AP290" s="7" t="s">
        <v>5237</v>
      </c>
      <c r="AQ290" s="7" t="s">
        <v>5238</v>
      </c>
      <c r="AR290" s="7" t="s">
        <v>5239</v>
      </c>
      <c r="AS290" s="7" t="n">
        <v>195703</v>
      </c>
      <c r="AT290" s="7"/>
      <c r="AU290" s="7" t="s">
        <v>5240</v>
      </c>
      <c r="AV290" s="7"/>
      <c r="AW290" s="7"/>
      <c r="AX290" s="7" t="s">
        <v>5241</v>
      </c>
      <c r="AY290" s="7" t="s">
        <v>75</v>
      </c>
      <c r="AZ290" s="7"/>
      <c r="BA290" s="7" t="s">
        <v>76</v>
      </c>
      <c r="BB290" s="7" t="s">
        <v>5242</v>
      </c>
      <c r="BC290" s="7"/>
      <c r="BD290" s="7"/>
      <c r="BE290" s="7"/>
      <c r="BF290" s="7"/>
      <c r="BG290" s="7"/>
      <c r="BH290" s="7"/>
      <c r="BI290" s="7"/>
    </row>
    <row r="291" customFormat="false" ht="14.25" hidden="false" customHeight="true" outlineLevel="0" collapsed="false">
      <c r="A291" s="7" t="s">
        <v>3836</v>
      </c>
      <c r="B291" s="7" t="s">
        <v>3837</v>
      </c>
      <c r="C291" s="7" t="s">
        <v>3838</v>
      </c>
      <c r="D291" s="7" t="s">
        <v>5243</v>
      </c>
      <c r="E291" s="7" t="n">
        <v>2023</v>
      </c>
      <c r="F291" s="8" t="s">
        <v>5244</v>
      </c>
      <c r="G291" s="6" t="s">
        <v>5123</v>
      </c>
      <c r="H291" s="7"/>
      <c r="I291" s="7"/>
      <c r="J291" s="7"/>
      <c r="K291" s="7"/>
      <c r="L291" s="7"/>
      <c r="M291" s="7"/>
      <c r="N291" s="7"/>
      <c r="O291" s="7"/>
      <c r="P291" s="7" t="s">
        <v>304</v>
      </c>
      <c r="Q291" s="7" t="s">
        <v>62</v>
      </c>
      <c r="R291" s="7" t="s">
        <v>5245</v>
      </c>
      <c r="S291" s="7"/>
      <c r="T291" s="7" t="s">
        <v>187</v>
      </c>
      <c r="U291" s="7"/>
      <c r="V291" s="7"/>
      <c r="W291" s="7"/>
      <c r="X291" s="7"/>
      <c r="Y291" s="7"/>
      <c r="Z291" s="7" t="s">
        <v>5246</v>
      </c>
      <c r="AA291" s="9" t="s">
        <v>5247</v>
      </c>
      <c r="AB291" s="7" t="s">
        <v>5248</v>
      </c>
      <c r="AC291" s="7" t="s">
        <v>5249</v>
      </c>
      <c r="AD291" s="7" t="s">
        <v>5250</v>
      </c>
      <c r="AE291" s="7" t="s">
        <v>5251</v>
      </c>
      <c r="AF291" s="7"/>
      <c r="AG291" s="7"/>
      <c r="AH291" s="7"/>
      <c r="AI291" s="7"/>
      <c r="AJ291" s="10"/>
      <c r="AK291" s="7"/>
      <c r="AL291" s="7" t="s">
        <v>5252</v>
      </c>
      <c r="AM291" s="7" t="s">
        <v>5253</v>
      </c>
      <c r="AN291" s="7"/>
      <c r="AO291" s="7" t="s">
        <v>5254</v>
      </c>
      <c r="AP291" s="7" t="s">
        <v>5255</v>
      </c>
      <c r="AQ291" s="7" t="s">
        <v>5256</v>
      </c>
      <c r="AR291" s="7" t="s">
        <v>5257</v>
      </c>
      <c r="AS291" s="7" t="n">
        <v>199500</v>
      </c>
      <c r="AT291" s="7"/>
      <c r="AU291" s="7" t="s">
        <v>5258</v>
      </c>
      <c r="AV291" s="7"/>
      <c r="AW291" s="7"/>
      <c r="AX291" s="7" t="s">
        <v>5259</v>
      </c>
      <c r="AY291" s="7" t="s">
        <v>75</v>
      </c>
      <c r="AZ291" s="7"/>
      <c r="BA291" s="7" t="s">
        <v>76</v>
      </c>
      <c r="BB291" s="7" t="s">
        <v>5260</v>
      </c>
      <c r="BC291" s="7"/>
      <c r="BD291" s="7"/>
      <c r="BE291" s="7"/>
      <c r="BF291" s="7"/>
      <c r="BG291" s="7"/>
      <c r="BH291" s="7"/>
      <c r="BI291" s="7"/>
    </row>
    <row r="292" customFormat="false" ht="14.25" hidden="false" customHeight="true" outlineLevel="0" collapsed="false">
      <c r="A292" s="7" t="s">
        <v>5261</v>
      </c>
      <c r="B292" s="7" t="s">
        <v>5262</v>
      </c>
      <c r="C292" s="7" t="s">
        <v>5263</v>
      </c>
      <c r="D292" s="7" t="s">
        <v>5264</v>
      </c>
      <c r="E292" s="7" t="n">
        <v>2023</v>
      </c>
      <c r="F292" s="8" t="s">
        <v>5265</v>
      </c>
      <c r="G292" s="6" t="s">
        <v>5123</v>
      </c>
      <c r="H292" s="7"/>
      <c r="I292" s="7"/>
      <c r="J292" s="7"/>
      <c r="K292" s="7"/>
      <c r="L292" s="7"/>
      <c r="M292" s="7"/>
      <c r="N292" s="7"/>
      <c r="O292" s="7"/>
      <c r="P292" s="7" t="s">
        <v>304</v>
      </c>
      <c r="Q292" s="7" t="s">
        <v>62</v>
      </c>
      <c r="R292" s="7" t="s">
        <v>2872</v>
      </c>
      <c r="S292" s="7" t="n">
        <v>2492</v>
      </c>
      <c r="T292" s="7" t="s">
        <v>5266</v>
      </c>
      <c r="U292" s="7"/>
      <c r="V292" s="7" t="n">
        <v>30058</v>
      </c>
      <c r="W292" s="7"/>
      <c r="X292" s="7"/>
      <c r="Y292" s="7"/>
      <c r="Z292" s="7" t="s">
        <v>5267</v>
      </c>
      <c r="AA292" s="9" t="s">
        <v>5268</v>
      </c>
      <c r="AB292" s="7" t="s">
        <v>5269</v>
      </c>
      <c r="AC292" s="7" t="s">
        <v>5270</v>
      </c>
      <c r="AD292" s="7" t="s">
        <v>5271</v>
      </c>
      <c r="AE292" s="7"/>
      <c r="AF292" s="7"/>
      <c r="AG292" s="7"/>
      <c r="AH292" s="7"/>
      <c r="AI292" s="7"/>
      <c r="AJ292" s="10"/>
      <c r="AK292" s="7"/>
      <c r="AL292" s="7" t="s">
        <v>5272</v>
      </c>
      <c r="AM292" s="7" t="s">
        <v>5273</v>
      </c>
      <c r="AN292" s="7" t="s">
        <v>5274</v>
      </c>
      <c r="AO292" s="7"/>
      <c r="AP292" s="7" t="s">
        <v>5275</v>
      </c>
      <c r="AQ292" s="7" t="s">
        <v>5276</v>
      </c>
      <c r="AR292" s="7" t="s">
        <v>5277</v>
      </c>
      <c r="AS292" s="7" t="n">
        <v>188891</v>
      </c>
      <c r="AT292" s="7" t="s">
        <v>2884</v>
      </c>
      <c r="AU292" s="7" t="s">
        <v>5278</v>
      </c>
      <c r="AV292" s="7"/>
      <c r="AW292" s="7"/>
      <c r="AX292" s="7" t="s">
        <v>2885</v>
      </c>
      <c r="AY292" s="7" t="s">
        <v>75</v>
      </c>
      <c r="AZ292" s="7"/>
      <c r="BA292" s="7" t="s">
        <v>76</v>
      </c>
      <c r="BB292" s="7" t="s">
        <v>5279</v>
      </c>
      <c r="BC292" s="7"/>
      <c r="BD292" s="7"/>
      <c r="BE292" s="7"/>
      <c r="BF292" s="7"/>
      <c r="BG292" s="7"/>
      <c r="BH292" s="7"/>
      <c r="BI292" s="7"/>
    </row>
    <row r="293" customFormat="false" ht="14.25" hidden="false" customHeight="true" outlineLevel="0" collapsed="false">
      <c r="A293" s="7" t="s">
        <v>5280</v>
      </c>
      <c r="B293" s="7" t="s">
        <v>5281</v>
      </c>
      <c r="C293" s="7" t="s">
        <v>5282</v>
      </c>
      <c r="D293" s="7" t="s">
        <v>5283</v>
      </c>
      <c r="E293" s="7" t="n">
        <v>2023</v>
      </c>
      <c r="F293" s="8" t="s">
        <v>5284</v>
      </c>
      <c r="G293" s="6" t="s">
        <v>5123</v>
      </c>
      <c r="H293" s="7"/>
      <c r="I293" s="7"/>
      <c r="J293" s="7"/>
      <c r="K293" s="7"/>
      <c r="L293" s="7"/>
      <c r="M293" s="7"/>
      <c r="N293" s="7"/>
      <c r="O293" s="7"/>
      <c r="P293" s="7" t="s">
        <v>304</v>
      </c>
      <c r="Q293" s="7" t="s">
        <v>62</v>
      </c>
      <c r="R293" s="7" t="s">
        <v>5285</v>
      </c>
      <c r="S293" s="7"/>
      <c r="T293" s="7" t="s">
        <v>187</v>
      </c>
      <c r="U293" s="7"/>
      <c r="V293" s="7"/>
      <c r="W293" s="7" t="n">
        <v>258</v>
      </c>
      <c r="X293" s="7" t="n">
        <v>262</v>
      </c>
      <c r="Y293" s="7" t="n">
        <v>4</v>
      </c>
      <c r="Z293" s="7" t="s">
        <v>5286</v>
      </c>
      <c r="AA293" s="9" t="s">
        <v>5287</v>
      </c>
      <c r="AB293" s="7" t="s">
        <v>5288</v>
      </c>
      <c r="AC293" s="7" t="s">
        <v>5289</v>
      </c>
      <c r="AD293" s="7" t="s">
        <v>5290</v>
      </c>
      <c r="AE293" s="7" t="s">
        <v>5291</v>
      </c>
      <c r="AF293" s="7"/>
      <c r="AG293" s="7"/>
      <c r="AH293" s="7"/>
      <c r="AI293" s="7"/>
      <c r="AJ293" s="10"/>
      <c r="AK293" s="7"/>
      <c r="AL293" s="7" t="s">
        <v>5292</v>
      </c>
      <c r="AM293" s="7"/>
      <c r="AN293" s="7"/>
      <c r="AO293" s="7" t="s">
        <v>5293</v>
      </c>
      <c r="AP293" s="7" t="s">
        <v>5294</v>
      </c>
      <c r="AQ293" s="7" t="s">
        <v>5295</v>
      </c>
      <c r="AR293" s="7" t="s">
        <v>5296</v>
      </c>
      <c r="AS293" s="7" t="n">
        <v>195897</v>
      </c>
      <c r="AT293" s="7" t="n">
        <v>5473578</v>
      </c>
      <c r="AU293" s="7" t="s">
        <v>5297</v>
      </c>
      <c r="AV293" s="7"/>
      <c r="AW293" s="7"/>
      <c r="AX293" s="7" t="s">
        <v>5298</v>
      </c>
      <c r="AY293" s="7" t="s">
        <v>75</v>
      </c>
      <c r="AZ293" s="7"/>
      <c r="BA293" s="7" t="s">
        <v>76</v>
      </c>
      <c r="BB293" s="7" t="s">
        <v>5299</v>
      </c>
      <c r="BC293" s="7"/>
      <c r="BD293" s="7"/>
      <c r="BE293" s="7"/>
      <c r="BF293" s="7"/>
      <c r="BG293" s="7"/>
      <c r="BH293" s="7"/>
      <c r="BI293" s="7"/>
    </row>
    <row r="294" customFormat="false" ht="14.25" hidden="false" customHeight="true" outlineLevel="0" collapsed="false">
      <c r="A294" s="7" t="s">
        <v>5300</v>
      </c>
      <c r="B294" s="7" t="s">
        <v>5301</v>
      </c>
      <c r="C294" s="7" t="s">
        <v>5302</v>
      </c>
      <c r="D294" s="7" t="s">
        <v>5303</v>
      </c>
      <c r="E294" s="7" t="n">
        <v>2023</v>
      </c>
      <c r="F294" s="8" t="s">
        <v>5304</v>
      </c>
      <c r="G294" s="6" t="s">
        <v>5123</v>
      </c>
      <c r="H294" s="7"/>
      <c r="I294" s="7"/>
      <c r="J294" s="7"/>
      <c r="K294" s="7"/>
      <c r="L294" s="7"/>
      <c r="M294" s="7"/>
      <c r="N294" s="7"/>
      <c r="O294" s="7"/>
      <c r="P294" s="7" t="s">
        <v>304</v>
      </c>
      <c r="Q294" s="7" t="s">
        <v>62</v>
      </c>
      <c r="R294" s="7" t="s">
        <v>5305</v>
      </c>
      <c r="S294" s="7"/>
      <c r="T294" s="7" t="s">
        <v>187</v>
      </c>
      <c r="U294" s="7"/>
      <c r="V294" s="7"/>
      <c r="W294" s="7" t="n">
        <v>980</v>
      </c>
      <c r="X294" s="7" t="n">
        <v>984</v>
      </c>
      <c r="Y294" s="7" t="n">
        <v>4</v>
      </c>
      <c r="Z294" s="7" t="s">
        <v>5306</v>
      </c>
      <c r="AA294" s="9" t="s">
        <v>5307</v>
      </c>
      <c r="AB294" s="7" t="s">
        <v>5308</v>
      </c>
      <c r="AC294" s="7" t="s">
        <v>5309</v>
      </c>
      <c r="AD294" s="7" t="s">
        <v>5310</v>
      </c>
      <c r="AE294" s="7" t="s">
        <v>5311</v>
      </c>
      <c r="AF294" s="7"/>
      <c r="AG294" s="7"/>
      <c r="AH294" s="7"/>
      <c r="AI294" s="7"/>
      <c r="AJ294" s="10"/>
      <c r="AK294" s="7"/>
      <c r="AL294" s="7" t="s">
        <v>5312</v>
      </c>
      <c r="AM294" s="7" t="s">
        <v>5313</v>
      </c>
      <c r="AN294" s="7"/>
      <c r="AO294" s="7"/>
      <c r="AP294" s="7" t="s">
        <v>5314</v>
      </c>
      <c r="AQ294" s="7" t="s">
        <v>5315</v>
      </c>
      <c r="AR294" s="7" t="s">
        <v>5316</v>
      </c>
      <c r="AS294" s="7" t="n">
        <v>187202</v>
      </c>
      <c r="AT294" s="7"/>
      <c r="AU294" s="7" t="s">
        <v>5317</v>
      </c>
      <c r="AV294" s="7"/>
      <c r="AW294" s="7"/>
      <c r="AX294" s="7" t="s">
        <v>5318</v>
      </c>
      <c r="AY294" s="7" t="s">
        <v>75</v>
      </c>
      <c r="AZ294" s="7"/>
      <c r="BA294" s="7" t="s">
        <v>76</v>
      </c>
      <c r="BB294" s="7" t="s">
        <v>5319</v>
      </c>
      <c r="BC294" s="7"/>
      <c r="BD294" s="7"/>
      <c r="BE294" s="7"/>
      <c r="BF294" s="7"/>
      <c r="BG294" s="7"/>
      <c r="BH294" s="7"/>
      <c r="BI294" s="7"/>
    </row>
    <row r="295" customFormat="false" ht="14.25" hidden="false" customHeight="true" outlineLevel="0" collapsed="false">
      <c r="A295" s="7" t="s">
        <v>5320</v>
      </c>
      <c r="B295" s="7" t="s">
        <v>5321</v>
      </c>
      <c r="C295" s="7" t="s">
        <v>5322</v>
      </c>
      <c r="D295" s="7" t="s">
        <v>5323</v>
      </c>
      <c r="E295" s="7" t="n">
        <v>2023</v>
      </c>
      <c r="F295" s="8" t="s">
        <v>5324</v>
      </c>
      <c r="G295" s="6" t="s">
        <v>5123</v>
      </c>
      <c r="H295" s="7"/>
      <c r="I295" s="7"/>
      <c r="J295" s="7"/>
      <c r="K295" s="7"/>
      <c r="L295" s="7"/>
      <c r="M295" s="7"/>
      <c r="N295" s="7"/>
      <c r="O295" s="7"/>
      <c r="P295" s="7" t="s">
        <v>304</v>
      </c>
      <c r="Q295" s="7" t="s">
        <v>62</v>
      </c>
      <c r="R295" s="7" t="s">
        <v>2794</v>
      </c>
      <c r="S295" s="7" t="s">
        <v>5325</v>
      </c>
      <c r="T295" s="7" t="s">
        <v>307</v>
      </c>
      <c r="U295" s="7"/>
      <c r="V295" s="7"/>
      <c r="W295" s="7" t="n">
        <v>3</v>
      </c>
      <c r="X295" s="7" t="n">
        <v>19</v>
      </c>
      <c r="Y295" s="7" t="n">
        <v>16</v>
      </c>
      <c r="Z295" s="7" t="s">
        <v>5326</v>
      </c>
      <c r="AA295" s="9" t="s">
        <v>5327</v>
      </c>
      <c r="AB295" s="7" t="s">
        <v>5328</v>
      </c>
      <c r="AC295" s="7" t="s">
        <v>5329</v>
      </c>
      <c r="AD295" s="7" t="s">
        <v>5330</v>
      </c>
      <c r="AE295" s="7" t="s">
        <v>5331</v>
      </c>
      <c r="AF295" s="7"/>
      <c r="AG295" s="7"/>
      <c r="AH295" s="7"/>
      <c r="AI295" s="7"/>
      <c r="AJ295" s="10"/>
      <c r="AK295" s="7"/>
      <c r="AL295" s="7" t="s">
        <v>5332</v>
      </c>
      <c r="AM295" s="7" t="s">
        <v>5333</v>
      </c>
      <c r="AN295" s="7" t="s">
        <v>5334</v>
      </c>
      <c r="AO295" s="7"/>
      <c r="AP295" s="7" t="s">
        <v>5335</v>
      </c>
      <c r="AQ295" s="7" t="s">
        <v>5336</v>
      </c>
      <c r="AR295" s="7" t="s">
        <v>5337</v>
      </c>
      <c r="AS295" s="7" t="n">
        <v>295409</v>
      </c>
      <c r="AT295" s="7" t="n">
        <v>18678211</v>
      </c>
      <c r="AU295" s="7" t="s">
        <v>5338</v>
      </c>
      <c r="AV295" s="7"/>
      <c r="AW295" s="7"/>
      <c r="AX295" s="7" t="s">
        <v>2811</v>
      </c>
      <c r="AY295" s="7" t="s">
        <v>75</v>
      </c>
      <c r="AZ295" s="7"/>
      <c r="BA295" s="7" t="s">
        <v>76</v>
      </c>
      <c r="BB295" s="7" t="s">
        <v>5339</v>
      </c>
      <c r="BC295" s="7"/>
      <c r="BD295" s="7"/>
      <c r="BE295" s="7"/>
      <c r="BF295" s="7"/>
      <c r="BG295" s="7"/>
      <c r="BH295" s="7"/>
      <c r="BI295" s="7"/>
    </row>
    <row r="296" customFormat="false" ht="14.25" hidden="false" customHeight="true" outlineLevel="0" collapsed="false">
      <c r="A296" s="7" t="s">
        <v>3610</v>
      </c>
      <c r="B296" s="7" t="s">
        <v>3611</v>
      </c>
      <c r="C296" s="7" t="s">
        <v>3612</v>
      </c>
      <c r="D296" s="7" t="s">
        <v>5340</v>
      </c>
      <c r="E296" s="7" t="n">
        <v>2023</v>
      </c>
      <c r="F296" s="8" t="s">
        <v>5341</v>
      </c>
      <c r="G296" s="6" t="s">
        <v>5123</v>
      </c>
      <c r="H296" s="7"/>
      <c r="I296" s="7"/>
      <c r="J296" s="7"/>
      <c r="K296" s="7"/>
      <c r="L296" s="7"/>
      <c r="M296" s="7"/>
      <c r="N296" s="7"/>
      <c r="O296" s="7"/>
      <c r="P296" s="7" t="s">
        <v>304</v>
      </c>
      <c r="Q296" s="7" t="s">
        <v>62</v>
      </c>
      <c r="R296" s="7" t="s">
        <v>5342</v>
      </c>
      <c r="S296" s="7"/>
      <c r="T296" s="7" t="s">
        <v>187</v>
      </c>
      <c r="U296" s="7"/>
      <c r="V296" s="7"/>
      <c r="W296" s="7"/>
      <c r="X296" s="7"/>
      <c r="Y296" s="7"/>
      <c r="Z296" s="7" t="s">
        <v>5343</v>
      </c>
      <c r="AA296" s="9" t="s">
        <v>5344</v>
      </c>
      <c r="AB296" s="7" t="s">
        <v>5345</v>
      </c>
      <c r="AC296" s="7" t="s">
        <v>5346</v>
      </c>
      <c r="AD296" s="7" t="s">
        <v>5347</v>
      </c>
      <c r="AE296" s="7" t="s">
        <v>5348</v>
      </c>
      <c r="AF296" s="7"/>
      <c r="AG296" s="7"/>
      <c r="AH296" s="7"/>
      <c r="AI296" s="7"/>
      <c r="AJ296" s="10"/>
      <c r="AK296" s="7"/>
      <c r="AL296" s="7" t="s">
        <v>5349</v>
      </c>
      <c r="AM296" s="7" t="s">
        <v>5350</v>
      </c>
      <c r="AN296" s="7"/>
      <c r="AO296" s="7"/>
      <c r="AP296" s="7" t="s">
        <v>5351</v>
      </c>
      <c r="AQ296" s="7" t="s">
        <v>5352</v>
      </c>
      <c r="AR296" s="7" t="s">
        <v>5353</v>
      </c>
      <c r="AS296" s="7" t="n">
        <v>194774</v>
      </c>
      <c r="AT296" s="7"/>
      <c r="AU296" s="7" t="s">
        <v>5354</v>
      </c>
      <c r="AV296" s="7"/>
      <c r="AW296" s="7"/>
      <c r="AX296" s="7" t="s">
        <v>2439</v>
      </c>
      <c r="AY296" s="7" t="s">
        <v>75</v>
      </c>
      <c r="AZ296" s="7"/>
      <c r="BA296" s="7" t="s">
        <v>76</v>
      </c>
      <c r="BB296" s="7" t="s">
        <v>5355</v>
      </c>
      <c r="BC296" s="7"/>
      <c r="BD296" s="7"/>
      <c r="BE296" s="7"/>
      <c r="BF296" s="7"/>
      <c r="BG296" s="7"/>
      <c r="BH296" s="7"/>
      <c r="BI296" s="7"/>
    </row>
    <row r="297" customFormat="false" ht="14.25" hidden="false" customHeight="true" outlineLevel="0" collapsed="false">
      <c r="A297" s="7" t="s">
        <v>5356</v>
      </c>
      <c r="B297" s="7" t="s">
        <v>5357</v>
      </c>
      <c r="C297" s="7" t="s">
        <v>5358</v>
      </c>
      <c r="D297" s="7" t="s">
        <v>5359</v>
      </c>
      <c r="E297" s="7" t="n">
        <v>2023</v>
      </c>
      <c r="F297" s="8" t="s">
        <v>5360</v>
      </c>
      <c r="G297" s="6" t="s">
        <v>5123</v>
      </c>
      <c r="H297" s="7"/>
      <c r="I297" s="7"/>
      <c r="J297" s="7"/>
      <c r="K297" s="7"/>
      <c r="L297" s="7"/>
      <c r="M297" s="7"/>
      <c r="N297" s="7"/>
      <c r="O297" s="7"/>
      <c r="P297" s="7" t="s">
        <v>304</v>
      </c>
      <c r="Q297" s="7" t="s">
        <v>62</v>
      </c>
      <c r="R297" s="7" t="s">
        <v>5361</v>
      </c>
      <c r="S297" s="7"/>
      <c r="T297" s="7" t="s">
        <v>187</v>
      </c>
      <c r="U297" s="7"/>
      <c r="V297" s="7"/>
      <c r="W297" s="7" t="n">
        <v>419</v>
      </c>
      <c r="X297" s="7" t="n">
        <v>423</v>
      </c>
      <c r="Y297" s="7" t="n">
        <v>4</v>
      </c>
      <c r="Z297" s="7" t="s">
        <v>5362</v>
      </c>
      <c r="AA297" s="9" t="s">
        <v>5363</v>
      </c>
      <c r="AB297" s="7" t="s">
        <v>5364</v>
      </c>
      <c r="AC297" s="7" t="s">
        <v>5365</v>
      </c>
      <c r="AD297" s="7" t="s">
        <v>5366</v>
      </c>
      <c r="AE297" s="7" t="s">
        <v>5367</v>
      </c>
      <c r="AF297" s="7"/>
      <c r="AG297" s="7"/>
      <c r="AH297" s="7"/>
      <c r="AI297" s="7"/>
      <c r="AJ297" s="10"/>
      <c r="AK297" s="7"/>
      <c r="AL297" s="7" t="s">
        <v>5368</v>
      </c>
      <c r="AM297" s="7" t="s">
        <v>5369</v>
      </c>
      <c r="AN297" s="7"/>
      <c r="AO297" s="7"/>
      <c r="AP297" s="7" t="s">
        <v>5370</v>
      </c>
      <c r="AQ297" s="7" t="s">
        <v>5371</v>
      </c>
      <c r="AR297" s="7" t="s">
        <v>5372</v>
      </c>
      <c r="AS297" s="7" t="n">
        <v>195117</v>
      </c>
      <c r="AT297" s="7"/>
      <c r="AU297" s="7" t="s">
        <v>5373</v>
      </c>
      <c r="AV297" s="7"/>
      <c r="AW297" s="7"/>
      <c r="AX297" s="7" t="s">
        <v>5374</v>
      </c>
      <c r="AY297" s="7" t="s">
        <v>75</v>
      </c>
      <c r="AZ297" s="7"/>
      <c r="BA297" s="7" t="s">
        <v>76</v>
      </c>
      <c r="BB297" s="7" t="s">
        <v>5375</v>
      </c>
      <c r="BC297" s="7"/>
      <c r="BD297" s="7"/>
      <c r="BE297" s="7"/>
      <c r="BF297" s="7"/>
      <c r="BG297" s="7"/>
      <c r="BH297" s="7"/>
      <c r="BI297" s="7"/>
    </row>
    <row r="298" customFormat="false" ht="14.25" hidden="false" customHeight="true" outlineLevel="0" collapsed="false">
      <c r="A298" s="7" t="s">
        <v>5376</v>
      </c>
      <c r="B298" s="7" t="s">
        <v>5377</v>
      </c>
      <c r="C298" s="7" t="s">
        <v>5378</v>
      </c>
      <c r="D298" s="7" t="s">
        <v>5379</v>
      </c>
      <c r="E298" s="7" t="n">
        <v>2023</v>
      </c>
      <c r="F298" s="8" t="s">
        <v>5380</v>
      </c>
      <c r="G298" s="6" t="s">
        <v>5123</v>
      </c>
      <c r="H298" s="7"/>
      <c r="I298" s="7"/>
      <c r="J298" s="7"/>
      <c r="K298" s="7"/>
      <c r="L298" s="7"/>
      <c r="M298" s="7"/>
      <c r="N298" s="7"/>
      <c r="O298" s="7"/>
      <c r="P298" s="7" t="s">
        <v>304</v>
      </c>
      <c r="Q298" s="7" t="s">
        <v>62</v>
      </c>
      <c r="R298" s="7" t="s">
        <v>5381</v>
      </c>
      <c r="S298" s="7"/>
      <c r="T298" s="7" t="s">
        <v>187</v>
      </c>
      <c r="U298" s="7"/>
      <c r="V298" s="7"/>
      <c r="W298" s="7"/>
      <c r="X298" s="7"/>
      <c r="Y298" s="7"/>
      <c r="Z298" s="7" t="s">
        <v>5382</v>
      </c>
      <c r="AA298" s="9" t="s">
        <v>5383</v>
      </c>
      <c r="AB298" s="7" t="s">
        <v>5384</v>
      </c>
      <c r="AC298" s="7" t="s">
        <v>5385</v>
      </c>
      <c r="AD298" s="7" t="s">
        <v>5386</v>
      </c>
      <c r="AE298" s="7" t="s">
        <v>5387</v>
      </c>
      <c r="AF298" s="7"/>
      <c r="AG298" s="7"/>
      <c r="AH298" s="7"/>
      <c r="AI298" s="7"/>
      <c r="AJ298" s="10"/>
      <c r="AK298" s="7"/>
      <c r="AL298" s="7" t="s">
        <v>5388</v>
      </c>
      <c r="AM298" s="7" t="s">
        <v>5389</v>
      </c>
      <c r="AN298" s="7"/>
      <c r="AO298" s="7"/>
      <c r="AP298" s="7" t="s">
        <v>5390</v>
      </c>
      <c r="AQ298" s="7" t="s">
        <v>5391</v>
      </c>
      <c r="AR298" s="7" t="s">
        <v>5392</v>
      </c>
      <c r="AS298" s="7" t="n">
        <v>197445</v>
      </c>
      <c r="AT298" s="7"/>
      <c r="AU298" s="7" t="s">
        <v>5393</v>
      </c>
      <c r="AV298" s="7"/>
      <c r="AW298" s="7"/>
      <c r="AX298" s="7" t="s">
        <v>5394</v>
      </c>
      <c r="AY298" s="7" t="s">
        <v>75</v>
      </c>
      <c r="AZ298" s="7"/>
      <c r="BA298" s="7" t="s">
        <v>76</v>
      </c>
      <c r="BB298" s="7" t="s">
        <v>5395</v>
      </c>
      <c r="BC298" s="7"/>
      <c r="BD298" s="7"/>
      <c r="BE298" s="7"/>
      <c r="BF298" s="7"/>
      <c r="BG298" s="7"/>
      <c r="BH298" s="7"/>
      <c r="BI298" s="7"/>
    </row>
    <row r="299" customFormat="false" ht="14.25" hidden="false" customHeight="true" outlineLevel="0" collapsed="false">
      <c r="A299" s="7" t="s">
        <v>5396</v>
      </c>
      <c r="B299" s="7" t="s">
        <v>5397</v>
      </c>
      <c r="C299" s="7" t="s">
        <v>5398</v>
      </c>
      <c r="D299" s="7" t="s">
        <v>5399</v>
      </c>
      <c r="E299" s="7" t="n">
        <v>2023</v>
      </c>
      <c r="F299" s="8" t="s">
        <v>5400</v>
      </c>
      <c r="G299" s="6" t="s">
        <v>5123</v>
      </c>
      <c r="H299" s="7"/>
      <c r="I299" s="7"/>
      <c r="J299" s="7"/>
      <c r="K299" s="7"/>
      <c r="L299" s="7"/>
      <c r="M299" s="7"/>
      <c r="N299" s="7"/>
      <c r="O299" s="7"/>
      <c r="P299" s="7" t="s">
        <v>304</v>
      </c>
      <c r="Q299" s="7" t="s">
        <v>62</v>
      </c>
      <c r="R299" s="7" t="s">
        <v>2892</v>
      </c>
      <c r="S299" s="7" t="s">
        <v>5401</v>
      </c>
      <c r="T299" s="7" t="s">
        <v>307</v>
      </c>
      <c r="U299" s="7"/>
      <c r="V299" s="7"/>
      <c r="W299" s="7" t="n">
        <v>990</v>
      </c>
      <c r="X299" s="7" t="n">
        <v>998</v>
      </c>
      <c r="Y299" s="7" t="n">
        <v>8</v>
      </c>
      <c r="Z299" s="7" t="s">
        <v>5402</v>
      </c>
      <c r="AA299" s="9" t="s">
        <v>5403</v>
      </c>
      <c r="AB299" s="7" t="s">
        <v>5404</v>
      </c>
      <c r="AC299" s="7" t="s">
        <v>5405</v>
      </c>
      <c r="AD299" s="7" t="s">
        <v>5406</v>
      </c>
      <c r="AE299" s="7" t="s">
        <v>5407</v>
      </c>
      <c r="AF299" s="7"/>
      <c r="AG299" s="7"/>
      <c r="AH299" s="7"/>
      <c r="AI299" s="7"/>
      <c r="AJ299" s="10" t="s">
        <v>5408</v>
      </c>
      <c r="AK299" s="7" t="s">
        <v>5409</v>
      </c>
      <c r="AL299" s="7" t="s">
        <v>5410</v>
      </c>
      <c r="AM299" s="7" t="s">
        <v>5411</v>
      </c>
      <c r="AN299" s="7" t="s">
        <v>5412</v>
      </c>
      <c r="AO299" s="7"/>
      <c r="AP299" s="7" t="s">
        <v>5413</v>
      </c>
      <c r="AQ299" s="7" t="s">
        <v>5414</v>
      </c>
      <c r="AR299" s="7" t="s">
        <v>5415</v>
      </c>
      <c r="AS299" s="7" t="n">
        <v>290819</v>
      </c>
      <c r="AT299" s="7" t="n">
        <v>18761100</v>
      </c>
      <c r="AU299" s="7" t="s">
        <v>5416</v>
      </c>
      <c r="AV299" s="7"/>
      <c r="AW299" s="7"/>
      <c r="AX299" s="7" t="s">
        <v>2906</v>
      </c>
      <c r="AY299" s="7" t="s">
        <v>75</v>
      </c>
      <c r="AZ299" s="7"/>
      <c r="BA299" s="7" t="s">
        <v>76</v>
      </c>
      <c r="BB299" s="7" t="s">
        <v>5417</v>
      </c>
      <c r="BC299" s="7"/>
      <c r="BD299" s="7"/>
      <c r="BE299" s="7"/>
      <c r="BF299" s="7"/>
      <c r="BG299" s="7"/>
      <c r="BH299" s="7"/>
      <c r="BI299" s="7"/>
    </row>
    <row r="300" customFormat="false" ht="14.25" hidden="false" customHeight="true" outlineLevel="0" collapsed="false">
      <c r="A300" s="7" t="s">
        <v>5418</v>
      </c>
      <c r="B300" s="7" t="s">
        <v>5419</v>
      </c>
      <c r="C300" s="7" t="s">
        <v>5420</v>
      </c>
      <c r="D300" s="7" t="s">
        <v>5421</v>
      </c>
      <c r="E300" s="7" t="n">
        <v>2023</v>
      </c>
      <c r="F300" s="8" t="s">
        <v>5422</v>
      </c>
      <c r="G300" s="6" t="s">
        <v>149</v>
      </c>
      <c r="H300" s="7"/>
      <c r="I300" s="7"/>
      <c r="J300" s="7"/>
      <c r="K300" s="7"/>
      <c r="L300" s="7"/>
      <c r="M300" s="7"/>
      <c r="N300" s="7"/>
      <c r="O300" s="7"/>
      <c r="P300" s="7" t="s">
        <v>304</v>
      </c>
      <c r="Q300" s="7" t="s">
        <v>62</v>
      </c>
      <c r="R300" s="7" t="s">
        <v>350</v>
      </c>
      <c r="S300" s="7" t="s">
        <v>5423</v>
      </c>
      <c r="T300" s="7" t="s">
        <v>307</v>
      </c>
      <c r="U300" s="7"/>
      <c r="V300" s="7"/>
      <c r="W300" s="7" t="n">
        <v>298</v>
      </c>
      <c r="X300" s="7" t="n">
        <v>308</v>
      </c>
      <c r="Y300" s="7" t="n">
        <v>10</v>
      </c>
      <c r="Z300" s="7" t="s">
        <v>5424</v>
      </c>
      <c r="AA300" s="9" t="s">
        <v>5425</v>
      </c>
      <c r="AB300" s="7" t="s">
        <v>5426</v>
      </c>
      <c r="AC300" s="7" t="s">
        <v>5427</v>
      </c>
      <c r="AD300" s="7" t="s">
        <v>5428</v>
      </c>
      <c r="AE300" s="7" t="s">
        <v>5429</v>
      </c>
      <c r="AF300" s="7"/>
      <c r="AG300" s="7"/>
      <c r="AH300" s="7"/>
      <c r="AI300" s="7"/>
      <c r="AJ300" s="10"/>
      <c r="AK300" s="7"/>
      <c r="AL300" s="7" t="s">
        <v>5430</v>
      </c>
      <c r="AM300" s="7" t="s">
        <v>5431</v>
      </c>
      <c r="AN300" s="7" t="s">
        <v>5432</v>
      </c>
      <c r="AO300" s="7"/>
      <c r="AP300" s="7" t="s">
        <v>5433</v>
      </c>
      <c r="AQ300" s="7" t="s">
        <v>5434</v>
      </c>
      <c r="AR300" s="7" t="s">
        <v>5435</v>
      </c>
      <c r="AS300" s="7" t="n">
        <v>303659</v>
      </c>
      <c r="AT300" s="7" t="n">
        <v>23673370</v>
      </c>
      <c r="AU300" s="7" t="s">
        <v>5436</v>
      </c>
      <c r="AV300" s="7"/>
      <c r="AW300" s="7"/>
      <c r="AX300" s="7" t="s">
        <v>365</v>
      </c>
      <c r="AY300" s="7" t="s">
        <v>75</v>
      </c>
      <c r="AZ300" s="7"/>
      <c r="BA300" s="7" t="s">
        <v>76</v>
      </c>
      <c r="BB300" s="7" t="s">
        <v>5437</v>
      </c>
      <c r="BC300" s="7"/>
      <c r="BD300" s="7"/>
      <c r="BE300" s="7"/>
      <c r="BF300" s="7"/>
      <c r="BG300" s="7"/>
      <c r="BH300" s="7"/>
      <c r="BI300" s="7"/>
    </row>
    <row r="301" customFormat="false" ht="14.25" hidden="false" customHeight="true" outlineLevel="0" collapsed="false">
      <c r="A301" s="7" t="s">
        <v>5438</v>
      </c>
      <c r="B301" s="7" t="s">
        <v>5439</v>
      </c>
      <c r="C301" s="7" t="s">
        <v>5440</v>
      </c>
      <c r="D301" s="7" t="s">
        <v>5441</v>
      </c>
      <c r="E301" s="7" t="n">
        <v>2023</v>
      </c>
      <c r="F301" s="8" t="s">
        <v>5442</v>
      </c>
      <c r="G301" s="6" t="s">
        <v>134</v>
      </c>
      <c r="H301" s="7"/>
      <c r="I301" s="7"/>
      <c r="J301" s="7"/>
      <c r="K301" s="7"/>
      <c r="L301" s="7"/>
      <c r="M301" s="7"/>
      <c r="N301" s="7"/>
      <c r="O301" s="7"/>
      <c r="P301" s="7" t="s">
        <v>304</v>
      </c>
      <c r="Q301" s="7" t="s">
        <v>62</v>
      </c>
      <c r="R301" s="7" t="s">
        <v>5443</v>
      </c>
      <c r="S301" s="12" t="n">
        <v>45078</v>
      </c>
      <c r="T301" s="7" t="s">
        <v>5444</v>
      </c>
      <c r="U301" s="7"/>
      <c r="V301" s="7"/>
      <c r="W301" s="7" t="n">
        <v>1964</v>
      </c>
      <c r="X301" s="7" t="n">
        <v>1968</v>
      </c>
      <c r="Y301" s="7" t="n">
        <v>4</v>
      </c>
      <c r="Z301" s="7"/>
      <c r="AA301" s="9" t="s">
        <v>5445</v>
      </c>
      <c r="AB301" s="7" t="s">
        <v>5446</v>
      </c>
      <c r="AC301" s="7" t="s">
        <v>5447</v>
      </c>
      <c r="AD301" s="7" t="s">
        <v>5448</v>
      </c>
      <c r="AE301" s="7" t="s">
        <v>5449</v>
      </c>
      <c r="AF301" s="7"/>
      <c r="AG301" s="7"/>
      <c r="AH301" s="7"/>
      <c r="AI301" s="7"/>
      <c r="AJ301" s="10"/>
      <c r="AK301" s="7"/>
      <c r="AL301" s="7" t="s">
        <v>5450</v>
      </c>
      <c r="AM301" s="7"/>
      <c r="AN301" s="7" t="s">
        <v>5451</v>
      </c>
      <c r="AO301" s="7"/>
      <c r="AP301" s="7" t="s">
        <v>5443</v>
      </c>
      <c r="AQ301" s="7" t="s">
        <v>5452</v>
      </c>
      <c r="AR301" s="7" t="s">
        <v>5277</v>
      </c>
      <c r="AS301" s="7" t="n">
        <v>192282</v>
      </c>
      <c r="AT301" s="7"/>
      <c r="AU301" s="7"/>
      <c r="AV301" s="7"/>
      <c r="AW301" s="7"/>
      <c r="AX301" s="7" t="s">
        <v>5453</v>
      </c>
      <c r="AY301" s="7" t="s">
        <v>75</v>
      </c>
      <c r="AZ301" s="7"/>
      <c r="BA301" s="7" t="s">
        <v>76</v>
      </c>
      <c r="BB301" s="7" t="s">
        <v>5454</v>
      </c>
      <c r="BC301" s="7"/>
      <c r="BD301" s="7"/>
      <c r="BE301" s="7"/>
      <c r="BF301" s="7"/>
      <c r="BG301" s="7"/>
      <c r="BH301" s="7"/>
      <c r="BI301" s="7"/>
    </row>
    <row r="302" customFormat="false" ht="14.25" hidden="false" customHeight="true" outlineLevel="0" collapsed="false">
      <c r="A302" s="7" t="s">
        <v>5455</v>
      </c>
      <c r="B302" s="7" t="s">
        <v>5456</v>
      </c>
      <c r="C302" s="7" t="s">
        <v>5457</v>
      </c>
      <c r="D302" s="7" t="s">
        <v>5458</v>
      </c>
      <c r="E302" s="7" t="n">
        <v>2023</v>
      </c>
      <c r="F302" s="8" t="s">
        <v>5459</v>
      </c>
      <c r="G302" s="6" t="s">
        <v>713</v>
      </c>
      <c r="H302" s="7"/>
      <c r="I302" s="7"/>
      <c r="J302" s="7"/>
      <c r="K302" s="7"/>
      <c r="L302" s="7"/>
      <c r="M302" s="7"/>
      <c r="N302" s="7"/>
      <c r="O302" s="7"/>
      <c r="P302" s="7" t="s">
        <v>304</v>
      </c>
      <c r="Q302" s="7" t="s">
        <v>62</v>
      </c>
      <c r="R302" s="7" t="s">
        <v>5460</v>
      </c>
      <c r="S302" s="7"/>
      <c r="T302" s="7" t="s">
        <v>187</v>
      </c>
      <c r="U302" s="7"/>
      <c r="V302" s="7"/>
      <c r="W302" s="7"/>
      <c r="X302" s="7"/>
      <c r="Y302" s="7"/>
      <c r="Z302" s="7" t="s">
        <v>5461</v>
      </c>
      <c r="AA302" s="9" t="s">
        <v>5462</v>
      </c>
      <c r="AB302" s="7" t="s">
        <v>5463</v>
      </c>
      <c r="AC302" s="7" t="s">
        <v>5464</v>
      </c>
      <c r="AD302" s="7" t="s">
        <v>5465</v>
      </c>
      <c r="AE302" s="7" t="s">
        <v>5466</v>
      </c>
      <c r="AF302" s="7"/>
      <c r="AG302" s="7"/>
      <c r="AH302" s="7"/>
      <c r="AI302" s="7"/>
      <c r="AJ302" s="10"/>
      <c r="AK302" s="7"/>
      <c r="AL302" s="7" t="s">
        <v>5467</v>
      </c>
      <c r="AM302" s="7" t="s">
        <v>5468</v>
      </c>
      <c r="AN302" s="7"/>
      <c r="AO302" s="7"/>
      <c r="AP302" s="7" t="s">
        <v>5469</v>
      </c>
      <c r="AQ302" s="7" t="s">
        <v>5470</v>
      </c>
      <c r="AR302" s="7" t="s">
        <v>3314</v>
      </c>
      <c r="AS302" s="7" t="n">
        <v>198265</v>
      </c>
      <c r="AT302" s="7"/>
      <c r="AU302" s="7" t="s">
        <v>5471</v>
      </c>
      <c r="AV302" s="7"/>
      <c r="AW302" s="7"/>
      <c r="AX302" s="7" t="s">
        <v>5472</v>
      </c>
      <c r="AY302" s="7" t="s">
        <v>75</v>
      </c>
      <c r="AZ302" s="7"/>
      <c r="BA302" s="7" t="s">
        <v>76</v>
      </c>
      <c r="BB302" s="7" t="s">
        <v>5473</v>
      </c>
      <c r="BC302" s="7"/>
      <c r="BD302" s="7"/>
      <c r="BE302" s="7"/>
      <c r="BF302" s="7"/>
      <c r="BG302" s="7"/>
      <c r="BH302" s="7"/>
      <c r="BI302" s="7"/>
    </row>
    <row r="303" customFormat="false" ht="14.25" hidden="false" customHeight="true" outlineLevel="0" collapsed="false">
      <c r="A303" s="7" t="s">
        <v>5474</v>
      </c>
      <c r="B303" s="7" t="s">
        <v>5475</v>
      </c>
      <c r="C303" s="7" t="s">
        <v>5476</v>
      </c>
      <c r="D303" s="7" t="s">
        <v>5477</v>
      </c>
      <c r="E303" s="7" t="n">
        <v>2023</v>
      </c>
      <c r="F303" s="8" t="s">
        <v>5478</v>
      </c>
      <c r="G303" s="6" t="s">
        <v>713</v>
      </c>
      <c r="H303" s="7"/>
      <c r="I303" s="7"/>
      <c r="J303" s="7"/>
      <c r="K303" s="7"/>
      <c r="L303" s="7"/>
      <c r="M303" s="7"/>
      <c r="N303" s="7"/>
      <c r="O303" s="7"/>
      <c r="P303" s="7" t="s">
        <v>304</v>
      </c>
      <c r="Q303" s="7" t="s">
        <v>62</v>
      </c>
      <c r="R303" s="7" t="s">
        <v>5479</v>
      </c>
      <c r="S303" s="7"/>
      <c r="T303" s="7" t="s">
        <v>187</v>
      </c>
      <c r="U303" s="7"/>
      <c r="V303" s="7"/>
      <c r="W303" s="7"/>
      <c r="X303" s="7"/>
      <c r="Y303" s="7"/>
      <c r="Z303" s="7" t="s">
        <v>5480</v>
      </c>
      <c r="AA303" s="9" t="s">
        <v>5481</v>
      </c>
      <c r="AB303" s="7" t="s">
        <v>2556</v>
      </c>
      <c r="AC303" s="7" t="s">
        <v>5482</v>
      </c>
      <c r="AD303" s="7" t="s">
        <v>5483</v>
      </c>
      <c r="AE303" s="7" t="s">
        <v>5484</v>
      </c>
      <c r="AF303" s="7"/>
      <c r="AG303" s="7"/>
      <c r="AH303" s="7"/>
      <c r="AI303" s="7"/>
      <c r="AJ303" s="10"/>
      <c r="AK303" s="7"/>
      <c r="AL303" s="7" t="s">
        <v>5485</v>
      </c>
      <c r="AM303" s="7"/>
      <c r="AN303" s="7"/>
      <c r="AO303" s="7"/>
      <c r="AP303" s="7" t="s">
        <v>5486</v>
      </c>
      <c r="AQ303" s="7" t="s">
        <v>5487</v>
      </c>
      <c r="AR303" s="7" t="s">
        <v>5488</v>
      </c>
      <c r="AS303" s="7" t="n">
        <v>193316</v>
      </c>
      <c r="AT303" s="7"/>
      <c r="AU303" s="7" t="s">
        <v>5489</v>
      </c>
      <c r="AV303" s="7"/>
      <c r="AW303" s="7"/>
      <c r="AX303" s="7" t="s">
        <v>5490</v>
      </c>
      <c r="AY303" s="7" t="s">
        <v>75</v>
      </c>
      <c r="AZ303" s="7"/>
      <c r="BA303" s="7" t="s">
        <v>76</v>
      </c>
      <c r="BB303" s="7" t="s">
        <v>5491</v>
      </c>
      <c r="BC303" s="7"/>
      <c r="BD303" s="7"/>
      <c r="BE303" s="7"/>
      <c r="BF303" s="7"/>
      <c r="BG303" s="7"/>
      <c r="BH303" s="7"/>
      <c r="BI303" s="7"/>
    </row>
    <row r="304" customFormat="false" ht="14.25" hidden="false" customHeight="true" outlineLevel="0" collapsed="false">
      <c r="A304" s="7" t="s">
        <v>5492</v>
      </c>
      <c r="B304" s="7" t="s">
        <v>5493</v>
      </c>
      <c r="C304" s="7" t="s">
        <v>5494</v>
      </c>
      <c r="D304" s="7" t="s">
        <v>5495</v>
      </c>
      <c r="E304" s="7" t="n">
        <v>2023</v>
      </c>
      <c r="F304" s="8" t="s">
        <v>5496</v>
      </c>
      <c r="G304" s="6" t="s">
        <v>713</v>
      </c>
      <c r="H304" s="7"/>
      <c r="I304" s="7"/>
      <c r="J304" s="7"/>
      <c r="K304" s="7"/>
      <c r="L304" s="7"/>
      <c r="M304" s="7"/>
      <c r="N304" s="7"/>
      <c r="O304" s="7"/>
      <c r="P304" s="7" t="s">
        <v>304</v>
      </c>
      <c r="Q304" s="7" t="s">
        <v>62</v>
      </c>
      <c r="R304" s="7" t="s">
        <v>350</v>
      </c>
      <c r="S304" s="7" t="s">
        <v>5497</v>
      </c>
      <c r="T304" s="7" t="s">
        <v>307</v>
      </c>
      <c r="U304" s="7"/>
      <c r="V304" s="7"/>
      <c r="W304" s="7" t="n">
        <v>173</v>
      </c>
      <c r="X304" s="7" t="n">
        <v>183</v>
      </c>
      <c r="Y304" s="7" t="n">
        <v>10</v>
      </c>
      <c r="Z304" s="7" t="s">
        <v>5498</v>
      </c>
      <c r="AA304" s="9" t="s">
        <v>5499</v>
      </c>
      <c r="AB304" s="7" t="s">
        <v>5500</v>
      </c>
      <c r="AC304" s="7" t="s">
        <v>5501</v>
      </c>
      <c r="AD304" s="7" t="s">
        <v>5502</v>
      </c>
      <c r="AE304" s="7" t="s">
        <v>5503</v>
      </c>
      <c r="AF304" s="7"/>
      <c r="AG304" s="7"/>
      <c r="AH304" s="7"/>
      <c r="AI304" s="7"/>
      <c r="AJ304" s="10"/>
      <c r="AK304" s="7"/>
      <c r="AL304" s="7" t="s">
        <v>5504</v>
      </c>
      <c r="AM304" s="7" t="s">
        <v>5505</v>
      </c>
      <c r="AN304" s="7" t="s">
        <v>5506</v>
      </c>
      <c r="AO304" s="7"/>
      <c r="AP304" s="7" t="s">
        <v>5507</v>
      </c>
      <c r="AQ304" s="7" t="s">
        <v>5508</v>
      </c>
      <c r="AR304" s="7" t="s">
        <v>5509</v>
      </c>
      <c r="AS304" s="7" t="n">
        <v>291169</v>
      </c>
      <c r="AT304" s="7" t="n">
        <v>23673370</v>
      </c>
      <c r="AU304" s="7" t="s">
        <v>5510</v>
      </c>
      <c r="AV304" s="7"/>
      <c r="AW304" s="7"/>
      <c r="AX304" s="7" t="s">
        <v>365</v>
      </c>
      <c r="AY304" s="7" t="s">
        <v>75</v>
      </c>
      <c r="AZ304" s="7"/>
      <c r="BA304" s="7" t="s">
        <v>76</v>
      </c>
      <c r="BB304" s="7" t="s">
        <v>5511</v>
      </c>
      <c r="BC304" s="7"/>
      <c r="BD304" s="7"/>
      <c r="BE304" s="7"/>
      <c r="BF304" s="7"/>
      <c r="BG304" s="7"/>
      <c r="BH304" s="7"/>
      <c r="BI304" s="7"/>
    </row>
    <row r="305" customFormat="false" ht="14.25" hidden="false" customHeight="true" outlineLevel="0" collapsed="false">
      <c r="A305" s="7" t="s">
        <v>5512</v>
      </c>
      <c r="B305" s="7" t="s">
        <v>5513</v>
      </c>
      <c r="C305" s="7" t="s">
        <v>5514</v>
      </c>
      <c r="D305" s="7" t="s">
        <v>5515</v>
      </c>
      <c r="E305" s="7" t="n">
        <v>2023</v>
      </c>
      <c r="F305" s="8" t="s">
        <v>5516</v>
      </c>
      <c r="G305" s="6" t="s">
        <v>713</v>
      </c>
      <c r="H305" s="7"/>
      <c r="I305" s="7"/>
      <c r="J305" s="7"/>
      <c r="K305" s="7"/>
      <c r="L305" s="7"/>
      <c r="M305" s="7"/>
      <c r="N305" s="7"/>
      <c r="O305" s="7"/>
      <c r="P305" s="7" t="s">
        <v>304</v>
      </c>
      <c r="Q305" s="7" t="s">
        <v>62</v>
      </c>
      <c r="R305" s="7" t="s">
        <v>5517</v>
      </c>
      <c r="S305" s="7"/>
      <c r="T305" s="7" t="s">
        <v>187</v>
      </c>
      <c r="U305" s="7"/>
      <c r="V305" s="7"/>
      <c r="W305" s="7" t="n">
        <v>1040</v>
      </c>
      <c r="X305" s="7" t="n">
        <v>1045</v>
      </c>
      <c r="Y305" s="7" t="n">
        <v>5</v>
      </c>
      <c r="Z305" s="7" t="s">
        <v>5518</v>
      </c>
      <c r="AA305" s="9" t="s">
        <v>5519</v>
      </c>
      <c r="AB305" s="7" t="s">
        <v>5520</v>
      </c>
      <c r="AC305" s="7" t="s">
        <v>5521</v>
      </c>
      <c r="AD305" s="7" t="s">
        <v>5522</v>
      </c>
      <c r="AE305" s="7" t="s">
        <v>5523</v>
      </c>
      <c r="AF305" s="7"/>
      <c r="AG305" s="7"/>
      <c r="AH305" s="7"/>
      <c r="AI305" s="7"/>
      <c r="AJ305" s="10"/>
      <c r="AK305" s="7"/>
      <c r="AL305" s="7" t="s">
        <v>5524</v>
      </c>
      <c r="AM305" s="7"/>
      <c r="AN305" s="7"/>
      <c r="AO305" s="7"/>
      <c r="AP305" s="7" t="s">
        <v>5525</v>
      </c>
      <c r="AQ305" s="7" t="s">
        <v>5526</v>
      </c>
      <c r="AR305" s="7" t="s">
        <v>5316</v>
      </c>
      <c r="AS305" s="7" t="n">
        <v>188936</v>
      </c>
      <c r="AT305" s="7"/>
      <c r="AU305" s="7" t="s">
        <v>5527</v>
      </c>
      <c r="AV305" s="7"/>
      <c r="AW305" s="7"/>
      <c r="AX305" s="7" t="s">
        <v>5528</v>
      </c>
      <c r="AY305" s="7" t="s">
        <v>75</v>
      </c>
      <c r="AZ305" s="7"/>
      <c r="BA305" s="7" t="s">
        <v>76</v>
      </c>
      <c r="BB305" s="7" t="s">
        <v>5529</v>
      </c>
      <c r="BC305" s="7"/>
      <c r="BD305" s="7"/>
      <c r="BE305" s="7"/>
      <c r="BF305" s="7"/>
      <c r="BG305" s="7"/>
      <c r="BH305" s="7"/>
      <c r="BI305" s="7"/>
    </row>
    <row r="306" customFormat="false" ht="14.25" hidden="false" customHeight="true" outlineLevel="0" collapsed="false">
      <c r="A306" s="7" t="s">
        <v>5530</v>
      </c>
      <c r="B306" s="7" t="s">
        <v>5531</v>
      </c>
      <c r="C306" s="7" t="s">
        <v>5532</v>
      </c>
      <c r="D306" s="7" t="s">
        <v>5533</v>
      </c>
      <c r="E306" s="7" t="n">
        <v>2023</v>
      </c>
      <c r="F306" s="8" t="s">
        <v>5534</v>
      </c>
      <c r="G306" s="6" t="s">
        <v>713</v>
      </c>
      <c r="H306" s="7"/>
      <c r="I306" s="7"/>
      <c r="J306" s="7"/>
      <c r="K306" s="7"/>
      <c r="L306" s="7"/>
      <c r="M306" s="7"/>
      <c r="N306" s="7"/>
      <c r="O306" s="7"/>
      <c r="P306" s="7" t="s">
        <v>304</v>
      </c>
      <c r="Q306" s="7" t="s">
        <v>62</v>
      </c>
      <c r="R306" s="7" t="s">
        <v>5535</v>
      </c>
      <c r="S306" s="7"/>
      <c r="T306" s="7" t="s">
        <v>187</v>
      </c>
      <c r="U306" s="7"/>
      <c r="V306" s="7"/>
      <c r="W306" s="7"/>
      <c r="X306" s="7"/>
      <c r="Y306" s="7"/>
      <c r="Z306" s="7" t="s">
        <v>5536</v>
      </c>
      <c r="AA306" s="9" t="s">
        <v>5537</v>
      </c>
      <c r="AB306" s="7" t="s">
        <v>5538</v>
      </c>
      <c r="AC306" s="7" t="s">
        <v>5539</v>
      </c>
      <c r="AD306" s="7" t="s">
        <v>5540</v>
      </c>
      <c r="AE306" s="7" t="s">
        <v>5541</v>
      </c>
      <c r="AF306" s="7"/>
      <c r="AG306" s="7"/>
      <c r="AH306" s="7"/>
      <c r="AI306" s="7"/>
      <c r="AJ306" s="10"/>
      <c r="AK306" s="7"/>
      <c r="AL306" s="7" t="s">
        <v>5542</v>
      </c>
      <c r="AM306" s="7"/>
      <c r="AN306" s="7"/>
      <c r="AO306" s="7" t="s">
        <v>5543</v>
      </c>
      <c r="AP306" s="7" t="s">
        <v>5544</v>
      </c>
      <c r="AQ306" s="7" t="s">
        <v>5545</v>
      </c>
      <c r="AR306" s="7" t="s">
        <v>2201</v>
      </c>
      <c r="AS306" s="7" t="n">
        <v>195266</v>
      </c>
      <c r="AT306" s="7"/>
      <c r="AU306" s="7" t="s">
        <v>5546</v>
      </c>
      <c r="AV306" s="7"/>
      <c r="AW306" s="7"/>
      <c r="AX306" s="7" t="s">
        <v>5547</v>
      </c>
      <c r="AY306" s="7" t="s">
        <v>75</v>
      </c>
      <c r="AZ306" s="7"/>
      <c r="BA306" s="7" t="s">
        <v>76</v>
      </c>
      <c r="BB306" s="7" t="s">
        <v>5548</v>
      </c>
      <c r="BC306" s="7"/>
      <c r="BD306" s="7"/>
      <c r="BE306" s="7"/>
      <c r="BF306" s="7"/>
      <c r="BG306" s="7"/>
      <c r="BH306" s="7"/>
      <c r="BI306" s="7"/>
    </row>
    <row r="307" customFormat="false" ht="14.25" hidden="false" customHeight="true" outlineLevel="0" collapsed="false">
      <c r="A307" s="7" t="s">
        <v>5549</v>
      </c>
      <c r="B307" s="7" t="s">
        <v>5550</v>
      </c>
      <c r="C307" s="7" t="s">
        <v>5551</v>
      </c>
      <c r="D307" s="7" t="s">
        <v>5552</v>
      </c>
      <c r="E307" s="7" t="n">
        <v>2023</v>
      </c>
      <c r="F307" s="8" t="s">
        <v>5553</v>
      </c>
      <c r="G307" s="6" t="s">
        <v>1230</v>
      </c>
      <c r="H307" s="7"/>
      <c r="I307" s="7"/>
      <c r="J307" s="7"/>
      <c r="K307" s="7"/>
      <c r="L307" s="7"/>
      <c r="M307" s="7"/>
      <c r="N307" s="7"/>
      <c r="O307" s="7"/>
      <c r="P307" s="7" t="s">
        <v>304</v>
      </c>
      <c r="Q307" s="7" t="s">
        <v>62</v>
      </c>
      <c r="R307" s="7" t="s">
        <v>350</v>
      </c>
      <c r="S307" s="7" t="s">
        <v>5554</v>
      </c>
      <c r="T307" s="7" t="s">
        <v>307</v>
      </c>
      <c r="U307" s="7"/>
      <c r="V307" s="7"/>
      <c r="W307" s="7" t="n">
        <v>941</v>
      </c>
      <c r="X307" s="7" t="n">
        <v>961</v>
      </c>
      <c r="Y307" s="7" t="n">
        <v>20</v>
      </c>
      <c r="Z307" s="7" t="s">
        <v>5555</v>
      </c>
      <c r="AA307" s="9" t="s">
        <v>5556</v>
      </c>
      <c r="AB307" s="7" t="s">
        <v>5557</v>
      </c>
      <c r="AC307" s="7" t="s">
        <v>5558</v>
      </c>
      <c r="AD307" s="7" t="s">
        <v>5559</v>
      </c>
      <c r="AE307" s="7" t="s">
        <v>5560</v>
      </c>
      <c r="AF307" s="7"/>
      <c r="AG307" s="7"/>
      <c r="AH307" s="7"/>
      <c r="AI307" s="7"/>
      <c r="AJ307" s="10"/>
      <c r="AK307" s="7"/>
      <c r="AL307" s="7" t="s">
        <v>5561</v>
      </c>
      <c r="AM307" s="7" t="s">
        <v>5562</v>
      </c>
      <c r="AN307" s="7" t="s">
        <v>5563</v>
      </c>
      <c r="AO307" s="7"/>
      <c r="AP307" s="7" t="s">
        <v>5564</v>
      </c>
      <c r="AQ307" s="7" t="s">
        <v>5565</v>
      </c>
      <c r="AR307" s="7" t="s">
        <v>5566</v>
      </c>
      <c r="AS307" s="7" t="n">
        <v>295799</v>
      </c>
      <c r="AT307" s="7" t="n">
        <v>23673370</v>
      </c>
      <c r="AU307" s="7" t="s">
        <v>5567</v>
      </c>
      <c r="AV307" s="7"/>
      <c r="AW307" s="7"/>
      <c r="AX307" s="7" t="s">
        <v>365</v>
      </c>
      <c r="AY307" s="7" t="s">
        <v>75</v>
      </c>
      <c r="AZ307" s="7"/>
      <c r="BA307" s="7" t="s">
        <v>76</v>
      </c>
      <c r="BB307" s="7" t="s">
        <v>5568</v>
      </c>
      <c r="BC307" s="7"/>
      <c r="BD307" s="7"/>
      <c r="BE307" s="7"/>
      <c r="BF307" s="7"/>
      <c r="BG307" s="7"/>
      <c r="BH307" s="7"/>
      <c r="BI307" s="7"/>
    </row>
    <row r="308" customFormat="false" ht="14.25" hidden="false" customHeight="true" outlineLevel="0" collapsed="false">
      <c r="A308" s="7" t="s">
        <v>5569</v>
      </c>
      <c r="B308" s="7" t="s">
        <v>5570</v>
      </c>
      <c r="C308" s="7" t="s">
        <v>5571</v>
      </c>
      <c r="D308" s="7" t="s">
        <v>5572</v>
      </c>
      <c r="E308" s="7" t="n">
        <v>2023</v>
      </c>
      <c r="F308" s="8" t="s">
        <v>5573</v>
      </c>
      <c r="G308" s="6" t="s">
        <v>713</v>
      </c>
      <c r="H308" s="7"/>
      <c r="I308" s="7"/>
      <c r="J308" s="7"/>
      <c r="K308" s="7"/>
      <c r="L308" s="7"/>
      <c r="M308" s="7"/>
      <c r="N308" s="7"/>
      <c r="O308" s="7"/>
      <c r="P308" s="7" t="s">
        <v>304</v>
      </c>
      <c r="Q308" s="7" t="s">
        <v>62</v>
      </c>
      <c r="R308" s="7" t="s">
        <v>350</v>
      </c>
      <c r="S308" s="7" t="n">
        <v>587</v>
      </c>
      <c r="T308" s="7" t="s">
        <v>307</v>
      </c>
      <c r="U308" s="7"/>
      <c r="V308" s="7"/>
      <c r="W308" s="7" t="n">
        <v>195</v>
      </c>
      <c r="X308" s="7" t="n">
        <v>210</v>
      </c>
      <c r="Y308" s="7" t="n">
        <v>15</v>
      </c>
      <c r="Z308" s="7" t="s">
        <v>5574</v>
      </c>
      <c r="AA308" s="9" t="s">
        <v>5575</v>
      </c>
      <c r="AB308" s="7" t="s">
        <v>5576</v>
      </c>
      <c r="AC308" s="7" t="s">
        <v>5577</v>
      </c>
      <c r="AD308" s="7" t="s">
        <v>5578</v>
      </c>
      <c r="AE308" s="7" t="s">
        <v>5579</v>
      </c>
      <c r="AF308" s="7"/>
      <c r="AG308" s="7"/>
      <c r="AH308" s="7"/>
      <c r="AI308" s="7"/>
      <c r="AJ308" s="10"/>
      <c r="AK308" s="7"/>
      <c r="AL308" s="7" t="s">
        <v>5580</v>
      </c>
      <c r="AM308" s="7" t="s">
        <v>5581</v>
      </c>
      <c r="AN308" s="7" t="s">
        <v>5582</v>
      </c>
      <c r="AO308" s="7"/>
      <c r="AP308" s="7" t="s">
        <v>5583</v>
      </c>
      <c r="AQ308" s="7" t="s">
        <v>5584</v>
      </c>
      <c r="AR308" s="7" t="s">
        <v>2721</v>
      </c>
      <c r="AS308" s="7" t="n">
        <v>290689</v>
      </c>
      <c r="AT308" s="7" t="n">
        <v>23673370</v>
      </c>
      <c r="AU308" s="7" t="s">
        <v>5585</v>
      </c>
      <c r="AV308" s="7"/>
      <c r="AW308" s="7"/>
      <c r="AX308" s="7" t="s">
        <v>365</v>
      </c>
      <c r="AY308" s="7" t="s">
        <v>75</v>
      </c>
      <c r="AZ308" s="7"/>
      <c r="BA308" s="7" t="s">
        <v>76</v>
      </c>
      <c r="BB308" s="7" t="s">
        <v>5586</v>
      </c>
      <c r="BC308" s="7"/>
      <c r="BD308" s="7"/>
      <c r="BE308" s="7"/>
      <c r="BF308" s="7"/>
      <c r="BG308" s="7"/>
      <c r="BH308" s="7"/>
      <c r="BI308" s="7"/>
    </row>
    <row r="309" customFormat="false" ht="14.25" hidden="false" customHeight="true" outlineLevel="0" collapsed="false">
      <c r="A309" s="7" t="s">
        <v>5587</v>
      </c>
      <c r="B309" s="7" t="s">
        <v>5588</v>
      </c>
      <c r="C309" s="7" t="s">
        <v>5589</v>
      </c>
      <c r="D309" s="7" t="s">
        <v>5590</v>
      </c>
      <c r="E309" s="7" t="n">
        <v>2023</v>
      </c>
      <c r="F309" s="8" t="s">
        <v>5591</v>
      </c>
      <c r="G309" s="6" t="s">
        <v>713</v>
      </c>
      <c r="H309" s="7"/>
      <c r="I309" s="7"/>
      <c r="J309" s="7"/>
      <c r="K309" s="7"/>
      <c r="L309" s="7"/>
      <c r="M309" s="7"/>
      <c r="N309" s="7"/>
      <c r="O309" s="7"/>
      <c r="P309" s="7" t="s">
        <v>304</v>
      </c>
      <c r="Q309" s="7" t="s">
        <v>62</v>
      </c>
      <c r="R309" s="7" t="s">
        <v>5592</v>
      </c>
      <c r="S309" s="7"/>
      <c r="T309" s="7" t="s">
        <v>187</v>
      </c>
      <c r="U309" s="7"/>
      <c r="V309" s="7"/>
      <c r="W309" s="7" t="n">
        <v>988</v>
      </c>
      <c r="X309" s="7" t="n">
        <v>999</v>
      </c>
      <c r="Y309" s="7" t="n">
        <v>11</v>
      </c>
      <c r="Z309" s="7" t="s">
        <v>5593</v>
      </c>
      <c r="AA309" s="9" t="s">
        <v>5594</v>
      </c>
      <c r="AB309" s="7" t="s">
        <v>5595</v>
      </c>
      <c r="AC309" s="7" t="s">
        <v>5596</v>
      </c>
      <c r="AD309" s="7" t="s">
        <v>5597</v>
      </c>
      <c r="AE309" s="7" t="s">
        <v>5598</v>
      </c>
      <c r="AF309" s="7"/>
      <c r="AG309" s="7"/>
      <c r="AH309" s="7"/>
      <c r="AI309" s="7"/>
      <c r="AJ309" s="10"/>
      <c r="AK309" s="7"/>
      <c r="AL309" s="7" t="s">
        <v>5599</v>
      </c>
      <c r="AM309" s="7"/>
      <c r="AN309" s="7"/>
      <c r="AO309" s="7"/>
      <c r="AP309" s="7" t="s">
        <v>5600</v>
      </c>
      <c r="AQ309" s="7" t="s">
        <v>5601</v>
      </c>
      <c r="AR309" s="7" t="s">
        <v>2721</v>
      </c>
      <c r="AS309" s="7" t="n">
        <v>189117</v>
      </c>
      <c r="AT309" s="7"/>
      <c r="AU309" s="7" t="s">
        <v>5602</v>
      </c>
      <c r="AV309" s="7"/>
      <c r="AW309" s="7"/>
      <c r="AX309" s="7" t="s">
        <v>5603</v>
      </c>
      <c r="AY309" s="7" t="s">
        <v>75</v>
      </c>
      <c r="AZ309" s="7"/>
      <c r="BA309" s="7" t="s">
        <v>76</v>
      </c>
      <c r="BB309" s="7" t="s">
        <v>5604</v>
      </c>
      <c r="BC309" s="7"/>
      <c r="BD309" s="7"/>
      <c r="BE309" s="7"/>
      <c r="BF309" s="7"/>
      <c r="BG309" s="7"/>
      <c r="BH309" s="7"/>
      <c r="BI309" s="7"/>
    </row>
    <row r="310" customFormat="false" ht="14.25" hidden="false" customHeight="true" outlineLevel="0" collapsed="false">
      <c r="A310" s="7" t="s">
        <v>5605</v>
      </c>
      <c r="B310" s="7" t="s">
        <v>5606</v>
      </c>
      <c r="C310" s="7" t="s">
        <v>5607</v>
      </c>
      <c r="D310" s="7" t="s">
        <v>5608</v>
      </c>
      <c r="E310" s="7" t="n">
        <v>2023</v>
      </c>
      <c r="F310" s="8" t="s">
        <v>5609</v>
      </c>
      <c r="G310" s="6" t="s">
        <v>713</v>
      </c>
      <c r="H310" s="7"/>
      <c r="I310" s="7"/>
      <c r="J310" s="7"/>
      <c r="K310" s="7"/>
      <c r="L310" s="7"/>
      <c r="M310" s="7"/>
      <c r="N310" s="7"/>
      <c r="O310" s="7"/>
      <c r="P310" s="7" t="s">
        <v>304</v>
      </c>
      <c r="Q310" s="7" t="s">
        <v>62</v>
      </c>
      <c r="R310" s="7" t="s">
        <v>5610</v>
      </c>
      <c r="S310" s="7"/>
      <c r="T310" s="7" t="s">
        <v>187</v>
      </c>
      <c r="U310" s="7"/>
      <c r="V310" s="7"/>
      <c r="W310" s="7"/>
      <c r="X310" s="7"/>
      <c r="Y310" s="7"/>
      <c r="Z310" s="7" t="s">
        <v>5611</v>
      </c>
      <c r="AA310" s="9" t="s">
        <v>5612</v>
      </c>
      <c r="AB310" s="7" t="s">
        <v>5613</v>
      </c>
      <c r="AC310" s="7" t="s">
        <v>5614</v>
      </c>
      <c r="AD310" s="7" t="s">
        <v>5615</v>
      </c>
      <c r="AE310" s="7" t="s">
        <v>5616</v>
      </c>
      <c r="AF310" s="7"/>
      <c r="AG310" s="7"/>
      <c r="AH310" s="7"/>
      <c r="AI310" s="7"/>
      <c r="AJ310" s="10"/>
      <c r="AK310" s="7"/>
      <c r="AL310" s="7" t="s">
        <v>5617</v>
      </c>
      <c r="AM310" s="7"/>
      <c r="AN310" s="7" t="s">
        <v>5618</v>
      </c>
      <c r="AO310" s="7"/>
      <c r="AP310" s="7" t="s">
        <v>5619</v>
      </c>
      <c r="AQ310" s="7" t="s">
        <v>5620</v>
      </c>
      <c r="AR310" s="7" t="s">
        <v>2416</v>
      </c>
      <c r="AS310" s="7" t="n">
        <v>198912</v>
      </c>
      <c r="AT310" s="7"/>
      <c r="AU310" s="7" t="s">
        <v>5621</v>
      </c>
      <c r="AV310" s="7"/>
      <c r="AW310" s="7"/>
      <c r="AX310" s="7" t="s">
        <v>5622</v>
      </c>
      <c r="AY310" s="7" t="s">
        <v>75</v>
      </c>
      <c r="AZ310" s="7"/>
      <c r="BA310" s="7" t="s">
        <v>76</v>
      </c>
      <c r="BB310" s="7" t="s">
        <v>5623</v>
      </c>
      <c r="BC310" s="7"/>
      <c r="BD310" s="7"/>
      <c r="BE310" s="7"/>
      <c r="BF310" s="7"/>
      <c r="BG310" s="7"/>
      <c r="BH310" s="7"/>
      <c r="BI310" s="7"/>
    </row>
    <row r="311" customFormat="false" ht="14.25" hidden="false" customHeight="true" outlineLevel="0" collapsed="false">
      <c r="A311" s="7" t="s">
        <v>5624</v>
      </c>
      <c r="B311" s="7" t="s">
        <v>5625</v>
      </c>
      <c r="C311" s="7" t="n">
        <v>26632954500</v>
      </c>
      <c r="D311" s="7" t="s">
        <v>5626</v>
      </c>
      <c r="E311" s="7" t="n">
        <v>2023</v>
      </c>
      <c r="F311" s="8" t="s">
        <v>5627</v>
      </c>
      <c r="G311" s="6" t="s">
        <v>713</v>
      </c>
      <c r="H311" s="7"/>
      <c r="I311" s="7"/>
      <c r="J311" s="7"/>
      <c r="K311" s="7"/>
      <c r="L311" s="7"/>
      <c r="M311" s="7"/>
      <c r="N311" s="7"/>
      <c r="O311" s="7"/>
      <c r="P311" s="7" t="s">
        <v>304</v>
      </c>
      <c r="Q311" s="7" t="s">
        <v>62</v>
      </c>
      <c r="R311" s="7" t="s">
        <v>5628</v>
      </c>
      <c r="S311" s="7"/>
      <c r="T311" s="7" t="s">
        <v>187</v>
      </c>
      <c r="U311" s="7"/>
      <c r="V311" s="7"/>
      <c r="W311" s="7" t="n">
        <v>150</v>
      </c>
      <c r="X311" s="7" t="n">
        <v>154</v>
      </c>
      <c r="Y311" s="7" t="n">
        <v>4</v>
      </c>
      <c r="Z311" s="7" t="s">
        <v>5629</v>
      </c>
      <c r="AA311" s="9" t="s">
        <v>5630</v>
      </c>
      <c r="AB311" s="7" t="s">
        <v>5631</v>
      </c>
      <c r="AC311" s="7" t="s">
        <v>5632</v>
      </c>
      <c r="AD311" s="7" t="s">
        <v>5633</v>
      </c>
      <c r="AE311" s="7" t="s">
        <v>5634</v>
      </c>
      <c r="AF311" s="7"/>
      <c r="AG311" s="7"/>
      <c r="AH311" s="7"/>
      <c r="AI311" s="7"/>
      <c r="AJ311" s="10"/>
      <c r="AK311" s="7"/>
      <c r="AL311" s="7" t="s">
        <v>5635</v>
      </c>
      <c r="AM311" s="7" t="s">
        <v>5636</v>
      </c>
      <c r="AN311" s="7" t="s">
        <v>5637</v>
      </c>
      <c r="AO311" s="7"/>
      <c r="AP311" s="7" t="s">
        <v>5638</v>
      </c>
      <c r="AQ311" s="7" t="s">
        <v>5639</v>
      </c>
      <c r="AR311" s="7" t="s">
        <v>5640</v>
      </c>
      <c r="AS311" s="7" t="n">
        <v>198236</v>
      </c>
      <c r="AT311" s="7"/>
      <c r="AU311" s="7" t="s">
        <v>5641</v>
      </c>
      <c r="AV311" s="7"/>
      <c r="AW311" s="7"/>
      <c r="AX311" s="7" t="s">
        <v>5642</v>
      </c>
      <c r="AY311" s="7" t="s">
        <v>75</v>
      </c>
      <c r="AZ311" s="7"/>
      <c r="BA311" s="7" t="s">
        <v>76</v>
      </c>
      <c r="BB311" s="7" t="s">
        <v>5643</v>
      </c>
      <c r="BC311" s="7"/>
      <c r="BD311" s="7"/>
      <c r="BE311" s="7"/>
      <c r="BF311" s="7"/>
      <c r="BG311" s="7"/>
      <c r="BH311" s="7"/>
      <c r="BI311" s="7"/>
    </row>
    <row r="312" customFormat="false" ht="14.25" hidden="false" customHeight="true" outlineLevel="0" collapsed="false">
      <c r="A312" s="7" t="s">
        <v>5644</v>
      </c>
      <c r="B312" s="7" t="s">
        <v>5645</v>
      </c>
      <c r="C312" s="7" t="s">
        <v>5646</v>
      </c>
      <c r="D312" s="7" t="s">
        <v>5647</v>
      </c>
      <c r="E312" s="7" t="n">
        <v>2023</v>
      </c>
      <c r="F312" s="8" t="s">
        <v>5648</v>
      </c>
      <c r="G312" s="6" t="s">
        <v>713</v>
      </c>
      <c r="H312" s="7"/>
      <c r="I312" s="7"/>
      <c r="J312" s="7"/>
      <c r="K312" s="7"/>
      <c r="L312" s="7"/>
      <c r="M312" s="7"/>
      <c r="N312" s="7"/>
      <c r="O312" s="7"/>
      <c r="P312" s="7" t="s">
        <v>304</v>
      </c>
      <c r="Q312" s="7" t="s">
        <v>62</v>
      </c>
      <c r="R312" s="7" t="s">
        <v>5649</v>
      </c>
      <c r="S312" s="7"/>
      <c r="T312" s="7" t="s">
        <v>187</v>
      </c>
      <c r="U312" s="7"/>
      <c r="V312" s="7"/>
      <c r="W312" s="7" t="n">
        <v>145</v>
      </c>
      <c r="X312" s="7" t="n">
        <v>150</v>
      </c>
      <c r="Y312" s="7" t="n">
        <v>5</v>
      </c>
      <c r="Z312" s="7" t="s">
        <v>5650</v>
      </c>
      <c r="AA312" s="9" t="s">
        <v>5651</v>
      </c>
      <c r="AB312" s="7" t="s">
        <v>5652</v>
      </c>
      <c r="AC312" s="7" t="s">
        <v>5653</v>
      </c>
      <c r="AD312" s="7" t="s">
        <v>5654</v>
      </c>
      <c r="AE312" s="7" t="s">
        <v>5655</v>
      </c>
      <c r="AF312" s="7"/>
      <c r="AG312" s="7"/>
      <c r="AH312" s="7"/>
      <c r="AI312" s="7"/>
      <c r="AJ312" s="10"/>
      <c r="AK312" s="7"/>
      <c r="AL312" s="7" t="s">
        <v>5656</v>
      </c>
      <c r="AM312" s="7"/>
      <c r="AN312" s="7"/>
      <c r="AO312" s="7"/>
      <c r="AP312" s="7" t="s">
        <v>5657</v>
      </c>
      <c r="AQ312" s="7" t="s">
        <v>5658</v>
      </c>
      <c r="AR312" s="7" t="s">
        <v>2604</v>
      </c>
      <c r="AS312" s="7" t="n">
        <v>195071</v>
      </c>
      <c r="AT312" s="7"/>
      <c r="AU312" s="7" t="s">
        <v>5659</v>
      </c>
      <c r="AV312" s="7"/>
      <c r="AW312" s="7"/>
      <c r="AX312" s="7" t="s">
        <v>2606</v>
      </c>
      <c r="AY312" s="7" t="s">
        <v>75</v>
      </c>
      <c r="AZ312" s="7"/>
      <c r="BA312" s="7" t="s">
        <v>76</v>
      </c>
      <c r="BB312" s="7" t="s">
        <v>5660</v>
      </c>
      <c r="BC312" s="7"/>
      <c r="BD312" s="7"/>
      <c r="BE312" s="7"/>
      <c r="BF312" s="7"/>
      <c r="BG312" s="7"/>
      <c r="BH312" s="7"/>
      <c r="BI312" s="7"/>
    </row>
    <row r="313" customFormat="false" ht="14.25" hidden="false" customHeight="true" outlineLevel="0" collapsed="false">
      <c r="A313" s="7" t="s">
        <v>5661</v>
      </c>
      <c r="B313" s="7" t="s">
        <v>5662</v>
      </c>
      <c r="C313" s="7" t="s">
        <v>5663</v>
      </c>
      <c r="D313" s="7" t="s">
        <v>5664</v>
      </c>
      <c r="E313" s="7" t="n">
        <v>2023</v>
      </c>
      <c r="F313" s="8" t="s">
        <v>5665</v>
      </c>
      <c r="G313" s="6" t="s">
        <v>713</v>
      </c>
      <c r="H313" s="7"/>
      <c r="I313" s="7"/>
      <c r="J313" s="7"/>
      <c r="K313" s="7"/>
      <c r="L313" s="7"/>
      <c r="M313" s="7"/>
      <c r="N313" s="7"/>
      <c r="O313" s="7"/>
      <c r="P313" s="7" t="s">
        <v>304</v>
      </c>
      <c r="Q313" s="7" t="s">
        <v>62</v>
      </c>
      <c r="R313" s="7" t="s">
        <v>2751</v>
      </c>
      <c r="S313" s="7" t="s">
        <v>5666</v>
      </c>
      <c r="T313" s="7" t="s">
        <v>307</v>
      </c>
      <c r="U313" s="7"/>
      <c r="V313" s="7"/>
      <c r="W313" s="7" t="n">
        <v>297</v>
      </c>
      <c r="X313" s="7" t="n">
        <v>308</v>
      </c>
      <c r="Y313" s="7" t="n">
        <v>11</v>
      </c>
      <c r="Z313" s="7" t="s">
        <v>5667</v>
      </c>
      <c r="AA313" s="9" t="s">
        <v>5668</v>
      </c>
      <c r="AB313" s="7" t="s">
        <v>5669</v>
      </c>
      <c r="AC313" s="7" t="s">
        <v>5670</v>
      </c>
      <c r="AD313" s="7" t="s">
        <v>5671</v>
      </c>
      <c r="AE313" s="7" t="s">
        <v>5672</v>
      </c>
      <c r="AF313" s="7"/>
      <c r="AG313" s="7"/>
      <c r="AH313" s="7"/>
      <c r="AI313" s="7"/>
      <c r="AJ313" s="10"/>
      <c r="AK313" s="7"/>
      <c r="AL313" s="7" t="s">
        <v>5673</v>
      </c>
      <c r="AM313" s="7" t="s">
        <v>5674</v>
      </c>
      <c r="AN313" s="7" t="s">
        <v>5675</v>
      </c>
      <c r="AO313" s="7"/>
      <c r="AP313" s="7" t="s">
        <v>5676</v>
      </c>
      <c r="AQ313" s="7" t="s">
        <v>3133</v>
      </c>
      <c r="AR313" s="7" t="s">
        <v>5677</v>
      </c>
      <c r="AS313" s="7" t="n">
        <v>296989</v>
      </c>
      <c r="AT313" s="7" t="n">
        <v>3029743</v>
      </c>
      <c r="AU313" s="7" t="s">
        <v>5678</v>
      </c>
      <c r="AV313" s="7"/>
      <c r="AW313" s="7"/>
      <c r="AX313" s="7" t="s">
        <v>2766</v>
      </c>
      <c r="AY313" s="7" t="s">
        <v>75</v>
      </c>
      <c r="AZ313" s="7"/>
      <c r="BA313" s="7" t="s">
        <v>76</v>
      </c>
      <c r="BB313" s="7" t="s">
        <v>5679</v>
      </c>
      <c r="BC313" s="7"/>
      <c r="BD313" s="7"/>
      <c r="BE313" s="7"/>
      <c r="BF313" s="7"/>
      <c r="BG313" s="7"/>
      <c r="BH313" s="7"/>
      <c r="BI313" s="7"/>
    </row>
    <row r="314" customFormat="false" ht="14.25" hidden="false" customHeight="true" outlineLevel="0" collapsed="false">
      <c r="A314" s="7" t="s">
        <v>5680</v>
      </c>
      <c r="B314" s="7" t="s">
        <v>5681</v>
      </c>
      <c r="C314" s="7" t="s">
        <v>5682</v>
      </c>
      <c r="D314" s="7" t="s">
        <v>5683</v>
      </c>
      <c r="E314" s="7" t="n">
        <v>2023</v>
      </c>
      <c r="F314" s="8" t="s">
        <v>5684</v>
      </c>
      <c r="G314" s="6" t="s">
        <v>713</v>
      </c>
      <c r="H314" s="7"/>
      <c r="I314" s="7"/>
      <c r="J314" s="7"/>
      <c r="K314" s="7"/>
      <c r="L314" s="7"/>
      <c r="M314" s="7"/>
      <c r="N314" s="7"/>
      <c r="O314" s="7"/>
      <c r="P314" s="7" t="s">
        <v>304</v>
      </c>
      <c r="Q314" s="7" t="s">
        <v>62</v>
      </c>
      <c r="R314" s="7" t="s">
        <v>5361</v>
      </c>
      <c r="S314" s="7"/>
      <c r="T314" s="7" t="s">
        <v>187</v>
      </c>
      <c r="U314" s="7"/>
      <c r="V314" s="7"/>
      <c r="W314" s="7" t="n">
        <v>239</v>
      </c>
      <c r="X314" s="7" t="n">
        <v>244</v>
      </c>
      <c r="Y314" s="7" t="n">
        <v>5</v>
      </c>
      <c r="Z314" s="7" t="s">
        <v>5685</v>
      </c>
      <c r="AA314" s="9" t="s">
        <v>5686</v>
      </c>
      <c r="AB314" s="7" t="s">
        <v>5687</v>
      </c>
      <c r="AC314" s="7" t="s">
        <v>5688</v>
      </c>
      <c r="AD314" s="7" t="s">
        <v>5689</v>
      </c>
      <c r="AE314" s="7" t="s">
        <v>5690</v>
      </c>
      <c r="AF314" s="7"/>
      <c r="AG314" s="7"/>
      <c r="AH314" s="7"/>
      <c r="AI314" s="7"/>
      <c r="AJ314" s="10"/>
      <c r="AK314" s="7"/>
      <c r="AL314" s="7" t="s">
        <v>5691</v>
      </c>
      <c r="AM314" s="7" t="s">
        <v>5692</v>
      </c>
      <c r="AN314" s="7"/>
      <c r="AO314" s="7"/>
      <c r="AP314" s="7" t="s">
        <v>5370</v>
      </c>
      <c r="AQ314" s="7" t="s">
        <v>5371</v>
      </c>
      <c r="AR314" s="7" t="s">
        <v>5372</v>
      </c>
      <c r="AS314" s="7" t="n">
        <v>195117</v>
      </c>
      <c r="AT314" s="7"/>
      <c r="AU314" s="7" t="s">
        <v>5373</v>
      </c>
      <c r="AV314" s="7"/>
      <c r="AW314" s="7"/>
      <c r="AX314" s="7" t="s">
        <v>5374</v>
      </c>
      <c r="AY314" s="7" t="s">
        <v>75</v>
      </c>
      <c r="AZ314" s="7"/>
      <c r="BA314" s="7" t="s">
        <v>76</v>
      </c>
      <c r="BB314" s="7" t="s">
        <v>5693</v>
      </c>
      <c r="BC314" s="7"/>
      <c r="BD314" s="7"/>
      <c r="BE314" s="7"/>
      <c r="BF314" s="7"/>
      <c r="BG314" s="7"/>
      <c r="BH314" s="7"/>
      <c r="BI314" s="7"/>
    </row>
    <row r="315" customFormat="false" ht="14.25" hidden="false" customHeight="true" outlineLevel="0" collapsed="false">
      <c r="A315" s="7" t="s">
        <v>5694</v>
      </c>
      <c r="B315" s="7" t="s">
        <v>5695</v>
      </c>
      <c r="C315" s="7" t="s">
        <v>5696</v>
      </c>
      <c r="D315" s="7" t="s">
        <v>5697</v>
      </c>
      <c r="E315" s="7" t="n">
        <v>2023</v>
      </c>
      <c r="F315" s="8" t="s">
        <v>5698</v>
      </c>
      <c r="G315" s="6" t="s">
        <v>713</v>
      </c>
      <c r="H315" s="7"/>
      <c r="I315" s="7"/>
      <c r="J315" s="7"/>
      <c r="K315" s="7"/>
      <c r="L315" s="7"/>
      <c r="M315" s="7"/>
      <c r="N315" s="7"/>
      <c r="O315" s="7"/>
      <c r="P315" s="7" t="s">
        <v>304</v>
      </c>
      <c r="Q315" s="7" t="s">
        <v>62</v>
      </c>
      <c r="R315" s="7" t="s">
        <v>5699</v>
      </c>
      <c r="S315" s="7"/>
      <c r="T315" s="7" t="s">
        <v>187</v>
      </c>
      <c r="U315" s="7"/>
      <c r="V315" s="7"/>
      <c r="W315" s="7" t="n">
        <v>1120</v>
      </c>
      <c r="X315" s="7" t="n">
        <v>1127</v>
      </c>
      <c r="Y315" s="7" t="n">
        <v>7</v>
      </c>
      <c r="Z315" s="7" t="s">
        <v>5700</v>
      </c>
      <c r="AA315" s="9" t="s">
        <v>5701</v>
      </c>
      <c r="AB315" s="7" t="s">
        <v>5702</v>
      </c>
      <c r="AC315" s="7" t="s">
        <v>5703</v>
      </c>
      <c r="AD315" s="7" t="s">
        <v>5704</v>
      </c>
      <c r="AE315" s="7" t="s">
        <v>5705</v>
      </c>
      <c r="AF315" s="7"/>
      <c r="AG315" s="7"/>
      <c r="AH315" s="7"/>
      <c r="AI315" s="7"/>
      <c r="AJ315" s="10"/>
      <c r="AK315" s="7"/>
      <c r="AL315" s="7" t="s">
        <v>5706</v>
      </c>
      <c r="AM315" s="7" t="s">
        <v>5707</v>
      </c>
      <c r="AN315" s="7"/>
      <c r="AO315" s="7"/>
      <c r="AP315" s="7" t="s">
        <v>5708</v>
      </c>
      <c r="AQ315" s="7" t="s">
        <v>5352</v>
      </c>
      <c r="AR315" s="7" t="s">
        <v>2584</v>
      </c>
      <c r="AS315" s="7" t="n">
        <v>191290</v>
      </c>
      <c r="AT315" s="7"/>
      <c r="AU315" s="7" t="s">
        <v>5709</v>
      </c>
      <c r="AV315" s="7"/>
      <c r="AW315" s="7"/>
      <c r="AX315" s="7" t="s">
        <v>5710</v>
      </c>
      <c r="AY315" s="7" t="s">
        <v>75</v>
      </c>
      <c r="AZ315" s="7"/>
      <c r="BA315" s="7" t="s">
        <v>76</v>
      </c>
      <c r="BB315" s="7" t="s">
        <v>5711</v>
      </c>
      <c r="BC315" s="7"/>
      <c r="BD315" s="7"/>
      <c r="BE315" s="7"/>
      <c r="BF315" s="7"/>
      <c r="BG315" s="7"/>
      <c r="BH315" s="7"/>
      <c r="BI315" s="7"/>
    </row>
    <row r="316" customFormat="false" ht="14.25" hidden="false" customHeight="true" outlineLevel="0" collapsed="false">
      <c r="A316" s="7" t="s">
        <v>5712</v>
      </c>
      <c r="B316" s="7" t="s">
        <v>5713</v>
      </c>
      <c r="C316" s="7" t="s">
        <v>5714</v>
      </c>
      <c r="D316" s="7" t="s">
        <v>5715</v>
      </c>
      <c r="E316" s="7" t="n">
        <v>2023</v>
      </c>
      <c r="F316" s="8" t="s">
        <v>5716</v>
      </c>
      <c r="G316" s="6" t="s">
        <v>149</v>
      </c>
      <c r="H316" s="7"/>
      <c r="I316" s="7"/>
      <c r="J316" s="7"/>
      <c r="K316" s="7"/>
      <c r="L316" s="7"/>
      <c r="M316" s="7"/>
      <c r="N316" s="7"/>
      <c r="O316" s="7"/>
      <c r="P316" s="7" t="s">
        <v>304</v>
      </c>
      <c r="Q316" s="7" t="s">
        <v>62</v>
      </c>
      <c r="R316" s="7" t="s">
        <v>5717</v>
      </c>
      <c r="S316" s="7"/>
      <c r="T316" s="7" t="s">
        <v>2677</v>
      </c>
      <c r="U316" s="7"/>
      <c r="V316" s="7"/>
      <c r="W316" s="7"/>
      <c r="X316" s="7"/>
      <c r="Y316" s="7"/>
      <c r="Z316" s="7" t="s">
        <v>5718</v>
      </c>
      <c r="AA316" s="9" t="s">
        <v>5719</v>
      </c>
      <c r="AB316" s="7" t="s">
        <v>5720</v>
      </c>
      <c r="AC316" s="7" t="s">
        <v>5721</v>
      </c>
      <c r="AD316" s="7"/>
      <c r="AE316" s="7" t="s">
        <v>5722</v>
      </c>
      <c r="AF316" s="7"/>
      <c r="AG316" s="7"/>
      <c r="AH316" s="7"/>
      <c r="AI316" s="7"/>
      <c r="AJ316" s="10"/>
      <c r="AK316" s="7"/>
      <c r="AL316" s="7" t="s">
        <v>5723</v>
      </c>
      <c r="AM316" s="7" t="s">
        <v>5724</v>
      </c>
      <c r="AN316" s="7"/>
      <c r="AO316" s="7"/>
      <c r="AP316" s="7" t="s">
        <v>5725</v>
      </c>
      <c r="AQ316" s="7" t="s">
        <v>5726</v>
      </c>
      <c r="AR316" s="7" t="s">
        <v>5727</v>
      </c>
      <c r="AS316" s="7" t="n">
        <v>195895</v>
      </c>
      <c r="AT316" s="7" t="n">
        <v>23258861</v>
      </c>
      <c r="AU316" s="7" t="s">
        <v>5728</v>
      </c>
      <c r="AV316" s="7"/>
      <c r="AW316" s="7"/>
      <c r="AX316" s="7" t="s">
        <v>5729</v>
      </c>
      <c r="AY316" s="7" t="s">
        <v>75</v>
      </c>
      <c r="AZ316" s="7"/>
      <c r="BA316" s="7" t="s">
        <v>76</v>
      </c>
      <c r="BB316" s="7" t="s">
        <v>5730</v>
      </c>
      <c r="BC316" s="7"/>
      <c r="BD316" s="7"/>
      <c r="BE316" s="7"/>
      <c r="BF316" s="7"/>
      <c r="BG316" s="7"/>
      <c r="BH316" s="7"/>
      <c r="BI316" s="7"/>
    </row>
    <row r="317" customFormat="false" ht="14.25" hidden="false" customHeight="true" outlineLevel="0" collapsed="false">
      <c r="A317" s="7" t="s">
        <v>5731</v>
      </c>
      <c r="B317" s="7" t="s">
        <v>5732</v>
      </c>
      <c r="C317" s="7" t="s">
        <v>5733</v>
      </c>
      <c r="D317" s="7" t="s">
        <v>5734</v>
      </c>
      <c r="E317" s="7" t="n">
        <v>2023</v>
      </c>
      <c r="F317" s="8" t="s">
        <v>5735</v>
      </c>
      <c r="G317" s="6" t="s">
        <v>713</v>
      </c>
      <c r="H317" s="7"/>
      <c r="I317" s="7"/>
      <c r="J317" s="7"/>
      <c r="K317" s="7"/>
      <c r="L317" s="7"/>
      <c r="M317" s="7"/>
      <c r="N317" s="7"/>
      <c r="O317" s="7"/>
      <c r="P317" s="7" t="s">
        <v>304</v>
      </c>
      <c r="Q317" s="7" t="s">
        <v>62</v>
      </c>
      <c r="R317" s="7" t="s">
        <v>5736</v>
      </c>
      <c r="S317" s="7"/>
      <c r="T317" s="7" t="s">
        <v>187</v>
      </c>
      <c r="U317" s="7"/>
      <c r="V317" s="7"/>
      <c r="W317" s="7" t="n">
        <v>219</v>
      </c>
      <c r="X317" s="7" t="n">
        <v>223</v>
      </c>
      <c r="Y317" s="7" t="n">
        <v>4</v>
      </c>
      <c r="Z317" s="7" t="s">
        <v>5737</v>
      </c>
      <c r="AA317" s="9" t="s">
        <v>5738</v>
      </c>
      <c r="AB317" s="7" t="s">
        <v>5739</v>
      </c>
      <c r="AC317" s="7" t="s">
        <v>5740</v>
      </c>
      <c r="AD317" s="7" t="s">
        <v>5741</v>
      </c>
      <c r="AE317" s="7" t="s">
        <v>5742</v>
      </c>
      <c r="AF317" s="7"/>
      <c r="AG317" s="7"/>
      <c r="AH317" s="7"/>
      <c r="AI317" s="7"/>
      <c r="AJ317" s="10" t="s">
        <v>5743</v>
      </c>
      <c r="AK317" s="7" t="s">
        <v>5744</v>
      </c>
      <c r="AL317" s="7" t="s">
        <v>5745</v>
      </c>
      <c r="AM317" s="7" t="s">
        <v>5746</v>
      </c>
      <c r="AN317" s="7"/>
      <c r="AO317" s="7"/>
      <c r="AP317" s="7" t="s">
        <v>5747</v>
      </c>
      <c r="AQ317" s="7" t="s">
        <v>5748</v>
      </c>
      <c r="AR317" s="7" t="s">
        <v>5337</v>
      </c>
      <c r="AS317" s="7" t="n">
        <v>193550</v>
      </c>
      <c r="AT317" s="7"/>
      <c r="AU317" s="7" t="s">
        <v>5749</v>
      </c>
      <c r="AV317" s="7"/>
      <c r="AW317" s="7"/>
      <c r="AX317" s="7" t="s">
        <v>5750</v>
      </c>
      <c r="AY317" s="7" t="s">
        <v>75</v>
      </c>
      <c r="AZ317" s="7"/>
      <c r="BA317" s="7" t="s">
        <v>76</v>
      </c>
      <c r="BB317" s="7" t="s">
        <v>5751</v>
      </c>
      <c r="BC317" s="7"/>
      <c r="BD317" s="7"/>
      <c r="BE317" s="7"/>
      <c r="BF317" s="7"/>
      <c r="BG317" s="7"/>
      <c r="BH317" s="7"/>
      <c r="BI317" s="7"/>
    </row>
    <row r="318" customFormat="false" ht="14.25" hidden="false" customHeight="true" outlineLevel="0" collapsed="false">
      <c r="A318" s="7" t="s">
        <v>5752</v>
      </c>
      <c r="B318" s="7" t="s">
        <v>5753</v>
      </c>
      <c r="C318" s="7" t="s">
        <v>5754</v>
      </c>
      <c r="D318" s="7" t="s">
        <v>5755</v>
      </c>
      <c r="E318" s="7" t="n">
        <v>2023</v>
      </c>
      <c r="F318" s="8" t="s">
        <v>5756</v>
      </c>
      <c r="G318" s="6" t="s">
        <v>713</v>
      </c>
      <c r="H318" s="7"/>
      <c r="I318" s="7"/>
      <c r="J318" s="7"/>
      <c r="K318" s="7"/>
      <c r="L318" s="7"/>
      <c r="M318" s="7"/>
      <c r="N318" s="7"/>
      <c r="O318" s="7"/>
      <c r="P318" s="7" t="s">
        <v>304</v>
      </c>
      <c r="Q318" s="7" t="s">
        <v>62</v>
      </c>
      <c r="R318" s="7" t="s">
        <v>5757</v>
      </c>
      <c r="S318" s="7" t="n">
        <v>2622</v>
      </c>
      <c r="T318" s="7" t="s">
        <v>5758</v>
      </c>
      <c r="U318" s="7" t="n">
        <v>1</v>
      </c>
      <c r="V318" s="7" t="n">
        <v>12011</v>
      </c>
      <c r="W318" s="7"/>
      <c r="X318" s="7"/>
      <c r="Y318" s="7"/>
      <c r="Z318" s="7" t="s">
        <v>5759</v>
      </c>
      <c r="AA318" s="9" t="s">
        <v>5760</v>
      </c>
      <c r="AB318" s="7" t="s">
        <v>5761</v>
      </c>
      <c r="AC318" s="7" t="s">
        <v>5762</v>
      </c>
      <c r="AD318" s="7" t="s">
        <v>5763</v>
      </c>
      <c r="AE318" s="7" t="s">
        <v>5764</v>
      </c>
      <c r="AF318" s="7"/>
      <c r="AG318" s="7"/>
      <c r="AH318" s="7"/>
      <c r="AI318" s="7"/>
      <c r="AJ318" s="10" t="s">
        <v>5765</v>
      </c>
      <c r="AK318" s="7" t="s">
        <v>5766</v>
      </c>
      <c r="AL318" s="7" t="s">
        <v>5767</v>
      </c>
      <c r="AM318" s="7" t="s">
        <v>5768</v>
      </c>
      <c r="AN318" s="7"/>
      <c r="AO318" s="7"/>
      <c r="AP318" s="7" t="s">
        <v>5769</v>
      </c>
      <c r="AQ318" s="7" t="s">
        <v>5770</v>
      </c>
      <c r="AR318" s="7" t="s">
        <v>5337</v>
      </c>
      <c r="AS318" s="7" t="n">
        <v>196016</v>
      </c>
      <c r="AT318" s="7" t="n">
        <v>17426588</v>
      </c>
      <c r="AU318" s="7"/>
      <c r="AV318" s="7"/>
      <c r="AW318" s="7"/>
      <c r="AX318" s="7" t="s">
        <v>5771</v>
      </c>
      <c r="AY318" s="7" t="s">
        <v>75</v>
      </c>
      <c r="AZ318" s="7" t="s">
        <v>127</v>
      </c>
      <c r="BA318" s="7" t="s">
        <v>76</v>
      </c>
      <c r="BB318" s="7" t="s">
        <v>5772</v>
      </c>
      <c r="BC318" s="7"/>
      <c r="BD318" s="7"/>
      <c r="BE318" s="7"/>
      <c r="BF318" s="7"/>
      <c r="BG318" s="7"/>
      <c r="BH318" s="7"/>
      <c r="BI318" s="7"/>
    </row>
    <row r="319" customFormat="false" ht="14.25" hidden="false" customHeight="true" outlineLevel="0" collapsed="false">
      <c r="A319" s="7" t="s">
        <v>5773</v>
      </c>
      <c r="B319" s="7" t="s">
        <v>5774</v>
      </c>
      <c r="C319" s="7" t="s">
        <v>5775</v>
      </c>
      <c r="D319" s="7" t="s">
        <v>5776</v>
      </c>
      <c r="E319" s="7" t="n">
        <v>2023</v>
      </c>
      <c r="F319" s="8" t="s">
        <v>5777</v>
      </c>
      <c r="G319" s="6" t="s">
        <v>713</v>
      </c>
      <c r="H319" s="7"/>
      <c r="I319" s="7"/>
      <c r="J319" s="7"/>
      <c r="K319" s="7"/>
      <c r="L319" s="7"/>
      <c r="M319" s="7"/>
      <c r="N319" s="7"/>
      <c r="O319" s="7"/>
      <c r="P319" s="7" t="s">
        <v>304</v>
      </c>
      <c r="Q319" s="7" t="s">
        <v>62</v>
      </c>
      <c r="R319" s="7" t="s">
        <v>5778</v>
      </c>
      <c r="S319" s="7"/>
      <c r="T319" s="7" t="s">
        <v>187</v>
      </c>
      <c r="U319" s="7"/>
      <c r="V319" s="7"/>
      <c r="W319" s="7"/>
      <c r="X319" s="7"/>
      <c r="Y319" s="7"/>
      <c r="Z319" s="7" t="s">
        <v>5779</v>
      </c>
      <c r="AA319" s="9" t="s">
        <v>5780</v>
      </c>
      <c r="AB319" s="7" t="s">
        <v>5781</v>
      </c>
      <c r="AC319" s="7" t="s">
        <v>5782</v>
      </c>
      <c r="AD319" s="7" t="s">
        <v>5783</v>
      </c>
      <c r="AE319" s="7" t="s">
        <v>5784</v>
      </c>
      <c r="AF319" s="7"/>
      <c r="AG319" s="7"/>
      <c r="AH319" s="7"/>
      <c r="AI319" s="7"/>
      <c r="AJ319" s="10"/>
      <c r="AK319" s="7"/>
      <c r="AL319" s="7" t="s">
        <v>5785</v>
      </c>
      <c r="AM319" s="7"/>
      <c r="AN319" s="7"/>
      <c r="AO319" s="7" t="s">
        <v>5786</v>
      </c>
      <c r="AP319" s="7" t="s">
        <v>5778</v>
      </c>
      <c r="AQ319" s="7" t="s">
        <v>5787</v>
      </c>
      <c r="AR319" s="7" t="s">
        <v>5788</v>
      </c>
      <c r="AS319" s="7" t="n">
        <v>192084</v>
      </c>
      <c r="AT319" s="7"/>
      <c r="AU319" s="7" t="s">
        <v>5789</v>
      </c>
      <c r="AV319" s="7"/>
      <c r="AW319" s="7"/>
      <c r="AX319" s="7" t="s">
        <v>5790</v>
      </c>
      <c r="AY319" s="7" t="s">
        <v>75</v>
      </c>
      <c r="AZ319" s="7"/>
      <c r="BA319" s="7" t="s">
        <v>76</v>
      </c>
      <c r="BB319" s="7" t="s">
        <v>5791</v>
      </c>
      <c r="BC319" s="7"/>
      <c r="BD319" s="7"/>
      <c r="BE319" s="7"/>
      <c r="BF319" s="7"/>
      <c r="BG319" s="7"/>
      <c r="BH319" s="7"/>
      <c r="BI319" s="7"/>
    </row>
    <row r="320" customFormat="false" ht="14.25" hidden="false" customHeight="true" outlineLevel="0" collapsed="false">
      <c r="A320" s="7" t="s">
        <v>5792</v>
      </c>
      <c r="B320" s="7" t="s">
        <v>5793</v>
      </c>
      <c r="C320" s="7" t="s">
        <v>5794</v>
      </c>
      <c r="D320" s="7" t="s">
        <v>5795</v>
      </c>
      <c r="E320" s="7" t="n">
        <v>2023</v>
      </c>
      <c r="F320" s="8" t="s">
        <v>5796</v>
      </c>
      <c r="G320" s="6" t="s">
        <v>713</v>
      </c>
      <c r="H320" s="7"/>
      <c r="I320" s="7"/>
      <c r="J320" s="7"/>
      <c r="K320" s="7"/>
      <c r="L320" s="7"/>
      <c r="M320" s="7"/>
      <c r="N320" s="7"/>
      <c r="O320" s="7"/>
      <c r="P320" s="7" t="s">
        <v>304</v>
      </c>
      <c r="Q320" s="7" t="s">
        <v>62</v>
      </c>
      <c r="R320" s="7" t="s">
        <v>5610</v>
      </c>
      <c r="S320" s="7"/>
      <c r="T320" s="7" t="s">
        <v>187</v>
      </c>
      <c r="U320" s="7"/>
      <c r="V320" s="7"/>
      <c r="W320" s="7"/>
      <c r="X320" s="7"/>
      <c r="Y320" s="7"/>
      <c r="Z320" s="7" t="s">
        <v>5797</v>
      </c>
      <c r="AA320" s="9" t="s">
        <v>5798</v>
      </c>
      <c r="AB320" s="7" t="s">
        <v>5799</v>
      </c>
      <c r="AC320" s="7" t="s">
        <v>5800</v>
      </c>
      <c r="AD320" s="7" t="s">
        <v>5801</v>
      </c>
      <c r="AE320" s="7" t="s">
        <v>5802</v>
      </c>
      <c r="AF320" s="7"/>
      <c r="AG320" s="7"/>
      <c r="AH320" s="7"/>
      <c r="AI320" s="7"/>
      <c r="AJ320" s="10"/>
      <c r="AK320" s="7"/>
      <c r="AL320" s="7" t="s">
        <v>5803</v>
      </c>
      <c r="AM320" s="7"/>
      <c r="AN320" s="7" t="s">
        <v>5618</v>
      </c>
      <c r="AO320" s="7"/>
      <c r="AP320" s="7" t="s">
        <v>5619</v>
      </c>
      <c r="AQ320" s="7" t="s">
        <v>5620</v>
      </c>
      <c r="AR320" s="7" t="s">
        <v>2416</v>
      </c>
      <c r="AS320" s="7" t="n">
        <v>198912</v>
      </c>
      <c r="AT320" s="7"/>
      <c r="AU320" s="7" t="s">
        <v>5621</v>
      </c>
      <c r="AV320" s="7"/>
      <c r="AW320" s="7"/>
      <c r="AX320" s="7" t="s">
        <v>5622</v>
      </c>
      <c r="AY320" s="7" t="s">
        <v>75</v>
      </c>
      <c r="AZ320" s="7"/>
      <c r="BA320" s="7" t="s">
        <v>76</v>
      </c>
      <c r="BB320" s="7" t="s">
        <v>5804</v>
      </c>
      <c r="BC320" s="7"/>
      <c r="BD320" s="7"/>
      <c r="BE320" s="7"/>
      <c r="BF320" s="7"/>
      <c r="BG320" s="7"/>
      <c r="BH320" s="7"/>
      <c r="BI320" s="7"/>
    </row>
    <row r="321" customFormat="false" ht="14.25" hidden="false" customHeight="true" outlineLevel="0" collapsed="false">
      <c r="A321" s="7" t="s">
        <v>5805</v>
      </c>
      <c r="B321" s="7" t="s">
        <v>5806</v>
      </c>
      <c r="C321" s="7" t="s">
        <v>5807</v>
      </c>
      <c r="D321" s="7" t="s">
        <v>5808</v>
      </c>
      <c r="E321" s="7" t="n">
        <v>2023</v>
      </c>
      <c r="F321" s="8" t="s">
        <v>5809</v>
      </c>
      <c r="G321" s="6" t="s">
        <v>713</v>
      </c>
      <c r="H321" s="7"/>
      <c r="I321" s="7"/>
      <c r="J321" s="7"/>
      <c r="K321" s="7"/>
      <c r="L321" s="7"/>
      <c r="M321" s="7"/>
      <c r="N321" s="7"/>
      <c r="O321" s="7"/>
      <c r="P321" s="7" t="s">
        <v>304</v>
      </c>
      <c r="Q321" s="7" t="s">
        <v>62</v>
      </c>
      <c r="R321" s="7" t="s">
        <v>350</v>
      </c>
      <c r="S321" s="7" t="s">
        <v>5810</v>
      </c>
      <c r="T321" s="7" t="s">
        <v>307</v>
      </c>
      <c r="U321" s="7"/>
      <c r="V321" s="7"/>
      <c r="W321" s="7" t="n">
        <v>270</v>
      </c>
      <c r="X321" s="7" t="n">
        <v>279</v>
      </c>
      <c r="Y321" s="7" t="n">
        <v>9</v>
      </c>
      <c r="Z321" s="7" t="s">
        <v>5811</v>
      </c>
      <c r="AA321" s="9" t="s">
        <v>5812</v>
      </c>
      <c r="AB321" s="7" t="s">
        <v>5813</v>
      </c>
      <c r="AC321" s="7" t="s">
        <v>5814</v>
      </c>
      <c r="AD321" s="7" t="s">
        <v>5815</v>
      </c>
      <c r="AE321" s="7"/>
      <c r="AF321" s="7"/>
      <c r="AG321" s="7"/>
      <c r="AH321" s="7"/>
      <c r="AI321" s="7"/>
      <c r="AJ321" s="10"/>
      <c r="AK321" s="7"/>
      <c r="AL321" s="7" t="s">
        <v>5816</v>
      </c>
      <c r="AM321" s="7" t="s">
        <v>5817</v>
      </c>
      <c r="AN321" s="7" t="s">
        <v>5818</v>
      </c>
      <c r="AO321" s="7"/>
      <c r="AP321" s="7" t="s">
        <v>5819</v>
      </c>
      <c r="AQ321" s="7" t="s">
        <v>5820</v>
      </c>
      <c r="AR321" s="7" t="s">
        <v>5821</v>
      </c>
      <c r="AS321" s="7" t="n">
        <v>287829</v>
      </c>
      <c r="AT321" s="7" t="n">
        <v>23673370</v>
      </c>
      <c r="AU321" s="7" t="s">
        <v>5822</v>
      </c>
      <c r="AV321" s="7"/>
      <c r="AW321" s="7"/>
      <c r="AX321" s="7" t="s">
        <v>365</v>
      </c>
      <c r="AY321" s="7" t="s">
        <v>75</v>
      </c>
      <c r="AZ321" s="7"/>
      <c r="BA321" s="7" t="s">
        <v>76</v>
      </c>
      <c r="BB321" s="7" t="s">
        <v>5823</v>
      </c>
      <c r="BC321" s="7"/>
      <c r="BD321" s="7"/>
      <c r="BE321" s="7"/>
      <c r="BF321" s="7"/>
      <c r="BG321" s="7"/>
      <c r="BH321" s="7"/>
      <c r="BI321" s="7"/>
    </row>
    <row r="322" customFormat="false" ht="14.25" hidden="false" customHeight="true" outlineLevel="0" collapsed="false">
      <c r="A322" s="7" t="s">
        <v>5824</v>
      </c>
      <c r="B322" s="7" t="s">
        <v>5825</v>
      </c>
      <c r="C322" s="7" t="s">
        <v>5826</v>
      </c>
      <c r="D322" s="7" t="s">
        <v>5827</v>
      </c>
      <c r="E322" s="7" t="n">
        <v>2023</v>
      </c>
      <c r="F322" s="8" t="s">
        <v>5828</v>
      </c>
      <c r="G322" s="6" t="s">
        <v>713</v>
      </c>
      <c r="H322" s="7"/>
      <c r="I322" s="7"/>
      <c r="J322" s="7"/>
      <c r="K322" s="7"/>
      <c r="L322" s="7"/>
      <c r="M322" s="7"/>
      <c r="N322" s="7"/>
      <c r="O322" s="7"/>
      <c r="P322" s="7" t="s">
        <v>304</v>
      </c>
      <c r="Q322" s="7" t="s">
        <v>62</v>
      </c>
      <c r="R322" s="7" t="s">
        <v>5829</v>
      </c>
      <c r="S322" s="7"/>
      <c r="T322" s="7" t="s">
        <v>187</v>
      </c>
      <c r="U322" s="7"/>
      <c r="V322" s="7"/>
      <c r="W322" s="7"/>
      <c r="X322" s="7"/>
      <c r="Y322" s="7"/>
      <c r="Z322" s="7" t="s">
        <v>5830</v>
      </c>
      <c r="AA322" s="9" t="s">
        <v>5831</v>
      </c>
      <c r="AB322" s="7" t="s">
        <v>5832</v>
      </c>
      <c r="AC322" s="7" t="s">
        <v>5833</v>
      </c>
      <c r="AD322" s="7" t="s">
        <v>5834</v>
      </c>
      <c r="AE322" s="7" t="s">
        <v>5835</v>
      </c>
      <c r="AF322" s="7"/>
      <c r="AG322" s="7"/>
      <c r="AH322" s="7"/>
      <c r="AI322" s="7"/>
      <c r="AJ322" s="10"/>
      <c r="AK322" s="7"/>
      <c r="AL322" s="7" t="s">
        <v>5836</v>
      </c>
      <c r="AM322" s="7"/>
      <c r="AN322" s="7"/>
      <c r="AO322" s="7"/>
      <c r="AP322" s="7" t="s">
        <v>5829</v>
      </c>
      <c r="AQ322" s="7" t="s">
        <v>5837</v>
      </c>
      <c r="AR322" s="7" t="s">
        <v>2201</v>
      </c>
      <c r="AS322" s="7" t="n">
        <v>199521</v>
      </c>
      <c r="AT322" s="7"/>
      <c r="AU322" s="7" t="s">
        <v>5838</v>
      </c>
      <c r="AV322" s="7"/>
      <c r="AW322" s="7"/>
      <c r="AX322" s="7" t="s">
        <v>5839</v>
      </c>
      <c r="AY322" s="7" t="s">
        <v>75</v>
      </c>
      <c r="AZ322" s="7"/>
      <c r="BA322" s="7" t="s">
        <v>76</v>
      </c>
      <c r="BB322" s="7" t="s">
        <v>5840</v>
      </c>
      <c r="BC322" s="7"/>
      <c r="BD322" s="7"/>
      <c r="BE322" s="7"/>
      <c r="BF322" s="7"/>
      <c r="BG322" s="7"/>
      <c r="BH322" s="7"/>
      <c r="BI322" s="7"/>
    </row>
    <row r="323" customFormat="false" ht="14.25" hidden="false" customHeight="true" outlineLevel="0" collapsed="false">
      <c r="A323" s="7" t="s">
        <v>5841</v>
      </c>
      <c r="B323" s="7" t="s">
        <v>5842</v>
      </c>
      <c r="C323" s="7" t="s">
        <v>5843</v>
      </c>
      <c r="D323" s="7" t="s">
        <v>5844</v>
      </c>
      <c r="E323" s="7" t="n">
        <v>2023</v>
      </c>
      <c r="F323" s="8" t="s">
        <v>5845</v>
      </c>
      <c r="G323" s="6" t="s">
        <v>713</v>
      </c>
      <c r="H323" s="7"/>
      <c r="I323" s="7"/>
      <c r="J323" s="7"/>
      <c r="K323" s="7"/>
      <c r="L323" s="7"/>
      <c r="M323" s="7"/>
      <c r="N323" s="7"/>
      <c r="O323" s="7"/>
      <c r="P323" s="7" t="s">
        <v>304</v>
      </c>
      <c r="Q323" s="7" t="s">
        <v>62</v>
      </c>
      <c r="R323" s="7" t="s">
        <v>5846</v>
      </c>
      <c r="S323" s="7"/>
      <c r="T323" s="7" t="s">
        <v>187</v>
      </c>
      <c r="U323" s="7"/>
      <c r="V323" s="7"/>
      <c r="W323" s="7" t="n">
        <v>681</v>
      </c>
      <c r="X323" s="7" t="n">
        <v>686</v>
      </c>
      <c r="Y323" s="7" t="n">
        <v>5</v>
      </c>
      <c r="Z323" s="7" t="s">
        <v>5847</v>
      </c>
      <c r="AA323" s="9" t="s">
        <v>5848</v>
      </c>
      <c r="AB323" s="7" t="s">
        <v>5849</v>
      </c>
      <c r="AC323" s="7" t="s">
        <v>5850</v>
      </c>
      <c r="AD323" s="7" t="s">
        <v>5851</v>
      </c>
      <c r="AE323" s="7" t="s">
        <v>5852</v>
      </c>
      <c r="AF323" s="7"/>
      <c r="AG323" s="7"/>
      <c r="AH323" s="7"/>
      <c r="AI323" s="7"/>
      <c r="AJ323" s="10"/>
      <c r="AK323" s="7"/>
      <c r="AL323" s="7" t="s">
        <v>5853</v>
      </c>
      <c r="AM323" s="7" t="s">
        <v>5854</v>
      </c>
      <c r="AN323" s="7" t="s">
        <v>5855</v>
      </c>
      <c r="AO323" s="7" t="s">
        <v>5856</v>
      </c>
      <c r="AP323" s="7" t="s">
        <v>5857</v>
      </c>
      <c r="AQ323" s="7" t="s">
        <v>5858</v>
      </c>
      <c r="AR323" s="7" t="s">
        <v>5859</v>
      </c>
      <c r="AS323" s="7" t="n">
        <v>193131</v>
      </c>
      <c r="AT323" s="7"/>
      <c r="AU323" s="7" t="s">
        <v>5860</v>
      </c>
      <c r="AV323" s="7"/>
      <c r="AW323" s="7"/>
      <c r="AX323" s="7" t="s">
        <v>5861</v>
      </c>
      <c r="AY323" s="7" t="s">
        <v>75</v>
      </c>
      <c r="AZ323" s="7"/>
      <c r="BA323" s="7" t="s">
        <v>76</v>
      </c>
      <c r="BB323" s="7" t="s">
        <v>5862</v>
      </c>
      <c r="BC323" s="7"/>
      <c r="BD323" s="7"/>
      <c r="BE323" s="7"/>
      <c r="BF323" s="7"/>
      <c r="BG323" s="7"/>
      <c r="BH323" s="7"/>
      <c r="BI323" s="7"/>
    </row>
    <row r="324" customFormat="false" ht="14.25" hidden="false" customHeight="true" outlineLevel="0" collapsed="false">
      <c r="A324" s="7" t="s">
        <v>5863</v>
      </c>
      <c r="B324" s="7" t="s">
        <v>5864</v>
      </c>
      <c r="C324" s="7" t="s">
        <v>5865</v>
      </c>
      <c r="D324" s="7" t="s">
        <v>5866</v>
      </c>
      <c r="E324" s="7" t="n">
        <v>2023</v>
      </c>
      <c r="F324" s="8" t="s">
        <v>5867</v>
      </c>
      <c r="G324" s="6" t="s">
        <v>5868</v>
      </c>
      <c r="H324" s="7"/>
      <c r="I324" s="7"/>
      <c r="J324" s="7"/>
      <c r="K324" s="7"/>
      <c r="L324" s="7"/>
      <c r="M324" s="7"/>
      <c r="N324" s="7"/>
      <c r="O324" s="7"/>
      <c r="P324" s="7" t="s">
        <v>304</v>
      </c>
      <c r="Q324" s="7" t="s">
        <v>62</v>
      </c>
      <c r="R324" s="7" t="s">
        <v>350</v>
      </c>
      <c r="S324" s="7" t="s">
        <v>5869</v>
      </c>
      <c r="T324" s="7" t="s">
        <v>307</v>
      </c>
      <c r="U324" s="7"/>
      <c r="V324" s="7"/>
      <c r="W324" s="7" t="n">
        <v>53</v>
      </c>
      <c r="X324" s="7" t="n">
        <v>61</v>
      </c>
      <c r="Y324" s="7" t="n">
        <v>8</v>
      </c>
      <c r="Z324" s="7" t="s">
        <v>5870</v>
      </c>
      <c r="AA324" s="9" t="s">
        <v>5871</v>
      </c>
      <c r="AB324" s="7" t="s">
        <v>5872</v>
      </c>
      <c r="AC324" s="7" t="s">
        <v>5873</v>
      </c>
      <c r="AD324" s="7" t="s">
        <v>5874</v>
      </c>
      <c r="AE324" s="7" t="s">
        <v>5875</v>
      </c>
      <c r="AF324" s="7"/>
      <c r="AG324" s="7"/>
      <c r="AH324" s="7"/>
      <c r="AI324" s="7"/>
      <c r="AJ324" s="10"/>
      <c r="AK324" s="7"/>
      <c r="AL324" s="7" t="s">
        <v>5876</v>
      </c>
      <c r="AM324" s="7" t="s">
        <v>5877</v>
      </c>
      <c r="AN324" s="7" t="s">
        <v>5432</v>
      </c>
      <c r="AO324" s="7"/>
      <c r="AP324" s="7" t="s">
        <v>5878</v>
      </c>
      <c r="AQ324" s="7" t="s">
        <v>5879</v>
      </c>
      <c r="AR324" s="7" t="s">
        <v>2626</v>
      </c>
      <c r="AS324" s="7" t="n">
        <v>301079</v>
      </c>
      <c r="AT324" s="7" t="n">
        <v>23673370</v>
      </c>
      <c r="AU324" s="7" t="s">
        <v>5880</v>
      </c>
      <c r="AV324" s="7"/>
      <c r="AW324" s="7"/>
      <c r="AX324" s="7" t="s">
        <v>365</v>
      </c>
      <c r="AY324" s="7" t="s">
        <v>75</v>
      </c>
      <c r="AZ324" s="7"/>
      <c r="BA324" s="7" t="s">
        <v>76</v>
      </c>
      <c r="BB324" s="7" t="s">
        <v>5881</v>
      </c>
      <c r="BC324" s="7"/>
      <c r="BD324" s="7"/>
      <c r="BE324" s="7"/>
      <c r="BF324" s="7"/>
      <c r="BG324" s="7"/>
      <c r="BH324" s="7"/>
      <c r="BI324" s="7"/>
    </row>
    <row r="325" customFormat="false" ht="14.25" hidden="false" customHeight="true" outlineLevel="0" collapsed="false">
      <c r="A325" s="7" t="s">
        <v>5882</v>
      </c>
      <c r="B325" s="7" t="s">
        <v>5883</v>
      </c>
      <c r="C325" s="7" t="s">
        <v>5884</v>
      </c>
      <c r="D325" s="7" t="s">
        <v>5885</v>
      </c>
      <c r="E325" s="7" t="n">
        <v>2023</v>
      </c>
      <c r="F325" s="8" t="s">
        <v>5886</v>
      </c>
      <c r="G325" s="6" t="s">
        <v>713</v>
      </c>
      <c r="H325" s="7"/>
      <c r="I325" s="7"/>
      <c r="J325" s="7"/>
      <c r="K325" s="7"/>
      <c r="L325" s="7"/>
      <c r="M325" s="7"/>
      <c r="N325" s="7"/>
      <c r="O325" s="7"/>
      <c r="P325" s="7" t="s">
        <v>304</v>
      </c>
      <c r="Q325" s="7" t="s">
        <v>62</v>
      </c>
      <c r="R325" s="7" t="s">
        <v>5757</v>
      </c>
      <c r="S325" s="7" t="n">
        <v>2571</v>
      </c>
      <c r="T325" s="7" t="s">
        <v>5758</v>
      </c>
      <c r="U325" s="7" t="n">
        <v>1</v>
      </c>
      <c r="V325" s="7" t="n">
        <v>12005</v>
      </c>
      <c r="W325" s="7"/>
      <c r="X325" s="7"/>
      <c r="Y325" s="7"/>
      <c r="Z325" s="7" t="s">
        <v>5887</v>
      </c>
      <c r="AA325" s="9" t="s">
        <v>5888</v>
      </c>
      <c r="AB325" s="7" t="s">
        <v>5889</v>
      </c>
      <c r="AC325" s="7" t="s">
        <v>5890</v>
      </c>
      <c r="AD325" s="7"/>
      <c r="AE325" s="7" t="s">
        <v>5891</v>
      </c>
      <c r="AF325" s="7"/>
      <c r="AG325" s="7"/>
      <c r="AH325" s="7"/>
      <c r="AI325" s="7"/>
      <c r="AJ325" s="10"/>
      <c r="AK325" s="7"/>
      <c r="AL325" s="7" t="s">
        <v>5892</v>
      </c>
      <c r="AM325" s="7"/>
      <c r="AN325" s="7" t="s">
        <v>5893</v>
      </c>
      <c r="AO325" s="7"/>
      <c r="AP325" s="7" t="s">
        <v>5894</v>
      </c>
      <c r="AQ325" s="7" t="s">
        <v>5895</v>
      </c>
      <c r="AR325" s="7" t="s">
        <v>5896</v>
      </c>
      <c r="AS325" s="7" t="n">
        <v>193682</v>
      </c>
      <c r="AT325" s="7" t="n">
        <v>17426588</v>
      </c>
      <c r="AU325" s="7"/>
      <c r="AV325" s="7"/>
      <c r="AW325" s="7"/>
      <c r="AX325" s="7" t="s">
        <v>5771</v>
      </c>
      <c r="AY325" s="7" t="s">
        <v>75</v>
      </c>
      <c r="AZ325" s="7" t="s">
        <v>127</v>
      </c>
      <c r="BA325" s="7" t="s">
        <v>76</v>
      </c>
      <c r="BB325" s="7" t="s">
        <v>5897</v>
      </c>
      <c r="BC325" s="7"/>
      <c r="BD325" s="7"/>
      <c r="BE325" s="7"/>
      <c r="BF325" s="7"/>
      <c r="BG325" s="7"/>
      <c r="BH325" s="7"/>
      <c r="BI325" s="7"/>
    </row>
    <row r="326" customFormat="false" ht="14.25" hidden="false" customHeight="true" outlineLevel="0" collapsed="false">
      <c r="A326" s="7" t="s">
        <v>5898</v>
      </c>
      <c r="B326" s="7" t="s">
        <v>5899</v>
      </c>
      <c r="C326" s="7" t="s">
        <v>5900</v>
      </c>
      <c r="D326" s="7" t="s">
        <v>5901</v>
      </c>
      <c r="E326" s="7" t="n">
        <v>2023</v>
      </c>
      <c r="F326" s="8" t="s">
        <v>5902</v>
      </c>
      <c r="G326" s="6" t="s">
        <v>713</v>
      </c>
      <c r="H326" s="7"/>
      <c r="I326" s="7"/>
      <c r="J326" s="7"/>
      <c r="K326" s="7"/>
      <c r="L326" s="7"/>
      <c r="M326" s="7"/>
      <c r="N326" s="7"/>
      <c r="O326" s="7"/>
      <c r="P326" s="7" t="s">
        <v>304</v>
      </c>
      <c r="Q326" s="7" t="s">
        <v>62</v>
      </c>
      <c r="R326" s="7" t="s">
        <v>5903</v>
      </c>
      <c r="S326" s="7"/>
      <c r="T326" s="7" t="s">
        <v>187</v>
      </c>
      <c r="U326" s="7"/>
      <c r="V326" s="7"/>
      <c r="W326" s="7"/>
      <c r="X326" s="7"/>
      <c r="Y326" s="7"/>
      <c r="Z326" s="7" t="s">
        <v>5904</v>
      </c>
      <c r="AA326" s="9" t="s">
        <v>5905</v>
      </c>
      <c r="AB326" s="7" t="s">
        <v>5906</v>
      </c>
      <c r="AC326" s="7" t="s">
        <v>5907</v>
      </c>
      <c r="AD326" s="7" t="s">
        <v>5908</v>
      </c>
      <c r="AE326" s="7" t="s">
        <v>5909</v>
      </c>
      <c r="AF326" s="7"/>
      <c r="AG326" s="7"/>
      <c r="AH326" s="7"/>
      <c r="AI326" s="7"/>
      <c r="AJ326" s="10"/>
      <c r="AK326" s="7"/>
      <c r="AL326" s="7" t="s">
        <v>5910</v>
      </c>
      <c r="AM326" s="7" t="s">
        <v>5911</v>
      </c>
      <c r="AN326" s="7"/>
      <c r="AO326" s="7" t="s">
        <v>5912</v>
      </c>
      <c r="AP326" s="7" t="s">
        <v>5913</v>
      </c>
      <c r="AQ326" s="7" t="s">
        <v>5914</v>
      </c>
      <c r="AR326" s="7" t="s">
        <v>5915</v>
      </c>
      <c r="AS326" s="7" t="n">
        <v>193544</v>
      </c>
      <c r="AT326" s="7"/>
      <c r="AU326" s="7" t="s">
        <v>5916</v>
      </c>
      <c r="AV326" s="7"/>
      <c r="AW326" s="7"/>
      <c r="AX326" s="7" t="s">
        <v>5917</v>
      </c>
      <c r="AY326" s="7" t="s">
        <v>75</v>
      </c>
      <c r="AZ326" s="7"/>
      <c r="BA326" s="7" t="s">
        <v>76</v>
      </c>
      <c r="BB326" s="7" t="s">
        <v>5918</v>
      </c>
      <c r="BC326" s="7"/>
      <c r="BD326" s="7"/>
      <c r="BE326" s="7"/>
      <c r="BF326" s="7"/>
      <c r="BG326" s="7"/>
      <c r="BH326" s="7"/>
      <c r="BI326" s="7"/>
    </row>
    <row r="327" customFormat="false" ht="14.25" hidden="false" customHeight="true" outlineLevel="0" collapsed="false">
      <c r="A327" s="7" t="s">
        <v>5919</v>
      </c>
      <c r="B327" s="7" t="s">
        <v>5920</v>
      </c>
      <c r="C327" s="7" t="s">
        <v>5921</v>
      </c>
      <c r="D327" s="7" t="s">
        <v>5922</v>
      </c>
      <c r="E327" s="7" t="n">
        <v>2023</v>
      </c>
      <c r="F327" s="8" t="s">
        <v>5923</v>
      </c>
      <c r="G327" s="6" t="s">
        <v>713</v>
      </c>
      <c r="H327" s="7"/>
      <c r="I327" s="7"/>
      <c r="J327" s="7"/>
      <c r="K327" s="7"/>
      <c r="L327" s="7"/>
      <c r="M327" s="7"/>
      <c r="N327" s="7"/>
      <c r="O327" s="7"/>
      <c r="P327" s="7" t="s">
        <v>304</v>
      </c>
      <c r="Q327" s="7" t="s">
        <v>62</v>
      </c>
      <c r="R327" s="7" t="s">
        <v>5924</v>
      </c>
      <c r="S327" s="7"/>
      <c r="T327" s="7" t="s">
        <v>187</v>
      </c>
      <c r="U327" s="7"/>
      <c r="V327" s="7"/>
      <c r="W327" s="7" t="n">
        <v>291</v>
      </c>
      <c r="X327" s="7" t="n">
        <v>297</v>
      </c>
      <c r="Y327" s="7" t="n">
        <v>6</v>
      </c>
      <c r="Z327" s="7" t="s">
        <v>5925</v>
      </c>
      <c r="AA327" s="9" t="s">
        <v>5926</v>
      </c>
      <c r="AB327" s="7" t="s">
        <v>5927</v>
      </c>
      <c r="AC327" s="7" t="s">
        <v>5928</v>
      </c>
      <c r="AD327" s="7" t="s">
        <v>5929</v>
      </c>
      <c r="AE327" s="7" t="s">
        <v>5930</v>
      </c>
      <c r="AF327" s="7"/>
      <c r="AG327" s="7"/>
      <c r="AH327" s="7"/>
      <c r="AI327" s="7"/>
      <c r="AJ327" s="10"/>
      <c r="AK327" s="7"/>
      <c r="AL327" s="7" t="s">
        <v>5931</v>
      </c>
      <c r="AM327" s="7"/>
      <c r="AN327" s="7"/>
      <c r="AO327" s="7"/>
      <c r="AP327" s="7" t="s">
        <v>5932</v>
      </c>
      <c r="AQ327" s="7" t="s">
        <v>5933</v>
      </c>
      <c r="AR327" s="7" t="s">
        <v>5934</v>
      </c>
      <c r="AS327" s="7" t="n">
        <v>189334</v>
      </c>
      <c r="AT327" s="7"/>
      <c r="AU327" s="7" t="s">
        <v>5935</v>
      </c>
      <c r="AV327" s="7"/>
      <c r="AW327" s="7"/>
      <c r="AX327" s="7" t="s">
        <v>5936</v>
      </c>
      <c r="AY327" s="7" t="s">
        <v>75</v>
      </c>
      <c r="AZ327" s="7"/>
      <c r="BA327" s="7" t="s">
        <v>76</v>
      </c>
      <c r="BB327" s="7" t="s">
        <v>5937</v>
      </c>
      <c r="BC327" s="7"/>
      <c r="BD327" s="7"/>
      <c r="BE327" s="7"/>
      <c r="BF327" s="7"/>
      <c r="BG327" s="7"/>
      <c r="BH327" s="7"/>
      <c r="BI327" s="7"/>
    </row>
    <row r="328" customFormat="false" ht="14.25" hidden="false" customHeight="true" outlineLevel="0" collapsed="false">
      <c r="A328" s="7" t="s">
        <v>5938</v>
      </c>
      <c r="B328" s="7" t="s">
        <v>5939</v>
      </c>
      <c r="C328" s="7" t="s">
        <v>5940</v>
      </c>
      <c r="D328" s="7" t="s">
        <v>5941</v>
      </c>
      <c r="E328" s="7" t="n">
        <v>2023</v>
      </c>
      <c r="F328" s="8" t="s">
        <v>5942</v>
      </c>
      <c r="G328" s="6" t="s">
        <v>713</v>
      </c>
      <c r="H328" s="7"/>
      <c r="I328" s="7"/>
      <c r="J328" s="7"/>
      <c r="K328" s="7"/>
      <c r="L328" s="7"/>
      <c r="M328" s="7"/>
      <c r="N328" s="7"/>
      <c r="O328" s="7"/>
      <c r="P328" s="7" t="s">
        <v>304</v>
      </c>
      <c r="Q328" s="7" t="s">
        <v>62</v>
      </c>
      <c r="R328" s="7" t="s">
        <v>350</v>
      </c>
      <c r="S328" s="7" t="s">
        <v>5943</v>
      </c>
      <c r="T328" s="7" t="s">
        <v>307</v>
      </c>
      <c r="U328" s="7"/>
      <c r="V328" s="7"/>
      <c r="W328" s="7" t="n">
        <v>114</v>
      </c>
      <c r="X328" s="7" t="n">
        <v>125</v>
      </c>
      <c r="Y328" s="7" t="n">
        <v>11</v>
      </c>
      <c r="Z328" s="7" t="s">
        <v>5944</v>
      </c>
      <c r="AA328" s="9" t="s">
        <v>5945</v>
      </c>
      <c r="AB328" s="7" t="s">
        <v>5946</v>
      </c>
      <c r="AC328" s="7" t="s">
        <v>5947</v>
      </c>
      <c r="AD328" s="7" t="s">
        <v>5948</v>
      </c>
      <c r="AE328" s="7" t="s">
        <v>5949</v>
      </c>
      <c r="AF328" s="7"/>
      <c r="AG328" s="7"/>
      <c r="AH328" s="7"/>
      <c r="AI328" s="7"/>
      <c r="AJ328" s="10"/>
      <c r="AK328" s="7"/>
      <c r="AL328" s="7" t="s">
        <v>5950</v>
      </c>
      <c r="AM328" s="7" t="s">
        <v>5951</v>
      </c>
      <c r="AN328" s="7" t="s">
        <v>5952</v>
      </c>
      <c r="AO328" s="7"/>
      <c r="AP328" s="7" t="s">
        <v>5953</v>
      </c>
      <c r="AQ328" s="7" t="s">
        <v>5954</v>
      </c>
      <c r="AR328" s="7" t="s">
        <v>5955</v>
      </c>
      <c r="AS328" s="7" t="n">
        <v>298879</v>
      </c>
      <c r="AT328" s="7" t="n">
        <v>23673370</v>
      </c>
      <c r="AU328" s="7" t="s">
        <v>5956</v>
      </c>
      <c r="AV328" s="7"/>
      <c r="AW328" s="7"/>
      <c r="AX328" s="7" t="s">
        <v>365</v>
      </c>
      <c r="AY328" s="7" t="s">
        <v>75</v>
      </c>
      <c r="AZ328" s="7"/>
      <c r="BA328" s="7" t="s">
        <v>76</v>
      </c>
      <c r="BB328" s="7" t="s">
        <v>5957</v>
      </c>
      <c r="BC328" s="7"/>
      <c r="BD328" s="7"/>
      <c r="BE328" s="7"/>
      <c r="BF328" s="7"/>
      <c r="BG328" s="7"/>
      <c r="BH328" s="7"/>
      <c r="BI328" s="7"/>
    </row>
    <row r="329" customFormat="false" ht="14.25" hidden="false" customHeight="true" outlineLevel="0" collapsed="false">
      <c r="A329" s="7" t="s">
        <v>5958</v>
      </c>
      <c r="B329" s="7" t="s">
        <v>5959</v>
      </c>
      <c r="C329" s="7" t="s">
        <v>5960</v>
      </c>
      <c r="D329" s="7" t="s">
        <v>5961</v>
      </c>
      <c r="E329" s="7" t="n">
        <v>2023</v>
      </c>
      <c r="F329" s="8" t="s">
        <v>5962</v>
      </c>
      <c r="G329" s="6" t="s">
        <v>713</v>
      </c>
      <c r="H329" s="7"/>
      <c r="I329" s="7"/>
      <c r="J329" s="7"/>
      <c r="K329" s="7"/>
      <c r="L329" s="7"/>
      <c r="M329" s="7"/>
      <c r="N329" s="7"/>
      <c r="O329" s="7"/>
      <c r="P329" s="7" t="s">
        <v>304</v>
      </c>
      <c r="Q329" s="7" t="s">
        <v>62</v>
      </c>
      <c r="R329" s="7" t="s">
        <v>5610</v>
      </c>
      <c r="S329" s="7"/>
      <c r="T329" s="7" t="s">
        <v>187</v>
      </c>
      <c r="U329" s="7"/>
      <c r="V329" s="7"/>
      <c r="W329" s="7"/>
      <c r="X329" s="7"/>
      <c r="Y329" s="7"/>
      <c r="Z329" s="7" t="s">
        <v>5963</v>
      </c>
      <c r="AA329" s="9" t="s">
        <v>5964</v>
      </c>
      <c r="AB329" s="7" t="s">
        <v>5965</v>
      </c>
      <c r="AC329" s="7" t="s">
        <v>5966</v>
      </c>
      <c r="AD329" s="7" t="s">
        <v>5967</v>
      </c>
      <c r="AE329" s="7" t="s">
        <v>5968</v>
      </c>
      <c r="AF329" s="7"/>
      <c r="AG329" s="7"/>
      <c r="AH329" s="7"/>
      <c r="AI329" s="7"/>
      <c r="AJ329" s="10"/>
      <c r="AK329" s="7"/>
      <c r="AL329" s="7" t="s">
        <v>5969</v>
      </c>
      <c r="AM329" s="7"/>
      <c r="AN329" s="7" t="s">
        <v>5618</v>
      </c>
      <c r="AO329" s="7"/>
      <c r="AP329" s="7" t="s">
        <v>5619</v>
      </c>
      <c r="AQ329" s="7" t="s">
        <v>5620</v>
      </c>
      <c r="AR329" s="7" t="s">
        <v>2416</v>
      </c>
      <c r="AS329" s="7" t="n">
        <v>198912</v>
      </c>
      <c r="AT329" s="7"/>
      <c r="AU329" s="7" t="s">
        <v>5621</v>
      </c>
      <c r="AV329" s="7"/>
      <c r="AW329" s="7"/>
      <c r="AX329" s="7" t="s">
        <v>5622</v>
      </c>
      <c r="AY329" s="7" t="s">
        <v>75</v>
      </c>
      <c r="AZ329" s="7"/>
      <c r="BA329" s="7" t="s">
        <v>76</v>
      </c>
      <c r="BB329" s="7" t="s">
        <v>5970</v>
      </c>
      <c r="BC329" s="7"/>
      <c r="BD329" s="7"/>
      <c r="BE329" s="7"/>
      <c r="BF329" s="7"/>
      <c r="BG329" s="7"/>
      <c r="BH329" s="7"/>
      <c r="BI329" s="7"/>
    </row>
    <row r="330" customFormat="false" ht="14.25" hidden="false" customHeight="true" outlineLevel="0" collapsed="false">
      <c r="A330" s="7" t="s">
        <v>5971</v>
      </c>
      <c r="B330" s="7" t="s">
        <v>5972</v>
      </c>
      <c r="C330" s="7" t="s">
        <v>5973</v>
      </c>
      <c r="D330" s="7" t="s">
        <v>5974</v>
      </c>
      <c r="E330" s="7" t="n">
        <v>2023</v>
      </c>
      <c r="F330" s="8" t="s">
        <v>5975</v>
      </c>
      <c r="G330" s="6" t="s">
        <v>713</v>
      </c>
      <c r="H330" s="7"/>
      <c r="I330" s="7"/>
      <c r="J330" s="7"/>
      <c r="K330" s="7"/>
      <c r="L330" s="7"/>
      <c r="M330" s="7"/>
      <c r="N330" s="7"/>
      <c r="O330" s="7"/>
      <c r="P330" s="7" t="s">
        <v>304</v>
      </c>
      <c r="Q330" s="7" t="s">
        <v>62</v>
      </c>
      <c r="R330" s="7" t="s">
        <v>5976</v>
      </c>
      <c r="S330" s="7"/>
      <c r="T330" s="7" t="s">
        <v>187</v>
      </c>
      <c r="U330" s="7"/>
      <c r="V330" s="7"/>
      <c r="W330" s="7"/>
      <c r="X330" s="7"/>
      <c r="Y330" s="7"/>
      <c r="Z330" s="7" t="s">
        <v>5977</v>
      </c>
      <c r="AA330" s="9" t="s">
        <v>5978</v>
      </c>
      <c r="AB330" s="7" t="s">
        <v>5979</v>
      </c>
      <c r="AC330" s="7" t="s">
        <v>5980</v>
      </c>
      <c r="AD330" s="7" t="s">
        <v>5981</v>
      </c>
      <c r="AE330" s="7" t="s">
        <v>5982</v>
      </c>
      <c r="AF330" s="7"/>
      <c r="AG330" s="7"/>
      <c r="AH330" s="7"/>
      <c r="AI330" s="7"/>
      <c r="AJ330" s="10"/>
      <c r="AK330" s="7"/>
      <c r="AL330" s="7" t="s">
        <v>5983</v>
      </c>
      <c r="AM330" s="7"/>
      <c r="AN330" s="7" t="s">
        <v>5984</v>
      </c>
      <c r="AO330" s="7"/>
      <c r="AP330" s="7" t="s">
        <v>5985</v>
      </c>
      <c r="AQ330" s="7" t="s">
        <v>5986</v>
      </c>
      <c r="AR330" s="7" t="s">
        <v>5987</v>
      </c>
      <c r="AS330" s="7" t="n">
        <v>196117</v>
      </c>
      <c r="AT330" s="7"/>
      <c r="AU330" s="7" t="s">
        <v>5988</v>
      </c>
      <c r="AV330" s="7"/>
      <c r="AW330" s="7"/>
      <c r="AX330" s="7" t="s">
        <v>5989</v>
      </c>
      <c r="AY330" s="7" t="s">
        <v>75</v>
      </c>
      <c r="AZ330" s="7"/>
      <c r="BA330" s="7" t="s">
        <v>76</v>
      </c>
      <c r="BB330" s="7" t="s">
        <v>5990</v>
      </c>
      <c r="BC330" s="7"/>
      <c r="BD330" s="7"/>
      <c r="BE330" s="7"/>
      <c r="BF330" s="7"/>
      <c r="BG330" s="7"/>
      <c r="BH330" s="7"/>
      <c r="BI330" s="7"/>
    </row>
    <row r="331" customFormat="false" ht="14.25" hidden="false" customHeight="true" outlineLevel="0" collapsed="false">
      <c r="A331" s="7" t="s">
        <v>5991</v>
      </c>
      <c r="B331" s="7" t="s">
        <v>5992</v>
      </c>
      <c r="C331" s="7" t="s">
        <v>5993</v>
      </c>
      <c r="D331" s="7" t="s">
        <v>5994</v>
      </c>
      <c r="E331" s="7" t="n">
        <v>2023</v>
      </c>
      <c r="F331" s="8" t="s">
        <v>5995</v>
      </c>
      <c r="G331" s="6" t="s">
        <v>713</v>
      </c>
      <c r="H331" s="7"/>
      <c r="I331" s="7"/>
      <c r="J331" s="7"/>
      <c r="K331" s="7"/>
      <c r="L331" s="7"/>
      <c r="M331" s="7"/>
      <c r="N331" s="7"/>
      <c r="O331" s="7"/>
      <c r="P331" s="7" t="s">
        <v>304</v>
      </c>
      <c r="Q331" s="7" t="s">
        <v>62</v>
      </c>
      <c r="R331" s="7" t="s">
        <v>5996</v>
      </c>
      <c r="S331" s="7" t="n">
        <v>3459</v>
      </c>
      <c r="T331" s="7" t="s">
        <v>5997</v>
      </c>
      <c r="U331" s="7"/>
      <c r="V331" s="7"/>
      <c r="W331" s="7" t="n">
        <v>1</v>
      </c>
      <c r="X331" s="7" t="n">
        <v>14</v>
      </c>
      <c r="Y331" s="7" t="n">
        <v>13</v>
      </c>
      <c r="Z331" s="7"/>
      <c r="AA331" s="9" t="s">
        <v>5998</v>
      </c>
      <c r="AB331" s="7" t="s">
        <v>5999</v>
      </c>
      <c r="AC331" s="7" t="s">
        <v>6000</v>
      </c>
      <c r="AD331" s="7" t="s">
        <v>6001</v>
      </c>
      <c r="AE331" s="7" t="s">
        <v>6002</v>
      </c>
      <c r="AF331" s="7"/>
      <c r="AG331" s="7"/>
      <c r="AH331" s="7"/>
      <c r="AI331" s="7"/>
      <c r="AJ331" s="10" t="s">
        <v>6003</v>
      </c>
      <c r="AK331" s="7" t="s">
        <v>6004</v>
      </c>
      <c r="AL331" s="7" t="s">
        <v>6005</v>
      </c>
      <c r="AM331" s="7" t="s">
        <v>6006</v>
      </c>
      <c r="AN331" s="7" t="s">
        <v>6007</v>
      </c>
      <c r="AO331" s="7"/>
      <c r="AP331" s="7" t="s">
        <v>6008</v>
      </c>
      <c r="AQ331" s="7" t="s">
        <v>6009</v>
      </c>
      <c r="AR331" s="7" t="s">
        <v>6010</v>
      </c>
      <c r="AS331" s="7" t="n">
        <v>191766</v>
      </c>
      <c r="AT331" s="7" t="n">
        <v>16130073</v>
      </c>
      <c r="AU331" s="7"/>
      <c r="AV331" s="7"/>
      <c r="AW331" s="7"/>
      <c r="AX331" s="7" t="s">
        <v>6011</v>
      </c>
      <c r="AY331" s="7" t="s">
        <v>75</v>
      </c>
      <c r="AZ331" s="7"/>
      <c r="BA331" s="7" t="s">
        <v>76</v>
      </c>
      <c r="BB331" s="7" t="s">
        <v>6012</v>
      </c>
      <c r="BC331" s="7"/>
      <c r="BD331" s="7"/>
      <c r="BE331" s="7"/>
      <c r="BF331" s="7"/>
      <c r="BG331" s="7"/>
      <c r="BH331" s="7"/>
      <c r="BI331" s="7"/>
    </row>
    <row r="332" customFormat="false" ht="14.25" hidden="false" customHeight="true" outlineLevel="0" collapsed="false">
      <c r="A332" s="7" t="s">
        <v>6013</v>
      </c>
      <c r="B332" s="7" t="s">
        <v>6014</v>
      </c>
      <c r="C332" s="7" t="s">
        <v>6015</v>
      </c>
      <c r="D332" s="7" t="s">
        <v>6016</v>
      </c>
      <c r="E332" s="7" t="n">
        <v>2023</v>
      </c>
      <c r="F332" s="8" t="s">
        <v>6017</v>
      </c>
      <c r="G332" s="6" t="s">
        <v>713</v>
      </c>
      <c r="H332" s="7"/>
      <c r="I332" s="7"/>
      <c r="J332" s="7"/>
      <c r="K332" s="7"/>
      <c r="L332" s="7"/>
      <c r="M332" s="7"/>
      <c r="N332" s="7"/>
      <c r="O332" s="7"/>
      <c r="P332" s="7" t="s">
        <v>304</v>
      </c>
      <c r="Q332" s="7" t="s">
        <v>62</v>
      </c>
      <c r="R332" s="7" t="s">
        <v>2892</v>
      </c>
      <c r="S332" s="7" t="s">
        <v>6018</v>
      </c>
      <c r="T332" s="7" t="s">
        <v>307</v>
      </c>
      <c r="U332" s="7"/>
      <c r="V332" s="7"/>
      <c r="W332" s="7" t="n">
        <v>707</v>
      </c>
      <c r="X332" s="7" t="n">
        <v>718</v>
      </c>
      <c r="Y332" s="7" t="n">
        <v>11</v>
      </c>
      <c r="Z332" s="7" t="s">
        <v>6019</v>
      </c>
      <c r="AA332" s="9" t="s">
        <v>6020</v>
      </c>
      <c r="AB332" s="7" t="s">
        <v>6021</v>
      </c>
      <c r="AC332" s="7" t="s">
        <v>6022</v>
      </c>
      <c r="AD332" s="7" t="s">
        <v>6023</v>
      </c>
      <c r="AE332" s="7" t="s">
        <v>6024</v>
      </c>
      <c r="AF332" s="7"/>
      <c r="AG332" s="7"/>
      <c r="AH332" s="7"/>
      <c r="AI332" s="7"/>
      <c r="AJ332" s="10"/>
      <c r="AK332" s="7"/>
      <c r="AL332" s="7" t="s">
        <v>6025</v>
      </c>
      <c r="AM332" s="7" t="s">
        <v>6026</v>
      </c>
      <c r="AN332" s="7" t="s">
        <v>6027</v>
      </c>
      <c r="AO332" s="7"/>
      <c r="AP332" s="7" t="s">
        <v>6028</v>
      </c>
      <c r="AQ332" s="7" t="s">
        <v>6029</v>
      </c>
      <c r="AR332" s="7" t="s">
        <v>2416</v>
      </c>
      <c r="AS332" s="7" t="n">
        <v>294919</v>
      </c>
      <c r="AT332" s="7" t="n">
        <v>18761100</v>
      </c>
      <c r="AU332" s="7" t="s">
        <v>6030</v>
      </c>
      <c r="AV332" s="7"/>
      <c r="AW332" s="7"/>
      <c r="AX332" s="7" t="s">
        <v>2906</v>
      </c>
      <c r="AY332" s="7" t="s">
        <v>75</v>
      </c>
      <c r="AZ332" s="7"/>
      <c r="BA332" s="7" t="s">
        <v>76</v>
      </c>
      <c r="BB332" s="7" t="s">
        <v>6031</v>
      </c>
      <c r="BC332" s="7"/>
      <c r="BD332" s="7"/>
      <c r="BE332" s="7"/>
      <c r="BF332" s="7"/>
      <c r="BG332" s="7"/>
      <c r="BH332" s="7"/>
      <c r="BI332" s="7"/>
    </row>
    <row r="333" customFormat="false" ht="14.25" hidden="false" customHeight="true" outlineLevel="0" collapsed="false">
      <c r="A333" s="7" t="s">
        <v>6032</v>
      </c>
      <c r="B333" s="7" t="s">
        <v>6033</v>
      </c>
      <c r="C333" s="7" t="s">
        <v>6034</v>
      </c>
      <c r="D333" s="7" t="s">
        <v>6035</v>
      </c>
      <c r="E333" s="7" t="n">
        <v>2023</v>
      </c>
      <c r="F333" s="8" t="s">
        <v>6036</v>
      </c>
      <c r="G333" s="6" t="s">
        <v>713</v>
      </c>
      <c r="H333" s="7"/>
      <c r="I333" s="7"/>
      <c r="J333" s="7"/>
      <c r="K333" s="7"/>
      <c r="L333" s="7"/>
      <c r="M333" s="7"/>
      <c r="N333" s="7"/>
      <c r="O333" s="7"/>
      <c r="P333" s="7" t="s">
        <v>304</v>
      </c>
      <c r="Q333" s="7" t="s">
        <v>62</v>
      </c>
      <c r="R333" s="7" t="s">
        <v>6037</v>
      </c>
      <c r="S333" s="7"/>
      <c r="T333" s="7" t="s">
        <v>187</v>
      </c>
      <c r="U333" s="7"/>
      <c r="V333" s="7"/>
      <c r="W333" s="7" t="n">
        <v>291</v>
      </c>
      <c r="X333" s="7" t="n">
        <v>296</v>
      </c>
      <c r="Y333" s="7" t="n">
        <v>5</v>
      </c>
      <c r="Z333" s="7" t="s">
        <v>6038</v>
      </c>
      <c r="AA333" s="9" t="s">
        <v>6039</v>
      </c>
      <c r="AB333" s="7" t="s">
        <v>6040</v>
      </c>
      <c r="AC333" s="7" t="s">
        <v>6041</v>
      </c>
      <c r="AD333" s="7" t="s">
        <v>6042</v>
      </c>
      <c r="AE333" s="7" t="s">
        <v>6043</v>
      </c>
      <c r="AF333" s="7"/>
      <c r="AG333" s="7"/>
      <c r="AH333" s="7"/>
      <c r="AI333" s="7"/>
      <c r="AJ333" s="10"/>
      <c r="AK333" s="7"/>
      <c r="AL333" s="7" t="s">
        <v>6044</v>
      </c>
      <c r="AM333" s="7" t="s">
        <v>6045</v>
      </c>
      <c r="AN333" s="7"/>
      <c r="AO333" s="7"/>
      <c r="AP333" s="7" t="s">
        <v>6037</v>
      </c>
      <c r="AQ333" s="7" t="s">
        <v>6046</v>
      </c>
      <c r="AR333" s="7" t="s">
        <v>6047</v>
      </c>
      <c r="AS333" s="7" t="n">
        <v>192003</v>
      </c>
      <c r="AT333" s="7"/>
      <c r="AU333" s="7" t="s">
        <v>6048</v>
      </c>
      <c r="AV333" s="7"/>
      <c r="AW333" s="7"/>
      <c r="AX333" s="7" t="s">
        <v>6049</v>
      </c>
      <c r="AY333" s="7" t="s">
        <v>75</v>
      </c>
      <c r="AZ333" s="7"/>
      <c r="BA333" s="7" t="s">
        <v>76</v>
      </c>
      <c r="BB333" s="7" t="s">
        <v>6050</v>
      </c>
      <c r="BC333" s="7"/>
      <c r="BD333" s="7"/>
      <c r="BE333" s="7"/>
      <c r="BF333" s="7"/>
      <c r="BG333" s="7"/>
      <c r="BH333" s="7"/>
      <c r="BI333" s="7"/>
    </row>
    <row r="334" customFormat="false" ht="14.25" hidden="false" customHeight="true" outlineLevel="0" collapsed="false">
      <c r="A334" s="7" t="s">
        <v>6051</v>
      </c>
      <c r="B334" s="7" t="s">
        <v>6052</v>
      </c>
      <c r="C334" s="7" t="s">
        <v>6053</v>
      </c>
      <c r="D334" s="7" t="s">
        <v>6054</v>
      </c>
      <c r="E334" s="7" t="n">
        <v>2023</v>
      </c>
      <c r="F334" s="8" t="s">
        <v>6055</v>
      </c>
      <c r="G334" s="6" t="s">
        <v>713</v>
      </c>
      <c r="H334" s="7"/>
      <c r="I334" s="7"/>
      <c r="J334" s="7"/>
      <c r="K334" s="7"/>
      <c r="L334" s="7"/>
      <c r="M334" s="7"/>
      <c r="N334" s="7"/>
      <c r="O334" s="7"/>
      <c r="P334" s="7" t="s">
        <v>304</v>
      </c>
      <c r="Q334" s="7" t="s">
        <v>62</v>
      </c>
      <c r="R334" s="7" t="s">
        <v>6056</v>
      </c>
      <c r="S334" s="7"/>
      <c r="T334" s="7" t="s">
        <v>187</v>
      </c>
      <c r="U334" s="7"/>
      <c r="V334" s="7"/>
      <c r="W334" s="7"/>
      <c r="X334" s="7"/>
      <c r="Y334" s="7"/>
      <c r="Z334" s="7" t="s">
        <v>6057</v>
      </c>
      <c r="AA334" s="9" t="s">
        <v>6058</v>
      </c>
      <c r="AB334" s="7" t="s">
        <v>6059</v>
      </c>
      <c r="AC334" s="7" t="s">
        <v>6060</v>
      </c>
      <c r="AD334" s="7" t="s">
        <v>6061</v>
      </c>
      <c r="AE334" s="7" t="s">
        <v>6062</v>
      </c>
      <c r="AF334" s="7"/>
      <c r="AG334" s="7"/>
      <c r="AH334" s="7"/>
      <c r="AI334" s="7"/>
      <c r="AJ334" s="10" t="s">
        <v>6063</v>
      </c>
      <c r="AK334" s="7" t="s">
        <v>6064</v>
      </c>
      <c r="AL334" s="7" t="s">
        <v>6065</v>
      </c>
      <c r="AM334" s="7" t="s">
        <v>6066</v>
      </c>
      <c r="AN334" s="7"/>
      <c r="AO334" s="7" t="s">
        <v>6067</v>
      </c>
      <c r="AP334" s="7" t="s">
        <v>6068</v>
      </c>
      <c r="AQ334" s="7" t="s">
        <v>6069</v>
      </c>
      <c r="AR334" s="7" t="s">
        <v>6070</v>
      </c>
      <c r="AS334" s="7" t="n">
        <v>196120</v>
      </c>
      <c r="AT334" s="7"/>
      <c r="AU334" s="7" t="s">
        <v>6071</v>
      </c>
      <c r="AV334" s="7"/>
      <c r="AW334" s="7"/>
      <c r="AX334" s="7" t="s">
        <v>6072</v>
      </c>
      <c r="AY334" s="7" t="s">
        <v>75</v>
      </c>
      <c r="AZ334" s="7"/>
      <c r="BA334" s="7" t="s">
        <v>76</v>
      </c>
      <c r="BB334" s="7" t="s">
        <v>6073</v>
      </c>
      <c r="BC334" s="7"/>
      <c r="BD334" s="7"/>
      <c r="BE334" s="7"/>
      <c r="BF334" s="7"/>
      <c r="BG334" s="7"/>
      <c r="BH334" s="7"/>
      <c r="BI334" s="7"/>
    </row>
    <row r="335" customFormat="false" ht="14.25" hidden="false" customHeight="true" outlineLevel="0" collapsed="false">
      <c r="A335" s="7" t="s">
        <v>6074</v>
      </c>
      <c r="B335" s="7" t="s">
        <v>6075</v>
      </c>
      <c r="C335" s="7" t="s">
        <v>6076</v>
      </c>
      <c r="D335" s="7" t="s">
        <v>6077</v>
      </c>
      <c r="E335" s="7" t="n">
        <v>2023</v>
      </c>
      <c r="F335" s="8" t="s">
        <v>6078</v>
      </c>
      <c r="G335" s="6" t="s">
        <v>713</v>
      </c>
      <c r="H335" s="7"/>
      <c r="I335" s="7"/>
      <c r="J335" s="7"/>
      <c r="K335" s="7"/>
      <c r="L335" s="7"/>
      <c r="M335" s="7"/>
      <c r="N335" s="7"/>
      <c r="O335" s="7"/>
      <c r="P335" s="7" t="s">
        <v>304</v>
      </c>
      <c r="Q335" s="7" t="s">
        <v>62</v>
      </c>
      <c r="R335" s="7" t="s">
        <v>6079</v>
      </c>
      <c r="S335" s="7"/>
      <c r="T335" s="7" t="s">
        <v>187</v>
      </c>
      <c r="U335" s="7"/>
      <c r="V335" s="7"/>
      <c r="W335" s="7" t="n">
        <v>323</v>
      </c>
      <c r="X335" s="7" t="n">
        <v>328</v>
      </c>
      <c r="Y335" s="7" t="n">
        <v>5</v>
      </c>
      <c r="Z335" s="7" t="s">
        <v>6080</v>
      </c>
      <c r="AA335" s="9" t="s">
        <v>6081</v>
      </c>
      <c r="AB335" s="7" t="s">
        <v>6082</v>
      </c>
      <c r="AC335" s="7" t="s">
        <v>6083</v>
      </c>
      <c r="AD335" s="7" t="s">
        <v>6084</v>
      </c>
      <c r="AE335" s="7" t="s">
        <v>6085</v>
      </c>
      <c r="AF335" s="7"/>
      <c r="AG335" s="7"/>
      <c r="AH335" s="7"/>
      <c r="AI335" s="7"/>
      <c r="AJ335" s="10"/>
      <c r="AK335" s="7"/>
      <c r="AL335" s="7" t="s">
        <v>6086</v>
      </c>
      <c r="AM335" s="7"/>
      <c r="AN335" s="7"/>
      <c r="AO335" s="7"/>
      <c r="AP335" s="7" t="s">
        <v>6087</v>
      </c>
      <c r="AQ335" s="7" t="s">
        <v>6088</v>
      </c>
      <c r="AR335" s="7" t="s">
        <v>6089</v>
      </c>
      <c r="AS335" s="7" t="n">
        <v>194600</v>
      </c>
      <c r="AT335" s="7"/>
      <c r="AU335" s="7" t="s">
        <v>6090</v>
      </c>
      <c r="AV335" s="7"/>
      <c r="AW335" s="7"/>
      <c r="AX335" s="7" t="s">
        <v>6091</v>
      </c>
      <c r="AY335" s="7" t="s">
        <v>75</v>
      </c>
      <c r="AZ335" s="7"/>
      <c r="BA335" s="7" t="s">
        <v>76</v>
      </c>
      <c r="BB335" s="7" t="s">
        <v>6092</v>
      </c>
      <c r="BC335" s="7"/>
      <c r="BD335" s="7"/>
      <c r="BE335" s="7"/>
      <c r="BF335" s="7"/>
      <c r="BG335" s="7"/>
      <c r="BH335" s="7"/>
      <c r="BI335" s="7"/>
    </row>
    <row r="336" customFormat="false" ht="14.25" hidden="false" customHeight="true" outlineLevel="0" collapsed="false">
      <c r="A336" s="7" t="s">
        <v>6093</v>
      </c>
      <c r="B336" s="7" t="s">
        <v>6094</v>
      </c>
      <c r="C336" s="7" t="s">
        <v>6095</v>
      </c>
      <c r="D336" s="7" t="s">
        <v>6096</v>
      </c>
      <c r="E336" s="7" t="n">
        <v>2023</v>
      </c>
      <c r="F336" s="8" t="s">
        <v>6097</v>
      </c>
      <c r="G336" s="6" t="s">
        <v>713</v>
      </c>
      <c r="H336" s="7"/>
      <c r="I336" s="7"/>
      <c r="J336" s="7"/>
      <c r="K336" s="7"/>
      <c r="L336" s="7"/>
      <c r="M336" s="7"/>
      <c r="N336" s="7"/>
      <c r="O336" s="7"/>
      <c r="P336" s="7" t="s">
        <v>304</v>
      </c>
      <c r="Q336" s="7" t="s">
        <v>62</v>
      </c>
      <c r="R336" s="7" t="s">
        <v>6098</v>
      </c>
      <c r="S336" s="7"/>
      <c r="T336" s="7" t="s">
        <v>187</v>
      </c>
      <c r="U336" s="7"/>
      <c r="V336" s="7"/>
      <c r="W336" s="7"/>
      <c r="X336" s="7"/>
      <c r="Y336" s="7"/>
      <c r="Z336" s="7" t="s">
        <v>6099</v>
      </c>
      <c r="AA336" s="9" t="s">
        <v>6100</v>
      </c>
      <c r="AB336" s="7" t="s">
        <v>6101</v>
      </c>
      <c r="AC336" s="7" t="s">
        <v>6102</v>
      </c>
      <c r="AD336" s="7" t="s">
        <v>6103</v>
      </c>
      <c r="AE336" s="7" t="s">
        <v>6104</v>
      </c>
      <c r="AF336" s="7"/>
      <c r="AG336" s="7"/>
      <c r="AH336" s="7"/>
      <c r="AI336" s="7"/>
      <c r="AJ336" s="10"/>
      <c r="AK336" s="7"/>
      <c r="AL336" s="7" t="s">
        <v>6105</v>
      </c>
      <c r="AM336" s="7"/>
      <c r="AN336" s="7"/>
      <c r="AO336" s="7" t="s">
        <v>6106</v>
      </c>
      <c r="AP336" s="7" t="s">
        <v>6107</v>
      </c>
      <c r="AQ336" s="7" t="s">
        <v>6108</v>
      </c>
      <c r="AR336" s="7" t="s">
        <v>6109</v>
      </c>
      <c r="AS336" s="7" t="n">
        <v>188532</v>
      </c>
      <c r="AT336" s="7"/>
      <c r="AU336" s="7" t="s">
        <v>6110</v>
      </c>
      <c r="AV336" s="7"/>
      <c r="AW336" s="7"/>
      <c r="AX336" s="7" t="s">
        <v>6111</v>
      </c>
      <c r="AY336" s="7" t="s">
        <v>75</v>
      </c>
      <c r="AZ336" s="7"/>
      <c r="BA336" s="7" t="s">
        <v>76</v>
      </c>
      <c r="BB336" s="7" t="s">
        <v>6112</v>
      </c>
      <c r="BC336" s="7"/>
      <c r="BD336" s="7"/>
      <c r="BE336" s="7"/>
      <c r="BF336" s="7"/>
      <c r="BG336" s="7"/>
      <c r="BH336" s="7"/>
      <c r="BI336" s="7"/>
    </row>
    <row r="337" customFormat="false" ht="14.25" hidden="false" customHeight="true" outlineLevel="0" collapsed="false">
      <c r="A337" s="7" t="s">
        <v>6113</v>
      </c>
      <c r="B337" s="7" t="s">
        <v>6114</v>
      </c>
      <c r="C337" s="7" t="s">
        <v>6115</v>
      </c>
      <c r="D337" s="7" t="s">
        <v>6116</v>
      </c>
      <c r="E337" s="7" t="n">
        <v>2023</v>
      </c>
      <c r="F337" s="8" t="s">
        <v>6117</v>
      </c>
      <c r="G337" s="6" t="s">
        <v>713</v>
      </c>
      <c r="H337" s="7"/>
      <c r="I337" s="7"/>
      <c r="J337" s="7"/>
      <c r="K337" s="7"/>
      <c r="L337" s="7"/>
      <c r="M337" s="7"/>
      <c r="N337" s="7"/>
      <c r="O337" s="7"/>
      <c r="P337" s="7" t="s">
        <v>304</v>
      </c>
      <c r="Q337" s="7" t="s">
        <v>62</v>
      </c>
      <c r="R337" s="7" t="s">
        <v>6118</v>
      </c>
      <c r="S337" s="7"/>
      <c r="T337" s="7" t="s">
        <v>187</v>
      </c>
      <c r="U337" s="7"/>
      <c r="V337" s="7"/>
      <c r="W337" s="7"/>
      <c r="X337" s="7"/>
      <c r="Y337" s="7"/>
      <c r="Z337" s="7" t="s">
        <v>6119</v>
      </c>
      <c r="AA337" s="9" t="s">
        <v>6120</v>
      </c>
      <c r="AB337" s="7" t="s">
        <v>6121</v>
      </c>
      <c r="AC337" s="7" t="s">
        <v>6122</v>
      </c>
      <c r="AD337" s="7" t="s">
        <v>6123</v>
      </c>
      <c r="AE337" s="7" t="s">
        <v>6124</v>
      </c>
      <c r="AF337" s="7"/>
      <c r="AG337" s="7"/>
      <c r="AH337" s="7"/>
      <c r="AI337" s="7"/>
      <c r="AJ337" s="10"/>
      <c r="AK337" s="7"/>
      <c r="AL337" s="7" t="s">
        <v>6125</v>
      </c>
      <c r="AM337" s="7" t="s">
        <v>6126</v>
      </c>
      <c r="AN337" s="7"/>
      <c r="AO337" s="7"/>
      <c r="AP337" s="7" t="s">
        <v>6118</v>
      </c>
      <c r="AQ337" s="7" t="s">
        <v>6127</v>
      </c>
      <c r="AR337" s="7" t="s">
        <v>2827</v>
      </c>
      <c r="AS337" s="7" t="n">
        <v>188466</v>
      </c>
      <c r="AT337" s="7"/>
      <c r="AU337" s="7" t="s">
        <v>6128</v>
      </c>
      <c r="AV337" s="7"/>
      <c r="AW337" s="7"/>
      <c r="AX337" s="7" t="s">
        <v>6129</v>
      </c>
      <c r="AY337" s="7" t="s">
        <v>75</v>
      </c>
      <c r="AZ337" s="7"/>
      <c r="BA337" s="7" t="s">
        <v>76</v>
      </c>
      <c r="BB337" s="7" t="s">
        <v>6130</v>
      </c>
      <c r="BC337" s="7"/>
      <c r="BD337" s="7"/>
      <c r="BE337" s="7"/>
      <c r="BF337" s="7"/>
      <c r="BG337" s="7"/>
      <c r="BH337" s="7"/>
      <c r="BI337" s="7"/>
    </row>
    <row r="338" customFormat="false" ht="14.25" hidden="false" customHeight="true" outlineLevel="0" collapsed="false">
      <c r="A338" s="7" t="s">
        <v>6131</v>
      </c>
      <c r="B338" s="7" t="s">
        <v>6132</v>
      </c>
      <c r="C338" s="7" t="s">
        <v>6133</v>
      </c>
      <c r="D338" s="7" t="s">
        <v>6134</v>
      </c>
      <c r="E338" s="7" t="n">
        <v>2023</v>
      </c>
      <c r="F338" s="8" t="s">
        <v>6135</v>
      </c>
      <c r="G338" s="6" t="s">
        <v>713</v>
      </c>
      <c r="H338" s="7"/>
      <c r="I338" s="7"/>
      <c r="J338" s="7"/>
      <c r="K338" s="7"/>
      <c r="L338" s="7"/>
      <c r="M338" s="7"/>
      <c r="N338" s="7"/>
      <c r="O338" s="7"/>
      <c r="P338" s="7" t="s">
        <v>304</v>
      </c>
      <c r="Q338" s="7" t="s">
        <v>62</v>
      </c>
      <c r="R338" s="7" t="s">
        <v>6136</v>
      </c>
      <c r="S338" s="7"/>
      <c r="T338" s="7" t="s">
        <v>187</v>
      </c>
      <c r="U338" s="7"/>
      <c r="V338" s="7"/>
      <c r="W338" s="7" t="n">
        <v>302</v>
      </c>
      <c r="X338" s="7" t="n">
        <v>307</v>
      </c>
      <c r="Y338" s="7" t="n">
        <v>5</v>
      </c>
      <c r="Z338" s="7" t="s">
        <v>6137</v>
      </c>
      <c r="AA338" s="9" t="s">
        <v>6138</v>
      </c>
      <c r="AB338" s="7" t="s">
        <v>6139</v>
      </c>
      <c r="AC338" s="7" t="s">
        <v>6140</v>
      </c>
      <c r="AD338" s="7" t="s">
        <v>6141</v>
      </c>
      <c r="AE338" s="7" t="s">
        <v>6142</v>
      </c>
      <c r="AF338" s="7"/>
      <c r="AG338" s="7"/>
      <c r="AH338" s="7"/>
      <c r="AI338" s="7"/>
      <c r="AJ338" s="10"/>
      <c r="AK338" s="7"/>
      <c r="AL338" s="7" t="s">
        <v>6143</v>
      </c>
      <c r="AM338" s="7"/>
      <c r="AN338" s="7"/>
      <c r="AO338" s="7"/>
      <c r="AP338" s="7" t="s">
        <v>6144</v>
      </c>
      <c r="AQ338" s="7" t="s">
        <v>6145</v>
      </c>
      <c r="AR338" s="7" t="s">
        <v>6146</v>
      </c>
      <c r="AS338" s="7" t="n">
        <v>197692</v>
      </c>
      <c r="AT338" s="7" t="n">
        <v>23340983</v>
      </c>
      <c r="AU338" s="7" t="s">
        <v>6147</v>
      </c>
      <c r="AV338" s="7"/>
      <c r="AW338" s="7"/>
      <c r="AX338" s="7" t="s">
        <v>6148</v>
      </c>
      <c r="AY338" s="7" t="s">
        <v>75</v>
      </c>
      <c r="AZ338" s="7"/>
      <c r="BA338" s="7" t="s">
        <v>76</v>
      </c>
      <c r="BB338" s="7" t="s">
        <v>6149</v>
      </c>
      <c r="BC338" s="7"/>
      <c r="BD338" s="7"/>
      <c r="BE338" s="7"/>
      <c r="BF338" s="7"/>
      <c r="BG338" s="7"/>
      <c r="BH338" s="7"/>
      <c r="BI338" s="7"/>
    </row>
    <row r="339" customFormat="false" ht="14.25" hidden="false" customHeight="true" outlineLevel="0" collapsed="false">
      <c r="A339" s="7" t="s">
        <v>6150</v>
      </c>
      <c r="B339" s="7" t="s">
        <v>6151</v>
      </c>
      <c r="C339" s="7" t="s">
        <v>6152</v>
      </c>
      <c r="D339" s="7" t="s">
        <v>6153</v>
      </c>
      <c r="E339" s="7" t="n">
        <v>2023</v>
      </c>
      <c r="F339" s="8" t="s">
        <v>6154</v>
      </c>
      <c r="G339" s="6" t="s">
        <v>713</v>
      </c>
      <c r="H339" s="7"/>
      <c r="I339" s="7"/>
      <c r="J339" s="7"/>
      <c r="K339" s="7"/>
      <c r="L339" s="7"/>
      <c r="M339" s="7"/>
      <c r="N339" s="7"/>
      <c r="O339" s="7"/>
      <c r="P339" s="7" t="s">
        <v>304</v>
      </c>
      <c r="Q339" s="7" t="s">
        <v>62</v>
      </c>
      <c r="R339" s="7" t="s">
        <v>6155</v>
      </c>
      <c r="S339" s="7"/>
      <c r="T339" s="7" t="s">
        <v>187</v>
      </c>
      <c r="U339" s="7"/>
      <c r="V339" s="7"/>
      <c r="W339" s="7"/>
      <c r="X339" s="7"/>
      <c r="Y339" s="7"/>
      <c r="Z339" s="7" t="s">
        <v>6156</v>
      </c>
      <c r="AA339" s="9" t="s">
        <v>6157</v>
      </c>
      <c r="AB339" s="7" t="s">
        <v>6158</v>
      </c>
      <c r="AC339" s="7" t="s">
        <v>6159</v>
      </c>
      <c r="AD339" s="7" t="s">
        <v>6160</v>
      </c>
      <c r="AE339" s="7" t="s">
        <v>6161</v>
      </c>
      <c r="AF339" s="7"/>
      <c r="AG339" s="7"/>
      <c r="AH339" s="7"/>
      <c r="AI339" s="7"/>
      <c r="AJ339" s="10"/>
      <c r="AK339" s="7"/>
      <c r="AL339" s="7" t="s">
        <v>6162</v>
      </c>
      <c r="AM339" s="7" t="s">
        <v>6163</v>
      </c>
      <c r="AN339" s="7"/>
      <c r="AO339" s="7"/>
      <c r="AP339" s="7" t="s">
        <v>6155</v>
      </c>
      <c r="AQ339" s="7" t="s">
        <v>5371</v>
      </c>
      <c r="AR339" s="7" t="s">
        <v>6164</v>
      </c>
      <c r="AS339" s="7" t="n">
        <v>192767</v>
      </c>
      <c r="AT339" s="7"/>
      <c r="AU339" s="7" t="s">
        <v>6165</v>
      </c>
      <c r="AV339" s="7"/>
      <c r="AW339" s="7"/>
      <c r="AX339" s="7" t="s">
        <v>6166</v>
      </c>
      <c r="AY339" s="7" t="s">
        <v>75</v>
      </c>
      <c r="AZ339" s="7"/>
      <c r="BA339" s="7" t="s">
        <v>76</v>
      </c>
      <c r="BB339" s="7" t="s">
        <v>6167</v>
      </c>
      <c r="BC339" s="7"/>
      <c r="BD339" s="7"/>
      <c r="BE339" s="7"/>
      <c r="BF339" s="7"/>
      <c r="BG339" s="7"/>
      <c r="BH339" s="7"/>
      <c r="BI339" s="7"/>
    </row>
    <row r="340" customFormat="false" ht="14.25" hidden="false" customHeight="true" outlineLevel="0" collapsed="false">
      <c r="A340" s="7" t="s">
        <v>6168</v>
      </c>
      <c r="B340" s="7" t="s">
        <v>6169</v>
      </c>
      <c r="C340" s="7" t="s">
        <v>6170</v>
      </c>
      <c r="D340" s="7" t="s">
        <v>6171</v>
      </c>
      <c r="E340" s="7" t="n">
        <v>2023</v>
      </c>
      <c r="F340" s="8" t="s">
        <v>6172</v>
      </c>
      <c r="G340" s="6" t="s">
        <v>713</v>
      </c>
      <c r="H340" s="7"/>
      <c r="I340" s="7"/>
      <c r="J340" s="7"/>
      <c r="K340" s="7"/>
      <c r="L340" s="7"/>
      <c r="M340" s="7"/>
      <c r="N340" s="7"/>
      <c r="O340" s="7"/>
      <c r="P340" s="7" t="s">
        <v>304</v>
      </c>
      <c r="Q340" s="7" t="s">
        <v>62</v>
      </c>
      <c r="R340" s="7" t="s">
        <v>6173</v>
      </c>
      <c r="S340" s="7"/>
      <c r="T340" s="7" t="s">
        <v>187</v>
      </c>
      <c r="U340" s="7"/>
      <c r="V340" s="7"/>
      <c r="W340" s="7"/>
      <c r="X340" s="7"/>
      <c r="Y340" s="7"/>
      <c r="Z340" s="7" t="s">
        <v>6174</v>
      </c>
      <c r="AA340" s="9" t="s">
        <v>6175</v>
      </c>
      <c r="AB340" s="7" t="s">
        <v>6176</v>
      </c>
      <c r="AC340" s="7" t="s">
        <v>6177</v>
      </c>
      <c r="AD340" s="7" t="s">
        <v>6178</v>
      </c>
      <c r="AE340" s="7" t="s">
        <v>6179</v>
      </c>
      <c r="AF340" s="7"/>
      <c r="AG340" s="7"/>
      <c r="AH340" s="7"/>
      <c r="AI340" s="7"/>
      <c r="AJ340" s="10"/>
      <c r="AK340" s="7"/>
      <c r="AL340" s="7" t="s">
        <v>6180</v>
      </c>
      <c r="AM340" s="7"/>
      <c r="AN340" s="7"/>
      <c r="AO340" s="7"/>
      <c r="AP340" s="7" t="s">
        <v>6173</v>
      </c>
      <c r="AQ340" s="7" t="s">
        <v>6181</v>
      </c>
      <c r="AR340" s="7" t="s">
        <v>6182</v>
      </c>
      <c r="AS340" s="7" t="n">
        <v>197523</v>
      </c>
      <c r="AT340" s="7"/>
      <c r="AU340" s="7" t="s">
        <v>6183</v>
      </c>
      <c r="AV340" s="7"/>
      <c r="AW340" s="7"/>
      <c r="AX340" s="7" t="s">
        <v>6184</v>
      </c>
      <c r="AY340" s="7" t="s">
        <v>75</v>
      </c>
      <c r="AZ340" s="7"/>
      <c r="BA340" s="7" t="s">
        <v>76</v>
      </c>
      <c r="BB340" s="7" t="s">
        <v>6185</v>
      </c>
      <c r="BC340" s="7"/>
      <c r="BD340" s="7"/>
      <c r="BE340" s="7"/>
      <c r="BF340" s="7"/>
      <c r="BG340" s="7"/>
      <c r="BH340" s="7"/>
      <c r="BI340" s="7"/>
    </row>
    <row r="341" customFormat="false" ht="14.25" hidden="false" customHeight="true" outlineLevel="0" collapsed="false">
      <c r="A341" s="7" t="s">
        <v>6186</v>
      </c>
      <c r="B341" s="7" t="s">
        <v>6187</v>
      </c>
      <c r="C341" s="7" t="s">
        <v>6188</v>
      </c>
      <c r="D341" s="7" t="s">
        <v>6189</v>
      </c>
      <c r="E341" s="7" t="n">
        <v>2023</v>
      </c>
      <c r="F341" s="8" t="s">
        <v>6190</v>
      </c>
      <c r="G341" s="6" t="s">
        <v>713</v>
      </c>
      <c r="H341" s="7"/>
      <c r="I341" s="7"/>
      <c r="J341" s="7"/>
      <c r="K341" s="7"/>
      <c r="L341" s="7"/>
      <c r="M341" s="7"/>
      <c r="N341" s="7"/>
      <c r="O341" s="7"/>
      <c r="P341" s="7" t="s">
        <v>304</v>
      </c>
      <c r="Q341" s="7" t="s">
        <v>62</v>
      </c>
      <c r="R341" s="7" t="s">
        <v>6191</v>
      </c>
      <c r="S341" s="7"/>
      <c r="T341" s="7" t="s">
        <v>187</v>
      </c>
      <c r="U341" s="7"/>
      <c r="V341" s="7"/>
      <c r="W341" s="7" t="n">
        <v>337</v>
      </c>
      <c r="X341" s="7" t="n">
        <v>340</v>
      </c>
      <c r="Y341" s="7" t="n">
        <v>3</v>
      </c>
      <c r="Z341" s="7" t="s">
        <v>6192</v>
      </c>
      <c r="AA341" s="9" t="s">
        <v>6193</v>
      </c>
      <c r="AB341" s="7" t="s">
        <v>6194</v>
      </c>
      <c r="AC341" s="7" t="s">
        <v>6195</v>
      </c>
      <c r="AD341" s="7" t="s">
        <v>6196</v>
      </c>
      <c r="AE341" s="7" t="s">
        <v>6197</v>
      </c>
      <c r="AF341" s="7"/>
      <c r="AG341" s="7"/>
      <c r="AH341" s="7"/>
      <c r="AI341" s="7"/>
      <c r="AJ341" s="10"/>
      <c r="AK341" s="7"/>
      <c r="AL341" s="7" t="s">
        <v>6198</v>
      </c>
      <c r="AM341" s="7" t="s">
        <v>6199</v>
      </c>
      <c r="AN341" s="7" t="s">
        <v>6200</v>
      </c>
      <c r="AO341" s="7" t="s">
        <v>6201</v>
      </c>
      <c r="AP341" s="7" t="s">
        <v>6202</v>
      </c>
      <c r="AQ341" s="7" t="s">
        <v>6203</v>
      </c>
      <c r="AR341" s="7" t="s">
        <v>6204</v>
      </c>
      <c r="AS341" s="7" t="n">
        <v>195127</v>
      </c>
      <c r="AT341" s="7"/>
      <c r="AU341" s="7" t="s">
        <v>6205</v>
      </c>
      <c r="AV341" s="7"/>
      <c r="AW341" s="7"/>
      <c r="AX341" s="7" t="s">
        <v>6206</v>
      </c>
      <c r="AY341" s="7" t="s">
        <v>75</v>
      </c>
      <c r="AZ341" s="7"/>
      <c r="BA341" s="7" t="s">
        <v>76</v>
      </c>
      <c r="BB341" s="7" t="s">
        <v>6207</v>
      </c>
      <c r="BC341" s="7"/>
      <c r="BD341" s="7"/>
      <c r="BE341" s="7"/>
      <c r="BF341" s="7"/>
      <c r="BG341" s="7"/>
      <c r="BH341" s="7"/>
      <c r="BI341" s="7"/>
    </row>
    <row r="342" customFormat="false" ht="14.25" hidden="false" customHeight="true" outlineLevel="0" collapsed="false">
      <c r="A342" s="7" t="s">
        <v>6208</v>
      </c>
      <c r="B342" s="7" t="s">
        <v>6209</v>
      </c>
      <c r="C342" s="7" t="s">
        <v>6210</v>
      </c>
      <c r="D342" s="7" t="s">
        <v>6211</v>
      </c>
      <c r="E342" s="7" t="n">
        <v>2023</v>
      </c>
      <c r="F342" s="8" t="s">
        <v>6212</v>
      </c>
      <c r="G342" s="6" t="s">
        <v>713</v>
      </c>
      <c r="H342" s="7"/>
      <c r="I342" s="7"/>
      <c r="J342" s="7"/>
      <c r="K342" s="7"/>
      <c r="L342" s="7"/>
      <c r="M342" s="7"/>
      <c r="N342" s="7"/>
      <c r="O342" s="7"/>
      <c r="P342" s="7" t="s">
        <v>304</v>
      </c>
      <c r="Q342" s="7" t="s">
        <v>62</v>
      </c>
      <c r="R342" s="7" t="s">
        <v>6213</v>
      </c>
      <c r="S342" s="7"/>
      <c r="T342" s="7" t="s">
        <v>187</v>
      </c>
      <c r="U342" s="7"/>
      <c r="V342" s="7"/>
      <c r="W342" s="7"/>
      <c r="X342" s="7"/>
      <c r="Y342" s="7"/>
      <c r="Z342" s="7" t="s">
        <v>6214</v>
      </c>
      <c r="AA342" s="9" t="s">
        <v>6215</v>
      </c>
      <c r="AB342" s="7" t="s">
        <v>6216</v>
      </c>
      <c r="AC342" s="7" t="s">
        <v>6217</v>
      </c>
      <c r="AD342" s="7" t="s">
        <v>6218</v>
      </c>
      <c r="AE342" s="7" t="s">
        <v>6219</v>
      </c>
      <c r="AF342" s="7"/>
      <c r="AG342" s="7"/>
      <c r="AH342" s="7"/>
      <c r="AI342" s="7"/>
      <c r="AJ342" s="10"/>
      <c r="AK342" s="7"/>
      <c r="AL342" s="7" t="s">
        <v>6220</v>
      </c>
      <c r="AM342" s="7" t="s">
        <v>6221</v>
      </c>
      <c r="AN342" s="7"/>
      <c r="AO342" s="7" t="s">
        <v>6222</v>
      </c>
      <c r="AP342" s="7" t="s">
        <v>6223</v>
      </c>
      <c r="AQ342" s="7" t="s">
        <v>6224</v>
      </c>
      <c r="AR342" s="7" t="s">
        <v>363</v>
      </c>
      <c r="AS342" s="7" t="n">
        <v>198780</v>
      </c>
      <c r="AT342" s="7"/>
      <c r="AU342" s="7" t="s">
        <v>6225</v>
      </c>
      <c r="AV342" s="7"/>
      <c r="AW342" s="7"/>
      <c r="AX342" s="7" t="s">
        <v>6226</v>
      </c>
      <c r="AY342" s="7" t="s">
        <v>75</v>
      </c>
      <c r="AZ342" s="7"/>
      <c r="BA342" s="7" t="s">
        <v>76</v>
      </c>
      <c r="BB342" s="7" t="s">
        <v>6227</v>
      </c>
      <c r="BC342" s="7"/>
      <c r="BD342" s="7"/>
      <c r="BE342" s="7"/>
      <c r="BF342" s="7"/>
      <c r="BG342" s="7"/>
      <c r="BH342" s="7"/>
      <c r="BI342" s="7"/>
    </row>
    <row r="343" customFormat="false" ht="14.25" hidden="false" customHeight="true" outlineLevel="0" collapsed="false">
      <c r="A343" s="7" t="s">
        <v>6228</v>
      </c>
      <c r="B343" s="7" t="s">
        <v>6229</v>
      </c>
      <c r="C343" s="7" t="s">
        <v>6230</v>
      </c>
      <c r="D343" s="7" t="s">
        <v>6231</v>
      </c>
      <c r="E343" s="7" t="n">
        <v>2023</v>
      </c>
      <c r="F343" s="8" t="s">
        <v>6232</v>
      </c>
      <c r="G343" s="6" t="s">
        <v>713</v>
      </c>
      <c r="H343" s="7"/>
      <c r="I343" s="7"/>
      <c r="J343" s="7"/>
      <c r="K343" s="7"/>
      <c r="L343" s="7"/>
      <c r="M343" s="7"/>
      <c r="N343" s="7"/>
      <c r="O343" s="7"/>
      <c r="P343" s="7" t="s">
        <v>304</v>
      </c>
      <c r="Q343" s="7" t="s">
        <v>62</v>
      </c>
      <c r="R343" s="7" t="s">
        <v>350</v>
      </c>
      <c r="S343" s="7" t="s">
        <v>6233</v>
      </c>
      <c r="T343" s="7" t="s">
        <v>307</v>
      </c>
      <c r="U343" s="7"/>
      <c r="V343" s="7"/>
      <c r="W343" s="7" t="n">
        <v>413</v>
      </c>
      <c r="X343" s="7" t="n">
        <v>423</v>
      </c>
      <c r="Y343" s="7" t="n">
        <v>10</v>
      </c>
      <c r="Z343" s="7" t="s">
        <v>6234</v>
      </c>
      <c r="AA343" s="9" t="s">
        <v>6235</v>
      </c>
      <c r="AB343" s="7" t="s">
        <v>6236</v>
      </c>
      <c r="AC343" s="7" t="s">
        <v>6237</v>
      </c>
      <c r="AD343" s="7" t="s">
        <v>6238</v>
      </c>
      <c r="AE343" s="7" t="s">
        <v>6239</v>
      </c>
      <c r="AF343" s="7"/>
      <c r="AG343" s="7"/>
      <c r="AH343" s="7"/>
      <c r="AI343" s="7"/>
      <c r="AJ343" s="10"/>
      <c r="AK343" s="7"/>
      <c r="AL343" s="7" t="s">
        <v>6240</v>
      </c>
      <c r="AM343" s="7" t="s">
        <v>6241</v>
      </c>
      <c r="AN343" s="7" t="s">
        <v>6242</v>
      </c>
      <c r="AO343" s="7"/>
      <c r="AP343" s="7" t="s">
        <v>6243</v>
      </c>
      <c r="AQ343" s="7" t="s">
        <v>6244</v>
      </c>
      <c r="AR343" s="7" t="s">
        <v>3625</v>
      </c>
      <c r="AS343" s="7" t="n">
        <v>297369</v>
      </c>
      <c r="AT343" s="7" t="n">
        <v>23673370</v>
      </c>
      <c r="AU343" s="7" t="s">
        <v>6245</v>
      </c>
      <c r="AV343" s="7"/>
      <c r="AW343" s="7"/>
      <c r="AX343" s="7" t="s">
        <v>365</v>
      </c>
      <c r="AY343" s="7" t="s">
        <v>75</v>
      </c>
      <c r="AZ343" s="7"/>
      <c r="BA343" s="7" t="s">
        <v>76</v>
      </c>
      <c r="BB343" s="7" t="s">
        <v>6246</v>
      </c>
      <c r="BC343" s="7"/>
      <c r="BD343" s="7"/>
      <c r="BE343" s="7"/>
      <c r="BF343" s="7"/>
      <c r="BG343" s="7"/>
      <c r="BH343" s="7"/>
      <c r="BI343" s="7"/>
    </row>
    <row r="344" customFormat="false" ht="14.25" hidden="false" customHeight="true" outlineLevel="0" collapsed="false">
      <c r="A344" s="7" t="s">
        <v>6247</v>
      </c>
      <c r="B344" s="7" t="s">
        <v>6248</v>
      </c>
      <c r="C344" s="7" t="s">
        <v>6249</v>
      </c>
      <c r="D344" s="7" t="s">
        <v>6250</v>
      </c>
      <c r="E344" s="7" t="n">
        <v>2023</v>
      </c>
      <c r="F344" s="8" t="s">
        <v>6251</v>
      </c>
      <c r="G344" s="6" t="s">
        <v>713</v>
      </c>
      <c r="H344" s="7"/>
      <c r="I344" s="7"/>
      <c r="J344" s="7"/>
      <c r="K344" s="7"/>
      <c r="L344" s="7"/>
      <c r="M344" s="7"/>
      <c r="N344" s="7"/>
      <c r="O344" s="7"/>
      <c r="P344" s="7" t="s">
        <v>304</v>
      </c>
      <c r="Q344" s="7" t="s">
        <v>62</v>
      </c>
      <c r="R344" s="7" t="s">
        <v>350</v>
      </c>
      <c r="S344" s="7" t="s">
        <v>6252</v>
      </c>
      <c r="T344" s="7" t="s">
        <v>307</v>
      </c>
      <c r="U344" s="7"/>
      <c r="V344" s="7"/>
      <c r="W344" s="7" t="n">
        <v>25</v>
      </c>
      <c r="X344" s="7" t="n">
        <v>38</v>
      </c>
      <c r="Y344" s="7" t="n">
        <v>13</v>
      </c>
      <c r="Z344" s="7" t="s">
        <v>6253</v>
      </c>
      <c r="AA344" s="9" t="s">
        <v>6254</v>
      </c>
      <c r="AB344" s="7" t="s">
        <v>6255</v>
      </c>
      <c r="AC344" s="7" t="s">
        <v>6256</v>
      </c>
      <c r="AD344" s="7" t="s">
        <v>6257</v>
      </c>
      <c r="AE344" s="7" t="s">
        <v>6258</v>
      </c>
      <c r="AF344" s="7"/>
      <c r="AG344" s="7"/>
      <c r="AH344" s="7"/>
      <c r="AI344" s="7"/>
      <c r="AJ344" s="10"/>
      <c r="AK344" s="7"/>
      <c r="AL344" s="7" t="s">
        <v>6259</v>
      </c>
      <c r="AM344" s="7" t="s">
        <v>6260</v>
      </c>
      <c r="AN344" s="7" t="s">
        <v>6261</v>
      </c>
      <c r="AO344" s="7"/>
      <c r="AP344" s="7" t="s">
        <v>6262</v>
      </c>
      <c r="AQ344" s="7" t="s">
        <v>6263</v>
      </c>
      <c r="AR344" s="7" t="s">
        <v>6264</v>
      </c>
      <c r="AS344" s="7" t="n">
        <v>293849</v>
      </c>
      <c r="AT344" s="7" t="n">
        <v>23673370</v>
      </c>
      <c r="AU344" s="7" t="s">
        <v>6265</v>
      </c>
      <c r="AV344" s="7"/>
      <c r="AW344" s="7"/>
      <c r="AX344" s="7" t="s">
        <v>365</v>
      </c>
      <c r="AY344" s="7" t="s">
        <v>75</v>
      </c>
      <c r="AZ344" s="7"/>
      <c r="BA344" s="7" t="s">
        <v>76</v>
      </c>
      <c r="BB344" s="7" t="s">
        <v>6266</v>
      </c>
      <c r="BC344" s="7"/>
      <c r="BD344" s="7"/>
      <c r="BE344" s="7"/>
      <c r="BF344" s="7"/>
      <c r="BG344" s="7"/>
      <c r="BH344" s="7"/>
      <c r="BI344" s="7"/>
    </row>
    <row r="345" customFormat="false" ht="14.25" hidden="false" customHeight="true" outlineLevel="0" collapsed="false">
      <c r="A345" s="7" t="s">
        <v>6267</v>
      </c>
      <c r="B345" s="7" t="s">
        <v>6268</v>
      </c>
      <c r="C345" s="7" t="s">
        <v>6269</v>
      </c>
      <c r="D345" s="7" t="s">
        <v>6270</v>
      </c>
      <c r="E345" s="7" t="n">
        <v>2023</v>
      </c>
      <c r="F345" s="8" t="s">
        <v>6271</v>
      </c>
      <c r="G345" s="6" t="s">
        <v>713</v>
      </c>
      <c r="H345" s="7"/>
      <c r="I345" s="7"/>
      <c r="J345" s="7"/>
      <c r="K345" s="7"/>
      <c r="L345" s="7"/>
      <c r="M345" s="7"/>
      <c r="N345" s="7"/>
      <c r="O345" s="7"/>
      <c r="P345" s="7" t="s">
        <v>304</v>
      </c>
      <c r="Q345" s="7" t="s">
        <v>62</v>
      </c>
      <c r="R345" s="7" t="s">
        <v>6272</v>
      </c>
      <c r="S345" s="7"/>
      <c r="T345" s="7" t="s">
        <v>187</v>
      </c>
      <c r="U345" s="7"/>
      <c r="V345" s="7"/>
      <c r="W345" s="7"/>
      <c r="X345" s="7"/>
      <c r="Y345" s="7"/>
      <c r="Z345" s="7" t="s">
        <v>6273</v>
      </c>
      <c r="AA345" s="9" t="s">
        <v>6274</v>
      </c>
      <c r="AB345" s="7" t="s">
        <v>6275</v>
      </c>
      <c r="AC345" s="7" t="s">
        <v>6276</v>
      </c>
      <c r="AD345" s="7" t="s">
        <v>6277</v>
      </c>
      <c r="AE345" s="7" t="s">
        <v>6278</v>
      </c>
      <c r="AF345" s="7"/>
      <c r="AG345" s="7"/>
      <c r="AH345" s="7"/>
      <c r="AI345" s="7"/>
      <c r="AJ345" s="10"/>
      <c r="AK345" s="7"/>
      <c r="AL345" s="7" t="s">
        <v>6279</v>
      </c>
      <c r="AM345" s="7" t="s">
        <v>6280</v>
      </c>
      <c r="AN345" s="7"/>
      <c r="AO345" s="7"/>
      <c r="AP345" s="7" t="s">
        <v>6281</v>
      </c>
      <c r="AQ345" s="7" t="s">
        <v>6108</v>
      </c>
      <c r="AR345" s="7" t="s">
        <v>2604</v>
      </c>
      <c r="AS345" s="7" t="n">
        <v>190912</v>
      </c>
      <c r="AT345" s="7"/>
      <c r="AU345" s="7" t="s">
        <v>6282</v>
      </c>
      <c r="AV345" s="7"/>
      <c r="AW345" s="7"/>
      <c r="AX345" s="7" t="s">
        <v>6283</v>
      </c>
      <c r="AY345" s="7" t="s">
        <v>75</v>
      </c>
      <c r="AZ345" s="7"/>
      <c r="BA345" s="7" t="s">
        <v>76</v>
      </c>
      <c r="BB345" s="7" t="s">
        <v>6284</v>
      </c>
      <c r="BC345" s="7"/>
      <c r="BD345" s="7"/>
      <c r="BE345" s="7"/>
      <c r="BF345" s="7"/>
      <c r="BG345" s="7"/>
      <c r="BH345" s="7"/>
      <c r="BI345" s="7"/>
    </row>
    <row r="346" customFormat="false" ht="14.25" hidden="false" customHeight="true" outlineLevel="0" collapsed="false">
      <c r="A346" s="7" t="s">
        <v>6285</v>
      </c>
      <c r="B346" s="7" t="s">
        <v>6286</v>
      </c>
      <c r="C346" s="7" t="s">
        <v>6287</v>
      </c>
      <c r="D346" s="7" t="s">
        <v>6288</v>
      </c>
      <c r="E346" s="7" t="n">
        <v>2023</v>
      </c>
      <c r="F346" s="8" t="s">
        <v>6289</v>
      </c>
      <c r="G346" s="6" t="s">
        <v>713</v>
      </c>
      <c r="H346" s="7"/>
      <c r="I346" s="7"/>
      <c r="J346" s="7"/>
      <c r="K346" s="7"/>
      <c r="L346" s="7"/>
      <c r="M346" s="7"/>
      <c r="N346" s="7"/>
      <c r="O346" s="7"/>
      <c r="P346" s="7" t="s">
        <v>304</v>
      </c>
      <c r="Q346" s="7" t="s">
        <v>62</v>
      </c>
      <c r="R346" s="7" t="s">
        <v>6290</v>
      </c>
      <c r="S346" s="7"/>
      <c r="T346" s="7" t="s">
        <v>187</v>
      </c>
      <c r="U346" s="7"/>
      <c r="V346" s="7"/>
      <c r="W346" s="7" t="n">
        <v>57</v>
      </c>
      <c r="X346" s="7" t="n">
        <v>61</v>
      </c>
      <c r="Y346" s="7" t="n">
        <v>4</v>
      </c>
      <c r="Z346" s="7" t="s">
        <v>6291</v>
      </c>
      <c r="AA346" s="9" t="s">
        <v>6292</v>
      </c>
      <c r="AB346" s="7" t="s">
        <v>6293</v>
      </c>
      <c r="AC346" s="7" t="s">
        <v>6294</v>
      </c>
      <c r="AD346" s="7" t="s">
        <v>6295</v>
      </c>
      <c r="AE346" s="7" t="s">
        <v>6296</v>
      </c>
      <c r="AF346" s="7"/>
      <c r="AG346" s="7"/>
      <c r="AH346" s="7"/>
      <c r="AI346" s="7"/>
      <c r="AJ346" s="10"/>
      <c r="AK346" s="7"/>
      <c r="AL346" s="7" t="s">
        <v>6297</v>
      </c>
      <c r="AM346" s="7"/>
      <c r="AN346" s="7"/>
      <c r="AO346" s="7"/>
      <c r="AP346" s="7" t="s">
        <v>6290</v>
      </c>
      <c r="AQ346" s="7" t="s">
        <v>6298</v>
      </c>
      <c r="AR346" s="7" t="s">
        <v>6299</v>
      </c>
      <c r="AS346" s="7" t="n">
        <v>197443</v>
      </c>
      <c r="AT346" s="7"/>
      <c r="AU346" s="7" t="s">
        <v>6300</v>
      </c>
      <c r="AV346" s="7"/>
      <c r="AW346" s="7"/>
      <c r="AX346" s="7" t="s">
        <v>6301</v>
      </c>
      <c r="AY346" s="7" t="s">
        <v>75</v>
      </c>
      <c r="AZ346" s="7"/>
      <c r="BA346" s="7" t="s">
        <v>76</v>
      </c>
      <c r="BB346" s="7" t="s">
        <v>6302</v>
      </c>
      <c r="BC346" s="7"/>
      <c r="BD346" s="7"/>
      <c r="BE346" s="7"/>
      <c r="BF346" s="7"/>
      <c r="BG346" s="7"/>
      <c r="BH346" s="7"/>
      <c r="BI346" s="7"/>
    </row>
    <row r="347" customFormat="false" ht="14.25" hidden="false" customHeight="true" outlineLevel="0" collapsed="false">
      <c r="A347" s="7" t="s">
        <v>6303</v>
      </c>
      <c r="B347" s="7" t="s">
        <v>6304</v>
      </c>
      <c r="C347" s="7" t="s">
        <v>6305</v>
      </c>
      <c r="D347" s="7" t="s">
        <v>6306</v>
      </c>
      <c r="E347" s="7" t="n">
        <v>2023</v>
      </c>
      <c r="F347" s="8" t="s">
        <v>6307</v>
      </c>
      <c r="G347" s="6" t="s">
        <v>713</v>
      </c>
      <c r="H347" s="7"/>
      <c r="I347" s="7"/>
      <c r="J347" s="7"/>
      <c r="K347" s="7"/>
      <c r="L347" s="7"/>
      <c r="M347" s="7"/>
      <c r="N347" s="7"/>
      <c r="O347" s="7"/>
      <c r="P347" s="7" t="s">
        <v>304</v>
      </c>
      <c r="Q347" s="7" t="s">
        <v>62</v>
      </c>
      <c r="R347" s="7" t="s">
        <v>6308</v>
      </c>
      <c r="S347" s="7"/>
      <c r="T347" s="7" t="s">
        <v>187</v>
      </c>
      <c r="U347" s="7"/>
      <c r="V347" s="7"/>
      <c r="W347" s="7"/>
      <c r="X347" s="7"/>
      <c r="Y347" s="7"/>
      <c r="Z347" s="7" t="s">
        <v>6309</v>
      </c>
      <c r="AA347" s="9" t="s">
        <v>6310</v>
      </c>
      <c r="AB347" s="7" t="s">
        <v>6311</v>
      </c>
      <c r="AC347" s="7" t="s">
        <v>6312</v>
      </c>
      <c r="AD347" s="7" t="s">
        <v>6313</v>
      </c>
      <c r="AE347" s="7" t="s">
        <v>6314</v>
      </c>
      <c r="AF347" s="7"/>
      <c r="AG347" s="7"/>
      <c r="AH347" s="7"/>
      <c r="AI347" s="7"/>
      <c r="AJ347" s="10"/>
      <c r="AK347" s="7"/>
      <c r="AL347" s="7" t="s">
        <v>6315</v>
      </c>
      <c r="AM347" s="7"/>
      <c r="AN347" s="7"/>
      <c r="AO347" s="7"/>
      <c r="AP347" s="7" t="s">
        <v>6316</v>
      </c>
      <c r="AQ347" s="7" t="s">
        <v>6317</v>
      </c>
      <c r="AR347" s="7" t="s">
        <v>6318</v>
      </c>
      <c r="AS347" s="7" t="n">
        <v>188107</v>
      </c>
      <c r="AT347" s="7"/>
      <c r="AU347" s="7" t="s">
        <v>6319</v>
      </c>
      <c r="AV347" s="7"/>
      <c r="AW347" s="7"/>
      <c r="AX347" s="7" t="s">
        <v>6320</v>
      </c>
      <c r="AY347" s="7" t="s">
        <v>75</v>
      </c>
      <c r="AZ347" s="7"/>
      <c r="BA347" s="7" t="s">
        <v>76</v>
      </c>
      <c r="BB347" s="7" t="s">
        <v>6321</v>
      </c>
      <c r="BC347" s="7"/>
      <c r="BD347" s="7"/>
      <c r="BE347" s="7"/>
      <c r="BF347" s="7"/>
      <c r="BG347" s="7"/>
      <c r="BH347" s="7"/>
      <c r="BI347" s="7"/>
    </row>
    <row r="348" customFormat="false" ht="14.25" hidden="false" customHeight="true" outlineLevel="0" collapsed="false">
      <c r="A348" s="7" t="s">
        <v>6322</v>
      </c>
      <c r="B348" s="7" t="s">
        <v>6323</v>
      </c>
      <c r="C348" s="7" t="s">
        <v>6324</v>
      </c>
      <c r="D348" s="7" t="s">
        <v>6325</v>
      </c>
      <c r="E348" s="7" t="n">
        <v>2023</v>
      </c>
      <c r="F348" s="8" t="s">
        <v>6326</v>
      </c>
      <c r="G348" s="6" t="s">
        <v>713</v>
      </c>
      <c r="H348" s="7"/>
      <c r="I348" s="7"/>
      <c r="J348" s="7"/>
      <c r="K348" s="7"/>
      <c r="L348" s="7"/>
      <c r="M348" s="7"/>
      <c r="N348" s="7"/>
      <c r="O348" s="7"/>
      <c r="P348" s="7" t="s">
        <v>304</v>
      </c>
      <c r="Q348" s="7" t="s">
        <v>62</v>
      </c>
      <c r="R348" s="7" t="s">
        <v>6327</v>
      </c>
      <c r="S348" s="7"/>
      <c r="T348" s="7" t="s">
        <v>187</v>
      </c>
      <c r="U348" s="7"/>
      <c r="V348" s="7"/>
      <c r="W348" s="7"/>
      <c r="X348" s="7"/>
      <c r="Y348" s="7"/>
      <c r="Z348" s="7" t="s">
        <v>6328</v>
      </c>
      <c r="AA348" s="9" t="s">
        <v>6329</v>
      </c>
      <c r="AB348" s="7" t="s">
        <v>6330</v>
      </c>
      <c r="AC348" s="7" t="s">
        <v>6331</v>
      </c>
      <c r="AD348" s="7" t="s">
        <v>6332</v>
      </c>
      <c r="AE348" s="7" t="s">
        <v>6333</v>
      </c>
      <c r="AF348" s="7"/>
      <c r="AG348" s="7"/>
      <c r="AH348" s="7"/>
      <c r="AI348" s="7"/>
      <c r="AJ348" s="10"/>
      <c r="AK348" s="7"/>
      <c r="AL348" s="7" t="s">
        <v>6334</v>
      </c>
      <c r="AM348" s="7" t="s">
        <v>6335</v>
      </c>
      <c r="AN348" s="7"/>
      <c r="AO348" s="7"/>
      <c r="AP348" s="7" t="s">
        <v>6336</v>
      </c>
      <c r="AQ348" s="7" t="s">
        <v>6337</v>
      </c>
      <c r="AR348" s="7" t="s">
        <v>6338</v>
      </c>
      <c r="AS348" s="7" t="n">
        <v>189663</v>
      </c>
      <c r="AT348" s="7"/>
      <c r="AU348" s="7" t="s">
        <v>6339</v>
      </c>
      <c r="AV348" s="7"/>
      <c r="AW348" s="7"/>
      <c r="AX348" s="7" t="s">
        <v>6340</v>
      </c>
      <c r="AY348" s="7" t="s">
        <v>75</v>
      </c>
      <c r="AZ348" s="7"/>
      <c r="BA348" s="7" t="s">
        <v>76</v>
      </c>
      <c r="BB348" s="7" t="s">
        <v>6341</v>
      </c>
      <c r="BC348" s="7"/>
      <c r="BD348" s="7"/>
      <c r="BE348" s="7"/>
      <c r="BF348" s="7"/>
      <c r="BG348" s="7"/>
      <c r="BH348" s="7"/>
      <c r="BI348" s="7"/>
    </row>
    <row r="349" customFormat="false" ht="14.25" hidden="false" customHeight="true" outlineLevel="0" collapsed="false">
      <c r="A349" s="7" t="s">
        <v>6342</v>
      </c>
      <c r="B349" s="7" t="s">
        <v>6343</v>
      </c>
      <c r="C349" s="7" t="s">
        <v>6344</v>
      </c>
      <c r="D349" s="7" t="s">
        <v>6345</v>
      </c>
      <c r="E349" s="7" t="n">
        <v>2023</v>
      </c>
      <c r="F349" s="8" t="s">
        <v>6346</v>
      </c>
      <c r="G349" s="6" t="s">
        <v>713</v>
      </c>
      <c r="H349" s="7"/>
      <c r="I349" s="7"/>
      <c r="J349" s="7"/>
      <c r="K349" s="7"/>
      <c r="L349" s="7"/>
      <c r="M349" s="7"/>
      <c r="N349" s="7"/>
      <c r="O349" s="7"/>
      <c r="P349" s="7" t="s">
        <v>304</v>
      </c>
      <c r="Q349" s="7" t="s">
        <v>62</v>
      </c>
      <c r="R349" s="7" t="s">
        <v>6347</v>
      </c>
      <c r="S349" s="7"/>
      <c r="T349" s="7" t="s">
        <v>187</v>
      </c>
      <c r="U349" s="7"/>
      <c r="V349" s="7"/>
      <c r="W349" s="7" t="n">
        <v>551</v>
      </c>
      <c r="X349" s="7" t="n">
        <v>556</v>
      </c>
      <c r="Y349" s="7" t="n">
        <v>5</v>
      </c>
      <c r="Z349" s="7" t="s">
        <v>6348</v>
      </c>
      <c r="AA349" s="9" t="s">
        <v>6349</v>
      </c>
      <c r="AB349" s="7" t="s">
        <v>6350</v>
      </c>
      <c r="AC349" s="7" t="s">
        <v>6351</v>
      </c>
      <c r="AD349" s="7" t="s">
        <v>6352</v>
      </c>
      <c r="AE349" s="7" t="s">
        <v>6353</v>
      </c>
      <c r="AF349" s="7"/>
      <c r="AG349" s="7"/>
      <c r="AH349" s="7"/>
      <c r="AI349" s="7"/>
      <c r="AJ349" s="10"/>
      <c r="AK349" s="7"/>
      <c r="AL349" s="7" t="s">
        <v>6354</v>
      </c>
      <c r="AM349" s="7" t="s">
        <v>6355</v>
      </c>
      <c r="AN349" s="7"/>
      <c r="AO349" s="7"/>
      <c r="AP349" s="7" t="s">
        <v>6356</v>
      </c>
      <c r="AQ349" s="7" t="s">
        <v>6357</v>
      </c>
      <c r="AR349" s="7" t="s">
        <v>2604</v>
      </c>
      <c r="AS349" s="7" t="n">
        <v>188200</v>
      </c>
      <c r="AT349" s="7"/>
      <c r="AU349" s="7" t="s">
        <v>6358</v>
      </c>
      <c r="AV349" s="7"/>
      <c r="AW349" s="7"/>
      <c r="AX349" s="7" t="s">
        <v>6359</v>
      </c>
      <c r="AY349" s="7" t="s">
        <v>75</v>
      </c>
      <c r="AZ349" s="7"/>
      <c r="BA349" s="7" t="s">
        <v>76</v>
      </c>
      <c r="BB349" s="7" t="s">
        <v>6360</v>
      </c>
      <c r="BC349" s="7"/>
      <c r="BD349" s="7"/>
      <c r="BE349" s="7"/>
      <c r="BF349" s="7"/>
      <c r="BG349" s="7"/>
      <c r="BH349" s="7"/>
      <c r="BI349" s="7"/>
    </row>
    <row r="350" customFormat="false" ht="14.25" hidden="false" customHeight="true" outlineLevel="0" collapsed="false">
      <c r="A350" s="7" t="s">
        <v>6361</v>
      </c>
      <c r="B350" s="7" t="s">
        <v>6362</v>
      </c>
      <c r="C350" s="7" t="s">
        <v>6363</v>
      </c>
      <c r="D350" s="7" t="s">
        <v>6364</v>
      </c>
      <c r="E350" s="7" t="n">
        <v>2023</v>
      </c>
      <c r="F350" s="8" t="s">
        <v>6365</v>
      </c>
      <c r="G350" s="6" t="s">
        <v>713</v>
      </c>
      <c r="H350" s="7"/>
      <c r="I350" s="7"/>
      <c r="J350" s="7"/>
      <c r="K350" s="7"/>
      <c r="L350" s="7"/>
      <c r="M350" s="7"/>
      <c r="N350" s="7"/>
      <c r="O350" s="7"/>
      <c r="P350" s="7" t="s">
        <v>304</v>
      </c>
      <c r="Q350" s="7" t="s">
        <v>62</v>
      </c>
      <c r="R350" s="7" t="s">
        <v>6366</v>
      </c>
      <c r="S350" s="7"/>
      <c r="T350" s="7" t="s">
        <v>187</v>
      </c>
      <c r="U350" s="7"/>
      <c r="V350" s="7"/>
      <c r="W350" s="7"/>
      <c r="X350" s="7"/>
      <c r="Y350" s="7"/>
      <c r="Z350" s="7" t="s">
        <v>6367</v>
      </c>
      <c r="AA350" s="9" t="s">
        <v>6368</v>
      </c>
      <c r="AB350" s="7" t="s">
        <v>6369</v>
      </c>
      <c r="AC350" s="7" t="s">
        <v>6370</v>
      </c>
      <c r="AD350" s="7" t="s">
        <v>6371</v>
      </c>
      <c r="AE350" s="7" t="s">
        <v>6372</v>
      </c>
      <c r="AF350" s="7"/>
      <c r="AG350" s="7"/>
      <c r="AH350" s="7"/>
      <c r="AI350" s="7"/>
      <c r="AJ350" s="10"/>
      <c r="AK350" s="7"/>
      <c r="AL350" s="7" t="s">
        <v>6373</v>
      </c>
      <c r="AM350" s="7" t="s">
        <v>6374</v>
      </c>
      <c r="AN350" s="7" t="s">
        <v>6375</v>
      </c>
      <c r="AO350" s="7" t="s">
        <v>6376</v>
      </c>
      <c r="AP350" s="7" t="s">
        <v>6377</v>
      </c>
      <c r="AQ350" s="7" t="s">
        <v>6378</v>
      </c>
      <c r="AR350" s="7" t="s">
        <v>6379</v>
      </c>
      <c r="AS350" s="7" t="n">
        <v>194596</v>
      </c>
      <c r="AT350" s="7"/>
      <c r="AU350" s="7" t="s">
        <v>6380</v>
      </c>
      <c r="AV350" s="7"/>
      <c r="AW350" s="7"/>
      <c r="AX350" s="7" t="s">
        <v>6381</v>
      </c>
      <c r="AY350" s="7" t="s">
        <v>75</v>
      </c>
      <c r="AZ350" s="7"/>
      <c r="BA350" s="7" t="s">
        <v>76</v>
      </c>
      <c r="BB350" s="7" t="s">
        <v>6382</v>
      </c>
      <c r="BC350" s="7"/>
      <c r="BD350" s="7"/>
      <c r="BE350" s="7"/>
      <c r="BF350" s="7"/>
      <c r="BG350" s="7"/>
      <c r="BH350" s="7"/>
      <c r="BI350" s="7"/>
    </row>
    <row r="351" customFormat="false" ht="14.25" hidden="false" customHeight="true" outlineLevel="0" collapsed="false">
      <c r="A351" s="7" t="s">
        <v>6383</v>
      </c>
      <c r="B351" s="7" t="s">
        <v>6384</v>
      </c>
      <c r="C351" s="7" t="s">
        <v>6385</v>
      </c>
      <c r="D351" s="7" t="s">
        <v>6386</v>
      </c>
      <c r="E351" s="7" t="n">
        <v>2023</v>
      </c>
      <c r="F351" s="8" t="s">
        <v>6387</v>
      </c>
      <c r="G351" s="6" t="s">
        <v>713</v>
      </c>
      <c r="H351" s="6"/>
      <c r="I351" s="7"/>
      <c r="J351" s="7"/>
      <c r="K351" s="7"/>
      <c r="L351" s="7"/>
      <c r="M351" s="7"/>
      <c r="N351" s="7"/>
      <c r="O351" s="7"/>
      <c r="P351" s="7" t="s">
        <v>304</v>
      </c>
      <c r="Q351" s="7" t="s">
        <v>62</v>
      </c>
      <c r="R351" s="7" t="s">
        <v>350</v>
      </c>
      <c r="S351" s="7" t="s">
        <v>6388</v>
      </c>
      <c r="T351" s="7" t="s">
        <v>307</v>
      </c>
      <c r="U351" s="7"/>
      <c r="V351" s="7"/>
      <c r="W351" s="7" t="n">
        <v>327</v>
      </c>
      <c r="X351" s="7" t="n">
        <v>344</v>
      </c>
      <c r="Y351" s="7" t="n">
        <v>17</v>
      </c>
      <c r="Z351" s="7" t="s">
        <v>6389</v>
      </c>
      <c r="AA351" s="9" t="s">
        <v>6390</v>
      </c>
      <c r="AB351" s="7" t="s">
        <v>6391</v>
      </c>
      <c r="AC351" s="7" t="s">
        <v>6392</v>
      </c>
      <c r="AD351" s="7" t="s">
        <v>6393</v>
      </c>
      <c r="AE351" s="7" t="s">
        <v>6394</v>
      </c>
      <c r="AF351" s="7"/>
      <c r="AG351" s="7"/>
      <c r="AH351" s="7"/>
      <c r="AI351" s="7"/>
      <c r="AJ351" s="10"/>
      <c r="AK351" s="7"/>
      <c r="AL351" s="7" t="s">
        <v>6395</v>
      </c>
      <c r="AM351" s="7" t="s">
        <v>6396</v>
      </c>
      <c r="AN351" s="7" t="s">
        <v>6397</v>
      </c>
      <c r="AO351" s="7"/>
      <c r="AP351" s="7" t="s">
        <v>6398</v>
      </c>
      <c r="AQ351" s="7" t="s">
        <v>6399</v>
      </c>
      <c r="AR351" s="7" t="s">
        <v>5337</v>
      </c>
      <c r="AS351" s="7" t="n">
        <v>297939</v>
      </c>
      <c r="AT351" s="7" t="n">
        <v>23673370</v>
      </c>
      <c r="AU351" s="7" t="s">
        <v>6400</v>
      </c>
      <c r="AV351" s="7"/>
      <c r="AW351" s="7"/>
      <c r="AX351" s="7" t="s">
        <v>365</v>
      </c>
      <c r="AY351" s="7" t="s">
        <v>75</v>
      </c>
      <c r="AZ351" s="7"/>
      <c r="BA351" s="7" t="s">
        <v>76</v>
      </c>
      <c r="BB351" s="7" t="s">
        <v>6401</v>
      </c>
      <c r="BC351" s="7"/>
      <c r="BD351" s="7"/>
      <c r="BE351" s="7"/>
      <c r="BF351" s="7"/>
      <c r="BG351" s="7"/>
      <c r="BH351" s="7"/>
      <c r="BI351" s="7"/>
    </row>
    <row r="352" customFormat="false" ht="14.25" hidden="false" customHeight="true" outlineLevel="0" collapsed="false">
      <c r="A352" s="7" t="s">
        <v>6402</v>
      </c>
      <c r="B352" s="7" t="s">
        <v>6403</v>
      </c>
      <c r="C352" s="7" t="s">
        <v>6404</v>
      </c>
      <c r="D352" s="7" t="s">
        <v>6405</v>
      </c>
      <c r="E352" s="7" t="n">
        <v>2023</v>
      </c>
      <c r="F352" s="8" t="s">
        <v>6406</v>
      </c>
      <c r="G352" s="6" t="s">
        <v>713</v>
      </c>
      <c r="H352" s="7"/>
      <c r="I352" s="7"/>
      <c r="J352" s="7"/>
      <c r="K352" s="7"/>
      <c r="L352" s="7"/>
      <c r="M352" s="7"/>
      <c r="N352" s="7"/>
      <c r="O352" s="7"/>
      <c r="P352" s="7" t="s">
        <v>304</v>
      </c>
      <c r="Q352" s="7" t="s">
        <v>62</v>
      </c>
      <c r="R352" s="7" t="s">
        <v>6407</v>
      </c>
      <c r="S352" s="7" t="n">
        <v>1055</v>
      </c>
      <c r="T352" s="7" t="s">
        <v>307</v>
      </c>
      <c r="U352" s="7"/>
      <c r="V352" s="7"/>
      <c r="W352" s="7" t="n">
        <v>197</v>
      </c>
      <c r="X352" s="7" t="n">
        <v>212</v>
      </c>
      <c r="Y352" s="7" t="n">
        <v>15</v>
      </c>
      <c r="Z352" s="7" t="s">
        <v>6408</v>
      </c>
      <c r="AA352" s="9" t="s">
        <v>6409</v>
      </c>
      <c r="AB352" s="7" t="s">
        <v>6410</v>
      </c>
      <c r="AC352" s="7" t="s">
        <v>6411</v>
      </c>
      <c r="AD352" s="7"/>
      <c r="AE352" s="7"/>
      <c r="AF352" s="7"/>
      <c r="AG352" s="7"/>
      <c r="AH352" s="7"/>
      <c r="AI352" s="7"/>
      <c r="AJ352" s="10"/>
      <c r="AK352" s="7"/>
      <c r="AL352" s="7" t="s">
        <v>6412</v>
      </c>
      <c r="AM352" s="7" t="s">
        <v>6413</v>
      </c>
      <c r="AN352" s="7" t="s">
        <v>6414</v>
      </c>
      <c r="AO352" s="7"/>
      <c r="AP352" s="7" t="s">
        <v>6415</v>
      </c>
      <c r="AQ352" s="7" t="s">
        <v>6416</v>
      </c>
      <c r="AR352" s="7" t="s">
        <v>6417</v>
      </c>
      <c r="AS352" s="7" t="n">
        <v>286739</v>
      </c>
      <c r="AT352" s="7" t="s">
        <v>6418</v>
      </c>
      <c r="AU352" s="7" t="s">
        <v>6419</v>
      </c>
      <c r="AV352" s="7"/>
      <c r="AW352" s="7"/>
      <c r="AX352" s="7" t="s">
        <v>6420</v>
      </c>
      <c r="AY352" s="7" t="s">
        <v>75</v>
      </c>
      <c r="AZ352" s="7"/>
      <c r="BA352" s="7" t="s">
        <v>76</v>
      </c>
      <c r="BB352" s="7" t="s">
        <v>6421</v>
      </c>
      <c r="BC352" s="7"/>
      <c r="BD352" s="7"/>
      <c r="BE352" s="7"/>
      <c r="BF352" s="7"/>
      <c r="BG352" s="7"/>
      <c r="BH352" s="7"/>
      <c r="BI352" s="7"/>
    </row>
    <row r="353" customFormat="false" ht="14.25" hidden="false" customHeight="true" outlineLevel="0" collapsed="false">
      <c r="A353" s="7" t="s">
        <v>6422</v>
      </c>
      <c r="B353" s="7" t="s">
        <v>6423</v>
      </c>
      <c r="C353" s="7" t="s">
        <v>6424</v>
      </c>
      <c r="D353" s="7" t="s">
        <v>6425</v>
      </c>
      <c r="E353" s="7" t="n">
        <v>2023</v>
      </c>
      <c r="F353" s="8" t="s">
        <v>6426</v>
      </c>
      <c r="G353" s="6" t="s">
        <v>713</v>
      </c>
      <c r="H353" s="7"/>
      <c r="I353" s="7"/>
      <c r="J353" s="7"/>
      <c r="K353" s="7"/>
      <c r="L353" s="7"/>
      <c r="M353" s="7"/>
      <c r="N353" s="7"/>
      <c r="O353" s="7"/>
      <c r="P353" s="7" t="s">
        <v>304</v>
      </c>
      <c r="Q353" s="7" t="s">
        <v>62</v>
      </c>
      <c r="R353" s="7" t="s">
        <v>6427</v>
      </c>
      <c r="S353" s="7"/>
      <c r="T353" s="7" t="s">
        <v>187</v>
      </c>
      <c r="U353" s="7"/>
      <c r="V353" s="7"/>
      <c r="W353" s="7"/>
      <c r="X353" s="7"/>
      <c r="Y353" s="7"/>
      <c r="Z353" s="7" t="s">
        <v>6428</v>
      </c>
      <c r="AA353" s="9" t="s">
        <v>6429</v>
      </c>
      <c r="AB353" s="7" t="s">
        <v>6430</v>
      </c>
      <c r="AC353" s="7" t="s">
        <v>6431</v>
      </c>
      <c r="AD353" s="7" t="s">
        <v>6432</v>
      </c>
      <c r="AE353" s="7" t="s">
        <v>6433</v>
      </c>
      <c r="AF353" s="7"/>
      <c r="AG353" s="7"/>
      <c r="AH353" s="7"/>
      <c r="AI353" s="7"/>
      <c r="AJ353" s="10"/>
      <c r="AK353" s="7"/>
      <c r="AL353" s="7" t="s">
        <v>6434</v>
      </c>
      <c r="AM353" s="7"/>
      <c r="AN353" s="7"/>
      <c r="AO353" s="7" t="s">
        <v>3090</v>
      </c>
      <c r="AP353" s="7" t="s">
        <v>6435</v>
      </c>
      <c r="AQ353" s="7" t="s">
        <v>6436</v>
      </c>
      <c r="AR353" s="7" t="s">
        <v>6437</v>
      </c>
      <c r="AS353" s="7" t="n">
        <v>197521</v>
      </c>
      <c r="AT353" s="7"/>
      <c r="AU353" s="7" t="s">
        <v>6438</v>
      </c>
      <c r="AV353" s="7"/>
      <c r="AW353" s="7"/>
      <c r="AX353" s="7" t="s">
        <v>6439</v>
      </c>
      <c r="AY353" s="7" t="s">
        <v>75</v>
      </c>
      <c r="AZ353" s="7"/>
      <c r="BA353" s="7" t="s">
        <v>76</v>
      </c>
      <c r="BB353" s="7" t="s">
        <v>6440</v>
      </c>
      <c r="BC353" s="7"/>
      <c r="BD353" s="7"/>
      <c r="BE353" s="7"/>
      <c r="BF353" s="7"/>
      <c r="BG353" s="7"/>
      <c r="BH353" s="7"/>
      <c r="BI353" s="7"/>
    </row>
    <row r="354" customFormat="false" ht="14.25" hidden="false" customHeight="true" outlineLevel="0" collapsed="false">
      <c r="A354" s="7" t="s">
        <v>6441</v>
      </c>
      <c r="B354" s="7" t="s">
        <v>6442</v>
      </c>
      <c r="C354" s="7" t="s">
        <v>6443</v>
      </c>
      <c r="D354" s="7" t="s">
        <v>6444</v>
      </c>
      <c r="E354" s="7" t="n">
        <v>2023</v>
      </c>
      <c r="F354" s="8" t="s">
        <v>6445</v>
      </c>
      <c r="G354" s="6" t="s">
        <v>713</v>
      </c>
      <c r="H354" s="7"/>
      <c r="I354" s="7"/>
      <c r="J354" s="7"/>
      <c r="K354" s="7"/>
      <c r="L354" s="7"/>
      <c r="M354" s="7"/>
      <c r="N354" s="7"/>
      <c r="O354" s="7"/>
      <c r="P354" s="7" t="s">
        <v>304</v>
      </c>
      <c r="Q354" s="7" t="s">
        <v>62</v>
      </c>
      <c r="R354" s="7" t="s">
        <v>6446</v>
      </c>
      <c r="S354" s="7"/>
      <c r="T354" s="7" t="s">
        <v>187</v>
      </c>
      <c r="U354" s="7"/>
      <c r="V354" s="7"/>
      <c r="W354" s="7"/>
      <c r="X354" s="7"/>
      <c r="Y354" s="7"/>
      <c r="Z354" s="7" t="s">
        <v>6447</v>
      </c>
      <c r="AA354" s="9" t="s">
        <v>6448</v>
      </c>
      <c r="AB354" s="7" t="s">
        <v>6449</v>
      </c>
      <c r="AC354" s="7" t="s">
        <v>6450</v>
      </c>
      <c r="AD354" s="7" t="s">
        <v>6451</v>
      </c>
      <c r="AE354" s="7" t="s">
        <v>6452</v>
      </c>
      <c r="AF354" s="7"/>
      <c r="AG354" s="7"/>
      <c r="AH354" s="7"/>
      <c r="AI354" s="7"/>
      <c r="AJ354" s="10"/>
      <c r="AK354" s="7"/>
      <c r="AL354" s="7" t="s">
        <v>6453</v>
      </c>
      <c r="AM354" s="7"/>
      <c r="AN354" s="7"/>
      <c r="AO354" s="7"/>
      <c r="AP354" s="7" t="s">
        <v>6446</v>
      </c>
      <c r="AQ354" s="7" t="s">
        <v>5470</v>
      </c>
      <c r="AR354" s="7" t="s">
        <v>3314</v>
      </c>
      <c r="AS354" s="7" t="n">
        <v>198193</v>
      </c>
      <c r="AT354" s="7"/>
      <c r="AU354" s="7" t="s">
        <v>6454</v>
      </c>
      <c r="AV354" s="7"/>
      <c r="AW354" s="7"/>
      <c r="AX354" s="7" t="s">
        <v>6455</v>
      </c>
      <c r="AY354" s="7" t="s">
        <v>75</v>
      </c>
      <c r="AZ354" s="7"/>
      <c r="BA354" s="7" t="s">
        <v>76</v>
      </c>
      <c r="BB354" s="7" t="s">
        <v>6456</v>
      </c>
      <c r="BC354" s="7"/>
      <c r="BD354" s="7"/>
      <c r="BE354" s="7"/>
      <c r="BF354" s="7"/>
      <c r="BG354" s="7"/>
      <c r="BH354" s="7"/>
      <c r="BI354" s="7"/>
    </row>
    <row r="355" customFormat="false" ht="14.25" hidden="false" customHeight="true" outlineLevel="0" collapsed="false">
      <c r="A355" s="7" t="s">
        <v>6457</v>
      </c>
      <c r="B355" s="7" t="s">
        <v>6458</v>
      </c>
      <c r="C355" s="7" t="s">
        <v>6459</v>
      </c>
      <c r="D355" s="7" t="s">
        <v>6460</v>
      </c>
      <c r="E355" s="7" t="n">
        <v>2023</v>
      </c>
      <c r="F355" s="8" t="s">
        <v>6461</v>
      </c>
      <c r="G355" s="6" t="s">
        <v>713</v>
      </c>
      <c r="H355" s="7"/>
      <c r="I355" s="7"/>
      <c r="J355" s="7"/>
      <c r="K355" s="7"/>
      <c r="L355" s="7"/>
      <c r="M355" s="7"/>
      <c r="N355" s="7"/>
      <c r="O355" s="7"/>
      <c r="P355" s="7" t="s">
        <v>304</v>
      </c>
      <c r="Q355" s="7" t="s">
        <v>62</v>
      </c>
      <c r="R355" s="7" t="s">
        <v>6462</v>
      </c>
      <c r="S355" s="7"/>
      <c r="T355" s="7" t="s">
        <v>187</v>
      </c>
      <c r="U355" s="7"/>
      <c r="V355" s="7"/>
      <c r="W355" s="7"/>
      <c r="X355" s="7"/>
      <c r="Y355" s="7"/>
      <c r="Z355" s="7" t="s">
        <v>6463</v>
      </c>
      <c r="AA355" s="9" t="s">
        <v>6464</v>
      </c>
      <c r="AB355" s="7" t="s">
        <v>6465</v>
      </c>
      <c r="AC355" s="7" t="s">
        <v>6466</v>
      </c>
      <c r="AD355" s="7" t="s">
        <v>6467</v>
      </c>
      <c r="AE355" s="7" t="s">
        <v>6468</v>
      </c>
      <c r="AF355" s="7"/>
      <c r="AG355" s="7"/>
      <c r="AH355" s="7"/>
      <c r="AI355" s="7"/>
      <c r="AJ355" s="10"/>
      <c r="AK355" s="7"/>
      <c r="AL355" s="7" t="s">
        <v>6469</v>
      </c>
      <c r="AM355" s="7" t="s">
        <v>6470</v>
      </c>
      <c r="AN355" s="7"/>
      <c r="AO355" s="7"/>
      <c r="AP355" s="7" t="s">
        <v>6471</v>
      </c>
      <c r="AQ355" s="7" t="s">
        <v>6472</v>
      </c>
      <c r="AR355" s="7" t="s">
        <v>6473</v>
      </c>
      <c r="AS355" s="7" t="n">
        <v>196205</v>
      </c>
      <c r="AT355" s="7"/>
      <c r="AU355" s="7" t="s">
        <v>6474</v>
      </c>
      <c r="AV355" s="7"/>
      <c r="AW355" s="7"/>
      <c r="AX355" s="7" t="s">
        <v>6475</v>
      </c>
      <c r="AY355" s="7" t="s">
        <v>75</v>
      </c>
      <c r="AZ355" s="7"/>
      <c r="BA355" s="7" t="s">
        <v>76</v>
      </c>
      <c r="BB355" s="7" t="s">
        <v>6476</v>
      </c>
      <c r="BC355" s="7"/>
      <c r="BD355" s="7"/>
      <c r="BE355" s="7"/>
      <c r="BF355" s="7"/>
      <c r="BG355" s="7"/>
      <c r="BH355" s="7"/>
      <c r="BI355" s="7"/>
    </row>
    <row r="356" customFormat="false" ht="14.25" hidden="false" customHeight="true" outlineLevel="0" collapsed="false">
      <c r="A356" s="7" t="s">
        <v>6477</v>
      </c>
      <c r="B356" s="7" t="s">
        <v>6478</v>
      </c>
      <c r="C356" s="7" t="s">
        <v>6479</v>
      </c>
      <c r="D356" s="7" t="s">
        <v>6480</v>
      </c>
      <c r="E356" s="7" t="n">
        <v>2023</v>
      </c>
      <c r="F356" s="8" t="s">
        <v>6481</v>
      </c>
      <c r="G356" s="6" t="s">
        <v>149</v>
      </c>
      <c r="H356" s="7"/>
      <c r="I356" s="7"/>
      <c r="J356" s="7"/>
      <c r="K356" s="7"/>
      <c r="L356" s="7"/>
      <c r="M356" s="7"/>
      <c r="N356" s="7"/>
      <c r="O356" s="7"/>
      <c r="P356" s="7" t="s">
        <v>304</v>
      </c>
      <c r="Q356" s="7" t="s">
        <v>62</v>
      </c>
      <c r="R356" s="7" t="s">
        <v>5846</v>
      </c>
      <c r="S356" s="7"/>
      <c r="T356" s="7" t="s">
        <v>187</v>
      </c>
      <c r="U356" s="7"/>
      <c r="V356" s="7"/>
      <c r="W356" s="7" t="n">
        <v>168</v>
      </c>
      <c r="X356" s="7" t="n">
        <v>173</v>
      </c>
      <c r="Y356" s="7" t="n">
        <v>5</v>
      </c>
      <c r="Z356" s="7" t="s">
        <v>6482</v>
      </c>
      <c r="AA356" s="9" t="s">
        <v>6483</v>
      </c>
      <c r="AB356" s="7" t="s">
        <v>6484</v>
      </c>
      <c r="AC356" s="7" t="s">
        <v>6485</v>
      </c>
      <c r="AD356" s="7" t="s">
        <v>6486</v>
      </c>
      <c r="AE356" s="7" t="s">
        <v>6487</v>
      </c>
      <c r="AF356" s="7"/>
      <c r="AG356" s="7"/>
      <c r="AH356" s="7"/>
      <c r="AI356" s="7"/>
      <c r="AJ356" s="10" t="s">
        <v>6488</v>
      </c>
      <c r="AK356" s="7" t="s">
        <v>6489</v>
      </c>
      <c r="AL356" s="7" t="s">
        <v>6490</v>
      </c>
      <c r="AM356" s="7" t="s">
        <v>6491</v>
      </c>
      <c r="AN356" s="7" t="s">
        <v>5855</v>
      </c>
      <c r="AO356" s="7" t="s">
        <v>5856</v>
      </c>
      <c r="AP356" s="7" t="s">
        <v>5857</v>
      </c>
      <c r="AQ356" s="7" t="s">
        <v>5858</v>
      </c>
      <c r="AR356" s="7" t="s">
        <v>5859</v>
      </c>
      <c r="AS356" s="7" t="n">
        <v>193131</v>
      </c>
      <c r="AT356" s="7"/>
      <c r="AU356" s="7" t="s">
        <v>5860</v>
      </c>
      <c r="AV356" s="7"/>
      <c r="AW356" s="7"/>
      <c r="AX356" s="7" t="s">
        <v>5861</v>
      </c>
      <c r="AY356" s="7" t="s">
        <v>75</v>
      </c>
      <c r="AZ356" s="7"/>
      <c r="BA356" s="7" t="s">
        <v>76</v>
      </c>
      <c r="BB356" s="7" t="s">
        <v>6492</v>
      </c>
      <c r="BC356" s="7"/>
      <c r="BD356" s="7"/>
      <c r="BE356" s="7"/>
      <c r="BF356" s="7"/>
      <c r="BG356" s="7"/>
      <c r="BH356" s="7"/>
      <c r="BI356" s="7"/>
    </row>
    <row r="357" customFormat="false" ht="14.25" hidden="false" customHeight="true" outlineLevel="0" collapsed="false">
      <c r="A357" s="7" t="s">
        <v>6493</v>
      </c>
      <c r="B357" s="7" t="s">
        <v>6494</v>
      </c>
      <c r="C357" s="7" t="s">
        <v>6495</v>
      </c>
      <c r="D357" s="7" t="s">
        <v>6496</v>
      </c>
      <c r="E357" s="7" t="n">
        <v>2023</v>
      </c>
      <c r="F357" s="8" t="s">
        <v>6497</v>
      </c>
      <c r="G357" s="6" t="s">
        <v>713</v>
      </c>
      <c r="H357" s="7"/>
      <c r="I357" s="7"/>
      <c r="J357" s="7"/>
      <c r="K357" s="7"/>
      <c r="L357" s="7"/>
      <c r="M357" s="7"/>
      <c r="N357" s="7"/>
      <c r="O357" s="7"/>
      <c r="P357" s="7" t="s">
        <v>304</v>
      </c>
      <c r="Q357" s="7" t="s">
        <v>62</v>
      </c>
      <c r="R357" s="7" t="s">
        <v>2892</v>
      </c>
      <c r="S357" s="7" t="s">
        <v>6498</v>
      </c>
      <c r="T357" s="7" t="s">
        <v>307</v>
      </c>
      <c r="U357" s="7"/>
      <c r="V357" s="7"/>
      <c r="W357" s="7" t="n">
        <v>557</v>
      </c>
      <c r="X357" s="7" t="n">
        <v>572</v>
      </c>
      <c r="Y357" s="7" t="n">
        <v>15</v>
      </c>
      <c r="Z357" s="7" t="s">
        <v>6499</v>
      </c>
      <c r="AA357" s="9" t="s">
        <v>6500</v>
      </c>
      <c r="AB357" s="7" t="s">
        <v>6501</v>
      </c>
      <c r="AC357" s="7" t="s">
        <v>6502</v>
      </c>
      <c r="AD357" s="7" t="s">
        <v>6503</v>
      </c>
      <c r="AE357" s="7" t="s">
        <v>6504</v>
      </c>
      <c r="AF357" s="7"/>
      <c r="AG357" s="7"/>
      <c r="AH357" s="7"/>
      <c r="AI357" s="7"/>
      <c r="AJ357" s="10"/>
      <c r="AK357" s="7"/>
      <c r="AL357" s="7" t="s">
        <v>6505</v>
      </c>
      <c r="AM357" s="7" t="s">
        <v>6506</v>
      </c>
      <c r="AN357" s="7" t="s">
        <v>6507</v>
      </c>
      <c r="AO357" s="7"/>
      <c r="AP357" s="7" t="s">
        <v>6508</v>
      </c>
      <c r="AQ357" s="7" t="s">
        <v>5508</v>
      </c>
      <c r="AR357" s="7" t="s">
        <v>5337</v>
      </c>
      <c r="AS357" s="7" t="n">
        <v>304449</v>
      </c>
      <c r="AT357" s="7" t="n">
        <v>18761100</v>
      </c>
      <c r="AU357" s="7" t="s">
        <v>6509</v>
      </c>
      <c r="AV357" s="7"/>
      <c r="AW357" s="7"/>
      <c r="AX357" s="7" t="s">
        <v>2906</v>
      </c>
      <c r="AY357" s="7" t="s">
        <v>75</v>
      </c>
      <c r="AZ357" s="7"/>
      <c r="BA357" s="7" t="s">
        <v>76</v>
      </c>
      <c r="BB357" s="7" t="s">
        <v>6510</v>
      </c>
      <c r="BC357" s="7"/>
      <c r="BD357" s="7"/>
      <c r="BE357" s="7"/>
      <c r="BF357" s="7"/>
      <c r="BG357" s="7"/>
      <c r="BH357" s="7"/>
      <c r="BI357" s="7"/>
    </row>
    <row r="358" customFormat="false" ht="14.25" hidden="false" customHeight="true" outlineLevel="0" collapsed="false">
      <c r="A358" s="7" t="s">
        <v>6511</v>
      </c>
      <c r="B358" s="7" t="s">
        <v>6512</v>
      </c>
      <c r="C358" s="7" t="s">
        <v>6513</v>
      </c>
      <c r="D358" s="7" t="s">
        <v>6514</v>
      </c>
      <c r="E358" s="7" t="n">
        <v>2023</v>
      </c>
      <c r="F358" s="8" t="s">
        <v>6515</v>
      </c>
      <c r="G358" s="6" t="s">
        <v>713</v>
      </c>
      <c r="H358" s="7"/>
      <c r="I358" s="7"/>
      <c r="J358" s="7"/>
      <c r="K358" s="7"/>
      <c r="L358" s="7"/>
      <c r="M358" s="7"/>
      <c r="N358" s="7"/>
      <c r="O358" s="7"/>
      <c r="P358" s="7" t="s">
        <v>304</v>
      </c>
      <c r="Q358" s="7" t="s">
        <v>62</v>
      </c>
      <c r="R358" s="7" t="s">
        <v>6516</v>
      </c>
      <c r="S358" s="7"/>
      <c r="T358" s="7" t="s">
        <v>187</v>
      </c>
      <c r="U358" s="7"/>
      <c r="V358" s="7"/>
      <c r="W358" s="7"/>
      <c r="X358" s="7"/>
      <c r="Y358" s="7"/>
      <c r="Z358" s="7" t="s">
        <v>6517</v>
      </c>
      <c r="AA358" s="9" t="s">
        <v>6518</v>
      </c>
      <c r="AB358" s="7" t="s">
        <v>6519</v>
      </c>
      <c r="AC358" s="7" t="s">
        <v>6520</v>
      </c>
      <c r="AD358" s="7" t="s">
        <v>6521</v>
      </c>
      <c r="AE358" s="7" t="s">
        <v>6522</v>
      </c>
      <c r="AF358" s="7"/>
      <c r="AG358" s="7"/>
      <c r="AH358" s="7"/>
      <c r="AI358" s="7"/>
      <c r="AJ358" s="10"/>
      <c r="AK358" s="7"/>
      <c r="AL358" s="7" t="s">
        <v>6523</v>
      </c>
      <c r="AM358" s="7" t="s">
        <v>6524</v>
      </c>
      <c r="AN358" s="7"/>
      <c r="AO358" s="7"/>
      <c r="AP358" s="7" t="s">
        <v>6516</v>
      </c>
      <c r="AQ358" s="7" t="s">
        <v>6525</v>
      </c>
      <c r="AR358" s="7" t="s">
        <v>6526</v>
      </c>
      <c r="AS358" s="7" t="n">
        <v>188081</v>
      </c>
      <c r="AT358" s="7"/>
      <c r="AU358" s="7" t="s">
        <v>6527</v>
      </c>
      <c r="AV358" s="7"/>
      <c r="AW358" s="7"/>
      <c r="AX358" s="7" t="s">
        <v>6528</v>
      </c>
      <c r="AY358" s="7" t="s">
        <v>75</v>
      </c>
      <c r="AZ358" s="7"/>
      <c r="BA358" s="7" t="s">
        <v>76</v>
      </c>
      <c r="BB358" s="7" t="s">
        <v>6529</v>
      </c>
      <c r="BC358" s="7"/>
      <c r="BD358" s="7"/>
      <c r="BE358" s="7"/>
      <c r="BF358" s="7"/>
      <c r="BG358" s="7"/>
      <c r="BH358" s="7"/>
      <c r="BI358" s="7"/>
    </row>
    <row r="359" customFormat="false" ht="14.25" hidden="false" customHeight="true" outlineLevel="0" collapsed="false">
      <c r="A359" s="7" t="s">
        <v>6530</v>
      </c>
      <c r="B359" s="7" t="s">
        <v>6531</v>
      </c>
      <c r="C359" s="7" t="s">
        <v>6532</v>
      </c>
      <c r="D359" s="7" t="s">
        <v>6533</v>
      </c>
      <c r="E359" s="7" t="n">
        <v>2023</v>
      </c>
      <c r="F359" s="8" t="s">
        <v>6534</v>
      </c>
      <c r="G359" s="6" t="s">
        <v>713</v>
      </c>
      <c r="H359" s="7"/>
      <c r="I359" s="7"/>
      <c r="J359" s="7"/>
      <c r="K359" s="7"/>
      <c r="L359" s="7"/>
      <c r="M359" s="7"/>
      <c r="N359" s="7"/>
      <c r="O359" s="7"/>
      <c r="P359" s="7" t="s">
        <v>304</v>
      </c>
      <c r="Q359" s="7" t="s">
        <v>62</v>
      </c>
      <c r="R359" s="7" t="s">
        <v>6535</v>
      </c>
      <c r="S359" s="7"/>
      <c r="T359" s="7" t="s">
        <v>187</v>
      </c>
      <c r="U359" s="7"/>
      <c r="V359" s="7"/>
      <c r="W359" s="7"/>
      <c r="X359" s="7"/>
      <c r="Y359" s="7"/>
      <c r="Z359" s="7" t="s">
        <v>6536</v>
      </c>
      <c r="AA359" s="9" t="s">
        <v>6537</v>
      </c>
      <c r="AB359" s="7" t="s">
        <v>6538</v>
      </c>
      <c r="AC359" s="7" t="s">
        <v>6539</v>
      </c>
      <c r="AD359" s="7" t="s">
        <v>6540</v>
      </c>
      <c r="AE359" s="7" t="s">
        <v>6541</v>
      </c>
      <c r="AF359" s="7"/>
      <c r="AG359" s="7"/>
      <c r="AH359" s="7"/>
      <c r="AI359" s="7"/>
      <c r="AJ359" s="10" t="s">
        <v>6542</v>
      </c>
      <c r="AK359" s="7" t="s">
        <v>6543</v>
      </c>
      <c r="AL359" s="7" t="s">
        <v>6544</v>
      </c>
      <c r="AM359" s="7" t="s">
        <v>6545</v>
      </c>
      <c r="AN359" s="7"/>
      <c r="AO359" s="7"/>
      <c r="AP359" s="7" t="s">
        <v>6546</v>
      </c>
      <c r="AQ359" s="7" t="s">
        <v>6547</v>
      </c>
      <c r="AR359" s="7" t="s">
        <v>6548</v>
      </c>
      <c r="AS359" s="7" t="n">
        <v>198957</v>
      </c>
      <c r="AT359" s="7"/>
      <c r="AU359" s="7" t="s">
        <v>6549</v>
      </c>
      <c r="AV359" s="7"/>
      <c r="AW359" s="7"/>
      <c r="AX359" s="7" t="s">
        <v>6550</v>
      </c>
      <c r="AY359" s="7" t="s">
        <v>75</v>
      </c>
      <c r="AZ359" s="7"/>
      <c r="BA359" s="7" t="s">
        <v>76</v>
      </c>
      <c r="BB359" s="7" t="s">
        <v>6551</v>
      </c>
      <c r="BC359" s="7"/>
      <c r="BD359" s="7"/>
      <c r="BE359" s="7"/>
      <c r="BF359" s="7"/>
      <c r="BG359" s="7"/>
      <c r="BH359" s="7"/>
      <c r="BI359" s="7"/>
    </row>
    <row r="360" customFormat="false" ht="14.25" hidden="false" customHeight="true" outlineLevel="0" collapsed="false">
      <c r="A360" s="7" t="s">
        <v>6552</v>
      </c>
      <c r="B360" s="7" t="s">
        <v>6553</v>
      </c>
      <c r="C360" s="7" t="s">
        <v>6554</v>
      </c>
      <c r="D360" s="7" t="s">
        <v>6555</v>
      </c>
      <c r="E360" s="7" t="n">
        <v>2023</v>
      </c>
      <c r="F360" s="8" t="s">
        <v>6556</v>
      </c>
      <c r="G360" s="6" t="s">
        <v>713</v>
      </c>
      <c r="H360" s="7"/>
      <c r="I360" s="7"/>
      <c r="J360" s="7"/>
      <c r="K360" s="7"/>
      <c r="L360" s="7"/>
      <c r="M360" s="7"/>
      <c r="N360" s="7"/>
      <c r="O360" s="7"/>
      <c r="P360" s="7" t="s">
        <v>304</v>
      </c>
      <c r="Q360" s="7" t="s">
        <v>62</v>
      </c>
      <c r="R360" s="7" t="s">
        <v>6557</v>
      </c>
      <c r="S360" s="7"/>
      <c r="T360" s="7" t="s">
        <v>187</v>
      </c>
      <c r="U360" s="7"/>
      <c r="V360" s="7"/>
      <c r="W360" s="7"/>
      <c r="X360" s="7"/>
      <c r="Y360" s="7"/>
      <c r="Z360" s="7" t="s">
        <v>6558</v>
      </c>
      <c r="AA360" s="9" t="s">
        <v>6559</v>
      </c>
      <c r="AB360" s="7" t="s">
        <v>6560</v>
      </c>
      <c r="AC360" s="7" t="s">
        <v>6561</v>
      </c>
      <c r="AD360" s="7" t="s">
        <v>6562</v>
      </c>
      <c r="AE360" s="7" t="s">
        <v>6563</v>
      </c>
      <c r="AF360" s="7"/>
      <c r="AG360" s="7"/>
      <c r="AH360" s="7"/>
      <c r="AI360" s="7"/>
      <c r="AJ360" s="10"/>
      <c r="AK360" s="7"/>
      <c r="AL360" s="7" t="s">
        <v>6564</v>
      </c>
      <c r="AM360" s="7"/>
      <c r="AN360" s="7"/>
      <c r="AO360" s="7"/>
      <c r="AP360" s="7" t="s">
        <v>6565</v>
      </c>
      <c r="AQ360" s="7" t="s">
        <v>6436</v>
      </c>
      <c r="AR360" s="7" t="s">
        <v>2667</v>
      </c>
      <c r="AS360" s="7" t="n">
        <v>196836</v>
      </c>
      <c r="AT360" s="7"/>
      <c r="AU360" s="7" t="s">
        <v>6566</v>
      </c>
      <c r="AV360" s="7"/>
      <c r="AW360" s="7"/>
      <c r="AX360" s="7" t="s">
        <v>6567</v>
      </c>
      <c r="AY360" s="7" t="s">
        <v>75</v>
      </c>
      <c r="AZ360" s="7"/>
      <c r="BA360" s="7" t="s">
        <v>76</v>
      </c>
      <c r="BB360" s="7" t="s">
        <v>6568</v>
      </c>
      <c r="BC360" s="7"/>
      <c r="BD360" s="7"/>
      <c r="BE360" s="7"/>
      <c r="BF360" s="7"/>
      <c r="BG360" s="7"/>
      <c r="BH360" s="7"/>
      <c r="BI360" s="7"/>
    </row>
    <row r="361" customFormat="false" ht="14.25" hidden="false" customHeight="true" outlineLevel="0" collapsed="false">
      <c r="A361" s="7" t="s">
        <v>6569</v>
      </c>
      <c r="B361" s="7" t="s">
        <v>6570</v>
      </c>
      <c r="C361" s="7" t="s">
        <v>6571</v>
      </c>
      <c r="D361" s="7" t="s">
        <v>6572</v>
      </c>
      <c r="E361" s="7" t="n">
        <v>2023</v>
      </c>
      <c r="F361" s="8" t="s">
        <v>6573</v>
      </c>
      <c r="G361" s="6" t="s">
        <v>169</v>
      </c>
      <c r="H361" s="7"/>
      <c r="I361" s="7"/>
      <c r="J361" s="7"/>
      <c r="K361" s="7"/>
      <c r="L361" s="7"/>
      <c r="M361" s="7"/>
      <c r="N361" s="7"/>
      <c r="O361" s="7"/>
      <c r="P361" s="7" t="s">
        <v>304</v>
      </c>
      <c r="Q361" s="7" t="s">
        <v>62</v>
      </c>
      <c r="R361" s="7" t="s">
        <v>6574</v>
      </c>
      <c r="S361" s="7"/>
      <c r="T361" s="7" t="s">
        <v>187</v>
      </c>
      <c r="U361" s="7"/>
      <c r="V361" s="7"/>
      <c r="W361" s="7"/>
      <c r="X361" s="7"/>
      <c r="Y361" s="7"/>
      <c r="Z361" s="7" t="s">
        <v>6575</v>
      </c>
      <c r="AA361" s="9" t="s">
        <v>6576</v>
      </c>
      <c r="AB361" s="7" t="s">
        <v>6577</v>
      </c>
      <c r="AC361" s="7" t="s">
        <v>6578</v>
      </c>
      <c r="AD361" s="7" t="s">
        <v>6579</v>
      </c>
      <c r="AE361" s="7" t="s">
        <v>6580</v>
      </c>
      <c r="AF361" s="7"/>
      <c r="AG361" s="7"/>
      <c r="AH361" s="7"/>
      <c r="AI361" s="7"/>
      <c r="AJ361" s="10" t="s">
        <v>6581</v>
      </c>
      <c r="AK361" s="7" t="s">
        <v>6582</v>
      </c>
      <c r="AL361" s="7" t="s">
        <v>6583</v>
      </c>
      <c r="AM361" s="7" t="s">
        <v>6584</v>
      </c>
      <c r="AN361" s="7"/>
      <c r="AO361" s="7"/>
      <c r="AP361" s="7" t="s">
        <v>6585</v>
      </c>
      <c r="AQ361" s="7" t="s">
        <v>6586</v>
      </c>
      <c r="AR361" s="7" t="s">
        <v>5337</v>
      </c>
      <c r="AS361" s="7" t="n">
        <v>188404</v>
      </c>
      <c r="AT361" s="7"/>
      <c r="AU361" s="7" t="s">
        <v>6587</v>
      </c>
      <c r="AV361" s="7"/>
      <c r="AW361" s="7"/>
      <c r="AX361" s="7" t="s">
        <v>6588</v>
      </c>
      <c r="AY361" s="7" t="s">
        <v>75</v>
      </c>
      <c r="AZ361" s="7"/>
      <c r="BA361" s="7" t="s">
        <v>76</v>
      </c>
      <c r="BB361" s="7" t="s">
        <v>6589</v>
      </c>
      <c r="BC361" s="7"/>
      <c r="BD361" s="7"/>
      <c r="BE361" s="7"/>
      <c r="BF361" s="7"/>
      <c r="BG361" s="7"/>
      <c r="BH361" s="7"/>
      <c r="BI361" s="7"/>
    </row>
    <row r="362" customFormat="false" ht="14.25" hidden="false" customHeight="true" outlineLevel="0" collapsed="false">
      <c r="A362" s="7" t="s">
        <v>6590</v>
      </c>
      <c r="B362" s="7" t="s">
        <v>6591</v>
      </c>
      <c r="C362" s="7" t="s">
        <v>6592</v>
      </c>
      <c r="D362" s="7" t="s">
        <v>6593</v>
      </c>
      <c r="E362" s="7" t="n">
        <v>2023</v>
      </c>
      <c r="F362" s="8" t="s">
        <v>6594</v>
      </c>
      <c r="G362" s="6" t="s">
        <v>713</v>
      </c>
      <c r="H362" s="7"/>
      <c r="I362" s="7"/>
      <c r="J362" s="7"/>
      <c r="K362" s="7"/>
      <c r="L362" s="7"/>
      <c r="M362" s="7"/>
      <c r="N362" s="7"/>
      <c r="O362" s="7"/>
      <c r="P362" s="7" t="s">
        <v>304</v>
      </c>
      <c r="Q362" s="7" t="s">
        <v>62</v>
      </c>
      <c r="R362" s="7" t="s">
        <v>6595</v>
      </c>
      <c r="S362" s="7"/>
      <c r="T362" s="7" t="s">
        <v>187</v>
      </c>
      <c r="U362" s="7"/>
      <c r="V362" s="7"/>
      <c r="W362" s="7" t="n">
        <v>330</v>
      </c>
      <c r="X362" s="7" t="n">
        <v>334</v>
      </c>
      <c r="Y362" s="7" t="n">
        <v>4</v>
      </c>
      <c r="Z362" s="7" t="s">
        <v>6596</v>
      </c>
      <c r="AA362" s="9" t="s">
        <v>6597</v>
      </c>
      <c r="AB362" s="7" t="s">
        <v>6598</v>
      </c>
      <c r="AC362" s="7" t="s">
        <v>6599</v>
      </c>
      <c r="AD362" s="7" t="s">
        <v>6600</v>
      </c>
      <c r="AE362" s="7" t="s">
        <v>6601</v>
      </c>
      <c r="AF362" s="7"/>
      <c r="AG362" s="7"/>
      <c r="AH362" s="7"/>
      <c r="AI362" s="7"/>
      <c r="AJ362" s="10"/>
      <c r="AK362" s="7"/>
      <c r="AL362" s="7" t="s">
        <v>6602</v>
      </c>
      <c r="AM362" s="7"/>
      <c r="AN362" s="7"/>
      <c r="AO362" s="7"/>
      <c r="AP362" s="7" t="s">
        <v>6603</v>
      </c>
      <c r="AQ362" s="7" t="s">
        <v>6604</v>
      </c>
      <c r="AR362" s="7" t="s">
        <v>6605</v>
      </c>
      <c r="AS362" s="7" t="n">
        <v>197834</v>
      </c>
      <c r="AT362" s="7"/>
      <c r="AU362" s="7" t="s">
        <v>6606</v>
      </c>
      <c r="AV362" s="7"/>
      <c r="AW362" s="7"/>
      <c r="AX362" s="7" t="s">
        <v>6607</v>
      </c>
      <c r="AY362" s="7" t="s">
        <v>75</v>
      </c>
      <c r="AZ362" s="7"/>
      <c r="BA362" s="7" t="s">
        <v>76</v>
      </c>
      <c r="BB362" s="7" t="s">
        <v>6608</v>
      </c>
      <c r="BC362" s="7"/>
      <c r="BD362" s="7"/>
      <c r="BE362" s="7"/>
      <c r="BF362" s="7"/>
      <c r="BG362" s="7"/>
      <c r="BH362" s="7"/>
      <c r="BI362" s="7"/>
    </row>
    <row r="363" customFormat="false" ht="14.25" hidden="false" customHeight="true" outlineLevel="0" collapsed="false">
      <c r="A363" s="7" t="s">
        <v>6609</v>
      </c>
      <c r="B363" s="7" t="s">
        <v>6610</v>
      </c>
      <c r="C363" s="7" t="s">
        <v>6611</v>
      </c>
      <c r="D363" s="7" t="s">
        <v>6612</v>
      </c>
      <c r="E363" s="7" t="n">
        <v>2023</v>
      </c>
      <c r="F363" s="8" t="s">
        <v>6613</v>
      </c>
      <c r="G363" s="6" t="s">
        <v>1686</v>
      </c>
      <c r="H363" s="7"/>
      <c r="I363" s="7"/>
      <c r="J363" s="7"/>
      <c r="K363" s="7"/>
      <c r="L363" s="7"/>
      <c r="M363" s="7"/>
      <c r="N363" s="7"/>
      <c r="O363" s="7"/>
      <c r="P363" s="7" t="s">
        <v>304</v>
      </c>
      <c r="Q363" s="7" t="s">
        <v>62</v>
      </c>
      <c r="R363" s="7" t="s">
        <v>6614</v>
      </c>
      <c r="S363" s="7"/>
      <c r="T363" s="7" t="s">
        <v>187</v>
      </c>
      <c r="U363" s="7"/>
      <c r="V363" s="7"/>
      <c r="W363" s="7" t="n">
        <v>502</v>
      </c>
      <c r="X363" s="7" t="n">
        <v>510</v>
      </c>
      <c r="Y363" s="7" t="n">
        <v>8</v>
      </c>
      <c r="Z363" s="7" t="s">
        <v>6615</v>
      </c>
      <c r="AA363" s="9" t="s">
        <v>6616</v>
      </c>
      <c r="AB363" s="7" t="s">
        <v>6617</v>
      </c>
      <c r="AC363" s="7" t="s">
        <v>6618</v>
      </c>
      <c r="AD363" s="7" t="s">
        <v>6619</v>
      </c>
      <c r="AE363" s="7" t="s">
        <v>6620</v>
      </c>
      <c r="AF363" s="7"/>
      <c r="AG363" s="7"/>
      <c r="AH363" s="7"/>
      <c r="AI363" s="7"/>
      <c r="AJ363" s="10"/>
      <c r="AK363" s="7"/>
      <c r="AL363" s="7" t="s">
        <v>6621</v>
      </c>
      <c r="AM363" s="7" t="s">
        <v>6622</v>
      </c>
      <c r="AN363" s="7"/>
      <c r="AO363" s="7"/>
      <c r="AP363" s="7" t="s">
        <v>6623</v>
      </c>
      <c r="AQ363" s="7" t="s">
        <v>6624</v>
      </c>
      <c r="AR363" s="7" t="s">
        <v>6625</v>
      </c>
      <c r="AS363" s="7" t="n">
        <v>189354</v>
      </c>
      <c r="AT363" s="7"/>
      <c r="AU363" s="7" t="s">
        <v>6626</v>
      </c>
      <c r="AV363" s="7"/>
      <c r="AW363" s="7"/>
      <c r="AX363" s="7" t="s">
        <v>6627</v>
      </c>
      <c r="AY363" s="7" t="s">
        <v>75</v>
      </c>
      <c r="AZ363" s="7"/>
      <c r="BA363" s="7" t="s">
        <v>76</v>
      </c>
      <c r="BB363" s="7" t="s">
        <v>6628</v>
      </c>
      <c r="BC363" s="7"/>
      <c r="BD363" s="7"/>
      <c r="BE363" s="7"/>
      <c r="BF363" s="7"/>
      <c r="BG363" s="7"/>
      <c r="BH363" s="7"/>
      <c r="BI363" s="7"/>
    </row>
    <row r="364" customFormat="false" ht="14.25" hidden="false" customHeight="true" outlineLevel="0" collapsed="false">
      <c r="A364" s="7" t="s">
        <v>6629</v>
      </c>
      <c r="B364" s="7" t="s">
        <v>6630</v>
      </c>
      <c r="C364" s="7" t="s">
        <v>6631</v>
      </c>
      <c r="D364" s="7" t="s">
        <v>6632</v>
      </c>
      <c r="E364" s="7" t="n">
        <v>2023</v>
      </c>
      <c r="F364" s="8" t="s">
        <v>6633</v>
      </c>
      <c r="G364" s="6" t="s">
        <v>713</v>
      </c>
      <c r="H364" s="7"/>
      <c r="I364" s="7"/>
      <c r="J364" s="7"/>
      <c r="K364" s="7"/>
      <c r="L364" s="7"/>
      <c r="M364" s="7"/>
      <c r="N364" s="7"/>
      <c r="O364" s="7"/>
      <c r="P364" s="7" t="s">
        <v>304</v>
      </c>
      <c r="Q364" s="7" t="s">
        <v>62</v>
      </c>
      <c r="R364" s="7" t="s">
        <v>5717</v>
      </c>
      <c r="S364" s="7"/>
      <c r="T364" s="7" t="s">
        <v>2677</v>
      </c>
      <c r="U364" s="7"/>
      <c r="V364" s="7"/>
      <c r="W364" s="7"/>
      <c r="X364" s="7"/>
      <c r="Y364" s="7"/>
      <c r="Z364" s="7" t="s">
        <v>6634</v>
      </c>
      <c r="AA364" s="9" t="s">
        <v>6635</v>
      </c>
      <c r="AB364" s="7" t="s">
        <v>6636</v>
      </c>
      <c r="AC364" s="7" t="s">
        <v>6637</v>
      </c>
      <c r="AD364" s="7"/>
      <c r="AE364" s="7" t="s">
        <v>6638</v>
      </c>
      <c r="AF364" s="7"/>
      <c r="AG364" s="7"/>
      <c r="AH364" s="7"/>
      <c r="AI364" s="7"/>
      <c r="AJ364" s="10" t="s">
        <v>6639</v>
      </c>
      <c r="AK364" s="7" t="s">
        <v>6640</v>
      </c>
      <c r="AL364" s="7" t="s">
        <v>6641</v>
      </c>
      <c r="AM364" s="7" t="s">
        <v>5724</v>
      </c>
      <c r="AN364" s="7"/>
      <c r="AO364" s="7"/>
      <c r="AP364" s="7" t="s">
        <v>5725</v>
      </c>
      <c r="AQ364" s="7" t="s">
        <v>5726</v>
      </c>
      <c r="AR364" s="7" t="s">
        <v>5727</v>
      </c>
      <c r="AS364" s="7" t="n">
        <v>195895</v>
      </c>
      <c r="AT364" s="7" t="n">
        <v>23258861</v>
      </c>
      <c r="AU364" s="7" t="s">
        <v>5728</v>
      </c>
      <c r="AV364" s="7"/>
      <c r="AW364" s="7"/>
      <c r="AX364" s="7" t="s">
        <v>5729</v>
      </c>
      <c r="AY364" s="7" t="s">
        <v>75</v>
      </c>
      <c r="AZ364" s="7"/>
      <c r="BA364" s="7" t="s">
        <v>76</v>
      </c>
      <c r="BB364" s="7" t="s">
        <v>6642</v>
      </c>
      <c r="BC364" s="7"/>
      <c r="BD364" s="7"/>
      <c r="BE364" s="7"/>
      <c r="BF364" s="7"/>
      <c r="BG364" s="7"/>
      <c r="BH364" s="7"/>
      <c r="BI364" s="7"/>
    </row>
    <row r="365" customFormat="false" ht="14.25" hidden="false" customHeight="true" outlineLevel="0" collapsed="false">
      <c r="A365" s="7" t="s">
        <v>6643</v>
      </c>
      <c r="B365" s="7" t="s">
        <v>6644</v>
      </c>
      <c r="C365" s="7" t="s">
        <v>6645</v>
      </c>
      <c r="D365" s="7" t="s">
        <v>6646</v>
      </c>
      <c r="E365" s="7" t="n">
        <v>2023</v>
      </c>
      <c r="F365" s="8" t="s">
        <v>6647</v>
      </c>
      <c r="G365" s="6" t="s">
        <v>713</v>
      </c>
      <c r="H365" s="7"/>
      <c r="I365" s="7"/>
      <c r="J365" s="7"/>
      <c r="K365" s="7"/>
      <c r="L365" s="7"/>
      <c r="M365" s="7"/>
      <c r="N365" s="7"/>
      <c r="O365" s="7"/>
      <c r="P365" s="7" t="s">
        <v>304</v>
      </c>
      <c r="Q365" s="7" t="s">
        <v>62</v>
      </c>
      <c r="R365" s="7" t="s">
        <v>6648</v>
      </c>
      <c r="S365" s="7"/>
      <c r="T365" s="7" t="s">
        <v>187</v>
      </c>
      <c r="U365" s="7"/>
      <c r="V365" s="7"/>
      <c r="W365" s="7" t="n">
        <v>117</v>
      </c>
      <c r="X365" s="7" t="n">
        <v>124</v>
      </c>
      <c r="Y365" s="7" t="n">
        <v>7</v>
      </c>
      <c r="Z365" s="7" t="s">
        <v>6649</v>
      </c>
      <c r="AA365" s="9" t="s">
        <v>6650</v>
      </c>
      <c r="AB365" s="7" t="s">
        <v>6651</v>
      </c>
      <c r="AC365" s="7" t="s">
        <v>6652</v>
      </c>
      <c r="AD365" s="7" t="s">
        <v>6653</v>
      </c>
      <c r="AE365" s="7" t="s">
        <v>6654</v>
      </c>
      <c r="AF365" s="7"/>
      <c r="AG365" s="7"/>
      <c r="AH365" s="7"/>
      <c r="AI365" s="7"/>
      <c r="AJ365" s="10"/>
      <c r="AK365" s="7"/>
      <c r="AL365" s="7" t="s">
        <v>6655</v>
      </c>
      <c r="AM365" s="7" t="s">
        <v>6656</v>
      </c>
      <c r="AN365" s="7"/>
      <c r="AO365" s="7"/>
      <c r="AP365" s="7" t="s">
        <v>6657</v>
      </c>
      <c r="AQ365" s="7" t="s">
        <v>6658</v>
      </c>
      <c r="AR365" s="7" t="s">
        <v>6659</v>
      </c>
      <c r="AS365" s="7" t="n">
        <v>191492</v>
      </c>
      <c r="AT365" s="7"/>
      <c r="AU365" s="7" t="s">
        <v>6660</v>
      </c>
      <c r="AV365" s="7"/>
      <c r="AW365" s="7"/>
      <c r="AX365" s="7" t="s">
        <v>6661</v>
      </c>
      <c r="AY365" s="7" t="s">
        <v>75</v>
      </c>
      <c r="AZ365" s="7"/>
      <c r="BA365" s="7" t="s">
        <v>76</v>
      </c>
      <c r="BB365" s="7" t="s">
        <v>6662</v>
      </c>
      <c r="BC365" s="7"/>
      <c r="BD365" s="7"/>
      <c r="BE365" s="7"/>
      <c r="BF365" s="7"/>
      <c r="BG365" s="7"/>
      <c r="BH365" s="7"/>
      <c r="BI365" s="7"/>
    </row>
    <row r="366" customFormat="false" ht="14.25" hidden="false" customHeight="true" outlineLevel="0" collapsed="false">
      <c r="A366" s="7" t="s">
        <v>6663</v>
      </c>
      <c r="B366" s="7" t="s">
        <v>6664</v>
      </c>
      <c r="C366" s="7" t="s">
        <v>6665</v>
      </c>
      <c r="D366" s="7" t="s">
        <v>6666</v>
      </c>
      <c r="E366" s="7" t="n">
        <v>2023</v>
      </c>
      <c r="F366" s="8" t="s">
        <v>6667</v>
      </c>
      <c r="G366" s="6" t="s">
        <v>713</v>
      </c>
      <c r="H366" s="7"/>
      <c r="I366" s="7"/>
      <c r="J366" s="7"/>
      <c r="K366" s="7"/>
      <c r="L366" s="7"/>
      <c r="M366" s="7"/>
      <c r="N366" s="7"/>
      <c r="O366" s="7"/>
      <c r="P366" s="7" t="s">
        <v>304</v>
      </c>
      <c r="Q366" s="7" t="s">
        <v>62</v>
      </c>
      <c r="R366" s="7" t="s">
        <v>6668</v>
      </c>
      <c r="S366" s="7" t="n">
        <v>2023</v>
      </c>
      <c r="T366" s="7" t="s">
        <v>6669</v>
      </c>
      <c r="U366" s="7" t="n">
        <v>5</v>
      </c>
      <c r="V366" s="7"/>
      <c r="W366" s="7" t="n">
        <v>220</v>
      </c>
      <c r="X366" s="7" t="n">
        <v>225</v>
      </c>
      <c r="Y366" s="7" t="n">
        <v>5</v>
      </c>
      <c r="Z366" s="7" t="s">
        <v>6670</v>
      </c>
      <c r="AA366" s="9" t="s">
        <v>6671</v>
      </c>
      <c r="AB366" s="7" t="s">
        <v>6672</v>
      </c>
      <c r="AC366" s="7" t="s">
        <v>6673</v>
      </c>
      <c r="AD366" s="7"/>
      <c r="AE366" s="7" t="s">
        <v>6674</v>
      </c>
      <c r="AF366" s="7"/>
      <c r="AG366" s="7"/>
      <c r="AH366" s="7"/>
      <c r="AI366" s="7"/>
      <c r="AJ366" s="10"/>
      <c r="AK366" s="7"/>
      <c r="AL366" s="7" t="s">
        <v>6675</v>
      </c>
      <c r="AM366" s="7" t="s">
        <v>6676</v>
      </c>
      <c r="AN366" s="7"/>
      <c r="AO366" s="7"/>
      <c r="AP366" s="7" t="s">
        <v>6677</v>
      </c>
      <c r="AQ366" s="7" t="s">
        <v>2456</v>
      </c>
      <c r="AR366" s="7" t="s">
        <v>6678</v>
      </c>
      <c r="AS366" s="7" t="n">
        <v>193047</v>
      </c>
      <c r="AT366" s="7" t="n">
        <v>27324494</v>
      </c>
      <c r="AU366" s="7"/>
      <c r="AV366" s="7"/>
      <c r="AW366" s="7"/>
      <c r="AX366" s="7" t="s">
        <v>6679</v>
      </c>
      <c r="AY366" s="7" t="s">
        <v>75</v>
      </c>
      <c r="AZ366" s="7"/>
      <c r="BA366" s="7" t="s">
        <v>76</v>
      </c>
      <c r="BB366" s="7" t="s">
        <v>6680</v>
      </c>
      <c r="BC366" s="7"/>
      <c r="BD366" s="7"/>
      <c r="BE366" s="7"/>
      <c r="BF366" s="7"/>
      <c r="BG366" s="7"/>
      <c r="BH366" s="7"/>
      <c r="BI366" s="7"/>
    </row>
    <row r="367" customFormat="false" ht="14.25" hidden="false" customHeight="true" outlineLevel="0" collapsed="false">
      <c r="A367" s="7" t="s">
        <v>6681</v>
      </c>
      <c r="B367" s="7" t="s">
        <v>6682</v>
      </c>
      <c r="C367" s="7" t="s">
        <v>6683</v>
      </c>
      <c r="D367" s="7" t="s">
        <v>6684</v>
      </c>
      <c r="E367" s="7" t="n">
        <v>2023</v>
      </c>
      <c r="F367" s="8" t="s">
        <v>6685</v>
      </c>
      <c r="G367" s="6" t="s">
        <v>713</v>
      </c>
      <c r="H367" s="7"/>
      <c r="I367" s="7"/>
      <c r="J367" s="7"/>
      <c r="K367" s="7"/>
      <c r="L367" s="7"/>
      <c r="M367" s="7"/>
      <c r="N367" s="7"/>
      <c r="O367" s="7"/>
      <c r="P367" s="7" t="s">
        <v>304</v>
      </c>
      <c r="Q367" s="7" t="s">
        <v>62</v>
      </c>
      <c r="R367" s="7" t="s">
        <v>6686</v>
      </c>
      <c r="S367" s="7"/>
      <c r="T367" s="7" t="s">
        <v>187</v>
      </c>
      <c r="U367" s="7"/>
      <c r="V367" s="7"/>
      <c r="W367" s="7"/>
      <c r="X367" s="7"/>
      <c r="Y367" s="7"/>
      <c r="Z367" s="7" t="s">
        <v>6687</v>
      </c>
      <c r="AA367" s="9" t="s">
        <v>6688</v>
      </c>
      <c r="AB367" s="7" t="s">
        <v>6689</v>
      </c>
      <c r="AC367" s="7" t="s">
        <v>6690</v>
      </c>
      <c r="AD367" s="7" t="s">
        <v>6691</v>
      </c>
      <c r="AE367" s="7" t="s">
        <v>6692</v>
      </c>
      <c r="AF367" s="7"/>
      <c r="AG367" s="7"/>
      <c r="AH367" s="7"/>
      <c r="AI367" s="7"/>
      <c r="AJ367" s="10"/>
      <c r="AK367" s="7"/>
      <c r="AL367" s="7" t="s">
        <v>6693</v>
      </c>
      <c r="AM367" s="7"/>
      <c r="AN367" s="7" t="s">
        <v>6694</v>
      </c>
      <c r="AO367" s="7"/>
      <c r="AP367" s="7" t="s">
        <v>6695</v>
      </c>
      <c r="AQ367" s="22" t="n">
        <v>45106</v>
      </c>
      <c r="AR367" s="7" t="s">
        <v>6696</v>
      </c>
      <c r="AS367" s="7" t="n">
        <v>191852</v>
      </c>
      <c r="AT367" s="7"/>
      <c r="AU367" s="7" t="s">
        <v>6697</v>
      </c>
      <c r="AV367" s="7"/>
      <c r="AW367" s="7"/>
      <c r="AX367" s="7" t="s">
        <v>6698</v>
      </c>
      <c r="AY367" s="7" t="s">
        <v>75</v>
      </c>
      <c r="AZ367" s="7"/>
      <c r="BA367" s="7" t="s">
        <v>76</v>
      </c>
      <c r="BB367" s="7" t="s">
        <v>6699</v>
      </c>
      <c r="BC367" s="7"/>
      <c r="BD367" s="7"/>
      <c r="BE367" s="7"/>
      <c r="BF367" s="7"/>
      <c r="BG367" s="7"/>
      <c r="BH367" s="7"/>
      <c r="BI367" s="7"/>
    </row>
    <row r="368" customFormat="false" ht="14.25" hidden="false" customHeight="true" outlineLevel="0" collapsed="false">
      <c r="A368" s="7" t="s">
        <v>6700</v>
      </c>
      <c r="B368" s="7" t="s">
        <v>6701</v>
      </c>
      <c r="C368" s="7" t="s">
        <v>6702</v>
      </c>
      <c r="D368" s="7" t="s">
        <v>6703</v>
      </c>
      <c r="E368" s="7" t="n">
        <v>2023</v>
      </c>
      <c r="F368" s="8" t="s">
        <v>6704</v>
      </c>
      <c r="G368" s="6" t="s">
        <v>713</v>
      </c>
      <c r="H368" s="7"/>
      <c r="I368" s="7"/>
      <c r="J368" s="7"/>
      <c r="K368" s="7"/>
      <c r="L368" s="7"/>
      <c r="M368" s="7"/>
      <c r="N368" s="7"/>
      <c r="O368" s="7"/>
      <c r="P368" s="7" t="s">
        <v>304</v>
      </c>
      <c r="Q368" s="7" t="s">
        <v>62</v>
      </c>
      <c r="R368" s="7" t="s">
        <v>6056</v>
      </c>
      <c r="S368" s="7"/>
      <c r="T368" s="7" t="s">
        <v>187</v>
      </c>
      <c r="U368" s="7"/>
      <c r="V368" s="7"/>
      <c r="W368" s="7"/>
      <c r="X368" s="7"/>
      <c r="Y368" s="7"/>
      <c r="Z368" s="7" t="s">
        <v>6705</v>
      </c>
      <c r="AA368" s="9" t="s">
        <v>6706</v>
      </c>
      <c r="AB368" s="7" t="s">
        <v>6707</v>
      </c>
      <c r="AC368" s="7" t="s">
        <v>6708</v>
      </c>
      <c r="AD368" s="7" t="s">
        <v>6709</v>
      </c>
      <c r="AE368" s="7" t="s">
        <v>6710</v>
      </c>
      <c r="AF368" s="7"/>
      <c r="AG368" s="7"/>
      <c r="AH368" s="7"/>
      <c r="AI368" s="7"/>
      <c r="AJ368" s="10" t="s">
        <v>6063</v>
      </c>
      <c r="AK368" s="7" t="s">
        <v>6064</v>
      </c>
      <c r="AL368" s="7" t="s">
        <v>6711</v>
      </c>
      <c r="AM368" s="7" t="s">
        <v>6712</v>
      </c>
      <c r="AN368" s="7"/>
      <c r="AO368" s="7" t="s">
        <v>6067</v>
      </c>
      <c r="AP368" s="7" t="s">
        <v>6068</v>
      </c>
      <c r="AQ368" s="7" t="s">
        <v>6069</v>
      </c>
      <c r="AR368" s="7" t="s">
        <v>6070</v>
      </c>
      <c r="AS368" s="7" t="n">
        <v>196120</v>
      </c>
      <c r="AT368" s="7"/>
      <c r="AU368" s="7" t="s">
        <v>6071</v>
      </c>
      <c r="AV368" s="7"/>
      <c r="AW368" s="7"/>
      <c r="AX368" s="7" t="s">
        <v>6072</v>
      </c>
      <c r="AY368" s="7" t="s">
        <v>75</v>
      </c>
      <c r="AZ368" s="7"/>
      <c r="BA368" s="7" t="s">
        <v>76</v>
      </c>
      <c r="BB368" s="7" t="s">
        <v>6713</v>
      </c>
      <c r="BC368" s="7"/>
      <c r="BD368" s="7"/>
      <c r="BE368" s="7"/>
      <c r="BF368" s="7"/>
      <c r="BG368" s="7"/>
      <c r="BH368" s="7"/>
      <c r="BI368" s="7"/>
    </row>
    <row r="369" customFormat="false" ht="14.25" hidden="false" customHeight="true" outlineLevel="0" collapsed="false">
      <c r="A369" s="7" t="s">
        <v>6714</v>
      </c>
      <c r="B369" s="7" t="s">
        <v>6715</v>
      </c>
      <c r="C369" s="7" t="s">
        <v>6716</v>
      </c>
      <c r="D369" s="7" t="s">
        <v>6717</v>
      </c>
      <c r="E369" s="7" t="n">
        <v>2023</v>
      </c>
      <c r="F369" s="8" t="s">
        <v>6718</v>
      </c>
      <c r="G369" s="6" t="s">
        <v>713</v>
      </c>
      <c r="H369" s="7"/>
      <c r="I369" s="7"/>
      <c r="J369" s="7"/>
      <c r="K369" s="7"/>
      <c r="L369" s="7"/>
      <c r="M369" s="7"/>
      <c r="N369" s="7"/>
      <c r="O369" s="7"/>
      <c r="P369" s="7" t="s">
        <v>304</v>
      </c>
      <c r="Q369" s="7" t="s">
        <v>62</v>
      </c>
      <c r="R369" s="7" t="s">
        <v>6719</v>
      </c>
      <c r="S369" s="7"/>
      <c r="T369" s="7" t="s">
        <v>187</v>
      </c>
      <c r="U369" s="7"/>
      <c r="V369" s="7"/>
      <c r="W369" s="7"/>
      <c r="X369" s="7"/>
      <c r="Y369" s="7"/>
      <c r="Z369" s="7" t="s">
        <v>6720</v>
      </c>
      <c r="AA369" s="9" t="s">
        <v>6721</v>
      </c>
      <c r="AB369" s="7" t="s">
        <v>6722</v>
      </c>
      <c r="AC369" s="7" t="s">
        <v>6723</v>
      </c>
      <c r="AD369" s="7" t="s">
        <v>6724</v>
      </c>
      <c r="AE369" s="7" t="s">
        <v>6725</v>
      </c>
      <c r="AF369" s="7"/>
      <c r="AG369" s="7"/>
      <c r="AH369" s="7"/>
      <c r="AI369" s="7"/>
      <c r="AJ369" s="10"/>
      <c r="AK369" s="7"/>
      <c r="AL369" s="7" t="s">
        <v>6726</v>
      </c>
      <c r="AM369" s="7" t="s">
        <v>6727</v>
      </c>
      <c r="AN369" s="7"/>
      <c r="AO369" s="7" t="s">
        <v>6728</v>
      </c>
      <c r="AP369" s="7" t="s">
        <v>6729</v>
      </c>
      <c r="AQ369" s="7" t="s">
        <v>6730</v>
      </c>
      <c r="AR369" s="7" t="s">
        <v>2416</v>
      </c>
      <c r="AS369" s="7" t="n">
        <v>192397</v>
      </c>
      <c r="AT369" s="7"/>
      <c r="AU369" s="7" t="s">
        <v>6731</v>
      </c>
      <c r="AV369" s="7"/>
      <c r="AW369" s="7"/>
      <c r="AX369" s="7" t="s">
        <v>2418</v>
      </c>
      <c r="AY369" s="7" t="s">
        <v>75</v>
      </c>
      <c r="AZ369" s="7"/>
      <c r="BA369" s="7" t="s">
        <v>76</v>
      </c>
      <c r="BB369" s="7" t="s">
        <v>6732</v>
      </c>
      <c r="BC369" s="7"/>
      <c r="BD369" s="7"/>
      <c r="BE369" s="7"/>
      <c r="BF369" s="7"/>
      <c r="BG369" s="7"/>
      <c r="BH369" s="7"/>
      <c r="BI369" s="7"/>
    </row>
    <row r="370" customFormat="false" ht="14.25" hidden="false" customHeight="true" outlineLevel="0" collapsed="false">
      <c r="A370" s="7" t="s">
        <v>6733</v>
      </c>
      <c r="B370" s="7" t="s">
        <v>6734</v>
      </c>
      <c r="C370" s="7" t="s">
        <v>6735</v>
      </c>
      <c r="D370" s="7" t="s">
        <v>6736</v>
      </c>
      <c r="E370" s="7" t="n">
        <v>2023</v>
      </c>
      <c r="F370" s="8" t="s">
        <v>6737</v>
      </c>
      <c r="G370" s="6" t="s">
        <v>713</v>
      </c>
      <c r="H370" s="7"/>
      <c r="I370" s="7"/>
      <c r="J370" s="7"/>
      <c r="K370" s="7"/>
      <c r="L370" s="7"/>
      <c r="M370" s="7"/>
      <c r="N370" s="7"/>
      <c r="O370" s="7"/>
      <c r="P370" s="7" t="s">
        <v>304</v>
      </c>
      <c r="Q370" s="7" t="s">
        <v>62</v>
      </c>
      <c r="R370" s="7" t="s">
        <v>6738</v>
      </c>
      <c r="S370" s="7"/>
      <c r="T370" s="7" t="s">
        <v>187</v>
      </c>
      <c r="U370" s="7"/>
      <c r="V370" s="7"/>
      <c r="W370" s="7" t="n">
        <v>1269</v>
      </c>
      <c r="X370" s="7" t="n">
        <v>1276</v>
      </c>
      <c r="Y370" s="7" t="n">
        <v>7</v>
      </c>
      <c r="Z370" s="7" t="s">
        <v>6739</v>
      </c>
      <c r="AA370" s="9" t="s">
        <v>6740</v>
      </c>
      <c r="AB370" s="7" t="s">
        <v>6741</v>
      </c>
      <c r="AC370" s="7" t="s">
        <v>6742</v>
      </c>
      <c r="AD370" s="7" t="s">
        <v>6743</v>
      </c>
      <c r="AE370" s="7" t="s">
        <v>6744</v>
      </c>
      <c r="AF370" s="7"/>
      <c r="AG370" s="7"/>
      <c r="AH370" s="7"/>
      <c r="AI370" s="7"/>
      <c r="AJ370" s="10"/>
      <c r="AK370" s="7"/>
      <c r="AL370" s="7" t="s">
        <v>6745</v>
      </c>
      <c r="AM370" s="7" t="s">
        <v>6746</v>
      </c>
      <c r="AN370" s="7"/>
      <c r="AO370" s="7"/>
      <c r="AP370" s="7" t="s">
        <v>6747</v>
      </c>
      <c r="AQ370" s="7" t="s">
        <v>6748</v>
      </c>
      <c r="AR370" s="7" t="s">
        <v>2584</v>
      </c>
      <c r="AS370" s="7" t="n">
        <v>187553</v>
      </c>
      <c r="AT370" s="7"/>
      <c r="AU370" s="7" t="s">
        <v>6749</v>
      </c>
      <c r="AV370" s="7"/>
      <c r="AW370" s="7"/>
      <c r="AX370" s="7" t="s">
        <v>6750</v>
      </c>
      <c r="AY370" s="7" t="s">
        <v>75</v>
      </c>
      <c r="AZ370" s="7"/>
      <c r="BA370" s="7" t="s">
        <v>76</v>
      </c>
      <c r="BB370" s="7" t="s">
        <v>6751</v>
      </c>
      <c r="BC370" s="7"/>
      <c r="BD370" s="7"/>
      <c r="BE370" s="7"/>
      <c r="BF370" s="7"/>
      <c r="BG370" s="7"/>
      <c r="BH370" s="7"/>
      <c r="BI370" s="7"/>
    </row>
    <row r="371" customFormat="false" ht="14.25" hidden="false" customHeight="true" outlineLevel="0" collapsed="false">
      <c r="A371" s="7" t="s">
        <v>6752</v>
      </c>
      <c r="B371" s="7" t="s">
        <v>6753</v>
      </c>
      <c r="C371" s="7" t="s">
        <v>6754</v>
      </c>
      <c r="D371" s="7" t="s">
        <v>6755</v>
      </c>
      <c r="E371" s="7" t="n">
        <v>2023</v>
      </c>
      <c r="F371" s="8" t="s">
        <v>6756</v>
      </c>
      <c r="G371" s="6" t="s">
        <v>713</v>
      </c>
      <c r="H371" s="7"/>
      <c r="I371" s="7"/>
      <c r="J371" s="7"/>
      <c r="K371" s="7"/>
      <c r="L371" s="7"/>
      <c r="M371" s="7"/>
      <c r="N371" s="7"/>
      <c r="O371" s="7"/>
      <c r="P371" s="7" t="s">
        <v>304</v>
      </c>
      <c r="Q371" s="7" t="s">
        <v>62</v>
      </c>
      <c r="R371" s="7" t="s">
        <v>6757</v>
      </c>
      <c r="S371" s="7"/>
      <c r="T371" s="7" t="s">
        <v>187</v>
      </c>
      <c r="U371" s="7"/>
      <c r="V371" s="7"/>
      <c r="W371" s="7"/>
      <c r="X371" s="7"/>
      <c r="Y371" s="7"/>
      <c r="Z371" s="7" t="s">
        <v>6758</v>
      </c>
      <c r="AA371" s="9" t="s">
        <v>6759</v>
      </c>
      <c r="AB371" s="7" t="s">
        <v>6760</v>
      </c>
      <c r="AC371" s="7" t="s">
        <v>6761</v>
      </c>
      <c r="AD371" s="7" t="s">
        <v>6762</v>
      </c>
      <c r="AE371" s="7" t="s">
        <v>6763</v>
      </c>
      <c r="AF371" s="7"/>
      <c r="AG371" s="7"/>
      <c r="AH371" s="7"/>
      <c r="AI371" s="7"/>
      <c r="AJ371" s="10"/>
      <c r="AK371" s="7"/>
      <c r="AL371" s="7" t="s">
        <v>6764</v>
      </c>
      <c r="AM371" s="7" t="s">
        <v>6765</v>
      </c>
      <c r="AN371" s="7"/>
      <c r="AO371" s="7"/>
      <c r="AP371" s="7" t="s">
        <v>6766</v>
      </c>
      <c r="AQ371" s="7" t="s">
        <v>6767</v>
      </c>
      <c r="AR371" s="7" t="s">
        <v>6768</v>
      </c>
      <c r="AS371" s="7" t="n">
        <v>190412</v>
      </c>
      <c r="AT371" s="7"/>
      <c r="AU371" s="7" t="s">
        <v>6769</v>
      </c>
      <c r="AV371" s="7"/>
      <c r="AW371" s="7"/>
      <c r="AX371" s="7" t="s">
        <v>6770</v>
      </c>
      <c r="AY371" s="7" t="s">
        <v>75</v>
      </c>
      <c r="AZ371" s="7"/>
      <c r="BA371" s="7" t="s">
        <v>76</v>
      </c>
      <c r="BB371" s="7" t="s">
        <v>6771</v>
      </c>
      <c r="BC371" s="7"/>
      <c r="BD371" s="7"/>
      <c r="BE371" s="7"/>
      <c r="BF371" s="7"/>
      <c r="BG371" s="7"/>
      <c r="BH371" s="7"/>
      <c r="BI371" s="7"/>
    </row>
    <row r="372" customFormat="false" ht="14.25" hidden="false" customHeight="true" outlineLevel="0" collapsed="false">
      <c r="A372" s="7" t="s">
        <v>6772</v>
      </c>
      <c r="B372" s="7" t="s">
        <v>6773</v>
      </c>
      <c r="C372" s="7" t="s">
        <v>6774</v>
      </c>
      <c r="D372" s="7" t="s">
        <v>6775</v>
      </c>
      <c r="E372" s="7" t="n">
        <v>2023</v>
      </c>
      <c r="F372" s="8" t="s">
        <v>6776</v>
      </c>
      <c r="G372" s="6" t="s">
        <v>713</v>
      </c>
      <c r="H372" s="7"/>
      <c r="I372" s="7"/>
      <c r="J372" s="7"/>
      <c r="K372" s="7"/>
      <c r="L372" s="7"/>
      <c r="M372" s="7"/>
      <c r="N372" s="7"/>
      <c r="O372" s="7"/>
      <c r="P372" s="7" t="s">
        <v>304</v>
      </c>
      <c r="Q372" s="7" t="s">
        <v>62</v>
      </c>
      <c r="R372" s="7" t="s">
        <v>6777</v>
      </c>
      <c r="S372" s="7"/>
      <c r="T372" s="7" t="s">
        <v>187</v>
      </c>
      <c r="U372" s="7"/>
      <c r="V372" s="7"/>
      <c r="W372" s="7" t="n">
        <v>1044</v>
      </c>
      <c r="X372" s="7" t="n">
        <v>1050</v>
      </c>
      <c r="Y372" s="7" t="n">
        <v>6</v>
      </c>
      <c r="Z372" s="7" t="s">
        <v>6778</v>
      </c>
      <c r="AA372" s="9" t="s">
        <v>6779</v>
      </c>
      <c r="AB372" s="7" t="s">
        <v>6780</v>
      </c>
      <c r="AC372" s="7" t="s">
        <v>6781</v>
      </c>
      <c r="AD372" s="7" t="s">
        <v>6782</v>
      </c>
      <c r="AE372" s="7" t="s">
        <v>6783</v>
      </c>
      <c r="AF372" s="7"/>
      <c r="AG372" s="7"/>
      <c r="AH372" s="7"/>
      <c r="AI372" s="7"/>
      <c r="AJ372" s="10"/>
      <c r="AK372" s="7"/>
      <c r="AL372" s="7" t="s">
        <v>6784</v>
      </c>
      <c r="AM372" s="7" t="s">
        <v>6785</v>
      </c>
      <c r="AN372" s="7"/>
      <c r="AO372" s="7"/>
      <c r="AP372" s="7" t="s">
        <v>6777</v>
      </c>
      <c r="AQ372" s="7" t="s">
        <v>6786</v>
      </c>
      <c r="AR372" s="7" t="s">
        <v>3435</v>
      </c>
      <c r="AS372" s="7" t="n">
        <v>187724</v>
      </c>
      <c r="AT372" s="7"/>
      <c r="AU372" s="7" t="s">
        <v>6787</v>
      </c>
      <c r="AV372" s="7"/>
      <c r="AW372" s="7"/>
      <c r="AX372" s="7" t="s">
        <v>6788</v>
      </c>
      <c r="AY372" s="7" t="s">
        <v>75</v>
      </c>
      <c r="AZ372" s="7"/>
      <c r="BA372" s="7" t="s">
        <v>76</v>
      </c>
      <c r="BB372" s="7" t="s">
        <v>6789</v>
      </c>
      <c r="BC372" s="7"/>
      <c r="BD372" s="7"/>
      <c r="BE372" s="7"/>
      <c r="BF372" s="7"/>
      <c r="BG372" s="7"/>
      <c r="BH372" s="7"/>
      <c r="BI372" s="7"/>
    </row>
    <row r="373" customFormat="false" ht="14.25" hidden="false" customHeight="true" outlineLevel="0" collapsed="false">
      <c r="A373" s="7" t="s">
        <v>6790</v>
      </c>
      <c r="B373" s="7" t="s">
        <v>6791</v>
      </c>
      <c r="C373" s="7" t="s">
        <v>6792</v>
      </c>
      <c r="D373" s="6" t="s">
        <v>6793</v>
      </c>
      <c r="E373" s="7" t="n">
        <v>2023</v>
      </c>
      <c r="F373" s="8" t="s">
        <v>6794</v>
      </c>
      <c r="G373" s="6" t="s">
        <v>713</v>
      </c>
      <c r="H373" s="7"/>
      <c r="I373" s="7" t="s">
        <v>5021</v>
      </c>
      <c r="J373" s="7"/>
      <c r="K373" s="7"/>
      <c r="L373" s="7"/>
      <c r="M373" s="7"/>
      <c r="N373" s="7"/>
      <c r="O373" s="7"/>
      <c r="P373" s="7" t="s">
        <v>304</v>
      </c>
      <c r="Q373" s="7" t="s">
        <v>62</v>
      </c>
      <c r="R373" s="7" t="s">
        <v>2751</v>
      </c>
      <c r="S373" s="7" t="s">
        <v>6795</v>
      </c>
      <c r="T373" s="7" t="s">
        <v>307</v>
      </c>
      <c r="U373" s="7"/>
      <c r="V373" s="7"/>
      <c r="W373" s="7" t="n">
        <v>303</v>
      </c>
      <c r="X373" s="7" t="n">
        <v>312</v>
      </c>
      <c r="Y373" s="7" t="n">
        <v>9</v>
      </c>
      <c r="Z373" s="7" t="s">
        <v>6796</v>
      </c>
      <c r="AA373" s="9" t="s">
        <v>6797</v>
      </c>
      <c r="AB373" s="7" t="s">
        <v>6798</v>
      </c>
      <c r="AC373" s="7" t="s">
        <v>6799</v>
      </c>
      <c r="AD373" s="7" t="s">
        <v>6800</v>
      </c>
      <c r="AE373" s="7" t="s">
        <v>6801</v>
      </c>
      <c r="AF373" s="7"/>
      <c r="AG373" s="7"/>
      <c r="AH373" s="7"/>
      <c r="AI373" s="7"/>
      <c r="AJ373" s="10" t="s">
        <v>6802</v>
      </c>
      <c r="AK373" s="7" t="s">
        <v>6803</v>
      </c>
      <c r="AL373" s="7" t="s">
        <v>6804</v>
      </c>
      <c r="AM373" s="7" t="s">
        <v>6805</v>
      </c>
      <c r="AN373" s="7" t="s">
        <v>6806</v>
      </c>
      <c r="AO373" s="7"/>
      <c r="AP373" s="7" t="s">
        <v>6807</v>
      </c>
      <c r="AQ373" s="7" t="s">
        <v>6808</v>
      </c>
      <c r="AR373" s="7" t="s">
        <v>6809</v>
      </c>
      <c r="AS373" s="7" t="n">
        <v>296179</v>
      </c>
      <c r="AT373" s="7" t="n">
        <v>3029743</v>
      </c>
      <c r="AU373" s="7" t="s">
        <v>6810</v>
      </c>
      <c r="AV373" s="7"/>
      <c r="AW373" s="7"/>
      <c r="AX373" s="7" t="s">
        <v>2766</v>
      </c>
      <c r="AY373" s="7" t="s">
        <v>75</v>
      </c>
      <c r="AZ373" s="7"/>
      <c r="BA373" s="7" t="s">
        <v>76</v>
      </c>
      <c r="BB373" s="7" t="s">
        <v>6811</v>
      </c>
      <c r="BC373" s="7"/>
      <c r="BD373" s="7"/>
      <c r="BE373" s="7"/>
      <c r="BF373" s="7"/>
      <c r="BG373" s="7"/>
      <c r="BH373" s="7"/>
      <c r="BI373" s="7"/>
    </row>
    <row r="374" customFormat="false" ht="14.25" hidden="false" customHeight="true" outlineLevel="0" collapsed="false">
      <c r="A374" s="7" t="s">
        <v>6812</v>
      </c>
      <c r="B374" s="7" t="s">
        <v>6813</v>
      </c>
      <c r="C374" s="7" t="s">
        <v>6814</v>
      </c>
      <c r="D374" s="7" t="s">
        <v>6815</v>
      </c>
      <c r="E374" s="7" t="n">
        <v>2023</v>
      </c>
      <c r="F374" s="8" t="s">
        <v>6816</v>
      </c>
      <c r="G374" s="6" t="s">
        <v>713</v>
      </c>
      <c r="H374" s="7"/>
      <c r="I374" s="7"/>
      <c r="J374" s="7"/>
      <c r="K374" s="7"/>
      <c r="L374" s="7"/>
      <c r="M374" s="7"/>
      <c r="N374" s="7"/>
      <c r="O374" s="7"/>
      <c r="P374" s="7" t="s">
        <v>304</v>
      </c>
      <c r="Q374" s="7" t="s">
        <v>62</v>
      </c>
      <c r="R374" s="7" t="s">
        <v>6817</v>
      </c>
      <c r="S374" s="7"/>
      <c r="T374" s="7" t="s">
        <v>187</v>
      </c>
      <c r="U374" s="7"/>
      <c r="V374" s="7"/>
      <c r="W374" s="7"/>
      <c r="X374" s="7"/>
      <c r="Y374" s="7"/>
      <c r="Z374" s="7" t="s">
        <v>6818</v>
      </c>
      <c r="AA374" s="9" t="s">
        <v>6819</v>
      </c>
      <c r="AB374" s="7" t="s">
        <v>6820</v>
      </c>
      <c r="AC374" s="7" t="s">
        <v>6821</v>
      </c>
      <c r="AD374" s="7" t="s">
        <v>6822</v>
      </c>
      <c r="AE374" s="7" t="s">
        <v>6823</v>
      </c>
      <c r="AF374" s="7"/>
      <c r="AG374" s="7"/>
      <c r="AH374" s="7"/>
      <c r="AI374" s="7"/>
      <c r="AJ374" s="10"/>
      <c r="AK374" s="7"/>
      <c r="AL374" s="7" t="s">
        <v>6824</v>
      </c>
      <c r="AM374" s="7"/>
      <c r="AN374" s="7"/>
      <c r="AO374" s="7" t="s">
        <v>6825</v>
      </c>
      <c r="AP374" s="7" t="s">
        <v>6826</v>
      </c>
      <c r="AQ374" s="7" t="s">
        <v>6827</v>
      </c>
      <c r="AR374" s="7" t="s">
        <v>6828</v>
      </c>
      <c r="AS374" s="7" t="n">
        <v>193317</v>
      </c>
      <c r="AT374" s="7"/>
      <c r="AU374" s="7" t="s">
        <v>6829</v>
      </c>
      <c r="AV374" s="7"/>
      <c r="AW374" s="7"/>
      <c r="AX374" s="7" t="s">
        <v>6830</v>
      </c>
      <c r="AY374" s="7" t="s">
        <v>75</v>
      </c>
      <c r="AZ374" s="7"/>
      <c r="BA374" s="7" t="s">
        <v>76</v>
      </c>
      <c r="BB374" s="7" t="s">
        <v>6831</v>
      </c>
      <c r="BC374" s="7"/>
      <c r="BD374" s="7"/>
      <c r="BE374" s="7"/>
      <c r="BF374" s="7"/>
      <c r="BG374" s="7"/>
      <c r="BH374" s="7"/>
      <c r="BI374" s="7"/>
    </row>
    <row r="375" customFormat="false" ht="14.25" hidden="false" customHeight="true" outlineLevel="0" collapsed="false">
      <c r="A375" s="7" t="s">
        <v>6832</v>
      </c>
      <c r="B375" s="7" t="s">
        <v>6833</v>
      </c>
      <c r="C375" s="7" t="s">
        <v>6834</v>
      </c>
      <c r="D375" s="7" t="s">
        <v>6835</v>
      </c>
      <c r="E375" s="7" t="n">
        <v>2023</v>
      </c>
      <c r="F375" s="8" t="s">
        <v>6836</v>
      </c>
      <c r="G375" s="6" t="s">
        <v>713</v>
      </c>
      <c r="H375" s="7"/>
      <c r="I375" s="7"/>
      <c r="J375" s="7"/>
      <c r="K375" s="7"/>
      <c r="L375" s="7"/>
      <c r="M375" s="7"/>
      <c r="N375" s="7"/>
      <c r="O375" s="7"/>
      <c r="P375" s="7" t="s">
        <v>304</v>
      </c>
      <c r="Q375" s="7" t="s">
        <v>62</v>
      </c>
      <c r="R375" s="7" t="s">
        <v>6837</v>
      </c>
      <c r="S375" s="7"/>
      <c r="T375" s="7" t="s">
        <v>187</v>
      </c>
      <c r="U375" s="7"/>
      <c r="V375" s="7"/>
      <c r="W375" s="7" t="n">
        <v>1486</v>
      </c>
      <c r="X375" s="7" t="n">
        <v>1490</v>
      </c>
      <c r="Y375" s="7" t="n">
        <v>4</v>
      </c>
      <c r="Z375" s="7" t="s">
        <v>6838</v>
      </c>
      <c r="AA375" s="9" t="s">
        <v>6839</v>
      </c>
      <c r="AB375" s="7" t="s">
        <v>6840</v>
      </c>
      <c r="AC375" s="7" t="s">
        <v>6841</v>
      </c>
      <c r="AD375" s="7" t="s">
        <v>6842</v>
      </c>
      <c r="AE375" s="7" t="s">
        <v>6843</v>
      </c>
      <c r="AF375" s="7"/>
      <c r="AG375" s="7"/>
      <c r="AH375" s="7"/>
      <c r="AI375" s="7"/>
      <c r="AJ375" s="10"/>
      <c r="AK375" s="7"/>
      <c r="AL375" s="7" t="s">
        <v>6844</v>
      </c>
      <c r="AM375" s="7" t="s">
        <v>6845</v>
      </c>
      <c r="AN375" s="7"/>
      <c r="AO375" s="7" t="s">
        <v>3090</v>
      </c>
      <c r="AP375" s="7" t="s">
        <v>6846</v>
      </c>
      <c r="AQ375" s="7" t="s">
        <v>6847</v>
      </c>
      <c r="AR375" s="7" t="s">
        <v>6848</v>
      </c>
      <c r="AS375" s="7" t="n">
        <v>199135</v>
      </c>
      <c r="AT375" s="7"/>
      <c r="AU375" s="7" t="s">
        <v>6849</v>
      </c>
      <c r="AV375" s="7"/>
      <c r="AW375" s="7"/>
      <c r="AX375" s="7" t="s">
        <v>6850</v>
      </c>
      <c r="AY375" s="7" t="s">
        <v>75</v>
      </c>
      <c r="AZ375" s="7"/>
      <c r="BA375" s="7" t="s">
        <v>76</v>
      </c>
      <c r="BB375" s="7" t="s">
        <v>6851</v>
      </c>
      <c r="BC375" s="7"/>
      <c r="BD375" s="7"/>
      <c r="BE375" s="7"/>
      <c r="BF375" s="7"/>
      <c r="BG375" s="7"/>
      <c r="BH375" s="7"/>
      <c r="BI375" s="7"/>
    </row>
    <row r="376" customFormat="false" ht="14.25" hidden="false" customHeight="true" outlineLevel="0" collapsed="false">
      <c r="A376" s="7" t="s">
        <v>6852</v>
      </c>
      <c r="B376" s="7" t="s">
        <v>6853</v>
      </c>
      <c r="C376" s="7" t="s">
        <v>6854</v>
      </c>
      <c r="D376" s="7" t="s">
        <v>6855</v>
      </c>
      <c r="E376" s="7" t="n">
        <v>2023</v>
      </c>
      <c r="F376" s="8" t="s">
        <v>6856</v>
      </c>
      <c r="G376" s="6" t="s">
        <v>713</v>
      </c>
      <c r="H376" s="7"/>
      <c r="I376" s="7"/>
      <c r="J376" s="7"/>
      <c r="K376" s="7"/>
      <c r="L376" s="7"/>
      <c r="M376" s="7"/>
      <c r="N376" s="7"/>
      <c r="O376" s="7"/>
      <c r="P376" s="7" t="s">
        <v>304</v>
      </c>
      <c r="Q376" s="7" t="s">
        <v>62</v>
      </c>
      <c r="R376" s="7" t="s">
        <v>6857</v>
      </c>
      <c r="S376" s="7"/>
      <c r="T376" s="7" t="s">
        <v>187</v>
      </c>
      <c r="U376" s="7"/>
      <c r="V376" s="7"/>
      <c r="W376" s="7" t="n">
        <v>63</v>
      </c>
      <c r="X376" s="7" t="n">
        <v>66</v>
      </c>
      <c r="Y376" s="7" t="n">
        <v>3</v>
      </c>
      <c r="Z376" s="7" t="s">
        <v>6858</v>
      </c>
      <c r="AA376" s="9" t="s">
        <v>6859</v>
      </c>
      <c r="AB376" s="7" t="s">
        <v>6860</v>
      </c>
      <c r="AC376" s="7" t="s">
        <v>6861</v>
      </c>
      <c r="AD376" s="7" t="s">
        <v>6862</v>
      </c>
      <c r="AE376" s="7" t="s">
        <v>6863</v>
      </c>
      <c r="AF376" s="7"/>
      <c r="AG376" s="7"/>
      <c r="AH376" s="7"/>
      <c r="AI376" s="7"/>
      <c r="AJ376" s="10"/>
      <c r="AK376" s="7"/>
      <c r="AL376" s="7" t="s">
        <v>6864</v>
      </c>
      <c r="AM376" s="7" t="s">
        <v>6865</v>
      </c>
      <c r="AN376" s="7"/>
      <c r="AO376" s="7"/>
      <c r="AP376" s="7" t="s">
        <v>6866</v>
      </c>
      <c r="AQ376" s="7" t="s">
        <v>6867</v>
      </c>
      <c r="AR376" s="7" t="s">
        <v>2584</v>
      </c>
      <c r="AS376" s="7" t="n">
        <v>190536</v>
      </c>
      <c r="AT376" s="7"/>
      <c r="AU376" s="7" t="s">
        <v>6868</v>
      </c>
      <c r="AV376" s="7"/>
      <c r="AW376" s="7"/>
      <c r="AX376" s="7" t="s">
        <v>6869</v>
      </c>
      <c r="AY376" s="7" t="s">
        <v>75</v>
      </c>
      <c r="AZ376" s="7"/>
      <c r="BA376" s="7" t="s">
        <v>76</v>
      </c>
      <c r="BB376" s="7" t="s">
        <v>6870</v>
      </c>
      <c r="BC376" s="7"/>
      <c r="BD376" s="7"/>
      <c r="BE376" s="7"/>
      <c r="BF376" s="7"/>
      <c r="BG376" s="7"/>
      <c r="BH376" s="7"/>
      <c r="BI376" s="7"/>
    </row>
    <row r="377" customFormat="false" ht="14.25" hidden="false" customHeight="true" outlineLevel="0" collapsed="false">
      <c r="A377" s="7" t="s">
        <v>6871</v>
      </c>
      <c r="B377" s="7" t="s">
        <v>6872</v>
      </c>
      <c r="C377" s="7" t="s">
        <v>6873</v>
      </c>
      <c r="D377" s="7" t="s">
        <v>6874</v>
      </c>
      <c r="E377" s="7" t="n">
        <v>2023</v>
      </c>
      <c r="F377" s="8" t="s">
        <v>6875</v>
      </c>
      <c r="G377" s="6" t="s">
        <v>713</v>
      </c>
      <c r="H377" s="7"/>
      <c r="I377" s="7"/>
      <c r="J377" s="7"/>
      <c r="K377" s="7"/>
      <c r="L377" s="7"/>
      <c r="M377" s="7"/>
      <c r="N377" s="7"/>
      <c r="O377" s="7"/>
      <c r="P377" s="7" t="s">
        <v>304</v>
      </c>
      <c r="Q377" s="7" t="s">
        <v>62</v>
      </c>
      <c r="R377" s="7" t="s">
        <v>305</v>
      </c>
      <c r="S377" s="7" t="s">
        <v>6876</v>
      </c>
      <c r="T377" s="7" t="s">
        <v>307</v>
      </c>
      <c r="U377" s="7"/>
      <c r="V377" s="7"/>
      <c r="W377" s="7" t="n">
        <v>135</v>
      </c>
      <c r="X377" s="7" t="n">
        <v>153</v>
      </c>
      <c r="Y377" s="7" t="n">
        <v>18</v>
      </c>
      <c r="Z377" s="7" t="s">
        <v>6877</v>
      </c>
      <c r="AA377" s="9" t="s">
        <v>6878</v>
      </c>
      <c r="AB377" s="7" t="s">
        <v>6879</v>
      </c>
      <c r="AC377" s="7" t="s">
        <v>6880</v>
      </c>
      <c r="AD377" s="7" t="s">
        <v>6881</v>
      </c>
      <c r="AE377" s="7" t="s">
        <v>6882</v>
      </c>
      <c r="AF377" s="7"/>
      <c r="AG377" s="7"/>
      <c r="AH377" s="7"/>
      <c r="AI377" s="7"/>
      <c r="AJ377" s="10" t="s">
        <v>6883</v>
      </c>
      <c r="AK377" s="7" t="s">
        <v>6884</v>
      </c>
      <c r="AL377" s="7" t="s">
        <v>6885</v>
      </c>
      <c r="AM377" s="7" t="s">
        <v>6886</v>
      </c>
      <c r="AN377" s="7" t="s">
        <v>6887</v>
      </c>
      <c r="AO377" s="7"/>
      <c r="AP377" s="7" t="s">
        <v>6888</v>
      </c>
      <c r="AQ377" s="7" t="s">
        <v>6889</v>
      </c>
      <c r="AR377" s="7" t="s">
        <v>6890</v>
      </c>
      <c r="AS377" s="7" t="n">
        <v>295599</v>
      </c>
      <c r="AT377" s="7" t="n">
        <v>18650929</v>
      </c>
      <c r="AU377" s="7" t="s">
        <v>6891</v>
      </c>
      <c r="AV377" s="7"/>
      <c r="AW377" s="7"/>
      <c r="AX377" s="7" t="s">
        <v>321</v>
      </c>
      <c r="AY377" s="7" t="s">
        <v>75</v>
      </c>
      <c r="AZ377" s="7"/>
      <c r="BA377" s="7" t="s">
        <v>76</v>
      </c>
      <c r="BB377" s="7" t="s">
        <v>6892</v>
      </c>
      <c r="BC377" s="7"/>
      <c r="BD377" s="7"/>
      <c r="BE377" s="7"/>
      <c r="BF377" s="7"/>
      <c r="BG377" s="7"/>
      <c r="BH377" s="7"/>
      <c r="BI377" s="7"/>
    </row>
    <row r="378" customFormat="false" ht="14.25" hidden="false" customHeight="true" outlineLevel="0" collapsed="false">
      <c r="A378" s="7" t="s">
        <v>6893</v>
      </c>
      <c r="B378" s="7" t="s">
        <v>6894</v>
      </c>
      <c r="C378" s="7" t="s">
        <v>6895</v>
      </c>
      <c r="D378" s="7" t="s">
        <v>6896</v>
      </c>
      <c r="E378" s="7" t="n">
        <v>2023</v>
      </c>
      <c r="F378" s="8" t="s">
        <v>6897</v>
      </c>
      <c r="G378" s="6" t="s">
        <v>713</v>
      </c>
      <c r="H378" s="7"/>
      <c r="I378" s="7"/>
      <c r="J378" s="7"/>
      <c r="K378" s="7"/>
      <c r="L378" s="7"/>
      <c r="M378" s="7"/>
      <c r="N378" s="7"/>
      <c r="O378" s="7"/>
      <c r="P378" s="7" t="s">
        <v>304</v>
      </c>
      <c r="Q378" s="7" t="s">
        <v>62</v>
      </c>
      <c r="R378" s="7" t="s">
        <v>6898</v>
      </c>
      <c r="S378" s="7"/>
      <c r="T378" s="7" t="s">
        <v>187</v>
      </c>
      <c r="U378" s="7"/>
      <c r="V378" s="7"/>
      <c r="W378" s="7"/>
      <c r="X378" s="7"/>
      <c r="Y378" s="7"/>
      <c r="Z378" s="7" t="s">
        <v>6899</v>
      </c>
      <c r="AA378" s="9" t="s">
        <v>6900</v>
      </c>
      <c r="AB378" s="7" t="s">
        <v>6901</v>
      </c>
      <c r="AC378" s="7" t="s">
        <v>6902</v>
      </c>
      <c r="AD378" s="7" t="s">
        <v>6903</v>
      </c>
      <c r="AE378" s="7" t="s">
        <v>6904</v>
      </c>
      <c r="AF378" s="7"/>
      <c r="AG378" s="7"/>
      <c r="AH378" s="7"/>
      <c r="AI378" s="7"/>
      <c r="AJ378" s="10"/>
      <c r="AK378" s="7"/>
      <c r="AL378" s="7" t="s">
        <v>6905</v>
      </c>
      <c r="AM378" s="7"/>
      <c r="AN378" s="7"/>
      <c r="AO378" s="7"/>
      <c r="AP378" s="7" t="s">
        <v>6906</v>
      </c>
      <c r="AQ378" s="7" t="s">
        <v>6907</v>
      </c>
      <c r="AR378" s="7" t="s">
        <v>6908</v>
      </c>
      <c r="AS378" s="7" t="n">
        <v>194050</v>
      </c>
      <c r="AT378" s="7"/>
      <c r="AU378" s="7" t="s">
        <v>6909</v>
      </c>
      <c r="AV378" s="7"/>
      <c r="AW378" s="7"/>
      <c r="AX378" s="7" t="s">
        <v>6910</v>
      </c>
      <c r="AY378" s="7" t="s">
        <v>75</v>
      </c>
      <c r="AZ378" s="7"/>
      <c r="BA378" s="7" t="s">
        <v>76</v>
      </c>
      <c r="BB378" s="7" t="s">
        <v>6911</v>
      </c>
      <c r="BC378" s="7"/>
      <c r="BD378" s="7"/>
      <c r="BE378" s="7"/>
      <c r="BF378" s="7"/>
      <c r="BG378" s="7"/>
      <c r="BH378" s="7"/>
      <c r="BI378" s="7"/>
    </row>
    <row r="379" customFormat="false" ht="14.25" hidden="false" customHeight="true" outlineLevel="0" collapsed="false">
      <c r="A379" s="7" t="s">
        <v>6912</v>
      </c>
      <c r="B379" s="7" t="s">
        <v>6913</v>
      </c>
      <c r="C379" s="7" t="s">
        <v>6914</v>
      </c>
      <c r="D379" s="7" t="s">
        <v>6915</v>
      </c>
      <c r="E379" s="7" t="n">
        <v>2023</v>
      </c>
      <c r="F379" s="8" t="s">
        <v>6916</v>
      </c>
      <c r="G379" s="6" t="s">
        <v>713</v>
      </c>
      <c r="H379" s="7"/>
      <c r="I379" s="7"/>
      <c r="J379" s="7"/>
      <c r="K379" s="7"/>
      <c r="L379" s="7"/>
      <c r="M379" s="7"/>
      <c r="N379" s="7"/>
      <c r="O379" s="7"/>
      <c r="P379" s="7" t="s">
        <v>304</v>
      </c>
      <c r="Q379" s="7" t="s">
        <v>62</v>
      </c>
      <c r="R379" s="7" t="s">
        <v>6668</v>
      </c>
      <c r="S379" s="7" t="n">
        <v>2023</v>
      </c>
      <c r="T379" s="7" t="s">
        <v>6669</v>
      </c>
      <c r="U379" s="7" t="n">
        <v>11</v>
      </c>
      <c r="V379" s="7"/>
      <c r="W379" s="7" t="n">
        <v>284</v>
      </c>
      <c r="X379" s="7" t="n">
        <v>291</v>
      </c>
      <c r="Y379" s="7" t="n">
        <v>7</v>
      </c>
      <c r="Z379" s="7" t="s">
        <v>6917</v>
      </c>
      <c r="AA379" s="9" t="s">
        <v>6918</v>
      </c>
      <c r="AB379" s="7" t="s">
        <v>6919</v>
      </c>
      <c r="AC379" s="7" t="s">
        <v>6920</v>
      </c>
      <c r="AD379" s="7"/>
      <c r="AE379" s="7" t="s">
        <v>6921</v>
      </c>
      <c r="AF379" s="7"/>
      <c r="AG379" s="7"/>
      <c r="AH379" s="7"/>
      <c r="AI379" s="7"/>
      <c r="AJ379" s="10"/>
      <c r="AK379" s="7"/>
      <c r="AL379" s="7" t="s">
        <v>6922</v>
      </c>
      <c r="AM379" s="7" t="s">
        <v>6923</v>
      </c>
      <c r="AN379" s="7"/>
      <c r="AO379" s="7"/>
      <c r="AP379" s="7" t="s">
        <v>6924</v>
      </c>
      <c r="AQ379" s="7" t="s">
        <v>6925</v>
      </c>
      <c r="AR379" s="7" t="s">
        <v>6926</v>
      </c>
      <c r="AS379" s="7" t="n">
        <v>195673</v>
      </c>
      <c r="AT379" s="7" t="n">
        <v>27324494</v>
      </c>
      <c r="AU379" s="7"/>
      <c r="AV379" s="7"/>
      <c r="AW379" s="7"/>
      <c r="AX379" s="7" t="s">
        <v>6679</v>
      </c>
      <c r="AY379" s="7" t="s">
        <v>75</v>
      </c>
      <c r="AZ379" s="7"/>
      <c r="BA379" s="7" t="s">
        <v>76</v>
      </c>
      <c r="BB379" s="7" t="s">
        <v>6927</v>
      </c>
      <c r="BC379" s="7"/>
      <c r="BD379" s="7"/>
      <c r="BE379" s="7"/>
      <c r="BF379" s="7"/>
      <c r="BG379" s="7"/>
      <c r="BH379" s="7"/>
      <c r="BI379" s="7"/>
    </row>
    <row r="380" customFormat="false" ht="14.25" hidden="false" customHeight="true" outlineLevel="0" collapsed="false">
      <c r="A380" s="7" t="s">
        <v>6928</v>
      </c>
      <c r="B380" s="7" t="s">
        <v>6929</v>
      </c>
      <c r="C380" s="7" t="s">
        <v>6930</v>
      </c>
      <c r="D380" s="7" t="s">
        <v>6931</v>
      </c>
      <c r="E380" s="7" t="n">
        <v>2023</v>
      </c>
      <c r="F380" s="8" t="s">
        <v>6932</v>
      </c>
      <c r="G380" s="6" t="s">
        <v>713</v>
      </c>
      <c r="H380" s="7"/>
      <c r="I380" s="7"/>
      <c r="J380" s="7"/>
      <c r="K380" s="7"/>
      <c r="L380" s="7"/>
      <c r="M380" s="7"/>
      <c r="N380" s="7"/>
      <c r="O380" s="7"/>
      <c r="P380" s="7" t="s">
        <v>304</v>
      </c>
      <c r="Q380" s="7" t="s">
        <v>62</v>
      </c>
      <c r="R380" s="7" t="s">
        <v>6933</v>
      </c>
      <c r="S380" s="7"/>
      <c r="T380" s="7" t="s">
        <v>187</v>
      </c>
      <c r="U380" s="7"/>
      <c r="V380" s="7"/>
      <c r="W380" s="7" t="n">
        <v>306</v>
      </c>
      <c r="X380" s="7" t="n">
        <v>308</v>
      </c>
      <c r="Y380" s="7" t="n">
        <v>2</v>
      </c>
      <c r="Z380" s="7" t="s">
        <v>6934</v>
      </c>
      <c r="AA380" s="9" t="s">
        <v>6935</v>
      </c>
      <c r="AB380" s="7" t="s">
        <v>6936</v>
      </c>
      <c r="AC380" s="7" t="s">
        <v>6937</v>
      </c>
      <c r="AD380" s="7" t="s">
        <v>6938</v>
      </c>
      <c r="AE380" s="7" t="s">
        <v>6939</v>
      </c>
      <c r="AF380" s="7"/>
      <c r="AG380" s="7"/>
      <c r="AH380" s="7"/>
      <c r="AI380" s="7"/>
      <c r="AJ380" s="10" t="s">
        <v>6940</v>
      </c>
      <c r="AK380" s="7" t="s">
        <v>6941</v>
      </c>
      <c r="AL380" s="7" t="s">
        <v>6942</v>
      </c>
      <c r="AM380" s="7" t="s">
        <v>6943</v>
      </c>
      <c r="AN380" s="7"/>
      <c r="AO380" s="7" t="s">
        <v>6944</v>
      </c>
      <c r="AP380" s="7" t="s">
        <v>6945</v>
      </c>
      <c r="AQ380" s="7" t="s">
        <v>6946</v>
      </c>
      <c r="AR380" s="7" t="s">
        <v>6947</v>
      </c>
      <c r="AS380" s="7" t="n">
        <v>191304</v>
      </c>
      <c r="AT380" s="7"/>
      <c r="AU380" s="7" t="s">
        <v>6948</v>
      </c>
      <c r="AV380" s="7"/>
      <c r="AW380" s="7"/>
      <c r="AX380" s="7" t="s">
        <v>6949</v>
      </c>
      <c r="AY380" s="7" t="s">
        <v>75</v>
      </c>
      <c r="AZ380" s="7"/>
      <c r="BA380" s="7" t="s">
        <v>76</v>
      </c>
      <c r="BB380" s="7" t="s">
        <v>6950</v>
      </c>
      <c r="BC380" s="7"/>
      <c r="BD380" s="7"/>
      <c r="BE380" s="7"/>
      <c r="BF380" s="7"/>
      <c r="BG380" s="7"/>
      <c r="BH380" s="7"/>
      <c r="BI380" s="7"/>
    </row>
    <row r="381" customFormat="false" ht="14.25" hidden="false" customHeight="true" outlineLevel="0" collapsed="false">
      <c r="A381" s="7" t="s">
        <v>6951</v>
      </c>
      <c r="B381" s="7" t="s">
        <v>6952</v>
      </c>
      <c r="C381" s="7" t="s">
        <v>6953</v>
      </c>
      <c r="D381" s="7" t="s">
        <v>6954</v>
      </c>
      <c r="E381" s="7" t="n">
        <v>2023</v>
      </c>
      <c r="F381" s="8" t="s">
        <v>6955</v>
      </c>
      <c r="G381" s="6" t="s">
        <v>713</v>
      </c>
      <c r="H381" s="7"/>
      <c r="I381" s="7"/>
      <c r="J381" s="7"/>
      <c r="K381" s="7"/>
      <c r="L381" s="7"/>
      <c r="M381" s="7"/>
      <c r="N381" s="7"/>
      <c r="O381" s="7"/>
      <c r="P381" s="7" t="s">
        <v>304</v>
      </c>
      <c r="Q381" s="7" t="s">
        <v>62</v>
      </c>
      <c r="R381" s="7" t="s">
        <v>350</v>
      </c>
      <c r="S381" s="7" t="s">
        <v>6956</v>
      </c>
      <c r="T381" s="7" t="s">
        <v>307</v>
      </c>
      <c r="U381" s="7"/>
      <c r="V381" s="7"/>
      <c r="W381" s="7" t="n">
        <v>145</v>
      </c>
      <c r="X381" s="7" t="n">
        <v>157</v>
      </c>
      <c r="Y381" s="7" t="n">
        <v>12</v>
      </c>
      <c r="Z381" s="7" t="s">
        <v>6957</v>
      </c>
      <c r="AA381" s="9" t="s">
        <v>6958</v>
      </c>
      <c r="AB381" s="7" t="s">
        <v>6959</v>
      </c>
      <c r="AC381" s="7" t="s">
        <v>6960</v>
      </c>
      <c r="AD381" s="7" t="s">
        <v>6961</v>
      </c>
      <c r="AE381" s="7" t="s">
        <v>6962</v>
      </c>
      <c r="AF381" s="7"/>
      <c r="AG381" s="7"/>
      <c r="AH381" s="7"/>
      <c r="AI381" s="7"/>
      <c r="AJ381" s="10"/>
      <c r="AK381" s="7"/>
      <c r="AL381" s="7" t="s">
        <v>6963</v>
      </c>
      <c r="AM381" s="7" t="s">
        <v>6964</v>
      </c>
      <c r="AN381" s="7" t="s">
        <v>6965</v>
      </c>
      <c r="AO381" s="7"/>
      <c r="AP381" s="7" t="s">
        <v>6966</v>
      </c>
      <c r="AQ381" s="7" t="s">
        <v>6967</v>
      </c>
      <c r="AR381" s="7" t="s">
        <v>6968</v>
      </c>
      <c r="AS381" s="7" t="n">
        <v>304889</v>
      </c>
      <c r="AT381" s="7" t="n">
        <v>23673370</v>
      </c>
      <c r="AU381" s="7" t="s">
        <v>6969</v>
      </c>
      <c r="AV381" s="7"/>
      <c r="AW381" s="7"/>
      <c r="AX381" s="7" t="s">
        <v>365</v>
      </c>
      <c r="AY381" s="7" t="s">
        <v>75</v>
      </c>
      <c r="AZ381" s="7"/>
      <c r="BA381" s="7" t="s">
        <v>76</v>
      </c>
      <c r="BB381" s="7" t="s">
        <v>6970</v>
      </c>
      <c r="BC381" s="7"/>
      <c r="BD381" s="7"/>
      <c r="BE381" s="7"/>
      <c r="BF381" s="7"/>
      <c r="BG381" s="7"/>
      <c r="BH381" s="7"/>
      <c r="BI381" s="7"/>
    </row>
    <row r="382" customFormat="false" ht="14.25" hidden="false" customHeight="true" outlineLevel="0" collapsed="false">
      <c r="A382" s="7" t="s">
        <v>6971</v>
      </c>
      <c r="B382" s="7" t="s">
        <v>6972</v>
      </c>
      <c r="C382" s="7" t="s">
        <v>6973</v>
      </c>
      <c r="D382" s="7" t="s">
        <v>6974</v>
      </c>
      <c r="E382" s="7" t="n">
        <v>2023</v>
      </c>
      <c r="F382" s="8" t="s">
        <v>6975</v>
      </c>
      <c r="G382" s="6" t="s">
        <v>393</v>
      </c>
      <c r="H382" s="7"/>
      <c r="I382" s="7"/>
      <c r="J382" s="7"/>
      <c r="K382" s="7"/>
      <c r="L382" s="7"/>
      <c r="M382" s="7"/>
      <c r="N382" s="7"/>
      <c r="O382" s="7"/>
      <c r="P382" s="7" t="s">
        <v>304</v>
      </c>
      <c r="Q382" s="7" t="s">
        <v>62</v>
      </c>
      <c r="R382" s="7" t="s">
        <v>6976</v>
      </c>
      <c r="S382" s="12" t="n">
        <v>45017</v>
      </c>
      <c r="T382" s="7" t="s">
        <v>187</v>
      </c>
      <c r="U382" s="7"/>
      <c r="V382" s="7"/>
      <c r="W382" s="7" t="n">
        <v>305</v>
      </c>
      <c r="X382" s="7" t="n">
        <v>312</v>
      </c>
      <c r="Y382" s="7" t="n">
        <v>7</v>
      </c>
      <c r="Z382" s="7" t="s">
        <v>6977</v>
      </c>
      <c r="AA382" s="9" t="s">
        <v>6978</v>
      </c>
      <c r="AB382" s="7" t="s">
        <v>6979</v>
      </c>
      <c r="AC382" s="7" t="s">
        <v>6980</v>
      </c>
      <c r="AD382" s="7" t="s">
        <v>6981</v>
      </c>
      <c r="AE382" s="7" t="s">
        <v>6982</v>
      </c>
      <c r="AF382" s="7"/>
      <c r="AG382" s="7"/>
      <c r="AH382" s="7"/>
      <c r="AI382" s="7"/>
      <c r="AJ382" s="10"/>
      <c r="AK382" s="7"/>
      <c r="AL382" s="7" t="s">
        <v>6983</v>
      </c>
      <c r="AM382" s="7" t="s">
        <v>6984</v>
      </c>
      <c r="AN382" s="7"/>
      <c r="AO382" s="7"/>
      <c r="AP382" s="7" t="s">
        <v>6985</v>
      </c>
      <c r="AQ382" s="7" t="s">
        <v>6986</v>
      </c>
      <c r="AR382" s="7" t="s">
        <v>6987</v>
      </c>
      <c r="AS382" s="7" t="n">
        <v>188536</v>
      </c>
      <c r="AT382" s="7" t="n">
        <v>10910050</v>
      </c>
      <c r="AU382" s="7" t="s">
        <v>6988</v>
      </c>
      <c r="AV382" s="7" t="s">
        <v>6989</v>
      </c>
      <c r="AW382" s="7"/>
      <c r="AX382" s="7" t="s">
        <v>6990</v>
      </c>
      <c r="AY382" s="7" t="s">
        <v>75</v>
      </c>
      <c r="AZ382" s="7"/>
      <c r="BA382" s="7" t="s">
        <v>76</v>
      </c>
      <c r="BB382" s="7" t="s">
        <v>6991</v>
      </c>
      <c r="BC382" s="7"/>
      <c r="BD382" s="7"/>
      <c r="BE382" s="7"/>
      <c r="BF382" s="7"/>
      <c r="BG382" s="7"/>
      <c r="BH382" s="7"/>
      <c r="BI382" s="7"/>
    </row>
    <row r="383" customFormat="false" ht="14.25" hidden="false" customHeight="true" outlineLevel="0" collapsed="false">
      <c r="A383" s="7" t="s">
        <v>6992</v>
      </c>
      <c r="B383" s="7" t="s">
        <v>6993</v>
      </c>
      <c r="C383" s="7" t="s">
        <v>6994</v>
      </c>
      <c r="D383" s="7" t="s">
        <v>6995</v>
      </c>
      <c r="E383" s="7" t="n">
        <v>2023</v>
      </c>
      <c r="F383" s="8" t="s">
        <v>6996</v>
      </c>
      <c r="G383" s="6" t="s">
        <v>713</v>
      </c>
      <c r="H383" s="7"/>
      <c r="I383" s="7"/>
      <c r="J383" s="7"/>
      <c r="K383" s="7"/>
      <c r="L383" s="7"/>
      <c r="M383" s="7"/>
      <c r="N383" s="7"/>
      <c r="O383" s="7"/>
      <c r="P383" s="7" t="s">
        <v>304</v>
      </c>
      <c r="Q383" s="7" t="s">
        <v>62</v>
      </c>
      <c r="R383" s="7" t="s">
        <v>6997</v>
      </c>
      <c r="S383" s="7"/>
      <c r="T383" s="7" t="s">
        <v>187</v>
      </c>
      <c r="U383" s="7"/>
      <c r="V383" s="7"/>
      <c r="W383" s="7"/>
      <c r="X383" s="7"/>
      <c r="Y383" s="7"/>
      <c r="Z383" s="7" t="s">
        <v>6998</v>
      </c>
      <c r="AA383" s="9" t="s">
        <v>6999</v>
      </c>
      <c r="AB383" s="7" t="s">
        <v>7000</v>
      </c>
      <c r="AC383" s="7" t="s">
        <v>7001</v>
      </c>
      <c r="AD383" s="7" t="s">
        <v>7002</v>
      </c>
      <c r="AE383" s="7" t="s">
        <v>7003</v>
      </c>
      <c r="AF383" s="7"/>
      <c r="AG383" s="7"/>
      <c r="AH383" s="7"/>
      <c r="AI383" s="7"/>
      <c r="AJ383" s="10"/>
      <c r="AK383" s="7"/>
      <c r="AL383" s="7" t="s">
        <v>7004</v>
      </c>
      <c r="AM383" s="7" t="s">
        <v>7005</v>
      </c>
      <c r="AN383" s="7"/>
      <c r="AO383" s="7"/>
      <c r="AP383" s="7" t="s">
        <v>7006</v>
      </c>
      <c r="AQ383" s="7" t="s">
        <v>7007</v>
      </c>
      <c r="AR383" s="7" t="s">
        <v>3314</v>
      </c>
      <c r="AS383" s="7" t="n">
        <v>191446</v>
      </c>
      <c r="AT383" s="7"/>
      <c r="AU383" s="7" t="s">
        <v>7008</v>
      </c>
      <c r="AV383" s="7"/>
      <c r="AW383" s="7"/>
      <c r="AX383" s="7" t="s">
        <v>7009</v>
      </c>
      <c r="AY383" s="7" t="s">
        <v>75</v>
      </c>
      <c r="AZ383" s="7"/>
      <c r="BA383" s="7" t="s">
        <v>76</v>
      </c>
      <c r="BB383" s="7" t="s">
        <v>7010</v>
      </c>
      <c r="BC383" s="7"/>
      <c r="BD383" s="7"/>
      <c r="BE383" s="7"/>
      <c r="BF383" s="7"/>
      <c r="BG383" s="7"/>
      <c r="BH383" s="7"/>
      <c r="BI383" s="7"/>
    </row>
    <row r="384" customFormat="false" ht="14.25" hidden="false" customHeight="true" outlineLevel="0" collapsed="false">
      <c r="A384" s="7" t="s">
        <v>7011</v>
      </c>
      <c r="B384" s="7" t="s">
        <v>7012</v>
      </c>
      <c r="C384" s="7" t="s">
        <v>7013</v>
      </c>
      <c r="D384" s="7" t="s">
        <v>7014</v>
      </c>
      <c r="E384" s="7" t="n">
        <v>2023</v>
      </c>
      <c r="F384" s="8" t="s">
        <v>7015</v>
      </c>
      <c r="G384" s="6" t="s">
        <v>713</v>
      </c>
      <c r="H384" s="7"/>
      <c r="I384" s="7"/>
      <c r="J384" s="7"/>
      <c r="K384" s="7"/>
      <c r="L384" s="7"/>
      <c r="M384" s="7"/>
      <c r="N384" s="7"/>
      <c r="O384" s="7"/>
      <c r="P384" s="7" t="s">
        <v>304</v>
      </c>
      <c r="Q384" s="7" t="s">
        <v>62</v>
      </c>
      <c r="R384" s="7" t="s">
        <v>350</v>
      </c>
      <c r="S384" s="7" t="s">
        <v>7016</v>
      </c>
      <c r="T384" s="7" t="s">
        <v>307</v>
      </c>
      <c r="U384" s="7"/>
      <c r="V384" s="7"/>
      <c r="W384" s="7" t="n">
        <v>492</v>
      </c>
      <c r="X384" s="7" t="n">
        <v>502</v>
      </c>
      <c r="Y384" s="7" t="n">
        <v>10</v>
      </c>
      <c r="Z384" s="7" t="s">
        <v>7017</v>
      </c>
      <c r="AA384" s="9" t="s">
        <v>7018</v>
      </c>
      <c r="AB384" s="7" t="s">
        <v>7019</v>
      </c>
      <c r="AC384" s="7" t="s">
        <v>7020</v>
      </c>
      <c r="AD384" s="7" t="s">
        <v>7021</v>
      </c>
      <c r="AE384" s="7" t="s">
        <v>7022</v>
      </c>
      <c r="AF384" s="7"/>
      <c r="AG384" s="7"/>
      <c r="AH384" s="7"/>
      <c r="AI384" s="7"/>
      <c r="AJ384" s="10" t="s">
        <v>7023</v>
      </c>
      <c r="AK384" s="7" t="s">
        <v>7024</v>
      </c>
      <c r="AL384" s="7" t="s">
        <v>7025</v>
      </c>
      <c r="AM384" s="7" t="s">
        <v>7026</v>
      </c>
      <c r="AN384" s="7" t="s">
        <v>7027</v>
      </c>
      <c r="AO384" s="7"/>
      <c r="AP384" s="7" t="s">
        <v>7028</v>
      </c>
      <c r="AQ384" s="7" t="s">
        <v>7029</v>
      </c>
      <c r="AR384" s="7" t="s">
        <v>5337</v>
      </c>
      <c r="AS384" s="7" t="n">
        <v>296129</v>
      </c>
      <c r="AT384" s="7" t="n">
        <v>23673370</v>
      </c>
      <c r="AU384" s="7" t="s">
        <v>7030</v>
      </c>
      <c r="AV384" s="7"/>
      <c r="AW384" s="7"/>
      <c r="AX384" s="7" t="s">
        <v>365</v>
      </c>
      <c r="AY384" s="7" t="s">
        <v>75</v>
      </c>
      <c r="AZ384" s="7"/>
      <c r="BA384" s="7" t="s">
        <v>76</v>
      </c>
      <c r="BB384" s="7" t="s">
        <v>7031</v>
      </c>
      <c r="BC384" s="7"/>
      <c r="BD384" s="7"/>
      <c r="BE384" s="7"/>
      <c r="BF384" s="7"/>
      <c r="BG384" s="7"/>
      <c r="BH384" s="7"/>
      <c r="BI384" s="7"/>
    </row>
    <row r="385" customFormat="false" ht="14.25" hidden="false" customHeight="true" outlineLevel="0" collapsed="false">
      <c r="A385" s="7" t="s">
        <v>7032</v>
      </c>
      <c r="B385" s="7" t="s">
        <v>7033</v>
      </c>
      <c r="C385" s="7" t="s">
        <v>7034</v>
      </c>
      <c r="D385" s="7" t="s">
        <v>7035</v>
      </c>
      <c r="E385" s="7" t="n">
        <v>2022</v>
      </c>
      <c r="F385" s="8" t="s">
        <v>7036</v>
      </c>
      <c r="G385" s="6" t="s">
        <v>290</v>
      </c>
      <c r="H385" s="7"/>
      <c r="I385" s="7"/>
      <c r="J385" s="7"/>
      <c r="K385" s="7"/>
      <c r="L385" s="7"/>
      <c r="M385" s="7"/>
      <c r="N385" s="7"/>
      <c r="O385" s="7"/>
      <c r="P385" s="7" t="s">
        <v>61</v>
      </c>
      <c r="Q385" s="7" t="s">
        <v>62</v>
      </c>
      <c r="R385" s="7" t="s">
        <v>7037</v>
      </c>
      <c r="S385" s="7" t="n">
        <v>23</v>
      </c>
      <c r="T385" s="7" t="s">
        <v>1086</v>
      </c>
      <c r="U385" s="7" t="n">
        <v>7</v>
      </c>
      <c r="V385" s="7"/>
      <c r="W385" s="7" t="n">
        <v>502</v>
      </c>
      <c r="X385" s="7" t="n">
        <v>513</v>
      </c>
      <c r="Y385" s="7" t="n">
        <v>11</v>
      </c>
      <c r="Z385" s="7" t="s">
        <v>7038</v>
      </c>
      <c r="AA385" s="9" t="s">
        <v>7039</v>
      </c>
      <c r="AB385" s="7" t="s">
        <v>7040</v>
      </c>
      <c r="AC385" s="7" t="s">
        <v>7041</v>
      </c>
      <c r="AD385" s="7" t="s">
        <v>7042</v>
      </c>
      <c r="AE385" s="7" t="s">
        <v>7043</v>
      </c>
      <c r="AF385" s="7"/>
      <c r="AG385" s="7" t="s">
        <v>7044</v>
      </c>
      <c r="AH385" s="7" t="s">
        <v>7045</v>
      </c>
      <c r="AI385" s="7" t="s">
        <v>7046</v>
      </c>
      <c r="AJ385" s="10" t="s">
        <v>7047</v>
      </c>
      <c r="AK385" s="7" t="s">
        <v>7048</v>
      </c>
      <c r="AL385" s="7" t="s">
        <v>7049</v>
      </c>
      <c r="AM385" s="7" t="s">
        <v>7050</v>
      </c>
      <c r="AN385" s="7"/>
      <c r="AO385" s="7"/>
      <c r="AP385" s="7"/>
      <c r="AQ385" s="7"/>
      <c r="AR385" s="7"/>
      <c r="AS385" s="7"/>
      <c r="AT385" s="7" t="n">
        <v>15297535</v>
      </c>
      <c r="AU385" s="7"/>
      <c r="AV385" s="7"/>
      <c r="AW385" s="7" t="n">
        <v>35446796</v>
      </c>
      <c r="AX385" s="7" t="s">
        <v>7051</v>
      </c>
      <c r="AY385" s="7" t="s">
        <v>75</v>
      </c>
      <c r="AZ385" s="7" t="s">
        <v>409</v>
      </c>
      <c r="BA385" s="7" t="s">
        <v>76</v>
      </c>
      <c r="BB385" s="7" t="s">
        <v>7052</v>
      </c>
      <c r="BC385" s="7"/>
      <c r="BD385" s="7"/>
      <c r="BE385" s="7"/>
      <c r="BF385" s="7"/>
      <c r="BG385" s="7"/>
      <c r="BH385" s="7"/>
      <c r="BI385" s="7"/>
    </row>
    <row r="386" customFormat="false" ht="14.25" hidden="false" customHeight="true" outlineLevel="0" collapsed="false">
      <c r="A386" s="7" t="s">
        <v>7053</v>
      </c>
      <c r="B386" s="7" t="s">
        <v>7054</v>
      </c>
      <c r="C386" s="7" t="n">
        <v>57188877016</v>
      </c>
      <c r="D386" s="7" t="s">
        <v>7055</v>
      </c>
      <c r="E386" s="7" t="n">
        <v>2022</v>
      </c>
      <c r="F386" s="8" t="s">
        <v>7056</v>
      </c>
      <c r="G386" s="6" t="s">
        <v>713</v>
      </c>
      <c r="H386" s="7"/>
      <c r="I386" s="7"/>
      <c r="J386" s="7"/>
      <c r="K386" s="7"/>
      <c r="L386" s="7"/>
      <c r="M386" s="7"/>
      <c r="N386" s="7"/>
      <c r="O386" s="7"/>
      <c r="P386" s="7" t="s">
        <v>61</v>
      </c>
      <c r="Q386" s="7" t="s">
        <v>62</v>
      </c>
      <c r="R386" s="7" t="s">
        <v>7057</v>
      </c>
      <c r="S386" s="7" t="n">
        <v>5</v>
      </c>
      <c r="T386" s="7" t="s">
        <v>7058</v>
      </c>
      <c r="U386" s="7" t="n">
        <v>3</v>
      </c>
      <c r="V386" s="7"/>
      <c r="W386" s="7" t="n">
        <v>427</v>
      </c>
      <c r="X386" s="7" t="n">
        <v>447</v>
      </c>
      <c r="Y386" s="7" t="n">
        <v>20</v>
      </c>
      <c r="Z386" s="7" t="s">
        <v>7059</v>
      </c>
      <c r="AA386" s="9" t="s">
        <v>7060</v>
      </c>
      <c r="AB386" s="7" t="s">
        <v>7061</v>
      </c>
      <c r="AC386" s="7" t="s">
        <v>7062</v>
      </c>
      <c r="AD386" s="7" t="s">
        <v>7063</v>
      </c>
      <c r="AE386" s="7"/>
      <c r="AF386" s="7"/>
      <c r="AG386" s="7"/>
      <c r="AH386" s="7"/>
      <c r="AI386" s="7"/>
      <c r="AJ386" s="10"/>
      <c r="AK386" s="7"/>
      <c r="AL386" s="7" t="s">
        <v>7064</v>
      </c>
      <c r="AM386" s="7" t="s">
        <v>7065</v>
      </c>
      <c r="AN386" s="7"/>
      <c r="AO386" s="7"/>
      <c r="AP386" s="7"/>
      <c r="AQ386" s="7"/>
      <c r="AR386" s="7"/>
      <c r="AS386" s="7"/>
      <c r="AT386" s="7" t="n">
        <v>26368129</v>
      </c>
      <c r="AU386" s="7"/>
      <c r="AV386" s="7"/>
      <c r="AW386" s="7"/>
      <c r="AX386" s="7" t="s">
        <v>7066</v>
      </c>
      <c r="AY386" s="7" t="s">
        <v>75</v>
      </c>
      <c r="AZ386" s="7"/>
      <c r="BA386" s="7" t="s">
        <v>76</v>
      </c>
      <c r="BB386" s="7" t="s">
        <v>7067</v>
      </c>
      <c r="BC386" s="7"/>
      <c r="BD386" s="7"/>
      <c r="BE386" s="7"/>
      <c r="BF386" s="7"/>
      <c r="BG386" s="7"/>
      <c r="BH386" s="7"/>
      <c r="BI386" s="7"/>
    </row>
    <row r="387" customFormat="false" ht="14.25" hidden="false" customHeight="true" outlineLevel="0" collapsed="false">
      <c r="A387" s="7" t="s">
        <v>7068</v>
      </c>
      <c r="B387" s="7" t="s">
        <v>7069</v>
      </c>
      <c r="C387" s="7" t="s">
        <v>7070</v>
      </c>
      <c r="D387" s="7" t="s">
        <v>7071</v>
      </c>
      <c r="E387" s="7" t="n">
        <v>2022</v>
      </c>
      <c r="F387" s="8" t="s">
        <v>7072</v>
      </c>
      <c r="G387" s="6" t="s">
        <v>349</v>
      </c>
      <c r="H387" s="7"/>
      <c r="I387" s="7"/>
      <c r="J387" s="7"/>
      <c r="K387" s="7"/>
      <c r="L387" s="7"/>
      <c r="M387" s="7"/>
      <c r="N387" s="7"/>
      <c r="O387" s="7"/>
      <c r="P387" s="7" t="s">
        <v>61</v>
      </c>
      <c r="Q387" s="7" t="s">
        <v>62</v>
      </c>
      <c r="R387" s="7" t="s">
        <v>902</v>
      </c>
      <c r="S387" s="7" t="n">
        <v>21</v>
      </c>
      <c r="T387" s="7" t="s">
        <v>903</v>
      </c>
      <c r="U387" s="7" t="n">
        <v>1</v>
      </c>
      <c r="V387" s="7" t="n">
        <v>217</v>
      </c>
      <c r="W387" s="7"/>
      <c r="X387" s="7"/>
      <c r="Y387" s="7"/>
      <c r="Z387" s="7" t="s">
        <v>7073</v>
      </c>
      <c r="AA387" s="9" t="s">
        <v>7074</v>
      </c>
      <c r="AB387" s="7" t="s">
        <v>7075</v>
      </c>
      <c r="AC387" s="7" t="s">
        <v>7076</v>
      </c>
      <c r="AD387" s="7" t="s">
        <v>7077</v>
      </c>
      <c r="AE387" s="7" t="s">
        <v>7078</v>
      </c>
      <c r="AF387" s="7"/>
      <c r="AG387" s="7" t="s">
        <v>7079</v>
      </c>
      <c r="AH387" s="7"/>
      <c r="AI387" s="7"/>
      <c r="AJ387" s="10"/>
      <c r="AK387" s="7"/>
      <c r="AL387" s="7" t="s">
        <v>7080</v>
      </c>
      <c r="AM387" s="7" t="s">
        <v>7081</v>
      </c>
      <c r="AN387" s="7"/>
      <c r="AO387" s="7"/>
      <c r="AP387" s="7"/>
      <c r="AQ387" s="7"/>
      <c r="AR387" s="7"/>
      <c r="AS387" s="7"/>
      <c r="AT387" s="7" t="n">
        <v>14752875</v>
      </c>
      <c r="AU387" s="7"/>
      <c r="AV387" s="7"/>
      <c r="AW387" s="7" t="n">
        <v>35820892</v>
      </c>
      <c r="AX387" s="7" t="s">
        <v>914</v>
      </c>
      <c r="AY387" s="7" t="s">
        <v>75</v>
      </c>
      <c r="AZ387" s="7" t="s">
        <v>107</v>
      </c>
      <c r="BA387" s="7" t="s">
        <v>76</v>
      </c>
      <c r="BB387" s="7" t="s">
        <v>7082</v>
      </c>
      <c r="BC387" s="7"/>
      <c r="BD387" s="7"/>
      <c r="BE387" s="7"/>
      <c r="BF387" s="7"/>
      <c r="BG387" s="7"/>
      <c r="BH387" s="7"/>
      <c r="BI387" s="7"/>
    </row>
    <row r="388" customFormat="false" ht="14.25" hidden="false" customHeight="true" outlineLevel="0" collapsed="false">
      <c r="A388" s="7" t="s">
        <v>7083</v>
      </c>
      <c r="B388" s="7" t="s">
        <v>7084</v>
      </c>
      <c r="C388" s="7" t="s">
        <v>7085</v>
      </c>
      <c r="D388" s="7" t="s">
        <v>7086</v>
      </c>
      <c r="E388" s="7" t="n">
        <v>2022</v>
      </c>
      <c r="F388" s="8" t="s">
        <v>7087</v>
      </c>
      <c r="G388" s="6" t="s">
        <v>3714</v>
      </c>
      <c r="H388" s="7"/>
      <c r="I388" s="7"/>
      <c r="J388" s="7"/>
      <c r="K388" s="7"/>
      <c r="L388" s="7"/>
      <c r="M388" s="7"/>
      <c r="N388" s="7"/>
      <c r="O388" s="7"/>
      <c r="P388" s="7" t="s">
        <v>61</v>
      </c>
      <c r="Q388" s="7" t="s">
        <v>62</v>
      </c>
      <c r="R388" s="7" t="s">
        <v>7088</v>
      </c>
      <c r="S388" s="7" t="n">
        <v>13</v>
      </c>
      <c r="T388" s="7" t="s">
        <v>7089</v>
      </c>
      <c r="U388" s="7" t="n">
        <v>1</v>
      </c>
      <c r="V388" s="7"/>
      <c r="W388" s="7" t="n">
        <v>157</v>
      </c>
      <c r="X388" s="7" t="n">
        <v>169</v>
      </c>
      <c r="Y388" s="7" t="n">
        <v>12</v>
      </c>
      <c r="Z388" s="7" t="s">
        <v>7090</v>
      </c>
      <c r="AA388" s="9" t="s">
        <v>7091</v>
      </c>
      <c r="AB388" s="7" t="s">
        <v>7092</v>
      </c>
      <c r="AC388" s="7" t="s">
        <v>7093</v>
      </c>
      <c r="AD388" s="7" t="s">
        <v>7094</v>
      </c>
      <c r="AE388" s="7"/>
      <c r="AF388" s="7"/>
      <c r="AG388" s="7"/>
      <c r="AH388" s="7"/>
      <c r="AI388" s="7"/>
      <c r="AJ388" s="10"/>
      <c r="AK388" s="7"/>
      <c r="AL388" s="7" t="s">
        <v>7095</v>
      </c>
      <c r="AM388" s="7"/>
      <c r="AN388" s="7"/>
      <c r="AO388" s="7"/>
      <c r="AP388" s="7"/>
      <c r="AQ388" s="7"/>
      <c r="AR388" s="7"/>
      <c r="AS388" s="7"/>
      <c r="AT388" s="7" t="n">
        <v>9765166</v>
      </c>
      <c r="AU388" s="7"/>
      <c r="AV388" s="7"/>
      <c r="AW388" s="7"/>
      <c r="AX388" s="7" t="s">
        <v>7096</v>
      </c>
      <c r="AY388" s="7" t="s">
        <v>75</v>
      </c>
      <c r="AZ388" s="7" t="s">
        <v>127</v>
      </c>
      <c r="BA388" s="7" t="s">
        <v>76</v>
      </c>
      <c r="BB388" s="7" t="s">
        <v>7097</v>
      </c>
      <c r="BC388" s="7"/>
      <c r="BD388" s="7"/>
      <c r="BE388" s="7"/>
      <c r="BF388" s="7"/>
      <c r="BG388" s="7"/>
      <c r="BH388" s="7"/>
      <c r="BI388" s="7"/>
    </row>
    <row r="389" customFormat="false" ht="14.25" hidden="false" customHeight="true" outlineLevel="0" collapsed="false">
      <c r="A389" s="7" t="s">
        <v>7098</v>
      </c>
      <c r="B389" s="7" t="s">
        <v>7099</v>
      </c>
      <c r="C389" s="7" t="s">
        <v>7100</v>
      </c>
      <c r="D389" s="7" t="s">
        <v>7101</v>
      </c>
      <c r="E389" s="7" t="n">
        <v>2022</v>
      </c>
      <c r="F389" s="8" t="s">
        <v>7102</v>
      </c>
      <c r="G389" s="6" t="s">
        <v>713</v>
      </c>
      <c r="H389" s="7"/>
      <c r="I389" s="7"/>
      <c r="J389" s="7"/>
      <c r="K389" s="7"/>
      <c r="L389" s="7"/>
      <c r="M389" s="7"/>
      <c r="N389" s="7"/>
      <c r="O389" s="7"/>
      <c r="P389" s="7" t="s">
        <v>61</v>
      </c>
      <c r="Q389" s="7" t="s">
        <v>62</v>
      </c>
      <c r="R389" s="7" t="s">
        <v>447</v>
      </c>
      <c r="S389" s="7" t="n">
        <v>34</v>
      </c>
      <c r="T389" s="7" t="s">
        <v>307</v>
      </c>
      <c r="U389" s="7" t="n">
        <v>11</v>
      </c>
      <c r="V389" s="7"/>
      <c r="W389" s="7" t="n">
        <v>9025</v>
      </c>
      <c r="X389" s="7" t="n">
        <v>9042</v>
      </c>
      <c r="Y389" s="7" t="n">
        <v>17</v>
      </c>
      <c r="Z389" s="7" t="s">
        <v>7103</v>
      </c>
      <c r="AA389" s="9" t="s">
        <v>7104</v>
      </c>
      <c r="AB389" s="7" t="s">
        <v>7105</v>
      </c>
      <c r="AC389" s="7" t="s">
        <v>7106</v>
      </c>
      <c r="AD389" s="7" t="s">
        <v>7107</v>
      </c>
      <c r="AE389" s="7" t="s">
        <v>7108</v>
      </c>
      <c r="AF389" s="7"/>
      <c r="AG389" s="7"/>
      <c r="AH389" s="7"/>
      <c r="AI389" s="7"/>
      <c r="AJ389" s="10" t="s">
        <v>7109</v>
      </c>
      <c r="AK389" s="7"/>
      <c r="AL389" s="7" t="s">
        <v>7110</v>
      </c>
      <c r="AM389" s="7" t="s">
        <v>7111</v>
      </c>
      <c r="AN389" s="7"/>
      <c r="AO389" s="7"/>
      <c r="AP389" s="7"/>
      <c r="AQ389" s="7"/>
      <c r="AR389" s="7"/>
      <c r="AS389" s="7"/>
      <c r="AT389" s="7" t="n">
        <v>9410643</v>
      </c>
      <c r="AU389" s="7"/>
      <c r="AV389" s="7"/>
      <c r="AW389" s="7"/>
      <c r="AX389" s="7" t="s">
        <v>458</v>
      </c>
      <c r="AY389" s="7" t="s">
        <v>75</v>
      </c>
      <c r="AZ389" s="7"/>
      <c r="BA389" s="7" t="s">
        <v>76</v>
      </c>
      <c r="BB389" s="7" t="s">
        <v>7112</v>
      </c>
      <c r="BC389" s="7"/>
      <c r="BD389" s="7"/>
      <c r="BE389" s="7"/>
      <c r="BF389" s="7"/>
      <c r="BG389" s="7"/>
      <c r="BH389" s="7"/>
      <c r="BI389" s="7"/>
    </row>
    <row r="390" customFormat="false" ht="14.25" hidden="false" customHeight="true" outlineLevel="0" collapsed="false">
      <c r="A390" s="7" t="s">
        <v>7113</v>
      </c>
      <c r="B390" s="7" t="s">
        <v>7114</v>
      </c>
      <c r="C390" s="7" t="s">
        <v>7115</v>
      </c>
      <c r="D390" s="7" t="s">
        <v>7116</v>
      </c>
      <c r="E390" s="7" t="n">
        <v>2022</v>
      </c>
      <c r="F390" s="8" t="s">
        <v>7117</v>
      </c>
      <c r="G390" s="6" t="s">
        <v>149</v>
      </c>
      <c r="H390" s="7"/>
      <c r="I390" s="7"/>
      <c r="J390" s="7"/>
      <c r="K390" s="7"/>
      <c r="L390" s="7"/>
      <c r="M390" s="7"/>
      <c r="N390" s="7"/>
      <c r="O390" s="7"/>
      <c r="P390" s="7" t="s">
        <v>61</v>
      </c>
      <c r="Q390" s="7" t="s">
        <v>62</v>
      </c>
      <c r="R390" s="7" t="s">
        <v>518</v>
      </c>
      <c r="S390" s="7" t="n">
        <v>100</v>
      </c>
      <c r="T390" s="7" t="s">
        <v>519</v>
      </c>
      <c r="U390" s="7" t="n">
        <v>7</v>
      </c>
      <c r="V390" s="7"/>
      <c r="W390" s="7" t="n">
        <v>1929</v>
      </c>
      <c r="X390" s="7" t="n">
        <v>1940</v>
      </c>
      <c r="Y390" s="7" t="n">
        <v>11</v>
      </c>
      <c r="Z390" s="7"/>
      <c r="AA390" s="9" t="s">
        <v>7118</v>
      </c>
      <c r="AB390" s="7" t="s">
        <v>7119</v>
      </c>
      <c r="AC390" s="7" t="s">
        <v>7120</v>
      </c>
      <c r="AD390" s="7" t="s">
        <v>7121</v>
      </c>
      <c r="AE390" s="7"/>
      <c r="AF390" s="7"/>
      <c r="AG390" s="7"/>
      <c r="AH390" s="7"/>
      <c r="AI390" s="7"/>
      <c r="AJ390" s="10"/>
      <c r="AK390" s="7"/>
      <c r="AL390" s="7" t="s">
        <v>7122</v>
      </c>
      <c r="AM390" s="7"/>
      <c r="AN390" s="7"/>
      <c r="AO390" s="7"/>
      <c r="AP390" s="7"/>
      <c r="AQ390" s="7"/>
      <c r="AR390" s="7"/>
      <c r="AS390" s="7"/>
      <c r="AT390" s="7" t="n">
        <v>19928645</v>
      </c>
      <c r="AU390" s="7"/>
      <c r="AV390" s="7"/>
      <c r="AW390" s="7"/>
      <c r="AX390" s="7" t="s">
        <v>525</v>
      </c>
      <c r="AY390" s="7" t="s">
        <v>75</v>
      </c>
      <c r="AZ390" s="7"/>
      <c r="BA390" s="7" t="s">
        <v>76</v>
      </c>
      <c r="BB390" s="7" t="s">
        <v>7123</v>
      </c>
      <c r="BC390" s="7"/>
      <c r="BD390" s="7"/>
      <c r="BE390" s="7"/>
      <c r="BF390" s="7"/>
      <c r="BG390" s="7"/>
      <c r="BH390" s="7"/>
      <c r="BI390" s="7"/>
    </row>
    <row r="391" customFormat="false" ht="14.25" hidden="false" customHeight="true" outlineLevel="0" collapsed="false">
      <c r="A391" s="7" t="s">
        <v>7124</v>
      </c>
      <c r="B391" s="7" t="s">
        <v>7125</v>
      </c>
      <c r="C391" s="7" t="s">
        <v>7126</v>
      </c>
      <c r="D391" s="7" t="s">
        <v>7127</v>
      </c>
      <c r="E391" s="7" t="n">
        <v>2022</v>
      </c>
      <c r="F391" s="8" t="s">
        <v>7128</v>
      </c>
      <c r="G391" s="6" t="s">
        <v>169</v>
      </c>
      <c r="H391" s="7"/>
      <c r="I391" s="7"/>
      <c r="J391" s="7"/>
      <c r="K391" s="7"/>
      <c r="L391" s="7"/>
      <c r="M391" s="7"/>
      <c r="N391" s="7"/>
      <c r="O391" s="7"/>
      <c r="P391" s="7" t="s">
        <v>61</v>
      </c>
      <c r="Q391" s="7" t="s">
        <v>62</v>
      </c>
      <c r="R391" s="7" t="s">
        <v>7129</v>
      </c>
      <c r="S391" s="7" t="n">
        <v>10</v>
      </c>
      <c r="T391" s="7" t="s">
        <v>4048</v>
      </c>
      <c r="U391" s="7" t="n">
        <v>8</v>
      </c>
      <c r="V391" s="7" t="n">
        <v>1602</v>
      </c>
      <c r="W391" s="7"/>
      <c r="X391" s="7"/>
      <c r="Y391" s="7"/>
      <c r="Z391" s="7" t="s">
        <v>7130</v>
      </c>
      <c r="AA391" s="9" t="s">
        <v>7131</v>
      </c>
      <c r="AB391" s="7" t="s">
        <v>7132</v>
      </c>
      <c r="AC391" s="7" t="s">
        <v>7133</v>
      </c>
      <c r="AD391" s="7" t="s">
        <v>7134</v>
      </c>
      <c r="AE391" s="7"/>
      <c r="AF391" s="7"/>
      <c r="AG391" s="7"/>
      <c r="AH391" s="7"/>
      <c r="AI391" s="7"/>
      <c r="AJ391" s="10" t="s">
        <v>7135</v>
      </c>
      <c r="AK391" s="7" t="s">
        <v>7136</v>
      </c>
      <c r="AL391" s="7" t="s">
        <v>7137</v>
      </c>
      <c r="AM391" s="7" t="s">
        <v>7138</v>
      </c>
      <c r="AN391" s="7"/>
      <c r="AO391" s="7"/>
      <c r="AP391" s="7"/>
      <c r="AQ391" s="7"/>
      <c r="AR391" s="7"/>
      <c r="AS391" s="7"/>
      <c r="AT391" s="7" t="n">
        <v>20762607</v>
      </c>
      <c r="AU391" s="7"/>
      <c r="AV391" s="7"/>
      <c r="AW391" s="7"/>
      <c r="AX391" s="7" t="s">
        <v>7139</v>
      </c>
      <c r="AY391" s="7" t="s">
        <v>75</v>
      </c>
      <c r="AZ391" s="7" t="s">
        <v>107</v>
      </c>
      <c r="BA391" s="7" t="s">
        <v>76</v>
      </c>
      <c r="BB391" s="7" t="s">
        <v>7140</v>
      </c>
      <c r="BC391" s="7"/>
      <c r="BD391" s="7"/>
      <c r="BE391" s="7"/>
      <c r="BF391" s="7"/>
      <c r="BG391" s="7"/>
      <c r="BH391" s="7"/>
      <c r="BI391" s="7"/>
    </row>
    <row r="392" customFormat="false" ht="14.25" hidden="false" customHeight="true" outlineLevel="0" collapsed="false">
      <c r="A392" s="7" t="s">
        <v>7141</v>
      </c>
      <c r="B392" s="7" t="s">
        <v>7142</v>
      </c>
      <c r="C392" s="7" t="s">
        <v>7143</v>
      </c>
      <c r="D392" s="7" t="s">
        <v>7144</v>
      </c>
      <c r="E392" s="7" t="n">
        <v>2022</v>
      </c>
      <c r="F392" s="8" t="s">
        <v>7145</v>
      </c>
      <c r="G392" s="6" t="s">
        <v>713</v>
      </c>
      <c r="H392" s="6"/>
      <c r="I392" s="6" t="s">
        <v>4394</v>
      </c>
      <c r="J392" s="7"/>
      <c r="K392" s="7"/>
      <c r="L392" s="7"/>
      <c r="M392" s="7"/>
      <c r="N392" s="7"/>
      <c r="O392" s="7"/>
      <c r="P392" s="7" t="s">
        <v>61</v>
      </c>
      <c r="Q392" s="7" t="s">
        <v>62</v>
      </c>
      <c r="R392" s="7" t="s">
        <v>7146</v>
      </c>
      <c r="S392" s="7" t="n">
        <v>36</v>
      </c>
      <c r="T392" s="7" t="s">
        <v>1086</v>
      </c>
      <c r="U392" s="7" t="n">
        <v>1</v>
      </c>
      <c r="V392" s="7"/>
      <c r="W392" s="7" t="n">
        <v>59</v>
      </c>
      <c r="X392" s="7" t="n">
        <v>68</v>
      </c>
      <c r="Y392" s="7" t="n">
        <v>9</v>
      </c>
      <c r="Z392" s="7" t="s">
        <v>7147</v>
      </c>
      <c r="AA392" s="9" t="s">
        <v>7148</v>
      </c>
      <c r="AB392" s="7" t="s">
        <v>7149</v>
      </c>
      <c r="AC392" s="7" t="s">
        <v>7150</v>
      </c>
      <c r="AD392" s="7" t="s">
        <v>7151</v>
      </c>
      <c r="AE392" s="7" t="s">
        <v>7152</v>
      </c>
      <c r="AF392" s="7"/>
      <c r="AG392" s="7"/>
      <c r="AH392" s="7"/>
      <c r="AI392" s="7"/>
      <c r="AJ392" s="10"/>
      <c r="AK392" s="7"/>
      <c r="AL392" s="7" t="s">
        <v>7153</v>
      </c>
      <c r="AM392" s="7" t="s">
        <v>7154</v>
      </c>
      <c r="AN392" s="7"/>
      <c r="AO392" s="7"/>
      <c r="AP392" s="7"/>
      <c r="AQ392" s="7"/>
      <c r="AR392" s="7"/>
      <c r="AS392" s="7"/>
      <c r="AT392" s="7" t="n">
        <v>2699370</v>
      </c>
      <c r="AU392" s="7"/>
      <c r="AV392" s="7" t="s">
        <v>7155</v>
      </c>
      <c r="AW392" s="7" t="n">
        <v>34586084</v>
      </c>
      <c r="AX392" s="7" t="s">
        <v>7146</v>
      </c>
      <c r="AY392" s="7" t="s">
        <v>75</v>
      </c>
      <c r="AZ392" s="7"/>
      <c r="BA392" s="7" t="s">
        <v>76</v>
      </c>
      <c r="BB392" s="7" t="s">
        <v>7156</v>
      </c>
      <c r="BC392" s="7"/>
      <c r="BD392" s="7"/>
      <c r="BE392" s="7"/>
      <c r="BF392" s="7"/>
      <c r="BG392" s="7"/>
      <c r="BH392" s="7"/>
      <c r="BI392" s="7"/>
    </row>
    <row r="393" customFormat="false" ht="14.25" hidden="false" customHeight="true" outlineLevel="0" collapsed="false">
      <c r="A393" s="7" t="s">
        <v>7157</v>
      </c>
      <c r="B393" s="7" t="s">
        <v>7158</v>
      </c>
      <c r="C393" s="7" t="s">
        <v>7159</v>
      </c>
      <c r="D393" s="7" t="s">
        <v>7160</v>
      </c>
      <c r="E393" s="7" t="n">
        <v>2022</v>
      </c>
      <c r="F393" s="8" t="s">
        <v>7161</v>
      </c>
      <c r="G393" s="6" t="s">
        <v>713</v>
      </c>
      <c r="H393" s="7"/>
      <c r="I393" s="7"/>
      <c r="J393" s="7"/>
      <c r="K393" s="7"/>
      <c r="L393" s="7"/>
      <c r="M393" s="7"/>
      <c r="N393" s="7"/>
      <c r="O393" s="7"/>
      <c r="P393" s="7" t="s">
        <v>61</v>
      </c>
      <c r="Q393" s="7" t="s">
        <v>62</v>
      </c>
      <c r="R393" s="7" t="s">
        <v>1802</v>
      </c>
      <c r="S393" s="7" t="n">
        <v>12</v>
      </c>
      <c r="T393" s="7" t="s">
        <v>417</v>
      </c>
      <c r="U393" s="7" t="n">
        <v>5</v>
      </c>
      <c r="V393" s="7"/>
      <c r="W393" s="7" t="n">
        <v>5036</v>
      </c>
      <c r="X393" s="7" t="n">
        <v>5048</v>
      </c>
      <c r="Y393" s="7" t="n">
        <v>12</v>
      </c>
      <c r="Z393" s="7" t="s">
        <v>7162</v>
      </c>
      <c r="AA393" s="9" t="s">
        <v>7163</v>
      </c>
      <c r="AB393" s="7" t="s">
        <v>7164</v>
      </c>
      <c r="AC393" s="7" t="s">
        <v>7165</v>
      </c>
      <c r="AD393" s="7" t="s">
        <v>7166</v>
      </c>
      <c r="AE393" s="7"/>
      <c r="AF393" s="7"/>
      <c r="AG393" s="7"/>
      <c r="AH393" s="7"/>
      <c r="AI393" s="7"/>
      <c r="AJ393" s="10"/>
      <c r="AK393" s="7"/>
      <c r="AL393" s="7" t="s">
        <v>7167</v>
      </c>
      <c r="AM393" s="7" t="s">
        <v>7168</v>
      </c>
      <c r="AN393" s="7"/>
      <c r="AO393" s="7"/>
      <c r="AP393" s="7"/>
      <c r="AQ393" s="7"/>
      <c r="AR393" s="7"/>
      <c r="AS393" s="7"/>
      <c r="AT393" s="7" t="n">
        <v>20888708</v>
      </c>
      <c r="AU393" s="7"/>
      <c r="AV393" s="7"/>
      <c r="AW393" s="7"/>
      <c r="AX393" s="7" t="s">
        <v>1810</v>
      </c>
      <c r="AY393" s="7" t="s">
        <v>75</v>
      </c>
      <c r="AZ393" s="7" t="s">
        <v>107</v>
      </c>
      <c r="BA393" s="7" t="s">
        <v>76</v>
      </c>
      <c r="BB393" s="7" t="s">
        <v>7169</v>
      </c>
      <c r="BC393" s="7"/>
      <c r="BD393" s="7"/>
      <c r="BE393" s="7"/>
      <c r="BF393" s="7"/>
      <c r="BG393" s="7"/>
      <c r="BH393" s="7"/>
      <c r="BI393" s="7"/>
    </row>
    <row r="394" customFormat="false" ht="14.25" hidden="false" customHeight="true" outlineLevel="0" collapsed="false">
      <c r="A394" s="7" t="s">
        <v>7170</v>
      </c>
      <c r="B394" s="7" t="s">
        <v>7171</v>
      </c>
      <c r="C394" s="7" t="s">
        <v>7172</v>
      </c>
      <c r="D394" s="7" t="s">
        <v>7173</v>
      </c>
      <c r="E394" s="7" t="n">
        <v>2022</v>
      </c>
      <c r="F394" s="8" t="s">
        <v>7174</v>
      </c>
      <c r="G394" s="6" t="s">
        <v>1686</v>
      </c>
      <c r="H394" s="6"/>
      <c r="I394" s="6" t="s">
        <v>4394</v>
      </c>
      <c r="J394" s="7"/>
      <c r="K394" s="7"/>
      <c r="L394" s="7"/>
      <c r="M394" s="7"/>
      <c r="N394" s="7"/>
      <c r="O394" s="7"/>
      <c r="P394" s="7" t="s">
        <v>61</v>
      </c>
      <c r="Q394" s="7" t="s">
        <v>62</v>
      </c>
      <c r="R394" s="7" t="s">
        <v>2092</v>
      </c>
      <c r="S394" s="7" t="n">
        <v>22</v>
      </c>
      <c r="T394" s="7" t="s">
        <v>903</v>
      </c>
      <c r="U394" s="7" t="n">
        <v>1</v>
      </c>
      <c r="V394" s="7" t="n">
        <v>768</v>
      </c>
      <c r="W394" s="7"/>
      <c r="X394" s="7"/>
      <c r="Y394" s="7"/>
      <c r="Z394" s="7" t="s">
        <v>7175</v>
      </c>
      <c r="AA394" s="9" t="s">
        <v>7176</v>
      </c>
      <c r="AB394" s="7" t="s">
        <v>7177</v>
      </c>
      <c r="AC394" s="7" t="s">
        <v>7178</v>
      </c>
      <c r="AD394" s="7" t="s">
        <v>7179</v>
      </c>
      <c r="AE394" s="7" t="s">
        <v>7180</v>
      </c>
      <c r="AF394" s="7"/>
      <c r="AG394" s="7" t="s">
        <v>4529</v>
      </c>
      <c r="AH394" s="7" t="s">
        <v>7181</v>
      </c>
      <c r="AI394" s="7"/>
      <c r="AJ394" s="10" t="s">
        <v>7182</v>
      </c>
      <c r="AK394" s="7" t="s">
        <v>7183</v>
      </c>
      <c r="AL394" s="7" t="s">
        <v>7184</v>
      </c>
      <c r="AM394" s="7" t="s">
        <v>7185</v>
      </c>
      <c r="AN394" s="7"/>
      <c r="AO394" s="7"/>
      <c r="AP394" s="7"/>
      <c r="AQ394" s="7"/>
      <c r="AR394" s="7"/>
      <c r="AS394" s="7"/>
      <c r="AT394" s="7" t="n">
        <v>14712334</v>
      </c>
      <c r="AU394" s="7"/>
      <c r="AV394" s="7" t="s">
        <v>2103</v>
      </c>
      <c r="AW394" s="7" t="n">
        <v>36192672</v>
      </c>
      <c r="AX394" s="7" t="s">
        <v>2104</v>
      </c>
      <c r="AY394" s="7" t="s">
        <v>75</v>
      </c>
      <c r="AZ394" s="7" t="s">
        <v>107</v>
      </c>
      <c r="BA394" s="7" t="s">
        <v>76</v>
      </c>
      <c r="BB394" s="7" t="s">
        <v>7186</v>
      </c>
      <c r="BC394" s="7"/>
      <c r="BD394" s="7"/>
      <c r="BE394" s="7"/>
      <c r="BF394" s="7"/>
      <c r="BG394" s="7"/>
      <c r="BH394" s="7"/>
      <c r="BI394" s="7"/>
    </row>
    <row r="395" customFormat="false" ht="14.25" hidden="false" customHeight="true" outlineLevel="0" collapsed="false">
      <c r="A395" s="7" t="s">
        <v>7187</v>
      </c>
      <c r="B395" s="7" t="s">
        <v>7188</v>
      </c>
      <c r="C395" s="7" t="s">
        <v>7189</v>
      </c>
      <c r="D395" s="7" t="s">
        <v>7190</v>
      </c>
      <c r="E395" s="7" t="n">
        <v>2022</v>
      </c>
      <c r="F395" s="8" t="s">
        <v>7191</v>
      </c>
      <c r="G395" s="6" t="s">
        <v>713</v>
      </c>
      <c r="H395" s="7"/>
      <c r="I395" s="7"/>
      <c r="J395" s="7"/>
      <c r="K395" s="7"/>
      <c r="L395" s="7"/>
      <c r="M395" s="7"/>
      <c r="N395" s="7"/>
      <c r="O395" s="7"/>
      <c r="P395" s="7" t="s">
        <v>61</v>
      </c>
      <c r="Q395" s="7" t="s">
        <v>62</v>
      </c>
      <c r="R395" s="7" t="s">
        <v>7192</v>
      </c>
      <c r="S395" s="7" t="n">
        <v>49</v>
      </c>
      <c r="T395" s="7" t="s">
        <v>7193</v>
      </c>
      <c r="U395" s="7" t="n">
        <v>3</v>
      </c>
      <c r="V395" s="7" t="s">
        <v>7194</v>
      </c>
      <c r="W395" s="7"/>
      <c r="X395" s="7"/>
      <c r="Y395" s="7"/>
      <c r="Z395" s="7"/>
      <c r="AA395" s="9" t="s">
        <v>7195</v>
      </c>
      <c r="AB395" s="7" t="s">
        <v>7196</v>
      </c>
      <c r="AC395" s="7" t="s">
        <v>7197</v>
      </c>
      <c r="AD395" s="7" t="s">
        <v>7198</v>
      </c>
      <c r="AE395" s="7" t="s">
        <v>7199</v>
      </c>
      <c r="AF395" s="7"/>
      <c r="AG395" s="7"/>
      <c r="AH395" s="7"/>
      <c r="AI395" s="7"/>
      <c r="AJ395" s="10"/>
      <c r="AK395" s="7"/>
      <c r="AL395" s="7" t="s">
        <v>7200</v>
      </c>
      <c r="AM395" s="7" t="s">
        <v>7201</v>
      </c>
      <c r="AN395" s="7"/>
      <c r="AO395" s="7"/>
      <c r="AP395" s="7"/>
      <c r="AQ395" s="7"/>
      <c r="AR395" s="7"/>
      <c r="AS395" s="7"/>
      <c r="AT395" s="7" t="s">
        <v>7202</v>
      </c>
      <c r="AU395" s="7"/>
      <c r="AV395" s="7"/>
      <c r="AW395" s="7"/>
      <c r="AX395" s="7" t="s">
        <v>7203</v>
      </c>
      <c r="AY395" s="7" t="s">
        <v>75</v>
      </c>
      <c r="AZ395" s="7"/>
      <c r="BA395" s="7" t="s">
        <v>76</v>
      </c>
      <c r="BB395" s="7" t="s">
        <v>7204</v>
      </c>
      <c r="BC395" s="7"/>
      <c r="BD395" s="7"/>
      <c r="BE395" s="7"/>
      <c r="BF395" s="7"/>
      <c r="BG395" s="7"/>
      <c r="BH395" s="7"/>
      <c r="BI395" s="7"/>
    </row>
    <row r="396" customFormat="false" ht="14.25" hidden="false" customHeight="true" outlineLevel="0" collapsed="false">
      <c r="A396" s="7" t="s">
        <v>7205</v>
      </c>
      <c r="B396" s="7" t="s">
        <v>7206</v>
      </c>
      <c r="C396" s="7" t="s">
        <v>7207</v>
      </c>
      <c r="D396" s="7" t="s">
        <v>7208</v>
      </c>
      <c r="E396" s="7" t="n">
        <v>2022</v>
      </c>
      <c r="F396" s="8" t="s">
        <v>7209</v>
      </c>
      <c r="G396" s="6" t="s">
        <v>713</v>
      </c>
      <c r="H396" s="6"/>
      <c r="I396" s="6" t="s">
        <v>5040</v>
      </c>
      <c r="J396" s="7"/>
      <c r="K396" s="7"/>
      <c r="L396" s="7"/>
      <c r="M396" s="7"/>
      <c r="N396" s="7"/>
      <c r="O396" s="7"/>
      <c r="P396" s="7" t="s">
        <v>61</v>
      </c>
      <c r="Q396" s="7" t="s">
        <v>62</v>
      </c>
      <c r="R396" s="7" t="s">
        <v>7210</v>
      </c>
      <c r="S396" s="7" t="n">
        <v>3</v>
      </c>
      <c r="T396" s="7" t="s">
        <v>7211</v>
      </c>
      <c r="U396" s="7" t="n">
        <v>1</v>
      </c>
      <c r="V396" s="7"/>
      <c r="W396" s="7" t="n">
        <v>320</v>
      </c>
      <c r="X396" s="7" t="n">
        <v>326</v>
      </c>
      <c r="Y396" s="7" t="n">
        <v>6</v>
      </c>
      <c r="Z396" s="7" t="s">
        <v>7212</v>
      </c>
      <c r="AA396" s="9" t="s">
        <v>7213</v>
      </c>
      <c r="AB396" s="7" t="s">
        <v>7214</v>
      </c>
      <c r="AC396" s="7" t="s">
        <v>7215</v>
      </c>
      <c r="AD396" s="7" t="s">
        <v>7216</v>
      </c>
      <c r="AE396" s="7"/>
      <c r="AF396" s="7"/>
      <c r="AG396" s="7"/>
      <c r="AH396" s="7"/>
      <c r="AI396" s="7"/>
      <c r="AJ396" s="10"/>
      <c r="AK396" s="7"/>
      <c r="AL396" s="7" t="s">
        <v>7217</v>
      </c>
      <c r="AM396" s="7" t="s">
        <v>7218</v>
      </c>
      <c r="AN396" s="7"/>
      <c r="AO396" s="7"/>
      <c r="AP396" s="7"/>
      <c r="AQ396" s="7"/>
      <c r="AR396" s="7"/>
      <c r="AS396" s="7"/>
      <c r="AT396" s="7" t="n">
        <v>27207609</v>
      </c>
      <c r="AU396" s="7"/>
      <c r="AV396" s="7"/>
      <c r="AW396" s="7"/>
      <c r="AX396" s="7" t="s">
        <v>7219</v>
      </c>
      <c r="AY396" s="7" t="s">
        <v>75</v>
      </c>
      <c r="AZ396" s="7" t="s">
        <v>127</v>
      </c>
      <c r="BA396" s="7" t="s">
        <v>76</v>
      </c>
      <c r="BB396" s="7" t="s">
        <v>7220</v>
      </c>
      <c r="BC396" s="7"/>
      <c r="BD396" s="7"/>
      <c r="BE396" s="7"/>
      <c r="BF396" s="7"/>
      <c r="BG396" s="7"/>
      <c r="BH396" s="7"/>
      <c r="BI396" s="7"/>
    </row>
    <row r="397" customFormat="false" ht="14.25" hidden="false" customHeight="true" outlineLevel="0" collapsed="false">
      <c r="A397" s="7" t="s">
        <v>7221</v>
      </c>
      <c r="B397" s="7" t="s">
        <v>7222</v>
      </c>
      <c r="C397" s="7" t="s">
        <v>7223</v>
      </c>
      <c r="D397" s="7" t="s">
        <v>7224</v>
      </c>
      <c r="E397" s="7" t="n">
        <v>2022</v>
      </c>
      <c r="F397" s="8" t="s">
        <v>7225</v>
      </c>
      <c r="G397" s="6" t="s">
        <v>1230</v>
      </c>
      <c r="H397" s="7"/>
      <c r="I397" s="7"/>
      <c r="J397" s="7"/>
      <c r="K397" s="7"/>
      <c r="L397" s="7"/>
      <c r="M397" s="7"/>
      <c r="N397" s="7"/>
      <c r="O397" s="7"/>
      <c r="P397" s="7" t="s">
        <v>61</v>
      </c>
      <c r="Q397" s="7" t="s">
        <v>62</v>
      </c>
      <c r="R397" s="7" t="s">
        <v>7226</v>
      </c>
      <c r="S397" s="7" t="n">
        <v>24</v>
      </c>
      <c r="T397" s="7" t="s">
        <v>202</v>
      </c>
      <c r="U397" s="7" t="n">
        <v>4</v>
      </c>
      <c r="V397" s="7"/>
      <c r="W397" s="7" t="n">
        <v>395</v>
      </c>
      <c r="X397" s="7" t="n">
        <v>405</v>
      </c>
      <c r="Y397" s="7" t="n">
        <v>10</v>
      </c>
      <c r="Z397" s="7" t="s">
        <v>7227</v>
      </c>
      <c r="AA397" s="9" t="s">
        <v>7228</v>
      </c>
      <c r="AB397" s="7" t="s">
        <v>7229</v>
      </c>
      <c r="AC397" s="7" t="s">
        <v>7230</v>
      </c>
      <c r="AD397" s="7"/>
      <c r="AE397" s="7" t="s">
        <v>7231</v>
      </c>
      <c r="AF397" s="7"/>
      <c r="AG397" s="7" t="s">
        <v>7232</v>
      </c>
      <c r="AH397" s="7" t="s">
        <v>7233</v>
      </c>
      <c r="AI397" s="7" t="s">
        <v>7234</v>
      </c>
      <c r="AJ397" s="10" t="s">
        <v>7235</v>
      </c>
      <c r="AK397" s="7" t="s">
        <v>7236</v>
      </c>
      <c r="AL397" s="7" t="s">
        <v>7237</v>
      </c>
      <c r="AM397" s="7" t="s">
        <v>7238</v>
      </c>
      <c r="AN397" s="7"/>
      <c r="AO397" s="7"/>
      <c r="AP397" s="7"/>
      <c r="AQ397" s="7"/>
      <c r="AR397" s="7"/>
      <c r="AS397" s="7"/>
      <c r="AT397" s="7" t="n">
        <v>15251578</v>
      </c>
      <c r="AU397" s="7"/>
      <c r="AV397" s="7" t="s">
        <v>7239</v>
      </c>
      <c r="AW397" s="7" t="n">
        <v>35085783</v>
      </c>
      <c r="AX397" s="7" t="s">
        <v>7240</v>
      </c>
      <c r="AY397" s="7" t="s">
        <v>75</v>
      </c>
      <c r="AZ397" s="7" t="s">
        <v>2509</v>
      </c>
      <c r="BA397" s="7" t="s">
        <v>76</v>
      </c>
      <c r="BB397" s="7" t="s">
        <v>7241</v>
      </c>
      <c r="BC397" s="7"/>
      <c r="BD397" s="7"/>
      <c r="BE397" s="7"/>
      <c r="BF397" s="7"/>
      <c r="BG397" s="7"/>
      <c r="BH397" s="7"/>
      <c r="BI397" s="7"/>
    </row>
    <row r="398" customFormat="false" ht="14.25" hidden="false" customHeight="true" outlineLevel="0" collapsed="false">
      <c r="A398" s="7" t="s">
        <v>7242</v>
      </c>
      <c r="B398" s="7" t="s">
        <v>7243</v>
      </c>
      <c r="C398" s="7" t="s">
        <v>7244</v>
      </c>
      <c r="D398" s="7" t="s">
        <v>7245</v>
      </c>
      <c r="E398" s="7" t="n">
        <v>2022</v>
      </c>
      <c r="F398" s="8" t="s">
        <v>7246</v>
      </c>
      <c r="G398" s="6" t="s">
        <v>713</v>
      </c>
      <c r="H398" s="7"/>
      <c r="I398" s="7"/>
      <c r="J398" s="7"/>
      <c r="K398" s="7"/>
      <c r="L398" s="7"/>
      <c r="M398" s="7"/>
      <c r="N398" s="7"/>
      <c r="O398" s="7"/>
      <c r="P398" s="7" t="s">
        <v>61</v>
      </c>
      <c r="Q398" s="7" t="s">
        <v>62</v>
      </c>
      <c r="R398" s="7" t="s">
        <v>7247</v>
      </c>
      <c r="S398" s="7" t="n">
        <v>13</v>
      </c>
      <c r="T398" s="7" t="s">
        <v>7248</v>
      </c>
      <c r="U398" s="7" t="n">
        <v>4</v>
      </c>
      <c r="V398" s="7"/>
      <c r="W398" s="7" t="n">
        <v>187</v>
      </c>
      <c r="X398" s="7" t="n">
        <v>197</v>
      </c>
      <c r="Y398" s="7" t="n">
        <v>10</v>
      </c>
      <c r="Z398" s="7" t="s">
        <v>7249</v>
      </c>
      <c r="AA398" s="9" t="s">
        <v>7250</v>
      </c>
      <c r="AB398" s="7" t="s">
        <v>7251</v>
      </c>
      <c r="AC398" s="7" t="s">
        <v>7252</v>
      </c>
      <c r="AD398" s="7" t="s">
        <v>7253</v>
      </c>
      <c r="AE398" s="7" t="s">
        <v>7254</v>
      </c>
      <c r="AF398" s="7"/>
      <c r="AG398" s="7"/>
      <c r="AH398" s="7"/>
      <c r="AI398" s="7"/>
      <c r="AJ398" s="10"/>
      <c r="AK398" s="7"/>
      <c r="AL398" s="7" t="s">
        <v>7255</v>
      </c>
      <c r="AM398" s="7" t="s">
        <v>7256</v>
      </c>
      <c r="AN398" s="7"/>
      <c r="AO398" s="7"/>
      <c r="AP398" s="7"/>
      <c r="AQ398" s="7"/>
      <c r="AR398" s="7"/>
      <c r="AS398" s="7"/>
      <c r="AT398" s="7" t="s">
        <v>7257</v>
      </c>
      <c r="AU398" s="7"/>
      <c r="AV398" s="7"/>
      <c r="AW398" s="7"/>
      <c r="AX398" s="7" t="s">
        <v>7258</v>
      </c>
      <c r="AY398" s="7" t="s">
        <v>75</v>
      </c>
      <c r="AZ398" s="7"/>
      <c r="BA398" s="7" t="s">
        <v>76</v>
      </c>
      <c r="BB398" s="7" t="s">
        <v>7259</v>
      </c>
      <c r="BC398" s="7"/>
      <c r="BD398" s="7"/>
      <c r="BE398" s="7"/>
      <c r="BF398" s="7"/>
      <c r="BG398" s="7"/>
      <c r="BH398" s="7"/>
      <c r="BI398" s="7"/>
    </row>
    <row r="399" customFormat="false" ht="14.25" hidden="false" customHeight="true" outlineLevel="0" collapsed="false">
      <c r="A399" s="7" t="s">
        <v>7260</v>
      </c>
      <c r="B399" s="7" t="s">
        <v>7261</v>
      </c>
      <c r="C399" s="7" t="s">
        <v>7262</v>
      </c>
      <c r="D399" s="7" t="s">
        <v>7263</v>
      </c>
      <c r="E399" s="7" t="n">
        <v>2022</v>
      </c>
      <c r="F399" s="8" t="s">
        <v>7264</v>
      </c>
      <c r="G399" s="6" t="s">
        <v>713</v>
      </c>
      <c r="H399" s="7"/>
      <c r="I399" s="7"/>
      <c r="J399" s="7"/>
      <c r="K399" s="7"/>
      <c r="L399" s="7"/>
      <c r="M399" s="7"/>
      <c r="N399" s="7"/>
      <c r="O399" s="7"/>
      <c r="P399" s="7" t="s">
        <v>61</v>
      </c>
      <c r="Q399" s="7" t="s">
        <v>62</v>
      </c>
      <c r="R399" s="7" t="s">
        <v>7265</v>
      </c>
      <c r="S399" s="7" t="n">
        <v>41</v>
      </c>
      <c r="T399" s="7" t="s">
        <v>1086</v>
      </c>
      <c r="U399" s="7" t="n">
        <v>11</v>
      </c>
      <c r="V399" s="7"/>
      <c r="W399" s="7" t="n">
        <v>1353</v>
      </c>
      <c r="X399" s="7" t="n">
        <v>1361</v>
      </c>
      <c r="Y399" s="7" t="n">
        <v>8</v>
      </c>
      <c r="Z399" s="7" t="s">
        <v>7266</v>
      </c>
      <c r="AA399" s="9" t="s">
        <v>7267</v>
      </c>
      <c r="AB399" s="7" t="s">
        <v>7268</v>
      </c>
      <c r="AC399" s="7" t="s">
        <v>7269</v>
      </c>
      <c r="AD399" s="7" t="s">
        <v>7270</v>
      </c>
      <c r="AE399" s="7" t="s">
        <v>7271</v>
      </c>
      <c r="AF399" s="7"/>
      <c r="AG399" s="7"/>
      <c r="AH399" s="7" t="s">
        <v>7272</v>
      </c>
      <c r="AI399" s="7" t="s">
        <v>7273</v>
      </c>
      <c r="AJ399" s="10"/>
      <c r="AK399" s="7"/>
      <c r="AL399" s="7" t="s">
        <v>7274</v>
      </c>
      <c r="AM399" s="7" t="s">
        <v>7275</v>
      </c>
      <c r="AN399" s="7"/>
      <c r="AO399" s="7"/>
      <c r="AP399" s="7"/>
      <c r="AQ399" s="7"/>
      <c r="AR399" s="7"/>
      <c r="AS399" s="7"/>
      <c r="AT399" s="7" t="n">
        <v>2773740</v>
      </c>
      <c r="AU399" s="7"/>
      <c r="AV399" s="7" t="s">
        <v>7276</v>
      </c>
      <c r="AW399" s="7" t="n">
        <v>35349542</v>
      </c>
      <c r="AX399" s="7" t="s">
        <v>7265</v>
      </c>
      <c r="AY399" s="7" t="s">
        <v>75</v>
      </c>
      <c r="AZ399" s="7" t="s">
        <v>636</v>
      </c>
      <c r="BA399" s="7" t="s">
        <v>76</v>
      </c>
      <c r="BB399" s="7" t="s">
        <v>7277</v>
      </c>
      <c r="BC399" s="7"/>
      <c r="BD399" s="7"/>
      <c r="BE399" s="7"/>
      <c r="BF399" s="7"/>
      <c r="BG399" s="7"/>
      <c r="BH399" s="7"/>
      <c r="BI399" s="7"/>
    </row>
    <row r="400" customFormat="false" ht="14.25" hidden="false" customHeight="true" outlineLevel="0" collapsed="false">
      <c r="A400" s="7" t="s">
        <v>7278</v>
      </c>
      <c r="B400" s="7" t="s">
        <v>7279</v>
      </c>
      <c r="C400" s="7" t="s">
        <v>7280</v>
      </c>
      <c r="D400" s="7" t="s">
        <v>7281</v>
      </c>
      <c r="E400" s="7" t="n">
        <v>2022</v>
      </c>
      <c r="F400" s="8" t="s">
        <v>7282</v>
      </c>
      <c r="G400" s="6" t="s">
        <v>1686</v>
      </c>
      <c r="H400" s="7"/>
      <c r="I400" s="7"/>
      <c r="J400" s="7"/>
      <c r="K400" s="7"/>
      <c r="L400" s="7"/>
      <c r="M400" s="7"/>
      <c r="N400" s="7"/>
      <c r="O400" s="7"/>
      <c r="P400" s="7" t="s">
        <v>61</v>
      </c>
      <c r="Q400" s="7" t="s">
        <v>62</v>
      </c>
      <c r="R400" s="7" t="s">
        <v>7283</v>
      </c>
      <c r="S400" s="7" t="n">
        <v>133</v>
      </c>
      <c r="T400" s="7" t="s">
        <v>7284</v>
      </c>
      <c r="U400" s="7"/>
      <c r="V400" s="7" t="n">
        <v>104148</v>
      </c>
      <c r="W400" s="7"/>
      <c r="X400" s="7"/>
      <c r="Y400" s="7"/>
      <c r="Z400" s="7" t="s">
        <v>7285</v>
      </c>
      <c r="AA400" s="9" t="s">
        <v>7286</v>
      </c>
      <c r="AB400" s="7" t="s">
        <v>7287</v>
      </c>
      <c r="AC400" s="7" t="s">
        <v>7288</v>
      </c>
      <c r="AD400" s="7" t="s">
        <v>7289</v>
      </c>
      <c r="AE400" s="7" t="s">
        <v>7290</v>
      </c>
      <c r="AF400" s="7"/>
      <c r="AG400" s="7"/>
      <c r="AH400" s="7"/>
      <c r="AI400" s="7"/>
      <c r="AJ400" s="10" t="s">
        <v>7291</v>
      </c>
      <c r="AK400" s="7" t="s">
        <v>7292</v>
      </c>
      <c r="AL400" s="7" t="s">
        <v>7293</v>
      </c>
      <c r="AM400" s="7" t="s">
        <v>7294</v>
      </c>
      <c r="AN400" s="7"/>
      <c r="AO400" s="7"/>
      <c r="AP400" s="7"/>
      <c r="AQ400" s="7"/>
      <c r="AR400" s="7"/>
      <c r="AS400" s="7"/>
      <c r="AT400" s="7" t="n">
        <v>15320464</v>
      </c>
      <c r="AU400" s="7"/>
      <c r="AV400" s="7" t="s">
        <v>7295</v>
      </c>
      <c r="AW400" s="7" t="n">
        <v>35878824</v>
      </c>
      <c r="AX400" s="7" t="s">
        <v>7296</v>
      </c>
      <c r="AY400" s="7" t="s">
        <v>75</v>
      </c>
      <c r="AZ400" s="7" t="s">
        <v>4371</v>
      </c>
      <c r="BA400" s="7" t="s">
        <v>76</v>
      </c>
      <c r="BB400" s="7" t="s">
        <v>7297</v>
      </c>
      <c r="BC400" s="7"/>
      <c r="BD400" s="7"/>
      <c r="BE400" s="7"/>
      <c r="BF400" s="7"/>
      <c r="BG400" s="7"/>
      <c r="BH400" s="7"/>
      <c r="BI400" s="7"/>
    </row>
    <row r="401" customFormat="false" ht="14.25" hidden="false" customHeight="true" outlineLevel="0" collapsed="false">
      <c r="A401" s="18"/>
      <c r="B401" s="18"/>
      <c r="C401" s="18"/>
      <c r="D401" s="20" t="s">
        <v>7298</v>
      </c>
      <c r="E401" s="18"/>
      <c r="F401" s="19"/>
      <c r="G401" s="20"/>
      <c r="H401" s="18"/>
      <c r="I401" s="18"/>
      <c r="J401" s="18"/>
      <c r="K401" s="18"/>
      <c r="L401" s="18"/>
      <c r="M401" s="18"/>
      <c r="N401" s="18"/>
      <c r="O401" s="18"/>
      <c r="P401" s="18"/>
      <c r="Q401" s="18"/>
      <c r="R401" s="18"/>
      <c r="S401" s="18"/>
      <c r="T401" s="18"/>
      <c r="U401" s="18"/>
      <c r="V401" s="18"/>
      <c r="W401" s="18"/>
      <c r="X401" s="18"/>
      <c r="Y401" s="18"/>
      <c r="Z401" s="18"/>
      <c r="AA401" s="20"/>
      <c r="AB401" s="18"/>
      <c r="AC401" s="18"/>
      <c r="AD401" s="18"/>
      <c r="AE401" s="18"/>
      <c r="AF401" s="18"/>
      <c r="AG401" s="18"/>
      <c r="AH401" s="18"/>
      <c r="AI401" s="18"/>
      <c r="AJ401" s="21"/>
      <c r="AK401" s="18"/>
      <c r="AL401" s="18"/>
      <c r="AM401" s="18"/>
      <c r="AN401" s="18"/>
      <c r="AO401" s="18"/>
      <c r="AP401" s="18"/>
      <c r="AQ401" s="18"/>
      <c r="AR401" s="18"/>
      <c r="AS401" s="18"/>
      <c r="AT401" s="18"/>
      <c r="AU401" s="18"/>
      <c r="AV401" s="18"/>
      <c r="AW401" s="18"/>
      <c r="AX401" s="18"/>
      <c r="AY401" s="18"/>
      <c r="AZ401" s="18"/>
      <c r="BA401" s="18"/>
      <c r="BB401" s="18"/>
      <c r="BC401" s="18"/>
      <c r="BD401" s="18"/>
      <c r="BE401" s="18"/>
      <c r="BF401" s="18"/>
      <c r="BG401" s="18"/>
      <c r="BH401" s="18"/>
      <c r="BI401" s="18"/>
    </row>
    <row r="402" customFormat="false" ht="14.25" hidden="false" customHeight="true" outlineLevel="0" collapsed="false">
      <c r="A402" s="7" t="s">
        <v>7299</v>
      </c>
      <c r="B402" s="7" t="s">
        <v>7300</v>
      </c>
      <c r="C402" s="7" t="s">
        <v>7301</v>
      </c>
      <c r="D402" s="7" t="s">
        <v>7302</v>
      </c>
      <c r="E402" s="7" t="n">
        <v>2022</v>
      </c>
      <c r="F402" s="8" t="s">
        <v>7303</v>
      </c>
      <c r="G402" s="6" t="s">
        <v>713</v>
      </c>
      <c r="H402" s="7"/>
      <c r="I402" s="7"/>
      <c r="J402" s="7"/>
      <c r="K402" s="7"/>
      <c r="L402" s="7"/>
      <c r="M402" s="7"/>
      <c r="N402" s="7"/>
      <c r="O402" s="7"/>
      <c r="P402" s="7" t="s">
        <v>61</v>
      </c>
      <c r="Q402" s="7" t="s">
        <v>62</v>
      </c>
      <c r="R402" s="7" t="s">
        <v>7304</v>
      </c>
      <c r="S402" s="7" t="n">
        <v>208</v>
      </c>
      <c r="T402" s="7" t="s">
        <v>64</v>
      </c>
      <c r="U402" s="7"/>
      <c r="V402" s="7" t="n">
        <v>114219</v>
      </c>
      <c r="W402" s="7"/>
      <c r="X402" s="7"/>
      <c r="Y402" s="7"/>
      <c r="Z402" s="7" t="s">
        <v>7305</v>
      </c>
      <c r="AA402" s="9" t="s">
        <v>7306</v>
      </c>
      <c r="AB402" s="7" t="s">
        <v>7307</v>
      </c>
      <c r="AC402" s="7" t="s">
        <v>7308</v>
      </c>
      <c r="AD402" s="7" t="s">
        <v>7309</v>
      </c>
      <c r="AE402" s="7" t="s">
        <v>7310</v>
      </c>
      <c r="AF402" s="7"/>
      <c r="AG402" s="7" t="s">
        <v>7311</v>
      </c>
      <c r="AH402" s="7"/>
      <c r="AI402" s="7"/>
      <c r="AJ402" s="10" t="s">
        <v>7312</v>
      </c>
      <c r="AK402" s="7" t="s">
        <v>7313</v>
      </c>
      <c r="AL402" s="7" t="s">
        <v>7314</v>
      </c>
      <c r="AM402" s="7" t="s">
        <v>7315</v>
      </c>
      <c r="AN402" s="7"/>
      <c r="AO402" s="7"/>
      <c r="AP402" s="7"/>
      <c r="AQ402" s="7"/>
      <c r="AR402" s="7"/>
      <c r="AS402" s="7"/>
      <c r="AT402" s="7" t="n">
        <v>9565663</v>
      </c>
      <c r="AU402" s="7"/>
      <c r="AV402" s="7" t="s">
        <v>7316</v>
      </c>
      <c r="AW402" s="7" t="n">
        <v>35367704</v>
      </c>
      <c r="AX402" s="7" t="s">
        <v>7317</v>
      </c>
      <c r="AY402" s="7" t="s">
        <v>75</v>
      </c>
      <c r="AZ402" s="7"/>
      <c r="BA402" s="7" t="s">
        <v>76</v>
      </c>
      <c r="BB402" s="7" t="s">
        <v>7318</v>
      </c>
      <c r="BC402" s="7"/>
      <c r="BD402" s="7"/>
      <c r="BE402" s="7"/>
      <c r="BF402" s="7"/>
      <c r="BG402" s="7"/>
      <c r="BH402" s="7"/>
      <c r="BI402" s="7"/>
    </row>
    <row r="403" customFormat="false" ht="14.25" hidden="false" customHeight="true" outlineLevel="0" collapsed="false">
      <c r="A403" s="7" t="s">
        <v>7319</v>
      </c>
      <c r="B403" s="7" t="s">
        <v>7320</v>
      </c>
      <c r="C403" s="7" t="s">
        <v>7321</v>
      </c>
      <c r="D403" s="7" t="s">
        <v>7322</v>
      </c>
      <c r="E403" s="7" t="n">
        <v>2022</v>
      </c>
      <c r="F403" s="8" t="s">
        <v>7323</v>
      </c>
      <c r="G403" s="6" t="s">
        <v>713</v>
      </c>
      <c r="H403" s="7"/>
      <c r="I403" s="7"/>
      <c r="J403" s="7"/>
      <c r="K403" s="7"/>
      <c r="L403" s="7"/>
      <c r="M403" s="7"/>
      <c r="N403" s="7"/>
      <c r="O403" s="7"/>
      <c r="P403" s="7" t="s">
        <v>61</v>
      </c>
      <c r="Q403" s="7" t="s">
        <v>62</v>
      </c>
      <c r="R403" s="7" t="s">
        <v>7324</v>
      </c>
      <c r="S403" s="7" t="n">
        <v>11</v>
      </c>
      <c r="T403" s="7" t="s">
        <v>417</v>
      </c>
      <c r="U403" s="7" t="n">
        <v>3</v>
      </c>
      <c r="V403" s="7"/>
      <c r="W403" s="7" t="n">
        <v>1119</v>
      </c>
      <c r="X403" s="7" t="n">
        <v>1129</v>
      </c>
      <c r="Y403" s="7" t="n">
        <v>10</v>
      </c>
      <c r="Z403" s="7" t="s">
        <v>7325</v>
      </c>
      <c r="AA403" s="9" t="s">
        <v>7326</v>
      </c>
      <c r="AB403" s="7" t="s">
        <v>7327</v>
      </c>
      <c r="AC403" s="7" t="s">
        <v>7328</v>
      </c>
      <c r="AD403" s="7" t="s">
        <v>7329</v>
      </c>
      <c r="AE403" s="7"/>
      <c r="AF403" s="7"/>
      <c r="AG403" s="7"/>
      <c r="AH403" s="7"/>
      <c r="AI403" s="7"/>
      <c r="AJ403" s="10" t="s">
        <v>7330</v>
      </c>
      <c r="AK403" s="7" t="s">
        <v>7331</v>
      </c>
      <c r="AL403" s="7" t="s">
        <v>7332</v>
      </c>
      <c r="AM403" s="7" t="s">
        <v>7333</v>
      </c>
      <c r="AN403" s="7"/>
      <c r="AO403" s="7"/>
      <c r="AP403" s="7"/>
      <c r="AQ403" s="7"/>
      <c r="AR403" s="7"/>
      <c r="AS403" s="7"/>
      <c r="AT403" s="7" t="n">
        <v>20894872</v>
      </c>
      <c r="AU403" s="7"/>
      <c r="AV403" s="7"/>
      <c r="AW403" s="7"/>
      <c r="AX403" s="7" t="s">
        <v>7334</v>
      </c>
      <c r="AY403" s="7" t="s">
        <v>75</v>
      </c>
      <c r="AZ403" s="7" t="s">
        <v>127</v>
      </c>
      <c r="BA403" s="7" t="s">
        <v>76</v>
      </c>
      <c r="BB403" s="7" t="s">
        <v>7335</v>
      </c>
      <c r="BC403" s="7"/>
      <c r="BD403" s="7"/>
      <c r="BE403" s="7"/>
      <c r="BF403" s="7"/>
      <c r="BG403" s="7"/>
      <c r="BH403" s="7"/>
      <c r="BI403" s="7"/>
    </row>
    <row r="404" customFormat="false" ht="14.25" hidden="false" customHeight="true" outlineLevel="0" collapsed="false">
      <c r="A404" s="7" t="s">
        <v>7336</v>
      </c>
      <c r="B404" s="7" t="s">
        <v>7337</v>
      </c>
      <c r="C404" s="7" t="s">
        <v>7338</v>
      </c>
      <c r="D404" s="7" t="s">
        <v>7339</v>
      </c>
      <c r="E404" s="7" t="n">
        <v>2022</v>
      </c>
      <c r="F404" s="8" t="s">
        <v>7340</v>
      </c>
      <c r="G404" s="6" t="s">
        <v>3714</v>
      </c>
      <c r="H404" s="7"/>
      <c r="I404" s="7"/>
      <c r="J404" s="7"/>
      <c r="K404" s="7"/>
      <c r="L404" s="7"/>
      <c r="M404" s="7"/>
      <c r="N404" s="7"/>
      <c r="O404" s="7"/>
      <c r="P404" s="7" t="s">
        <v>61</v>
      </c>
      <c r="Q404" s="7" t="s">
        <v>62</v>
      </c>
      <c r="R404" s="7" t="s">
        <v>7341</v>
      </c>
      <c r="S404" s="7" t="n">
        <v>10</v>
      </c>
      <c r="T404" s="7" t="s">
        <v>586</v>
      </c>
      <c r="U404" s="7" t="n">
        <v>1</v>
      </c>
      <c r="V404" s="7" t="n">
        <v>32</v>
      </c>
      <c r="W404" s="7"/>
      <c r="X404" s="7"/>
      <c r="Y404" s="7"/>
      <c r="Z404" s="7" t="s">
        <v>7342</v>
      </c>
      <c r="AA404" s="9" t="s">
        <v>7343</v>
      </c>
      <c r="AB404" s="7" t="s">
        <v>7344</v>
      </c>
      <c r="AC404" s="7" t="s">
        <v>7345</v>
      </c>
      <c r="AD404" s="7" t="s">
        <v>7346</v>
      </c>
      <c r="AE404" s="7" t="s">
        <v>7347</v>
      </c>
      <c r="AF404" s="7"/>
      <c r="AG404" s="7"/>
      <c r="AH404" s="7"/>
      <c r="AI404" s="7"/>
      <c r="AJ404" s="10" t="s">
        <v>7348</v>
      </c>
      <c r="AK404" s="7" t="s">
        <v>7349</v>
      </c>
      <c r="AL404" s="7" t="s">
        <v>7350</v>
      </c>
      <c r="AM404" s="7" t="s">
        <v>7351</v>
      </c>
      <c r="AN404" s="7"/>
      <c r="AO404" s="7"/>
      <c r="AP404" s="7"/>
      <c r="AQ404" s="7"/>
      <c r="AR404" s="7"/>
      <c r="AS404" s="7"/>
      <c r="AT404" s="7" t="n">
        <v>20472501</v>
      </c>
      <c r="AU404" s="7"/>
      <c r="AV404" s="7"/>
      <c r="AW404" s="7"/>
      <c r="AX404" s="7" t="s">
        <v>7352</v>
      </c>
      <c r="AY404" s="7" t="s">
        <v>75</v>
      </c>
      <c r="AZ404" s="7" t="s">
        <v>409</v>
      </c>
      <c r="BA404" s="7" t="s">
        <v>76</v>
      </c>
      <c r="BB404" s="7" t="s">
        <v>7353</v>
      </c>
      <c r="BC404" s="7"/>
      <c r="BD404" s="7"/>
      <c r="BE404" s="7"/>
      <c r="BF404" s="7"/>
      <c r="BG404" s="7"/>
      <c r="BH404" s="7"/>
      <c r="BI404" s="7"/>
    </row>
    <row r="405" customFormat="false" ht="14.25" hidden="false" customHeight="true" outlineLevel="0" collapsed="false">
      <c r="A405" s="7" t="s">
        <v>7354</v>
      </c>
      <c r="B405" s="7" t="s">
        <v>7355</v>
      </c>
      <c r="C405" s="7" t="s">
        <v>7356</v>
      </c>
      <c r="D405" s="7" t="s">
        <v>7357</v>
      </c>
      <c r="E405" s="7" t="n">
        <v>2022</v>
      </c>
      <c r="F405" s="8" t="s">
        <v>7358</v>
      </c>
      <c r="G405" s="6" t="s">
        <v>713</v>
      </c>
      <c r="H405" s="7"/>
      <c r="I405" s="7"/>
      <c r="J405" s="7"/>
      <c r="K405" s="7"/>
      <c r="L405" s="7"/>
      <c r="M405" s="7"/>
      <c r="N405" s="7"/>
      <c r="O405" s="7"/>
      <c r="P405" s="7" t="s">
        <v>61</v>
      </c>
      <c r="Q405" s="7" t="s">
        <v>62</v>
      </c>
      <c r="R405" s="7" t="s">
        <v>7359</v>
      </c>
      <c r="S405" s="7" t="n">
        <v>63</v>
      </c>
      <c r="T405" s="7" t="s">
        <v>7360</v>
      </c>
      <c r="U405" s="7" t="n">
        <v>1</v>
      </c>
      <c r="V405" s="7"/>
      <c r="W405" s="7" t="n">
        <v>380</v>
      </c>
      <c r="X405" s="7" t="n">
        <v>396</v>
      </c>
      <c r="Y405" s="7" t="n">
        <v>16</v>
      </c>
      <c r="Z405" s="7" t="s">
        <v>7361</v>
      </c>
      <c r="AA405" s="9" t="s">
        <v>7362</v>
      </c>
      <c r="AB405" s="7" t="s">
        <v>7363</v>
      </c>
      <c r="AC405" s="7" t="s">
        <v>7364</v>
      </c>
      <c r="AD405" s="7" t="s">
        <v>7365</v>
      </c>
      <c r="AE405" s="7"/>
      <c r="AF405" s="7"/>
      <c r="AG405" s="7"/>
      <c r="AH405" s="7"/>
      <c r="AI405" s="7"/>
      <c r="AJ405" s="10"/>
      <c r="AK405" s="7"/>
      <c r="AL405" s="7" t="s">
        <v>7366</v>
      </c>
      <c r="AM405" s="7" t="s">
        <v>7367</v>
      </c>
      <c r="AN405" s="7"/>
      <c r="AO405" s="7"/>
      <c r="AP405" s="7"/>
      <c r="AQ405" s="7"/>
      <c r="AR405" s="7"/>
      <c r="AS405" s="7"/>
      <c r="AT405" s="7" t="n">
        <v>672904</v>
      </c>
      <c r="AU405" s="7"/>
      <c r="AV405" s="7"/>
      <c r="AW405" s="7"/>
      <c r="AX405" s="7" t="s">
        <v>7368</v>
      </c>
      <c r="AY405" s="7" t="s">
        <v>75</v>
      </c>
      <c r="AZ405" s="7" t="s">
        <v>127</v>
      </c>
      <c r="BA405" s="7" t="s">
        <v>76</v>
      </c>
      <c r="BB405" s="7" t="s">
        <v>7369</v>
      </c>
      <c r="BC405" s="7"/>
      <c r="BD405" s="7"/>
      <c r="BE405" s="7"/>
      <c r="BF405" s="7"/>
      <c r="BG405" s="7"/>
      <c r="BH405" s="7"/>
      <c r="BI405" s="7"/>
    </row>
    <row r="406" customFormat="false" ht="14.25" hidden="false" customHeight="true" outlineLevel="0" collapsed="false">
      <c r="A406" s="7" t="s">
        <v>7370</v>
      </c>
      <c r="B406" s="7" t="s">
        <v>7371</v>
      </c>
      <c r="C406" s="7" t="s">
        <v>7372</v>
      </c>
      <c r="D406" s="7" t="s">
        <v>7373</v>
      </c>
      <c r="E406" s="7" t="n">
        <v>2022</v>
      </c>
      <c r="F406" s="8" t="s">
        <v>7374</v>
      </c>
      <c r="G406" s="6" t="s">
        <v>713</v>
      </c>
      <c r="H406" s="7"/>
      <c r="I406" s="7"/>
      <c r="J406" s="7"/>
      <c r="K406" s="7"/>
      <c r="L406" s="7"/>
      <c r="M406" s="7"/>
      <c r="N406" s="7"/>
      <c r="O406" s="7"/>
      <c r="P406" s="7" t="s">
        <v>61</v>
      </c>
      <c r="Q406" s="7" t="s">
        <v>62</v>
      </c>
      <c r="R406" s="7" t="s">
        <v>7375</v>
      </c>
      <c r="S406" s="7" t="n">
        <v>33</v>
      </c>
      <c r="T406" s="7" t="s">
        <v>533</v>
      </c>
      <c r="U406" s="7" t="n">
        <v>6</v>
      </c>
      <c r="V406" s="7"/>
      <c r="W406" s="7" t="n">
        <v>952</v>
      </c>
      <c r="X406" s="7" t="n">
        <v>960</v>
      </c>
      <c r="Y406" s="7" t="n">
        <v>8</v>
      </c>
      <c r="Z406" s="7" t="s">
        <v>7376</v>
      </c>
      <c r="AA406" s="9" t="s">
        <v>7377</v>
      </c>
      <c r="AB406" s="7" t="s">
        <v>7378</v>
      </c>
      <c r="AC406" s="7" t="s">
        <v>7379</v>
      </c>
      <c r="AD406" s="7" t="s">
        <v>7380</v>
      </c>
      <c r="AE406" s="7" t="s">
        <v>7381</v>
      </c>
      <c r="AF406" s="7"/>
      <c r="AG406" s="7"/>
      <c r="AH406" s="7" t="s">
        <v>7382</v>
      </c>
      <c r="AI406" s="7" t="s">
        <v>7383</v>
      </c>
      <c r="AJ406" s="10"/>
      <c r="AK406" s="7"/>
      <c r="AL406" s="7" t="s">
        <v>7384</v>
      </c>
      <c r="AM406" s="7"/>
      <c r="AN406" s="7"/>
      <c r="AO406" s="7"/>
      <c r="AP406" s="7"/>
      <c r="AQ406" s="7"/>
      <c r="AR406" s="7"/>
      <c r="AS406" s="7"/>
      <c r="AT406" s="7" t="n">
        <v>10440305</v>
      </c>
      <c r="AU406" s="7"/>
      <c r="AV406" s="7" t="s">
        <v>7385</v>
      </c>
      <c r="AW406" s="7" t="n">
        <v>35549471</v>
      </c>
      <c r="AX406" s="7" t="s">
        <v>7386</v>
      </c>
      <c r="AY406" s="7" t="s">
        <v>75</v>
      </c>
      <c r="AZ406" s="7"/>
      <c r="BA406" s="7" t="s">
        <v>76</v>
      </c>
      <c r="BB406" s="7" t="s">
        <v>7387</v>
      </c>
      <c r="BC406" s="7"/>
      <c r="BD406" s="7"/>
      <c r="BE406" s="7"/>
      <c r="BF406" s="7"/>
      <c r="BG406" s="7"/>
      <c r="BH406" s="7"/>
      <c r="BI406" s="7"/>
    </row>
    <row r="407" customFormat="false" ht="14.25" hidden="false" customHeight="true" outlineLevel="0" collapsed="false">
      <c r="A407" s="7" t="s">
        <v>7388</v>
      </c>
      <c r="B407" s="7" t="s">
        <v>7389</v>
      </c>
      <c r="C407" s="7" t="s">
        <v>7390</v>
      </c>
      <c r="D407" s="7" t="s">
        <v>7391</v>
      </c>
      <c r="E407" s="7" t="n">
        <v>2022</v>
      </c>
      <c r="F407" s="8" t="s">
        <v>7392</v>
      </c>
      <c r="G407" s="6" t="s">
        <v>713</v>
      </c>
      <c r="H407" s="7"/>
      <c r="I407" s="7"/>
      <c r="J407" s="7"/>
      <c r="K407" s="7"/>
      <c r="L407" s="7"/>
      <c r="M407" s="7"/>
      <c r="N407" s="7"/>
      <c r="O407" s="7"/>
      <c r="P407" s="7" t="s">
        <v>61</v>
      </c>
      <c r="Q407" s="7" t="s">
        <v>62</v>
      </c>
      <c r="R407" s="7" t="s">
        <v>7393</v>
      </c>
      <c r="S407" s="7" t="n">
        <v>3</v>
      </c>
      <c r="T407" s="7" t="s">
        <v>7394</v>
      </c>
      <c r="U407" s="7" t="n">
        <v>3</v>
      </c>
      <c r="V407" s="7"/>
      <c r="W407" s="7" t="n">
        <v>257</v>
      </c>
      <c r="X407" s="7" t="n">
        <v>268</v>
      </c>
      <c r="Y407" s="7" t="n">
        <v>11</v>
      </c>
      <c r="Z407" s="7" t="s">
        <v>7395</v>
      </c>
      <c r="AA407" s="9" t="s">
        <v>7396</v>
      </c>
      <c r="AB407" s="7" t="s">
        <v>7397</v>
      </c>
      <c r="AC407" s="7" t="s">
        <v>7398</v>
      </c>
      <c r="AD407" s="7" t="s">
        <v>7399</v>
      </c>
      <c r="AE407" s="7"/>
      <c r="AF407" s="7"/>
      <c r="AG407" s="7"/>
      <c r="AH407" s="7"/>
      <c r="AI407" s="7"/>
      <c r="AJ407" s="10"/>
      <c r="AK407" s="7"/>
      <c r="AL407" s="7" t="s">
        <v>7400</v>
      </c>
      <c r="AM407" s="7" t="s">
        <v>7401</v>
      </c>
      <c r="AN407" s="7"/>
      <c r="AO407" s="7"/>
      <c r="AP407" s="7"/>
      <c r="AQ407" s="7"/>
      <c r="AR407" s="7"/>
      <c r="AS407" s="7"/>
      <c r="AT407" s="7" t="n">
        <v>27155056</v>
      </c>
      <c r="AU407" s="7"/>
      <c r="AV407" s="7"/>
      <c r="AW407" s="7"/>
      <c r="AX407" s="7" t="s">
        <v>7402</v>
      </c>
      <c r="AY407" s="7" t="s">
        <v>75</v>
      </c>
      <c r="AZ407" s="7" t="s">
        <v>127</v>
      </c>
      <c r="BA407" s="7" t="s">
        <v>76</v>
      </c>
      <c r="BB407" s="7" t="s">
        <v>7403</v>
      </c>
      <c r="BC407" s="7"/>
      <c r="BD407" s="7"/>
      <c r="BE407" s="7"/>
      <c r="BF407" s="7"/>
      <c r="BG407" s="7"/>
      <c r="BH407" s="7"/>
      <c r="BI407" s="7"/>
    </row>
    <row r="408" customFormat="false" ht="14.25" hidden="false" customHeight="true" outlineLevel="0" collapsed="false">
      <c r="A408" s="7" t="s">
        <v>7404</v>
      </c>
      <c r="B408" s="7" t="s">
        <v>7405</v>
      </c>
      <c r="C408" s="7" t="s">
        <v>7406</v>
      </c>
      <c r="D408" s="7" t="s">
        <v>7407</v>
      </c>
      <c r="E408" s="7" t="n">
        <v>2022</v>
      </c>
      <c r="F408" s="8" t="s">
        <v>7408</v>
      </c>
      <c r="G408" s="6" t="s">
        <v>7409</v>
      </c>
      <c r="H408" s="7"/>
      <c r="I408" s="7"/>
      <c r="J408" s="7"/>
      <c r="K408" s="7"/>
      <c r="L408" s="7"/>
      <c r="M408" s="7"/>
      <c r="N408" s="7"/>
      <c r="O408" s="7"/>
      <c r="P408" s="7" t="s">
        <v>61</v>
      </c>
      <c r="Q408" s="7" t="s">
        <v>62</v>
      </c>
      <c r="R408" s="7" t="s">
        <v>7410</v>
      </c>
      <c r="S408" s="7" t="n">
        <v>12</v>
      </c>
      <c r="T408" s="7" t="s">
        <v>307</v>
      </c>
      <c r="U408" s="7" t="n">
        <v>10</v>
      </c>
      <c r="V408" s="7" t="n">
        <v>268</v>
      </c>
      <c r="W408" s="7"/>
      <c r="X408" s="7"/>
      <c r="Y408" s="7"/>
      <c r="Z408" s="7" t="s">
        <v>7411</v>
      </c>
      <c r="AA408" s="9" t="s">
        <v>7412</v>
      </c>
      <c r="AB408" s="7" t="s">
        <v>7413</v>
      </c>
      <c r="AC408" s="7" t="s">
        <v>7414</v>
      </c>
      <c r="AD408" s="7" t="s">
        <v>7415</v>
      </c>
      <c r="AE408" s="7" t="s">
        <v>7416</v>
      </c>
      <c r="AF408" s="7"/>
      <c r="AG408" s="7" t="s">
        <v>7417</v>
      </c>
      <c r="AH408" s="7" t="s">
        <v>7418</v>
      </c>
      <c r="AI408" s="7" t="s">
        <v>7419</v>
      </c>
      <c r="AJ408" s="10"/>
      <c r="AK408" s="7"/>
      <c r="AL408" s="7" t="s">
        <v>7420</v>
      </c>
      <c r="AM408" s="7" t="s">
        <v>7421</v>
      </c>
      <c r="AN408" s="7"/>
      <c r="AO408" s="7"/>
      <c r="AP408" s="7"/>
      <c r="AQ408" s="7"/>
      <c r="AR408" s="7"/>
      <c r="AS408" s="7"/>
      <c r="AT408" s="7" t="s">
        <v>7422</v>
      </c>
      <c r="AU408" s="7"/>
      <c r="AV408" s="7"/>
      <c r="AW408" s="7"/>
      <c r="AX408" s="7" t="s">
        <v>7410</v>
      </c>
      <c r="AY408" s="7" t="s">
        <v>75</v>
      </c>
      <c r="AZ408" s="7" t="s">
        <v>636</v>
      </c>
      <c r="BA408" s="7" t="s">
        <v>76</v>
      </c>
      <c r="BB408" s="7" t="s">
        <v>7423</v>
      </c>
      <c r="BC408" s="7"/>
      <c r="BD408" s="7"/>
      <c r="BE408" s="7"/>
      <c r="BF408" s="7"/>
      <c r="BG408" s="7"/>
      <c r="BH408" s="7"/>
      <c r="BI408" s="7"/>
    </row>
    <row r="409" customFormat="false" ht="14.25" hidden="false" customHeight="true" outlineLevel="0" collapsed="false">
      <c r="A409" s="7" t="s">
        <v>7424</v>
      </c>
      <c r="B409" s="7" t="s">
        <v>7425</v>
      </c>
      <c r="C409" s="7" t="s">
        <v>7426</v>
      </c>
      <c r="D409" s="7" t="s">
        <v>7427</v>
      </c>
      <c r="E409" s="7" t="n">
        <v>2022</v>
      </c>
      <c r="F409" s="8" t="s">
        <v>7428</v>
      </c>
      <c r="G409" s="6" t="s">
        <v>713</v>
      </c>
      <c r="H409" s="7"/>
      <c r="I409" s="7"/>
      <c r="J409" s="7"/>
      <c r="K409" s="7"/>
      <c r="L409" s="7"/>
      <c r="M409" s="7"/>
      <c r="N409" s="7"/>
      <c r="O409" s="7"/>
      <c r="P409" s="7" t="s">
        <v>61</v>
      </c>
      <c r="Q409" s="7" t="s">
        <v>62</v>
      </c>
      <c r="R409" s="7" t="s">
        <v>7429</v>
      </c>
      <c r="S409" s="7" t="n">
        <v>60</v>
      </c>
      <c r="T409" s="7" t="s">
        <v>307</v>
      </c>
      <c r="U409" s="7" t="n">
        <v>4</v>
      </c>
      <c r="V409" s="7"/>
      <c r="W409" s="7" t="n">
        <v>1099</v>
      </c>
      <c r="X409" s="7" t="n">
        <v>1110</v>
      </c>
      <c r="Y409" s="7" t="n">
        <v>11</v>
      </c>
      <c r="Z409" s="7" t="s">
        <v>7430</v>
      </c>
      <c r="AA409" s="9" t="s">
        <v>7431</v>
      </c>
      <c r="AB409" s="7" t="s">
        <v>7432</v>
      </c>
      <c r="AC409" s="7" t="s">
        <v>7433</v>
      </c>
      <c r="AD409" s="7" t="s">
        <v>7434</v>
      </c>
      <c r="AE409" s="7" t="s">
        <v>7435</v>
      </c>
      <c r="AF409" s="7"/>
      <c r="AG409" s="7"/>
      <c r="AH409" s="7"/>
      <c r="AI409" s="7"/>
      <c r="AJ409" s="10" t="s">
        <v>7436</v>
      </c>
      <c r="AK409" s="7" t="s">
        <v>7437</v>
      </c>
      <c r="AL409" s="7" t="s">
        <v>7438</v>
      </c>
      <c r="AM409" s="7" t="s">
        <v>7439</v>
      </c>
      <c r="AN409" s="7"/>
      <c r="AO409" s="7"/>
      <c r="AP409" s="7"/>
      <c r="AQ409" s="7"/>
      <c r="AR409" s="7"/>
      <c r="AS409" s="7"/>
      <c r="AT409" s="7" t="n">
        <v>1400118</v>
      </c>
      <c r="AU409" s="7"/>
      <c r="AV409" s="7" t="s">
        <v>7440</v>
      </c>
      <c r="AW409" s="7"/>
      <c r="AX409" s="7" t="s">
        <v>7441</v>
      </c>
      <c r="AY409" s="7" t="s">
        <v>75</v>
      </c>
      <c r="AZ409" s="7"/>
      <c r="BA409" s="7" t="s">
        <v>76</v>
      </c>
      <c r="BB409" s="7" t="s">
        <v>7442</v>
      </c>
      <c r="BC409" s="7"/>
      <c r="BD409" s="7"/>
      <c r="BE409" s="7"/>
      <c r="BF409" s="7"/>
      <c r="BG409" s="7"/>
      <c r="BH409" s="7"/>
      <c r="BI409" s="7"/>
    </row>
    <row r="410" customFormat="false" ht="14.25" hidden="false" customHeight="true" outlineLevel="0" collapsed="false">
      <c r="A410" s="7" t="s">
        <v>7443</v>
      </c>
      <c r="B410" s="7" t="s">
        <v>7444</v>
      </c>
      <c r="C410" s="7" t="s">
        <v>7445</v>
      </c>
      <c r="D410" s="7" t="s">
        <v>7446</v>
      </c>
      <c r="E410" s="7" t="n">
        <v>2022</v>
      </c>
      <c r="F410" s="8" t="s">
        <v>7447</v>
      </c>
      <c r="G410" s="6" t="s">
        <v>393</v>
      </c>
      <c r="H410" s="7"/>
      <c r="I410" s="7"/>
      <c r="J410" s="7"/>
      <c r="K410" s="7"/>
      <c r="L410" s="7"/>
      <c r="M410" s="7"/>
      <c r="N410" s="7"/>
      <c r="O410" s="7"/>
      <c r="P410" s="7" t="s">
        <v>61</v>
      </c>
      <c r="Q410" s="7" t="s">
        <v>62</v>
      </c>
      <c r="R410" s="7" t="s">
        <v>4794</v>
      </c>
      <c r="S410" s="7" t="n">
        <v>15</v>
      </c>
      <c r="T410" s="7" t="s">
        <v>903</v>
      </c>
      <c r="U410" s="7" t="n">
        <v>1</v>
      </c>
      <c r="V410" s="7" t="n">
        <v>397</v>
      </c>
      <c r="W410" s="7"/>
      <c r="X410" s="7"/>
      <c r="Y410" s="7"/>
      <c r="Z410" s="7" t="s">
        <v>7448</v>
      </c>
      <c r="AA410" s="9" t="s">
        <v>7449</v>
      </c>
      <c r="AB410" s="7" t="s">
        <v>7450</v>
      </c>
      <c r="AC410" s="7" t="s">
        <v>7451</v>
      </c>
      <c r="AD410" s="7" t="s">
        <v>7452</v>
      </c>
      <c r="AE410" s="7" t="s">
        <v>7453</v>
      </c>
      <c r="AF410" s="7"/>
      <c r="AG410" s="7" t="s">
        <v>7454</v>
      </c>
      <c r="AH410" s="7"/>
      <c r="AI410" s="7"/>
      <c r="AJ410" s="10" t="s">
        <v>7455</v>
      </c>
      <c r="AK410" s="7" t="s">
        <v>7456</v>
      </c>
      <c r="AL410" s="7" t="s">
        <v>7457</v>
      </c>
      <c r="AM410" s="7" t="s">
        <v>7458</v>
      </c>
      <c r="AN410" s="7"/>
      <c r="AO410" s="7"/>
      <c r="AP410" s="7"/>
      <c r="AQ410" s="7"/>
      <c r="AR410" s="7"/>
      <c r="AS410" s="7"/>
      <c r="AT410" s="7" t="n">
        <v>17563305</v>
      </c>
      <c r="AU410" s="7"/>
      <c r="AV410" s="7"/>
      <c r="AW410" s="7" t="n">
        <v>36316751</v>
      </c>
      <c r="AX410" s="7" t="s">
        <v>1044</v>
      </c>
      <c r="AY410" s="7" t="s">
        <v>75</v>
      </c>
      <c r="AZ410" s="7" t="s">
        <v>107</v>
      </c>
      <c r="BA410" s="7" t="s">
        <v>76</v>
      </c>
      <c r="BB410" s="7" t="s">
        <v>7459</v>
      </c>
      <c r="BC410" s="7"/>
      <c r="BD410" s="7"/>
      <c r="BE410" s="7"/>
      <c r="BF410" s="7"/>
      <c r="BG410" s="7"/>
      <c r="BH410" s="7"/>
      <c r="BI410" s="7"/>
    </row>
    <row r="411" customFormat="false" ht="14.25" hidden="false" customHeight="true" outlineLevel="0" collapsed="false">
      <c r="A411" s="7" t="s">
        <v>7460</v>
      </c>
      <c r="B411" s="7" t="s">
        <v>7461</v>
      </c>
      <c r="C411" s="7" t="s">
        <v>7462</v>
      </c>
      <c r="D411" s="7" t="s">
        <v>7463</v>
      </c>
      <c r="E411" s="7" t="n">
        <v>2022</v>
      </c>
      <c r="F411" s="8" t="s">
        <v>7464</v>
      </c>
      <c r="G411" s="6" t="s">
        <v>713</v>
      </c>
      <c r="H411" s="7"/>
      <c r="I411" s="7"/>
      <c r="J411" s="7"/>
      <c r="K411" s="7"/>
      <c r="L411" s="7"/>
      <c r="M411" s="7"/>
      <c r="N411" s="7"/>
      <c r="O411" s="7"/>
      <c r="P411" s="7" t="s">
        <v>61</v>
      </c>
      <c r="Q411" s="7" t="s">
        <v>62</v>
      </c>
      <c r="R411" s="7" t="s">
        <v>7465</v>
      </c>
      <c r="S411" s="7" t="n">
        <v>21</v>
      </c>
      <c r="T411" s="7" t="s">
        <v>7466</v>
      </c>
      <c r="U411" s="7" t="n">
        <v>1</v>
      </c>
      <c r="V411" s="7"/>
      <c r="W411" s="7" t="n">
        <v>117</v>
      </c>
      <c r="X411" s="7" t="n">
        <v>148</v>
      </c>
      <c r="Y411" s="7" t="n">
        <v>31</v>
      </c>
      <c r="Z411" s="7" t="s">
        <v>7467</v>
      </c>
      <c r="AA411" s="9" t="s">
        <v>7468</v>
      </c>
      <c r="AB411" s="7" t="s">
        <v>7469</v>
      </c>
      <c r="AC411" s="7" t="s">
        <v>7470</v>
      </c>
      <c r="AD411" s="7" t="s">
        <v>7471</v>
      </c>
      <c r="AE411" s="7"/>
      <c r="AF411" s="7"/>
      <c r="AG411" s="7"/>
      <c r="AH411" s="7"/>
      <c r="AI411" s="7"/>
      <c r="AJ411" s="10" t="s">
        <v>7472</v>
      </c>
      <c r="AK411" s="7" t="s">
        <v>7473</v>
      </c>
      <c r="AL411" s="7" t="s">
        <v>7474</v>
      </c>
      <c r="AM411" s="7" t="s">
        <v>7475</v>
      </c>
      <c r="AN411" s="7"/>
      <c r="AO411" s="7"/>
      <c r="AP411" s="7"/>
      <c r="AQ411" s="7"/>
      <c r="AR411" s="7"/>
      <c r="AS411" s="7"/>
      <c r="AT411" s="7" t="s">
        <v>7476</v>
      </c>
      <c r="AU411" s="7"/>
      <c r="AV411" s="7"/>
      <c r="AW411" s="7"/>
      <c r="AX411" s="7" t="s">
        <v>7477</v>
      </c>
      <c r="AY411" s="7" t="s">
        <v>75</v>
      </c>
      <c r="AZ411" s="7" t="s">
        <v>107</v>
      </c>
      <c r="BA411" s="7" t="s">
        <v>76</v>
      </c>
      <c r="BB411" s="7" t="s">
        <v>7478</v>
      </c>
      <c r="BC411" s="7"/>
      <c r="BD411" s="7"/>
      <c r="BE411" s="7"/>
      <c r="BF411" s="7"/>
      <c r="BG411" s="7"/>
      <c r="BH411" s="7"/>
      <c r="BI411" s="7"/>
    </row>
    <row r="412" customFormat="false" ht="14.25" hidden="false" customHeight="true" outlineLevel="0" collapsed="false">
      <c r="A412" s="7" t="s">
        <v>7479</v>
      </c>
      <c r="B412" s="7" t="s">
        <v>7480</v>
      </c>
      <c r="C412" s="7" t="s">
        <v>7481</v>
      </c>
      <c r="D412" s="7" t="s">
        <v>7482</v>
      </c>
      <c r="E412" s="7" t="n">
        <v>2022</v>
      </c>
      <c r="F412" s="8" t="s">
        <v>7483</v>
      </c>
      <c r="G412" s="6" t="s">
        <v>149</v>
      </c>
      <c r="H412" s="7"/>
      <c r="I412" s="7"/>
      <c r="J412" s="7"/>
      <c r="K412" s="7"/>
      <c r="L412" s="7"/>
      <c r="M412" s="7"/>
      <c r="N412" s="7"/>
      <c r="O412" s="7"/>
      <c r="P412" s="7" t="s">
        <v>61</v>
      </c>
      <c r="Q412" s="7" t="s">
        <v>62</v>
      </c>
      <c r="R412" s="7" t="s">
        <v>7484</v>
      </c>
      <c r="S412" s="7" t="n">
        <v>46</v>
      </c>
      <c r="T412" s="7" t="s">
        <v>586</v>
      </c>
      <c r="U412" s="7" t="n">
        <v>2</v>
      </c>
      <c r="V412" s="7"/>
      <c r="W412" s="7" t="n">
        <v>395</v>
      </c>
      <c r="X412" s="7" t="n">
        <v>408</v>
      </c>
      <c r="Y412" s="7" t="n">
        <v>13</v>
      </c>
      <c r="Z412" s="7" t="s">
        <v>7485</v>
      </c>
      <c r="AA412" s="9" t="s">
        <v>7486</v>
      </c>
      <c r="AB412" s="7" t="s">
        <v>7487</v>
      </c>
      <c r="AC412" s="7" t="s">
        <v>7488</v>
      </c>
      <c r="AD412" s="7" t="s">
        <v>7489</v>
      </c>
      <c r="AE412" s="7" t="s">
        <v>7490</v>
      </c>
      <c r="AF412" s="7"/>
      <c r="AG412" s="7"/>
      <c r="AH412" s="7"/>
      <c r="AI412" s="7"/>
      <c r="AJ412" s="10"/>
      <c r="AK412" s="7"/>
      <c r="AL412" s="7" t="s">
        <v>7491</v>
      </c>
      <c r="AM412" s="7" t="s">
        <v>7492</v>
      </c>
      <c r="AN412" s="7"/>
      <c r="AO412" s="7"/>
      <c r="AP412" s="7"/>
      <c r="AQ412" s="7"/>
      <c r="AR412" s="7"/>
      <c r="AS412" s="7"/>
      <c r="AT412" s="7" t="n">
        <v>9717196</v>
      </c>
      <c r="AU412" s="7"/>
      <c r="AV412" s="7"/>
      <c r="AW412" s="7"/>
      <c r="AX412" s="7" t="s">
        <v>7493</v>
      </c>
      <c r="AY412" s="7" t="s">
        <v>75</v>
      </c>
      <c r="AZ412" s="7" t="s">
        <v>409</v>
      </c>
      <c r="BA412" s="7" t="s">
        <v>76</v>
      </c>
      <c r="BB412" s="7" t="s">
        <v>7494</v>
      </c>
      <c r="BC412" s="7"/>
      <c r="BD412" s="7"/>
      <c r="BE412" s="7"/>
      <c r="BF412" s="7"/>
      <c r="BG412" s="7"/>
      <c r="BH412" s="7"/>
      <c r="BI412" s="7"/>
    </row>
    <row r="413" customFormat="false" ht="14.25" hidden="false" customHeight="true" outlineLevel="0" collapsed="false">
      <c r="A413" s="7" t="s">
        <v>7495</v>
      </c>
      <c r="B413" s="7" t="s">
        <v>7496</v>
      </c>
      <c r="C413" s="7" t="s">
        <v>7497</v>
      </c>
      <c r="D413" s="7" t="s">
        <v>7498</v>
      </c>
      <c r="E413" s="7" t="n">
        <v>2022</v>
      </c>
      <c r="F413" s="8" t="s">
        <v>7499</v>
      </c>
      <c r="G413" s="6" t="s">
        <v>149</v>
      </c>
      <c r="H413" s="7"/>
      <c r="I413" s="7"/>
      <c r="J413" s="7"/>
      <c r="K413" s="7"/>
      <c r="L413" s="7"/>
      <c r="M413" s="7"/>
      <c r="N413" s="7"/>
      <c r="O413" s="7"/>
      <c r="P413" s="7" t="s">
        <v>61</v>
      </c>
      <c r="Q413" s="7" t="s">
        <v>62</v>
      </c>
      <c r="R413" s="7" t="s">
        <v>150</v>
      </c>
      <c r="S413" s="7" t="n">
        <v>7</v>
      </c>
      <c r="T413" s="7" t="s">
        <v>151</v>
      </c>
      <c r="U413" s="7" t="n">
        <v>1</v>
      </c>
      <c r="V413" s="7"/>
      <c r="W413" s="7" t="n">
        <v>262</v>
      </c>
      <c r="X413" s="7" t="n">
        <v>276</v>
      </c>
      <c r="Y413" s="7" t="n">
        <v>14</v>
      </c>
      <c r="Z413" s="7" t="s">
        <v>7500</v>
      </c>
      <c r="AA413" s="9" t="s">
        <v>7501</v>
      </c>
      <c r="AB413" s="7" t="s">
        <v>7502</v>
      </c>
      <c r="AC413" s="7" t="s">
        <v>7503</v>
      </c>
      <c r="AD413" s="7" t="s">
        <v>7504</v>
      </c>
      <c r="AE413" s="7" t="s">
        <v>7505</v>
      </c>
      <c r="AF413" s="7"/>
      <c r="AG413" s="7"/>
      <c r="AH413" s="7"/>
      <c r="AI413" s="7"/>
      <c r="AJ413" s="10" t="s">
        <v>7506</v>
      </c>
      <c r="AK413" s="7" t="s">
        <v>7507</v>
      </c>
      <c r="AL413" s="7" t="s">
        <v>7508</v>
      </c>
      <c r="AM413" s="7" t="s">
        <v>7509</v>
      </c>
      <c r="AN413" s="7"/>
      <c r="AO413" s="7"/>
      <c r="AP413" s="7"/>
      <c r="AQ413" s="7"/>
      <c r="AR413" s="7"/>
      <c r="AS413" s="7"/>
      <c r="AT413" s="7" t="n">
        <v>24680427</v>
      </c>
      <c r="AU413" s="7"/>
      <c r="AV413" s="7"/>
      <c r="AW413" s="7"/>
      <c r="AX413" s="7" t="s">
        <v>162</v>
      </c>
      <c r="AY413" s="7" t="s">
        <v>75</v>
      </c>
      <c r="AZ413" s="7" t="s">
        <v>107</v>
      </c>
      <c r="BA413" s="7" t="s">
        <v>76</v>
      </c>
      <c r="BB413" s="7" t="s">
        <v>7510</v>
      </c>
      <c r="BC413" s="7"/>
      <c r="BD413" s="7"/>
      <c r="BE413" s="7"/>
      <c r="BF413" s="7"/>
      <c r="BG413" s="7"/>
      <c r="BH413" s="7"/>
      <c r="BI413" s="7"/>
    </row>
    <row r="414" customFormat="false" ht="14.25" hidden="false" customHeight="true" outlineLevel="0" collapsed="false">
      <c r="A414" s="7" t="s">
        <v>7511</v>
      </c>
      <c r="B414" s="7" t="s">
        <v>7512</v>
      </c>
      <c r="C414" s="7" t="n">
        <v>59153856900</v>
      </c>
      <c r="D414" s="7" t="s">
        <v>7513</v>
      </c>
      <c r="E414" s="7" t="n">
        <v>2022</v>
      </c>
      <c r="F414" s="8" t="s">
        <v>7514</v>
      </c>
      <c r="G414" s="6" t="s">
        <v>149</v>
      </c>
      <c r="H414" s="7"/>
      <c r="I414" s="7"/>
      <c r="J414" s="7"/>
      <c r="K414" s="7"/>
      <c r="L414" s="7"/>
      <c r="M414" s="7"/>
      <c r="N414" s="7"/>
      <c r="O414" s="7"/>
      <c r="P414" s="7" t="s">
        <v>61</v>
      </c>
      <c r="Q414" s="7" t="s">
        <v>62</v>
      </c>
      <c r="R414" s="7" t="s">
        <v>114</v>
      </c>
      <c r="S414" s="7" t="n">
        <v>19</v>
      </c>
      <c r="T414" s="7" t="s">
        <v>4048</v>
      </c>
      <c r="U414" s="7" t="n">
        <v>20</v>
      </c>
      <c r="V414" s="7" t="n">
        <v>13555</v>
      </c>
      <c r="W414" s="7"/>
      <c r="X414" s="7"/>
      <c r="Y414" s="7"/>
      <c r="Z414" s="7" t="s">
        <v>7515</v>
      </c>
      <c r="AA414" s="9" t="s">
        <v>7516</v>
      </c>
      <c r="AB414" s="7" t="s">
        <v>7517</v>
      </c>
      <c r="AC414" s="7" t="s">
        <v>7518</v>
      </c>
      <c r="AD414" s="7" t="s">
        <v>7519</v>
      </c>
      <c r="AE414" s="7" t="s">
        <v>7520</v>
      </c>
      <c r="AF414" s="7"/>
      <c r="AG414" s="7"/>
      <c r="AH414" s="7"/>
      <c r="AI414" s="7"/>
      <c r="AJ414" s="10" t="s">
        <v>7521</v>
      </c>
      <c r="AK414" s="7" t="s">
        <v>7522</v>
      </c>
      <c r="AL414" s="7" t="s">
        <v>7523</v>
      </c>
      <c r="AM414" s="7" t="s">
        <v>7524</v>
      </c>
      <c r="AN414" s="7"/>
      <c r="AO414" s="7"/>
      <c r="AP414" s="7"/>
      <c r="AQ414" s="7"/>
      <c r="AR414" s="7"/>
      <c r="AS414" s="7"/>
      <c r="AT414" s="7" t="n">
        <v>16617827</v>
      </c>
      <c r="AU414" s="7"/>
      <c r="AV414" s="7"/>
      <c r="AW414" s="7" t="n">
        <v>36294134</v>
      </c>
      <c r="AX414" s="7" t="s">
        <v>126</v>
      </c>
      <c r="AY414" s="7" t="s">
        <v>75</v>
      </c>
      <c r="AZ414" s="7" t="s">
        <v>107</v>
      </c>
      <c r="BA414" s="7" t="s">
        <v>76</v>
      </c>
      <c r="BB414" s="7" t="s">
        <v>7525</v>
      </c>
      <c r="BC414" s="7"/>
      <c r="BD414" s="7"/>
      <c r="BE414" s="7"/>
      <c r="BF414" s="7"/>
      <c r="BG414" s="7"/>
      <c r="BH414" s="7"/>
      <c r="BI414" s="7"/>
    </row>
    <row r="415" customFormat="false" ht="14.25" hidden="false" customHeight="true" outlineLevel="0" collapsed="false">
      <c r="A415" s="7" t="s">
        <v>7526</v>
      </c>
      <c r="B415" s="7" t="s">
        <v>7527</v>
      </c>
      <c r="C415" s="7" t="s">
        <v>7528</v>
      </c>
      <c r="D415" s="7" t="s">
        <v>7529</v>
      </c>
      <c r="E415" s="7" t="n">
        <v>2022</v>
      </c>
      <c r="F415" s="8" t="s">
        <v>7530</v>
      </c>
      <c r="G415" s="6" t="s">
        <v>7531</v>
      </c>
      <c r="H415" s="7"/>
      <c r="I415" s="7"/>
      <c r="J415" s="7"/>
      <c r="K415" s="7"/>
      <c r="L415" s="7"/>
      <c r="M415" s="7"/>
      <c r="N415" s="7"/>
      <c r="O415" s="7"/>
      <c r="P415" s="7" t="s">
        <v>61</v>
      </c>
      <c r="Q415" s="7" t="s">
        <v>62</v>
      </c>
      <c r="R415" s="7" t="s">
        <v>1720</v>
      </c>
      <c r="S415" s="7" t="n">
        <v>12</v>
      </c>
      <c r="T415" s="7" t="s">
        <v>749</v>
      </c>
      <c r="U415" s="7" t="n">
        <v>1</v>
      </c>
      <c r="V415" s="7" t="n">
        <v>21150</v>
      </c>
      <c r="W415" s="7"/>
      <c r="X415" s="7"/>
      <c r="Y415" s="7"/>
      <c r="Z415" s="7" t="s">
        <v>7532</v>
      </c>
      <c r="AA415" s="9" t="s">
        <v>7533</v>
      </c>
      <c r="AB415" s="7" t="s">
        <v>7534</v>
      </c>
      <c r="AC415" s="7" t="s">
        <v>7535</v>
      </c>
      <c r="AD415" s="7"/>
      <c r="AE415" s="7" t="s">
        <v>7536</v>
      </c>
      <c r="AF415" s="7"/>
      <c r="AG415" s="7"/>
      <c r="AH415" s="7"/>
      <c r="AI415" s="7"/>
      <c r="AJ415" s="10" t="s">
        <v>7537</v>
      </c>
      <c r="AK415" s="7" t="s">
        <v>7538</v>
      </c>
      <c r="AL415" s="7" t="s">
        <v>7539</v>
      </c>
      <c r="AM415" s="7" t="s">
        <v>7540</v>
      </c>
      <c r="AN415" s="7"/>
      <c r="AO415" s="7"/>
      <c r="AP415" s="7"/>
      <c r="AQ415" s="7"/>
      <c r="AR415" s="7"/>
      <c r="AS415" s="7"/>
      <c r="AT415" s="7" t="n">
        <v>20452322</v>
      </c>
      <c r="AU415" s="7"/>
      <c r="AV415" s="7"/>
      <c r="AW415" s="7" t="n">
        <v>36476815</v>
      </c>
      <c r="AX415" s="7" t="s">
        <v>1729</v>
      </c>
      <c r="AY415" s="7" t="s">
        <v>75</v>
      </c>
      <c r="AZ415" s="7" t="s">
        <v>107</v>
      </c>
      <c r="BA415" s="7" t="s">
        <v>76</v>
      </c>
      <c r="BB415" s="7" t="s">
        <v>7541</v>
      </c>
      <c r="BC415" s="7"/>
      <c r="BD415" s="7"/>
      <c r="BE415" s="7"/>
      <c r="BF415" s="7"/>
      <c r="BG415" s="7"/>
      <c r="BH415" s="7"/>
      <c r="BI415" s="7"/>
    </row>
    <row r="416" customFormat="false" ht="14.25" hidden="false" customHeight="true" outlineLevel="0" collapsed="false">
      <c r="A416" s="7" t="s">
        <v>7542</v>
      </c>
      <c r="B416" s="7" t="s">
        <v>7543</v>
      </c>
      <c r="C416" s="7" t="s">
        <v>7544</v>
      </c>
      <c r="D416" s="7" t="s">
        <v>7545</v>
      </c>
      <c r="E416" s="7" t="n">
        <v>2022</v>
      </c>
      <c r="F416" s="8" t="s">
        <v>7546</v>
      </c>
      <c r="G416" s="6" t="s">
        <v>393</v>
      </c>
      <c r="H416" s="7"/>
      <c r="I416" s="7"/>
      <c r="J416" s="7"/>
      <c r="K416" s="7"/>
      <c r="L416" s="7"/>
      <c r="M416" s="7"/>
      <c r="N416" s="7"/>
      <c r="O416" s="7"/>
      <c r="P416" s="7" t="s">
        <v>61</v>
      </c>
      <c r="Q416" s="7" t="s">
        <v>62</v>
      </c>
      <c r="R416" s="7" t="s">
        <v>7547</v>
      </c>
      <c r="S416" s="7" t="n">
        <v>107</v>
      </c>
      <c r="T416" s="7" t="s">
        <v>7548</v>
      </c>
      <c r="U416" s="7" t="n">
        <v>7</v>
      </c>
      <c r="V416" s="7"/>
      <c r="W416" s="7" t="n">
        <v>1589</v>
      </c>
      <c r="X416" s="7" t="n">
        <v>1598</v>
      </c>
      <c r="Y416" s="7" t="n">
        <v>9</v>
      </c>
      <c r="Z416" s="7" t="s">
        <v>7549</v>
      </c>
      <c r="AA416" s="9" t="s">
        <v>7550</v>
      </c>
      <c r="AB416" s="7" t="s">
        <v>7551</v>
      </c>
      <c r="AC416" s="7" t="s">
        <v>7552</v>
      </c>
      <c r="AD416" s="7"/>
      <c r="AE416" s="7" t="s">
        <v>7553</v>
      </c>
      <c r="AF416" s="7"/>
      <c r="AG416" s="7" t="s">
        <v>7554</v>
      </c>
      <c r="AH416" s="7"/>
      <c r="AI416" s="7"/>
      <c r="AJ416" s="10" t="s">
        <v>7555</v>
      </c>
      <c r="AK416" s="7" t="s">
        <v>7556</v>
      </c>
      <c r="AL416" s="7" t="s">
        <v>7557</v>
      </c>
      <c r="AM416" s="7" t="s">
        <v>7558</v>
      </c>
      <c r="AN416" s="7"/>
      <c r="AO416" s="7"/>
      <c r="AP416" s="7"/>
      <c r="AQ416" s="7"/>
      <c r="AR416" s="7"/>
      <c r="AS416" s="7"/>
      <c r="AT416" s="7" t="n">
        <v>3906078</v>
      </c>
      <c r="AU416" s="7"/>
      <c r="AV416" s="7" t="s">
        <v>7559</v>
      </c>
      <c r="AW416" s="7" t="n">
        <v>34498446</v>
      </c>
      <c r="AX416" s="7" t="s">
        <v>7547</v>
      </c>
      <c r="AY416" s="7" t="s">
        <v>75</v>
      </c>
      <c r="AZ416" s="7" t="s">
        <v>107</v>
      </c>
      <c r="BA416" s="7" t="s">
        <v>76</v>
      </c>
      <c r="BB416" s="7" t="s">
        <v>7560</v>
      </c>
      <c r="BC416" s="7"/>
      <c r="BD416" s="7"/>
      <c r="BE416" s="7"/>
      <c r="BF416" s="7"/>
      <c r="BG416" s="7"/>
      <c r="BH416" s="7"/>
      <c r="BI416" s="7"/>
    </row>
    <row r="417" customFormat="false" ht="14.25" hidden="false" customHeight="true" outlineLevel="0" collapsed="false">
      <c r="A417" s="7" t="s">
        <v>7561</v>
      </c>
      <c r="B417" s="7" t="s">
        <v>7562</v>
      </c>
      <c r="C417" s="7" t="s">
        <v>7563</v>
      </c>
      <c r="D417" s="7" t="s">
        <v>7564</v>
      </c>
      <c r="E417" s="7" t="n">
        <v>2022</v>
      </c>
      <c r="F417" s="8" t="s">
        <v>7565</v>
      </c>
      <c r="G417" s="6" t="s">
        <v>713</v>
      </c>
      <c r="H417" s="7"/>
      <c r="I417" s="7"/>
      <c r="J417" s="7"/>
      <c r="K417" s="7"/>
      <c r="L417" s="7"/>
      <c r="M417" s="7"/>
      <c r="N417" s="7"/>
      <c r="O417" s="7"/>
      <c r="P417" s="7" t="s">
        <v>61</v>
      </c>
      <c r="Q417" s="7" t="s">
        <v>62</v>
      </c>
      <c r="R417" s="7" t="s">
        <v>7566</v>
      </c>
      <c r="S417" s="7" t="n">
        <v>20</v>
      </c>
      <c r="T417" s="7" t="s">
        <v>903</v>
      </c>
      <c r="U417" s="7" t="n">
        <v>1</v>
      </c>
      <c r="V417" s="7" t="n">
        <v>231</v>
      </c>
      <c r="W417" s="7"/>
      <c r="X417" s="7"/>
      <c r="Y417" s="7"/>
      <c r="Z417" s="7" t="s">
        <v>7567</v>
      </c>
      <c r="AA417" s="9" t="s">
        <v>7568</v>
      </c>
      <c r="AB417" s="7" t="s">
        <v>7569</v>
      </c>
      <c r="AC417" s="7" t="s">
        <v>7570</v>
      </c>
      <c r="AD417" s="7" t="s">
        <v>7571</v>
      </c>
      <c r="AE417" s="7" t="s">
        <v>7572</v>
      </c>
      <c r="AF417" s="7"/>
      <c r="AG417" s="7" t="s">
        <v>7573</v>
      </c>
      <c r="AH417" s="7"/>
      <c r="AI417" s="7"/>
      <c r="AJ417" s="10" t="s">
        <v>7574</v>
      </c>
      <c r="AK417" s="7" t="s">
        <v>7575</v>
      </c>
      <c r="AL417" s="7" t="s">
        <v>7576</v>
      </c>
      <c r="AM417" s="7" t="s">
        <v>7577</v>
      </c>
      <c r="AN417" s="7"/>
      <c r="AO417" s="7"/>
      <c r="AP417" s="7"/>
      <c r="AQ417" s="7"/>
      <c r="AR417" s="7"/>
      <c r="AS417" s="7"/>
      <c r="AT417" s="7" t="n">
        <v>14773155</v>
      </c>
      <c r="AU417" s="7"/>
      <c r="AV417" s="7" t="s">
        <v>7578</v>
      </c>
      <c r="AW417" s="7" t="n">
        <v>35568912</v>
      </c>
      <c r="AX417" s="7" t="s">
        <v>7579</v>
      </c>
      <c r="AY417" s="7" t="s">
        <v>75</v>
      </c>
      <c r="AZ417" s="7" t="s">
        <v>107</v>
      </c>
      <c r="BA417" s="7" t="s">
        <v>76</v>
      </c>
      <c r="BB417" s="7" t="s">
        <v>7580</v>
      </c>
      <c r="BC417" s="7"/>
      <c r="BD417" s="7"/>
      <c r="BE417" s="7"/>
      <c r="BF417" s="7"/>
      <c r="BG417" s="7"/>
      <c r="BH417" s="7"/>
      <c r="BI417" s="7"/>
    </row>
    <row r="418" customFormat="false" ht="14.25" hidden="false" customHeight="true" outlineLevel="0" collapsed="false">
      <c r="A418" s="7" t="s">
        <v>7581</v>
      </c>
      <c r="B418" s="7" t="s">
        <v>7582</v>
      </c>
      <c r="C418" s="7" t="s">
        <v>7583</v>
      </c>
      <c r="D418" s="7" t="s">
        <v>7584</v>
      </c>
      <c r="E418" s="7" t="n">
        <v>2022</v>
      </c>
      <c r="F418" s="8" t="s">
        <v>7585</v>
      </c>
      <c r="G418" s="6" t="s">
        <v>169</v>
      </c>
      <c r="H418" s="7"/>
      <c r="I418" s="7"/>
      <c r="J418" s="7"/>
      <c r="K418" s="7"/>
      <c r="L418" s="7"/>
      <c r="M418" s="7"/>
      <c r="N418" s="7"/>
      <c r="O418" s="7"/>
      <c r="P418" s="7" t="s">
        <v>61</v>
      </c>
      <c r="Q418" s="7" t="s">
        <v>62</v>
      </c>
      <c r="R418" s="7" t="s">
        <v>7586</v>
      </c>
      <c r="S418" s="7" t="n">
        <v>77</v>
      </c>
      <c r="T418" s="7" t="s">
        <v>395</v>
      </c>
      <c r="U418" s="7" t="n">
        <v>11</v>
      </c>
      <c r="V418" s="7"/>
      <c r="W418" s="7" t="n">
        <v>3093</v>
      </c>
      <c r="X418" s="7" t="n">
        <v>3101</v>
      </c>
      <c r="Y418" s="7" t="n">
        <v>8</v>
      </c>
      <c r="Z418" s="7" t="s">
        <v>7587</v>
      </c>
      <c r="AA418" s="9" t="s">
        <v>7588</v>
      </c>
      <c r="AB418" s="7" t="s">
        <v>7589</v>
      </c>
      <c r="AC418" s="7" t="s">
        <v>7590</v>
      </c>
      <c r="AD418" s="7"/>
      <c r="AE418" s="7" t="s">
        <v>7591</v>
      </c>
      <c r="AF418" s="7"/>
      <c r="AG418" s="7" t="s">
        <v>7592</v>
      </c>
      <c r="AH418" s="7" t="s">
        <v>7593</v>
      </c>
      <c r="AI418" s="7" t="s">
        <v>7594</v>
      </c>
      <c r="AJ418" s="10" t="s">
        <v>7595</v>
      </c>
      <c r="AK418" s="7" t="s">
        <v>7596</v>
      </c>
      <c r="AL418" s="7" t="s">
        <v>7597</v>
      </c>
      <c r="AM418" s="7" t="s">
        <v>7598</v>
      </c>
      <c r="AN418" s="7"/>
      <c r="AO418" s="7"/>
      <c r="AP418" s="7"/>
      <c r="AQ418" s="7"/>
      <c r="AR418" s="7"/>
      <c r="AS418" s="7"/>
      <c r="AT418" s="7" t="n">
        <v>3057453</v>
      </c>
      <c r="AU418" s="7"/>
      <c r="AV418" s="7" t="s">
        <v>7599</v>
      </c>
      <c r="AW418" s="7" t="n">
        <v>36031792</v>
      </c>
      <c r="AX418" s="7" t="s">
        <v>7600</v>
      </c>
      <c r="AY418" s="7" t="s">
        <v>75</v>
      </c>
      <c r="AZ418" s="7" t="s">
        <v>409</v>
      </c>
      <c r="BA418" s="7" t="s">
        <v>76</v>
      </c>
      <c r="BB418" s="7" t="s">
        <v>7601</v>
      </c>
      <c r="BC418" s="7"/>
      <c r="BD418" s="7"/>
      <c r="BE418" s="7"/>
      <c r="BF418" s="7"/>
      <c r="BG418" s="7"/>
      <c r="BH418" s="7"/>
      <c r="BI418" s="7"/>
    </row>
    <row r="419" customFormat="false" ht="14.25" hidden="false" customHeight="true" outlineLevel="0" collapsed="false">
      <c r="A419" s="7" t="s">
        <v>7602</v>
      </c>
      <c r="B419" s="7" t="s">
        <v>7603</v>
      </c>
      <c r="C419" s="7" t="s">
        <v>7604</v>
      </c>
      <c r="D419" s="7" t="s">
        <v>7605</v>
      </c>
      <c r="E419" s="7" t="n">
        <v>2022</v>
      </c>
      <c r="F419" s="8" t="s">
        <v>7606</v>
      </c>
      <c r="G419" s="6" t="s">
        <v>713</v>
      </c>
      <c r="H419" s="7"/>
      <c r="I419" s="7"/>
      <c r="J419" s="7"/>
      <c r="K419" s="7"/>
      <c r="L419" s="7"/>
      <c r="M419" s="7"/>
      <c r="N419" s="7"/>
      <c r="O419" s="7"/>
      <c r="P419" s="7" t="s">
        <v>61</v>
      </c>
      <c r="Q419" s="7" t="s">
        <v>62</v>
      </c>
      <c r="R419" s="7" t="s">
        <v>7607</v>
      </c>
      <c r="S419" s="7" t="n">
        <v>78</v>
      </c>
      <c r="T419" s="7" t="s">
        <v>64</v>
      </c>
      <c r="U419" s="7"/>
      <c r="V419" s="7" t="n">
        <v>103882</v>
      </c>
      <c r="W419" s="7"/>
      <c r="X419" s="7"/>
      <c r="Y419" s="7"/>
      <c r="Z419" s="7" t="s">
        <v>7608</v>
      </c>
      <c r="AA419" s="9" t="s">
        <v>7609</v>
      </c>
      <c r="AB419" s="7" t="s">
        <v>7610</v>
      </c>
      <c r="AC419" s="7" t="s">
        <v>7611</v>
      </c>
      <c r="AD419" s="7" t="s">
        <v>7612</v>
      </c>
      <c r="AE419" s="7" t="s">
        <v>7613</v>
      </c>
      <c r="AF419" s="7"/>
      <c r="AG419" s="7"/>
      <c r="AH419" s="7"/>
      <c r="AI419" s="7"/>
      <c r="AJ419" s="10"/>
      <c r="AK419" s="7"/>
      <c r="AL419" s="7" t="s">
        <v>7614</v>
      </c>
      <c r="AM419" s="7" t="s">
        <v>7615</v>
      </c>
      <c r="AN419" s="7"/>
      <c r="AO419" s="7"/>
      <c r="AP419" s="7"/>
      <c r="AQ419" s="7"/>
      <c r="AR419" s="7"/>
      <c r="AS419" s="7"/>
      <c r="AT419" s="7" t="n">
        <v>17468094</v>
      </c>
      <c r="AU419" s="7"/>
      <c r="AV419" s="7"/>
      <c r="AW419" s="7"/>
      <c r="AX419" s="7" t="s">
        <v>7616</v>
      </c>
      <c r="AY419" s="7" t="s">
        <v>75</v>
      </c>
      <c r="AZ419" s="7"/>
      <c r="BA419" s="7" t="s">
        <v>76</v>
      </c>
      <c r="BB419" s="7" t="s">
        <v>7617</v>
      </c>
      <c r="BC419" s="7"/>
      <c r="BD419" s="7"/>
      <c r="BE419" s="7"/>
      <c r="BF419" s="7"/>
      <c r="BG419" s="7"/>
      <c r="BH419" s="7"/>
      <c r="BI419" s="7"/>
    </row>
    <row r="420" customFormat="false" ht="14.25" hidden="false" customHeight="true" outlineLevel="0" collapsed="false">
      <c r="A420" s="7" t="s">
        <v>7618</v>
      </c>
      <c r="B420" s="7" t="s">
        <v>7619</v>
      </c>
      <c r="C420" s="7" t="s">
        <v>7620</v>
      </c>
      <c r="D420" s="7" t="s">
        <v>7621</v>
      </c>
      <c r="E420" s="7" t="n">
        <v>2022</v>
      </c>
      <c r="F420" s="8" t="s">
        <v>7622</v>
      </c>
      <c r="G420" s="6" t="s">
        <v>1686</v>
      </c>
      <c r="H420" s="7"/>
      <c r="I420" s="7"/>
      <c r="J420" s="7"/>
      <c r="K420" s="7"/>
      <c r="L420" s="7"/>
      <c r="M420" s="7"/>
      <c r="N420" s="7"/>
      <c r="O420" s="7"/>
      <c r="P420" s="7" t="s">
        <v>61</v>
      </c>
      <c r="Q420" s="7" t="s">
        <v>62</v>
      </c>
      <c r="R420" s="7" t="s">
        <v>7623</v>
      </c>
      <c r="S420" s="7" t="n">
        <v>10</v>
      </c>
      <c r="T420" s="7" t="s">
        <v>4048</v>
      </c>
      <c r="U420" s="7" t="n">
        <v>12</v>
      </c>
      <c r="V420" s="7" t="n">
        <v>1985</v>
      </c>
      <c r="W420" s="7"/>
      <c r="X420" s="7"/>
      <c r="Y420" s="7"/>
      <c r="Z420" s="7" t="s">
        <v>7624</v>
      </c>
      <c r="AA420" s="9" t="s">
        <v>7625</v>
      </c>
      <c r="AB420" s="7" t="s">
        <v>7626</v>
      </c>
      <c r="AC420" s="7" t="s">
        <v>7627</v>
      </c>
      <c r="AD420" s="7" t="s">
        <v>7628</v>
      </c>
      <c r="AE420" s="7" t="s">
        <v>7629</v>
      </c>
      <c r="AF420" s="7"/>
      <c r="AG420" s="7"/>
      <c r="AH420" s="7"/>
      <c r="AI420" s="7"/>
      <c r="AJ420" s="10"/>
      <c r="AK420" s="7"/>
      <c r="AL420" s="7" t="s">
        <v>7630</v>
      </c>
      <c r="AM420" s="7" t="s">
        <v>7631</v>
      </c>
      <c r="AN420" s="7"/>
      <c r="AO420" s="7"/>
      <c r="AP420" s="7"/>
      <c r="AQ420" s="7"/>
      <c r="AR420" s="7"/>
      <c r="AS420" s="7"/>
      <c r="AT420" s="7" t="s">
        <v>7632</v>
      </c>
      <c r="AU420" s="7"/>
      <c r="AV420" s="7"/>
      <c r="AW420" s="7"/>
      <c r="AX420" s="7" t="s">
        <v>7623</v>
      </c>
      <c r="AY420" s="7" t="s">
        <v>75</v>
      </c>
      <c r="AZ420" s="7" t="s">
        <v>107</v>
      </c>
      <c r="BA420" s="7" t="s">
        <v>76</v>
      </c>
      <c r="BB420" s="7" t="s">
        <v>7633</v>
      </c>
      <c r="BC420" s="7"/>
      <c r="BD420" s="7"/>
      <c r="BE420" s="7"/>
      <c r="BF420" s="7"/>
      <c r="BG420" s="7"/>
      <c r="BH420" s="7"/>
      <c r="BI420" s="7"/>
    </row>
    <row r="421" customFormat="false" ht="14.25" hidden="false" customHeight="true" outlineLevel="0" collapsed="false">
      <c r="A421" s="7" t="s">
        <v>7634</v>
      </c>
      <c r="B421" s="7" t="s">
        <v>7635</v>
      </c>
      <c r="C421" s="7" t="s">
        <v>7636</v>
      </c>
      <c r="D421" s="7" t="s">
        <v>7637</v>
      </c>
      <c r="E421" s="7" t="n">
        <v>2022</v>
      </c>
      <c r="F421" s="8" t="s">
        <v>7638</v>
      </c>
      <c r="G421" s="6" t="s">
        <v>349</v>
      </c>
      <c r="H421" s="7"/>
      <c r="I421" s="7"/>
      <c r="J421" s="7"/>
      <c r="K421" s="7"/>
      <c r="L421" s="7"/>
      <c r="M421" s="7"/>
      <c r="N421" s="7"/>
      <c r="O421" s="7"/>
      <c r="P421" s="7" t="s">
        <v>61</v>
      </c>
      <c r="Q421" s="7" t="s">
        <v>62</v>
      </c>
      <c r="R421" s="7" t="s">
        <v>1720</v>
      </c>
      <c r="S421" s="7" t="n">
        <v>12</v>
      </c>
      <c r="T421" s="7" t="s">
        <v>749</v>
      </c>
      <c r="U421" s="7" t="n">
        <v>1</v>
      </c>
      <c r="V421" s="7" t="n">
        <v>5982</v>
      </c>
      <c r="W421" s="7"/>
      <c r="X421" s="7"/>
      <c r="Y421" s="7"/>
      <c r="Z421" s="7" t="s">
        <v>7639</v>
      </c>
      <c r="AA421" s="9" t="s">
        <v>7640</v>
      </c>
      <c r="AB421" s="7" t="s">
        <v>7641</v>
      </c>
      <c r="AC421" s="7" t="s">
        <v>7642</v>
      </c>
      <c r="AD421" s="7"/>
      <c r="AE421" s="7" t="s">
        <v>7643</v>
      </c>
      <c r="AF421" s="7"/>
      <c r="AG421" s="7" t="s">
        <v>7644</v>
      </c>
      <c r="AH421" s="7"/>
      <c r="AI421" s="7"/>
      <c r="AJ421" s="10"/>
      <c r="AK421" s="7"/>
      <c r="AL421" s="7" t="s">
        <v>7645</v>
      </c>
      <c r="AM421" s="7" t="s">
        <v>7646</v>
      </c>
      <c r="AN421" s="7"/>
      <c r="AO421" s="7"/>
      <c r="AP421" s="7"/>
      <c r="AQ421" s="7"/>
      <c r="AR421" s="7"/>
      <c r="AS421" s="7"/>
      <c r="AT421" s="7" t="n">
        <v>20452322</v>
      </c>
      <c r="AU421" s="7"/>
      <c r="AV421" s="7"/>
      <c r="AW421" s="7" t="n">
        <v>35396564</v>
      </c>
      <c r="AX421" s="7" t="s">
        <v>1729</v>
      </c>
      <c r="AY421" s="7" t="s">
        <v>75</v>
      </c>
      <c r="AZ421" s="7" t="s">
        <v>107</v>
      </c>
      <c r="BA421" s="7" t="s">
        <v>76</v>
      </c>
      <c r="BB421" s="7" t="s">
        <v>7647</v>
      </c>
      <c r="BC421" s="7"/>
      <c r="BD421" s="7"/>
      <c r="BE421" s="7"/>
      <c r="BF421" s="7"/>
      <c r="BG421" s="7"/>
      <c r="BH421" s="7"/>
      <c r="BI421" s="7"/>
    </row>
    <row r="422" customFormat="false" ht="14.25" hidden="false" customHeight="true" outlineLevel="0" collapsed="false">
      <c r="A422" s="7" t="s">
        <v>7648</v>
      </c>
      <c r="B422" s="7" t="s">
        <v>7649</v>
      </c>
      <c r="C422" s="7" t="s">
        <v>7650</v>
      </c>
      <c r="D422" s="7" t="s">
        <v>7651</v>
      </c>
      <c r="E422" s="7" t="n">
        <v>2022</v>
      </c>
      <c r="F422" s="8" t="s">
        <v>7652</v>
      </c>
      <c r="G422" s="6" t="s">
        <v>149</v>
      </c>
      <c r="H422" s="7"/>
      <c r="I422" s="7"/>
      <c r="J422" s="7"/>
      <c r="K422" s="7"/>
      <c r="L422" s="7"/>
      <c r="M422" s="7"/>
      <c r="N422" s="7"/>
      <c r="O422" s="7"/>
      <c r="P422" s="7" t="s">
        <v>61</v>
      </c>
      <c r="Q422" s="7" t="s">
        <v>62</v>
      </c>
      <c r="R422" s="7" t="s">
        <v>1913</v>
      </c>
      <c r="S422" s="7" t="n">
        <v>235</v>
      </c>
      <c r="T422" s="7" t="s">
        <v>202</v>
      </c>
      <c r="U422" s="7"/>
      <c r="V422" s="7" t="n">
        <v>106657</v>
      </c>
      <c r="W422" s="7"/>
      <c r="X422" s="7"/>
      <c r="Y422" s="7"/>
      <c r="Z422" s="7" t="s">
        <v>7653</v>
      </c>
      <c r="AA422" s="9" t="s">
        <v>7654</v>
      </c>
      <c r="AB422" s="7" t="s">
        <v>7655</v>
      </c>
      <c r="AC422" s="7" t="s">
        <v>7656</v>
      </c>
      <c r="AD422" s="7" t="s">
        <v>7657</v>
      </c>
      <c r="AE422" s="7" t="s">
        <v>7658</v>
      </c>
      <c r="AF422" s="7"/>
      <c r="AG422" s="7"/>
      <c r="AH422" s="7"/>
      <c r="AI422" s="7"/>
      <c r="AJ422" s="10" t="s">
        <v>7659</v>
      </c>
      <c r="AK422" s="7" t="s">
        <v>7660</v>
      </c>
      <c r="AL422" s="7" t="s">
        <v>7661</v>
      </c>
      <c r="AM422" s="7" t="s">
        <v>7662</v>
      </c>
      <c r="AN422" s="7"/>
      <c r="AO422" s="7"/>
      <c r="AP422" s="7"/>
      <c r="AQ422" s="7"/>
      <c r="AR422" s="7"/>
      <c r="AS422" s="7"/>
      <c r="AT422" s="7" t="s">
        <v>1924</v>
      </c>
      <c r="AU422" s="7"/>
      <c r="AV422" s="7" t="s">
        <v>1925</v>
      </c>
      <c r="AW422" s="7" t="n">
        <v>36029616</v>
      </c>
      <c r="AX422" s="7" t="s">
        <v>1926</v>
      </c>
      <c r="AY422" s="7" t="s">
        <v>75</v>
      </c>
      <c r="AZ422" s="7" t="s">
        <v>4371</v>
      </c>
      <c r="BA422" s="7" t="s">
        <v>76</v>
      </c>
      <c r="BB422" s="7" t="s">
        <v>7663</v>
      </c>
      <c r="BC422" s="7"/>
      <c r="BD422" s="7"/>
      <c r="BE422" s="7"/>
      <c r="BF422" s="7"/>
      <c r="BG422" s="7"/>
      <c r="BH422" s="7"/>
      <c r="BI422" s="7"/>
    </row>
    <row r="423" customFormat="false" ht="14.25" hidden="false" customHeight="true" outlineLevel="0" collapsed="false">
      <c r="A423" s="7" t="s">
        <v>7664</v>
      </c>
      <c r="B423" s="7" t="s">
        <v>7665</v>
      </c>
      <c r="C423" s="7" t="s">
        <v>7666</v>
      </c>
      <c r="D423" s="7" t="s">
        <v>7667</v>
      </c>
      <c r="E423" s="7" t="n">
        <v>2022</v>
      </c>
      <c r="F423" s="8" t="s">
        <v>7668</v>
      </c>
      <c r="G423" s="6" t="s">
        <v>713</v>
      </c>
      <c r="H423" s="7"/>
      <c r="I423" s="7"/>
      <c r="J423" s="7"/>
      <c r="K423" s="7"/>
      <c r="L423" s="7"/>
      <c r="M423" s="7"/>
      <c r="N423" s="7"/>
      <c r="O423" s="7"/>
      <c r="P423" s="7" t="s">
        <v>61</v>
      </c>
      <c r="Q423" s="7" t="s">
        <v>62</v>
      </c>
      <c r="R423" s="7" t="s">
        <v>993</v>
      </c>
      <c r="S423" s="7" t="n">
        <v>17</v>
      </c>
      <c r="T423" s="7" t="s">
        <v>500</v>
      </c>
      <c r="U423" s="11" t="n">
        <v>45909</v>
      </c>
      <c r="V423" s="7" t="s">
        <v>7669</v>
      </c>
      <c r="W423" s="7"/>
      <c r="X423" s="7"/>
      <c r="Y423" s="7"/>
      <c r="Z423" s="7" t="s">
        <v>7670</v>
      </c>
      <c r="AA423" s="9" t="s">
        <v>7671</v>
      </c>
      <c r="AB423" s="7" t="s">
        <v>7672</v>
      </c>
      <c r="AC423" s="7" t="s">
        <v>7673</v>
      </c>
      <c r="AD423" s="7"/>
      <c r="AE423" s="7" t="s">
        <v>7674</v>
      </c>
      <c r="AF423" s="7"/>
      <c r="AG423" s="7" t="s">
        <v>7675</v>
      </c>
      <c r="AH423" s="7" t="s">
        <v>7676</v>
      </c>
      <c r="AI423" s="7" t="s">
        <v>7677</v>
      </c>
      <c r="AJ423" s="10"/>
      <c r="AK423" s="7"/>
      <c r="AL423" s="7" t="s">
        <v>7678</v>
      </c>
      <c r="AM423" s="7" t="s">
        <v>7679</v>
      </c>
      <c r="AN423" s="7"/>
      <c r="AO423" s="7"/>
      <c r="AP423" s="7"/>
      <c r="AQ423" s="7"/>
      <c r="AR423" s="7"/>
      <c r="AS423" s="7"/>
      <c r="AT423" s="7" t="n">
        <v>19326203</v>
      </c>
      <c r="AU423" s="7"/>
      <c r="AV423" s="7" t="s">
        <v>1007</v>
      </c>
      <c r="AW423" s="7" t="n">
        <v>36178962</v>
      </c>
      <c r="AX423" s="7" t="s">
        <v>993</v>
      </c>
      <c r="AY423" s="7" t="s">
        <v>75</v>
      </c>
      <c r="AZ423" s="7" t="s">
        <v>107</v>
      </c>
      <c r="BA423" s="7" t="s">
        <v>76</v>
      </c>
      <c r="BB423" s="7" t="s">
        <v>7680</v>
      </c>
      <c r="BC423" s="7"/>
      <c r="BD423" s="7"/>
      <c r="BE423" s="7"/>
      <c r="BF423" s="7"/>
      <c r="BG423" s="7"/>
      <c r="BH423" s="7"/>
      <c r="BI423" s="7"/>
    </row>
    <row r="424" customFormat="false" ht="14.25" hidden="false" customHeight="true" outlineLevel="0" collapsed="false">
      <c r="A424" s="7" t="s">
        <v>7681</v>
      </c>
      <c r="B424" s="7" t="s">
        <v>7682</v>
      </c>
      <c r="C424" s="7" t="s">
        <v>7683</v>
      </c>
      <c r="D424" s="7" t="s">
        <v>7684</v>
      </c>
      <c r="E424" s="7" t="n">
        <v>2022</v>
      </c>
      <c r="F424" s="8" t="s">
        <v>7685</v>
      </c>
      <c r="G424" s="6" t="s">
        <v>1686</v>
      </c>
      <c r="H424" s="7"/>
      <c r="I424" s="7"/>
      <c r="J424" s="7"/>
      <c r="K424" s="7"/>
      <c r="L424" s="7"/>
      <c r="M424" s="7"/>
      <c r="N424" s="7"/>
      <c r="O424" s="7"/>
      <c r="P424" s="7" t="s">
        <v>61</v>
      </c>
      <c r="Q424" s="7" t="s">
        <v>62</v>
      </c>
      <c r="R424" s="7" t="s">
        <v>7686</v>
      </c>
      <c r="S424" s="7" t="n">
        <v>8</v>
      </c>
      <c r="T424" s="7" t="s">
        <v>7687</v>
      </c>
      <c r="U424" s="7" t="n">
        <v>7</v>
      </c>
      <c r="V424" s="7" t="s">
        <v>7688</v>
      </c>
      <c r="W424" s="7"/>
      <c r="X424" s="7"/>
      <c r="Y424" s="7"/>
      <c r="Z424" s="7" t="s">
        <v>7689</v>
      </c>
      <c r="AA424" s="9" t="s">
        <v>7690</v>
      </c>
      <c r="AB424" s="7" t="s">
        <v>7691</v>
      </c>
      <c r="AC424" s="7" t="s">
        <v>7692</v>
      </c>
      <c r="AD424" s="7" t="s">
        <v>7693</v>
      </c>
      <c r="AE424" s="7" t="s">
        <v>7694</v>
      </c>
      <c r="AF424" s="7"/>
      <c r="AG424" s="7"/>
      <c r="AH424" s="7"/>
      <c r="AI424" s="7"/>
      <c r="AJ424" s="10" t="s">
        <v>7695</v>
      </c>
      <c r="AK424" s="7" t="s">
        <v>7696</v>
      </c>
      <c r="AL424" s="7" t="s">
        <v>7697</v>
      </c>
      <c r="AM424" s="7" t="s">
        <v>7698</v>
      </c>
      <c r="AN424" s="7"/>
      <c r="AO424" s="7"/>
      <c r="AP424" s="7"/>
      <c r="AQ424" s="7"/>
      <c r="AR424" s="7"/>
      <c r="AS424" s="7"/>
      <c r="AT424" s="7" t="n">
        <v>23692960</v>
      </c>
      <c r="AU424" s="7"/>
      <c r="AV424" s="7"/>
      <c r="AW424" s="7" t="n">
        <v>35830225</v>
      </c>
      <c r="AX424" s="7" t="s">
        <v>7699</v>
      </c>
      <c r="AY424" s="7" t="s">
        <v>75</v>
      </c>
      <c r="AZ424" s="7" t="s">
        <v>107</v>
      </c>
      <c r="BA424" s="7" t="s">
        <v>76</v>
      </c>
      <c r="BB424" s="7" t="s">
        <v>7700</v>
      </c>
      <c r="BC424" s="7"/>
      <c r="BD424" s="7"/>
      <c r="BE424" s="7"/>
      <c r="BF424" s="7"/>
      <c r="BG424" s="7"/>
      <c r="BH424" s="7"/>
      <c r="BI424" s="7"/>
    </row>
    <row r="425" customFormat="false" ht="14.25" hidden="false" customHeight="true" outlineLevel="0" collapsed="false">
      <c r="A425" s="7" t="s">
        <v>7701</v>
      </c>
      <c r="B425" s="7" t="s">
        <v>7702</v>
      </c>
      <c r="C425" s="7" t="s">
        <v>7703</v>
      </c>
      <c r="D425" s="7" t="s">
        <v>7704</v>
      </c>
      <c r="E425" s="7" t="n">
        <v>2022</v>
      </c>
      <c r="F425" s="8" t="s">
        <v>7705</v>
      </c>
      <c r="G425" s="6" t="s">
        <v>149</v>
      </c>
      <c r="H425" s="7"/>
      <c r="I425" s="7"/>
      <c r="J425" s="7"/>
      <c r="K425" s="7"/>
      <c r="L425" s="7"/>
      <c r="M425" s="7"/>
      <c r="N425" s="7"/>
      <c r="O425" s="7"/>
      <c r="P425" s="7" t="s">
        <v>61</v>
      </c>
      <c r="Q425" s="7" t="s">
        <v>62</v>
      </c>
      <c r="R425" s="7" t="s">
        <v>7706</v>
      </c>
      <c r="S425" s="7" t="n">
        <v>41</v>
      </c>
      <c r="T425" s="7" t="s">
        <v>258</v>
      </c>
      <c r="U425" s="7" t="n">
        <v>8</v>
      </c>
      <c r="V425" s="7" t="n">
        <v>393</v>
      </c>
      <c r="W425" s="7"/>
      <c r="X425" s="7"/>
      <c r="Y425" s="7"/>
      <c r="Z425" s="7" t="s">
        <v>7707</v>
      </c>
      <c r="AA425" s="9" t="s">
        <v>7708</v>
      </c>
      <c r="AB425" s="7" t="s">
        <v>7709</v>
      </c>
      <c r="AC425" s="7" t="s">
        <v>7710</v>
      </c>
      <c r="AD425" s="7" t="s">
        <v>7711</v>
      </c>
      <c r="AE425" s="7" t="s">
        <v>7712</v>
      </c>
      <c r="AF425" s="7"/>
      <c r="AG425" s="7"/>
      <c r="AH425" s="7"/>
      <c r="AI425" s="7"/>
      <c r="AJ425" s="10" t="s">
        <v>7713</v>
      </c>
      <c r="AK425" s="7" t="s">
        <v>7714</v>
      </c>
      <c r="AL425" s="7" t="s">
        <v>7715</v>
      </c>
      <c r="AM425" s="7" t="s">
        <v>7716</v>
      </c>
      <c r="AN425" s="7"/>
      <c r="AO425" s="7"/>
      <c r="AP425" s="7"/>
      <c r="AQ425" s="7"/>
      <c r="AR425" s="7"/>
      <c r="AS425" s="7"/>
      <c r="AT425" s="7" t="n">
        <v>22383603</v>
      </c>
      <c r="AU425" s="7"/>
      <c r="AV425" s="7"/>
      <c r="AW425" s="7"/>
      <c r="AX425" s="7" t="s">
        <v>7717</v>
      </c>
      <c r="AY425" s="7" t="s">
        <v>75</v>
      </c>
      <c r="AZ425" s="7" t="s">
        <v>4371</v>
      </c>
      <c r="BA425" s="7" t="s">
        <v>76</v>
      </c>
      <c r="BB425" s="7" t="s">
        <v>7718</v>
      </c>
      <c r="BC425" s="7"/>
      <c r="BD425" s="7"/>
      <c r="BE425" s="7"/>
      <c r="BF425" s="7"/>
      <c r="BG425" s="7"/>
      <c r="BH425" s="7"/>
      <c r="BI425" s="7"/>
    </row>
    <row r="426" customFormat="false" ht="14.25" hidden="false" customHeight="true" outlineLevel="0" collapsed="false">
      <c r="A426" s="7" t="s">
        <v>7719</v>
      </c>
      <c r="B426" s="7" t="s">
        <v>7720</v>
      </c>
      <c r="C426" s="7" t="s">
        <v>7721</v>
      </c>
      <c r="D426" s="7" t="s">
        <v>7722</v>
      </c>
      <c r="E426" s="7" t="n">
        <v>2022</v>
      </c>
      <c r="F426" s="8" t="s">
        <v>7723</v>
      </c>
      <c r="G426" s="6" t="s">
        <v>713</v>
      </c>
      <c r="H426" s="7"/>
      <c r="I426" s="7"/>
      <c r="J426" s="7"/>
      <c r="K426" s="7"/>
      <c r="L426" s="7"/>
      <c r="M426" s="7"/>
      <c r="N426" s="7"/>
      <c r="O426" s="7"/>
      <c r="P426" s="7" t="s">
        <v>61</v>
      </c>
      <c r="Q426" s="7" t="s">
        <v>62</v>
      </c>
      <c r="R426" s="7" t="s">
        <v>416</v>
      </c>
      <c r="S426" s="7" t="n">
        <v>11</v>
      </c>
      <c r="T426" s="7" t="s">
        <v>417</v>
      </c>
      <c r="U426" s="7" t="n">
        <v>6</v>
      </c>
      <c r="V426" s="7"/>
      <c r="W426" s="7" t="n">
        <v>3509</v>
      </c>
      <c r="X426" s="7" t="n">
        <v>3520</v>
      </c>
      <c r="Y426" s="7" t="n">
        <v>11</v>
      </c>
      <c r="Z426" s="7" t="s">
        <v>7724</v>
      </c>
      <c r="AA426" s="9" t="s">
        <v>7725</v>
      </c>
      <c r="AB426" s="7" t="s">
        <v>7726</v>
      </c>
      <c r="AC426" s="7" t="s">
        <v>7727</v>
      </c>
      <c r="AD426" s="7" t="s">
        <v>7728</v>
      </c>
      <c r="AE426" s="7"/>
      <c r="AF426" s="7"/>
      <c r="AG426" s="7"/>
      <c r="AH426" s="7"/>
      <c r="AI426" s="7"/>
      <c r="AJ426" s="10"/>
      <c r="AK426" s="7"/>
      <c r="AL426" s="7" t="s">
        <v>7729</v>
      </c>
      <c r="AM426" s="7" t="s">
        <v>7730</v>
      </c>
      <c r="AN426" s="7"/>
      <c r="AO426" s="7"/>
      <c r="AP426" s="7"/>
      <c r="AQ426" s="7"/>
      <c r="AR426" s="7"/>
      <c r="AS426" s="7"/>
      <c r="AT426" s="7" t="n">
        <v>20893191</v>
      </c>
      <c r="AU426" s="7"/>
      <c r="AV426" s="7"/>
      <c r="AW426" s="7"/>
      <c r="AX426" s="7" t="s">
        <v>425</v>
      </c>
      <c r="AY426" s="7" t="s">
        <v>75</v>
      </c>
      <c r="AZ426" s="7" t="s">
        <v>107</v>
      </c>
      <c r="BA426" s="7" t="s">
        <v>76</v>
      </c>
      <c r="BB426" s="7" t="s">
        <v>7731</v>
      </c>
      <c r="BC426" s="7"/>
      <c r="BD426" s="7"/>
      <c r="BE426" s="7"/>
      <c r="BF426" s="7"/>
      <c r="BG426" s="7"/>
      <c r="BH426" s="7"/>
      <c r="BI426" s="7"/>
    </row>
    <row r="427" customFormat="false" ht="14.25" hidden="false" customHeight="true" outlineLevel="0" collapsed="false">
      <c r="A427" s="7" t="s">
        <v>7732</v>
      </c>
      <c r="B427" s="7" t="s">
        <v>7733</v>
      </c>
      <c r="C427" s="7" t="s">
        <v>7734</v>
      </c>
      <c r="D427" s="7" t="s">
        <v>7735</v>
      </c>
      <c r="E427" s="7" t="n">
        <v>2022</v>
      </c>
      <c r="F427" s="8" t="s">
        <v>7736</v>
      </c>
      <c r="G427" s="6" t="s">
        <v>713</v>
      </c>
      <c r="H427" s="7"/>
      <c r="I427" s="7"/>
      <c r="J427" s="7"/>
      <c r="K427" s="7"/>
      <c r="L427" s="7"/>
      <c r="M427" s="7"/>
      <c r="N427" s="7"/>
      <c r="O427" s="7"/>
      <c r="P427" s="7" t="s">
        <v>61</v>
      </c>
      <c r="Q427" s="7" t="s">
        <v>62</v>
      </c>
      <c r="R427" s="7" t="s">
        <v>7737</v>
      </c>
      <c r="S427" s="7" t="n">
        <v>11</v>
      </c>
      <c r="T427" s="7" t="s">
        <v>4048</v>
      </c>
      <c r="U427" s="7" t="n">
        <v>10</v>
      </c>
      <c r="V427" s="7" t="n">
        <v>1182</v>
      </c>
      <c r="W427" s="7"/>
      <c r="X427" s="7"/>
      <c r="Y427" s="7"/>
      <c r="Z427" s="7" t="s">
        <v>7738</v>
      </c>
      <c r="AA427" s="9" t="s">
        <v>7739</v>
      </c>
      <c r="AB427" s="7" t="s">
        <v>7740</v>
      </c>
      <c r="AC427" s="7" t="s">
        <v>7741</v>
      </c>
      <c r="AD427" s="7" t="s">
        <v>7742</v>
      </c>
      <c r="AE427" s="7" t="s">
        <v>7743</v>
      </c>
      <c r="AF427" s="7"/>
      <c r="AG427" s="7"/>
      <c r="AH427" s="7" t="s">
        <v>7744</v>
      </c>
      <c r="AI427" s="7" t="s">
        <v>7745</v>
      </c>
      <c r="AJ427" s="10" t="s">
        <v>7746</v>
      </c>
      <c r="AK427" s="7" t="s">
        <v>7747</v>
      </c>
      <c r="AL427" s="7" t="s">
        <v>7748</v>
      </c>
      <c r="AM427" s="7" t="s">
        <v>7749</v>
      </c>
      <c r="AN427" s="7"/>
      <c r="AO427" s="7"/>
      <c r="AP427" s="7"/>
      <c r="AQ427" s="7"/>
      <c r="AR427" s="7"/>
      <c r="AS427" s="7"/>
      <c r="AT427" s="7" t="n">
        <v>20760817</v>
      </c>
      <c r="AU427" s="7"/>
      <c r="AV427" s="7"/>
      <c r="AW427" s="7"/>
      <c r="AX427" s="7" t="s">
        <v>7737</v>
      </c>
      <c r="AY427" s="7" t="s">
        <v>75</v>
      </c>
      <c r="AZ427" s="7" t="s">
        <v>107</v>
      </c>
      <c r="BA427" s="7" t="s">
        <v>76</v>
      </c>
      <c r="BB427" s="7" t="s">
        <v>7750</v>
      </c>
      <c r="BC427" s="7"/>
      <c r="BD427" s="7"/>
      <c r="BE427" s="7"/>
      <c r="BF427" s="7"/>
      <c r="BG427" s="7"/>
      <c r="BH427" s="7"/>
      <c r="BI427" s="7"/>
    </row>
    <row r="428" customFormat="false" ht="14.25" hidden="false" customHeight="true" outlineLevel="0" collapsed="false">
      <c r="A428" s="7" t="s">
        <v>7751</v>
      </c>
      <c r="B428" s="7" t="s">
        <v>7752</v>
      </c>
      <c r="C428" s="7" t="s">
        <v>7753</v>
      </c>
      <c r="D428" s="7" t="s">
        <v>7754</v>
      </c>
      <c r="E428" s="7" t="n">
        <v>2022</v>
      </c>
      <c r="F428" s="8" t="s">
        <v>7755</v>
      </c>
      <c r="G428" s="6" t="s">
        <v>713</v>
      </c>
      <c r="H428" s="7"/>
      <c r="I428" s="7"/>
      <c r="J428" s="7"/>
      <c r="K428" s="7"/>
      <c r="L428" s="7"/>
      <c r="M428" s="7"/>
      <c r="N428" s="7"/>
      <c r="O428" s="7"/>
      <c r="P428" s="7" t="s">
        <v>61</v>
      </c>
      <c r="Q428" s="7" t="s">
        <v>62</v>
      </c>
      <c r="R428" s="7" t="s">
        <v>7756</v>
      </c>
      <c r="S428" s="7" t="n">
        <v>4</v>
      </c>
      <c r="T428" s="7" t="s">
        <v>7757</v>
      </c>
      <c r="U428" s="7"/>
      <c r="V428" s="7"/>
      <c r="W428" s="7" t="n">
        <v>63</v>
      </c>
      <c r="X428" s="7" t="n">
        <v>79</v>
      </c>
      <c r="Y428" s="7" t="n">
        <v>16</v>
      </c>
      <c r="Z428" s="7" t="s">
        <v>7758</v>
      </c>
      <c r="AA428" s="9" t="s">
        <v>7759</v>
      </c>
      <c r="AB428" s="7" t="s">
        <v>7760</v>
      </c>
      <c r="AC428" s="7" t="s">
        <v>7761</v>
      </c>
      <c r="AD428" s="7" t="s">
        <v>7762</v>
      </c>
      <c r="AE428" s="7"/>
      <c r="AF428" s="7"/>
      <c r="AG428" s="7"/>
      <c r="AH428" s="7"/>
      <c r="AI428" s="7"/>
      <c r="AJ428" s="10"/>
      <c r="AK428" s="7"/>
      <c r="AL428" s="7" t="s">
        <v>7763</v>
      </c>
      <c r="AM428" s="7" t="s">
        <v>7764</v>
      </c>
      <c r="AN428" s="7"/>
      <c r="AO428" s="7"/>
      <c r="AP428" s="7"/>
      <c r="AQ428" s="7"/>
      <c r="AR428" s="7"/>
      <c r="AS428" s="7"/>
      <c r="AT428" s="7" t="n">
        <v>27065944</v>
      </c>
      <c r="AU428" s="7"/>
      <c r="AV428" s="7"/>
      <c r="AW428" s="7"/>
      <c r="AX428" s="7" t="s">
        <v>7765</v>
      </c>
      <c r="AY428" s="7" t="s">
        <v>75</v>
      </c>
      <c r="AZ428" s="7" t="s">
        <v>127</v>
      </c>
      <c r="BA428" s="7" t="s">
        <v>76</v>
      </c>
      <c r="BB428" s="7" t="s">
        <v>7766</v>
      </c>
      <c r="BC428" s="7"/>
      <c r="BD428" s="7"/>
      <c r="BE428" s="7"/>
      <c r="BF428" s="7"/>
      <c r="BG428" s="7"/>
      <c r="BH428" s="7"/>
      <c r="BI428" s="7"/>
    </row>
    <row r="429" customFormat="false" ht="14.25" hidden="false" customHeight="true" outlineLevel="0" collapsed="false">
      <c r="A429" s="7" t="s">
        <v>7767</v>
      </c>
      <c r="B429" s="7" t="s">
        <v>7768</v>
      </c>
      <c r="C429" s="7" t="s">
        <v>7769</v>
      </c>
      <c r="D429" s="7" t="s">
        <v>7770</v>
      </c>
      <c r="E429" s="7" t="n">
        <v>2022</v>
      </c>
      <c r="F429" s="8" t="s">
        <v>7771</v>
      </c>
      <c r="G429" s="6" t="s">
        <v>290</v>
      </c>
      <c r="H429" s="7"/>
      <c r="I429" s="7"/>
      <c r="J429" s="7"/>
      <c r="K429" s="7"/>
      <c r="L429" s="7"/>
      <c r="M429" s="7"/>
      <c r="N429" s="7"/>
      <c r="O429" s="7"/>
      <c r="P429" s="7" t="s">
        <v>61</v>
      </c>
      <c r="Q429" s="7" t="s">
        <v>62</v>
      </c>
      <c r="R429" s="7" t="s">
        <v>7772</v>
      </c>
      <c r="S429" s="7" t="n">
        <v>66</v>
      </c>
      <c r="T429" s="7" t="s">
        <v>4968</v>
      </c>
      <c r="U429" s="7" t="n">
        <v>3</v>
      </c>
      <c r="V429" s="7" t="s">
        <v>7773</v>
      </c>
      <c r="W429" s="7"/>
      <c r="X429" s="7"/>
      <c r="Y429" s="7"/>
      <c r="Z429" s="7" t="s">
        <v>7774</v>
      </c>
      <c r="AA429" s="9" t="s">
        <v>7775</v>
      </c>
      <c r="AB429" s="7" t="s">
        <v>7776</v>
      </c>
      <c r="AC429" s="7" t="s">
        <v>7777</v>
      </c>
      <c r="AD429" s="7" t="s">
        <v>7778</v>
      </c>
      <c r="AE429" s="7" t="s">
        <v>7779</v>
      </c>
      <c r="AF429" s="7"/>
      <c r="AG429" s="7" t="s">
        <v>7780</v>
      </c>
      <c r="AH429" s="7"/>
      <c r="AI429" s="7"/>
      <c r="AJ429" s="10"/>
      <c r="AK429" s="7"/>
      <c r="AL429" s="7" t="s">
        <v>7781</v>
      </c>
      <c r="AM429" s="7" t="s">
        <v>7782</v>
      </c>
      <c r="AN429" s="7"/>
      <c r="AO429" s="7"/>
      <c r="AP429" s="7"/>
      <c r="AQ429" s="7"/>
      <c r="AR429" s="7"/>
      <c r="AS429" s="7"/>
      <c r="AT429" s="7" t="n">
        <v>664804</v>
      </c>
      <c r="AU429" s="7"/>
      <c r="AV429" s="7" t="s">
        <v>7783</v>
      </c>
      <c r="AW429" s="7" t="n">
        <v>34978892</v>
      </c>
      <c r="AX429" s="7" t="s">
        <v>7784</v>
      </c>
      <c r="AY429" s="7" t="s">
        <v>75</v>
      </c>
      <c r="AZ429" s="7" t="s">
        <v>409</v>
      </c>
      <c r="BA429" s="7" t="s">
        <v>76</v>
      </c>
      <c r="BB429" s="7" t="s">
        <v>7785</v>
      </c>
      <c r="BC429" s="7"/>
      <c r="BD429" s="7"/>
      <c r="BE429" s="7"/>
      <c r="BF429" s="7"/>
      <c r="BG429" s="7"/>
      <c r="BH429" s="7"/>
      <c r="BI429" s="7"/>
    </row>
    <row r="430" customFormat="false" ht="14.25" hidden="false" customHeight="true" outlineLevel="0" collapsed="false">
      <c r="A430" s="7" t="s">
        <v>7786</v>
      </c>
      <c r="B430" s="7" t="s">
        <v>7787</v>
      </c>
      <c r="C430" s="7" t="s">
        <v>7788</v>
      </c>
      <c r="D430" s="7" t="s">
        <v>7789</v>
      </c>
      <c r="E430" s="7" t="n">
        <v>2022</v>
      </c>
      <c r="F430" s="8" t="s">
        <v>7790</v>
      </c>
      <c r="G430" s="6" t="s">
        <v>713</v>
      </c>
      <c r="H430" s="7"/>
      <c r="I430" s="7"/>
      <c r="J430" s="7"/>
      <c r="K430" s="7"/>
      <c r="L430" s="7"/>
      <c r="M430" s="7"/>
      <c r="N430" s="7"/>
      <c r="O430" s="7"/>
      <c r="P430" s="7" t="s">
        <v>61</v>
      </c>
      <c r="Q430" s="7" t="s">
        <v>62</v>
      </c>
      <c r="R430" s="7" t="s">
        <v>7791</v>
      </c>
      <c r="S430" s="7" t="n">
        <v>2022</v>
      </c>
      <c r="T430" s="7" t="s">
        <v>7792</v>
      </c>
      <c r="U430" s="7"/>
      <c r="V430" s="7" t="n">
        <v>4449696</v>
      </c>
      <c r="W430" s="7"/>
      <c r="X430" s="7"/>
      <c r="Y430" s="7"/>
      <c r="Z430" s="7" t="s">
        <v>7793</v>
      </c>
      <c r="AA430" s="9" t="s">
        <v>7794</v>
      </c>
      <c r="AB430" s="7" t="s">
        <v>7795</v>
      </c>
      <c r="AC430" s="7" t="s">
        <v>7796</v>
      </c>
      <c r="AD430" s="7"/>
      <c r="AE430" s="7" t="s">
        <v>7797</v>
      </c>
      <c r="AF430" s="7"/>
      <c r="AG430" s="7" t="s">
        <v>7798</v>
      </c>
      <c r="AH430" s="7"/>
      <c r="AI430" s="7"/>
      <c r="AJ430" s="10"/>
      <c r="AK430" s="7"/>
      <c r="AL430" s="7" t="s">
        <v>7799</v>
      </c>
      <c r="AM430" s="7" t="s">
        <v>7800</v>
      </c>
      <c r="AN430" s="7"/>
      <c r="AO430" s="7"/>
      <c r="AP430" s="7"/>
      <c r="AQ430" s="7"/>
      <c r="AR430" s="7"/>
      <c r="AS430" s="7"/>
      <c r="AT430" s="7" t="s">
        <v>7801</v>
      </c>
      <c r="AU430" s="7"/>
      <c r="AV430" s="7"/>
      <c r="AW430" s="7" t="n">
        <v>35936360</v>
      </c>
      <c r="AX430" s="7" t="s">
        <v>7802</v>
      </c>
      <c r="AY430" s="7" t="s">
        <v>75</v>
      </c>
      <c r="AZ430" s="7" t="s">
        <v>107</v>
      </c>
      <c r="BA430" s="7" t="s">
        <v>76</v>
      </c>
      <c r="BB430" s="7" t="s">
        <v>7803</v>
      </c>
      <c r="BC430" s="7"/>
      <c r="BD430" s="7"/>
      <c r="BE430" s="7"/>
      <c r="BF430" s="7"/>
      <c r="BG430" s="7"/>
      <c r="BH430" s="7"/>
      <c r="BI430" s="7"/>
    </row>
    <row r="431" customFormat="false" ht="14.25" hidden="false" customHeight="true" outlineLevel="0" collapsed="false">
      <c r="A431" s="7" t="s">
        <v>7804</v>
      </c>
      <c r="B431" s="7" t="s">
        <v>7805</v>
      </c>
      <c r="C431" s="7" t="s">
        <v>7806</v>
      </c>
      <c r="D431" s="7" t="s">
        <v>7807</v>
      </c>
      <c r="E431" s="7" t="n">
        <v>2022</v>
      </c>
      <c r="F431" s="8" t="s">
        <v>7808</v>
      </c>
      <c r="G431" s="6" t="s">
        <v>713</v>
      </c>
      <c r="H431" s="7"/>
      <c r="I431" s="7"/>
      <c r="J431" s="7"/>
      <c r="K431" s="7"/>
      <c r="L431" s="7"/>
      <c r="M431" s="7"/>
      <c r="N431" s="7"/>
      <c r="O431" s="7"/>
      <c r="P431" s="7" t="s">
        <v>61</v>
      </c>
      <c r="Q431" s="7" t="s">
        <v>62</v>
      </c>
      <c r="R431" s="7" t="s">
        <v>1720</v>
      </c>
      <c r="S431" s="7" t="n">
        <v>12</v>
      </c>
      <c r="T431" s="7" t="s">
        <v>749</v>
      </c>
      <c r="U431" s="7" t="n">
        <v>1</v>
      </c>
      <c r="V431" s="7" t="n">
        <v>10726</v>
      </c>
      <c r="W431" s="7"/>
      <c r="X431" s="7"/>
      <c r="Y431" s="7"/>
      <c r="Z431" s="7" t="s">
        <v>7809</v>
      </c>
      <c r="AA431" s="9" t="s">
        <v>7810</v>
      </c>
      <c r="AB431" s="7" t="s">
        <v>7811</v>
      </c>
      <c r="AC431" s="7" t="s">
        <v>7812</v>
      </c>
      <c r="AD431" s="7"/>
      <c r="AE431" s="7" t="s">
        <v>7813</v>
      </c>
      <c r="AF431" s="7"/>
      <c r="AG431" s="7" t="s">
        <v>7814</v>
      </c>
      <c r="AH431" s="7"/>
      <c r="AI431" s="7"/>
      <c r="AJ431" s="10" t="s">
        <v>7815</v>
      </c>
      <c r="AK431" s="7" t="s">
        <v>7816</v>
      </c>
      <c r="AL431" s="7" t="s">
        <v>7817</v>
      </c>
      <c r="AM431" s="7" t="s">
        <v>7818</v>
      </c>
      <c r="AN431" s="7"/>
      <c r="AO431" s="7"/>
      <c r="AP431" s="7"/>
      <c r="AQ431" s="7"/>
      <c r="AR431" s="7"/>
      <c r="AS431" s="7"/>
      <c r="AT431" s="7" t="n">
        <v>20452322</v>
      </c>
      <c r="AU431" s="7"/>
      <c r="AV431" s="7"/>
      <c r="AW431" s="7" t="n">
        <v>35750882</v>
      </c>
      <c r="AX431" s="7" t="s">
        <v>1729</v>
      </c>
      <c r="AY431" s="7" t="s">
        <v>75</v>
      </c>
      <c r="AZ431" s="7" t="s">
        <v>107</v>
      </c>
      <c r="BA431" s="7" t="s">
        <v>76</v>
      </c>
      <c r="BB431" s="7" t="s">
        <v>7819</v>
      </c>
      <c r="BC431" s="7"/>
      <c r="BD431" s="7"/>
      <c r="BE431" s="7"/>
      <c r="BF431" s="7"/>
      <c r="BG431" s="7"/>
      <c r="BH431" s="7"/>
      <c r="BI431" s="7"/>
    </row>
    <row r="432" customFormat="false" ht="14.25" hidden="false" customHeight="true" outlineLevel="0" collapsed="false">
      <c r="A432" s="7" t="s">
        <v>7820</v>
      </c>
      <c r="B432" s="7" t="s">
        <v>7821</v>
      </c>
      <c r="C432" s="7" t="s">
        <v>7822</v>
      </c>
      <c r="D432" s="7" t="s">
        <v>7823</v>
      </c>
      <c r="E432" s="7" t="n">
        <v>2022</v>
      </c>
      <c r="F432" s="8" t="s">
        <v>7824</v>
      </c>
      <c r="G432" s="6" t="s">
        <v>713</v>
      </c>
      <c r="H432" s="7"/>
      <c r="I432" s="7"/>
      <c r="J432" s="7"/>
      <c r="K432" s="7"/>
      <c r="L432" s="7"/>
      <c r="M432" s="7"/>
      <c r="N432" s="7"/>
      <c r="O432" s="7"/>
      <c r="P432" s="7" t="s">
        <v>61</v>
      </c>
      <c r="Q432" s="7" t="s">
        <v>62</v>
      </c>
      <c r="R432" s="7" t="s">
        <v>1327</v>
      </c>
      <c r="S432" s="7" t="n">
        <v>13</v>
      </c>
      <c r="T432" s="7" t="s">
        <v>4763</v>
      </c>
      <c r="U432" s="7"/>
      <c r="V432" s="7" t="n">
        <v>793882</v>
      </c>
      <c r="W432" s="7"/>
      <c r="X432" s="7"/>
      <c r="Y432" s="7"/>
      <c r="Z432" s="7" t="s">
        <v>7825</v>
      </c>
      <c r="AA432" s="9" t="s">
        <v>7826</v>
      </c>
      <c r="AB432" s="7" t="s">
        <v>7827</v>
      </c>
      <c r="AC432" s="7" t="s">
        <v>7828</v>
      </c>
      <c r="AD432" s="7" t="s">
        <v>7829</v>
      </c>
      <c r="AE432" s="7" t="s">
        <v>7830</v>
      </c>
      <c r="AF432" s="7"/>
      <c r="AG432" s="7" t="s">
        <v>7831</v>
      </c>
      <c r="AH432" s="7"/>
      <c r="AI432" s="7"/>
      <c r="AJ432" s="10" t="s">
        <v>7832</v>
      </c>
      <c r="AK432" s="7" t="s">
        <v>7833</v>
      </c>
      <c r="AL432" s="7" t="s">
        <v>7834</v>
      </c>
      <c r="AM432" s="7" t="s">
        <v>7835</v>
      </c>
      <c r="AN432" s="7"/>
      <c r="AO432" s="7"/>
      <c r="AP432" s="7"/>
      <c r="AQ432" s="7"/>
      <c r="AR432" s="7"/>
      <c r="AS432" s="7"/>
      <c r="AT432" s="7" t="n">
        <v>16643224</v>
      </c>
      <c r="AU432" s="7"/>
      <c r="AV432" s="7"/>
      <c r="AW432" s="7" t="n">
        <v>35154111</v>
      </c>
      <c r="AX432" s="7" t="s">
        <v>1340</v>
      </c>
      <c r="AY432" s="7" t="s">
        <v>75</v>
      </c>
      <c r="AZ432" s="7" t="s">
        <v>107</v>
      </c>
      <c r="BA432" s="7" t="s">
        <v>76</v>
      </c>
      <c r="BB432" s="7" t="s">
        <v>7836</v>
      </c>
      <c r="BC432" s="7"/>
      <c r="BD432" s="7"/>
      <c r="BE432" s="7"/>
      <c r="BF432" s="7"/>
      <c r="BG432" s="7"/>
      <c r="BH432" s="7"/>
      <c r="BI432" s="7"/>
    </row>
    <row r="433" customFormat="false" ht="14.25" hidden="false" customHeight="true" outlineLevel="0" collapsed="false">
      <c r="A433" s="7" t="s">
        <v>7837</v>
      </c>
      <c r="B433" s="7" t="s">
        <v>7838</v>
      </c>
      <c r="C433" s="7" t="s">
        <v>7839</v>
      </c>
      <c r="D433" s="7" t="s">
        <v>7840</v>
      </c>
      <c r="E433" s="7" t="n">
        <v>2022</v>
      </c>
      <c r="F433" s="8" t="s">
        <v>7841</v>
      </c>
      <c r="G433" s="6" t="s">
        <v>713</v>
      </c>
      <c r="H433" s="7"/>
      <c r="I433" s="7"/>
      <c r="J433" s="7"/>
      <c r="K433" s="7"/>
      <c r="L433" s="7"/>
      <c r="M433" s="7"/>
      <c r="N433" s="7"/>
      <c r="O433" s="7"/>
      <c r="P433" s="7" t="s">
        <v>61</v>
      </c>
      <c r="Q433" s="7" t="s">
        <v>62</v>
      </c>
      <c r="R433" s="7" t="s">
        <v>902</v>
      </c>
      <c r="S433" s="7" t="n">
        <v>21</v>
      </c>
      <c r="T433" s="7" t="s">
        <v>903</v>
      </c>
      <c r="U433" s="7" t="n">
        <v>1</v>
      </c>
      <c r="V433" s="7" t="n">
        <v>361</v>
      </c>
      <c r="W433" s="7"/>
      <c r="X433" s="7"/>
      <c r="Y433" s="7"/>
      <c r="Z433" s="7" t="s">
        <v>7842</v>
      </c>
      <c r="AA433" s="9" t="s">
        <v>7843</v>
      </c>
      <c r="AB433" s="7" t="s">
        <v>7844</v>
      </c>
      <c r="AC433" s="7" t="s">
        <v>7845</v>
      </c>
      <c r="AD433" s="7" t="s">
        <v>7846</v>
      </c>
      <c r="AE433" s="7" t="s">
        <v>7847</v>
      </c>
      <c r="AF433" s="7"/>
      <c r="AG433" s="7" t="s">
        <v>7848</v>
      </c>
      <c r="AH433" s="7"/>
      <c r="AI433" s="7"/>
      <c r="AJ433" s="10" t="s">
        <v>7849</v>
      </c>
      <c r="AK433" s="7" t="s">
        <v>7850</v>
      </c>
      <c r="AL433" s="7" t="s">
        <v>7851</v>
      </c>
      <c r="AM433" s="7" t="s">
        <v>7852</v>
      </c>
      <c r="AN433" s="7"/>
      <c r="AO433" s="7"/>
      <c r="AP433" s="7"/>
      <c r="AQ433" s="7"/>
      <c r="AR433" s="7"/>
      <c r="AS433" s="7"/>
      <c r="AT433" s="7" t="n">
        <v>14752875</v>
      </c>
      <c r="AU433" s="7"/>
      <c r="AV433" s="7"/>
      <c r="AW433" s="7" t="n">
        <v>36457087</v>
      </c>
      <c r="AX433" s="7" t="s">
        <v>914</v>
      </c>
      <c r="AY433" s="7" t="s">
        <v>75</v>
      </c>
      <c r="AZ433" s="7" t="s">
        <v>107</v>
      </c>
      <c r="BA433" s="7" t="s">
        <v>76</v>
      </c>
      <c r="BB433" s="7" t="s">
        <v>7853</v>
      </c>
      <c r="BC433" s="7"/>
      <c r="BD433" s="7"/>
      <c r="BE433" s="7"/>
      <c r="BF433" s="7"/>
      <c r="BG433" s="7"/>
      <c r="BH433" s="7"/>
      <c r="BI433" s="7"/>
    </row>
    <row r="434" customFormat="false" ht="14.25" hidden="false" customHeight="true" outlineLevel="0" collapsed="false">
      <c r="A434" s="7" t="s">
        <v>7854</v>
      </c>
      <c r="B434" s="7" t="s">
        <v>7855</v>
      </c>
      <c r="C434" s="7" t="s">
        <v>7856</v>
      </c>
      <c r="D434" s="7" t="s">
        <v>7857</v>
      </c>
      <c r="E434" s="7" t="n">
        <v>2022</v>
      </c>
      <c r="F434" s="8" t="s">
        <v>7858</v>
      </c>
      <c r="G434" s="6" t="s">
        <v>169</v>
      </c>
      <c r="H434" s="7"/>
      <c r="I434" s="7"/>
      <c r="J434" s="7"/>
      <c r="K434" s="7"/>
      <c r="L434" s="7"/>
      <c r="M434" s="7"/>
      <c r="N434" s="7"/>
      <c r="O434" s="7"/>
      <c r="P434" s="7" t="s">
        <v>61</v>
      </c>
      <c r="Q434" s="7" t="s">
        <v>62</v>
      </c>
      <c r="R434" s="7" t="s">
        <v>1247</v>
      </c>
      <c r="S434" s="7" t="n">
        <v>13</v>
      </c>
      <c r="T434" s="7" t="s">
        <v>1248</v>
      </c>
      <c r="U434" s="7"/>
      <c r="V434" s="7"/>
      <c r="W434" s="7" t="n">
        <v>373</v>
      </c>
      <c r="X434" s="7" t="n">
        <v>383</v>
      </c>
      <c r="Y434" s="7" t="n">
        <v>10</v>
      </c>
      <c r="Z434" s="7" t="s">
        <v>7859</v>
      </c>
      <c r="AA434" s="9" t="s">
        <v>7860</v>
      </c>
      <c r="AB434" s="7" t="s">
        <v>7861</v>
      </c>
      <c r="AC434" s="7" t="s">
        <v>7862</v>
      </c>
      <c r="AD434" s="7" t="s">
        <v>7863</v>
      </c>
      <c r="AE434" s="7" t="s">
        <v>7864</v>
      </c>
      <c r="AF434" s="7"/>
      <c r="AG434" s="7"/>
      <c r="AH434" s="7"/>
      <c r="AI434" s="7"/>
      <c r="AJ434" s="10"/>
      <c r="AK434" s="7"/>
      <c r="AL434" s="7" t="s">
        <v>7865</v>
      </c>
      <c r="AM434" s="7" t="s">
        <v>7866</v>
      </c>
      <c r="AN434" s="7"/>
      <c r="AO434" s="7"/>
      <c r="AP434" s="7"/>
      <c r="AQ434" s="7"/>
      <c r="AR434" s="7"/>
      <c r="AS434" s="7"/>
      <c r="AT434" s="7" t="n">
        <v>11792736</v>
      </c>
      <c r="AU434" s="7"/>
      <c r="AV434" s="7"/>
      <c r="AW434" s="7"/>
      <c r="AX434" s="7" t="s">
        <v>1262</v>
      </c>
      <c r="AY434" s="7" t="s">
        <v>75</v>
      </c>
      <c r="AZ434" s="7" t="s">
        <v>107</v>
      </c>
      <c r="BA434" s="7" t="s">
        <v>76</v>
      </c>
      <c r="BB434" s="7" t="s">
        <v>7867</v>
      </c>
      <c r="BC434" s="7"/>
      <c r="BD434" s="7"/>
      <c r="BE434" s="7"/>
      <c r="BF434" s="7"/>
      <c r="BG434" s="7"/>
      <c r="BH434" s="7"/>
      <c r="BI434" s="7"/>
    </row>
    <row r="435" customFormat="false" ht="14.25" hidden="false" customHeight="true" outlineLevel="0" collapsed="false">
      <c r="A435" s="7" t="s">
        <v>7868</v>
      </c>
      <c r="B435" s="7" t="s">
        <v>7869</v>
      </c>
      <c r="C435" s="7" t="s">
        <v>7870</v>
      </c>
      <c r="D435" s="7" t="s">
        <v>7871</v>
      </c>
      <c r="E435" s="7" t="n">
        <v>2022</v>
      </c>
      <c r="F435" s="8" t="s">
        <v>7872</v>
      </c>
      <c r="G435" s="6" t="s">
        <v>713</v>
      </c>
      <c r="H435" s="7"/>
      <c r="I435" s="7"/>
      <c r="J435" s="7"/>
      <c r="K435" s="7"/>
      <c r="L435" s="7"/>
      <c r="M435" s="7"/>
      <c r="N435" s="7"/>
      <c r="O435" s="7"/>
      <c r="P435" s="7" t="s">
        <v>61</v>
      </c>
      <c r="Q435" s="7" t="s">
        <v>62</v>
      </c>
      <c r="R435" s="7" t="s">
        <v>7873</v>
      </c>
      <c r="S435" s="7" t="n">
        <v>22</v>
      </c>
      <c r="T435" s="7" t="s">
        <v>7874</v>
      </c>
      <c r="U435" s="7" t="n">
        <v>9</v>
      </c>
      <c r="V435" s="7"/>
      <c r="W435" s="7" t="n">
        <v>1748</v>
      </c>
      <c r="X435" s="7" t="n">
        <v>1763</v>
      </c>
      <c r="Y435" s="7" t="n">
        <v>15</v>
      </c>
      <c r="Z435" s="7" t="s">
        <v>7875</v>
      </c>
      <c r="AA435" s="9" t="s">
        <v>7876</v>
      </c>
      <c r="AB435" s="7" t="s">
        <v>7877</v>
      </c>
      <c r="AC435" s="7" t="s">
        <v>7878</v>
      </c>
      <c r="AD435" s="7"/>
      <c r="AE435" s="7" t="s">
        <v>7879</v>
      </c>
      <c r="AF435" s="7"/>
      <c r="AG435" s="7" t="s">
        <v>7880</v>
      </c>
      <c r="AH435" s="7" t="s">
        <v>7881</v>
      </c>
      <c r="AI435" s="7"/>
      <c r="AJ435" s="10" t="s">
        <v>7882</v>
      </c>
      <c r="AK435" s="7" t="s">
        <v>7883</v>
      </c>
      <c r="AL435" s="7" t="s">
        <v>7884</v>
      </c>
      <c r="AM435" s="7" t="s">
        <v>7885</v>
      </c>
      <c r="AN435" s="7"/>
      <c r="AO435" s="7"/>
      <c r="AP435" s="7"/>
      <c r="AQ435" s="7"/>
      <c r="AR435" s="7"/>
      <c r="AS435" s="7"/>
      <c r="AT435" s="7" t="n">
        <v>14730197</v>
      </c>
      <c r="AU435" s="7"/>
      <c r="AV435" s="7" t="s">
        <v>7886</v>
      </c>
      <c r="AW435" s="7" t="n">
        <v>35357372</v>
      </c>
      <c r="AX435" s="7" t="s">
        <v>7887</v>
      </c>
      <c r="AY435" s="7" t="s">
        <v>75</v>
      </c>
      <c r="AZ435" s="7"/>
      <c r="BA435" s="7" t="s">
        <v>76</v>
      </c>
      <c r="BB435" s="7" t="s">
        <v>7888</v>
      </c>
      <c r="BC435" s="7"/>
      <c r="BD435" s="7"/>
      <c r="BE435" s="7"/>
      <c r="BF435" s="7"/>
      <c r="BG435" s="7"/>
      <c r="BH435" s="7"/>
      <c r="BI435" s="7"/>
    </row>
    <row r="436" customFormat="false" ht="14.25" hidden="false" customHeight="true" outlineLevel="0" collapsed="false">
      <c r="A436" s="7" t="s">
        <v>7889</v>
      </c>
      <c r="B436" s="7" t="s">
        <v>7890</v>
      </c>
      <c r="C436" s="7" t="s">
        <v>7891</v>
      </c>
      <c r="D436" s="7" t="s">
        <v>7892</v>
      </c>
      <c r="E436" s="7" t="n">
        <v>2022</v>
      </c>
      <c r="F436" s="8" t="s">
        <v>7893</v>
      </c>
      <c r="G436" s="6" t="s">
        <v>3714</v>
      </c>
      <c r="H436" s="7"/>
      <c r="I436" s="7"/>
      <c r="J436" s="7"/>
      <c r="K436" s="7"/>
      <c r="L436" s="7"/>
      <c r="M436" s="7"/>
      <c r="N436" s="7"/>
      <c r="O436" s="7"/>
      <c r="P436" s="7" t="s">
        <v>61</v>
      </c>
      <c r="Q436" s="7" t="s">
        <v>62</v>
      </c>
      <c r="R436" s="7" t="s">
        <v>7894</v>
      </c>
      <c r="S436" s="7" t="n">
        <v>24</v>
      </c>
      <c r="T436" s="7" t="s">
        <v>5184</v>
      </c>
      <c r="U436" s="7" t="n">
        <v>10</v>
      </c>
      <c r="V436" s="7"/>
      <c r="W436" s="7" t="n">
        <v>11871</v>
      </c>
      <c r="X436" s="7" t="n">
        <v>11894</v>
      </c>
      <c r="Y436" s="7" t="n">
        <v>23</v>
      </c>
      <c r="Z436" s="7" t="s">
        <v>7895</v>
      </c>
      <c r="AA436" s="9" t="s">
        <v>7896</v>
      </c>
      <c r="AB436" s="7" t="s">
        <v>7897</v>
      </c>
      <c r="AC436" s="7" t="s">
        <v>7898</v>
      </c>
      <c r="AD436" s="7" t="s">
        <v>7899</v>
      </c>
      <c r="AE436" s="7" t="s">
        <v>7900</v>
      </c>
      <c r="AF436" s="7"/>
      <c r="AG436" s="7"/>
      <c r="AH436" s="7"/>
      <c r="AI436" s="7"/>
      <c r="AJ436" s="10"/>
      <c r="AK436" s="7"/>
      <c r="AL436" s="7" t="s">
        <v>7901</v>
      </c>
      <c r="AM436" s="7" t="s">
        <v>7902</v>
      </c>
      <c r="AN436" s="7"/>
      <c r="AO436" s="7"/>
      <c r="AP436" s="7"/>
      <c r="AQ436" s="7"/>
      <c r="AR436" s="7"/>
      <c r="AS436" s="7"/>
      <c r="AT436" s="7" t="s">
        <v>7903</v>
      </c>
      <c r="AU436" s="7"/>
      <c r="AV436" s="7" t="s">
        <v>7904</v>
      </c>
      <c r="AW436" s="7"/>
      <c r="AX436" s="7" t="s">
        <v>7905</v>
      </c>
      <c r="AY436" s="7" t="s">
        <v>75</v>
      </c>
      <c r="AZ436" s="7"/>
      <c r="BA436" s="7" t="s">
        <v>76</v>
      </c>
      <c r="BB436" s="7" t="s">
        <v>7906</v>
      </c>
      <c r="BC436" s="7"/>
      <c r="BD436" s="7"/>
      <c r="BE436" s="7"/>
      <c r="BF436" s="7"/>
      <c r="BG436" s="7"/>
      <c r="BH436" s="7"/>
      <c r="BI436" s="7"/>
    </row>
    <row r="437" customFormat="false" ht="14.25" hidden="false" customHeight="true" outlineLevel="0" collapsed="false">
      <c r="A437" s="7" t="s">
        <v>7907</v>
      </c>
      <c r="B437" s="7" t="s">
        <v>7908</v>
      </c>
      <c r="C437" s="7" t="s">
        <v>7909</v>
      </c>
      <c r="D437" s="7" t="s">
        <v>7910</v>
      </c>
      <c r="E437" s="7" t="n">
        <v>2022</v>
      </c>
      <c r="F437" s="8" t="s">
        <v>7911</v>
      </c>
      <c r="G437" s="6" t="s">
        <v>149</v>
      </c>
      <c r="H437" s="7"/>
      <c r="I437" s="7"/>
      <c r="J437" s="7"/>
      <c r="K437" s="7"/>
      <c r="L437" s="7"/>
      <c r="M437" s="7"/>
      <c r="N437" s="7"/>
      <c r="O437" s="7"/>
      <c r="P437" s="7" t="s">
        <v>61</v>
      </c>
      <c r="Q437" s="7" t="s">
        <v>62</v>
      </c>
      <c r="R437" s="7" t="s">
        <v>679</v>
      </c>
      <c r="S437" s="7" t="n">
        <v>16</v>
      </c>
      <c r="T437" s="7" t="s">
        <v>500</v>
      </c>
      <c r="U437" s="7" t="n">
        <v>3</v>
      </c>
      <c r="V437" s="7" t="s">
        <v>7912</v>
      </c>
      <c r="W437" s="7"/>
      <c r="X437" s="7"/>
      <c r="Y437" s="7"/>
      <c r="Z437" s="7" t="s">
        <v>7913</v>
      </c>
      <c r="AA437" s="9" t="s">
        <v>7914</v>
      </c>
      <c r="AB437" s="7" t="s">
        <v>7915</v>
      </c>
      <c r="AC437" s="7" t="s">
        <v>7916</v>
      </c>
      <c r="AD437" s="7"/>
      <c r="AE437" s="7" t="s">
        <v>7917</v>
      </c>
      <c r="AF437" s="7"/>
      <c r="AG437" s="7" t="s">
        <v>7918</v>
      </c>
      <c r="AH437" s="7" t="s">
        <v>7919</v>
      </c>
      <c r="AI437" s="7" t="s">
        <v>7920</v>
      </c>
      <c r="AJ437" s="10" t="s">
        <v>7921</v>
      </c>
      <c r="AK437" s="7" t="s">
        <v>7922</v>
      </c>
      <c r="AL437" s="7" t="s">
        <v>7923</v>
      </c>
      <c r="AM437" s="7" t="s">
        <v>7924</v>
      </c>
      <c r="AN437" s="7"/>
      <c r="AO437" s="7"/>
      <c r="AP437" s="7"/>
      <c r="AQ437" s="7"/>
      <c r="AR437" s="7"/>
      <c r="AS437" s="7"/>
      <c r="AT437" s="7" t="n">
        <v>19352727</v>
      </c>
      <c r="AU437" s="7"/>
      <c r="AV437" s="7"/>
      <c r="AW437" s="7" t="n">
        <v>35275911</v>
      </c>
      <c r="AX437" s="7" t="s">
        <v>689</v>
      </c>
      <c r="AY437" s="7" t="s">
        <v>75</v>
      </c>
      <c r="AZ437" s="7" t="s">
        <v>107</v>
      </c>
      <c r="BA437" s="7" t="s">
        <v>76</v>
      </c>
      <c r="BB437" s="7" t="s">
        <v>7925</v>
      </c>
      <c r="BC437" s="7"/>
      <c r="BD437" s="7"/>
      <c r="BE437" s="7"/>
      <c r="BF437" s="7"/>
      <c r="BG437" s="7"/>
      <c r="BH437" s="7"/>
      <c r="BI437" s="7"/>
    </row>
    <row r="438" customFormat="false" ht="14.25" hidden="false" customHeight="true" outlineLevel="0" collapsed="false">
      <c r="A438" s="7" t="s">
        <v>7926</v>
      </c>
      <c r="B438" s="7" t="s">
        <v>7927</v>
      </c>
      <c r="C438" s="7" t="s">
        <v>7928</v>
      </c>
      <c r="D438" s="7" t="s">
        <v>7929</v>
      </c>
      <c r="E438" s="7" t="n">
        <v>2022</v>
      </c>
      <c r="F438" s="8" t="s">
        <v>7930</v>
      </c>
      <c r="G438" s="6" t="s">
        <v>1686</v>
      </c>
      <c r="H438" s="7"/>
      <c r="I438" s="7"/>
      <c r="J438" s="7"/>
      <c r="K438" s="7"/>
      <c r="L438" s="7"/>
      <c r="M438" s="7"/>
      <c r="N438" s="7"/>
      <c r="O438" s="7"/>
      <c r="P438" s="7" t="s">
        <v>61</v>
      </c>
      <c r="Q438" s="7" t="s">
        <v>62</v>
      </c>
      <c r="R438" s="7" t="s">
        <v>7931</v>
      </c>
      <c r="S438" s="7" t="n">
        <v>32</v>
      </c>
      <c r="T438" s="7" t="s">
        <v>4592</v>
      </c>
      <c r="U438" s="7" t="n">
        <v>1</v>
      </c>
      <c r="V438" s="7"/>
      <c r="W438" s="7" t="n">
        <v>191</v>
      </c>
      <c r="X438" s="7" t="n">
        <v>206</v>
      </c>
      <c r="Y438" s="7" t="n">
        <v>15</v>
      </c>
      <c r="Z438" s="7" t="s">
        <v>7932</v>
      </c>
      <c r="AA438" s="9" t="s">
        <v>7933</v>
      </c>
      <c r="AB438" s="7" t="s">
        <v>7934</v>
      </c>
      <c r="AC438" s="7" t="s">
        <v>7935</v>
      </c>
      <c r="AD438" s="7" t="s">
        <v>7936</v>
      </c>
      <c r="AE438" s="7" t="s">
        <v>7937</v>
      </c>
      <c r="AF438" s="7"/>
      <c r="AG438" s="7"/>
      <c r="AH438" s="7"/>
      <c r="AI438" s="7"/>
      <c r="AJ438" s="10"/>
      <c r="AK438" s="7"/>
      <c r="AL438" s="7" t="s">
        <v>7938</v>
      </c>
      <c r="AM438" s="7" t="s">
        <v>7939</v>
      </c>
      <c r="AN438" s="7"/>
      <c r="AO438" s="7"/>
      <c r="AP438" s="7"/>
      <c r="AQ438" s="7"/>
      <c r="AR438" s="7"/>
      <c r="AS438" s="7"/>
      <c r="AT438" s="7" t="n">
        <v>9603123</v>
      </c>
      <c r="AU438" s="7"/>
      <c r="AV438" s="7" t="s">
        <v>7940</v>
      </c>
      <c r="AW438" s="7" t="n">
        <v>32279543</v>
      </c>
      <c r="AX438" s="7" t="s">
        <v>7941</v>
      </c>
      <c r="AY438" s="7" t="s">
        <v>75</v>
      </c>
      <c r="AZ438" s="7" t="s">
        <v>409</v>
      </c>
      <c r="BA438" s="7" t="s">
        <v>76</v>
      </c>
      <c r="BB438" s="7" t="s">
        <v>7942</v>
      </c>
      <c r="BC438" s="7"/>
      <c r="BD438" s="7"/>
      <c r="BE438" s="7"/>
      <c r="BF438" s="7"/>
      <c r="BG438" s="7"/>
      <c r="BH438" s="7"/>
      <c r="BI438" s="7"/>
    </row>
    <row r="439" customFormat="false" ht="14.25" hidden="false" customHeight="true" outlineLevel="0" collapsed="false">
      <c r="A439" s="7" t="s">
        <v>7943</v>
      </c>
      <c r="B439" s="7" t="s">
        <v>7944</v>
      </c>
      <c r="C439" s="7" t="s">
        <v>7945</v>
      </c>
      <c r="D439" s="7" t="s">
        <v>7946</v>
      </c>
      <c r="E439" s="7" t="n">
        <v>2022</v>
      </c>
      <c r="F439" s="8" t="s">
        <v>7947</v>
      </c>
      <c r="G439" s="6" t="s">
        <v>7948</v>
      </c>
      <c r="H439" s="7"/>
      <c r="I439" s="7"/>
      <c r="J439" s="7"/>
      <c r="K439" s="7"/>
      <c r="L439" s="7"/>
      <c r="M439" s="7"/>
      <c r="N439" s="7"/>
      <c r="O439" s="7"/>
      <c r="P439" s="7" t="s">
        <v>61</v>
      </c>
      <c r="Q439" s="7" t="s">
        <v>62</v>
      </c>
      <c r="R439" s="7" t="s">
        <v>603</v>
      </c>
      <c r="S439" s="7" t="n">
        <v>106</v>
      </c>
      <c r="T439" s="7" t="s">
        <v>604</v>
      </c>
      <c r="U439" s="7" t="n">
        <v>6</v>
      </c>
      <c r="V439" s="7"/>
      <c r="W439" s="7" t="n">
        <v>1637</v>
      </c>
      <c r="X439" s="7" t="n">
        <v>1645</v>
      </c>
      <c r="Y439" s="7" t="n">
        <v>8</v>
      </c>
      <c r="Z439" s="7" t="s">
        <v>7949</v>
      </c>
      <c r="AA439" s="9" t="s">
        <v>7950</v>
      </c>
      <c r="AB439" s="7" t="s">
        <v>7951</v>
      </c>
      <c r="AC439" s="7" t="s">
        <v>7952</v>
      </c>
      <c r="AD439" s="7"/>
      <c r="AE439" s="7" t="s">
        <v>7953</v>
      </c>
      <c r="AF439" s="7"/>
      <c r="AG439" s="7" t="s">
        <v>7954</v>
      </c>
      <c r="AH439" s="7" t="s">
        <v>7955</v>
      </c>
      <c r="AI439" s="7" t="s">
        <v>7956</v>
      </c>
      <c r="AJ439" s="10" t="s">
        <v>7957</v>
      </c>
      <c r="AK439" s="7" t="s">
        <v>7958</v>
      </c>
      <c r="AL439" s="7" t="s">
        <v>7959</v>
      </c>
      <c r="AM439" s="7" t="s">
        <v>7960</v>
      </c>
      <c r="AN439" s="7"/>
      <c r="AO439" s="7"/>
      <c r="AP439" s="7"/>
      <c r="AQ439" s="7"/>
      <c r="AR439" s="7"/>
      <c r="AS439" s="7"/>
      <c r="AT439" s="7" t="n">
        <v>29637</v>
      </c>
      <c r="AU439" s="7"/>
      <c r="AV439" s="7" t="s">
        <v>616</v>
      </c>
      <c r="AW439" s="7" t="n">
        <v>35405640</v>
      </c>
      <c r="AX439" s="7" t="s">
        <v>617</v>
      </c>
      <c r="AY439" s="7" t="s">
        <v>75</v>
      </c>
      <c r="AZ439" s="7" t="s">
        <v>7961</v>
      </c>
      <c r="BA439" s="7" t="s">
        <v>76</v>
      </c>
      <c r="BB439" s="7" t="s">
        <v>7962</v>
      </c>
      <c r="BC439" s="7"/>
      <c r="BD439" s="7"/>
      <c r="BE439" s="7"/>
      <c r="BF439" s="7"/>
      <c r="BG439" s="7"/>
      <c r="BH439" s="7"/>
      <c r="BI439" s="7"/>
    </row>
    <row r="440" customFormat="false" ht="14.25" hidden="false" customHeight="true" outlineLevel="0" collapsed="false">
      <c r="A440" s="7" t="s">
        <v>7963</v>
      </c>
      <c r="B440" s="7" t="s">
        <v>7964</v>
      </c>
      <c r="C440" s="7" t="s">
        <v>7965</v>
      </c>
      <c r="D440" s="7" t="s">
        <v>7966</v>
      </c>
      <c r="E440" s="7" t="n">
        <v>2022</v>
      </c>
      <c r="F440" s="8" t="s">
        <v>7967</v>
      </c>
      <c r="G440" s="6" t="s">
        <v>149</v>
      </c>
      <c r="H440" s="7"/>
      <c r="I440" s="7"/>
      <c r="J440" s="7"/>
      <c r="K440" s="7"/>
      <c r="L440" s="7"/>
      <c r="M440" s="7"/>
      <c r="N440" s="7"/>
      <c r="O440" s="7"/>
      <c r="P440" s="7" t="s">
        <v>61</v>
      </c>
      <c r="Q440" s="7" t="s">
        <v>62</v>
      </c>
      <c r="R440" s="7" t="s">
        <v>748</v>
      </c>
      <c r="S440" s="7" t="n">
        <v>13</v>
      </c>
      <c r="T440" s="7" t="s">
        <v>749</v>
      </c>
      <c r="U440" s="7" t="n">
        <v>1</v>
      </c>
      <c r="V440" s="7" t="n">
        <v>1501</v>
      </c>
      <c r="W440" s="7"/>
      <c r="X440" s="7"/>
      <c r="Y440" s="7"/>
      <c r="Z440" s="7" t="s">
        <v>7968</v>
      </c>
      <c r="AA440" s="9" t="s">
        <v>7969</v>
      </c>
      <c r="AB440" s="7" t="s">
        <v>7970</v>
      </c>
      <c r="AC440" s="7" t="s">
        <v>7971</v>
      </c>
      <c r="AD440" s="7"/>
      <c r="AE440" s="7" t="s">
        <v>7972</v>
      </c>
      <c r="AF440" s="7"/>
      <c r="AG440" s="7"/>
      <c r="AH440" s="7"/>
      <c r="AI440" s="7"/>
      <c r="AJ440" s="10" t="s">
        <v>7973</v>
      </c>
      <c r="AK440" s="7" t="s">
        <v>7974</v>
      </c>
      <c r="AL440" s="7" t="s">
        <v>7975</v>
      </c>
      <c r="AM440" s="7" t="s">
        <v>7976</v>
      </c>
      <c r="AN440" s="7"/>
      <c r="AO440" s="7"/>
      <c r="AP440" s="7"/>
      <c r="AQ440" s="7"/>
      <c r="AR440" s="7"/>
      <c r="AS440" s="7"/>
      <c r="AT440" s="7" t="n">
        <v>20411723</v>
      </c>
      <c r="AU440" s="7"/>
      <c r="AV440" s="7"/>
      <c r="AW440" s="7" t="n">
        <v>35314683</v>
      </c>
      <c r="AX440" s="7" t="s">
        <v>759</v>
      </c>
      <c r="AY440" s="7" t="s">
        <v>75</v>
      </c>
      <c r="AZ440" s="7" t="s">
        <v>107</v>
      </c>
      <c r="BA440" s="7" t="s">
        <v>76</v>
      </c>
      <c r="BB440" s="7" t="s">
        <v>7977</v>
      </c>
      <c r="BC440" s="7"/>
      <c r="BD440" s="7"/>
      <c r="BE440" s="7"/>
      <c r="BF440" s="7"/>
      <c r="BG440" s="7"/>
      <c r="BH440" s="7"/>
      <c r="BI440" s="7"/>
    </row>
    <row r="441" customFormat="false" ht="14.25" hidden="false" customHeight="true" outlineLevel="0" collapsed="false">
      <c r="A441" s="7" t="s">
        <v>7978</v>
      </c>
      <c r="B441" s="7" t="s">
        <v>7979</v>
      </c>
      <c r="C441" s="7" t="s">
        <v>7980</v>
      </c>
      <c r="D441" s="7" t="s">
        <v>7981</v>
      </c>
      <c r="E441" s="7" t="n">
        <v>2022</v>
      </c>
      <c r="F441" s="8" t="s">
        <v>7982</v>
      </c>
      <c r="G441" s="6" t="s">
        <v>713</v>
      </c>
      <c r="H441" s="7"/>
      <c r="I441" s="7"/>
      <c r="J441" s="7"/>
      <c r="K441" s="7"/>
      <c r="L441" s="7"/>
      <c r="M441" s="7"/>
      <c r="N441" s="7"/>
      <c r="O441" s="7"/>
      <c r="P441" s="7" t="s">
        <v>61</v>
      </c>
      <c r="Q441" s="7" t="s">
        <v>62</v>
      </c>
      <c r="R441" s="7" t="s">
        <v>7983</v>
      </c>
      <c r="S441" s="7" t="n">
        <v>35</v>
      </c>
      <c r="T441" s="7" t="s">
        <v>64</v>
      </c>
      <c r="U441" s="7"/>
      <c r="V441" s="7" t="n">
        <v>101132</v>
      </c>
      <c r="W441" s="7"/>
      <c r="X441" s="7"/>
      <c r="Y441" s="7"/>
      <c r="Z441" s="7" t="s">
        <v>7984</v>
      </c>
      <c r="AA441" s="9" t="s">
        <v>7985</v>
      </c>
      <c r="AB441" s="7" t="s">
        <v>7986</v>
      </c>
      <c r="AC441" s="7" t="s">
        <v>7987</v>
      </c>
      <c r="AD441" s="7" t="s">
        <v>7988</v>
      </c>
      <c r="AE441" s="7" t="s">
        <v>7989</v>
      </c>
      <c r="AF441" s="7"/>
      <c r="AG441" s="7"/>
      <c r="AH441" s="7"/>
      <c r="AI441" s="7"/>
      <c r="AJ441" s="10" t="s">
        <v>7990</v>
      </c>
      <c r="AK441" s="7" t="s">
        <v>7991</v>
      </c>
      <c r="AL441" s="7" t="s">
        <v>7992</v>
      </c>
      <c r="AM441" s="7" t="s">
        <v>7993</v>
      </c>
      <c r="AN441" s="7"/>
      <c r="AO441" s="7"/>
      <c r="AP441" s="7"/>
      <c r="AQ441" s="7"/>
      <c r="AR441" s="7"/>
      <c r="AS441" s="7"/>
      <c r="AT441" s="7" t="n">
        <v>23529148</v>
      </c>
      <c r="AU441" s="7"/>
      <c r="AV441" s="7"/>
      <c r="AW441" s="7"/>
      <c r="AX441" s="7" t="s">
        <v>7994</v>
      </c>
      <c r="AY441" s="7" t="s">
        <v>75</v>
      </c>
      <c r="AZ441" s="7" t="s">
        <v>127</v>
      </c>
      <c r="BA441" s="7" t="s">
        <v>76</v>
      </c>
      <c r="BB441" s="7" t="s">
        <v>7995</v>
      </c>
      <c r="BC441" s="7"/>
      <c r="BD441" s="7"/>
      <c r="BE441" s="7"/>
      <c r="BF441" s="7"/>
      <c r="BG441" s="7"/>
      <c r="BH441" s="7"/>
      <c r="BI441" s="7"/>
    </row>
    <row r="442" customFormat="false" ht="14.25" hidden="false" customHeight="true" outlineLevel="0" collapsed="false">
      <c r="A442" s="7" t="s">
        <v>7996</v>
      </c>
      <c r="B442" s="7" t="s">
        <v>7997</v>
      </c>
      <c r="C442" s="7" t="s">
        <v>7998</v>
      </c>
      <c r="D442" s="7" t="s">
        <v>7999</v>
      </c>
      <c r="E442" s="7" t="n">
        <v>2022</v>
      </c>
      <c r="F442" s="8" t="s">
        <v>8000</v>
      </c>
      <c r="G442" s="6" t="s">
        <v>3714</v>
      </c>
      <c r="H442" s="7"/>
      <c r="I442" s="7"/>
      <c r="J442" s="7"/>
      <c r="K442" s="7"/>
      <c r="L442" s="7"/>
      <c r="M442" s="7"/>
      <c r="N442" s="7"/>
      <c r="O442" s="7"/>
      <c r="P442" s="7" t="s">
        <v>61</v>
      </c>
      <c r="Q442" s="7" t="s">
        <v>62</v>
      </c>
      <c r="R442" s="7" t="s">
        <v>8001</v>
      </c>
      <c r="S442" s="7" t="n">
        <v>2022</v>
      </c>
      <c r="T442" s="7" t="s">
        <v>7792</v>
      </c>
      <c r="U442" s="7"/>
      <c r="V442" s="7" t="n">
        <v>5669580</v>
      </c>
      <c r="W442" s="7"/>
      <c r="X442" s="7"/>
      <c r="Y442" s="7"/>
      <c r="Z442" s="7" t="s">
        <v>8002</v>
      </c>
      <c r="AA442" s="9" t="s">
        <v>8003</v>
      </c>
      <c r="AB442" s="7" t="s">
        <v>8004</v>
      </c>
      <c r="AC442" s="7" t="s">
        <v>8005</v>
      </c>
      <c r="AD442" s="7"/>
      <c r="AE442" s="7" t="s">
        <v>8006</v>
      </c>
      <c r="AF442" s="7"/>
      <c r="AG442" s="7"/>
      <c r="AH442" s="7"/>
      <c r="AI442" s="7"/>
      <c r="AJ442" s="10"/>
      <c r="AK442" s="7"/>
      <c r="AL442" s="7" t="s">
        <v>8007</v>
      </c>
      <c r="AM442" s="7" t="s">
        <v>8008</v>
      </c>
      <c r="AN442" s="7"/>
      <c r="AO442" s="7"/>
      <c r="AP442" s="7"/>
      <c r="AQ442" s="7"/>
      <c r="AR442" s="7"/>
      <c r="AS442" s="7"/>
      <c r="AT442" s="7" t="s">
        <v>8009</v>
      </c>
      <c r="AU442" s="7"/>
      <c r="AV442" s="7"/>
      <c r="AW442" s="7"/>
      <c r="AX442" s="7" t="s">
        <v>8010</v>
      </c>
      <c r="AY442" s="7" t="s">
        <v>75</v>
      </c>
      <c r="AZ442" s="7" t="s">
        <v>107</v>
      </c>
      <c r="BA442" s="7" t="s">
        <v>76</v>
      </c>
      <c r="BB442" s="7" t="s">
        <v>8011</v>
      </c>
      <c r="BC442" s="7"/>
      <c r="BD442" s="7"/>
      <c r="BE442" s="7"/>
      <c r="BF442" s="7"/>
      <c r="BG442" s="7"/>
      <c r="BH442" s="7"/>
      <c r="BI442" s="7"/>
    </row>
    <row r="443" customFormat="false" ht="14.25" hidden="false" customHeight="true" outlineLevel="0" collapsed="false">
      <c r="A443" s="7" t="s">
        <v>8012</v>
      </c>
      <c r="B443" s="7" t="s">
        <v>8013</v>
      </c>
      <c r="C443" s="7" t="s">
        <v>8014</v>
      </c>
      <c r="D443" s="7" t="s">
        <v>8015</v>
      </c>
      <c r="E443" s="7" t="n">
        <v>2022</v>
      </c>
      <c r="F443" s="8" t="s">
        <v>8016</v>
      </c>
      <c r="G443" s="6" t="s">
        <v>713</v>
      </c>
      <c r="H443" s="7"/>
      <c r="I443" s="7"/>
      <c r="J443" s="7"/>
      <c r="K443" s="7"/>
      <c r="L443" s="7"/>
      <c r="M443" s="7"/>
      <c r="N443" s="7"/>
      <c r="O443" s="7"/>
      <c r="P443" s="7" t="s">
        <v>61</v>
      </c>
      <c r="Q443" s="7" t="s">
        <v>62</v>
      </c>
      <c r="R443" s="7" t="s">
        <v>8017</v>
      </c>
      <c r="S443" s="7" t="n">
        <v>12</v>
      </c>
      <c r="T443" s="7" t="s">
        <v>4763</v>
      </c>
      <c r="U443" s="7"/>
      <c r="V443" s="7" t="n">
        <v>962272</v>
      </c>
      <c r="W443" s="7"/>
      <c r="X443" s="7"/>
      <c r="Y443" s="7"/>
      <c r="Z443" s="7" t="s">
        <v>8018</v>
      </c>
      <c r="AA443" s="9" t="s">
        <v>8019</v>
      </c>
      <c r="AB443" s="7" t="s">
        <v>8020</v>
      </c>
      <c r="AC443" s="7" t="s">
        <v>8021</v>
      </c>
      <c r="AD443" s="7" t="s">
        <v>8022</v>
      </c>
      <c r="AE443" s="7" t="s">
        <v>8023</v>
      </c>
      <c r="AF443" s="7"/>
      <c r="AG443" s="7" t="s">
        <v>8024</v>
      </c>
      <c r="AH443" s="7"/>
      <c r="AI443" s="7"/>
      <c r="AJ443" s="10" t="s">
        <v>8025</v>
      </c>
      <c r="AK443" s="7" t="s">
        <v>8026</v>
      </c>
      <c r="AL443" s="7" t="s">
        <v>8027</v>
      </c>
      <c r="AM443" s="7" t="s">
        <v>8028</v>
      </c>
      <c r="AN443" s="7"/>
      <c r="AO443" s="7"/>
      <c r="AP443" s="7"/>
      <c r="AQ443" s="7"/>
      <c r="AR443" s="7"/>
      <c r="AS443" s="7"/>
      <c r="AT443" s="7" t="s">
        <v>8029</v>
      </c>
      <c r="AU443" s="7"/>
      <c r="AV443" s="7"/>
      <c r="AW443" s="7"/>
      <c r="AX443" s="7" t="s">
        <v>8030</v>
      </c>
      <c r="AY443" s="7" t="s">
        <v>75</v>
      </c>
      <c r="AZ443" s="7" t="s">
        <v>107</v>
      </c>
      <c r="BA443" s="7" t="s">
        <v>76</v>
      </c>
      <c r="BB443" s="7" t="s">
        <v>8031</v>
      </c>
      <c r="BC443" s="7"/>
      <c r="BD443" s="7"/>
      <c r="BE443" s="7"/>
      <c r="BF443" s="7"/>
      <c r="BG443" s="7"/>
      <c r="BH443" s="7"/>
      <c r="BI443" s="7"/>
    </row>
    <row r="444" customFormat="false" ht="14.25" hidden="false" customHeight="true" outlineLevel="0" collapsed="false">
      <c r="A444" s="7" t="s">
        <v>8032</v>
      </c>
      <c r="B444" s="7" t="s">
        <v>8033</v>
      </c>
      <c r="C444" s="7" t="s">
        <v>8034</v>
      </c>
      <c r="D444" s="7" t="s">
        <v>8035</v>
      </c>
      <c r="E444" s="7" t="n">
        <v>2022</v>
      </c>
      <c r="F444" s="8" t="s">
        <v>8036</v>
      </c>
      <c r="G444" s="6" t="s">
        <v>149</v>
      </c>
      <c r="H444" s="7"/>
      <c r="I444" s="7"/>
      <c r="J444" s="7"/>
      <c r="K444" s="7"/>
      <c r="L444" s="7"/>
      <c r="M444" s="7"/>
      <c r="N444" s="7"/>
      <c r="O444" s="7"/>
      <c r="P444" s="7" t="s">
        <v>61</v>
      </c>
      <c r="Q444" s="7" t="s">
        <v>62</v>
      </c>
      <c r="R444" s="7" t="s">
        <v>8037</v>
      </c>
      <c r="S444" s="7" t="n">
        <v>73</v>
      </c>
      <c r="T444" s="7" t="s">
        <v>8038</v>
      </c>
      <c r="U444" s="7" t="n">
        <v>1</v>
      </c>
      <c r="V444" s="7"/>
      <c r="W444" s="7" t="n">
        <v>1723</v>
      </c>
      <c r="X444" s="7" t="n">
        <v>1745</v>
      </c>
      <c r="Y444" s="7" t="n">
        <v>22</v>
      </c>
      <c r="Z444" s="7" t="s">
        <v>8039</v>
      </c>
      <c r="AA444" s="9" t="s">
        <v>8040</v>
      </c>
      <c r="AB444" s="7" t="s">
        <v>8041</v>
      </c>
      <c r="AC444" s="7" t="s">
        <v>8042</v>
      </c>
      <c r="AD444" s="7" t="s">
        <v>8043</v>
      </c>
      <c r="AE444" s="7" t="s">
        <v>8044</v>
      </c>
      <c r="AF444" s="7"/>
      <c r="AG444" s="7"/>
      <c r="AH444" s="7"/>
      <c r="AI444" s="7"/>
      <c r="AJ444" s="10" t="s">
        <v>8045</v>
      </c>
      <c r="AK444" s="7" t="s">
        <v>8046</v>
      </c>
      <c r="AL444" s="7" t="s">
        <v>8047</v>
      </c>
      <c r="AM444" s="7" t="s">
        <v>8048</v>
      </c>
      <c r="AN444" s="7"/>
      <c r="AO444" s="7"/>
      <c r="AP444" s="7"/>
      <c r="AQ444" s="7"/>
      <c r="AR444" s="7"/>
      <c r="AS444" s="7"/>
      <c r="AT444" s="7" t="n">
        <v>15462218</v>
      </c>
      <c r="AU444" s="7"/>
      <c r="AV444" s="7"/>
      <c r="AW444" s="7"/>
      <c r="AX444" s="7" t="s">
        <v>8049</v>
      </c>
      <c r="AY444" s="7" t="s">
        <v>75</v>
      </c>
      <c r="AZ444" s="7" t="s">
        <v>127</v>
      </c>
      <c r="BA444" s="7" t="s">
        <v>76</v>
      </c>
      <c r="BB444" s="7" t="s">
        <v>8050</v>
      </c>
      <c r="BC444" s="7"/>
      <c r="BD444" s="7"/>
      <c r="BE444" s="7"/>
      <c r="BF444" s="7"/>
      <c r="BG444" s="7"/>
      <c r="BH444" s="7"/>
      <c r="BI444" s="7"/>
    </row>
    <row r="445" customFormat="false" ht="14.25" hidden="false" customHeight="true" outlineLevel="0" collapsed="false">
      <c r="A445" s="7" t="s">
        <v>8051</v>
      </c>
      <c r="B445" s="7" t="s">
        <v>8052</v>
      </c>
      <c r="C445" s="7" t="s">
        <v>8053</v>
      </c>
      <c r="D445" s="7" t="s">
        <v>8054</v>
      </c>
      <c r="E445" s="7" t="n">
        <v>2022</v>
      </c>
      <c r="F445" s="8" t="s">
        <v>8055</v>
      </c>
      <c r="G445" s="6" t="s">
        <v>349</v>
      </c>
      <c r="H445" s="7"/>
      <c r="I445" s="7"/>
      <c r="J445" s="7"/>
      <c r="K445" s="7"/>
      <c r="L445" s="7"/>
      <c r="M445" s="7"/>
      <c r="N445" s="7"/>
      <c r="O445" s="7"/>
      <c r="P445" s="7" t="s">
        <v>61</v>
      </c>
      <c r="Q445" s="7" t="s">
        <v>62</v>
      </c>
      <c r="R445" s="7" t="s">
        <v>8056</v>
      </c>
      <c r="S445" s="7" t="n">
        <v>11</v>
      </c>
      <c r="T445" s="7" t="s">
        <v>8057</v>
      </c>
      <c r="U445" s="7"/>
      <c r="V445" s="7" t="s">
        <v>8058</v>
      </c>
      <c r="W445" s="7"/>
      <c r="X445" s="7"/>
      <c r="Y445" s="7"/>
      <c r="Z445" s="7" t="s">
        <v>8059</v>
      </c>
      <c r="AA445" s="9" t="s">
        <v>8060</v>
      </c>
      <c r="AB445" s="7" t="s">
        <v>8061</v>
      </c>
      <c r="AC445" s="7" t="s">
        <v>8062</v>
      </c>
      <c r="AD445" s="7" t="s">
        <v>8063</v>
      </c>
      <c r="AE445" s="7" t="s">
        <v>8064</v>
      </c>
      <c r="AF445" s="7"/>
      <c r="AG445" s="7" t="s">
        <v>8065</v>
      </c>
      <c r="AH445" s="7"/>
      <c r="AI445" s="7"/>
      <c r="AJ445" s="10"/>
      <c r="AK445" s="7"/>
      <c r="AL445" s="7" t="s">
        <v>8066</v>
      </c>
      <c r="AM445" s="7" t="s">
        <v>8067</v>
      </c>
      <c r="AN445" s="7"/>
      <c r="AO445" s="7"/>
      <c r="AP445" s="7"/>
      <c r="AQ445" s="7"/>
      <c r="AR445" s="7"/>
      <c r="AS445" s="7"/>
      <c r="AT445" s="7" t="n">
        <v>20486790</v>
      </c>
      <c r="AU445" s="7"/>
      <c r="AV445" s="7"/>
      <c r="AW445" s="7" t="n">
        <v>35291280</v>
      </c>
      <c r="AX445" s="7" t="s">
        <v>8068</v>
      </c>
      <c r="AY445" s="7" t="s">
        <v>75</v>
      </c>
      <c r="AZ445" s="7" t="s">
        <v>107</v>
      </c>
      <c r="BA445" s="7" t="s">
        <v>76</v>
      </c>
      <c r="BB445" s="7" t="s">
        <v>8069</v>
      </c>
      <c r="BC445" s="7"/>
      <c r="BD445" s="7"/>
      <c r="BE445" s="7"/>
      <c r="BF445" s="7"/>
      <c r="BG445" s="7"/>
      <c r="BH445" s="7"/>
      <c r="BI445" s="7"/>
    </row>
    <row r="446" customFormat="false" ht="14.25" hidden="false" customHeight="true" outlineLevel="0" collapsed="false">
      <c r="A446" s="7" t="s">
        <v>8070</v>
      </c>
      <c r="B446" s="7" t="s">
        <v>8071</v>
      </c>
      <c r="C446" s="7" t="s">
        <v>8072</v>
      </c>
      <c r="D446" s="7" t="s">
        <v>8073</v>
      </c>
      <c r="E446" s="7" t="n">
        <v>2022</v>
      </c>
      <c r="F446" s="8" t="s">
        <v>8074</v>
      </c>
      <c r="G446" s="6" t="s">
        <v>3714</v>
      </c>
      <c r="H446" s="7"/>
      <c r="I446" s="7"/>
      <c r="J446" s="7"/>
      <c r="K446" s="7"/>
      <c r="L446" s="7"/>
      <c r="M446" s="7"/>
      <c r="N446" s="7"/>
      <c r="O446" s="7"/>
      <c r="P446" s="7" t="s">
        <v>61</v>
      </c>
      <c r="Q446" s="7" t="s">
        <v>62</v>
      </c>
      <c r="R446" s="7" t="s">
        <v>8075</v>
      </c>
      <c r="S446" s="7" t="n">
        <v>38</v>
      </c>
      <c r="T446" s="7" t="s">
        <v>307</v>
      </c>
      <c r="U446" s="7" t="n">
        <v>2</v>
      </c>
      <c r="V446" s="7"/>
      <c r="W446" s="7" t="n">
        <v>499</v>
      </c>
      <c r="X446" s="7" t="n">
        <v>537</v>
      </c>
      <c r="Y446" s="7" t="n">
        <v>38</v>
      </c>
      <c r="Z446" s="7" t="s">
        <v>8076</v>
      </c>
      <c r="AA446" s="9" t="s">
        <v>8077</v>
      </c>
      <c r="AB446" s="7" t="s">
        <v>8078</v>
      </c>
      <c r="AC446" s="7" t="s">
        <v>8079</v>
      </c>
      <c r="AD446" s="7" t="s">
        <v>8080</v>
      </c>
      <c r="AE446" s="7" t="s">
        <v>8081</v>
      </c>
      <c r="AF446" s="7"/>
      <c r="AG446" s="7"/>
      <c r="AH446" s="7"/>
      <c r="AI446" s="7"/>
      <c r="AJ446" s="10" t="s">
        <v>8082</v>
      </c>
      <c r="AK446" s="7" t="s">
        <v>8083</v>
      </c>
      <c r="AL446" s="7" t="s">
        <v>8084</v>
      </c>
      <c r="AM446" s="7" t="s">
        <v>8085</v>
      </c>
      <c r="AN446" s="7"/>
      <c r="AO446" s="7"/>
      <c r="AP446" s="7"/>
      <c r="AQ446" s="7"/>
      <c r="AR446" s="7"/>
      <c r="AS446" s="7"/>
      <c r="AT446" s="7" t="n">
        <v>24464732</v>
      </c>
      <c r="AU446" s="7"/>
      <c r="AV446" s="7"/>
      <c r="AW446" s="7"/>
      <c r="AX446" s="7" t="s">
        <v>8086</v>
      </c>
      <c r="AY446" s="7" t="s">
        <v>75</v>
      </c>
      <c r="AZ446" s="7"/>
      <c r="BA446" s="7" t="s">
        <v>76</v>
      </c>
      <c r="BB446" s="7" t="s">
        <v>8087</v>
      </c>
      <c r="BC446" s="7"/>
      <c r="BD446" s="7"/>
      <c r="BE446" s="7"/>
      <c r="BF446" s="7"/>
      <c r="BG446" s="7"/>
      <c r="BH446" s="7"/>
      <c r="BI446" s="7"/>
    </row>
    <row r="447" customFormat="false" ht="14.25" hidden="false" customHeight="true" outlineLevel="0" collapsed="false">
      <c r="A447" s="7" t="s">
        <v>8088</v>
      </c>
      <c r="B447" s="7" t="s">
        <v>8089</v>
      </c>
      <c r="C447" s="7" t="s">
        <v>8090</v>
      </c>
      <c r="D447" s="7" t="s">
        <v>8091</v>
      </c>
      <c r="E447" s="7" t="n">
        <v>2022</v>
      </c>
      <c r="F447" s="8" t="s">
        <v>8092</v>
      </c>
      <c r="G447" s="6" t="s">
        <v>290</v>
      </c>
      <c r="H447" s="7"/>
      <c r="I447" s="7"/>
      <c r="J447" s="7"/>
      <c r="K447" s="7"/>
      <c r="L447" s="7"/>
      <c r="M447" s="7"/>
      <c r="N447" s="7"/>
      <c r="O447" s="7"/>
      <c r="P447" s="7" t="s">
        <v>61</v>
      </c>
      <c r="Q447" s="7" t="s">
        <v>62</v>
      </c>
      <c r="R447" s="7" t="s">
        <v>8093</v>
      </c>
      <c r="S447" s="7" t="n">
        <v>14</v>
      </c>
      <c r="T447" s="7" t="s">
        <v>4048</v>
      </c>
      <c r="U447" s="7" t="n">
        <v>7</v>
      </c>
      <c r="V447" s="7" t="n">
        <v>1537</v>
      </c>
      <c r="W447" s="7"/>
      <c r="X447" s="7"/>
      <c r="Y447" s="7"/>
      <c r="Z447" s="7" t="s">
        <v>8094</v>
      </c>
      <c r="AA447" s="9" t="s">
        <v>8095</v>
      </c>
      <c r="AB447" s="7" t="s">
        <v>8096</v>
      </c>
      <c r="AC447" s="7" t="s">
        <v>8097</v>
      </c>
      <c r="AD447" s="7" t="s">
        <v>8098</v>
      </c>
      <c r="AE447" s="7" t="s">
        <v>8099</v>
      </c>
      <c r="AF447" s="7"/>
      <c r="AG447" s="7" t="s">
        <v>8100</v>
      </c>
      <c r="AH447" s="7"/>
      <c r="AI447" s="7"/>
      <c r="AJ447" s="10" t="s">
        <v>8101</v>
      </c>
      <c r="AK447" s="7" t="s">
        <v>8102</v>
      </c>
      <c r="AL447" s="7" t="s">
        <v>8103</v>
      </c>
      <c r="AM447" s="7" t="s">
        <v>8104</v>
      </c>
      <c r="AN447" s="7"/>
      <c r="AO447" s="7"/>
      <c r="AP447" s="7"/>
      <c r="AQ447" s="7"/>
      <c r="AR447" s="7"/>
      <c r="AS447" s="7"/>
      <c r="AT447" s="7" t="n">
        <v>19994915</v>
      </c>
      <c r="AU447" s="7"/>
      <c r="AV447" s="7"/>
      <c r="AW447" s="7"/>
      <c r="AX447" s="7" t="s">
        <v>8093</v>
      </c>
      <c r="AY447" s="7" t="s">
        <v>75</v>
      </c>
      <c r="AZ447" s="7" t="s">
        <v>107</v>
      </c>
      <c r="BA447" s="7" t="s">
        <v>76</v>
      </c>
      <c r="BB447" s="7" t="s">
        <v>8105</v>
      </c>
      <c r="BC447" s="7"/>
      <c r="BD447" s="7"/>
      <c r="BE447" s="7"/>
      <c r="BF447" s="7"/>
      <c r="BG447" s="7"/>
      <c r="BH447" s="7"/>
      <c r="BI447" s="7"/>
    </row>
    <row r="448" customFormat="false" ht="14.25" hidden="false" customHeight="true" outlineLevel="0" collapsed="false">
      <c r="A448" s="7" t="s">
        <v>8106</v>
      </c>
      <c r="B448" s="7" t="s">
        <v>8107</v>
      </c>
      <c r="C448" s="7" t="s">
        <v>8108</v>
      </c>
      <c r="D448" s="7" t="s">
        <v>8109</v>
      </c>
      <c r="E448" s="7" t="n">
        <v>2022</v>
      </c>
      <c r="F448" s="8" t="s">
        <v>8110</v>
      </c>
      <c r="G448" s="6" t="s">
        <v>149</v>
      </c>
      <c r="H448" s="7"/>
      <c r="I448" s="7"/>
      <c r="J448" s="7"/>
      <c r="K448" s="7"/>
      <c r="L448" s="7"/>
      <c r="M448" s="7"/>
      <c r="N448" s="7"/>
      <c r="O448" s="7"/>
      <c r="P448" s="7" t="s">
        <v>61</v>
      </c>
      <c r="Q448" s="7" t="s">
        <v>62</v>
      </c>
      <c r="R448" s="7" t="s">
        <v>1327</v>
      </c>
      <c r="S448" s="7" t="n">
        <v>13</v>
      </c>
      <c r="T448" s="7" t="s">
        <v>4763</v>
      </c>
      <c r="U448" s="7"/>
      <c r="V448" s="7" t="n">
        <v>899296</v>
      </c>
      <c r="W448" s="7"/>
      <c r="X448" s="7"/>
      <c r="Y448" s="7"/>
      <c r="Z448" s="7" t="s">
        <v>8111</v>
      </c>
      <c r="AA448" s="9" t="s">
        <v>8112</v>
      </c>
      <c r="AB448" s="7" t="s">
        <v>8113</v>
      </c>
      <c r="AC448" s="7" t="s">
        <v>8114</v>
      </c>
      <c r="AD448" s="7" t="s">
        <v>8115</v>
      </c>
      <c r="AE448" s="7" t="s">
        <v>8116</v>
      </c>
      <c r="AF448" s="7"/>
      <c r="AG448" s="7" t="s">
        <v>8117</v>
      </c>
      <c r="AH448" s="7"/>
      <c r="AI448" s="7"/>
      <c r="AJ448" s="10" t="s">
        <v>8118</v>
      </c>
      <c r="AK448" s="7" t="s">
        <v>8119</v>
      </c>
      <c r="AL448" s="7" t="s">
        <v>8120</v>
      </c>
      <c r="AM448" s="7" t="s">
        <v>8121</v>
      </c>
      <c r="AN448" s="7"/>
      <c r="AO448" s="7"/>
      <c r="AP448" s="7"/>
      <c r="AQ448" s="7"/>
      <c r="AR448" s="7"/>
      <c r="AS448" s="7"/>
      <c r="AT448" s="7" t="n">
        <v>16643224</v>
      </c>
      <c r="AU448" s="7"/>
      <c r="AV448" s="7"/>
      <c r="AW448" s="7" t="n">
        <v>35769481</v>
      </c>
      <c r="AX448" s="7" t="s">
        <v>1340</v>
      </c>
      <c r="AY448" s="7" t="s">
        <v>75</v>
      </c>
      <c r="AZ448" s="7" t="s">
        <v>107</v>
      </c>
      <c r="BA448" s="7" t="s">
        <v>76</v>
      </c>
      <c r="BB448" s="7" t="s">
        <v>8122</v>
      </c>
      <c r="BC448" s="7"/>
      <c r="BD448" s="7"/>
      <c r="BE448" s="7"/>
      <c r="BF448" s="7"/>
      <c r="BG448" s="7"/>
      <c r="BH448" s="7"/>
      <c r="BI448" s="7"/>
    </row>
    <row r="449" customFormat="false" ht="14.25" hidden="false" customHeight="true" outlineLevel="0" collapsed="false">
      <c r="A449" s="7" t="s">
        <v>8123</v>
      </c>
      <c r="B449" s="7" t="s">
        <v>8124</v>
      </c>
      <c r="C449" s="7" t="s">
        <v>8125</v>
      </c>
      <c r="D449" s="7" t="s">
        <v>8126</v>
      </c>
      <c r="E449" s="7" t="n">
        <v>2022</v>
      </c>
      <c r="F449" s="8" t="s">
        <v>8127</v>
      </c>
      <c r="G449" s="6" t="s">
        <v>149</v>
      </c>
      <c r="H449" s="7"/>
      <c r="I449" s="7"/>
      <c r="J449" s="7"/>
      <c r="K449" s="7"/>
      <c r="L449" s="7"/>
      <c r="M449" s="7"/>
      <c r="N449" s="7"/>
      <c r="O449" s="7"/>
      <c r="P449" s="7" t="s">
        <v>61</v>
      </c>
      <c r="Q449" s="7" t="s">
        <v>62</v>
      </c>
      <c r="R449" s="7" t="s">
        <v>902</v>
      </c>
      <c r="S449" s="7" t="n">
        <v>21</v>
      </c>
      <c r="T449" s="7" t="s">
        <v>903</v>
      </c>
      <c r="U449" s="7" t="n">
        <v>1</v>
      </c>
      <c r="V449" s="7" t="n">
        <v>233</v>
      </c>
      <c r="W449" s="7"/>
      <c r="X449" s="7"/>
      <c r="Y449" s="7"/>
      <c r="Z449" s="7" t="s">
        <v>8128</v>
      </c>
      <c r="AA449" s="9" t="s">
        <v>8129</v>
      </c>
      <c r="AB449" s="7" t="s">
        <v>8130</v>
      </c>
      <c r="AC449" s="7" t="s">
        <v>8131</v>
      </c>
      <c r="AD449" s="7" t="s">
        <v>8132</v>
      </c>
      <c r="AE449" s="7" t="s">
        <v>8133</v>
      </c>
      <c r="AF449" s="7"/>
      <c r="AG449" s="7" t="s">
        <v>8134</v>
      </c>
      <c r="AH449" s="7"/>
      <c r="AI449" s="7"/>
      <c r="AJ449" s="10" t="s">
        <v>8135</v>
      </c>
      <c r="AK449" s="7" t="s">
        <v>8136</v>
      </c>
      <c r="AL449" s="7" t="s">
        <v>8137</v>
      </c>
      <c r="AM449" s="7" t="s">
        <v>8138</v>
      </c>
      <c r="AN449" s="7"/>
      <c r="AO449" s="7"/>
      <c r="AP449" s="7"/>
      <c r="AQ449" s="7"/>
      <c r="AR449" s="7"/>
      <c r="AS449" s="7"/>
      <c r="AT449" s="7" t="n">
        <v>14752875</v>
      </c>
      <c r="AU449" s="7"/>
      <c r="AV449" s="7"/>
      <c r="AW449" s="7" t="n">
        <v>35922803</v>
      </c>
      <c r="AX449" s="7" t="s">
        <v>914</v>
      </c>
      <c r="AY449" s="7" t="s">
        <v>75</v>
      </c>
      <c r="AZ449" s="7" t="s">
        <v>107</v>
      </c>
      <c r="BA449" s="7" t="s">
        <v>76</v>
      </c>
      <c r="BB449" s="7" t="s">
        <v>8139</v>
      </c>
      <c r="BC449" s="7"/>
      <c r="BD449" s="7"/>
      <c r="BE449" s="7"/>
      <c r="BF449" s="7"/>
      <c r="BG449" s="7"/>
      <c r="BH449" s="7"/>
      <c r="BI449" s="7"/>
    </row>
    <row r="450" customFormat="false" ht="14.25" hidden="false" customHeight="true" outlineLevel="0" collapsed="false">
      <c r="A450" s="7" t="s">
        <v>8140</v>
      </c>
      <c r="B450" s="7" t="s">
        <v>8141</v>
      </c>
      <c r="C450" s="7" t="s">
        <v>8142</v>
      </c>
      <c r="D450" s="7" t="s">
        <v>8143</v>
      </c>
      <c r="E450" s="7" t="n">
        <v>2022</v>
      </c>
      <c r="F450" s="8" t="s">
        <v>8144</v>
      </c>
      <c r="G450" s="6" t="s">
        <v>713</v>
      </c>
      <c r="H450" s="7"/>
      <c r="I450" s="7"/>
      <c r="J450" s="7"/>
      <c r="K450" s="7"/>
      <c r="L450" s="7"/>
      <c r="M450" s="7"/>
      <c r="N450" s="7"/>
      <c r="O450" s="7"/>
      <c r="P450" s="7" t="s">
        <v>61</v>
      </c>
      <c r="Q450" s="7" t="s">
        <v>62</v>
      </c>
      <c r="R450" s="7" t="s">
        <v>8145</v>
      </c>
      <c r="S450" s="7" t="n">
        <v>10</v>
      </c>
      <c r="T450" s="7" t="s">
        <v>4763</v>
      </c>
      <c r="U450" s="7"/>
      <c r="V450" s="7" t="n">
        <v>839781</v>
      </c>
      <c r="W450" s="7"/>
      <c r="X450" s="7"/>
      <c r="Y450" s="7"/>
      <c r="Z450" s="7" t="s">
        <v>8146</v>
      </c>
      <c r="AA450" s="9" t="s">
        <v>8147</v>
      </c>
      <c r="AB450" s="7" t="s">
        <v>8148</v>
      </c>
      <c r="AC450" s="7" t="s">
        <v>8149</v>
      </c>
      <c r="AD450" s="7" t="s">
        <v>8150</v>
      </c>
      <c r="AE450" s="7" t="s">
        <v>8151</v>
      </c>
      <c r="AF450" s="7"/>
      <c r="AG450" s="7" t="s">
        <v>8152</v>
      </c>
      <c r="AH450" s="7" t="s">
        <v>8153</v>
      </c>
      <c r="AI450" s="7" t="s">
        <v>8154</v>
      </c>
      <c r="AJ450" s="10" t="s">
        <v>8155</v>
      </c>
      <c r="AK450" s="7" t="s">
        <v>8156</v>
      </c>
      <c r="AL450" s="7" t="s">
        <v>8157</v>
      </c>
      <c r="AM450" s="7" t="s">
        <v>8158</v>
      </c>
      <c r="AN450" s="7"/>
      <c r="AO450" s="7"/>
      <c r="AP450" s="7"/>
      <c r="AQ450" s="7"/>
      <c r="AR450" s="7"/>
      <c r="AS450" s="7"/>
      <c r="AT450" s="7" t="s">
        <v>8159</v>
      </c>
      <c r="AU450" s="7"/>
      <c r="AV450" s="7"/>
      <c r="AW450" s="7"/>
      <c r="AX450" s="7" t="s">
        <v>8160</v>
      </c>
      <c r="AY450" s="7" t="s">
        <v>75</v>
      </c>
      <c r="AZ450" s="7" t="s">
        <v>107</v>
      </c>
      <c r="BA450" s="7" t="s">
        <v>76</v>
      </c>
      <c r="BB450" s="7" t="s">
        <v>8161</v>
      </c>
      <c r="BC450" s="7"/>
      <c r="BD450" s="7"/>
      <c r="BE450" s="7"/>
      <c r="BF450" s="7"/>
      <c r="BG450" s="7"/>
      <c r="BH450" s="7"/>
      <c r="BI450" s="7"/>
    </row>
    <row r="451" customFormat="false" ht="14.25" hidden="false" customHeight="true" outlineLevel="0" collapsed="false">
      <c r="A451" s="7" t="s">
        <v>8162</v>
      </c>
      <c r="B451" s="7" t="s">
        <v>8163</v>
      </c>
      <c r="C451" s="7" t="s">
        <v>8164</v>
      </c>
      <c r="D451" s="7" t="s">
        <v>8165</v>
      </c>
      <c r="E451" s="7" t="n">
        <v>2022</v>
      </c>
      <c r="F451" s="8" t="s">
        <v>8166</v>
      </c>
      <c r="G451" s="6" t="s">
        <v>149</v>
      </c>
      <c r="H451" s="7"/>
      <c r="I451" s="7"/>
      <c r="J451" s="7"/>
      <c r="K451" s="7"/>
      <c r="L451" s="7"/>
      <c r="M451" s="7"/>
      <c r="N451" s="7"/>
      <c r="O451" s="7"/>
      <c r="P451" s="7" t="s">
        <v>61</v>
      </c>
      <c r="Q451" s="7" t="s">
        <v>62</v>
      </c>
      <c r="R451" s="7" t="s">
        <v>993</v>
      </c>
      <c r="S451" s="7" t="n">
        <v>17</v>
      </c>
      <c r="T451" s="7" t="s">
        <v>500</v>
      </c>
      <c r="U451" s="11" t="n">
        <v>45845</v>
      </c>
      <c r="V451" s="7" t="s">
        <v>8167</v>
      </c>
      <c r="W451" s="7"/>
      <c r="X451" s="7"/>
      <c r="Y451" s="7"/>
      <c r="Z451" s="7" t="s">
        <v>8168</v>
      </c>
      <c r="AA451" s="9" t="s">
        <v>8169</v>
      </c>
      <c r="AB451" s="7" t="s">
        <v>8170</v>
      </c>
      <c r="AC451" s="7" t="s">
        <v>8171</v>
      </c>
      <c r="AD451" s="7"/>
      <c r="AE451" s="7" t="s">
        <v>8172</v>
      </c>
      <c r="AF451" s="7"/>
      <c r="AG451" s="7" t="s">
        <v>8173</v>
      </c>
      <c r="AH451" s="7"/>
      <c r="AI451" s="7"/>
      <c r="AJ451" s="10" t="s">
        <v>8174</v>
      </c>
      <c r="AK451" s="7" t="s">
        <v>8175</v>
      </c>
      <c r="AL451" s="7" t="s">
        <v>8176</v>
      </c>
      <c r="AM451" s="7" t="s">
        <v>8177</v>
      </c>
      <c r="AN451" s="7"/>
      <c r="AO451" s="7"/>
      <c r="AP451" s="7"/>
      <c r="AQ451" s="7"/>
      <c r="AR451" s="7"/>
      <c r="AS451" s="7"/>
      <c r="AT451" s="7" t="n">
        <v>19326203</v>
      </c>
      <c r="AU451" s="7"/>
      <c r="AV451" s="7" t="s">
        <v>1007</v>
      </c>
      <c r="AW451" s="7" t="n">
        <v>35877771</v>
      </c>
      <c r="AX451" s="7" t="s">
        <v>993</v>
      </c>
      <c r="AY451" s="7" t="s">
        <v>75</v>
      </c>
      <c r="AZ451" s="7" t="s">
        <v>107</v>
      </c>
      <c r="BA451" s="7" t="s">
        <v>76</v>
      </c>
      <c r="BB451" s="7" t="s">
        <v>8178</v>
      </c>
      <c r="BC451" s="7"/>
      <c r="BD451" s="7"/>
      <c r="BE451" s="7"/>
      <c r="BF451" s="7"/>
      <c r="BG451" s="7"/>
      <c r="BH451" s="7"/>
      <c r="BI451" s="7"/>
    </row>
    <row r="452" customFormat="false" ht="14.25" hidden="false" customHeight="true" outlineLevel="0" collapsed="false">
      <c r="A452" s="7" t="s">
        <v>8179</v>
      </c>
      <c r="B452" s="7" t="s">
        <v>8180</v>
      </c>
      <c r="C452" s="7" t="s">
        <v>8181</v>
      </c>
      <c r="D452" s="7" t="s">
        <v>8182</v>
      </c>
      <c r="E452" s="7" t="n">
        <v>2022</v>
      </c>
      <c r="F452" s="8" t="s">
        <v>8183</v>
      </c>
      <c r="G452" s="6" t="s">
        <v>713</v>
      </c>
      <c r="H452" s="7"/>
      <c r="I452" s="7"/>
      <c r="J452" s="7"/>
      <c r="K452" s="7"/>
      <c r="L452" s="7"/>
      <c r="M452" s="7"/>
      <c r="N452" s="7"/>
      <c r="O452" s="7"/>
      <c r="P452" s="7" t="s">
        <v>61</v>
      </c>
      <c r="Q452" s="7" t="s">
        <v>62</v>
      </c>
      <c r="R452" s="7" t="s">
        <v>8184</v>
      </c>
      <c r="S452" s="7" t="n">
        <v>54</v>
      </c>
      <c r="T452" s="7" t="s">
        <v>4592</v>
      </c>
      <c r="U452" s="7" t="n">
        <v>6</v>
      </c>
      <c r="V452" s="7"/>
      <c r="W452" s="7" t="n">
        <v>425</v>
      </c>
      <c r="X452" s="7" t="n">
        <v>430</v>
      </c>
      <c r="Y452" s="7" t="n">
        <v>5</v>
      </c>
      <c r="Z452" s="7" t="s">
        <v>8185</v>
      </c>
      <c r="AA452" s="9" t="s">
        <v>8186</v>
      </c>
      <c r="AB452" s="7" t="s">
        <v>8187</v>
      </c>
      <c r="AC452" s="7" t="s">
        <v>8188</v>
      </c>
      <c r="AD452" s="7" t="s">
        <v>8189</v>
      </c>
      <c r="AE452" s="7" t="s">
        <v>8190</v>
      </c>
      <c r="AF452" s="7"/>
      <c r="AG452" s="7" t="s">
        <v>8191</v>
      </c>
      <c r="AH452" s="7" t="s">
        <v>8192</v>
      </c>
      <c r="AI452" s="7" t="s">
        <v>8193</v>
      </c>
      <c r="AJ452" s="10"/>
      <c r="AK452" s="7"/>
      <c r="AL452" s="7" t="s">
        <v>8194</v>
      </c>
      <c r="AM452" s="7" t="s">
        <v>8195</v>
      </c>
      <c r="AN452" s="7"/>
      <c r="AO452" s="7"/>
      <c r="AP452" s="7"/>
      <c r="AQ452" s="7"/>
      <c r="AR452" s="7"/>
      <c r="AS452" s="7"/>
      <c r="AT452" s="7" t="n">
        <v>23744235</v>
      </c>
      <c r="AU452" s="7"/>
      <c r="AV452" s="7"/>
      <c r="AW452" s="7" t="n">
        <v>35081857</v>
      </c>
      <c r="AX452" s="7" t="s">
        <v>8196</v>
      </c>
      <c r="AY452" s="7" t="s">
        <v>75</v>
      </c>
      <c r="AZ452" s="7"/>
      <c r="BA452" s="7" t="s">
        <v>76</v>
      </c>
      <c r="BB452" s="7" t="s">
        <v>8197</v>
      </c>
      <c r="BC452" s="7"/>
      <c r="BD452" s="7"/>
      <c r="BE452" s="7"/>
      <c r="BF452" s="7"/>
      <c r="BG452" s="7"/>
      <c r="BH452" s="7"/>
      <c r="BI452" s="7"/>
    </row>
    <row r="453" customFormat="false" ht="14.25" hidden="false" customHeight="true" outlineLevel="0" collapsed="false">
      <c r="A453" s="7" t="s">
        <v>8198</v>
      </c>
      <c r="B453" s="7" t="s">
        <v>8199</v>
      </c>
      <c r="C453" s="7" t="s">
        <v>8200</v>
      </c>
      <c r="D453" s="7" t="s">
        <v>8201</v>
      </c>
      <c r="E453" s="7" t="n">
        <v>2022</v>
      </c>
      <c r="F453" s="8" t="s">
        <v>8202</v>
      </c>
      <c r="G453" s="6" t="s">
        <v>149</v>
      </c>
      <c r="H453" s="7"/>
      <c r="I453" s="7"/>
      <c r="J453" s="7"/>
      <c r="K453" s="7"/>
      <c r="L453" s="7"/>
      <c r="M453" s="7"/>
      <c r="N453" s="7"/>
      <c r="O453" s="7"/>
      <c r="P453" s="7" t="s">
        <v>61</v>
      </c>
      <c r="Q453" s="7" t="s">
        <v>62</v>
      </c>
      <c r="R453" s="7" t="s">
        <v>993</v>
      </c>
      <c r="S453" s="7" t="n">
        <v>17</v>
      </c>
      <c r="T453" s="7" t="s">
        <v>500</v>
      </c>
      <c r="U453" s="11" t="n">
        <v>46003</v>
      </c>
      <c r="V453" s="7" t="s">
        <v>8203</v>
      </c>
      <c r="W453" s="7"/>
      <c r="X453" s="7"/>
      <c r="Y453" s="7"/>
      <c r="Z453" s="7" t="s">
        <v>8204</v>
      </c>
      <c r="AA453" s="9" t="s">
        <v>8205</v>
      </c>
      <c r="AB453" s="7" t="s">
        <v>8206</v>
      </c>
      <c r="AC453" s="7" t="s">
        <v>8207</v>
      </c>
      <c r="AD453" s="7"/>
      <c r="AE453" s="7" t="s">
        <v>8208</v>
      </c>
      <c r="AF453" s="7"/>
      <c r="AG453" s="7"/>
      <c r="AH453" s="7"/>
      <c r="AI453" s="7"/>
      <c r="AJ453" s="10" t="s">
        <v>8209</v>
      </c>
      <c r="AK453" s="7" t="s">
        <v>8210</v>
      </c>
      <c r="AL453" s="7" t="s">
        <v>8211</v>
      </c>
      <c r="AM453" s="7" t="s">
        <v>8212</v>
      </c>
      <c r="AN453" s="7"/>
      <c r="AO453" s="7"/>
      <c r="AP453" s="7"/>
      <c r="AQ453" s="7"/>
      <c r="AR453" s="7"/>
      <c r="AS453" s="7"/>
      <c r="AT453" s="7" t="n">
        <v>19326203</v>
      </c>
      <c r="AU453" s="7"/>
      <c r="AV453" s="7" t="s">
        <v>1007</v>
      </c>
      <c r="AW453" s="7" t="n">
        <v>36584050</v>
      </c>
      <c r="AX453" s="7" t="s">
        <v>993</v>
      </c>
      <c r="AY453" s="7" t="s">
        <v>75</v>
      </c>
      <c r="AZ453" s="7" t="s">
        <v>107</v>
      </c>
      <c r="BA453" s="7" t="s">
        <v>76</v>
      </c>
      <c r="BB453" s="7" t="s">
        <v>8213</v>
      </c>
      <c r="BC453" s="7"/>
      <c r="BD453" s="7"/>
      <c r="BE453" s="7"/>
      <c r="BF453" s="7"/>
      <c r="BG453" s="7"/>
      <c r="BH453" s="7"/>
      <c r="BI453" s="7"/>
    </row>
    <row r="454" customFormat="false" ht="14.25" hidden="false" customHeight="true" outlineLevel="0" collapsed="false">
      <c r="A454" s="7" t="s">
        <v>8214</v>
      </c>
      <c r="B454" s="7" t="s">
        <v>8215</v>
      </c>
      <c r="C454" s="7" t="s">
        <v>8216</v>
      </c>
      <c r="D454" s="7" t="s">
        <v>8217</v>
      </c>
      <c r="E454" s="7" t="n">
        <v>2022</v>
      </c>
      <c r="F454" s="8" t="s">
        <v>8218</v>
      </c>
      <c r="G454" s="6" t="s">
        <v>713</v>
      </c>
      <c r="H454" s="7"/>
      <c r="I454" s="7"/>
      <c r="J454" s="7"/>
      <c r="K454" s="7"/>
      <c r="L454" s="7"/>
      <c r="M454" s="7"/>
      <c r="N454" s="7"/>
      <c r="O454" s="7"/>
      <c r="P454" s="7" t="s">
        <v>255</v>
      </c>
      <c r="Q454" s="7" t="s">
        <v>62</v>
      </c>
      <c r="R454" s="7" t="s">
        <v>5139</v>
      </c>
      <c r="S454" s="7" t="n">
        <v>91</v>
      </c>
      <c r="T454" s="7" t="s">
        <v>307</v>
      </c>
      <c r="U454" s="7"/>
      <c r="V454" s="7"/>
      <c r="W454" s="7" t="n">
        <v>275</v>
      </c>
      <c r="X454" s="7" t="n">
        <v>292</v>
      </c>
      <c r="Y454" s="7" t="n">
        <v>17</v>
      </c>
      <c r="Z454" s="7" t="s">
        <v>8219</v>
      </c>
      <c r="AA454" s="9" t="s">
        <v>8220</v>
      </c>
      <c r="AB454" s="7" t="s">
        <v>8221</v>
      </c>
      <c r="AC454" s="7" t="s">
        <v>8222</v>
      </c>
      <c r="AD454" s="7" t="s">
        <v>8223</v>
      </c>
      <c r="AE454" s="7" t="s">
        <v>8224</v>
      </c>
      <c r="AF454" s="7"/>
      <c r="AG454" s="7"/>
      <c r="AH454" s="7"/>
      <c r="AI454" s="7"/>
      <c r="AJ454" s="10"/>
      <c r="AK454" s="7"/>
      <c r="AL454" s="7" t="s">
        <v>8225</v>
      </c>
      <c r="AM454" s="7" t="s">
        <v>8226</v>
      </c>
      <c r="AN454" s="7"/>
      <c r="AO454" s="7"/>
      <c r="AP454" s="7"/>
      <c r="AQ454" s="7"/>
      <c r="AR454" s="7"/>
      <c r="AS454" s="7"/>
      <c r="AT454" s="7" t="n">
        <v>23674512</v>
      </c>
      <c r="AU454" s="7"/>
      <c r="AV454" s="7"/>
      <c r="AW454" s="7"/>
      <c r="AX454" s="7" t="s">
        <v>5148</v>
      </c>
      <c r="AY454" s="7" t="s">
        <v>75</v>
      </c>
      <c r="AZ454" s="7"/>
      <c r="BA454" s="7" t="s">
        <v>76</v>
      </c>
      <c r="BB454" s="7" t="s">
        <v>8227</v>
      </c>
      <c r="BC454" s="7"/>
      <c r="BD454" s="7"/>
      <c r="BE454" s="7"/>
      <c r="BF454" s="7"/>
      <c r="BG454" s="7"/>
      <c r="BH454" s="7"/>
      <c r="BI454" s="7"/>
    </row>
    <row r="455" customFormat="false" ht="14.25" hidden="false" customHeight="true" outlineLevel="0" collapsed="false">
      <c r="A455" s="7" t="s">
        <v>8228</v>
      </c>
      <c r="B455" s="7" t="s">
        <v>8229</v>
      </c>
      <c r="C455" s="7" t="s">
        <v>8230</v>
      </c>
      <c r="D455" s="7" t="s">
        <v>8231</v>
      </c>
      <c r="E455" s="7" t="n">
        <v>2022</v>
      </c>
      <c r="F455" s="8" t="s">
        <v>8232</v>
      </c>
      <c r="G455" s="6" t="s">
        <v>713</v>
      </c>
      <c r="H455" s="7"/>
      <c r="I455" s="7"/>
      <c r="J455" s="7"/>
      <c r="K455" s="7"/>
      <c r="L455" s="7"/>
      <c r="M455" s="7"/>
      <c r="N455" s="7"/>
      <c r="O455" s="7"/>
      <c r="P455" s="7" t="s">
        <v>255</v>
      </c>
      <c r="Q455" s="7" t="s">
        <v>62</v>
      </c>
      <c r="R455" s="7" t="s">
        <v>956</v>
      </c>
      <c r="S455" s="7"/>
      <c r="T455" s="7" t="s">
        <v>8233</v>
      </c>
      <c r="U455" s="7"/>
      <c r="V455" s="7"/>
      <c r="W455" s="7" t="n">
        <v>1353</v>
      </c>
      <c r="X455" s="7" t="n">
        <v>1368</v>
      </c>
      <c r="Y455" s="7" t="n">
        <v>15</v>
      </c>
      <c r="Z455" s="7" t="s">
        <v>8234</v>
      </c>
      <c r="AA455" s="9" t="s">
        <v>8235</v>
      </c>
      <c r="AB455" s="7" t="s">
        <v>8236</v>
      </c>
      <c r="AC455" s="7" t="s">
        <v>8237</v>
      </c>
      <c r="AD455" s="7" t="s">
        <v>8238</v>
      </c>
      <c r="AE455" s="7"/>
      <c r="AF455" s="7"/>
      <c r="AG455" s="7"/>
      <c r="AH455" s="7"/>
      <c r="AI455" s="7"/>
      <c r="AJ455" s="10"/>
      <c r="AK455" s="7"/>
      <c r="AL455" s="7" t="s">
        <v>8239</v>
      </c>
      <c r="AM455" s="7"/>
      <c r="AN455" s="7"/>
      <c r="AO455" s="7"/>
      <c r="AP455" s="7"/>
      <c r="AQ455" s="7"/>
      <c r="AR455" s="7"/>
      <c r="AS455" s="7"/>
      <c r="AT455" s="7"/>
      <c r="AU455" s="7" t="s">
        <v>8240</v>
      </c>
      <c r="AV455" s="7"/>
      <c r="AW455" s="7"/>
      <c r="AX455" s="7" t="s">
        <v>956</v>
      </c>
      <c r="AY455" s="7" t="s">
        <v>75</v>
      </c>
      <c r="AZ455" s="7"/>
      <c r="BA455" s="7" t="s">
        <v>76</v>
      </c>
      <c r="BB455" s="7" t="s">
        <v>8241</v>
      </c>
      <c r="BC455" s="7"/>
      <c r="BD455" s="7"/>
      <c r="BE455" s="7"/>
      <c r="BF455" s="7"/>
      <c r="BG455" s="7"/>
      <c r="BH455" s="7"/>
      <c r="BI455" s="7"/>
    </row>
    <row r="456" customFormat="false" ht="14.25" hidden="false" customHeight="true" outlineLevel="0" collapsed="false">
      <c r="A456" s="7" t="s">
        <v>8242</v>
      </c>
      <c r="B456" s="7" t="s">
        <v>8243</v>
      </c>
      <c r="C456" s="7" t="s">
        <v>8244</v>
      </c>
      <c r="D456" s="7" t="s">
        <v>8245</v>
      </c>
      <c r="E456" s="7" t="n">
        <v>2022</v>
      </c>
      <c r="F456" s="8" t="s">
        <v>8246</v>
      </c>
      <c r="G456" s="6" t="s">
        <v>1686</v>
      </c>
      <c r="H456" s="7"/>
      <c r="I456" s="7"/>
      <c r="J456" s="7"/>
      <c r="K456" s="7"/>
      <c r="L456" s="7"/>
      <c r="M456" s="7"/>
      <c r="N456" s="7"/>
      <c r="O456" s="7"/>
      <c r="P456" s="7" t="s">
        <v>255</v>
      </c>
      <c r="Q456" s="7" t="s">
        <v>62</v>
      </c>
      <c r="R456" s="7" t="s">
        <v>8247</v>
      </c>
      <c r="S456" s="7"/>
      <c r="T456" s="7" t="s">
        <v>8248</v>
      </c>
      <c r="U456" s="7"/>
      <c r="V456" s="7"/>
      <c r="W456" s="7" t="n">
        <v>25</v>
      </c>
      <c r="X456" s="7" t="n">
        <v>46</v>
      </c>
      <c r="Y456" s="7" t="n">
        <v>21</v>
      </c>
      <c r="Z456" s="7"/>
      <c r="AA456" s="9" t="s">
        <v>8249</v>
      </c>
      <c r="AB456" s="7" t="s">
        <v>8250</v>
      </c>
      <c r="AC456" s="7" t="s">
        <v>8251</v>
      </c>
      <c r="AD456" s="7"/>
      <c r="AE456" s="7"/>
      <c r="AF456" s="7"/>
      <c r="AG456" s="7"/>
      <c r="AH456" s="7"/>
      <c r="AI456" s="7"/>
      <c r="AJ456" s="10"/>
      <c r="AK456" s="7"/>
      <c r="AL456" s="7" t="s">
        <v>8252</v>
      </c>
      <c r="AM456" s="7" t="s">
        <v>8253</v>
      </c>
      <c r="AN456" s="7"/>
      <c r="AO456" s="7"/>
      <c r="AP456" s="7"/>
      <c r="AQ456" s="7"/>
      <c r="AR456" s="7"/>
      <c r="AS456" s="7"/>
      <c r="AT456" s="7"/>
      <c r="AU456" s="7" t="s">
        <v>8254</v>
      </c>
      <c r="AV456" s="7"/>
      <c r="AW456" s="7"/>
      <c r="AX456" s="7" t="s">
        <v>8255</v>
      </c>
      <c r="AY456" s="7" t="s">
        <v>75</v>
      </c>
      <c r="AZ456" s="7"/>
      <c r="BA456" s="7" t="s">
        <v>76</v>
      </c>
      <c r="BB456" s="7" t="s">
        <v>8256</v>
      </c>
      <c r="BC456" s="7"/>
      <c r="BD456" s="7"/>
      <c r="BE456" s="7"/>
      <c r="BF456" s="7"/>
      <c r="BG456" s="7"/>
      <c r="BH456" s="7"/>
      <c r="BI456" s="7"/>
    </row>
    <row r="457" customFormat="false" ht="14.25" hidden="false" customHeight="true" outlineLevel="0" collapsed="false">
      <c r="A457" s="7" t="s">
        <v>8257</v>
      </c>
      <c r="B457" s="7" t="s">
        <v>8258</v>
      </c>
      <c r="C457" s="7" t="s">
        <v>8259</v>
      </c>
      <c r="D457" s="7" t="s">
        <v>8260</v>
      </c>
      <c r="E457" s="7" t="n">
        <v>2022</v>
      </c>
      <c r="F457" s="8" t="s">
        <v>8261</v>
      </c>
      <c r="G457" s="6" t="s">
        <v>713</v>
      </c>
      <c r="H457" s="7"/>
      <c r="I457" s="7"/>
      <c r="J457" s="7"/>
      <c r="K457" s="7"/>
      <c r="L457" s="7"/>
      <c r="M457" s="7"/>
      <c r="N457" s="7"/>
      <c r="O457" s="7"/>
      <c r="P457" s="7" t="s">
        <v>255</v>
      </c>
      <c r="Q457" s="7" t="s">
        <v>62</v>
      </c>
      <c r="R457" s="7" t="s">
        <v>8262</v>
      </c>
      <c r="S457" s="7"/>
      <c r="T457" s="7" t="s">
        <v>258</v>
      </c>
      <c r="U457" s="7"/>
      <c r="V457" s="7"/>
      <c r="W457" s="7" t="n">
        <v>1</v>
      </c>
      <c r="X457" s="7" t="n">
        <v>15</v>
      </c>
      <c r="Y457" s="7" t="n">
        <v>14</v>
      </c>
      <c r="Z457" s="7" t="s">
        <v>8263</v>
      </c>
      <c r="AA457" s="9" t="s">
        <v>8264</v>
      </c>
      <c r="AB457" s="7" t="s">
        <v>8265</v>
      </c>
      <c r="AC457" s="7" t="s">
        <v>8266</v>
      </c>
      <c r="AD457" s="7" t="s">
        <v>8267</v>
      </c>
      <c r="AE457" s="7"/>
      <c r="AF457" s="7"/>
      <c r="AG457" s="7"/>
      <c r="AH457" s="7"/>
      <c r="AI457" s="7"/>
      <c r="AJ457" s="10"/>
      <c r="AK457" s="7"/>
      <c r="AL457" s="7" t="s">
        <v>8268</v>
      </c>
      <c r="AM457" s="7" t="s">
        <v>8269</v>
      </c>
      <c r="AN457" s="7"/>
      <c r="AO457" s="7"/>
      <c r="AP457" s="7"/>
      <c r="AQ457" s="7"/>
      <c r="AR457" s="7"/>
      <c r="AS457" s="7"/>
      <c r="AT457" s="7"/>
      <c r="AU457" s="7" t="s">
        <v>8270</v>
      </c>
      <c r="AV457" s="7"/>
      <c r="AW457" s="7"/>
      <c r="AX457" s="7" t="s">
        <v>8262</v>
      </c>
      <c r="AY457" s="7" t="s">
        <v>75</v>
      </c>
      <c r="AZ457" s="7"/>
      <c r="BA457" s="7" t="s">
        <v>76</v>
      </c>
      <c r="BB457" s="7" t="s">
        <v>8271</v>
      </c>
      <c r="BC457" s="7"/>
      <c r="BD457" s="7"/>
      <c r="BE457" s="7"/>
      <c r="BF457" s="7"/>
      <c r="BG457" s="7"/>
      <c r="BH457" s="7"/>
      <c r="BI457" s="7"/>
    </row>
    <row r="458" customFormat="false" ht="14.25" hidden="false" customHeight="true" outlineLevel="0" collapsed="false">
      <c r="A458" s="7" t="s">
        <v>8272</v>
      </c>
      <c r="B458" s="7" t="s">
        <v>8273</v>
      </c>
      <c r="C458" s="7" t="s">
        <v>8274</v>
      </c>
      <c r="D458" s="7" t="s">
        <v>8275</v>
      </c>
      <c r="E458" s="7" t="n">
        <v>2022</v>
      </c>
      <c r="F458" s="8" t="s">
        <v>8276</v>
      </c>
      <c r="G458" s="6" t="s">
        <v>713</v>
      </c>
      <c r="H458" s="7"/>
      <c r="I458" s="7"/>
      <c r="J458" s="7"/>
      <c r="K458" s="7"/>
      <c r="L458" s="7"/>
      <c r="M458" s="7"/>
      <c r="N458" s="7"/>
      <c r="O458" s="7"/>
      <c r="P458" s="7" t="s">
        <v>255</v>
      </c>
      <c r="Q458" s="7" t="s">
        <v>62</v>
      </c>
      <c r="R458" s="7" t="s">
        <v>5139</v>
      </c>
      <c r="S458" s="7" t="n">
        <v>91</v>
      </c>
      <c r="T458" s="7" t="s">
        <v>307</v>
      </c>
      <c r="U458" s="7"/>
      <c r="V458" s="7"/>
      <c r="W458" s="7" t="n">
        <v>459</v>
      </c>
      <c r="X458" s="7" t="n">
        <v>470</v>
      </c>
      <c r="Y458" s="7" t="n">
        <v>11</v>
      </c>
      <c r="Z458" s="7" t="s">
        <v>8277</v>
      </c>
      <c r="AA458" s="9" t="s">
        <v>8278</v>
      </c>
      <c r="AB458" s="7" t="s">
        <v>8279</v>
      </c>
      <c r="AC458" s="7" t="s">
        <v>8280</v>
      </c>
      <c r="AD458" s="7" t="s">
        <v>8281</v>
      </c>
      <c r="AE458" s="7" t="s">
        <v>8282</v>
      </c>
      <c r="AF458" s="7"/>
      <c r="AG458" s="7"/>
      <c r="AH458" s="7"/>
      <c r="AI458" s="7"/>
      <c r="AJ458" s="10"/>
      <c r="AK458" s="7"/>
      <c r="AL458" s="7" t="s">
        <v>8283</v>
      </c>
      <c r="AM458" s="7" t="s">
        <v>8284</v>
      </c>
      <c r="AN458" s="7"/>
      <c r="AO458" s="7"/>
      <c r="AP458" s="7"/>
      <c r="AQ458" s="7"/>
      <c r="AR458" s="7"/>
      <c r="AS458" s="7"/>
      <c r="AT458" s="7" t="n">
        <v>23674512</v>
      </c>
      <c r="AU458" s="7"/>
      <c r="AV458" s="7"/>
      <c r="AW458" s="7"/>
      <c r="AX458" s="7" t="s">
        <v>5148</v>
      </c>
      <c r="AY458" s="7" t="s">
        <v>75</v>
      </c>
      <c r="AZ458" s="7"/>
      <c r="BA458" s="7" t="s">
        <v>76</v>
      </c>
      <c r="BB458" s="7" t="s">
        <v>8285</v>
      </c>
      <c r="BC458" s="7"/>
      <c r="BD458" s="7"/>
      <c r="BE458" s="7"/>
      <c r="BF458" s="7"/>
      <c r="BG458" s="7"/>
      <c r="BH458" s="7"/>
      <c r="BI458" s="7"/>
    </row>
    <row r="459" customFormat="false" ht="14.25" hidden="false" customHeight="true" outlineLevel="0" collapsed="false">
      <c r="A459" s="7" t="s">
        <v>8286</v>
      </c>
      <c r="B459" s="7" t="s">
        <v>8287</v>
      </c>
      <c r="C459" s="7" t="s">
        <v>8288</v>
      </c>
      <c r="D459" s="7" t="s">
        <v>8289</v>
      </c>
      <c r="E459" s="7" t="n">
        <v>2022</v>
      </c>
      <c r="F459" s="8" t="s">
        <v>8290</v>
      </c>
      <c r="G459" s="6" t="s">
        <v>149</v>
      </c>
      <c r="H459" s="7"/>
      <c r="I459" s="7"/>
      <c r="J459" s="7"/>
      <c r="K459" s="7"/>
      <c r="L459" s="7"/>
      <c r="M459" s="7"/>
      <c r="N459" s="7"/>
      <c r="O459" s="7"/>
      <c r="P459" s="7" t="s">
        <v>255</v>
      </c>
      <c r="Q459" s="7" t="s">
        <v>62</v>
      </c>
      <c r="R459" s="7" t="s">
        <v>8291</v>
      </c>
      <c r="S459" s="7" t="n">
        <v>1368</v>
      </c>
      <c r="T459" s="7" t="s">
        <v>586</v>
      </c>
      <c r="U459" s="7"/>
      <c r="V459" s="7"/>
      <c r="W459" s="7" t="n">
        <v>21</v>
      </c>
      <c r="X459" s="7" t="n">
        <v>52</v>
      </c>
      <c r="Y459" s="7" t="n">
        <v>31</v>
      </c>
      <c r="Z459" s="7" t="s">
        <v>8292</v>
      </c>
      <c r="AA459" s="9" t="s">
        <v>8293</v>
      </c>
      <c r="AB459" s="7" t="s">
        <v>8294</v>
      </c>
      <c r="AC459" s="7" t="s">
        <v>8295</v>
      </c>
      <c r="AD459" s="7" t="s">
        <v>8296</v>
      </c>
      <c r="AE459" s="7" t="s">
        <v>8297</v>
      </c>
      <c r="AF459" s="7"/>
      <c r="AG459" s="7"/>
      <c r="AH459" s="7"/>
      <c r="AI459" s="7"/>
      <c r="AJ459" s="10"/>
      <c r="AK459" s="7"/>
      <c r="AL459" s="7" t="s">
        <v>8298</v>
      </c>
      <c r="AM459" s="7" t="s">
        <v>8299</v>
      </c>
      <c r="AN459" s="7"/>
      <c r="AO459" s="7"/>
      <c r="AP459" s="7"/>
      <c r="AQ459" s="7"/>
      <c r="AR459" s="7"/>
      <c r="AS459" s="7"/>
      <c r="AT459" s="7" t="n">
        <v>652598</v>
      </c>
      <c r="AU459" s="7"/>
      <c r="AV459" s="7" t="s">
        <v>8300</v>
      </c>
      <c r="AW459" s="7" t="n">
        <v>35594019</v>
      </c>
      <c r="AX459" s="7" t="s">
        <v>8301</v>
      </c>
      <c r="AY459" s="7" t="s">
        <v>75</v>
      </c>
      <c r="AZ459" s="7"/>
      <c r="BA459" s="7" t="s">
        <v>76</v>
      </c>
      <c r="BB459" s="7" t="s">
        <v>8302</v>
      </c>
      <c r="BC459" s="7"/>
      <c r="BD459" s="7"/>
      <c r="BE459" s="7"/>
      <c r="BF459" s="7"/>
      <c r="BG459" s="7"/>
      <c r="BH459" s="7"/>
      <c r="BI459" s="7"/>
    </row>
    <row r="460" customFormat="false" ht="14.25" hidden="false" customHeight="true" outlineLevel="0" collapsed="false">
      <c r="A460" s="7" t="s">
        <v>8303</v>
      </c>
      <c r="B460" s="7" t="s">
        <v>8304</v>
      </c>
      <c r="C460" s="7" t="s">
        <v>8305</v>
      </c>
      <c r="D460" s="7" t="s">
        <v>8306</v>
      </c>
      <c r="E460" s="7" t="n">
        <v>2022</v>
      </c>
      <c r="F460" s="8" t="s">
        <v>8307</v>
      </c>
      <c r="G460" s="6" t="s">
        <v>713</v>
      </c>
      <c r="H460" s="7"/>
      <c r="I460" s="7"/>
      <c r="J460" s="7"/>
      <c r="K460" s="7"/>
      <c r="L460" s="7"/>
      <c r="M460" s="7"/>
      <c r="N460" s="7"/>
      <c r="O460" s="7"/>
      <c r="P460" s="7" t="s">
        <v>255</v>
      </c>
      <c r="Q460" s="7" t="s">
        <v>62</v>
      </c>
      <c r="R460" s="7" t="s">
        <v>8308</v>
      </c>
      <c r="S460" s="7"/>
      <c r="T460" s="7" t="s">
        <v>274</v>
      </c>
      <c r="U460" s="7"/>
      <c r="V460" s="7"/>
      <c r="W460" s="7" t="n">
        <v>139</v>
      </c>
      <c r="X460" s="7" t="n">
        <v>152</v>
      </c>
      <c r="Y460" s="7" t="n">
        <v>13</v>
      </c>
      <c r="Z460" s="7" t="s">
        <v>8309</v>
      </c>
      <c r="AA460" s="9" t="s">
        <v>8310</v>
      </c>
      <c r="AB460" s="7" t="s">
        <v>8311</v>
      </c>
      <c r="AC460" s="7" t="s">
        <v>8312</v>
      </c>
      <c r="AD460" s="7"/>
      <c r="AE460" s="7"/>
      <c r="AF460" s="7"/>
      <c r="AG460" s="7"/>
      <c r="AH460" s="7"/>
      <c r="AI460" s="7"/>
      <c r="AJ460" s="10"/>
      <c r="AK460" s="7"/>
      <c r="AL460" s="7" t="s">
        <v>8313</v>
      </c>
      <c r="AM460" s="7"/>
      <c r="AN460" s="7"/>
      <c r="AO460" s="7"/>
      <c r="AP460" s="7"/>
      <c r="AQ460" s="7"/>
      <c r="AR460" s="7"/>
      <c r="AS460" s="7"/>
      <c r="AT460" s="7"/>
      <c r="AU460" s="7" t="s">
        <v>8314</v>
      </c>
      <c r="AV460" s="7"/>
      <c r="AW460" s="7"/>
      <c r="AX460" s="7" t="s">
        <v>8308</v>
      </c>
      <c r="AY460" s="7" t="s">
        <v>75</v>
      </c>
      <c r="AZ460" s="7"/>
      <c r="BA460" s="7" t="s">
        <v>76</v>
      </c>
      <c r="BB460" s="7" t="s">
        <v>8315</v>
      </c>
      <c r="BC460" s="7"/>
      <c r="BD460" s="7"/>
      <c r="BE460" s="7"/>
      <c r="BF460" s="7"/>
      <c r="BG460" s="7"/>
      <c r="BH460" s="7"/>
      <c r="BI460" s="7"/>
    </row>
    <row r="461" customFormat="false" ht="14.25" hidden="false" customHeight="true" outlineLevel="0" collapsed="false">
      <c r="A461" s="7" t="s">
        <v>8316</v>
      </c>
      <c r="B461" s="7" t="s">
        <v>8317</v>
      </c>
      <c r="C461" s="7" t="s">
        <v>8318</v>
      </c>
      <c r="D461" s="7" t="s">
        <v>8319</v>
      </c>
      <c r="E461" s="7" t="n">
        <v>2022</v>
      </c>
      <c r="F461" s="8" t="s">
        <v>8320</v>
      </c>
      <c r="G461" s="6" t="s">
        <v>1159</v>
      </c>
      <c r="H461" s="7"/>
      <c r="I461" s="7"/>
      <c r="J461" s="7"/>
      <c r="K461" s="7"/>
      <c r="L461" s="7"/>
      <c r="M461" s="7"/>
      <c r="N461" s="7"/>
      <c r="O461" s="7"/>
      <c r="P461" s="7" t="s">
        <v>255</v>
      </c>
      <c r="Q461" s="7" t="s">
        <v>62</v>
      </c>
      <c r="R461" s="7" t="s">
        <v>8321</v>
      </c>
      <c r="S461" s="7"/>
      <c r="T461" s="7" t="s">
        <v>274</v>
      </c>
      <c r="U461" s="7"/>
      <c r="V461" s="7"/>
      <c r="W461" s="7" t="n">
        <v>203</v>
      </c>
      <c r="X461" s="7" t="n">
        <v>218</v>
      </c>
      <c r="Y461" s="7" t="n">
        <v>15</v>
      </c>
      <c r="Z461" s="7" t="s">
        <v>8322</v>
      </c>
      <c r="AA461" s="9" t="s">
        <v>8323</v>
      </c>
      <c r="AB461" s="7" t="s">
        <v>8324</v>
      </c>
      <c r="AC461" s="7" t="s">
        <v>8325</v>
      </c>
      <c r="AD461" s="7"/>
      <c r="AE461" s="7"/>
      <c r="AF461" s="7"/>
      <c r="AG461" s="7"/>
      <c r="AH461" s="7"/>
      <c r="AI461" s="7"/>
      <c r="AJ461" s="10"/>
      <c r="AK461" s="7"/>
      <c r="AL461" s="7" t="s">
        <v>8326</v>
      </c>
      <c r="AM461" s="7"/>
      <c r="AN461" s="7"/>
      <c r="AO461" s="7"/>
      <c r="AP461" s="7"/>
      <c r="AQ461" s="7"/>
      <c r="AR461" s="7"/>
      <c r="AS461" s="7"/>
      <c r="AT461" s="7"/>
      <c r="AU461" s="7" t="s">
        <v>8327</v>
      </c>
      <c r="AV461" s="7"/>
      <c r="AW461" s="7"/>
      <c r="AX461" s="7" t="s">
        <v>8328</v>
      </c>
      <c r="AY461" s="7" t="s">
        <v>75</v>
      </c>
      <c r="AZ461" s="7"/>
      <c r="BA461" s="7" t="s">
        <v>76</v>
      </c>
      <c r="BB461" s="7" t="s">
        <v>8329</v>
      </c>
      <c r="BC461" s="7"/>
      <c r="BD461" s="7"/>
      <c r="BE461" s="7"/>
      <c r="BF461" s="7"/>
      <c r="BG461" s="7"/>
      <c r="BH461" s="7"/>
      <c r="BI461" s="7"/>
    </row>
    <row r="462" customFormat="false" ht="14.25" hidden="false" customHeight="true" outlineLevel="0" collapsed="false">
      <c r="A462" s="7" t="s">
        <v>8330</v>
      </c>
      <c r="B462" s="7" t="s">
        <v>8331</v>
      </c>
      <c r="C462" s="7" t="s">
        <v>8332</v>
      </c>
      <c r="D462" s="7" t="s">
        <v>8333</v>
      </c>
      <c r="E462" s="7" t="n">
        <v>2022</v>
      </c>
      <c r="F462" s="8" t="s">
        <v>8334</v>
      </c>
      <c r="G462" s="6" t="s">
        <v>713</v>
      </c>
      <c r="H462" s="7"/>
      <c r="I462" s="7"/>
      <c r="J462" s="7"/>
      <c r="K462" s="7"/>
      <c r="L462" s="7"/>
      <c r="M462" s="7"/>
      <c r="N462" s="7"/>
      <c r="O462" s="7"/>
      <c r="P462" s="7" t="s">
        <v>255</v>
      </c>
      <c r="Q462" s="7" t="s">
        <v>62</v>
      </c>
      <c r="R462" s="7" t="s">
        <v>5139</v>
      </c>
      <c r="S462" s="7" t="n">
        <v>91</v>
      </c>
      <c r="T462" s="7" t="s">
        <v>307</v>
      </c>
      <c r="U462" s="7"/>
      <c r="V462" s="7"/>
      <c r="W462" s="7" t="n">
        <v>21</v>
      </c>
      <c r="X462" s="7" t="n">
        <v>36</v>
      </c>
      <c r="Y462" s="7" t="n">
        <v>15</v>
      </c>
      <c r="Z462" s="7" t="s">
        <v>8335</v>
      </c>
      <c r="AA462" s="9" t="s">
        <v>8336</v>
      </c>
      <c r="AB462" s="7" t="s">
        <v>8337</v>
      </c>
      <c r="AC462" s="7" t="s">
        <v>8338</v>
      </c>
      <c r="AD462" s="7" t="s">
        <v>8339</v>
      </c>
      <c r="AE462" s="7" t="s">
        <v>8340</v>
      </c>
      <c r="AF462" s="7"/>
      <c r="AG462" s="7"/>
      <c r="AH462" s="7"/>
      <c r="AI462" s="7"/>
      <c r="AJ462" s="10"/>
      <c r="AK462" s="7"/>
      <c r="AL462" s="7" t="s">
        <v>8341</v>
      </c>
      <c r="AM462" s="7" t="s">
        <v>8342</v>
      </c>
      <c r="AN462" s="7"/>
      <c r="AO462" s="7"/>
      <c r="AP462" s="7"/>
      <c r="AQ462" s="7"/>
      <c r="AR462" s="7"/>
      <c r="AS462" s="7"/>
      <c r="AT462" s="7" t="n">
        <v>23674512</v>
      </c>
      <c r="AU462" s="7"/>
      <c r="AV462" s="7"/>
      <c r="AW462" s="7"/>
      <c r="AX462" s="7" t="s">
        <v>5148</v>
      </c>
      <c r="AY462" s="7" t="s">
        <v>75</v>
      </c>
      <c r="AZ462" s="7"/>
      <c r="BA462" s="7" t="s">
        <v>76</v>
      </c>
      <c r="BB462" s="7" t="s">
        <v>8343</v>
      </c>
      <c r="BC462" s="7"/>
      <c r="BD462" s="7"/>
      <c r="BE462" s="7"/>
      <c r="BF462" s="7"/>
      <c r="BG462" s="7"/>
      <c r="BH462" s="7"/>
      <c r="BI462" s="7"/>
    </row>
    <row r="463" customFormat="false" ht="14.25" hidden="false" customHeight="true" outlineLevel="0" collapsed="false">
      <c r="A463" s="7" t="s">
        <v>8344</v>
      </c>
      <c r="B463" s="7" t="s">
        <v>8345</v>
      </c>
      <c r="C463" s="7" t="s">
        <v>8346</v>
      </c>
      <c r="D463" s="7" t="s">
        <v>3472</v>
      </c>
      <c r="E463" s="7" t="n">
        <v>2022</v>
      </c>
      <c r="F463" s="8" t="s">
        <v>8347</v>
      </c>
      <c r="G463" s="6" t="s">
        <v>713</v>
      </c>
      <c r="H463" s="7"/>
      <c r="I463" s="7"/>
      <c r="J463" s="7"/>
      <c r="K463" s="7"/>
      <c r="L463" s="7"/>
      <c r="M463" s="7"/>
      <c r="N463" s="7"/>
      <c r="O463" s="7"/>
      <c r="P463" s="7" t="s">
        <v>255</v>
      </c>
      <c r="Q463" s="7" t="s">
        <v>62</v>
      </c>
      <c r="R463" s="7" t="s">
        <v>6407</v>
      </c>
      <c r="S463" s="7" t="n">
        <v>1006</v>
      </c>
      <c r="T463" s="7" t="s">
        <v>307</v>
      </c>
      <c r="U463" s="7"/>
      <c r="V463" s="7"/>
      <c r="W463" s="7" t="n">
        <v>139</v>
      </c>
      <c r="X463" s="7" t="n">
        <v>153</v>
      </c>
      <c r="Y463" s="7" t="n">
        <v>14</v>
      </c>
      <c r="Z463" s="7" t="s">
        <v>8348</v>
      </c>
      <c r="AA463" s="9" t="s">
        <v>8349</v>
      </c>
      <c r="AB463" s="7" t="s">
        <v>8350</v>
      </c>
      <c r="AC463" s="7" t="s">
        <v>8351</v>
      </c>
      <c r="AD463" s="7" t="s">
        <v>8352</v>
      </c>
      <c r="AE463" s="7"/>
      <c r="AF463" s="7"/>
      <c r="AG463" s="7"/>
      <c r="AH463" s="7"/>
      <c r="AI463" s="7"/>
      <c r="AJ463" s="10"/>
      <c r="AK463" s="7"/>
      <c r="AL463" s="7" t="s">
        <v>8353</v>
      </c>
      <c r="AM463" s="7" t="s">
        <v>8354</v>
      </c>
      <c r="AN463" s="7"/>
      <c r="AO463" s="7"/>
      <c r="AP463" s="7"/>
      <c r="AQ463" s="7"/>
      <c r="AR463" s="7"/>
      <c r="AS463" s="7"/>
      <c r="AT463" s="7" t="s">
        <v>6418</v>
      </c>
      <c r="AU463" s="7"/>
      <c r="AV463" s="7"/>
      <c r="AW463" s="7"/>
      <c r="AX463" s="7" t="s">
        <v>6420</v>
      </c>
      <c r="AY463" s="7" t="s">
        <v>75</v>
      </c>
      <c r="AZ463" s="7"/>
      <c r="BA463" s="7" t="s">
        <v>76</v>
      </c>
      <c r="BB463" s="7" t="s">
        <v>8355</v>
      </c>
      <c r="BC463" s="7"/>
      <c r="BD463" s="7"/>
      <c r="BE463" s="7"/>
      <c r="BF463" s="7"/>
      <c r="BG463" s="7"/>
      <c r="BH463" s="7"/>
      <c r="BI463" s="7"/>
    </row>
    <row r="464" customFormat="false" ht="14.25" hidden="false" customHeight="true" outlineLevel="0" collapsed="false">
      <c r="A464" s="7" t="s">
        <v>8356</v>
      </c>
      <c r="B464" s="7" t="s">
        <v>8357</v>
      </c>
      <c r="C464" s="7" t="s">
        <v>8358</v>
      </c>
      <c r="D464" s="7" t="s">
        <v>8359</v>
      </c>
      <c r="E464" s="7" t="n">
        <v>2022</v>
      </c>
      <c r="F464" s="8" t="s">
        <v>8360</v>
      </c>
      <c r="G464" s="6" t="s">
        <v>713</v>
      </c>
      <c r="H464" s="7"/>
      <c r="I464" s="7"/>
      <c r="J464" s="7"/>
      <c r="K464" s="7"/>
      <c r="L464" s="7"/>
      <c r="M464" s="7"/>
      <c r="N464" s="7"/>
      <c r="O464" s="7"/>
      <c r="P464" s="7" t="s">
        <v>255</v>
      </c>
      <c r="Q464" s="7" t="s">
        <v>62</v>
      </c>
      <c r="R464" s="7" t="s">
        <v>5139</v>
      </c>
      <c r="S464" s="7" t="n">
        <v>140</v>
      </c>
      <c r="T464" s="7" t="s">
        <v>307</v>
      </c>
      <c r="U464" s="7"/>
      <c r="V464" s="7"/>
      <c r="W464" s="7" t="n">
        <v>279</v>
      </c>
      <c r="X464" s="7" t="n">
        <v>287</v>
      </c>
      <c r="Y464" s="7" t="n">
        <v>8</v>
      </c>
      <c r="Z464" s="7" t="s">
        <v>8361</v>
      </c>
      <c r="AA464" s="9" t="s">
        <v>8362</v>
      </c>
      <c r="AB464" s="7" t="s">
        <v>8363</v>
      </c>
      <c r="AC464" s="7" t="s">
        <v>8364</v>
      </c>
      <c r="AD464" s="7" t="s">
        <v>8365</v>
      </c>
      <c r="AE464" s="7" t="s">
        <v>8366</v>
      </c>
      <c r="AF464" s="7"/>
      <c r="AG464" s="7"/>
      <c r="AH464" s="7"/>
      <c r="AI464" s="7"/>
      <c r="AJ464" s="10"/>
      <c r="AK464" s="7"/>
      <c r="AL464" s="7" t="s">
        <v>8367</v>
      </c>
      <c r="AM464" s="7" t="s">
        <v>8368</v>
      </c>
      <c r="AN464" s="7"/>
      <c r="AO464" s="7"/>
      <c r="AP464" s="7"/>
      <c r="AQ464" s="7"/>
      <c r="AR464" s="7"/>
      <c r="AS464" s="7"/>
      <c r="AT464" s="7" t="n">
        <v>23674512</v>
      </c>
      <c r="AU464" s="7"/>
      <c r="AV464" s="7"/>
      <c r="AW464" s="7"/>
      <c r="AX464" s="7" t="s">
        <v>5148</v>
      </c>
      <c r="AY464" s="7" t="s">
        <v>75</v>
      </c>
      <c r="AZ464" s="7"/>
      <c r="BA464" s="7" t="s">
        <v>76</v>
      </c>
      <c r="BB464" s="7" t="s">
        <v>8369</v>
      </c>
      <c r="BC464" s="7"/>
      <c r="BD464" s="7"/>
      <c r="BE464" s="7"/>
      <c r="BF464" s="7"/>
      <c r="BG464" s="7"/>
      <c r="BH464" s="7"/>
      <c r="BI464" s="7"/>
    </row>
    <row r="465" customFormat="false" ht="14.25" hidden="false" customHeight="true" outlineLevel="0" collapsed="false">
      <c r="A465" s="7" t="s">
        <v>8370</v>
      </c>
      <c r="B465" s="7" t="s">
        <v>8371</v>
      </c>
      <c r="C465" s="7" t="s">
        <v>8372</v>
      </c>
      <c r="D465" s="7" t="s">
        <v>8373</v>
      </c>
      <c r="E465" s="7" t="n">
        <v>2022</v>
      </c>
      <c r="F465" s="8" t="s">
        <v>8374</v>
      </c>
      <c r="G465" s="6" t="s">
        <v>1686</v>
      </c>
      <c r="H465" s="7"/>
      <c r="I465" s="7"/>
      <c r="J465" s="7"/>
      <c r="K465" s="7"/>
      <c r="L465" s="7"/>
      <c r="M465" s="7"/>
      <c r="N465" s="7"/>
      <c r="O465" s="7"/>
      <c r="P465" s="7" t="s">
        <v>255</v>
      </c>
      <c r="Q465" s="7" t="s">
        <v>62</v>
      </c>
      <c r="R465" s="7" t="s">
        <v>5139</v>
      </c>
      <c r="S465" s="7" t="n">
        <v>86</v>
      </c>
      <c r="T465" s="7" t="s">
        <v>307</v>
      </c>
      <c r="U465" s="7"/>
      <c r="V465" s="7"/>
      <c r="W465" s="7" t="n">
        <v>273</v>
      </c>
      <c r="X465" s="7" t="n">
        <v>282</v>
      </c>
      <c r="Y465" s="7" t="n">
        <v>9</v>
      </c>
      <c r="Z465" s="7" t="s">
        <v>8375</v>
      </c>
      <c r="AA465" s="9" t="s">
        <v>8376</v>
      </c>
      <c r="AB465" s="7" t="s">
        <v>8377</v>
      </c>
      <c r="AC465" s="7" t="s">
        <v>8378</v>
      </c>
      <c r="AD465" s="7" t="s">
        <v>8379</v>
      </c>
      <c r="AE465" s="7" t="s">
        <v>8380</v>
      </c>
      <c r="AF465" s="7"/>
      <c r="AG465" s="7"/>
      <c r="AH465" s="7"/>
      <c r="AI465" s="7"/>
      <c r="AJ465" s="10"/>
      <c r="AK465" s="7"/>
      <c r="AL465" s="7" t="s">
        <v>8381</v>
      </c>
      <c r="AM465" s="7" t="s">
        <v>8382</v>
      </c>
      <c r="AN465" s="7"/>
      <c r="AO465" s="7"/>
      <c r="AP465" s="7"/>
      <c r="AQ465" s="7"/>
      <c r="AR465" s="7"/>
      <c r="AS465" s="7"/>
      <c r="AT465" s="7" t="n">
        <v>23674512</v>
      </c>
      <c r="AU465" s="7"/>
      <c r="AV465" s="7"/>
      <c r="AW465" s="7"/>
      <c r="AX465" s="7" t="s">
        <v>5148</v>
      </c>
      <c r="AY465" s="7" t="s">
        <v>75</v>
      </c>
      <c r="AZ465" s="7"/>
      <c r="BA465" s="7" t="s">
        <v>76</v>
      </c>
      <c r="BB465" s="7" t="s">
        <v>8383</v>
      </c>
      <c r="BC465" s="7"/>
      <c r="BD465" s="7"/>
      <c r="BE465" s="7"/>
      <c r="BF465" s="7"/>
      <c r="BG465" s="7"/>
      <c r="BH465" s="7"/>
      <c r="BI465" s="7"/>
    </row>
    <row r="466" customFormat="false" ht="14.25" hidden="false" customHeight="true" outlineLevel="0" collapsed="false">
      <c r="A466" s="7" t="s">
        <v>78</v>
      </c>
      <c r="B466" s="7" t="s">
        <v>79</v>
      </c>
      <c r="C466" s="7" t="s">
        <v>80</v>
      </c>
      <c r="D466" s="7" t="s">
        <v>8384</v>
      </c>
      <c r="E466" s="7" t="n">
        <v>2022</v>
      </c>
      <c r="F466" s="8" t="s">
        <v>8385</v>
      </c>
      <c r="G466" s="6" t="s">
        <v>713</v>
      </c>
      <c r="H466" s="7"/>
      <c r="I466" s="7"/>
      <c r="J466" s="7"/>
      <c r="K466" s="7"/>
      <c r="L466" s="7"/>
      <c r="M466" s="7"/>
      <c r="N466" s="7"/>
      <c r="O466" s="7"/>
      <c r="P466" s="7" t="s">
        <v>304</v>
      </c>
      <c r="Q466" s="7" t="s">
        <v>62</v>
      </c>
      <c r="R466" s="7" t="s">
        <v>2751</v>
      </c>
      <c r="S466" s="7" t="s">
        <v>8386</v>
      </c>
      <c r="T466" s="7" t="s">
        <v>307</v>
      </c>
      <c r="U466" s="7"/>
      <c r="V466" s="7"/>
      <c r="W466" s="7" t="n">
        <v>358</v>
      </c>
      <c r="X466" s="7" t="n">
        <v>370</v>
      </c>
      <c r="Y466" s="7" t="n">
        <v>12</v>
      </c>
      <c r="Z466" s="7" t="s">
        <v>8387</v>
      </c>
      <c r="AA466" s="9" t="s">
        <v>8388</v>
      </c>
      <c r="AB466" s="7" t="s">
        <v>3585</v>
      </c>
      <c r="AC466" s="7" t="s">
        <v>3586</v>
      </c>
      <c r="AD466" s="7" t="s">
        <v>8389</v>
      </c>
      <c r="AE466" s="7" t="s">
        <v>8390</v>
      </c>
      <c r="AF466" s="7"/>
      <c r="AG466" s="7"/>
      <c r="AH466" s="7"/>
      <c r="AI466" s="7"/>
      <c r="AJ466" s="10"/>
      <c r="AK466" s="7"/>
      <c r="AL466" s="7" t="s">
        <v>8391</v>
      </c>
      <c r="AM466" s="7" t="s">
        <v>3590</v>
      </c>
      <c r="AN466" s="7" t="s">
        <v>8392</v>
      </c>
      <c r="AO466" s="7"/>
      <c r="AP466" s="7" t="s">
        <v>8393</v>
      </c>
      <c r="AQ466" s="7" t="s">
        <v>8394</v>
      </c>
      <c r="AR466" s="7" t="s">
        <v>8395</v>
      </c>
      <c r="AS466" s="7" t="n">
        <v>277999</v>
      </c>
      <c r="AT466" s="7" t="n">
        <v>3029743</v>
      </c>
      <c r="AU466" s="7" t="s">
        <v>8396</v>
      </c>
      <c r="AV466" s="7"/>
      <c r="AW466" s="7"/>
      <c r="AX466" s="7" t="s">
        <v>2766</v>
      </c>
      <c r="AY466" s="7" t="s">
        <v>75</v>
      </c>
      <c r="AZ466" s="7"/>
      <c r="BA466" s="7" t="s">
        <v>76</v>
      </c>
      <c r="BB466" s="7" t="s">
        <v>8397</v>
      </c>
      <c r="BC466" s="7"/>
      <c r="BD466" s="7"/>
      <c r="BE466" s="7"/>
      <c r="BF466" s="7"/>
      <c r="BG466" s="7"/>
      <c r="BH466" s="7"/>
      <c r="BI466" s="7"/>
    </row>
    <row r="467" customFormat="false" ht="14.25" hidden="false" customHeight="true" outlineLevel="0" collapsed="false">
      <c r="A467" s="7" t="s">
        <v>8398</v>
      </c>
      <c r="B467" s="7" t="s">
        <v>8399</v>
      </c>
      <c r="C467" s="7" t="s">
        <v>8400</v>
      </c>
      <c r="D467" s="7" t="s">
        <v>8401</v>
      </c>
      <c r="E467" s="7" t="n">
        <v>2022</v>
      </c>
      <c r="F467" s="8" t="s">
        <v>8402</v>
      </c>
      <c r="G467" s="6" t="s">
        <v>713</v>
      </c>
      <c r="H467" s="7"/>
      <c r="I467" s="7"/>
      <c r="J467" s="7"/>
      <c r="K467" s="7"/>
      <c r="L467" s="7"/>
      <c r="M467" s="7"/>
      <c r="N467" s="7"/>
      <c r="O467" s="7"/>
      <c r="P467" s="7" t="s">
        <v>304</v>
      </c>
      <c r="Q467" s="7" t="s">
        <v>62</v>
      </c>
      <c r="R467" s="7" t="s">
        <v>8403</v>
      </c>
      <c r="S467" s="7"/>
      <c r="T467" s="7" t="s">
        <v>187</v>
      </c>
      <c r="U467" s="7"/>
      <c r="V467" s="7"/>
      <c r="W467" s="7" t="n">
        <v>921</v>
      </c>
      <c r="X467" s="7" t="n">
        <v>928</v>
      </c>
      <c r="Y467" s="7" t="n">
        <v>7</v>
      </c>
      <c r="Z467" s="7" t="s">
        <v>8404</v>
      </c>
      <c r="AA467" s="9" t="s">
        <v>8405</v>
      </c>
      <c r="AB467" s="7" t="s">
        <v>8406</v>
      </c>
      <c r="AC467" s="7" t="s">
        <v>8407</v>
      </c>
      <c r="AD467" s="7" t="s">
        <v>8408</v>
      </c>
      <c r="AE467" s="7" t="s">
        <v>8409</v>
      </c>
      <c r="AF467" s="7"/>
      <c r="AG467" s="7"/>
      <c r="AH467" s="7"/>
      <c r="AI467" s="7"/>
      <c r="AJ467" s="10"/>
      <c r="AK467" s="7"/>
      <c r="AL467" s="7" t="s">
        <v>8410</v>
      </c>
      <c r="AM467" s="7"/>
      <c r="AN467" s="7"/>
      <c r="AO467" s="7"/>
      <c r="AP467" s="7" t="s">
        <v>8411</v>
      </c>
      <c r="AQ467" s="7" t="s">
        <v>8412</v>
      </c>
      <c r="AR467" s="7" t="s">
        <v>2584</v>
      </c>
      <c r="AS467" s="7" t="n">
        <v>182897</v>
      </c>
      <c r="AT467" s="7"/>
      <c r="AU467" s="7" t="s">
        <v>8413</v>
      </c>
      <c r="AV467" s="7"/>
      <c r="AW467" s="7"/>
      <c r="AX467" s="7" t="s">
        <v>5710</v>
      </c>
      <c r="AY467" s="7" t="s">
        <v>75</v>
      </c>
      <c r="AZ467" s="7"/>
      <c r="BA467" s="7" t="s">
        <v>76</v>
      </c>
      <c r="BB467" s="7" t="s">
        <v>8414</v>
      </c>
      <c r="BC467" s="7"/>
      <c r="BD467" s="7"/>
      <c r="BE467" s="7"/>
      <c r="BF467" s="7"/>
      <c r="BG467" s="7"/>
      <c r="BH467" s="7"/>
      <c r="BI467" s="7"/>
    </row>
    <row r="468" customFormat="false" ht="14.25" hidden="false" customHeight="true" outlineLevel="0" collapsed="false">
      <c r="A468" s="7" t="s">
        <v>8415</v>
      </c>
      <c r="B468" s="7" t="s">
        <v>8416</v>
      </c>
      <c r="C468" s="7" t="s">
        <v>8417</v>
      </c>
      <c r="D468" s="7" t="s">
        <v>8418</v>
      </c>
      <c r="E468" s="7" t="n">
        <v>2022</v>
      </c>
      <c r="F468" s="8" t="s">
        <v>8419</v>
      </c>
      <c r="G468" s="6" t="s">
        <v>713</v>
      </c>
      <c r="H468" s="7"/>
      <c r="I468" s="7"/>
      <c r="J468" s="7"/>
      <c r="K468" s="7"/>
      <c r="L468" s="7"/>
      <c r="M468" s="7"/>
      <c r="N468" s="7"/>
      <c r="O468" s="7"/>
      <c r="P468" s="7" t="s">
        <v>304</v>
      </c>
      <c r="Q468" s="7" t="s">
        <v>62</v>
      </c>
      <c r="R468" s="7" t="s">
        <v>8420</v>
      </c>
      <c r="S468" s="7"/>
      <c r="T468" s="7" t="s">
        <v>187</v>
      </c>
      <c r="U468" s="7"/>
      <c r="V468" s="7"/>
      <c r="W468" s="7"/>
      <c r="X468" s="7"/>
      <c r="Y468" s="7"/>
      <c r="Z468" s="7" t="s">
        <v>8421</v>
      </c>
      <c r="AA468" s="9" t="s">
        <v>8422</v>
      </c>
      <c r="AB468" s="7" t="s">
        <v>8423</v>
      </c>
      <c r="AC468" s="7" t="s">
        <v>8424</v>
      </c>
      <c r="AD468" s="7" t="s">
        <v>8425</v>
      </c>
      <c r="AE468" s="7" t="s">
        <v>8426</v>
      </c>
      <c r="AF468" s="7"/>
      <c r="AG468" s="7"/>
      <c r="AH468" s="7"/>
      <c r="AI468" s="7"/>
      <c r="AJ468" s="10"/>
      <c r="AK468" s="7"/>
      <c r="AL468" s="7" t="s">
        <v>8427</v>
      </c>
      <c r="AM468" s="7"/>
      <c r="AN468" s="7"/>
      <c r="AO468" s="7"/>
      <c r="AP468" s="7" t="s">
        <v>8420</v>
      </c>
      <c r="AQ468" s="7" t="s">
        <v>8428</v>
      </c>
      <c r="AR468" s="7" t="s">
        <v>8429</v>
      </c>
      <c r="AS468" s="7" t="n">
        <v>187203</v>
      </c>
      <c r="AT468" s="7"/>
      <c r="AU468" s="7" t="s">
        <v>8430</v>
      </c>
      <c r="AV468" s="7"/>
      <c r="AW468" s="7"/>
      <c r="AX468" s="7" t="s">
        <v>8431</v>
      </c>
      <c r="AY468" s="7" t="s">
        <v>75</v>
      </c>
      <c r="AZ468" s="7"/>
      <c r="BA468" s="7" t="s">
        <v>76</v>
      </c>
      <c r="BB468" s="7" t="s">
        <v>8432</v>
      </c>
      <c r="BC468" s="7"/>
      <c r="BD468" s="7"/>
      <c r="BE468" s="7"/>
      <c r="BF468" s="7"/>
      <c r="BG468" s="7"/>
      <c r="BH468" s="7"/>
      <c r="BI468" s="7"/>
    </row>
    <row r="469" customFormat="false" ht="14.25" hidden="false" customHeight="true" outlineLevel="0" collapsed="false">
      <c r="A469" s="7" t="s">
        <v>8433</v>
      </c>
      <c r="B469" s="7" t="s">
        <v>8434</v>
      </c>
      <c r="C469" s="7" t="s">
        <v>8435</v>
      </c>
      <c r="D469" s="7" t="s">
        <v>8436</v>
      </c>
      <c r="E469" s="7" t="n">
        <v>2022</v>
      </c>
      <c r="F469" s="8" t="s">
        <v>8437</v>
      </c>
      <c r="G469" s="6" t="s">
        <v>713</v>
      </c>
      <c r="H469" s="7"/>
      <c r="I469" s="7"/>
      <c r="J469" s="7"/>
      <c r="K469" s="7"/>
      <c r="L469" s="7"/>
      <c r="M469" s="7"/>
      <c r="N469" s="7"/>
      <c r="O469" s="7"/>
      <c r="P469" s="7" t="s">
        <v>304</v>
      </c>
      <c r="Q469" s="7" t="s">
        <v>62</v>
      </c>
      <c r="R469" s="7" t="s">
        <v>5717</v>
      </c>
      <c r="S469" s="12" t="n">
        <v>44805</v>
      </c>
      <c r="T469" s="7" t="s">
        <v>2677</v>
      </c>
      <c r="U469" s="7"/>
      <c r="V469" s="7"/>
      <c r="W469" s="7"/>
      <c r="X469" s="7"/>
      <c r="Y469" s="7"/>
      <c r="Z469" s="7" t="s">
        <v>8438</v>
      </c>
      <c r="AA469" s="9" t="s">
        <v>8439</v>
      </c>
      <c r="AB469" s="7" t="s">
        <v>8440</v>
      </c>
      <c r="AC469" s="7" t="s">
        <v>8441</v>
      </c>
      <c r="AD469" s="7"/>
      <c r="AE469" s="7" t="s">
        <v>8442</v>
      </c>
      <c r="AF469" s="7"/>
      <c r="AG469" s="7"/>
      <c r="AH469" s="7"/>
      <c r="AI469" s="7"/>
      <c r="AJ469" s="10" t="s">
        <v>8443</v>
      </c>
      <c r="AK469" s="7" t="s">
        <v>8444</v>
      </c>
      <c r="AL469" s="7" t="s">
        <v>8445</v>
      </c>
      <c r="AM469" s="7" t="s">
        <v>8446</v>
      </c>
      <c r="AN469" s="7"/>
      <c r="AO469" s="7"/>
      <c r="AP469" s="7" t="s">
        <v>8447</v>
      </c>
      <c r="AQ469" s="7" t="s">
        <v>8448</v>
      </c>
      <c r="AR469" s="7" t="s">
        <v>8449</v>
      </c>
      <c r="AS469" s="7" t="n">
        <v>187735</v>
      </c>
      <c r="AT469" s="7" t="n">
        <v>23258861</v>
      </c>
      <c r="AU469" s="7" t="s">
        <v>8450</v>
      </c>
      <c r="AV469" s="7"/>
      <c r="AW469" s="7"/>
      <c r="AX469" s="7" t="s">
        <v>5729</v>
      </c>
      <c r="AY469" s="7" t="s">
        <v>75</v>
      </c>
      <c r="AZ469" s="7" t="s">
        <v>4371</v>
      </c>
      <c r="BA469" s="7" t="s">
        <v>76</v>
      </c>
      <c r="BB469" s="7" t="s">
        <v>8451</v>
      </c>
      <c r="BC469" s="7"/>
      <c r="BD469" s="7"/>
      <c r="BE469" s="7"/>
      <c r="BF469" s="7"/>
      <c r="BG469" s="7"/>
      <c r="BH469" s="7"/>
      <c r="BI469" s="7"/>
    </row>
    <row r="470" customFormat="false" ht="14.25" hidden="false" customHeight="true" outlineLevel="0" collapsed="false">
      <c r="A470" s="7" t="s">
        <v>8452</v>
      </c>
      <c r="B470" s="7" t="s">
        <v>8453</v>
      </c>
      <c r="C470" s="7" t="s">
        <v>8454</v>
      </c>
      <c r="D470" s="7" t="s">
        <v>8455</v>
      </c>
      <c r="E470" s="7" t="n">
        <v>2022</v>
      </c>
      <c r="F470" s="8" t="s">
        <v>8456</v>
      </c>
      <c r="G470" s="6" t="s">
        <v>3714</v>
      </c>
      <c r="H470" s="7"/>
      <c r="I470" s="7"/>
      <c r="J470" s="7"/>
      <c r="K470" s="7"/>
      <c r="L470" s="7"/>
      <c r="M470" s="7"/>
      <c r="N470" s="7"/>
      <c r="O470" s="7"/>
      <c r="P470" s="7" t="s">
        <v>304</v>
      </c>
      <c r="Q470" s="7" t="s">
        <v>62</v>
      </c>
      <c r="R470" s="7" t="s">
        <v>8457</v>
      </c>
      <c r="S470" s="7"/>
      <c r="T470" s="7" t="s">
        <v>187</v>
      </c>
      <c r="U470" s="7"/>
      <c r="V470" s="7"/>
      <c r="W470" s="7"/>
      <c r="X470" s="7"/>
      <c r="Y470" s="7"/>
      <c r="Z470" s="7" t="s">
        <v>8458</v>
      </c>
      <c r="AA470" s="9" t="s">
        <v>8459</v>
      </c>
      <c r="AB470" s="7" t="s">
        <v>8460</v>
      </c>
      <c r="AC470" s="7" t="s">
        <v>8461</v>
      </c>
      <c r="AD470" s="7" t="s">
        <v>8462</v>
      </c>
      <c r="AE470" s="7" t="s">
        <v>8463</v>
      </c>
      <c r="AF470" s="7"/>
      <c r="AG470" s="7"/>
      <c r="AH470" s="7"/>
      <c r="AI470" s="7"/>
      <c r="AJ470" s="10"/>
      <c r="AK470" s="7"/>
      <c r="AL470" s="7" t="s">
        <v>8464</v>
      </c>
      <c r="AM470" s="7" t="s">
        <v>8465</v>
      </c>
      <c r="AN470" s="7" t="s">
        <v>8466</v>
      </c>
      <c r="AO470" s="7"/>
      <c r="AP470" s="7" t="s">
        <v>8467</v>
      </c>
      <c r="AQ470" s="7" t="s">
        <v>8468</v>
      </c>
      <c r="AR470" s="7" t="s">
        <v>8469</v>
      </c>
      <c r="AS470" s="7" t="n">
        <v>177743</v>
      </c>
      <c r="AT470" s="7"/>
      <c r="AU470" s="7" t="s">
        <v>8470</v>
      </c>
      <c r="AV470" s="7"/>
      <c r="AW470" s="7"/>
      <c r="AX470" s="7" t="s">
        <v>8471</v>
      </c>
      <c r="AY470" s="7" t="s">
        <v>75</v>
      </c>
      <c r="AZ470" s="7"/>
      <c r="BA470" s="7" t="s">
        <v>76</v>
      </c>
      <c r="BB470" s="7" t="s">
        <v>8472</v>
      </c>
      <c r="BC470" s="7"/>
      <c r="BD470" s="7"/>
      <c r="BE470" s="7"/>
      <c r="BF470" s="7"/>
      <c r="BG470" s="7"/>
      <c r="BH470" s="7"/>
      <c r="BI470" s="7"/>
    </row>
    <row r="471" customFormat="false" ht="14.25" hidden="false" customHeight="true" outlineLevel="0" collapsed="false">
      <c r="A471" s="7" t="s">
        <v>8473</v>
      </c>
      <c r="B471" s="7" t="s">
        <v>8474</v>
      </c>
      <c r="C471" s="7" t="s">
        <v>8475</v>
      </c>
      <c r="D471" s="7" t="s">
        <v>8476</v>
      </c>
      <c r="E471" s="7" t="n">
        <v>2022</v>
      </c>
      <c r="F471" s="8" t="s">
        <v>8477</v>
      </c>
      <c r="G471" s="6" t="s">
        <v>713</v>
      </c>
      <c r="H471" s="7"/>
      <c r="I471" s="7"/>
      <c r="J471" s="7"/>
      <c r="K471" s="7"/>
      <c r="L471" s="7"/>
      <c r="M471" s="7"/>
      <c r="N471" s="7"/>
      <c r="O471" s="7"/>
      <c r="P471" s="7" t="s">
        <v>304</v>
      </c>
      <c r="Q471" s="7" t="s">
        <v>62</v>
      </c>
      <c r="R471" s="7" t="s">
        <v>8478</v>
      </c>
      <c r="S471" s="7"/>
      <c r="T471" s="7" t="s">
        <v>3365</v>
      </c>
      <c r="U471" s="7"/>
      <c r="V471" s="7"/>
      <c r="W471" s="7" t="n">
        <v>1005</v>
      </c>
      <c r="X471" s="7" t="n">
        <v>1012</v>
      </c>
      <c r="Y471" s="7" t="n">
        <v>7</v>
      </c>
      <c r="Z471" s="7" t="s">
        <v>8479</v>
      </c>
      <c r="AA471" s="9" t="s">
        <v>8480</v>
      </c>
      <c r="AB471" s="7" t="s">
        <v>8481</v>
      </c>
      <c r="AC471" s="7" t="s">
        <v>8482</v>
      </c>
      <c r="AD471" s="7" t="s">
        <v>8483</v>
      </c>
      <c r="AE471" s="7" t="s">
        <v>8484</v>
      </c>
      <c r="AF471" s="7"/>
      <c r="AG471" s="7"/>
      <c r="AH471" s="7"/>
      <c r="AI471" s="7"/>
      <c r="AJ471" s="10"/>
      <c r="AK471" s="7"/>
      <c r="AL471" s="7" t="s">
        <v>8485</v>
      </c>
      <c r="AM471" s="7"/>
      <c r="AN471" s="7"/>
      <c r="AO471" s="7" t="s">
        <v>8486</v>
      </c>
      <c r="AP471" s="7" t="s">
        <v>8487</v>
      </c>
      <c r="AQ471" s="7" t="s">
        <v>8488</v>
      </c>
      <c r="AR471" s="7" t="s">
        <v>5337</v>
      </c>
      <c r="AS471" s="7" t="n">
        <v>179141</v>
      </c>
      <c r="AT471" s="7"/>
      <c r="AU471" s="7" t="s">
        <v>8489</v>
      </c>
      <c r="AV471" s="7"/>
      <c r="AW471" s="7"/>
      <c r="AX471" s="7" t="s">
        <v>8490</v>
      </c>
      <c r="AY471" s="7" t="s">
        <v>75</v>
      </c>
      <c r="AZ471" s="7"/>
      <c r="BA471" s="7" t="s">
        <v>76</v>
      </c>
      <c r="BB471" s="7" t="s">
        <v>8491</v>
      </c>
      <c r="BC471" s="7"/>
      <c r="BD471" s="7"/>
      <c r="BE471" s="7"/>
      <c r="BF471" s="7"/>
      <c r="BG471" s="7"/>
      <c r="BH471" s="7"/>
      <c r="BI471" s="7"/>
    </row>
    <row r="472" customFormat="false" ht="14.25" hidden="false" customHeight="true" outlineLevel="0" collapsed="false">
      <c r="A472" s="7" t="s">
        <v>8492</v>
      </c>
      <c r="B472" s="7" t="s">
        <v>8493</v>
      </c>
      <c r="C472" s="7" t="s">
        <v>8494</v>
      </c>
      <c r="D472" s="7" t="s">
        <v>8495</v>
      </c>
      <c r="E472" s="7" t="n">
        <v>2022</v>
      </c>
      <c r="F472" s="8" t="s">
        <v>8496</v>
      </c>
      <c r="G472" s="6" t="s">
        <v>713</v>
      </c>
      <c r="H472" s="7"/>
      <c r="I472" s="7"/>
      <c r="J472" s="7"/>
      <c r="K472" s="7"/>
      <c r="L472" s="7"/>
      <c r="M472" s="7"/>
      <c r="N472" s="7"/>
      <c r="O472" s="7"/>
      <c r="P472" s="7" t="s">
        <v>304</v>
      </c>
      <c r="Q472" s="7" t="s">
        <v>62</v>
      </c>
      <c r="R472" s="7" t="s">
        <v>8497</v>
      </c>
      <c r="S472" s="7" t="n">
        <v>55</v>
      </c>
      <c r="T472" s="7" t="s">
        <v>202</v>
      </c>
      <c r="U472" s="7" t="n">
        <v>4</v>
      </c>
      <c r="V472" s="7"/>
      <c r="W472" s="7" t="n">
        <v>80</v>
      </c>
      <c r="X472" s="7" t="n">
        <v>84</v>
      </c>
      <c r="Y472" s="7" t="n">
        <v>4</v>
      </c>
      <c r="Z472" s="7" t="s">
        <v>8498</v>
      </c>
      <c r="AA472" s="9" t="s">
        <v>8499</v>
      </c>
      <c r="AB472" s="7" t="s">
        <v>8500</v>
      </c>
      <c r="AC472" s="7" t="s">
        <v>8501</v>
      </c>
      <c r="AD472" s="7" t="s">
        <v>8502</v>
      </c>
      <c r="AE472" s="7" t="s">
        <v>8503</v>
      </c>
      <c r="AF472" s="7"/>
      <c r="AG472" s="7"/>
      <c r="AH472" s="7"/>
      <c r="AI472" s="7"/>
      <c r="AJ472" s="10"/>
      <c r="AK472" s="7"/>
      <c r="AL472" s="7" t="s">
        <v>8504</v>
      </c>
      <c r="AM472" s="7"/>
      <c r="AN472" s="7"/>
      <c r="AO472" s="7"/>
      <c r="AP472" s="7" t="s">
        <v>8505</v>
      </c>
      <c r="AQ472" s="7" t="s">
        <v>8506</v>
      </c>
      <c r="AR472" s="7" t="s">
        <v>8507</v>
      </c>
      <c r="AS472" s="7" t="n">
        <v>147978</v>
      </c>
      <c r="AT472" s="7" t="n">
        <v>24058963</v>
      </c>
      <c r="AU472" s="7"/>
      <c r="AV472" s="7"/>
      <c r="AW472" s="7"/>
      <c r="AX472" s="7" t="s">
        <v>8497</v>
      </c>
      <c r="AY472" s="7" t="s">
        <v>75</v>
      </c>
      <c r="AZ472" s="7" t="s">
        <v>127</v>
      </c>
      <c r="BA472" s="7" t="s">
        <v>76</v>
      </c>
      <c r="BB472" s="7" t="s">
        <v>8508</v>
      </c>
      <c r="BC472" s="7"/>
      <c r="BD472" s="7"/>
      <c r="BE472" s="7"/>
      <c r="BF472" s="7"/>
      <c r="BG472" s="7"/>
      <c r="BH472" s="7"/>
      <c r="BI472" s="7"/>
    </row>
    <row r="473" customFormat="false" ht="14.25" hidden="false" customHeight="true" outlineLevel="0" collapsed="false">
      <c r="A473" s="7" t="s">
        <v>8509</v>
      </c>
      <c r="B473" s="7" t="s">
        <v>8510</v>
      </c>
      <c r="C473" s="7" t="s">
        <v>8511</v>
      </c>
      <c r="D473" s="7" t="s">
        <v>8512</v>
      </c>
      <c r="E473" s="7" t="n">
        <v>2022</v>
      </c>
      <c r="F473" s="8" t="s">
        <v>8513</v>
      </c>
      <c r="G473" s="6" t="s">
        <v>713</v>
      </c>
      <c r="H473" s="7"/>
      <c r="I473" s="7"/>
      <c r="J473" s="7"/>
      <c r="K473" s="7"/>
      <c r="L473" s="7"/>
      <c r="M473" s="7"/>
      <c r="N473" s="7"/>
      <c r="O473" s="7"/>
      <c r="P473" s="7" t="s">
        <v>304</v>
      </c>
      <c r="Q473" s="7" t="s">
        <v>62</v>
      </c>
      <c r="R473" s="7" t="s">
        <v>8514</v>
      </c>
      <c r="S473" s="7"/>
      <c r="T473" s="7" t="s">
        <v>187</v>
      </c>
      <c r="U473" s="7"/>
      <c r="V473" s="7"/>
      <c r="W473" s="7"/>
      <c r="X473" s="7"/>
      <c r="Y473" s="7"/>
      <c r="Z473" s="7" t="s">
        <v>8515</v>
      </c>
      <c r="AA473" s="9" t="s">
        <v>8516</v>
      </c>
      <c r="AB473" s="7" t="s">
        <v>8517</v>
      </c>
      <c r="AC473" s="7" t="s">
        <v>8518</v>
      </c>
      <c r="AD473" s="7" t="s">
        <v>8519</v>
      </c>
      <c r="AE473" s="7" t="s">
        <v>8520</v>
      </c>
      <c r="AF473" s="7"/>
      <c r="AG473" s="7"/>
      <c r="AH473" s="7"/>
      <c r="AI473" s="7"/>
      <c r="AJ473" s="10"/>
      <c r="AK473" s="7"/>
      <c r="AL473" s="7" t="s">
        <v>8521</v>
      </c>
      <c r="AM473" s="7"/>
      <c r="AN473" s="7"/>
      <c r="AO473" s="7"/>
      <c r="AP473" s="7" t="s">
        <v>8522</v>
      </c>
      <c r="AQ473" s="7" t="s">
        <v>8523</v>
      </c>
      <c r="AR473" s="7" t="s">
        <v>5337</v>
      </c>
      <c r="AS473" s="7" t="n">
        <v>186586</v>
      </c>
      <c r="AT473" s="7"/>
      <c r="AU473" s="7" t="s">
        <v>8524</v>
      </c>
      <c r="AV473" s="7"/>
      <c r="AW473" s="7"/>
      <c r="AX473" s="7" t="s">
        <v>8525</v>
      </c>
      <c r="AY473" s="7" t="s">
        <v>75</v>
      </c>
      <c r="AZ473" s="7"/>
      <c r="BA473" s="7" t="s">
        <v>76</v>
      </c>
      <c r="BB473" s="7" t="s">
        <v>8526</v>
      </c>
      <c r="BC473" s="7"/>
      <c r="BD473" s="7"/>
      <c r="BE473" s="7"/>
      <c r="BF473" s="7"/>
      <c r="BG473" s="7"/>
      <c r="BH473" s="7"/>
      <c r="BI473" s="7"/>
    </row>
    <row r="474" customFormat="false" ht="14.25" hidden="false" customHeight="true" outlineLevel="0" collapsed="false">
      <c r="A474" s="7" t="s">
        <v>8527</v>
      </c>
      <c r="B474" s="7" t="s">
        <v>8528</v>
      </c>
      <c r="C474" s="7" t="s">
        <v>8529</v>
      </c>
      <c r="D474" s="7" t="s">
        <v>8530</v>
      </c>
      <c r="E474" s="7" t="n">
        <v>2022</v>
      </c>
      <c r="F474" s="8" t="s">
        <v>8531</v>
      </c>
      <c r="G474" s="6" t="s">
        <v>713</v>
      </c>
      <c r="H474" s="7"/>
      <c r="I474" s="7"/>
      <c r="J474" s="7"/>
      <c r="K474" s="7"/>
      <c r="L474" s="7"/>
      <c r="M474" s="7"/>
      <c r="N474" s="7"/>
      <c r="O474" s="7"/>
      <c r="P474" s="7" t="s">
        <v>304</v>
      </c>
      <c r="Q474" s="7" t="s">
        <v>62</v>
      </c>
      <c r="R474" s="7" t="s">
        <v>8532</v>
      </c>
      <c r="S474" s="7"/>
      <c r="T474" s="7" t="s">
        <v>187</v>
      </c>
      <c r="U474" s="7"/>
      <c r="V474" s="7"/>
      <c r="W474" s="7"/>
      <c r="X474" s="7"/>
      <c r="Y474" s="7"/>
      <c r="Z474" s="7" t="s">
        <v>8533</v>
      </c>
      <c r="AA474" s="9" t="s">
        <v>8534</v>
      </c>
      <c r="AB474" s="7" t="s">
        <v>8535</v>
      </c>
      <c r="AC474" s="7" t="s">
        <v>8536</v>
      </c>
      <c r="AD474" s="7" t="s">
        <v>8537</v>
      </c>
      <c r="AE474" s="7" t="s">
        <v>8538</v>
      </c>
      <c r="AF474" s="7"/>
      <c r="AG474" s="7"/>
      <c r="AH474" s="7"/>
      <c r="AI474" s="7"/>
      <c r="AJ474" s="10"/>
      <c r="AK474" s="7"/>
      <c r="AL474" s="7" t="s">
        <v>8539</v>
      </c>
      <c r="AM474" s="7"/>
      <c r="AN474" s="7"/>
      <c r="AO474" s="7"/>
      <c r="AP474" s="7" t="s">
        <v>8540</v>
      </c>
      <c r="AQ474" s="7" t="s">
        <v>8541</v>
      </c>
      <c r="AR474" s="7" t="s">
        <v>2201</v>
      </c>
      <c r="AS474" s="7" t="n">
        <v>185082</v>
      </c>
      <c r="AT474" s="7"/>
      <c r="AU474" s="7" t="s">
        <v>8542</v>
      </c>
      <c r="AV474" s="7"/>
      <c r="AW474" s="7"/>
      <c r="AX474" s="7" t="s">
        <v>8543</v>
      </c>
      <c r="AY474" s="7" t="s">
        <v>75</v>
      </c>
      <c r="AZ474" s="7"/>
      <c r="BA474" s="7" t="s">
        <v>76</v>
      </c>
      <c r="BB474" s="7" t="s">
        <v>8544</v>
      </c>
      <c r="BC474" s="7"/>
      <c r="BD474" s="7"/>
      <c r="BE474" s="7"/>
      <c r="BF474" s="7"/>
      <c r="BG474" s="7"/>
      <c r="BH474" s="7"/>
      <c r="BI474" s="7"/>
    </row>
    <row r="475" customFormat="false" ht="14.25" hidden="false" customHeight="true" outlineLevel="0" collapsed="false">
      <c r="A475" s="7" t="s">
        <v>8545</v>
      </c>
      <c r="B475" s="7" t="s">
        <v>8546</v>
      </c>
      <c r="C475" s="7" t="s">
        <v>8547</v>
      </c>
      <c r="D475" s="7" t="s">
        <v>8548</v>
      </c>
      <c r="E475" s="7" t="n">
        <v>2022</v>
      </c>
      <c r="F475" s="8" t="s">
        <v>8549</v>
      </c>
      <c r="G475" s="6" t="s">
        <v>713</v>
      </c>
      <c r="H475" s="7"/>
      <c r="I475" s="7"/>
      <c r="J475" s="7"/>
      <c r="K475" s="7"/>
      <c r="L475" s="7"/>
      <c r="M475" s="7"/>
      <c r="N475" s="7"/>
      <c r="O475" s="7"/>
      <c r="P475" s="7" t="s">
        <v>304</v>
      </c>
      <c r="Q475" s="7" t="s">
        <v>62</v>
      </c>
      <c r="R475" s="7" t="s">
        <v>8550</v>
      </c>
      <c r="S475" s="7"/>
      <c r="T475" s="7" t="s">
        <v>187</v>
      </c>
      <c r="U475" s="7"/>
      <c r="V475" s="7"/>
      <c r="W475" s="7" t="n">
        <v>108</v>
      </c>
      <c r="X475" s="7" t="n">
        <v>112</v>
      </c>
      <c r="Y475" s="7" t="n">
        <v>4</v>
      </c>
      <c r="Z475" s="7" t="s">
        <v>8551</v>
      </c>
      <c r="AA475" s="9" t="s">
        <v>8552</v>
      </c>
      <c r="AB475" s="7" t="s">
        <v>8553</v>
      </c>
      <c r="AC475" s="7" t="s">
        <v>8554</v>
      </c>
      <c r="AD475" s="7" t="s">
        <v>8555</v>
      </c>
      <c r="AE475" s="7" t="s">
        <v>8556</v>
      </c>
      <c r="AF475" s="7"/>
      <c r="AG475" s="7"/>
      <c r="AH475" s="7"/>
      <c r="AI475" s="7"/>
      <c r="AJ475" s="10" t="s">
        <v>8557</v>
      </c>
      <c r="AK475" s="7" t="s">
        <v>8558</v>
      </c>
      <c r="AL475" s="7" t="s">
        <v>8559</v>
      </c>
      <c r="AM475" s="7" t="s">
        <v>8560</v>
      </c>
      <c r="AN475" s="7"/>
      <c r="AO475" s="7" t="s">
        <v>8561</v>
      </c>
      <c r="AP475" s="7" t="s">
        <v>8562</v>
      </c>
      <c r="AQ475" s="7" t="s">
        <v>8563</v>
      </c>
      <c r="AR475" s="7" t="s">
        <v>2647</v>
      </c>
      <c r="AS475" s="7" t="n">
        <v>182797</v>
      </c>
      <c r="AT475" s="7"/>
      <c r="AU475" s="7" t="s">
        <v>8564</v>
      </c>
      <c r="AV475" s="7"/>
      <c r="AW475" s="7"/>
      <c r="AX475" s="7" t="s">
        <v>8565</v>
      </c>
      <c r="AY475" s="7" t="s">
        <v>75</v>
      </c>
      <c r="AZ475" s="7"/>
      <c r="BA475" s="7" t="s">
        <v>76</v>
      </c>
      <c r="BB475" s="7" t="s">
        <v>8566</v>
      </c>
      <c r="BC475" s="7"/>
      <c r="BD475" s="7"/>
      <c r="BE475" s="7"/>
      <c r="BF475" s="7"/>
      <c r="BG475" s="7"/>
      <c r="BH475" s="7"/>
      <c r="BI475" s="7"/>
    </row>
    <row r="476" customFormat="false" ht="14.25" hidden="false" customHeight="true" outlineLevel="0" collapsed="false">
      <c r="A476" s="7" t="s">
        <v>8567</v>
      </c>
      <c r="B476" s="7" t="s">
        <v>8568</v>
      </c>
      <c r="C476" s="7" t="s">
        <v>8569</v>
      </c>
      <c r="D476" s="7" t="s">
        <v>8570</v>
      </c>
      <c r="E476" s="7" t="n">
        <v>2022</v>
      </c>
      <c r="F476" s="8" t="s">
        <v>8571</v>
      </c>
      <c r="G476" s="6" t="s">
        <v>713</v>
      </c>
      <c r="H476" s="7"/>
      <c r="I476" s="7"/>
      <c r="J476" s="7"/>
      <c r="K476" s="7"/>
      <c r="L476" s="7"/>
      <c r="M476" s="7"/>
      <c r="N476" s="7"/>
      <c r="O476" s="7"/>
      <c r="P476" s="7" t="s">
        <v>304</v>
      </c>
      <c r="Q476" s="7" t="s">
        <v>62</v>
      </c>
      <c r="R476" s="7" t="s">
        <v>8572</v>
      </c>
      <c r="S476" s="7"/>
      <c r="T476" s="7" t="s">
        <v>187</v>
      </c>
      <c r="U476" s="7"/>
      <c r="V476" s="7"/>
      <c r="W476" s="7"/>
      <c r="X476" s="7"/>
      <c r="Y476" s="7"/>
      <c r="Z476" s="7" t="s">
        <v>8573</v>
      </c>
      <c r="AA476" s="9" t="s">
        <v>8574</v>
      </c>
      <c r="AB476" s="7" t="s">
        <v>8575</v>
      </c>
      <c r="AC476" s="7" t="s">
        <v>8576</v>
      </c>
      <c r="AD476" s="7" t="s">
        <v>8577</v>
      </c>
      <c r="AE476" s="7" t="s">
        <v>8578</v>
      </c>
      <c r="AF476" s="7"/>
      <c r="AG476" s="7"/>
      <c r="AH476" s="7"/>
      <c r="AI476" s="7"/>
      <c r="AJ476" s="10"/>
      <c r="AK476" s="7"/>
      <c r="AL476" s="7" t="s">
        <v>8579</v>
      </c>
      <c r="AM476" s="7" t="s">
        <v>8580</v>
      </c>
      <c r="AN476" s="7"/>
      <c r="AO476" s="7"/>
      <c r="AP476" s="7" t="s">
        <v>8581</v>
      </c>
      <c r="AQ476" s="7" t="s">
        <v>8582</v>
      </c>
      <c r="AR476" s="7" t="s">
        <v>2244</v>
      </c>
      <c r="AS476" s="7" t="n">
        <v>186096</v>
      </c>
      <c r="AT476" s="7"/>
      <c r="AU476" s="7" t="s">
        <v>8583</v>
      </c>
      <c r="AV476" s="7"/>
      <c r="AW476" s="7"/>
      <c r="AX476" s="7" t="s">
        <v>8584</v>
      </c>
      <c r="AY476" s="7" t="s">
        <v>75</v>
      </c>
      <c r="AZ476" s="7"/>
      <c r="BA476" s="7" t="s">
        <v>76</v>
      </c>
      <c r="BB476" s="7" t="s">
        <v>8585</v>
      </c>
      <c r="BC476" s="7"/>
      <c r="BD476" s="7"/>
      <c r="BE476" s="7"/>
      <c r="BF476" s="7"/>
      <c r="BG476" s="7"/>
      <c r="BH476" s="7"/>
      <c r="BI476" s="7"/>
    </row>
    <row r="477" customFormat="false" ht="14.25" hidden="false" customHeight="true" outlineLevel="0" collapsed="false">
      <c r="A477" s="7" t="s">
        <v>8586</v>
      </c>
      <c r="B477" s="7" t="s">
        <v>8587</v>
      </c>
      <c r="C477" s="7" t="s">
        <v>8588</v>
      </c>
      <c r="D477" s="7" t="s">
        <v>8589</v>
      </c>
      <c r="E477" s="7" t="n">
        <v>2022</v>
      </c>
      <c r="F477" s="8" t="s">
        <v>8590</v>
      </c>
      <c r="G477" s="6" t="s">
        <v>713</v>
      </c>
      <c r="H477" s="7"/>
      <c r="I477" s="7"/>
      <c r="J477" s="7"/>
      <c r="K477" s="7"/>
      <c r="L477" s="7"/>
      <c r="M477" s="7"/>
      <c r="N477" s="7"/>
      <c r="O477" s="7"/>
      <c r="P477" s="7" t="s">
        <v>304</v>
      </c>
      <c r="Q477" s="7" t="s">
        <v>62</v>
      </c>
      <c r="R477" s="7" t="s">
        <v>5717</v>
      </c>
      <c r="S477" s="12" t="n">
        <v>44805</v>
      </c>
      <c r="T477" s="7" t="s">
        <v>2677</v>
      </c>
      <c r="U477" s="7"/>
      <c r="V477" s="7"/>
      <c r="W477" s="7"/>
      <c r="X477" s="7"/>
      <c r="Y477" s="7"/>
      <c r="Z477" s="7" t="s">
        <v>8591</v>
      </c>
      <c r="AA477" s="9" t="s">
        <v>8592</v>
      </c>
      <c r="AB477" s="7" t="s">
        <v>8593</v>
      </c>
      <c r="AC477" s="7" t="s">
        <v>8594</v>
      </c>
      <c r="AD477" s="7"/>
      <c r="AE477" s="7" t="s">
        <v>8595</v>
      </c>
      <c r="AF477" s="7"/>
      <c r="AG477" s="7"/>
      <c r="AH477" s="7"/>
      <c r="AI477" s="7"/>
      <c r="AJ477" s="10" t="s">
        <v>8443</v>
      </c>
      <c r="AK477" s="7" t="s">
        <v>8444</v>
      </c>
      <c r="AL477" s="7" t="s">
        <v>8596</v>
      </c>
      <c r="AM477" s="7" t="s">
        <v>8446</v>
      </c>
      <c r="AN477" s="7"/>
      <c r="AO477" s="7"/>
      <c r="AP477" s="7" t="s">
        <v>8447</v>
      </c>
      <c r="AQ477" s="7" t="s">
        <v>8448</v>
      </c>
      <c r="AR477" s="7" t="s">
        <v>8449</v>
      </c>
      <c r="AS477" s="7" t="n">
        <v>187735</v>
      </c>
      <c r="AT477" s="7" t="n">
        <v>23258861</v>
      </c>
      <c r="AU477" s="7" t="s">
        <v>8450</v>
      </c>
      <c r="AV477" s="7"/>
      <c r="AW477" s="7"/>
      <c r="AX477" s="7" t="s">
        <v>5729</v>
      </c>
      <c r="AY477" s="7" t="s">
        <v>75</v>
      </c>
      <c r="AZ477" s="7" t="s">
        <v>4371</v>
      </c>
      <c r="BA477" s="7" t="s">
        <v>76</v>
      </c>
      <c r="BB477" s="7" t="s">
        <v>8597</v>
      </c>
      <c r="BC477" s="7"/>
      <c r="BD477" s="7"/>
      <c r="BE477" s="7"/>
      <c r="BF477" s="7"/>
      <c r="BG477" s="7"/>
      <c r="BH477" s="7"/>
      <c r="BI477" s="7"/>
    </row>
    <row r="478" customFormat="false" ht="14.25" hidden="false" customHeight="true" outlineLevel="0" collapsed="false">
      <c r="A478" s="7" t="s">
        <v>8598</v>
      </c>
      <c r="B478" s="7" t="s">
        <v>8599</v>
      </c>
      <c r="C478" s="7" t="s">
        <v>8600</v>
      </c>
      <c r="D478" s="7" t="s">
        <v>8601</v>
      </c>
      <c r="E478" s="7" t="n">
        <v>2022</v>
      </c>
      <c r="F478" s="8" t="s">
        <v>8602</v>
      </c>
      <c r="G478" s="6" t="s">
        <v>713</v>
      </c>
      <c r="H478" s="7"/>
      <c r="I478" s="7"/>
      <c r="J478" s="7"/>
      <c r="K478" s="7"/>
      <c r="L478" s="7"/>
      <c r="M478" s="7"/>
      <c r="N478" s="7"/>
      <c r="O478" s="7"/>
      <c r="P478" s="7" t="s">
        <v>304</v>
      </c>
      <c r="Q478" s="7" t="s">
        <v>62</v>
      </c>
      <c r="R478" s="7" t="s">
        <v>8603</v>
      </c>
      <c r="S478" s="7"/>
      <c r="T478" s="7" t="s">
        <v>187</v>
      </c>
      <c r="U478" s="7"/>
      <c r="V478" s="7"/>
      <c r="W478" s="7" t="n">
        <v>126</v>
      </c>
      <c r="X478" s="7" t="n">
        <v>130</v>
      </c>
      <c r="Y478" s="7" t="n">
        <v>4</v>
      </c>
      <c r="Z478" s="7" t="s">
        <v>8604</v>
      </c>
      <c r="AA478" s="9" t="s">
        <v>8605</v>
      </c>
      <c r="AB478" s="7" t="s">
        <v>8606</v>
      </c>
      <c r="AC478" s="7" t="s">
        <v>8607</v>
      </c>
      <c r="AD478" s="7" t="s">
        <v>8608</v>
      </c>
      <c r="AE478" s="7" t="s">
        <v>8609</v>
      </c>
      <c r="AF478" s="7"/>
      <c r="AG478" s="7"/>
      <c r="AH478" s="7"/>
      <c r="AI478" s="7"/>
      <c r="AJ478" s="10"/>
      <c r="AK478" s="7"/>
      <c r="AL478" s="7" t="s">
        <v>8610</v>
      </c>
      <c r="AM478" s="7"/>
      <c r="AN478" s="7"/>
      <c r="AO478" s="7"/>
      <c r="AP478" s="7" t="s">
        <v>8603</v>
      </c>
      <c r="AQ478" s="7" t="s">
        <v>8611</v>
      </c>
      <c r="AR478" s="7" t="s">
        <v>8612</v>
      </c>
      <c r="AS478" s="7" t="n">
        <v>182060</v>
      </c>
      <c r="AT478" s="7"/>
      <c r="AU478" s="7" t="s">
        <v>8613</v>
      </c>
      <c r="AV478" s="7"/>
      <c r="AW478" s="7"/>
      <c r="AX478" s="7" t="s">
        <v>8614</v>
      </c>
      <c r="AY478" s="7" t="s">
        <v>75</v>
      </c>
      <c r="AZ478" s="7"/>
      <c r="BA478" s="7" t="s">
        <v>76</v>
      </c>
      <c r="BB478" s="7" t="s">
        <v>8615</v>
      </c>
      <c r="BC478" s="7"/>
      <c r="BD478" s="7"/>
      <c r="BE478" s="7"/>
      <c r="BF478" s="7"/>
      <c r="BG478" s="7"/>
      <c r="BH478" s="7"/>
      <c r="BI478" s="7"/>
    </row>
    <row r="479" customFormat="false" ht="14.25" hidden="false" customHeight="true" outlineLevel="0" collapsed="false">
      <c r="A479" s="7" t="s">
        <v>8616</v>
      </c>
      <c r="B479" s="7" t="s">
        <v>8617</v>
      </c>
      <c r="C479" s="7" t="s">
        <v>8618</v>
      </c>
      <c r="D479" s="7" t="s">
        <v>8619</v>
      </c>
      <c r="E479" s="7" t="n">
        <v>2022</v>
      </c>
      <c r="F479" s="8" t="s">
        <v>8620</v>
      </c>
      <c r="G479" s="6" t="s">
        <v>3714</v>
      </c>
      <c r="H479" s="7"/>
      <c r="I479" s="7"/>
      <c r="J479" s="7"/>
      <c r="K479" s="7"/>
      <c r="L479" s="7"/>
      <c r="M479" s="7"/>
      <c r="N479" s="7"/>
      <c r="O479" s="7"/>
      <c r="P479" s="7" t="s">
        <v>304</v>
      </c>
      <c r="Q479" s="7" t="s">
        <v>62</v>
      </c>
      <c r="R479" s="7" t="s">
        <v>8621</v>
      </c>
      <c r="S479" s="12" t="n">
        <v>44866</v>
      </c>
      <c r="T479" s="7" t="s">
        <v>187</v>
      </c>
      <c r="U479" s="7"/>
      <c r="V479" s="7"/>
      <c r="W479" s="7" t="n">
        <v>1083</v>
      </c>
      <c r="X479" s="7" t="n">
        <v>1088</v>
      </c>
      <c r="Y479" s="7" t="n">
        <v>5</v>
      </c>
      <c r="Z479" s="7" t="s">
        <v>8622</v>
      </c>
      <c r="AA479" s="9" t="s">
        <v>8623</v>
      </c>
      <c r="AB479" s="7" t="s">
        <v>8624</v>
      </c>
      <c r="AC479" s="7" t="s">
        <v>8625</v>
      </c>
      <c r="AD479" s="7" t="s">
        <v>8626</v>
      </c>
      <c r="AE479" s="7" t="s">
        <v>8627</v>
      </c>
      <c r="AF479" s="7"/>
      <c r="AG479" s="7"/>
      <c r="AH479" s="7"/>
      <c r="AI479" s="7"/>
      <c r="AJ479" s="10"/>
      <c r="AK479" s="7"/>
      <c r="AL479" s="7" t="s">
        <v>8628</v>
      </c>
      <c r="AM479" s="7" t="s">
        <v>8629</v>
      </c>
      <c r="AN479" s="7" t="s">
        <v>8630</v>
      </c>
      <c r="AO479" s="7" t="s">
        <v>8631</v>
      </c>
      <c r="AP479" s="7" t="s">
        <v>8632</v>
      </c>
      <c r="AQ479" s="7" t="s">
        <v>8633</v>
      </c>
      <c r="AR479" s="7" t="s">
        <v>6987</v>
      </c>
      <c r="AS479" s="7" t="n">
        <v>186511</v>
      </c>
      <c r="AT479" s="7" t="n">
        <v>15504786</v>
      </c>
      <c r="AU479" s="7" t="s">
        <v>8634</v>
      </c>
      <c r="AV479" s="7"/>
      <c r="AW479" s="7"/>
      <c r="AX479" s="7" t="s">
        <v>8635</v>
      </c>
      <c r="AY479" s="7" t="s">
        <v>75</v>
      </c>
      <c r="AZ479" s="7" t="s">
        <v>409</v>
      </c>
      <c r="BA479" s="7" t="s">
        <v>76</v>
      </c>
      <c r="BB479" s="7" t="s">
        <v>8636</v>
      </c>
      <c r="BC479" s="7"/>
      <c r="BD479" s="7"/>
      <c r="BE479" s="7"/>
      <c r="BF479" s="7"/>
      <c r="BG479" s="7"/>
      <c r="BH479" s="7"/>
      <c r="BI479" s="7"/>
    </row>
    <row r="480" customFormat="false" ht="14.25" hidden="false" customHeight="true" outlineLevel="0" collapsed="false">
      <c r="A480" s="7" t="s">
        <v>8637</v>
      </c>
      <c r="B480" s="7" t="s">
        <v>8638</v>
      </c>
      <c r="C480" s="7" t="s">
        <v>8639</v>
      </c>
      <c r="D480" s="7" t="s">
        <v>8640</v>
      </c>
      <c r="E480" s="7" t="n">
        <v>2022</v>
      </c>
      <c r="F480" s="8" t="s">
        <v>8641</v>
      </c>
      <c r="G480" s="6" t="s">
        <v>713</v>
      </c>
      <c r="H480" s="7"/>
      <c r="I480" s="7"/>
      <c r="J480" s="7"/>
      <c r="K480" s="7"/>
      <c r="L480" s="7"/>
      <c r="M480" s="7"/>
      <c r="N480" s="7"/>
      <c r="O480" s="7"/>
      <c r="P480" s="7" t="s">
        <v>304</v>
      </c>
      <c r="Q480" s="7" t="s">
        <v>62</v>
      </c>
      <c r="R480" s="7" t="s">
        <v>8642</v>
      </c>
      <c r="S480" s="7"/>
      <c r="T480" s="7" t="s">
        <v>187</v>
      </c>
      <c r="U480" s="7"/>
      <c r="V480" s="7"/>
      <c r="W480" s="7" t="n">
        <v>431</v>
      </c>
      <c r="X480" s="7" t="n">
        <v>441</v>
      </c>
      <c r="Y480" s="7" t="n">
        <v>10</v>
      </c>
      <c r="Z480" s="7" t="s">
        <v>8643</v>
      </c>
      <c r="AA480" s="9" t="s">
        <v>8644</v>
      </c>
      <c r="AB480" s="7" t="s">
        <v>8645</v>
      </c>
      <c r="AC480" s="7" t="s">
        <v>8646</v>
      </c>
      <c r="AD480" s="7" t="s">
        <v>8647</v>
      </c>
      <c r="AE480" s="7" t="s">
        <v>8648</v>
      </c>
      <c r="AF480" s="7"/>
      <c r="AG480" s="7"/>
      <c r="AH480" s="7"/>
      <c r="AI480" s="7"/>
      <c r="AJ480" s="10"/>
      <c r="AK480" s="7"/>
      <c r="AL480" s="7" t="s">
        <v>8649</v>
      </c>
      <c r="AM480" s="7"/>
      <c r="AN480" s="7"/>
      <c r="AO480" s="7" t="s">
        <v>8650</v>
      </c>
      <c r="AP480" s="7" t="s">
        <v>8651</v>
      </c>
      <c r="AQ480" s="7" t="s">
        <v>8652</v>
      </c>
      <c r="AR480" s="7" t="s">
        <v>8653</v>
      </c>
      <c r="AS480" s="7" t="n">
        <v>182667</v>
      </c>
      <c r="AT480" s="7"/>
      <c r="AU480" s="7" t="s">
        <v>8654</v>
      </c>
      <c r="AV480" s="7"/>
      <c r="AW480" s="7"/>
      <c r="AX480" s="7" t="s">
        <v>8655</v>
      </c>
      <c r="AY480" s="7" t="s">
        <v>75</v>
      </c>
      <c r="AZ480" s="7"/>
      <c r="BA480" s="7" t="s">
        <v>76</v>
      </c>
      <c r="BB480" s="7" t="s">
        <v>8656</v>
      </c>
      <c r="BC480" s="7"/>
      <c r="BD480" s="7"/>
      <c r="BE480" s="7"/>
      <c r="BF480" s="7"/>
      <c r="BG480" s="7"/>
      <c r="BH480" s="7"/>
      <c r="BI480" s="7"/>
    </row>
    <row r="481" customFormat="false" ht="14.25" hidden="false" customHeight="true" outlineLevel="0" collapsed="false">
      <c r="A481" s="7" t="s">
        <v>8657</v>
      </c>
      <c r="B481" s="7" t="s">
        <v>8658</v>
      </c>
      <c r="C481" s="7" t="s">
        <v>8659</v>
      </c>
      <c r="D481" s="7" t="s">
        <v>8660</v>
      </c>
      <c r="E481" s="7" t="n">
        <v>2022</v>
      </c>
      <c r="F481" s="8" t="s">
        <v>8661</v>
      </c>
      <c r="G481" s="6" t="s">
        <v>713</v>
      </c>
      <c r="H481" s="7"/>
      <c r="I481" s="7"/>
      <c r="J481" s="7"/>
      <c r="K481" s="7"/>
      <c r="L481" s="7"/>
      <c r="M481" s="7"/>
      <c r="N481" s="7"/>
      <c r="O481" s="7"/>
      <c r="P481" s="7" t="s">
        <v>304</v>
      </c>
      <c r="Q481" s="7" t="s">
        <v>62</v>
      </c>
      <c r="R481" s="7" t="s">
        <v>8662</v>
      </c>
      <c r="S481" s="7"/>
      <c r="T481" s="7" t="s">
        <v>187</v>
      </c>
      <c r="U481" s="7"/>
      <c r="V481" s="7"/>
      <c r="W481" s="7"/>
      <c r="X481" s="7"/>
      <c r="Y481" s="7"/>
      <c r="Z481" s="7" t="s">
        <v>8663</v>
      </c>
      <c r="AA481" s="9" t="s">
        <v>8664</v>
      </c>
      <c r="AB481" s="7" t="s">
        <v>8665</v>
      </c>
      <c r="AC481" s="7" t="s">
        <v>8666</v>
      </c>
      <c r="AD481" s="7" t="s">
        <v>8667</v>
      </c>
      <c r="AE481" s="7" t="s">
        <v>8668</v>
      </c>
      <c r="AF481" s="7"/>
      <c r="AG481" s="7"/>
      <c r="AH481" s="7"/>
      <c r="AI481" s="7"/>
      <c r="AJ481" s="10"/>
      <c r="AK481" s="7"/>
      <c r="AL481" s="7" t="s">
        <v>8669</v>
      </c>
      <c r="AM481" s="7"/>
      <c r="AN481" s="7"/>
      <c r="AO481" s="7"/>
      <c r="AP481" s="7" t="s">
        <v>8670</v>
      </c>
      <c r="AQ481" s="7" t="s">
        <v>8671</v>
      </c>
      <c r="AR481" s="7" t="s">
        <v>8672</v>
      </c>
      <c r="AS481" s="7" t="n">
        <v>185824</v>
      </c>
      <c r="AT481" s="7"/>
      <c r="AU481" s="7" t="s">
        <v>8673</v>
      </c>
      <c r="AV481" s="7"/>
      <c r="AW481" s="7"/>
      <c r="AX481" s="7" t="s">
        <v>8674</v>
      </c>
      <c r="AY481" s="7" t="s">
        <v>75</v>
      </c>
      <c r="AZ481" s="7" t="s">
        <v>409</v>
      </c>
      <c r="BA481" s="7" t="s">
        <v>76</v>
      </c>
      <c r="BB481" s="7" t="s">
        <v>8675</v>
      </c>
      <c r="BC481" s="7"/>
      <c r="BD481" s="7"/>
      <c r="BE481" s="7"/>
      <c r="BF481" s="7"/>
      <c r="BG481" s="7"/>
      <c r="BH481" s="7"/>
      <c r="BI481" s="7"/>
    </row>
    <row r="482" customFormat="false" ht="14.25" hidden="false" customHeight="true" outlineLevel="0" collapsed="false">
      <c r="A482" s="7" t="s">
        <v>8676</v>
      </c>
      <c r="B482" s="7" t="s">
        <v>8677</v>
      </c>
      <c r="C482" s="7" t="s">
        <v>8678</v>
      </c>
      <c r="D482" s="7" t="s">
        <v>8679</v>
      </c>
      <c r="E482" s="7" t="n">
        <v>2022</v>
      </c>
      <c r="F482" s="8" t="s">
        <v>8680</v>
      </c>
      <c r="G482" s="6" t="s">
        <v>713</v>
      </c>
      <c r="H482" s="7"/>
      <c r="I482" s="7"/>
      <c r="J482" s="7"/>
      <c r="K482" s="7"/>
      <c r="L482" s="7"/>
      <c r="M482" s="7"/>
      <c r="N482" s="7"/>
      <c r="O482" s="7"/>
      <c r="P482" s="7" t="s">
        <v>304</v>
      </c>
      <c r="Q482" s="7" t="s">
        <v>62</v>
      </c>
      <c r="R482" s="7" t="s">
        <v>350</v>
      </c>
      <c r="S482" s="7" t="n">
        <v>371</v>
      </c>
      <c r="T482" s="7" t="s">
        <v>307</v>
      </c>
      <c r="U482" s="7"/>
      <c r="V482" s="7"/>
      <c r="W482" s="7" t="n">
        <v>457</v>
      </c>
      <c r="X482" s="7" t="n">
        <v>466</v>
      </c>
      <c r="Y482" s="7" t="n">
        <v>9</v>
      </c>
      <c r="Z482" s="7" t="s">
        <v>8681</v>
      </c>
      <c r="AA482" s="9" t="s">
        <v>8682</v>
      </c>
      <c r="AB482" s="7" t="s">
        <v>8683</v>
      </c>
      <c r="AC482" s="7" t="s">
        <v>8684</v>
      </c>
      <c r="AD482" s="7" t="s">
        <v>8685</v>
      </c>
      <c r="AE482" s="7"/>
      <c r="AF482" s="7"/>
      <c r="AG482" s="7"/>
      <c r="AH482" s="7"/>
      <c r="AI482" s="7"/>
      <c r="AJ482" s="10"/>
      <c r="AK482" s="7"/>
      <c r="AL482" s="7" t="s">
        <v>8686</v>
      </c>
      <c r="AM482" s="7" t="s">
        <v>8687</v>
      </c>
      <c r="AN482" s="7" t="s">
        <v>8688</v>
      </c>
      <c r="AO482" s="7"/>
      <c r="AP482" s="7" t="s">
        <v>8689</v>
      </c>
      <c r="AQ482" s="7" t="s">
        <v>8690</v>
      </c>
      <c r="AR482" s="7" t="s">
        <v>5337</v>
      </c>
      <c r="AS482" s="7" t="n">
        <v>270349</v>
      </c>
      <c r="AT482" s="7" t="n">
        <v>23673370</v>
      </c>
      <c r="AU482" s="7" t="s">
        <v>8691</v>
      </c>
      <c r="AV482" s="7"/>
      <c r="AW482" s="7"/>
      <c r="AX482" s="7" t="s">
        <v>365</v>
      </c>
      <c r="AY482" s="7" t="s">
        <v>75</v>
      </c>
      <c r="AZ482" s="7"/>
      <c r="BA482" s="7" t="s">
        <v>76</v>
      </c>
      <c r="BB482" s="7" t="s">
        <v>8692</v>
      </c>
      <c r="BC482" s="7"/>
      <c r="BD482" s="7"/>
      <c r="BE482" s="7"/>
      <c r="BF482" s="7"/>
      <c r="BG482" s="7"/>
      <c r="BH482" s="7"/>
      <c r="BI482" s="7"/>
    </row>
    <row r="483" customFormat="false" ht="14.25" hidden="false" customHeight="true" outlineLevel="0" collapsed="false">
      <c r="A483" s="7" t="s">
        <v>8693</v>
      </c>
      <c r="B483" s="7" t="s">
        <v>8694</v>
      </c>
      <c r="C483" s="7" t="s">
        <v>8695</v>
      </c>
      <c r="D483" s="7" t="s">
        <v>8696</v>
      </c>
      <c r="E483" s="7" t="n">
        <v>2022</v>
      </c>
      <c r="F483" s="8" t="s">
        <v>8697</v>
      </c>
      <c r="G483" s="6" t="s">
        <v>713</v>
      </c>
      <c r="H483" s="7"/>
      <c r="I483" s="7"/>
      <c r="J483" s="7"/>
      <c r="K483" s="7"/>
      <c r="L483" s="7"/>
      <c r="M483" s="7"/>
      <c r="N483" s="7"/>
      <c r="O483" s="7"/>
      <c r="P483" s="7" t="s">
        <v>304</v>
      </c>
      <c r="Q483" s="7" t="s">
        <v>62</v>
      </c>
      <c r="R483" s="7" t="s">
        <v>8698</v>
      </c>
      <c r="S483" s="7"/>
      <c r="T483" s="7" t="s">
        <v>187</v>
      </c>
      <c r="U483" s="7"/>
      <c r="V483" s="7"/>
      <c r="W483" s="7" t="n">
        <v>1298</v>
      </c>
      <c r="X483" s="7" t="n">
        <v>1304</v>
      </c>
      <c r="Y483" s="7" t="n">
        <v>6</v>
      </c>
      <c r="Z483" s="7" t="s">
        <v>8699</v>
      </c>
      <c r="AA483" s="9" t="s">
        <v>8700</v>
      </c>
      <c r="AB483" s="7" t="s">
        <v>8701</v>
      </c>
      <c r="AC483" s="7" t="s">
        <v>8702</v>
      </c>
      <c r="AD483" s="7" t="s">
        <v>8703</v>
      </c>
      <c r="AE483" s="7" t="s">
        <v>8704</v>
      </c>
      <c r="AF483" s="7"/>
      <c r="AG483" s="7"/>
      <c r="AH483" s="7"/>
      <c r="AI483" s="7"/>
      <c r="AJ483" s="10"/>
      <c r="AK483" s="7"/>
      <c r="AL483" s="7" t="s">
        <v>8705</v>
      </c>
      <c r="AM483" s="7"/>
      <c r="AN483" s="7"/>
      <c r="AO483" s="7"/>
      <c r="AP483" s="7" t="s">
        <v>8706</v>
      </c>
      <c r="AQ483" s="7" t="s">
        <v>8707</v>
      </c>
      <c r="AR483" s="7" t="s">
        <v>8708</v>
      </c>
      <c r="AS483" s="7" t="n">
        <v>184201</v>
      </c>
      <c r="AT483" s="7"/>
      <c r="AU483" s="7" t="s">
        <v>8709</v>
      </c>
      <c r="AV483" s="7"/>
      <c r="AW483" s="7"/>
      <c r="AX483" s="7" t="s">
        <v>8710</v>
      </c>
      <c r="AY483" s="7" t="s">
        <v>75</v>
      </c>
      <c r="AZ483" s="7"/>
      <c r="BA483" s="7" t="s">
        <v>76</v>
      </c>
      <c r="BB483" s="7" t="s">
        <v>8711</v>
      </c>
      <c r="BC483" s="7"/>
      <c r="BD483" s="7"/>
      <c r="BE483" s="7"/>
      <c r="BF483" s="7"/>
      <c r="BG483" s="7"/>
      <c r="BH483" s="7"/>
      <c r="BI483" s="7"/>
    </row>
    <row r="484" customFormat="false" ht="14.25" hidden="false" customHeight="true" outlineLevel="0" collapsed="false">
      <c r="A484" s="7" t="s">
        <v>8712</v>
      </c>
      <c r="B484" s="7" t="s">
        <v>8713</v>
      </c>
      <c r="C484" s="7" t="s">
        <v>8714</v>
      </c>
      <c r="D484" s="7" t="s">
        <v>8715</v>
      </c>
      <c r="E484" s="7" t="n">
        <v>2022</v>
      </c>
      <c r="F484" s="8" t="s">
        <v>8716</v>
      </c>
      <c r="G484" s="6" t="s">
        <v>713</v>
      </c>
      <c r="H484" s="7"/>
      <c r="I484" s="7"/>
      <c r="J484" s="7"/>
      <c r="K484" s="7"/>
      <c r="L484" s="7"/>
      <c r="M484" s="7"/>
      <c r="N484" s="7"/>
      <c r="O484" s="7"/>
      <c r="P484" s="7" t="s">
        <v>304</v>
      </c>
      <c r="Q484" s="7" t="s">
        <v>62</v>
      </c>
      <c r="R484" s="7" t="s">
        <v>8717</v>
      </c>
      <c r="S484" s="7"/>
      <c r="T484" s="7" t="s">
        <v>187</v>
      </c>
      <c r="U484" s="7"/>
      <c r="V484" s="7"/>
      <c r="W484" s="7"/>
      <c r="X484" s="7"/>
      <c r="Y484" s="7"/>
      <c r="Z484" s="7" t="s">
        <v>8718</v>
      </c>
      <c r="AA484" s="9" t="s">
        <v>8719</v>
      </c>
      <c r="AB484" s="7" t="s">
        <v>8720</v>
      </c>
      <c r="AC484" s="7" t="s">
        <v>8721</v>
      </c>
      <c r="AD484" s="7" t="s">
        <v>8722</v>
      </c>
      <c r="AE484" s="7" t="s">
        <v>8723</v>
      </c>
      <c r="AF484" s="7"/>
      <c r="AG484" s="7"/>
      <c r="AH484" s="7"/>
      <c r="AI484" s="7"/>
      <c r="AJ484" s="10"/>
      <c r="AK484" s="7"/>
      <c r="AL484" s="7" t="s">
        <v>8724</v>
      </c>
      <c r="AM484" s="7"/>
      <c r="AN484" s="7"/>
      <c r="AO484" s="7"/>
      <c r="AP484" s="7" t="s">
        <v>8717</v>
      </c>
      <c r="AQ484" s="7" t="s">
        <v>8725</v>
      </c>
      <c r="AR484" s="7" t="s">
        <v>8726</v>
      </c>
      <c r="AS484" s="7" t="n">
        <v>189012</v>
      </c>
      <c r="AT484" s="7"/>
      <c r="AU484" s="7" t="s">
        <v>8727</v>
      </c>
      <c r="AV484" s="7"/>
      <c r="AW484" s="7"/>
      <c r="AX484" s="7" t="s">
        <v>8728</v>
      </c>
      <c r="AY484" s="7" t="s">
        <v>75</v>
      </c>
      <c r="AZ484" s="7"/>
      <c r="BA484" s="7" t="s">
        <v>76</v>
      </c>
      <c r="BB484" s="7" t="s">
        <v>8729</v>
      </c>
      <c r="BC484" s="7"/>
      <c r="BD484" s="7"/>
      <c r="BE484" s="7"/>
      <c r="BF484" s="7"/>
      <c r="BG484" s="7"/>
      <c r="BH484" s="7"/>
      <c r="BI484" s="7"/>
    </row>
    <row r="485" customFormat="false" ht="14.25" hidden="false" customHeight="true" outlineLevel="0" collapsed="false">
      <c r="A485" s="7" t="s">
        <v>8730</v>
      </c>
      <c r="B485" s="7" t="s">
        <v>8731</v>
      </c>
      <c r="C485" s="7" t="s">
        <v>8732</v>
      </c>
      <c r="D485" s="7" t="s">
        <v>8733</v>
      </c>
      <c r="E485" s="7" t="n">
        <v>2022</v>
      </c>
      <c r="F485" s="8" t="s">
        <v>8734</v>
      </c>
      <c r="G485" s="6" t="s">
        <v>713</v>
      </c>
      <c r="H485" s="7"/>
      <c r="I485" s="7"/>
      <c r="J485" s="7"/>
      <c r="K485" s="7"/>
      <c r="L485" s="7"/>
      <c r="M485" s="7"/>
      <c r="N485" s="7"/>
      <c r="O485" s="7"/>
      <c r="P485" s="7" t="s">
        <v>304</v>
      </c>
      <c r="Q485" s="7" t="s">
        <v>62</v>
      </c>
      <c r="R485" s="7" t="s">
        <v>8735</v>
      </c>
      <c r="S485" s="7"/>
      <c r="T485" s="7" t="s">
        <v>187</v>
      </c>
      <c r="U485" s="7"/>
      <c r="V485" s="7"/>
      <c r="W485" s="7"/>
      <c r="X485" s="7"/>
      <c r="Y485" s="7"/>
      <c r="Z485" s="7" t="s">
        <v>8736</v>
      </c>
      <c r="AA485" s="9" t="s">
        <v>8737</v>
      </c>
      <c r="AB485" s="7" t="s">
        <v>8738</v>
      </c>
      <c r="AC485" s="7" t="s">
        <v>8739</v>
      </c>
      <c r="AD485" s="7" t="s">
        <v>8740</v>
      </c>
      <c r="AE485" s="7" t="s">
        <v>8741</v>
      </c>
      <c r="AF485" s="7"/>
      <c r="AG485" s="7"/>
      <c r="AH485" s="7"/>
      <c r="AI485" s="7"/>
      <c r="AJ485" s="10"/>
      <c r="AK485" s="7"/>
      <c r="AL485" s="7" t="s">
        <v>8742</v>
      </c>
      <c r="AM485" s="7"/>
      <c r="AN485" s="7"/>
      <c r="AO485" s="7"/>
      <c r="AP485" s="7" t="s">
        <v>8743</v>
      </c>
      <c r="AQ485" s="7" t="s">
        <v>8744</v>
      </c>
      <c r="AR485" s="7" t="s">
        <v>8745</v>
      </c>
      <c r="AS485" s="7" t="n">
        <v>185083</v>
      </c>
      <c r="AT485" s="7"/>
      <c r="AU485" s="7" t="s">
        <v>8746</v>
      </c>
      <c r="AV485" s="7"/>
      <c r="AW485" s="7"/>
      <c r="AX485" s="7" t="s">
        <v>8747</v>
      </c>
      <c r="AY485" s="7" t="s">
        <v>75</v>
      </c>
      <c r="AZ485" s="7"/>
      <c r="BA485" s="7" t="s">
        <v>76</v>
      </c>
      <c r="BB485" s="7" t="s">
        <v>8748</v>
      </c>
      <c r="BC485" s="7"/>
      <c r="BD485" s="7"/>
      <c r="BE485" s="7"/>
      <c r="BF485" s="7"/>
      <c r="BG485" s="7"/>
      <c r="BH485" s="7"/>
      <c r="BI485" s="7"/>
    </row>
    <row r="486" customFormat="false" ht="14.25" hidden="false" customHeight="true" outlineLevel="0" collapsed="false">
      <c r="A486" s="7" t="s">
        <v>8749</v>
      </c>
      <c r="B486" s="7" t="s">
        <v>8750</v>
      </c>
      <c r="C486" s="7" t="s">
        <v>8751</v>
      </c>
      <c r="D486" s="7" t="s">
        <v>8752</v>
      </c>
      <c r="E486" s="7" t="n">
        <v>2022</v>
      </c>
      <c r="F486" s="8" t="s">
        <v>8753</v>
      </c>
      <c r="G486" s="6" t="s">
        <v>713</v>
      </c>
      <c r="H486" s="7"/>
      <c r="I486" s="7"/>
      <c r="J486" s="7"/>
      <c r="K486" s="7"/>
      <c r="L486" s="7"/>
      <c r="M486" s="7"/>
      <c r="N486" s="7"/>
      <c r="O486" s="7"/>
      <c r="P486" s="7" t="s">
        <v>304</v>
      </c>
      <c r="Q486" s="7" t="s">
        <v>62</v>
      </c>
      <c r="R486" s="7" t="s">
        <v>8754</v>
      </c>
      <c r="S486" s="7" t="n">
        <v>107</v>
      </c>
      <c r="T486" s="7" t="s">
        <v>5758</v>
      </c>
      <c r="U486" s="7" t="n">
        <v>1</v>
      </c>
      <c r="V486" s="7"/>
      <c r="W486" s="7" t="n">
        <v>12325</v>
      </c>
      <c r="X486" s="7" t="n">
        <v>12332</v>
      </c>
      <c r="Y486" s="7" t="n">
        <v>7</v>
      </c>
      <c r="Z486" s="7" t="s">
        <v>8755</v>
      </c>
      <c r="AA486" s="9" t="s">
        <v>8756</v>
      </c>
      <c r="AB486" s="7" t="s">
        <v>8757</v>
      </c>
      <c r="AC486" s="7" t="s">
        <v>8758</v>
      </c>
      <c r="AD486" s="7"/>
      <c r="AE486" s="7" t="s">
        <v>8759</v>
      </c>
      <c r="AF486" s="7"/>
      <c r="AG486" s="7"/>
      <c r="AH486" s="7"/>
      <c r="AI486" s="7"/>
      <c r="AJ486" s="10"/>
      <c r="AK486" s="7"/>
      <c r="AL486" s="7" t="s">
        <v>8760</v>
      </c>
      <c r="AM486" s="7" t="s">
        <v>8761</v>
      </c>
      <c r="AN486" s="7"/>
      <c r="AO486" s="7"/>
      <c r="AP486" s="7" t="s">
        <v>8762</v>
      </c>
      <c r="AQ486" s="7" t="s">
        <v>8763</v>
      </c>
      <c r="AR486" s="7" t="s">
        <v>5337</v>
      </c>
      <c r="AS486" s="7" t="n">
        <v>179026</v>
      </c>
      <c r="AT486" s="7" t="n">
        <v>19386737</v>
      </c>
      <c r="AU486" s="7" t="s">
        <v>8764</v>
      </c>
      <c r="AV486" s="7"/>
      <c r="AW486" s="7"/>
      <c r="AX486" s="7" t="s">
        <v>8754</v>
      </c>
      <c r="AY486" s="7" t="s">
        <v>75</v>
      </c>
      <c r="AZ486" s="7"/>
      <c r="BA486" s="7" t="s">
        <v>76</v>
      </c>
      <c r="BB486" s="7" t="s">
        <v>8765</v>
      </c>
      <c r="BC486" s="7"/>
      <c r="BD486" s="7"/>
      <c r="BE486" s="7"/>
      <c r="BF486" s="7"/>
      <c r="BG486" s="7"/>
      <c r="BH486" s="7"/>
      <c r="BI486" s="7"/>
    </row>
    <row r="487" customFormat="false" ht="14.25" hidden="false" customHeight="true" outlineLevel="0" collapsed="false">
      <c r="A487" s="7" t="s">
        <v>8766</v>
      </c>
      <c r="B487" s="7" t="s">
        <v>8767</v>
      </c>
      <c r="C487" s="7" t="s">
        <v>8768</v>
      </c>
      <c r="D487" s="7" t="s">
        <v>8769</v>
      </c>
      <c r="E487" s="7" t="n">
        <v>2022</v>
      </c>
      <c r="F487" s="8" t="s">
        <v>8770</v>
      </c>
      <c r="G487" s="6" t="s">
        <v>3714</v>
      </c>
      <c r="H487" s="7"/>
      <c r="I487" s="7"/>
      <c r="J487" s="7"/>
      <c r="K487" s="7"/>
      <c r="L487" s="7"/>
      <c r="M487" s="7"/>
      <c r="N487" s="7"/>
      <c r="O487" s="7"/>
      <c r="P487" s="7" t="s">
        <v>304</v>
      </c>
      <c r="Q487" s="7" t="s">
        <v>62</v>
      </c>
      <c r="R487" s="7" t="s">
        <v>8771</v>
      </c>
      <c r="S487" s="7"/>
      <c r="T487" s="7" t="s">
        <v>187</v>
      </c>
      <c r="U487" s="7"/>
      <c r="V487" s="7"/>
      <c r="W487" s="7" t="n">
        <v>127</v>
      </c>
      <c r="X487" s="7" t="n">
        <v>132</v>
      </c>
      <c r="Y487" s="7" t="n">
        <v>5</v>
      </c>
      <c r="Z487" s="7" t="s">
        <v>8772</v>
      </c>
      <c r="AA487" s="9" t="s">
        <v>8773</v>
      </c>
      <c r="AB487" s="7" t="s">
        <v>8774</v>
      </c>
      <c r="AC487" s="7" t="s">
        <v>8775</v>
      </c>
      <c r="AD487" s="7" t="s">
        <v>8776</v>
      </c>
      <c r="AE487" s="7" t="s">
        <v>8777</v>
      </c>
      <c r="AF487" s="7"/>
      <c r="AG487" s="7"/>
      <c r="AH487" s="7"/>
      <c r="AI487" s="7"/>
      <c r="AJ487" s="10"/>
      <c r="AK487" s="7"/>
      <c r="AL487" s="7" t="s">
        <v>8778</v>
      </c>
      <c r="AM487" s="7"/>
      <c r="AN487" s="7"/>
      <c r="AO487" s="7" t="s">
        <v>8779</v>
      </c>
      <c r="AP487" s="7" t="s">
        <v>8771</v>
      </c>
      <c r="AQ487" s="7" t="s">
        <v>8780</v>
      </c>
      <c r="AR487" s="7" t="s">
        <v>6605</v>
      </c>
      <c r="AS487" s="7" t="n">
        <v>186750</v>
      </c>
      <c r="AT487" s="7"/>
      <c r="AU487" s="7" t="s">
        <v>8781</v>
      </c>
      <c r="AV487" s="7"/>
      <c r="AW487" s="7"/>
      <c r="AX487" s="7" t="s">
        <v>6607</v>
      </c>
      <c r="AY487" s="7" t="s">
        <v>75</v>
      </c>
      <c r="AZ487" s="7"/>
      <c r="BA487" s="7" t="s">
        <v>76</v>
      </c>
      <c r="BB487" s="7" t="s">
        <v>8782</v>
      </c>
      <c r="BC487" s="7"/>
      <c r="BD487" s="7"/>
      <c r="BE487" s="7"/>
      <c r="BF487" s="7"/>
      <c r="BG487" s="7"/>
      <c r="BH487" s="7"/>
      <c r="BI487" s="7"/>
    </row>
    <row r="488" customFormat="false" ht="14.25" hidden="false" customHeight="true" outlineLevel="0" collapsed="false">
      <c r="A488" s="7" t="s">
        <v>8783</v>
      </c>
      <c r="B488" s="7" t="s">
        <v>8784</v>
      </c>
      <c r="C488" s="7" t="s">
        <v>8785</v>
      </c>
      <c r="D488" s="7" t="s">
        <v>8786</v>
      </c>
      <c r="E488" s="7" t="n">
        <v>2022</v>
      </c>
      <c r="F488" s="8" t="s">
        <v>8787</v>
      </c>
      <c r="G488" s="6" t="s">
        <v>1686</v>
      </c>
      <c r="H488" s="7"/>
      <c r="I488" s="7"/>
      <c r="J488" s="7"/>
      <c r="K488" s="7"/>
      <c r="L488" s="7"/>
      <c r="M488" s="7"/>
      <c r="N488" s="7"/>
      <c r="O488" s="7"/>
      <c r="P488" s="7" t="s">
        <v>304</v>
      </c>
      <c r="Q488" s="7" t="s">
        <v>62</v>
      </c>
      <c r="R488" s="7" t="s">
        <v>305</v>
      </c>
      <c r="S488" s="7" t="s">
        <v>8788</v>
      </c>
      <c r="T488" s="7" t="s">
        <v>307</v>
      </c>
      <c r="U488" s="7"/>
      <c r="V488" s="7"/>
      <c r="W488" s="7" t="n">
        <v>78</v>
      </c>
      <c r="X488" s="7" t="n">
        <v>91</v>
      </c>
      <c r="Y488" s="7" t="n">
        <v>13</v>
      </c>
      <c r="Z488" s="7" t="s">
        <v>8789</v>
      </c>
      <c r="AA488" s="9" t="s">
        <v>8790</v>
      </c>
      <c r="AB488" s="7" t="s">
        <v>8791</v>
      </c>
      <c r="AC488" s="7" t="s">
        <v>8792</v>
      </c>
      <c r="AD488" s="7" t="s">
        <v>8793</v>
      </c>
      <c r="AE488" s="7" t="s">
        <v>8794</v>
      </c>
      <c r="AF488" s="7"/>
      <c r="AG488" s="7"/>
      <c r="AH488" s="7"/>
      <c r="AI488" s="7"/>
      <c r="AJ488" s="10" t="s">
        <v>8795</v>
      </c>
      <c r="AK488" s="7" t="s">
        <v>8796</v>
      </c>
      <c r="AL488" s="7" t="s">
        <v>8797</v>
      </c>
      <c r="AM488" s="7" t="s">
        <v>8798</v>
      </c>
      <c r="AN488" s="7" t="s">
        <v>8799</v>
      </c>
      <c r="AO488" s="7"/>
      <c r="AP488" s="7" t="s">
        <v>8800</v>
      </c>
      <c r="AQ488" s="7" t="s">
        <v>8801</v>
      </c>
      <c r="AR488" s="7" t="s">
        <v>5337</v>
      </c>
      <c r="AS488" s="7" t="n">
        <v>271659</v>
      </c>
      <c r="AT488" s="7" t="n">
        <v>18650929</v>
      </c>
      <c r="AU488" s="7" t="s">
        <v>8802</v>
      </c>
      <c r="AV488" s="7"/>
      <c r="AW488" s="7"/>
      <c r="AX488" s="7" t="s">
        <v>321</v>
      </c>
      <c r="AY488" s="7" t="s">
        <v>75</v>
      </c>
      <c r="AZ488" s="7"/>
      <c r="BA488" s="7" t="s">
        <v>76</v>
      </c>
      <c r="BB488" s="7" t="s">
        <v>8803</v>
      </c>
      <c r="BC488" s="7"/>
      <c r="BD488" s="7"/>
      <c r="BE488" s="7"/>
      <c r="BF488" s="7"/>
      <c r="BG488" s="7"/>
      <c r="BH488" s="7"/>
      <c r="BI488" s="7"/>
    </row>
    <row r="489" customFormat="false" ht="14.25" hidden="false" customHeight="true" outlineLevel="0" collapsed="false">
      <c r="A489" s="7" t="s">
        <v>8804</v>
      </c>
      <c r="B489" s="7" t="s">
        <v>8805</v>
      </c>
      <c r="C489" s="7" t="s">
        <v>8806</v>
      </c>
      <c r="D489" s="7" t="s">
        <v>8807</v>
      </c>
      <c r="E489" s="7" t="n">
        <v>2022</v>
      </c>
      <c r="F489" s="8" t="s">
        <v>8808</v>
      </c>
      <c r="G489" s="6" t="s">
        <v>713</v>
      </c>
      <c r="H489" s="7"/>
      <c r="I489" s="7"/>
      <c r="J489" s="7"/>
      <c r="K489" s="7"/>
      <c r="L489" s="7"/>
      <c r="M489" s="7"/>
      <c r="N489" s="7"/>
      <c r="O489" s="7"/>
      <c r="P489" s="7" t="s">
        <v>304</v>
      </c>
      <c r="Q489" s="7" t="s">
        <v>62</v>
      </c>
      <c r="R489" s="7" t="s">
        <v>8809</v>
      </c>
      <c r="S489" s="7"/>
      <c r="T489" s="7" t="s">
        <v>187</v>
      </c>
      <c r="U489" s="7"/>
      <c r="V489" s="7"/>
      <c r="W489" s="7"/>
      <c r="X489" s="7"/>
      <c r="Y489" s="7"/>
      <c r="Z489" s="7" t="s">
        <v>8810</v>
      </c>
      <c r="AA489" s="9" t="s">
        <v>8811</v>
      </c>
      <c r="AB489" s="7" t="s">
        <v>8812</v>
      </c>
      <c r="AC489" s="7" t="s">
        <v>8813</v>
      </c>
      <c r="AD489" s="7" t="s">
        <v>8814</v>
      </c>
      <c r="AE489" s="7" t="s">
        <v>8815</v>
      </c>
      <c r="AF489" s="7"/>
      <c r="AG489" s="7"/>
      <c r="AH489" s="7"/>
      <c r="AI489" s="7"/>
      <c r="AJ489" s="10"/>
      <c r="AK489" s="7"/>
      <c r="AL489" s="7" t="s">
        <v>8816</v>
      </c>
      <c r="AM489" s="7"/>
      <c r="AN489" s="7"/>
      <c r="AO489" s="7"/>
      <c r="AP489" s="7" t="s">
        <v>8809</v>
      </c>
      <c r="AQ489" s="7" t="s">
        <v>8817</v>
      </c>
      <c r="AR489" s="7" t="s">
        <v>2201</v>
      </c>
      <c r="AS489" s="7" t="n">
        <v>187827</v>
      </c>
      <c r="AT489" s="7"/>
      <c r="AU489" s="7" t="s">
        <v>8818</v>
      </c>
      <c r="AV489" s="7"/>
      <c r="AW489" s="7"/>
      <c r="AX489" s="7" t="s">
        <v>8819</v>
      </c>
      <c r="AY489" s="7" t="s">
        <v>75</v>
      </c>
      <c r="AZ489" s="7"/>
      <c r="BA489" s="7" t="s">
        <v>76</v>
      </c>
      <c r="BB489" s="7" t="s">
        <v>8820</v>
      </c>
      <c r="BC489" s="7"/>
      <c r="BD489" s="7"/>
      <c r="BE489" s="7"/>
      <c r="BF489" s="7"/>
      <c r="BG489" s="7"/>
      <c r="BH489" s="7"/>
      <c r="BI489" s="7"/>
    </row>
    <row r="490" customFormat="false" ht="14.25" hidden="false" customHeight="true" outlineLevel="0" collapsed="false">
      <c r="A490" s="7" t="s">
        <v>8821</v>
      </c>
      <c r="B490" s="7" t="s">
        <v>8822</v>
      </c>
      <c r="C490" s="7" t="s">
        <v>8823</v>
      </c>
      <c r="D490" s="7" t="s">
        <v>8824</v>
      </c>
      <c r="E490" s="7" t="n">
        <v>2022</v>
      </c>
      <c r="F490" s="8" t="s">
        <v>8825</v>
      </c>
      <c r="G490" s="6" t="s">
        <v>713</v>
      </c>
      <c r="H490" s="7"/>
      <c r="I490" s="7"/>
      <c r="J490" s="7"/>
      <c r="K490" s="7"/>
      <c r="L490" s="7"/>
      <c r="M490" s="7"/>
      <c r="N490" s="7"/>
      <c r="O490" s="7"/>
      <c r="P490" s="7" t="s">
        <v>304</v>
      </c>
      <c r="Q490" s="7" t="s">
        <v>62</v>
      </c>
      <c r="R490" s="7" t="s">
        <v>8826</v>
      </c>
      <c r="S490" s="7"/>
      <c r="T490" s="7" t="s">
        <v>187</v>
      </c>
      <c r="U490" s="7"/>
      <c r="V490" s="7"/>
      <c r="W490" s="7"/>
      <c r="X490" s="7"/>
      <c r="Y490" s="7"/>
      <c r="Z490" s="7" t="s">
        <v>8827</v>
      </c>
      <c r="AA490" s="9" t="s">
        <v>8828</v>
      </c>
      <c r="AB490" s="7" t="s">
        <v>8829</v>
      </c>
      <c r="AC490" s="7" t="s">
        <v>8830</v>
      </c>
      <c r="AD490" s="7" t="s">
        <v>8831</v>
      </c>
      <c r="AE490" s="7" t="s">
        <v>8832</v>
      </c>
      <c r="AF490" s="7"/>
      <c r="AG490" s="7"/>
      <c r="AH490" s="7"/>
      <c r="AI490" s="7"/>
      <c r="AJ490" s="10"/>
      <c r="AK490" s="7"/>
      <c r="AL490" s="7" t="s">
        <v>8833</v>
      </c>
      <c r="AM490" s="7"/>
      <c r="AN490" s="7"/>
      <c r="AO490" s="7"/>
      <c r="AP490" s="7" t="s">
        <v>8834</v>
      </c>
      <c r="AQ490" s="7" t="s">
        <v>8835</v>
      </c>
      <c r="AR490" s="7" t="s">
        <v>6473</v>
      </c>
      <c r="AS490" s="7" t="n">
        <v>187042</v>
      </c>
      <c r="AT490" s="7"/>
      <c r="AU490" s="7" t="s">
        <v>8836</v>
      </c>
      <c r="AV490" s="7"/>
      <c r="AW490" s="7"/>
      <c r="AX490" s="7" t="s">
        <v>8837</v>
      </c>
      <c r="AY490" s="7" t="s">
        <v>75</v>
      </c>
      <c r="AZ490" s="7"/>
      <c r="BA490" s="7" t="s">
        <v>76</v>
      </c>
      <c r="BB490" s="7" t="s">
        <v>8838</v>
      </c>
      <c r="BC490" s="7"/>
      <c r="BD490" s="7"/>
      <c r="BE490" s="7"/>
      <c r="BF490" s="7"/>
      <c r="BG490" s="7"/>
      <c r="BH490" s="7"/>
      <c r="BI490" s="7"/>
    </row>
    <row r="491" customFormat="false" ht="14.25" hidden="false" customHeight="true" outlineLevel="0" collapsed="false">
      <c r="A491" s="7" t="s">
        <v>8839</v>
      </c>
      <c r="B491" s="7" t="s">
        <v>8840</v>
      </c>
      <c r="C491" s="7" t="s">
        <v>8841</v>
      </c>
      <c r="D491" s="7" t="s">
        <v>8842</v>
      </c>
      <c r="E491" s="7" t="n">
        <v>2022</v>
      </c>
      <c r="F491" s="8" t="s">
        <v>8843</v>
      </c>
      <c r="G491" s="6" t="s">
        <v>713</v>
      </c>
      <c r="H491" s="7"/>
      <c r="I491" s="7"/>
      <c r="J491" s="7"/>
      <c r="K491" s="7"/>
      <c r="L491" s="7"/>
      <c r="M491" s="7"/>
      <c r="N491" s="7"/>
      <c r="O491" s="7"/>
      <c r="P491" s="7" t="s">
        <v>304</v>
      </c>
      <c r="Q491" s="7" t="s">
        <v>62</v>
      </c>
      <c r="R491" s="7" t="s">
        <v>2892</v>
      </c>
      <c r="S491" s="7" t="n">
        <v>903</v>
      </c>
      <c r="T491" s="7" t="s">
        <v>307</v>
      </c>
      <c r="U491" s="7"/>
      <c r="V491" s="7"/>
      <c r="W491" s="7" t="n">
        <v>603</v>
      </c>
      <c r="X491" s="7" t="n">
        <v>612</v>
      </c>
      <c r="Y491" s="7" t="n">
        <v>9</v>
      </c>
      <c r="Z491" s="7" t="s">
        <v>8844</v>
      </c>
      <c r="AA491" s="9" t="s">
        <v>8845</v>
      </c>
      <c r="AB491" s="7" t="s">
        <v>8846</v>
      </c>
      <c r="AC491" s="7" t="s">
        <v>8847</v>
      </c>
      <c r="AD491" s="7" t="s">
        <v>8848</v>
      </c>
      <c r="AE491" s="7" t="s">
        <v>8849</v>
      </c>
      <c r="AF491" s="7"/>
      <c r="AG491" s="7"/>
      <c r="AH491" s="7"/>
      <c r="AI491" s="7"/>
      <c r="AJ491" s="10"/>
      <c r="AK491" s="7"/>
      <c r="AL491" s="7" t="s">
        <v>8850</v>
      </c>
      <c r="AM491" s="7" t="s">
        <v>8851</v>
      </c>
      <c r="AN491" s="7" t="s">
        <v>8852</v>
      </c>
      <c r="AO491" s="7"/>
      <c r="AP491" s="7" t="s">
        <v>8853</v>
      </c>
      <c r="AQ491" s="7" t="s">
        <v>8854</v>
      </c>
      <c r="AR491" s="7" t="s">
        <v>2201</v>
      </c>
      <c r="AS491" s="7" t="n">
        <v>283079</v>
      </c>
      <c r="AT491" s="7" t="n">
        <v>18761100</v>
      </c>
      <c r="AU491" s="7" t="s">
        <v>8855</v>
      </c>
      <c r="AV491" s="7"/>
      <c r="AW491" s="7"/>
      <c r="AX491" s="7" t="s">
        <v>2906</v>
      </c>
      <c r="AY491" s="7" t="s">
        <v>75</v>
      </c>
      <c r="AZ491" s="7"/>
      <c r="BA491" s="7" t="s">
        <v>76</v>
      </c>
      <c r="BB491" s="7" t="s">
        <v>8856</v>
      </c>
      <c r="BC491" s="7"/>
      <c r="BD491" s="7"/>
      <c r="BE491" s="7"/>
      <c r="BF491" s="7"/>
      <c r="BG491" s="7"/>
      <c r="BH491" s="7"/>
      <c r="BI491" s="7"/>
    </row>
    <row r="492" customFormat="false" ht="14.25" hidden="false" customHeight="true" outlineLevel="0" collapsed="false">
      <c r="A492" s="7" t="s">
        <v>8857</v>
      </c>
      <c r="B492" s="7" t="s">
        <v>8858</v>
      </c>
      <c r="C492" s="7" t="n">
        <v>57205365719</v>
      </c>
      <c r="D492" s="7" t="s">
        <v>8859</v>
      </c>
      <c r="E492" s="7" t="n">
        <v>2022</v>
      </c>
      <c r="F492" s="8" t="s">
        <v>8860</v>
      </c>
      <c r="G492" s="6" t="s">
        <v>713</v>
      </c>
      <c r="H492" s="7"/>
      <c r="I492" s="7"/>
      <c r="J492" s="7"/>
      <c r="K492" s="7"/>
      <c r="L492" s="7"/>
      <c r="M492" s="7"/>
      <c r="N492" s="7"/>
      <c r="O492" s="7"/>
      <c r="P492" s="7" t="s">
        <v>304</v>
      </c>
      <c r="Q492" s="7" t="s">
        <v>62</v>
      </c>
      <c r="R492" s="7" t="s">
        <v>350</v>
      </c>
      <c r="S492" s="7" t="s">
        <v>8861</v>
      </c>
      <c r="T492" s="7" t="s">
        <v>307</v>
      </c>
      <c r="U492" s="7"/>
      <c r="V492" s="7"/>
      <c r="W492" s="7" t="n">
        <v>116</v>
      </c>
      <c r="X492" s="7" t="n">
        <v>123</v>
      </c>
      <c r="Y492" s="7" t="n">
        <v>7</v>
      </c>
      <c r="Z492" s="7" t="s">
        <v>8862</v>
      </c>
      <c r="AA492" s="9" t="s">
        <v>8863</v>
      </c>
      <c r="AB492" s="7" t="s">
        <v>8864</v>
      </c>
      <c r="AC492" s="7" t="s">
        <v>8865</v>
      </c>
      <c r="AD492" s="7" t="s">
        <v>8866</v>
      </c>
      <c r="AE492" s="7"/>
      <c r="AF492" s="7"/>
      <c r="AG492" s="7"/>
      <c r="AH492" s="7"/>
      <c r="AI492" s="7"/>
      <c r="AJ492" s="10"/>
      <c r="AK492" s="7"/>
      <c r="AL492" s="7" t="s">
        <v>8867</v>
      </c>
      <c r="AM492" s="7" t="s">
        <v>8868</v>
      </c>
      <c r="AN492" s="7" t="s">
        <v>8869</v>
      </c>
      <c r="AO492" s="7"/>
      <c r="AP492" s="7" t="s">
        <v>8870</v>
      </c>
      <c r="AQ492" s="7" t="s">
        <v>8871</v>
      </c>
      <c r="AR492" s="7" t="s">
        <v>8872</v>
      </c>
      <c r="AS492" s="7" t="n">
        <v>270799</v>
      </c>
      <c r="AT492" s="7" t="n">
        <v>23673370</v>
      </c>
      <c r="AU492" s="7" t="s">
        <v>8873</v>
      </c>
      <c r="AV492" s="7"/>
      <c r="AW492" s="7"/>
      <c r="AX492" s="7" t="s">
        <v>365</v>
      </c>
      <c r="AY492" s="7" t="s">
        <v>75</v>
      </c>
      <c r="AZ492" s="7"/>
      <c r="BA492" s="7" t="s">
        <v>76</v>
      </c>
      <c r="BB492" s="7" t="s">
        <v>8874</v>
      </c>
      <c r="BC492" s="7"/>
      <c r="BD492" s="7"/>
      <c r="BE492" s="7"/>
      <c r="BF492" s="7"/>
      <c r="BG492" s="7"/>
      <c r="BH492" s="7"/>
      <c r="BI492" s="7"/>
    </row>
    <row r="493" customFormat="false" ht="14.25" hidden="false" customHeight="true" outlineLevel="0" collapsed="false">
      <c r="A493" s="7" t="s">
        <v>8875</v>
      </c>
      <c r="B493" s="7" t="s">
        <v>8876</v>
      </c>
      <c r="C493" s="7" t="s">
        <v>8877</v>
      </c>
      <c r="D493" s="7" t="s">
        <v>8878</v>
      </c>
      <c r="E493" s="7" t="n">
        <v>2022</v>
      </c>
      <c r="F493" s="8" t="s">
        <v>8879</v>
      </c>
      <c r="G493" s="6" t="s">
        <v>713</v>
      </c>
      <c r="H493" s="7"/>
      <c r="I493" s="7"/>
      <c r="J493" s="7"/>
      <c r="K493" s="7"/>
      <c r="L493" s="7"/>
      <c r="M493" s="7"/>
      <c r="N493" s="7"/>
      <c r="O493" s="7"/>
      <c r="P493" s="7" t="s">
        <v>304</v>
      </c>
      <c r="Q493" s="7" t="s">
        <v>62</v>
      </c>
      <c r="R493" s="7" t="s">
        <v>350</v>
      </c>
      <c r="S493" s="7" t="n">
        <v>385</v>
      </c>
      <c r="T493" s="7" t="s">
        <v>307</v>
      </c>
      <c r="U493" s="7"/>
      <c r="V493" s="7"/>
      <c r="W493" s="7" t="n">
        <v>519</v>
      </c>
      <c r="X493" s="7" t="n">
        <v>527</v>
      </c>
      <c r="Y493" s="7" t="n">
        <v>8</v>
      </c>
      <c r="Z493" s="7" t="s">
        <v>8880</v>
      </c>
      <c r="AA493" s="9" t="s">
        <v>8881</v>
      </c>
      <c r="AB493" s="7" t="s">
        <v>8882</v>
      </c>
      <c r="AC493" s="7" t="s">
        <v>8883</v>
      </c>
      <c r="AD493" s="7" t="s">
        <v>8884</v>
      </c>
      <c r="AE493" s="7"/>
      <c r="AF493" s="7"/>
      <c r="AG493" s="7"/>
      <c r="AH493" s="7"/>
      <c r="AI493" s="7"/>
      <c r="AJ493" s="10"/>
      <c r="AK493" s="7"/>
      <c r="AL493" s="7" t="s">
        <v>8885</v>
      </c>
      <c r="AM493" s="7" t="s">
        <v>8886</v>
      </c>
      <c r="AN493" s="7" t="s">
        <v>8887</v>
      </c>
      <c r="AO493" s="7"/>
      <c r="AP493" s="7" t="s">
        <v>8888</v>
      </c>
      <c r="AQ493" s="7" t="s">
        <v>8889</v>
      </c>
      <c r="AR493" s="7" t="s">
        <v>5277</v>
      </c>
      <c r="AS493" s="7" t="n">
        <v>275839</v>
      </c>
      <c r="AT493" s="7" t="n">
        <v>23673370</v>
      </c>
      <c r="AU493" s="7" t="s">
        <v>8890</v>
      </c>
      <c r="AV493" s="7"/>
      <c r="AW493" s="7"/>
      <c r="AX493" s="7" t="s">
        <v>365</v>
      </c>
      <c r="AY493" s="7" t="s">
        <v>75</v>
      </c>
      <c r="AZ493" s="7"/>
      <c r="BA493" s="7" t="s">
        <v>76</v>
      </c>
      <c r="BB493" s="7" t="s">
        <v>8891</v>
      </c>
      <c r="BC493" s="7"/>
      <c r="BD493" s="7"/>
      <c r="BE493" s="7"/>
      <c r="BF493" s="7"/>
      <c r="BG493" s="7"/>
      <c r="BH493" s="7"/>
      <c r="BI493" s="7"/>
    </row>
    <row r="494" customFormat="false" ht="14.25" hidden="false" customHeight="true" outlineLevel="0" collapsed="false">
      <c r="A494" s="7" t="s">
        <v>8892</v>
      </c>
      <c r="B494" s="7" t="s">
        <v>8893</v>
      </c>
      <c r="C494" s="7" t="s">
        <v>8894</v>
      </c>
      <c r="D494" s="7" t="s">
        <v>8895</v>
      </c>
      <c r="E494" s="7" t="n">
        <v>2022</v>
      </c>
      <c r="F494" s="8" t="s">
        <v>8896</v>
      </c>
      <c r="G494" s="6" t="s">
        <v>713</v>
      </c>
      <c r="H494" s="7"/>
      <c r="I494" s="7"/>
      <c r="J494" s="7"/>
      <c r="K494" s="7"/>
      <c r="L494" s="7"/>
      <c r="M494" s="7"/>
      <c r="N494" s="7"/>
      <c r="O494" s="7"/>
      <c r="P494" s="7" t="s">
        <v>304</v>
      </c>
      <c r="Q494" s="7" t="s">
        <v>62</v>
      </c>
      <c r="R494" s="7" t="s">
        <v>8897</v>
      </c>
      <c r="S494" s="7"/>
      <c r="T494" s="7" t="s">
        <v>187</v>
      </c>
      <c r="U494" s="7"/>
      <c r="V494" s="7"/>
      <c r="W494" s="7" t="n">
        <v>277</v>
      </c>
      <c r="X494" s="7" t="n">
        <v>281</v>
      </c>
      <c r="Y494" s="7" t="n">
        <v>4</v>
      </c>
      <c r="Z494" s="7" t="s">
        <v>8898</v>
      </c>
      <c r="AA494" s="9" t="s">
        <v>8899</v>
      </c>
      <c r="AB494" s="7" t="s">
        <v>8900</v>
      </c>
      <c r="AC494" s="7" t="s">
        <v>8901</v>
      </c>
      <c r="AD494" s="7" t="s">
        <v>8902</v>
      </c>
      <c r="AE494" s="7" t="s">
        <v>8903</v>
      </c>
      <c r="AF494" s="7"/>
      <c r="AG494" s="7"/>
      <c r="AH494" s="7"/>
      <c r="AI494" s="7"/>
      <c r="AJ494" s="10" t="s">
        <v>8904</v>
      </c>
      <c r="AK494" s="7" t="s">
        <v>8905</v>
      </c>
      <c r="AL494" s="7" t="s">
        <v>8906</v>
      </c>
      <c r="AM494" s="7"/>
      <c r="AN494" s="7"/>
      <c r="AO494" s="7"/>
      <c r="AP494" s="7" t="s">
        <v>8897</v>
      </c>
      <c r="AQ494" s="7" t="s">
        <v>8907</v>
      </c>
      <c r="AR494" s="7" t="s">
        <v>8908</v>
      </c>
      <c r="AS494" s="7" t="n">
        <v>183892</v>
      </c>
      <c r="AT494" s="7"/>
      <c r="AU494" s="7" t="s">
        <v>8909</v>
      </c>
      <c r="AV494" s="7"/>
      <c r="AW494" s="7"/>
      <c r="AX494" s="7" t="s">
        <v>8910</v>
      </c>
      <c r="AY494" s="7" t="s">
        <v>75</v>
      </c>
      <c r="AZ494" s="7" t="s">
        <v>409</v>
      </c>
      <c r="BA494" s="7" t="s">
        <v>76</v>
      </c>
      <c r="BB494" s="7" t="s">
        <v>8911</v>
      </c>
      <c r="BC494" s="7"/>
      <c r="BD494" s="7"/>
      <c r="BE494" s="7"/>
      <c r="BF494" s="7"/>
      <c r="BG494" s="7"/>
      <c r="BH494" s="7"/>
      <c r="BI494" s="7"/>
    </row>
    <row r="495" customFormat="false" ht="14.25" hidden="false" customHeight="true" outlineLevel="0" collapsed="false">
      <c r="A495" s="7" t="s">
        <v>8912</v>
      </c>
      <c r="B495" s="7" t="s">
        <v>8913</v>
      </c>
      <c r="C495" s="7" t="s">
        <v>8914</v>
      </c>
      <c r="D495" s="7" t="s">
        <v>8915</v>
      </c>
      <c r="E495" s="7" t="n">
        <v>2022</v>
      </c>
      <c r="F495" s="8" t="s">
        <v>8916</v>
      </c>
      <c r="G495" s="6" t="s">
        <v>713</v>
      </c>
      <c r="H495" s="7"/>
      <c r="I495" s="7"/>
      <c r="J495" s="7"/>
      <c r="K495" s="7"/>
      <c r="L495" s="7"/>
      <c r="M495" s="7"/>
      <c r="N495" s="7"/>
      <c r="O495" s="7"/>
      <c r="P495" s="7" t="s">
        <v>304</v>
      </c>
      <c r="Q495" s="7" t="s">
        <v>62</v>
      </c>
      <c r="R495" s="7" t="s">
        <v>8917</v>
      </c>
      <c r="S495" s="7"/>
      <c r="T495" s="7" t="s">
        <v>187</v>
      </c>
      <c r="U495" s="7"/>
      <c r="V495" s="7"/>
      <c r="W495" s="7"/>
      <c r="X495" s="7"/>
      <c r="Y495" s="7"/>
      <c r="Z495" s="7" t="s">
        <v>8918</v>
      </c>
      <c r="AA495" s="9" t="s">
        <v>8919</v>
      </c>
      <c r="AB495" s="7" t="s">
        <v>8920</v>
      </c>
      <c r="AC495" s="7" t="s">
        <v>8921</v>
      </c>
      <c r="AD495" s="7" t="s">
        <v>8922</v>
      </c>
      <c r="AE495" s="7" t="s">
        <v>8923</v>
      </c>
      <c r="AF495" s="7"/>
      <c r="AG495" s="7"/>
      <c r="AH495" s="7"/>
      <c r="AI495" s="7"/>
      <c r="AJ495" s="10"/>
      <c r="AK495" s="7"/>
      <c r="AL495" s="7" t="s">
        <v>8924</v>
      </c>
      <c r="AM495" s="7"/>
      <c r="AN495" s="7"/>
      <c r="AO495" s="7"/>
      <c r="AP495" s="7" t="s">
        <v>8925</v>
      </c>
      <c r="AQ495" s="7" t="s">
        <v>8926</v>
      </c>
      <c r="AR495" s="7" t="s">
        <v>8927</v>
      </c>
      <c r="AS495" s="7" t="n">
        <v>182115</v>
      </c>
      <c r="AT495" s="7"/>
      <c r="AU495" s="7" t="s">
        <v>8928</v>
      </c>
      <c r="AV495" s="7"/>
      <c r="AW495" s="7"/>
      <c r="AX495" s="7" t="s">
        <v>8929</v>
      </c>
      <c r="AY495" s="7" t="s">
        <v>75</v>
      </c>
      <c r="AZ495" s="7"/>
      <c r="BA495" s="7" t="s">
        <v>76</v>
      </c>
      <c r="BB495" s="7" t="s">
        <v>8930</v>
      </c>
      <c r="BC495" s="7"/>
      <c r="BD495" s="7"/>
      <c r="BE495" s="7"/>
      <c r="BF495" s="7"/>
      <c r="BG495" s="7"/>
      <c r="BH495" s="7"/>
      <c r="BI495" s="7"/>
    </row>
    <row r="496" customFormat="false" ht="14.25" hidden="false" customHeight="true" outlineLevel="0" collapsed="false">
      <c r="A496" s="7" t="s">
        <v>8931</v>
      </c>
      <c r="B496" s="7" t="s">
        <v>8932</v>
      </c>
      <c r="C496" s="7" t="s">
        <v>8933</v>
      </c>
      <c r="D496" s="7" t="s">
        <v>8934</v>
      </c>
      <c r="E496" s="7" t="n">
        <v>2022</v>
      </c>
      <c r="F496" s="8" t="s">
        <v>8935</v>
      </c>
      <c r="G496" s="6" t="s">
        <v>713</v>
      </c>
      <c r="H496" s="7"/>
      <c r="I496" s="7"/>
      <c r="J496" s="7"/>
      <c r="K496" s="7"/>
      <c r="L496" s="7"/>
      <c r="M496" s="7"/>
      <c r="N496" s="7"/>
      <c r="O496" s="7"/>
      <c r="P496" s="7" t="s">
        <v>304</v>
      </c>
      <c r="Q496" s="7" t="s">
        <v>62</v>
      </c>
      <c r="R496" s="7" t="s">
        <v>8936</v>
      </c>
      <c r="S496" s="7"/>
      <c r="T496" s="7" t="s">
        <v>187</v>
      </c>
      <c r="U496" s="7"/>
      <c r="V496" s="7"/>
      <c r="W496" s="7" t="n">
        <v>90</v>
      </c>
      <c r="X496" s="7" t="n">
        <v>95</v>
      </c>
      <c r="Y496" s="7" t="n">
        <v>5</v>
      </c>
      <c r="Z496" s="7" t="s">
        <v>8937</v>
      </c>
      <c r="AA496" s="9" t="s">
        <v>8938</v>
      </c>
      <c r="AB496" s="7" t="s">
        <v>8939</v>
      </c>
      <c r="AC496" s="7" t="s">
        <v>8940</v>
      </c>
      <c r="AD496" s="7" t="s">
        <v>8941</v>
      </c>
      <c r="AE496" s="7" t="s">
        <v>8942</v>
      </c>
      <c r="AF496" s="7"/>
      <c r="AG496" s="7"/>
      <c r="AH496" s="7"/>
      <c r="AI496" s="7"/>
      <c r="AJ496" s="10"/>
      <c r="AK496" s="7"/>
      <c r="AL496" s="7" t="s">
        <v>8943</v>
      </c>
      <c r="AM496" s="7" t="s">
        <v>8944</v>
      </c>
      <c r="AN496" s="7"/>
      <c r="AO496" s="7" t="s">
        <v>3090</v>
      </c>
      <c r="AP496" s="7" t="s">
        <v>8945</v>
      </c>
      <c r="AQ496" s="7" t="s">
        <v>8946</v>
      </c>
      <c r="AR496" s="7" t="s">
        <v>8947</v>
      </c>
      <c r="AS496" s="7" t="n">
        <v>186570</v>
      </c>
      <c r="AT496" s="7"/>
      <c r="AU496" s="7" t="s">
        <v>8948</v>
      </c>
      <c r="AV496" s="7"/>
      <c r="AW496" s="7"/>
      <c r="AX496" s="7" t="s">
        <v>8949</v>
      </c>
      <c r="AY496" s="7" t="s">
        <v>75</v>
      </c>
      <c r="AZ496" s="7"/>
      <c r="BA496" s="7" t="s">
        <v>76</v>
      </c>
      <c r="BB496" s="7" t="s">
        <v>8950</v>
      </c>
      <c r="BC496" s="7"/>
      <c r="BD496" s="7"/>
      <c r="BE496" s="7"/>
      <c r="BF496" s="7"/>
      <c r="BG496" s="7"/>
      <c r="BH496" s="7"/>
      <c r="BI496" s="7"/>
    </row>
    <row r="497" customFormat="false" ht="14.25" hidden="false" customHeight="true" outlineLevel="0" collapsed="false">
      <c r="A497" s="7" t="s">
        <v>8951</v>
      </c>
      <c r="B497" s="7" t="s">
        <v>8952</v>
      </c>
      <c r="C497" s="7" t="s">
        <v>8953</v>
      </c>
      <c r="D497" s="7" t="s">
        <v>8954</v>
      </c>
      <c r="E497" s="7" t="n">
        <v>2022</v>
      </c>
      <c r="F497" s="8" t="s">
        <v>8955</v>
      </c>
      <c r="G497" s="6" t="s">
        <v>713</v>
      </c>
      <c r="H497" s="7"/>
      <c r="I497" s="7"/>
      <c r="J497" s="7"/>
      <c r="K497" s="7"/>
      <c r="L497" s="7"/>
      <c r="M497" s="7"/>
      <c r="N497" s="7"/>
      <c r="O497" s="7"/>
      <c r="P497" s="7" t="s">
        <v>304</v>
      </c>
      <c r="Q497" s="7" t="s">
        <v>62</v>
      </c>
      <c r="R497" s="7" t="s">
        <v>2676</v>
      </c>
      <c r="S497" s="7"/>
      <c r="T497" s="7" t="s">
        <v>2677</v>
      </c>
      <c r="U497" s="7"/>
      <c r="V497" s="7"/>
      <c r="W497" s="7" t="n">
        <v>4301</v>
      </c>
      <c r="X497" s="7" t="n">
        <v>4305</v>
      </c>
      <c r="Y497" s="7" t="n">
        <v>4</v>
      </c>
      <c r="Z497" s="7" t="s">
        <v>8956</v>
      </c>
      <c r="AA497" s="9" t="s">
        <v>8957</v>
      </c>
      <c r="AB497" s="7" t="s">
        <v>8958</v>
      </c>
      <c r="AC497" s="7" t="s">
        <v>8959</v>
      </c>
      <c r="AD497" s="7" t="s">
        <v>8960</v>
      </c>
      <c r="AE497" s="7" t="s">
        <v>8961</v>
      </c>
      <c r="AF497" s="7"/>
      <c r="AG497" s="7"/>
      <c r="AH497" s="7"/>
      <c r="AI497" s="7"/>
      <c r="AJ497" s="10" t="s">
        <v>8962</v>
      </c>
      <c r="AK497" s="7" t="s">
        <v>8963</v>
      </c>
      <c r="AL497" s="7" t="s">
        <v>8964</v>
      </c>
      <c r="AM497" s="7"/>
      <c r="AN497" s="7"/>
      <c r="AO497" s="7" t="s">
        <v>8965</v>
      </c>
      <c r="AP497" s="7" t="s">
        <v>8966</v>
      </c>
      <c r="AQ497" s="7" t="s">
        <v>8967</v>
      </c>
      <c r="AR497" s="7" t="s">
        <v>8968</v>
      </c>
      <c r="AS497" s="7" t="n">
        <v>185922</v>
      </c>
      <c r="AT497" s="7" t="n">
        <v>15224880</v>
      </c>
      <c r="AU497" s="7" t="s">
        <v>8969</v>
      </c>
      <c r="AV497" s="7"/>
      <c r="AW497" s="7"/>
      <c r="AX497" s="7" t="s">
        <v>2690</v>
      </c>
      <c r="AY497" s="7" t="s">
        <v>75</v>
      </c>
      <c r="AZ497" s="7"/>
      <c r="BA497" s="7" t="s">
        <v>76</v>
      </c>
      <c r="BB497" s="7" t="s">
        <v>8970</v>
      </c>
      <c r="BC497" s="7"/>
      <c r="BD497" s="7"/>
      <c r="BE497" s="7"/>
      <c r="BF497" s="7"/>
      <c r="BG497" s="7"/>
      <c r="BH497" s="7"/>
      <c r="BI497" s="7"/>
    </row>
    <row r="498" customFormat="false" ht="14.25" hidden="false" customHeight="true" outlineLevel="0" collapsed="false">
      <c r="A498" s="7" t="s">
        <v>8971</v>
      </c>
      <c r="B498" s="7" t="s">
        <v>8972</v>
      </c>
      <c r="C498" s="7" t="s">
        <v>8973</v>
      </c>
      <c r="D498" s="7" t="s">
        <v>8974</v>
      </c>
      <c r="E498" s="7" t="n">
        <v>2022</v>
      </c>
      <c r="F498" s="8" t="s">
        <v>8975</v>
      </c>
      <c r="G498" s="6" t="s">
        <v>3714</v>
      </c>
      <c r="H498" s="7"/>
      <c r="I498" s="7"/>
      <c r="J498" s="7"/>
      <c r="K498" s="7"/>
      <c r="L498" s="7"/>
      <c r="M498" s="7"/>
      <c r="N498" s="7"/>
      <c r="O498" s="7"/>
      <c r="P498" s="7" t="s">
        <v>304</v>
      </c>
      <c r="Q498" s="7" t="s">
        <v>62</v>
      </c>
      <c r="R498" s="7" t="s">
        <v>8976</v>
      </c>
      <c r="S498" s="7"/>
      <c r="T498" s="7" t="s">
        <v>187</v>
      </c>
      <c r="U498" s="7"/>
      <c r="V498" s="7"/>
      <c r="W498" s="7" t="n">
        <v>940</v>
      </c>
      <c r="X498" s="7" t="n">
        <v>947</v>
      </c>
      <c r="Y498" s="7" t="n">
        <v>7</v>
      </c>
      <c r="Z498" s="7" t="s">
        <v>8977</v>
      </c>
      <c r="AA498" s="9" t="s">
        <v>8978</v>
      </c>
      <c r="AB498" s="7" t="s">
        <v>8979</v>
      </c>
      <c r="AC498" s="7" t="s">
        <v>8980</v>
      </c>
      <c r="AD498" s="7" t="s">
        <v>8981</v>
      </c>
      <c r="AE498" s="7" t="s">
        <v>8982</v>
      </c>
      <c r="AF498" s="7"/>
      <c r="AG498" s="7"/>
      <c r="AH498" s="7"/>
      <c r="AI498" s="7"/>
      <c r="AJ498" s="10" t="s">
        <v>8983</v>
      </c>
      <c r="AK498" s="7" t="s">
        <v>8984</v>
      </c>
      <c r="AL498" s="7" t="s">
        <v>8985</v>
      </c>
      <c r="AM498" s="7"/>
      <c r="AN498" s="7" t="s">
        <v>8986</v>
      </c>
      <c r="AO498" s="7"/>
      <c r="AP498" s="7" t="s">
        <v>8987</v>
      </c>
      <c r="AQ498" s="7" t="s">
        <v>8988</v>
      </c>
      <c r="AR498" s="7" t="s">
        <v>8989</v>
      </c>
      <c r="AS498" s="7" t="n">
        <v>181072</v>
      </c>
      <c r="AT498" s="7"/>
      <c r="AU498" s="7" t="s">
        <v>8990</v>
      </c>
      <c r="AV498" s="7"/>
      <c r="AW498" s="7"/>
      <c r="AX498" s="7" t="s">
        <v>8991</v>
      </c>
      <c r="AY498" s="7" t="s">
        <v>75</v>
      </c>
      <c r="AZ498" s="7"/>
      <c r="BA498" s="7" t="s">
        <v>76</v>
      </c>
      <c r="BB498" s="7" t="s">
        <v>8992</v>
      </c>
      <c r="BC498" s="7"/>
      <c r="BD498" s="7"/>
      <c r="BE498" s="7"/>
      <c r="BF498" s="7"/>
      <c r="BG498" s="7"/>
      <c r="BH498" s="7"/>
      <c r="BI498" s="7"/>
    </row>
    <row r="499" customFormat="false" ht="14.25" hidden="false" customHeight="true" outlineLevel="0" collapsed="false">
      <c r="A499" s="7" t="s">
        <v>8993</v>
      </c>
      <c r="B499" s="7" t="s">
        <v>8994</v>
      </c>
      <c r="C499" s="7" t="s">
        <v>8995</v>
      </c>
      <c r="D499" s="7" t="s">
        <v>8996</v>
      </c>
      <c r="E499" s="7" t="n">
        <v>2022</v>
      </c>
      <c r="F499" s="8" t="s">
        <v>8997</v>
      </c>
      <c r="G499" s="6" t="s">
        <v>3714</v>
      </c>
      <c r="H499" s="7"/>
      <c r="I499" s="7"/>
      <c r="J499" s="7"/>
      <c r="K499" s="7"/>
      <c r="L499" s="7"/>
      <c r="M499" s="7"/>
      <c r="N499" s="7"/>
      <c r="O499" s="7"/>
      <c r="P499" s="7" t="s">
        <v>304</v>
      </c>
      <c r="Q499" s="7" t="s">
        <v>62</v>
      </c>
      <c r="R499" s="7" t="s">
        <v>8998</v>
      </c>
      <c r="S499" s="7"/>
      <c r="T499" s="7" t="s">
        <v>187</v>
      </c>
      <c r="U499" s="7"/>
      <c r="V499" s="7"/>
      <c r="W499" s="7"/>
      <c r="X499" s="7"/>
      <c r="Y499" s="7"/>
      <c r="Z499" s="7" t="s">
        <v>8999</v>
      </c>
      <c r="AA499" s="9" t="s">
        <v>9000</v>
      </c>
      <c r="AB499" s="7" t="s">
        <v>9001</v>
      </c>
      <c r="AC499" s="7" t="s">
        <v>9002</v>
      </c>
      <c r="AD499" s="7" t="s">
        <v>9003</v>
      </c>
      <c r="AE499" s="7" t="s">
        <v>9004</v>
      </c>
      <c r="AF499" s="7"/>
      <c r="AG499" s="7"/>
      <c r="AH499" s="7"/>
      <c r="AI499" s="7"/>
      <c r="AJ499" s="10"/>
      <c r="AK499" s="7"/>
      <c r="AL499" s="7" t="s">
        <v>9005</v>
      </c>
      <c r="AM499" s="7"/>
      <c r="AN499" s="7"/>
      <c r="AO499" s="7" t="s">
        <v>9006</v>
      </c>
      <c r="AP499" s="7" t="s">
        <v>8998</v>
      </c>
      <c r="AQ499" s="7" t="s">
        <v>9007</v>
      </c>
      <c r="AR499" s="7" t="s">
        <v>2923</v>
      </c>
      <c r="AS499" s="7" t="n">
        <v>188470</v>
      </c>
      <c r="AT499" s="7"/>
      <c r="AU499" s="7" t="s">
        <v>9008</v>
      </c>
      <c r="AV499" s="7"/>
      <c r="AW499" s="7"/>
      <c r="AX499" s="7" t="s">
        <v>9009</v>
      </c>
      <c r="AY499" s="7" t="s">
        <v>75</v>
      </c>
      <c r="AZ499" s="7"/>
      <c r="BA499" s="7" t="s">
        <v>76</v>
      </c>
      <c r="BB499" s="7" t="s">
        <v>9010</v>
      </c>
      <c r="BC499" s="7"/>
      <c r="BD499" s="7"/>
      <c r="BE499" s="7"/>
      <c r="BF499" s="7"/>
      <c r="BG499" s="7"/>
      <c r="BH499" s="7"/>
      <c r="BI499" s="7"/>
    </row>
    <row r="500" customFormat="false" ht="14.25" hidden="false" customHeight="true" outlineLevel="0" collapsed="false">
      <c r="A500" s="7" t="s">
        <v>9011</v>
      </c>
      <c r="B500" s="7" t="s">
        <v>9012</v>
      </c>
      <c r="C500" s="7" t="s">
        <v>9013</v>
      </c>
      <c r="D500" s="7" t="s">
        <v>9014</v>
      </c>
      <c r="E500" s="7" t="n">
        <v>2022</v>
      </c>
      <c r="F500" s="8" t="s">
        <v>9015</v>
      </c>
      <c r="G500" s="6" t="s">
        <v>393</v>
      </c>
      <c r="H500" s="7"/>
      <c r="I500" s="7"/>
      <c r="J500" s="7"/>
      <c r="K500" s="7"/>
      <c r="L500" s="7"/>
      <c r="M500" s="7"/>
      <c r="N500" s="7"/>
      <c r="O500" s="7"/>
      <c r="P500" s="7" t="s">
        <v>304</v>
      </c>
      <c r="Q500" s="7" t="s">
        <v>62</v>
      </c>
      <c r="R500" s="7" t="s">
        <v>350</v>
      </c>
      <c r="S500" s="7" t="n">
        <v>385</v>
      </c>
      <c r="T500" s="7" t="s">
        <v>307</v>
      </c>
      <c r="U500" s="7"/>
      <c r="V500" s="7"/>
      <c r="W500" s="7" t="n">
        <v>321</v>
      </c>
      <c r="X500" s="7" t="n">
        <v>329</v>
      </c>
      <c r="Y500" s="7" t="n">
        <v>8</v>
      </c>
      <c r="Z500" s="7" t="s">
        <v>9016</v>
      </c>
      <c r="AA500" s="9" t="s">
        <v>9017</v>
      </c>
      <c r="AB500" s="7" t="s">
        <v>9018</v>
      </c>
      <c r="AC500" s="7" t="s">
        <v>9019</v>
      </c>
      <c r="AD500" s="7" t="s">
        <v>9020</v>
      </c>
      <c r="AE500" s="7"/>
      <c r="AF500" s="7"/>
      <c r="AG500" s="7"/>
      <c r="AH500" s="7"/>
      <c r="AI500" s="7"/>
      <c r="AJ500" s="10"/>
      <c r="AK500" s="7"/>
      <c r="AL500" s="7" t="s">
        <v>9021</v>
      </c>
      <c r="AM500" s="7" t="s">
        <v>9022</v>
      </c>
      <c r="AN500" s="7" t="s">
        <v>8887</v>
      </c>
      <c r="AO500" s="7"/>
      <c r="AP500" s="7" t="s">
        <v>8888</v>
      </c>
      <c r="AQ500" s="7" t="s">
        <v>8889</v>
      </c>
      <c r="AR500" s="7" t="s">
        <v>5277</v>
      </c>
      <c r="AS500" s="7" t="n">
        <v>275839</v>
      </c>
      <c r="AT500" s="7" t="n">
        <v>23673370</v>
      </c>
      <c r="AU500" s="7" t="s">
        <v>8890</v>
      </c>
      <c r="AV500" s="7"/>
      <c r="AW500" s="7"/>
      <c r="AX500" s="7" t="s">
        <v>365</v>
      </c>
      <c r="AY500" s="7" t="s">
        <v>75</v>
      </c>
      <c r="AZ500" s="7"/>
      <c r="BA500" s="7" t="s">
        <v>76</v>
      </c>
      <c r="BB500" s="7" t="s">
        <v>9023</v>
      </c>
      <c r="BC500" s="7"/>
      <c r="BD500" s="7"/>
      <c r="BE500" s="7"/>
      <c r="BF500" s="7"/>
      <c r="BG500" s="7"/>
      <c r="BH500" s="7"/>
      <c r="BI500" s="7"/>
    </row>
    <row r="501" customFormat="false" ht="14.25" hidden="false" customHeight="true" outlineLevel="0" collapsed="false">
      <c r="A501" s="7" t="s">
        <v>9024</v>
      </c>
      <c r="B501" s="7" t="s">
        <v>9025</v>
      </c>
      <c r="C501" s="7" t="s">
        <v>9026</v>
      </c>
      <c r="D501" s="7" t="s">
        <v>9027</v>
      </c>
      <c r="E501" s="7" t="n">
        <v>2022</v>
      </c>
      <c r="F501" s="8" t="s">
        <v>9028</v>
      </c>
      <c r="G501" s="6" t="s">
        <v>713</v>
      </c>
      <c r="H501" s="7"/>
      <c r="I501" s="7"/>
      <c r="J501" s="7"/>
      <c r="K501" s="7"/>
      <c r="L501" s="7"/>
      <c r="M501" s="7"/>
      <c r="N501" s="7"/>
      <c r="O501" s="7"/>
      <c r="P501" s="7" t="s">
        <v>304</v>
      </c>
      <c r="Q501" s="7" t="s">
        <v>62</v>
      </c>
      <c r="R501" s="7" t="s">
        <v>9029</v>
      </c>
      <c r="S501" s="12" t="n">
        <v>44713</v>
      </c>
      <c r="T501" s="7" t="s">
        <v>2677</v>
      </c>
      <c r="U501" s="7"/>
      <c r="V501" s="7"/>
      <c r="W501" s="7" t="n">
        <v>20655</v>
      </c>
      <c r="X501" s="7" t="n">
        <v>20664</v>
      </c>
      <c r="Y501" s="7" t="n">
        <v>9</v>
      </c>
      <c r="Z501" s="7" t="s">
        <v>9030</v>
      </c>
      <c r="AA501" s="9" t="s">
        <v>9031</v>
      </c>
      <c r="AB501" s="7" t="s">
        <v>9032</v>
      </c>
      <c r="AC501" s="7" t="s">
        <v>9033</v>
      </c>
      <c r="AD501" s="7" t="s">
        <v>9034</v>
      </c>
      <c r="AE501" s="7" t="s">
        <v>9035</v>
      </c>
      <c r="AF501" s="7"/>
      <c r="AG501" s="7"/>
      <c r="AH501" s="7"/>
      <c r="AI501" s="7"/>
      <c r="AJ501" s="10"/>
      <c r="AK501" s="7"/>
      <c r="AL501" s="7" t="s">
        <v>9036</v>
      </c>
      <c r="AM501" s="7"/>
      <c r="AN501" s="7"/>
      <c r="AO501" s="7"/>
      <c r="AP501" s="7" t="s">
        <v>9037</v>
      </c>
      <c r="AQ501" s="7" t="s">
        <v>9038</v>
      </c>
      <c r="AR501" s="7" t="s">
        <v>9039</v>
      </c>
      <c r="AS501" s="7" t="n">
        <v>183275</v>
      </c>
      <c r="AT501" s="7" t="n">
        <v>10636919</v>
      </c>
      <c r="AU501" s="7" t="s">
        <v>9040</v>
      </c>
      <c r="AV501" s="7" t="s">
        <v>9041</v>
      </c>
      <c r="AW501" s="7"/>
      <c r="AX501" s="7" t="s">
        <v>9042</v>
      </c>
      <c r="AY501" s="7" t="s">
        <v>75</v>
      </c>
      <c r="AZ501" s="7" t="s">
        <v>409</v>
      </c>
      <c r="BA501" s="7" t="s">
        <v>76</v>
      </c>
      <c r="BB501" s="7" t="s">
        <v>9043</v>
      </c>
      <c r="BC501" s="7"/>
      <c r="BD501" s="7"/>
      <c r="BE501" s="7"/>
      <c r="BF501" s="7"/>
      <c r="BG501" s="7"/>
      <c r="BH501" s="7"/>
      <c r="BI501" s="7"/>
    </row>
    <row r="502" customFormat="false" ht="14.25" hidden="false" customHeight="true" outlineLevel="0" collapsed="false">
      <c r="A502" s="7" t="s">
        <v>9044</v>
      </c>
      <c r="B502" s="7" t="s">
        <v>9045</v>
      </c>
      <c r="C502" s="7" t="s">
        <v>9046</v>
      </c>
      <c r="D502" s="7" t="s">
        <v>9047</v>
      </c>
      <c r="E502" s="7" t="n">
        <v>2022</v>
      </c>
      <c r="F502" s="8" t="s">
        <v>9048</v>
      </c>
      <c r="G502" s="6" t="s">
        <v>713</v>
      </c>
      <c r="H502" s="7"/>
      <c r="I502" s="7"/>
      <c r="J502" s="7"/>
      <c r="K502" s="7"/>
      <c r="L502" s="7"/>
      <c r="M502" s="7"/>
      <c r="N502" s="7"/>
      <c r="O502" s="7"/>
      <c r="P502" s="7" t="s">
        <v>304</v>
      </c>
      <c r="Q502" s="7" t="s">
        <v>62</v>
      </c>
      <c r="R502" s="7" t="s">
        <v>9049</v>
      </c>
      <c r="S502" s="7"/>
      <c r="T502" s="7" t="s">
        <v>187</v>
      </c>
      <c r="U502" s="7"/>
      <c r="V502" s="7"/>
      <c r="W502" s="7"/>
      <c r="X502" s="7"/>
      <c r="Y502" s="7"/>
      <c r="Z502" s="7" t="s">
        <v>9050</v>
      </c>
      <c r="AA502" s="9" t="s">
        <v>9051</v>
      </c>
      <c r="AB502" s="7" t="s">
        <v>9052</v>
      </c>
      <c r="AC502" s="7" t="s">
        <v>9053</v>
      </c>
      <c r="AD502" s="7" t="s">
        <v>9054</v>
      </c>
      <c r="AE502" s="7" t="s">
        <v>9055</v>
      </c>
      <c r="AF502" s="7"/>
      <c r="AG502" s="7"/>
      <c r="AH502" s="7"/>
      <c r="AI502" s="7"/>
      <c r="AJ502" s="10"/>
      <c r="AK502" s="7"/>
      <c r="AL502" s="7" t="s">
        <v>9056</v>
      </c>
      <c r="AM502" s="7"/>
      <c r="AN502" s="7" t="s">
        <v>9057</v>
      </c>
      <c r="AO502" s="7" t="s">
        <v>9058</v>
      </c>
      <c r="AP502" s="7" t="s">
        <v>9049</v>
      </c>
      <c r="AQ502" s="7" t="s">
        <v>9059</v>
      </c>
      <c r="AR502" s="7" t="s">
        <v>5788</v>
      </c>
      <c r="AS502" s="7" t="n">
        <v>180285</v>
      </c>
      <c r="AT502" s="7"/>
      <c r="AU502" s="7" t="s">
        <v>9060</v>
      </c>
      <c r="AV502" s="7"/>
      <c r="AW502" s="7"/>
      <c r="AX502" s="7" t="s">
        <v>9061</v>
      </c>
      <c r="AY502" s="7" t="s">
        <v>75</v>
      </c>
      <c r="AZ502" s="7"/>
      <c r="BA502" s="7" t="s">
        <v>76</v>
      </c>
      <c r="BB502" s="7" t="s">
        <v>9062</v>
      </c>
      <c r="BC502" s="7"/>
      <c r="BD502" s="7"/>
      <c r="BE502" s="7"/>
      <c r="BF502" s="7"/>
      <c r="BG502" s="7"/>
      <c r="BH502" s="7"/>
      <c r="BI502" s="7"/>
    </row>
    <row r="503" customFormat="false" ht="14.25" hidden="false" customHeight="true" outlineLevel="0" collapsed="false">
      <c r="A503" s="7" t="s">
        <v>9063</v>
      </c>
      <c r="B503" s="7" t="s">
        <v>9064</v>
      </c>
      <c r="C503" s="7" t="s">
        <v>9065</v>
      </c>
      <c r="D503" s="7" t="s">
        <v>9066</v>
      </c>
      <c r="E503" s="7" t="n">
        <v>2022</v>
      </c>
      <c r="F503" s="8" t="s">
        <v>9067</v>
      </c>
      <c r="G503" s="6" t="s">
        <v>713</v>
      </c>
      <c r="H503" s="7"/>
      <c r="I503" s="7"/>
      <c r="J503" s="7"/>
      <c r="K503" s="7"/>
      <c r="L503" s="7"/>
      <c r="M503" s="7"/>
      <c r="N503" s="7"/>
      <c r="O503" s="7"/>
      <c r="P503" s="7" t="s">
        <v>9068</v>
      </c>
      <c r="Q503" s="7" t="s">
        <v>62</v>
      </c>
      <c r="R503" s="7" t="s">
        <v>9069</v>
      </c>
      <c r="S503" s="7" t="n">
        <v>9</v>
      </c>
      <c r="T503" s="7" t="s">
        <v>749</v>
      </c>
      <c r="U503" s="7" t="n">
        <v>1</v>
      </c>
      <c r="V503" s="7" t="n">
        <v>198</v>
      </c>
      <c r="W503" s="7"/>
      <c r="X503" s="7"/>
      <c r="Y503" s="7"/>
      <c r="Z503" s="7" t="s">
        <v>9070</v>
      </c>
      <c r="AA503" s="9" t="s">
        <v>9071</v>
      </c>
      <c r="AB503" s="7" t="s">
        <v>9072</v>
      </c>
      <c r="AC503" s="7" t="s">
        <v>9073</v>
      </c>
      <c r="AD503" s="7"/>
      <c r="AE503" s="7" t="s">
        <v>9074</v>
      </c>
      <c r="AF503" s="7"/>
      <c r="AG503" s="7"/>
      <c r="AH503" s="7"/>
      <c r="AI503" s="7"/>
      <c r="AJ503" s="10" t="s">
        <v>9075</v>
      </c>
      <c r="AK503" s="7" t="s">
        <v>9076</v>
      </c>
      <c r="AL503" s="7" t="s">
        <v>9077</v>
      </c>
      <c r="AM503" s="7" t="s">
        <v>9078</v>
      </c>
      <c r="AN503" s="7"/>
      <c r="AO503" s="7"/>
      <c r="AP503" s="7"/>
      <c r="AQ503" s="7"/>
      <c r="AR503" s="7"/>
      <c r="AS503" s="7"/>
      <c r="AT503" s="7" t="n">
        <v>20524463</v>
      </c>
      <c r="AU503" s="7"/>
      <c r="AV503" s="7"/>
      <c r="AW503" s="7" t="n">
        <v>35538103</v>
      </c>
      <c r="AX503" s="7" t="s">
        <v>9079</v>
      </c>
      <c r="AY503" s="7" t="s">
        <v>75</v>
      </c>
      <c r="AZ503" s="7" t="s">
        <v>107</v>
      </c>
      <c r="BA503" s="7" t="s">
        <v>76</v>
      </c>
      <c r="BB503" s="7" t="s">
        <v>9080</v>
      </c>
      <c r="BC503" s="7"/>
      <c r="BD503" s="7"/>
      <c r="BE503" s="7"/>
      <c r="BF503" s="7"/>
      <c r="BG503" s="7"/>
      <c r="BH503" s="7"/>
      <c r="BI503" s="7"/>
    </row>
    <row r="504" customFormat="false" ht="14.25" hidden="false" customHeight="true" outlineLevel="0" collapsed="false">
      <c r="A504" s="7" t="s">
        <v>9081</v>
      </c>
      <c r="B504" s="7" t="s">
        <v>9082</v>
      </c>
      <c r="C504" s="7" t="s">
        <v>9083</v>
      </c>
      <c r="D504" s="7" t="s">
        <v>9084</v>
      </c>
      <c r="E504" s="7" t="n">
        <v>2021</v>
      </c>
      <c r="F504" s="8" t="s">
        <v>9085</v>
      </c>
      <c r="G504" s="6" t="s">
        <v>713</v>
      </c>
      <c r="H504" s="7"/>
      <c r="I504" s="7"/>
      <c r="J504" s="7"/>
      <c r="K504" s="7"/>
      <c r="L504" s="7"/>
      <c r="M504" s="7"/>
      <c r="N504" s="7"/>
      <c r="O504" s="7"/>
      <c r="P504" s="7" t="s">
        <v>61</v>
      </c>
      <c r="Q504" s="7" t="s">
        <v>62</v>
      </c>
      <c r="R504" s="7" t="s">
        <v>9086</v>
      </c>
      <c r="S504" s="7" t="n">
        <v>7</v>
      </c>
      <c r="T504" s="7" t="s">
        <v>9087</v>
      </c>
      <c r="U504" s="7" t="n">
        <v>5</v>
      </c>
      <c r="V504" s="7" t="n">
        <v>55002</v>
      </c>
      <c r="W504" s="7"/>
      <c r="X504" s="7"/>
      <c r="Y504" s="7"/>
      <c r="Z504" s="7" t="s">
        <v>9088</v>
      </c>
      <c r="AA504" s="9" t="s">
        <v>9089</v>
      </c>
      <c r="AB504" s="7" t="s">
        <v>9090</v>
      </c>
      <c r="AC504" s="7" t="s">
        <v>9091</v>
      </c>
      <c r="AD504" s="7" t="s">
        <v>9092</v>
      </c>
      <c r="AE504" s="7" t="s">
        <v>9093</v>
      </c>
      <c r="AF504" s="7"/>
      <c r="AG504" s="7"/>
      <c r="AH504" s="7"/>
      <c r="AI504" s="7"/>
      <c r="AJ504" s="10" t="s">
        <v>9094</v>
      </c>
      <c r="AK504" s="7" t="s">
        <v>9095</v>
      </c>
      <c r="AL504" s="7" t="s">
        <v>9096</v>
      </c>
      <c r="AM504" s="7" t="s">
        <v>9097</v>
      </c>
      <c r="AN504" s="7"/>
      <c r="AO504" s="7"/>
      <c r="AP504" s="7"/>
      <c r="AQ504" s="7"/>
      <c r="AR504" s="7"/>
      <c r="AS504" s="7"/>
      <c r="AT504" s="7" t="n">
        <v>20571976</v>
      </c>
      <c r="AU504" s="7"/>
      <c r="AV504" s="7"/>
      <c r="AW504" s="7" t="n">
        <v>34167104</v>
      </c>
      <c r="AX504" s="7" t="s">
        <v>9098</v>
      </c>
      <c r="AY504" s="7" t="s">
        <v>75</v>
      </c>
      <c r="AZ504" s="7"/>
      <c r="BA504" s="7" t="s">
        <v>76</v>
      </c>
      <c r="BB504" s="7" t="s">
        <v>9099</v>
      </c>
      <c r="BC504" s="7"/>
      <c r="BD504" s="7"/>
      <c r="BE504" s="7"/>
      <c r="BF504" s="7"/>
      <c r="BG504" s="7"/>
      <c r="BH504" s="7"/>
      <c r="BI504" s="7"/>
    </row>
    <row r="505" customFormat="false" ht="14.25" hidden="false" customHeight="true" outlineLevel="0" collapsed="false">
      <c r="A505" s="7" t="s">
        <v>9100</v>
      </c>
      <c r="B505" s="7" t="s">
        <v>9101</v>
      </c>
      <c r="C505" s="7" t="s">
        <v>9102</v>
      </c>
      <c r="D505" s="7" t="s">
        <v>9103</v>
      </c>
      <c r="E505" s="7" t="n">
        <v>2021</v>
      </c>
      <c r="F505" s="8" t="s">
        <v>9104</v>
      </c>
      <c r="G505" s="6" t="s">
        <v>290</v>
      </c>
      <c r="H505" s="7"/>
      <c r="I505" s="7"/>
      <c r="J505" s="7"/>
      <c r="K505" s="7"/>
      <c r="L505" s="7"/>
      <c r="M505" s="7"/>
      <c r="N505" s="7"/>
      <c r="O505" s="7"/>
      <c r="P505" s="7" t="s">
        <v>61</v>
      </c>
      <c r="Q505" s="7" t="s">
        <v>62</v>
      </c>
      <c r="R505" s="7" t="s">
        <v>9105</v>
      </c>
      <c r="S505" s="7" t="n">
        <v>144</v>
      </c>
      <c r="T505" s="7" t="s">
        <v>1086</v>
      </c>
      <c r="U505" s="7" t="n">
        <v>2</v>
      </c>
      <c r="V505" s="7"/>
      <c r="W505" s="7" t="n">
        <v>159</v>
      </c>
      <c r="X505" s="7" t="n">
        <v>169</v>
      </c>
      <c r="Y505" s="7" t="n">
        <v>10</v>
      </c>
      <c r="Z505" s="7" t="s">
        <v>9106</v>
      </c>
      <c r="AA505" s="9" t="s">
        <v>9107</v>
      </c>
      <c r="AB505" s="7" t="s">
        <v>9108</v>
      </c>
      <c r="AC505" s="7" t="s">
        <v>9109</v>
      </c>
      <c r="AD505" s="7" t="s">
        <v>9110</v>
      </c>
      <c r="AE505" s="7" t="s">
        <v>9111</v>
      </c>
      <c r="AF505" s="7"/>
      <c r="AG505" s="7" t="s">
        <v>9112</v>
      </c>
      <c r="AH505" s="7"/>
      <c r="AI505" s="7"/>
      <c r="AJ505" s="10" t="s">
        <v>9113</v>
      </c>
      <c r="AK505" s="7" t="s">
        <v>9114</v>
      </c>
      <c r="AL505" s="7" t="s">
        <v>9115</v>
      </c>
      <c r="AM505" s="7" t="s">
        <v>9116</v>
      </c>
      <c r="AN505" s="7"/>
      <c r="AO505" s="7"/>
      <c r="AP505" s="7"/>
      <c r="AQ505" s="7"/>
      <c r="AR505" s="7"/>
      <c r="AS505" s="7"/>
      <c r="AT505" s="7" t="n">
        <v>97322</v>
      </c>
      <c r="AU505" s="7"/>
      <c r="AV505" s="7" t="s">
        <v>9117</v>
      </c>
      <c r="AW505" s="7" t="n">
        <v>33876947</v>
      </c>
      <c r="AX505" s="7" t="s">
        <v>9105</v>
      </c>
      <c r="AY505" s="7" t="s">
        <v>75</v>
      </c>
      <c r="AZ505" s="7" t="s">
        <v>7961</v>
      </c>
      <c r="BA505" s="7" t="s">
        <v>76</v>
      </c>
      <c r="BB505" s="7" t="s">
        <v>9118</v>
      </c>
      <c r="BC505" s="7"/>
      <c r="BD505" s="7"/>
      <c r="BE505" s="7"/>
      <c r="BF505" s="7"/>
      <c r="BG505" s="7"/>
      <c r="BH505" s="7"/>
      <c r="BI505" s="7"/>
    </row>
    <row r="506" customFormat="false" ht="14.25" hidden="false" customHeight="true" outlineLevel="0" collapsed="false">
      <c r="A506" s="7" t="s">
        <v>9119</v>
      </c>
      <c r="B506" s="7" t="s">
        <v>9120</v>
      </c>
      <c r="C506" s="7" t="s">
        <v>9121</v>
      </c>
      <c r="D506" s="7" t="s">
        <v>9122</v>
      </c>
      <c r="E506" s="7" t="n">
        <v>2021</v>
      </c>
      <c r="F506" s="8" t="s">
        <v>9123</v>
      </c>
      <c r="G506" s="6" t="s">
        <v>149</v>
      </c>
      <c r="H506" s="7"/>
      <c r="I506" s="7"/>
      <c r="J506" s="7"/>
      <c r="K506" s="7"/>
      <c r="L506" s="7"/>
      <c r="M506" s="7"/>
      <c r="N506" s="7"/>
      <c r="O506" s="7"/>
      <c r="P506" s="7" t="s">
        <v>61</v>
      </c>
      <c r="Q506" s="7" t="s">
        <v>62</v>
      </c>
      <c r="R506" s="7" t="s">
        <v>9124</v>
      </c>
      <c r="S506" s="7" t="n">
        <v>5</v>
      </c>
      <c r="T506" s="7" t="s">
        <v>9125</v>
      </c>
      <c r="U506" s="7" t="n">
        <v>3</v>
      </c>
      <c r="V506" s="7"/>
      <c r="W506" s="7" t="n">
        <v>11</v>
      </c>
      <c r="X506" s="7" t="n">
        <v>23</v>
      </c>
      <c r="Y506" s="7" t="n">
        <v>12</v>
      </c>
      <c r="Z506" s="7" t="s">
        <v>9126</v>
      </c>
      <c r="AA506" s="9" t="s">
        <v>9127</v>
      </c>
      <c r="AB506" s="7" t="s">
        <v>9128</v>
      </c>
      <c r="AC506" s="7" t="s">
        <v>9129</v>
      </c>
      <c r="AD506" s="7" t="s">
        <v>9130</v>
      </c>
      <c r="AE506" s="7" t="s">
        <v>9131</v>
      </c>
      <c r="AF506" s="7"/>
      <c r="AG506" s="7"/>
      <c r="AH506" s="7"/>
      <c r="AI506" s="7"/>
      <c r="AJ506" s="10" t="s">
        <v>9132</v>
      </c>
      <c r="AK506" s="7" t="s">
        <v>9133</v>
      </c>
      <c r="AL506" s="7" t="s">
        <v>9134</v>
      </c>
      <c r="AM506" s="7" t="s">
        <v>9135</v>
      </c>
      <c r="AN506" s="7"/>
      <c r="AO506" s="7"/>
      <c r="AP506" s="7"/>
      <c r="AQ506" s="7"/>
      <c r="AR506" s="7"/>
      <c r="AS506" s="7"/>
      <c r="AT506" s="7" t="n">
        <v>25160281</v>
      </c>
      <c r="AU506" s="7"/>
      <c r="AV506" s="7"/>
      <c r="AW506" s="7"/>
      <c r="AX506" s="7" t="s">
        <v>9136</v>
      </c>
      <c r="AY506" s="7" t="s">
        <v>75</v>
      </c>
      <c r="AZ506" s="7" t="s">
        <v>127</v>
      </c>
      <c r="BA506" s="7" t="s">
        <v>76</v>
      </c>
      <c r="BB506" s="7" t="s">
        <v>9137</v>
      </c>
      <c r="BC506" s="7"/>
      <c r="BD506" s="7"/>
      <c r="BE506" s="7"/>
      <c r="BF506" s="7"/>
      <c r="BG506" s="7"/>
      <c r="BH506" s="7"/>
      <c r="BI506" s="7"/>
    </row>
    <row r="507" customFormat="false" ht="14.25" hidden="false" customHeight="true" outlineLevel="0" collapsed="false">
      <c r="A507" s="7" t="s">
        <v>9138</v>
      </c>
      <c r="B507" s="7" t="s">
        <v>9139</v>
      </c>
      <c r="C507" s="7" t="s">
        <v>9140</v>
      </c>
      <c r="D507" s="7" t="s">
        <v>9141</v>
      </c>
      <c r="E507" s="7" t="n">
        <v>2021</v>
      </c>
      <c r="F507" s="8" t="s">
        <v>9142</v>
      </c>
      <c r="G507" s="6" t="s">
        <v>713</v>
      </c>
      <c r="H507" s="7"/>
      <c r="I507" s="7"/>
      <c r="J507" s="7"/>
      <c r="K507" s="7"/>
      <c r="L507" s="7"/>
      <c r="M507" s="7"/>
      <c r="N507" s="7"/>
      <c r="O507" s="7"/>
      <c r="P507" s="7" t="s">
        <v>61</v>
      </c>
      <c r="Q507" s="7" t="s">
        <v>62</v>
      </c>
      <c r="R507" s="7" t="s">
        <v>9143</v>
      </c>
      <c r="S507" s="7" t="n">
        <v>39</v>
      </c>
      <c r="T507" s="7" t="s">
        <v>2494</v>
      </c>
      <c r="U507" s="7"/>
      <c r="V507" s="7"/>
      <c r="W507" s="7" t="n">
        <v>23</v>
      </c>
      <c r="X507" s="7" t="n">
        <v>30</v>
      </c>
      <c r="Y507" s="7" t="n">
        <v>7</v>
      </c>
      <c r="Z507" s="7" t="s">
        <v>9144</v>
      </c>
      <c r="AA507" s="9" t="s">
        <v>9145</v>
      </c>
      <c r="AB507" s="7" t="s">
        <v>9146</v>
      </c>
      <c r="AC507" s="7" t="s">
        <v>9147</v>
      </c>
      <c r="AD507" s="7" t="s">
        <v>9148</v>
      </c>
      <c r="AE507" s="7"/>
      <c r="AF507" s="7"/>
      <c r="AG507" s="7"/>
      <c r="AH507" s="7"/>
      <c r="AI507" s="7"/>
      <c r="AJ507" s="10" t="s">
        <v>9149</v>
      </c>
      <c r="AK507" s="7" t="s">
        <v>9150</v>
      </c>
      <c r="AL507" s="7" t="s">
        <v>9151</v>
      </c>
      <c r="AM507" s="7" t="s">
        <v>9152</v>
      </c>
      <c r="AN507" s="7" t="s">
        <v>9153</v>
      </c>
      <c r="AO507" s="7"/>
      <c r="AP507" s="7"/>
      <c r="AQ507" s="7"/>
      <c r="AR507" s="7"/>
      <c r="AS507" s="7"/>
      <c r="AT507" s="7" t="n">
        <v>9275452</v>
      </c>
      <c r="AU507" s="7" t="s">
        <v>9154</v>
      </c>
      <c r="AV507" s="7"/>
      <c r="AW507" s="7"/>
      <c r="AX507" s="7" t="s">
        <v>9155</v>
      </c>
      <c r="AY507" s="7" t="s">
        <v>75</v>
      </c>
      <c r="AZ507" s="7" t="s">
        <v>127</v>
      </c>
      <c r="BA507" s="7" t="s">
        <v>76</v>
      </c>
      <c r="BB507" s="7" t="s">
        <v>9156</v>
      </c>
      <c r="BC507" s="7"/>
      <c r="BD507" s="7"/>
      <c r="BE507" s="7"/>
      <c r="BF507" s="7"/>
      <c r="BG507" s="7"/>
      <c r="BH507" s="7"/>
      <c r="BI507" s="7"/>
    </row>
    <row r="508" customFormat="false" ht="14.25" hidden="false" customHeight="true" outlineLevel="0" collapsed="false">
      <c r="A508" s="7" t="s">
        <v>9157</v>
      </c>
      <c r="B508" s="7" t="s">
        <v>9158</v>
      </c>
      <c r="C508" s="7" t="s">
        <v>9159</v>
      </c>
      <c r="D508" s="7" t="s">
        <v>9160</v>
      </c>
      <c r="E508" s="7" t="n">
        <v>2021</v>
      </c>
      <c r="F508" s="8" t="s">
        <v>9161</v>
      </c>
      <c r="G508" s="6" t="s">
        <v>713</v>
      </c>
      <c r="H508" s="7"/>
      <c r="I508" s="7"/>
      <c r="J508" s="7"/>
      <c r="K508" s="7"/>
      <c r="L508" s="7"/>
      <c r="M508" s="7"/>
      <c r="N508" s="7"/>
      <c r="O508" s="7"/>
      <c r="P508" s="7" t="s">
        <v>61</v>
      </c>
      <c r="Q508" s="7" t="s">
        <v>62</v>
      </c>
      <c r="R508" s="7" t="s">
        <v>1269</v>
      </c>
      <c r="S508" s="7" t="n">
        <v>2</v>
      </c>
      <c r="T508" s="7" t="s">
        <v>586</v>
      </c>
      <c r="U508" s="7" t="n">
        <v>5</v>
      </c>
      <c r="V508" s="7" t="n">
        <v>380</v>
      </c>
      <c r="W508" s="7"/>
      <c r="X508" s="7"/>
      <c r="Y508" s="7"/>
      <c r="Z508" s="7" t="s">
        <v>9162</v>
      </c>
      <c r="AA508" s="9" t="s">
        <v>9163</v>
      </c>
      <c r="AB508" s="7" t="s">
        <v>9164</v>
      </c>
      <c r="AC508" s="7" t="s">
        <v>9165</v>
      </c>
      <c r="AD508" s="7" t="s">
        <v>9166</v>
      </c>
      <c r="AE508" s="7"/>
      <c r="AF508" s="7"/>
      <c r="AG508" s="7"/>
      <c r="AH508" s="7"/>
      <c r="AI508" s="7"/>
      <c r="AJ508" s="10"/>
      <c r="AK508" s="7"/>
      <c r="AL508" s="7" t="s">
        <v>9167</v>
      </c>
      <c r="AM508" s="7" t="s">
        <v>9168</v>
      </c>
      <c r="AN508" s="7"/>
      <c r="AO508" s="7"/>
      <c r="AP508" s="7"/>
      <c r="AQ508" s="7"/>
      <c r="AR508" s="7"/>
      <c r="AS508" s="7"/>
      <c r="AT508" s="7" t="s">
        <v>1279</v>
      </c>
      <c r="AU508" s="7"/>
      <c r="AV508" s="7"/>
      <c r="AW508" s="7"/>
      <c r="AX508" s="7" t="s">
        <v>1280</v>
      </c>
      <c r="AY508" s="7" t="s">
        <v>75</v>
      </c>
      <c r="AZ508" s="7"/>
      <c r="BA508" s="7" t="s">
        <v>76</v>
      </c>
      <c r="BB508" s="7" t="s">
        <v>9169</v>
      </c>
      <c r="BC508" s="7"/>
      <c r="BD508" s="7"/>
      <c r="BE508" s="7"/>
      <c r="BF508" s="7"/>
      <c r="BG508" s="7"/>
      <c r="BH508" s="7"/>
      <c r="BI508" s="7"/>
    </row>
    <row r="509" customFormat="false" ht="14.25" hidden="false" customHeight="true" outlineLevel="0" collapsed="false">
      <c r="A509" s="7" t="s">
        <v>9170</v>
      </c>
      <c r="B509" s="7" t="s">
        <v>9171</v>
      </c>
      <c r="C509" s="7" t="s">
        <v>9172</v>
      </c>
      <c r="D509" s="7" t="s">
        <v>9173</v>
      </c>
      <c r="E509" s="7" t="n">
        <v>2021</v>
      </c>
      <c r="F509" s="8" t="s">
        <v>9174</v>
      </c>
      <c r="G509" s="6" t="s">
        <v>713</v>
      </c>
      <c r="H509" s="7"/>
      <c r="I509" s="7"/>
      <c r="J509" s="7"/>
      <c r="K509" s="7"/>
      <c r="L509" s="7"/>
      <c r="M509" s="7"/>
      <c r="N509" s="7"/>
      <c r="O509" s="7"/>
      <c r="P509" s="7" t="s">
        <v>61</v>
      </c>
      <c r="Q509" s="7" t="s">
        <v>62</v>
      </c>
      <c r="R509" s="7" t="s">
        <v>9175</v>
      </c>
      <c r="S509" s="7" t="n">
        <v>5</v>
      </c>
      <c r="T509" s="7" t="s">
        <v>749</v>
      </c>
      <c r="U509" s="7" t="n">
        <v>6</v>
      </c>
      <c r="V509" s="7"/>
      <c r="W509" s="7" t="n">
        <v>571</v>
      </c>
      <c r="X509" s="7" t="n">
        <v>585</v>
      </c>
      <c r="Y509" s="7" t="n">
        <v>14</v>
      </c>
      <c r="Z509" s="7" t="s">
        <v>9176</v>
      </c>
      <c r="AA509" s="9" t="s">
        <v>9177</v>
      </c>
      <c r="AB509" s="7" t="s">
        <v>9178</v>
      </c>
      <c r="AC509" s="7" t="s">
        <v>9179</v>
      </c>
      <c r="AD509" s="7"/>
      <c r="AE509" s="7" t="s">
        <v>9180</v>
      </c>
      <c r="AF509" s="7"/>
      <c r="AG509" s="7"/>
      <c r="AH509" s="7"/>
      <c r="AI509" s="7"/>
      <c r="AJ509" s="10" t="s">
        <v>9181</v>
      </c>
      <c r="AK509" s="7" t="s">
        <v>9182</v>
      </c>
      <c r="AL509" s="7" t="s">
        <v>9183</v>
      </c>
      <c r="AM509" s="7" t="s">
        <v>9184</v>
      </c>
      <c r="AN509" s="7"/>
      <c r="AO509" s="7"/>
      <c r="AP509" s="7"/>
      <c r="AQ509" s="7"/>
      <c r="AR509" s="7"/>
      <c r="AS509" s="7"/>
      <c r="AT509" s="7" t="s">
        <v>9185</v>
      </c>
      <c r="AU509" s="7"/>
      <c r="AV509" s="7"/>
      <c r="AW509" s="7" t="n">
        <v>34112997</v>
      </c>
      <c r="AX509" s="7" t="s">
        <v>9186</v>
      </c>
      <c r="AY509" s="7" t="s">
        <v>75</v>
      </c>
      <c r="AZ509" s="7" t="s">
        <v>409</v>
      </c>
      <c r="BA509" s="7" t="s">
        <v>76</v>
      </c>
      <c r="BB509" s="7" t="s">
        <v>9187</v>
      </c>
      <c r="BC509" s="7"/>
      <c r="BD509" s="7"/>
      <c r="BE509" s="7"/>
      <c r="BF509" s="7"/>
      <c r="BG509" s="7"/>
      <c r="BH509" s="7"/>
      <c r="BI509" s="7"/>
    </row>
    <row r="510" customFormat="false" ht="14.25" hidden="false" customHeight="true" outlineLevel="0" collapsed="false">
      <c r="A510" s="7" t="s">
        <v>9188</v>
      </c>
      <c r="B510" s="7" t="s">
        <v>9189</v>
      </c>
      <c r="C510" s="7" t="s">
        <v>9190</v>
      </c>
      <c r="D510" s="7" t="s">
        <v>9191</v>
      </c>
      <c r="E510" s="7" t="n">
        <v>2021</v>
      </c>
      <c r="F510" s="8" t="s">
        <v>9192</v>
      </c>
      <c r="G510" s="6" t="s">
        <v>290</v>
      </c>
      <c r="H510" s="7"/>
      <c r="I510" s="7"/>
      <c r="J510" s="7"/>
      <c r="K510" s="7"/>
      <c r="L510" s="7"/>
      <c r="M510" s="7"/>
      <c r="N510" s="7"/>
      <c r="O510" s="7"/>
      <c r="P510" s="7" t="s">
        <v>61</v>
      </c>
      <c r="Q510" s="7" t="s">
        <v>62</v>
      </c>
      <c r="R510" s="7" t="s">
        <v>8145</v>
      </c>
      <c r="S510" s="7" t="n">
        <v>9</v>
      </c>
      <c r="T510" s="7" t="s">
        <v>4763</v>
      </c>
      <c r="U510" s="7"/>
      <c r="V510" s="7" t="n">
        <v>732370</v>
      </c>
      <c r="W510" s="7"/>
      <c r="X510" s="7"/>
      <c r="Y510" s="7"/>
      <c r="Z510" s="7" t="s">
        <v>9193</v>
      </c>
      <c r="AA510" s="9" t="s">
        <v>9194</v>
      </c>
      <c r="AB510" s="7" t="s">
        <v>9195</v>
      </c>
      <c r="AC510" s="7" t="s">
        <v>9196</v>
      </c>
      <c r="AD510" s="7" t="s">
        <v>9197</v>
      </c>
      <c r="AE510" s="7" t="s">
        <v>9198</v>
      </c>
      <c r="AF510" s="7"/>
      <c r="AG510" s="7" t="s">
        <v>9199</v>
      </c>
      <c r="AH510" s="7"/>
      <c r="AI510" s="7"/>
      <c r="AJ510" s="10" t="s">
        <v>9200</v>
      </c>
      <c r="AK510" s="7" t="s">
        <v>9201</v>
      </c>
      <c r="AL510" s="7" t="s">
        <v>9202</v>
      </c>
      <c r="AM510" s="7" t="s">
        <v>9203</v>
      </c>
      <c r="AN510" s="7"/>
      <c r="AO510" s="7"/>
      <c r="AP510" s="7"/>
      <c r="AQ510" s="7"/>
      <c r="AR510" s="7"/>
      <c r="AS510" s="7"/>
      <c r="AT510" s="7" t="s">
        <v>8159</v>
      </c>
      <c r="AU510" s="7"/>
      <c r="AV510" s="7"/>
      <c r="AW510" s="7"/>
      <c r="AX510" s="7" t="s">
        <v>8160</v>
      </c>
      <c r="AY510" s="7" t="s">
        <v>75</v>
      </c>
      <c r="AZ510" s="7" t="s">
        <v>107</v>
      </c>
      <c r="BA510" s="7" t="s">
        <v>76</v>
      </c>
      <c r="BB510" s="7" t="s">
        <v>9204</v>
      </c>
      <c r="BC510" s="7"/>
      <c r="BD510" s="7"/>
      <c r="BE510" s="7"/>
      <c r="BF510" s="7"/>
      <c r="BG510" s="7"/>
      <c r="BH510" s="7"/>
      <c r="BI510" s="7"/>
    </row>
    <row r="511" customFormat="false" ht="14.25" hidden="false" customHeight="true" outlineLevel="0" collapsed="false">
      <c r="A511" s="7" t="s">
        <v>9205</v>
      </c>
      <c r="B511" s="7" t="s">
        <v>9206</v>
      </c>
      <c r="C511" s="7" t="s">
        <v>9207</v>
      </c>
      <c r="D511" s="7" t="s">
        <v>9208</v>
      </c>
      <c r="E511" s="7" t="n">
        <v>2021</v>
      </c>
      <c r="F511" s="8" t="s">
        <v>9209</v>
      </c>
      <c r="G511" s="6" t="s">
        <v>149</v>
      </c>
      <c r="H511" s="7"/>
      <c r="I511" s="7"/>
      <c r="J511" s="7"/>
      <c r="K511" s="7"/>
      <c r="L511" s="7"/>
      <c r="M511" s="7"/>
      <c r="N511" s="7"/>
      <c r="O511" s="7"/>
      <c r="P511" s="7" t="s">
        <v>61</v>
      </c>
      <c r="Q511" s="7" t="s">
        <v>62</v>
      </c>
      <c r="R511" s="7" t="s">
        <v>993</v>
      </c>
      <c r="S511" s="7" t="n">
        <v>16</v>
      </c>
      <c r="T511" s="7" t="s">
        <v>500</v>
      </c>
      <c r="U511" s="11" t="n">
        <v>45782</v>
      </c>
      <c r="V511" s="7" t="s">
        <v>9210</v>
      </c>
      <c r="W511" s="7"/>
      <c r="X511" s="7"/>
      <c r="Y511" s="7"/>
      <c r="Z511" s="7" t="s">
        <v>9211</v>
      </c>
      <c r="AA511" s="9" t="s">
        <v>9212</v>
      </c>
      <c r="AB511" s="7" t="s">
        <v>9213</v>
      </c>
      <c r="AC511" s="7" t="s">
        <v>9214</v>
      </c>
      <c r="AD511" s="7"/>
      <c r="AE511" s="7" t="s">
        <v>9215</v>
      </c>
      <c r="AF511" s="7"/>
      <c r="AG511" s="7"/>
      <c r="AH511" s="7"/>
      <c r="AI511" s="7"/>
      <c r="AJ511" s="10"/>
      <c r="AK511" s="7"/>
      <c r="AL511" s="7" t="s">
        <v>9216</v>
      </c>
      <c r="AM511" s="7" t="s">
        <v>9217</v>
      </c>
      <c r="AN511" s="7"/>
      <c r="AO511" s="7"/>
      <c r="AP511" s="7"/>
      <c r="AQ511" s="7"/>
      <c r="AR511" s="7"/>
      <c r="AS511" s="7"/>
      <c r="AT511" s="7" t="n">
        <v>19326203</v>
      </c>
      <c r="AU511" s="7"/>
      <c r="AV511" s="7" t="s">
        <v>1007</v>
      </c>
      <c r="AW511" s="7" t="n">
        <v>34014989</v>
      </c>
      <c r="AX511" s="7" t="s">
        <v>993</v>
      </c>
      <c r="AY511" s="7" t="s">
        <v>75</v>
      </c>
      <c r="AZ511" s="7" t="s">
        <v>107</v>
      </c>
      <c r="BA511" s="7" t="s">
        <v>76</v>
      </c>
      <c r="BB511" s="7" t="s">
        <v>9218</v>
      </c>
      <c r="BC511" s="7"/>
      <c r="BD511" s="7"/>
      <c r="BE511" s="7"/>
      <c r="BF511" s="7"/>
      <c r="BG511" s="7"/>
      <c r="BH511" s="7"/>
      <c r="BI511" s="7"/>
    </row>
    <row r="512" customFormat="false" ht="14.25" hidden="false" customHeight="true" outlineLevel="0" collapsed="false">
      <c r="A512" s="7" t="s">
        <v>9219</v>
      </c>
      <c r="B512" s="7" t="s">
        <v>9220</v>
      </c>
      <c r="C512" s="7" t="s">
        <v>9221</v>
      </c>
      <c r="D512" s="7" t="s">
        <v>9222</v>
      </c>
      <c r="E512" s="7" t="n">
        <v>2021</v>
      </c>
      <c r="F512" s="8" t="s">
        <v>9223</v>
      </c>
      <c r="G512" s="6" t="s">
        <v>149</v>
      </c>
      <c r="H512" s="7"/>
      <c r="I512" s="7"/>
      <c r="J512" s="7"/>
      <c r="K512" s="7"/>
      <c r="L512" s="7"/>
      <c r="M512" s="7"/>
      <c r="N512" s="7"/>
      <c r="O512" s="7"/>
      <c r="P512" s="7" t="s">
        <v>61</v>
      </c>
      <c r="Q512" s="7" t="s">
        <v>62</v>
      </c>
      <c r="R512" s="7" t="s">
        <v>9224</v>
      </c>
      <c r="S512" s="7" t="n">
        <v>67</v>
      </c>
      <c r="T512" s="7" t="s">
        <v>9225</v>
      </c>
      <c r="U512" s="7" t="n">
        <v>9</v>
      </c>
      <c r="V512" s="7"/>
      <c r="W512" s="7" t="n">
        <v>2011</v>
      </c>
      <c r="X512" s="7" t="n">
        <v>2017</v>
      </c>
      <c r="Y512" s="7" t="n">
        <v>6</v>
      </c>
      <c r="Z512" s="7" t="s">
        <v>9226</v>
      </c>
      <c r="AA512" s="9" t="s">
        <v>9227</v>
      </c>
      <c r="AB512" s="7" t="s">
        <v>9228</v>
      </c>
      <c r="AC512" s="7" t="s">
        <v>9229</v>
      </c>
      <c r="AD512" s="7" t="s">
        <v>9230</v>
      </c>
      <c r="AE512" s="7" t="s">
        <v>9231</v>
      </c>
      <c r="AF512" s="7"/>
      <c r="AG512" s="7"/>
      <c r="AH512" s="7"/>
      <c r="AI512" s="7"/>
      <c r="AJ512" s="10"/>
      <c r="AK512" s="7"/>
      <c r="AL512" s="7" t="s">
        <v>9232</v>
      </c>
      <c r="AM512" s="7" t="s">
        <v>9233</v>
      </c>
      <c r="AN512" s="7"/>
      <c r="AO512" s="7"/>
      <c r="AP512" s="7"/>
      <c r="AQ512" s="7"/>
      <c r="AR512" s="7"/>
      <c r="AS512" s="7"/>
      <c r="AT512" s="7" t="n">
        <v>14336510</v>
      </c>
      <c r="AU512" s="7"/>
      <c r="AV512" s="7" t="s">
        <v>9234</v>
      </c>
      <c r="AW512" s="7" t="n">
        <v>34542970</v>
      </c>
      <c r="AX512" s="7" t="s">
        <v>9235</v>
      </c>
      <c r="AY512" s="7" t="s">
        <v>75</v>
      </c>
      <c r="AZ512" s="7"/>
      <c r="BA512" s="7" t="s">
        <v>76</v>
      </c>
      <c r="BB512" s="7" t="s">
        <v>9236</v>
      </c>
      <c r="BC512" s="7"/>
      <c r="BD512" s="7"/>
      <c r="BE512" s="7"/>
      <c r="BF512" s="7"/>
      <c r="BG512" s="7"/>
      <c r="BH512" s="7"/>
      <c r="BI512" s="7"/>
    </row>
    <row r="513" customFormat="false" ht="14.25" hidden="false" customHeight="true" outlineLevel="0" collapsed="false">
      <c r="A513" s="7" t="s">
        <v>9237</v>
      </c>
      <c r="B513" s="7" t="s">
        <v>9238</v>
      </c>
      <c r="C513" s="7" t="s">
        <v>9239</v>
      </c>
      <c r="D513" s="7" t="s">
        <v>9240</v>
      </c>
      <c r="E513" s="7" t="n">
        <v>2021</v>
      </c>
      <c r="F513" s="8" t="s">
        <v>9241</v>
      </c>
      <c r="G513" s="6" t="s">
        <v>393</v>
      </c>
      <c r="H513" s="7"/>
      <c r="I513" s="7"/>
      <c r="J513" s="7"/>
      <c r="K513" s="7"/>
      <c r="L513" s="7"/>
      <c r="M513" s="7"/>
      <c r="N513" s="7"/>
      <c r="O513" s="7"/>
      <c r="P513" s="7" t="s">
        <v>61</v>
      </c>
      <c r="Q513" s="7" t="s">
        <v>62</v>
      </c>
      <c r="R513" s="7" t="s">
        <v>1327</v>
      </c>
      <c r="S513" s="7" t="n">
        <v>12</v>
      </c>
      <c r="T513" s="7" t="s">
        <v>4763</v>
      </c>
      <c r="U513" s="7"/>
      <c r="V513" s="7" t="n">
        <v>628113</v>
      </c>
      <c r="W513" s="7"/>
      <c r="X513" s="7"/>
      <c r="Y513" s="7"/>
      <c r="Z513" s="7" t="s">
        <v>9242</v>
      </c>
      <c r="AA513" s="9" t="s">
        <v>9243</v>
      </c>
      <c r="AB513" s="7" t="s">
        <v>9244</v>
      </c>
      <c r="AC513" s="7" t="s">
        <v>9245</v>
      </c>
      <c r="AD513" s="7" t="s">
        <v>9246</v>
      </c>
      <c r="AE513" s="7" t="s">
        <v>9247</v>
      </c>
      <c r="AF513" s="7"/>
      <c r="AG513" s="7" t="s">
        <v>9248</v>
      </c>
      <c r="AH513" s="7"/>
      <c r="AI513" s="7"/>
      <c r="AJ513" s="10" t="s">
        <v>9249</v>
      </c>
      <c r="AK513" s="7" t="s">
        <v>9250</v>
      </c>
      <c r="AL513" s="7" t="s">
        <v>9251</v>
      </c>
      <c r="AM513" s="7"/>
      <c r="AN513" s="7"/>
      <c r="AO513" s="7"/>
      <c r="AP513" s="7"/>
      <c r="AQ513" s="7"/>
      <c r="AR513" s="7"/>
      <c r="AS513" s="7"/>
      <c r="AT513" s="7" t="n">
        <v>16643224</v>
      </c>
      <c r="AU513" s="7"/>
      <c r="AV513" s="7"/>
      <c r="AW513" s="7" t="n">
        <v>33790901</v>
      </c>
      <c r="AX513" s="7" t="s">
        <v>1340</v>
      </c>
      <c r="AY513" s="7" t="s">
        <v>75</v>
      </c>
      <c r="AZ513" s="7" t="s">
        <v>107</v>
      </c>
      <c r="BA513" s="7" t="s">
        <v>76</v>
      </c>
      <c r="BB513" s="7" t="s">
        <v>9252</v>
      </c>
      <c r="BC513" s="7"/>
      <c r="BD513" s="7"/>
      <c r="BE513" s="7"/>
      <c r="BF513" s="7"/>
      <c r="BG513" s="7"/>
      <c r="BH513" s="7"/>
      <c r="BI513" s="7"/>
    </row>
    <row r="514" customFormat="false" ht="14.25" hidden="false" customHeight="true" outlineLevel="0" collapsed="false">
      <c r="A514" s="7" t="s">
        <v>9253</v>
      </c>
      <c r="B514" s="7" t="s">
        <v>9254</v>
      </c>
      <c r="C514" s="7" t="s">
        <v>9255</v>
      </c>
      <c r="D514" s="7" t="s">
        <v>9256</v>
      </c>
      <c r="E514" s="7" t="n">
        <v>2021</v>
      </c>
      <c r="F514" s="8" t="s">
        <v>9257</v>
      </c>
      <c r="G514" s="6" t="s">
        <v>713</v>
      </c>
      <c r="H514" s="7"/>
      <c r="I514" s="7"/>
      <c r="J514" s="7"/>
      <c r="K514" s="7"/>
      <c r="L514" s="7"/>
      <c r="M514" s="7"/>
      <c r="N514" s="7"/>
      <c r="O514" s="7"/>
      <c r="P514" s="7" t="s">
        <v>61</v>
      </c>
      <c r="Q514" s="7" t="s">
        <v>62</v>
      </c>
      <c r="R514" s="7" t="s">
        <v>7983</v>
      </c>
      <c r="S514" s="7" t="n">
        <v>26</v>
      </c>
      <c r="T514" s="7" t="s">
        <v>64</v>
      </c>
      <c r="U514" s="7"/>
      <c r="V514" s="7" t="n">
        <v>100743</v>
      </c>
      <c r="W514" s="7"/>
      <c r="X514" s="7"/>
      <c r="Y514" s="7"/>
      <c r="Z514" s="7" t="s">
        <v>9258</v>
      </c>
      <c r="AA514" s="9" t="s">
        <v>9259</v>
      </c>
      <c r="AB514" s="7" t="s">
        <v>9260</v>
      </c>
      <c r="AC514" s="7" t="s">
        <v>9261</v>
      </c>
      <c r="AD514" s="7" t="s">
        <v>9262</v>
      </c>
      <c r="AE514" s="7" t="s">
        <v>9263</v>
      </c>
      <c r="AF514" s="7"/>
      <c r="AG514" s="7"/>
      <c r="AH514" s="7"/>
      <c r="AI514" s="7"/>
      <c r="AJ514" s="10"/>
      <c r="AK514" s="7"/>
      <c r="AL514" s="7" t="s">
        <v>9264</v>
      </c>
      <c r="AM514" s="7" t="s">
        <v>9265</v>
      </c>
      <c r="AN514" s="7"/>
      <c r="AO514" s="7"/>
      <c r="AP514" s="7"/>
      <c r="AQ514" s="7"/>
      <c r="AR514" s="7"/>
      <c r="AS514" s="7"/>
      <c r="AT514" s="7" t="n">
        <v>23529148</v>
      </c>
      <c r="AU514" s="7"/>
      <c r="AV514" s="7"/>
      <c r="AW514" s="7"/>
      <c r="AX514" s="7" t="s">
        <v>7994</v>
      </c>
      <c r="AY514" s="7" t="s">
        <v>75</v>
      </c>
      <c r="AZ514" s="7" t="s">
        <v>127</v>
      </c>
      <c r="BA514" s="7" t="s">
        <v>76</v>
      </c>
      <c r="BB514" s="7" t="s">
        <v>9266</v>
      </c>
      <c r="BC514" s="7"/>
      <c r="BD514" s="7"/>
      <c r="BE514" s="7"/>
      <c r="BF514" s="7"/>
      <c r="BG514" s="7"/>
      <c r="BH514" s="7"/>
      <c r="BI514" s="7"/>
    </row>
    <row r="515" customFormat="false" ht="14.25" hidden="false" customHeight="true" outlineLevel="0" collapsed="false">
      <c r="A515" s="7" t="s">
        <v>9267</v>
      </c>
      <c r="B515" s="7" t="s">
        <v>9268</v>
      </c>
      <c r="C515" s="7" t="s">
        <v>9269</v>
      </c>
      <c r="D515" s="7" t="s">
        <v>9270</v>
      </c>
      <c r="E515" s="7" t="n">
        <v>2021</v>
      </c>
      <c r="F515" s="8" t="s">
        <v>9271</v>
      </c>
      <c r="G515" s="6" t="s">
        <v>169</v>
      </c>
      <c r="H515" s="7"/>
      <c r="I515" s="7"/>
      <c r="J515" s="7"/>
      <c r="K515" s="7"/>
      <c r="L515" s="7"/>
      <c r="M515" s="7"/>
      <c r="N515" s="7"/>
      <c r="O515" s="7"/>
      <c r="P515" s="7" t="s">
        <v>61</v>
      </c>
      <c r="Q515" s="7" t="s">
        <v>62</v>
      </c>
      <c r="R515" s="7" t="s">
        <v>942</v>
      </c>
      <c r="S515" s="7" t="n">
        <v>8</v>
      </c>
      <c r="T515" s="7" t="s">
        <v>9272</v>
      </c>
      <c r="U515" s="7" t="n">
        <v>2</v>
      </c>
      <c r="V515" s="7" t="n">
        <v>27</v>
      </c>
      <c r="W515" s="7"/>
      <c r="X515" s="7"/>
      <c r="Y515" s="7"/>
      <c r="Z515" s="7" t="s">
        <v>9273</v>
      </c>
      <c r="AA515" s="9" t="s">
        <v>9274</v>
      </c>
      <c r="AB515" s="7" t="s">
        <v>9275</v>
      </c>
      <c r="AC515" s="7" t="s">
        <v>9276</v>
      </c>
      <c r="AD515" s="7" t="s">
        <v>9277</v>
      </c>
      <c r="AE515" s="7"/>
      <c r="AF515" s="7"/>
      <c r="AG515" s="7"/>
      <c r="AH515" s="7"/>
      <c r="AI515" s="7"/>
      <c r="AJ515" s="10" t="s">
        <v>9278</v>
      </c>
      <c r="AK515" s="7" t="s">
        <v>9279</v>
      </c>
      <c r="AL515" s="7" t="s">
        <v>9280</v>
      </c>
      <c r="AM515" s="7" t="s">
        <v>9281</v>
      </c>
      <c r="AN515" s="7"/>
      <c r="AO515" s="7"/>
      <c r="AP515" s="7"/>
      <c r="AQ515" s="7"/>
      <c r="AR515" s="7"/>
      <c r="AS515" s="7"/>
      <c r="AT515" s="7" t="n">
        <v>22279709</v>
      </c>
      <c r="AU515" s="7"/>
      <c r="AV515" s="7"/>
      <c r="AW515" s="7"/>
      <c r="AX515" s="7" t="s">
        <v>942</v>
      </c>
      <c r="AY515" s="7" t="s">
        <v>75</v>
      </c>
      <c r="AZ515" s="7" t="s">
        <v>107</v>
      </c>
      <c r="BA515" s="7" t="s">
        <v>76</v>
      </c>
      <c r="BB515" s="7" t="s">
        <v>9282</v>
      </c>
      <c r="BC515" s="7"/>
      <c r="BD515" s="7"/>
      <c r="BE515" s="7"/>
      <c r="BF515" s="7"/>
      <c r="BG515" s="7"/>
      <c r="BH515" s="7"/>
      <c r="BI515" s="7"/>
    </row>
    <row r="516" customFormat="false" ht="14.25" hidden="false" customHeight="true" outlineLevel="0" collapsed="false">
      <c r="A516" s="7" t="s">
        <v>9283</v>
      </c>
      <c r="B516" s="7" t="s">
        <v>9284</v>
      </c>
      <c r="C516" s="7" t="s">
        <v>9285</v>
      </c>
      <c r="D516" s="7" t="s">
        <v>9286</v>
      </c>
      <c r="E516" s="7" t="n">
        <v>2021</v>
      </c>
      <c r="F516" s="8" t="s">
        <v>9287</v>
      </c>
      <c r="G516" s="6" t="s">
        <v>134</v>
      </c>
      <c r="H516" s="7"/>
      <c r="I516" s="7"/>
      <c r="J516" s="7"/>
      <c r="K516" s="7"/>
      <c r="L516" s="7"/>
      <c r="M516" s="7"/>
      <c r="N516" s="7"/>
      <c r="O516" s="7"/>
      <c r="P516" s="7" t="s">
        <v>61</v>
      </c>
      <c r="Q516" s="7" t="s">
        <v>62</v>
      </c>
      <c r="R516" s="7" t="s">
        <v>9288</v>
      </c>
      <c r="S516" s="7" t="n">
        <v>147</v>
      </c>
      <c r="T516" s="7" t="s">
        <v>9289</v>
      </c>
      <c r="U516" s="7" t="n">
        <v>6</v>
      </c>
      <c r="V516" s="7" t="s">
        <v>9290</v>
      </c>
      <c r="W516" s="7"/>
      <c r="X516" s="7"/>
      <c r="Y516" s="7"/>
      <c r="Z516" s="7" t="s">
        <v>9291</v>
      </c>
      <c r="AA516" s="9" t="s">
        <v>9292</v>
      </c>
      <c r="AB516" s="7" t="s">
        <v>9293</v>
      </c>
      <c r="AC516" s="7" t="s">
        <v>9294</v>
      </c>
      <c r="AD516" s="7"/>
      <c r="AE516" s="7" t="s">
        <v>9295</v>
      </c>
      <c r="AF516" s="7"/>
      <c r="AG516" s="7" t="s">
        <v>9296</v>
      </c>
      <c r="AH516" s="7"/>
      <c r="AI516" s="7"/>
      <c r="AJ516" s="10" t="s">
        <v>9297</v>
      </c>
      <c r="AK516" s="7" t="s">
        <v>9298</v>
      </c>
      <c r="AL516" s="7" t="s">
        <v>9299</v>
      </c>
      <c r="AM516" s="7" t="s">
        <v>9300</v>
      </c>
      <c r="AN516" s="7"/>
      <c r="AO516" s="7"/>
      <c r="AP516" s="7"/>
      <c r="AQ516" s="7"/>
      <c r="AR516" s="7"/>
      <c r="AS516" s="7"/>
      <c r="AT516" s="7" t="n">
        <v>314005</v>
      </c>
      <c r="AU516" s="7"/>
      <c r="AV516" s="7" t="s">
        <v>9301</v>
      </c>
      <c r="AW516" s="7" t="n">
        <v>34021063</v>
      </c>
      <c r="AX516" s="7" t="s">
        <v>9288</v>
      </c>
      <c r="AY516" s="7" t="s">
        <v>75</v>
      </c>
      <c r="AZ516" s="7"/>
      <c r="BA516" s="7" t="s">
        <v>76</v>
      </c>
      <c r="BB516" s="7" t="s">
        <v>9302</v>
      </c>
      <c r="BC516" s="7"/>
      <c r="BD516" s="7"/>
      <c r="BE516" s="7"/>
      <c r="BF516" s="7"/>
      <c r="BG516" s="7"/>
      <c r="BH516" s="7"/>
      <c r="BI516" s="7"/>
    </row>
    <row r="517" customFormat="false" ht="14.25" hidden="false" customHeight="true" outlineLevel="0" collapsed="false">
      <c r="A517" s="7" t="s">
        <v>9303</v>
      </c>
      <c r="B517" s="7" t="s">
        <v>9304</v>
      </c>
      <c r="C517" s="7" t="s">
        <v>9305</v>
      </c>
      <c r="D517" s="7" t="s">
        <v>9306</v>
      </c>
      <c r="E517" s="7" t="n">
        <v>2021</v>
      </c>
      <c r="F517" s="8" t="s">
        <v>9307</v>
      </c>
      <c r="G517" s="6" t="s">
        <v>713</v>
      </c>
      <c r="H517" s="7"/>
      <c r="I517" s="7"/>
      <c r="J517" s="7"/>
      <c r="K517" s="7"/>
      <c r="L517" s="7"/>
      <c r="M517" s="7"/>
      <c r="N517" s="7"/>
      <c r="O517" s="7"/>
      <c r="P517" s="7" t="s">
        <v>61</v>
      </c>
      <c r="Q517" s="7" t="s">
        <v>62</v>
      </c>
      <c r="R517" s="7" t="s">
        <v>9308</v>
      </c>
      <c r="S517" s="7" t="n">
        <v>35</v>
      </c>
      <c r="T517" s="7" t="s">
        <v>1688</v>
      </c>
      <c r="U517" s="7" t="n">
        <v>5</v>
      </c>
      <c r="V517" s="7" t="n">
        <v>2157004</v>
      </c>
      <c r="W517" s="7"/>
      <c r="X517" s="7"/>
      <c r="Y517" s="7"/>
      <c r="Z517" s="7" t="s">
        <v>9309</v>
      </c>
      <c r="AA517" s="9" t="s">
        <v>9310</v>
      </c>
      <c r="AB517" s="7" t="s">
        <v>9311</v>
      </c>
      <c r="AC517" s="7" t="s">
        <v>9312</v>
      </c>
      <c r="AD517" s="7" t="s">
        <v>9313</v>
      </c>
      <c r="AE517" s="7" t="s">
        <v>9314</v>
      </c>
      <c r="AF517" s="7"/>
      <c r="AG517" s="7"/>
      <c r="AH517" s="7"/>
      <c r="AI517" s="7"/>
      <c r="AJ517" s="10"/>
      <c r="AK517" s="7"/>
      <c r="AL517" s="7" t="s">
        <v>9315</v>
      </c>
      <c r="AM517" s="7" t="s">
        <v>9316</v>
      </c>
      <c r="AN517" s="7"/>
      <c r="AO517" s="7"/>
      <c r="AP517" s="7"/>
      <c r="AQ517" s="7"/>
      <c r="AR517" s="7"/>
      <c r="AS517" s="7"/>
      <c r="AT517" s="7" t="n">
        <v>2180014</v>
      </c>
      <c r="AU517" s="7"/>
      <c r="AV517" s="7" t="s">
        <v>9317</v>
      </c>
      <c r="AW517" s="7"/>
      <c r="AX517" s="7" t="s">
        <v>9318</v>
      </c>
      <c r="AY517" s="7" t="s">
        <v>75</v>
      </c>
      <c r="AZ517" s="7"/>
      <c r="BA517" s="7" t="s">
        <v>76</v>
      </c>
      <c r="BB517" s="7" t="s">
        <v>9319</v>
      </c>
      <c r="BC517" s="7"/>
      <c r="BD517" s="7"/>
      <c r="BE517" s="7"/>
      <c r="BF517" s="7"/>
      <c r="BG517" s="7"/>
      <c r="BH517" s="7"/>
      <c r="BI517" s="7"/>
    </row>
    <row r="518" customFormat="false" ht="14.25" hidden="false" customHeight="true" outlineLevel="0" collapsed="false">
      <c r="A518" s="7" t="s">
        <v>9320</v>
      </c>
      <c r="B518" s="7" t="s">
        <v>9321</v>
      </c>
      <c r="C518" s="7" t="s">
        <v>9322</v>
      </c>
      <c r="D518" s="7" t="s">
        <v>9323</v>
      </c>
      <c r="E518" s="7" t="n">
        <v>2021</v>
      </c>
      <c r="F518" s="8" t="s">
        <v>9324</v>
      </c>
      <c r="G518" s="6" t="s">
        <v>713</v>
      </c>
      <c r="H518" s="7"/>
      <c r="I518" s="7"/>
      <c r="J518" s="7"/>
      <c r="K518" s="7"/>
      <c r="L518" s="7"/>
      <c r="M518" s="7"/>
      <c r="N518" s="7"/>
      <c r="O518" s="7"/>
      <c r="P518" s="7" t="s">
        <v>61</v>
      </c>
      <c r="Q518" s="7" t="s">
        <v>62</v>
      </c>
      <c r="R518" s="7" t="s">
        <v>9325</v>
      </c>
      <c r="S518" s="7" t="n">
        <v>19</v>
      </c>
      <c r="T518" s="7" t="s">
        <v>466</v>
      </c>
      <c r="U518" s="7" t="n">
        <v>8</v>
      </c>
      <c r="V518" s="7"/>
      <c r="W518" s="7" t="n">
        <v>1178</v>
      </c>
      <c r="X518" s="7" t="n">
        <v>1184</v>
      </c>
      <c r="Y518" s="7" t="n">
        <v>6</v>
      </c>
      <c r="Z518" s="7" t="s">
        <v>9326</v>
      </c>
      <c r="AA518" s="9" t="s">
        <v>9327</v>
      </c>
      <c r="AB518" s="7" t="s">
        <v>9328</v>
      </c>
      <c r="AC518" s="7" t="s">
        <v>9329</v>
      </c>
      <c r="AD518" s="7" t="s">
        <v>9330</v>
      </c>
      <c r="AE518" s="7" t="s">
        <v>9331</v>
      </c>
      <c r="AF518" s="7"/>
      <c r="AG518" s="7"/>
      <c r="AH518" s="7" t="s">
        <v>9332</v>
      </c>
      <c r="AI518" s="7" t="s">
        <v>9333</v>
      </c>
      <c r="AJ518" s="10"/>
      <c r="AK518" s="7"/>
      <c r="AL518" s="7" t="s">
        <v>9334</v>
      </c>
      <c r="AM518" s="7" t="s">
        <v>9335</v>
      </c>
      <c r="AN518" s="7"/>
      <c r="AO518" s="7"/>
      <c r="AP518" s="7"/>
      <c r="AQ518" s="7"/>
      <c r="AR518" s="7"/>
      <c r="AS518" s="7"/>
      <c r="AT518" s="7" t="n">
        <v>16100379</v>
      </c>
      <c r="AU518" s="7"/>
      <c r="AV518" s="7" t="s">
        <v>9336</v>
      </c>
      <c r="AW518" s="7" t="n">
        <v>34096688</v>
      </c>
      <c r="AX518" s="7" t="s">
        <v>9337</v>
      </c>
      <c r="AY518" s="7" t="s">
        <v>75</v>
      </c>
      <c r="AZ518" s="7" t="s">
        <v>2509</v>
      </c>
      <c r="BA518" s="7" t="s">
        <v>76</v>
      </c>
      <c r="BB518" s="7" t="s">
        <v>9338</v>
      </c>
      <c r="BC518" s="7"/>
      <c r="BD518" s="7"/>
      <c r="BE518" s="7"/>
      <c r="BF518" s="7"/>
      <c r="BG518" s="7"/>
      <c r="BH518" s="7"/>
      <c r="BI518" s="7"/>
    </row>
    <row r="519" customFormat="false" ht="14.25" hidden="false" customHeight="true" outlineLevel="0" collapsed="false">
      <c r="A519" s="7" t="s">
        <v>9339</v>
      </c>
      <c r="B519" s="7" t="s">
        <v>9340</v>
      </c>
      <c r="C519" s="7" t="s">
        <v>9341</v>
      </c>
      <c r="D519" s="7" t="s">
        <v>9342</v>
      </c>
      <c r="E519" s="7" t="n">
        <v>2021</v>
      </c>
      <c r="F519" s="8" t="s">
        <v>9343</v>
      </c>
      <c r="G519" s="6" t="s">
        <v>1686</v>
      </c>
      <c r="H519" s="7"/>
      <c r="I519" s="7"/>
      <c r="J519" s="7"/>
      <c r="K519" s="7"/>
      <c r="L519" s="7"/>
      <c r="M519" s="7"/>
      <c r="N519" s="7"/>
      <c r="O519" s="7"/>
      <c r="P519" s="7" t="s">
        <v>61</v>
      </c>
      <c r="Q519" s="7" t="s">
        <v>62</v>
      </c>
      <c r="R519" s="7" t="s">
        <v>9344</v>
      </c>
      <c r="S519" s="7" t="n">
        <v>1</v>
      </c>
      <c r="T519" s="7" t="s">
        <v>258</v>
      </c>
      <c r="U519" s="7" t="n">
        <v>4</v>
      </c>
      <c r="V519" s="7"/>
      <c r="W519" s="7" t="n">
        <v>1463</v>
      </c>
      <c r="X519" s="7" t="n">
        <v>1478</v>
      </c>
      <c r="Y519" s="7" t="n">
        <v>15</v>
      </c>
      <c r="Z519" s="7" t="s">
        <v>9345</v>
      </c>
      <c r="AA519" s="9" t="s">
        <v>9346</v>
      </c>
      <c r="AB519" s="7" t="s">
        <v>9347</v>
      </c>
      <c r="AC519" s="7" t="s">
        <v>9348</v>
      </c>
      <c r="AD519" s="7" t="s">
        <v>9349</v>
      </c>
      <c r="AE519" s="7"/>
      <c r="AF519" s="7"/>
      <c r="AG519" s="7"/>
      <c r="AH519" s="7"/>
      <c r="AI519" s="7"/>
      <c r="AJ519" s="10"/>
      <c r="AK519" s="7"/>
      <c r="AL519" s="7" t="s">
        <v>9350</v>
      </c>
      <c r="AM519" s="7" t="s">
        <v>9351</v>
      </c>
      <c r="AN519" s="7"/>
      <c r="AO519" s="7"/>
      <c r="AP519" s="7"/>
      <c r="AQ519" s="7"/>
      <c r="AR519" s="7"/>
      <c r="AS519" s="7"/>
      <c r="AT519" s="7" t="s">
        <v>9352</v>
      </c>
      <c r="AU519" s="7"/>
      <c r="AV519" s="7"/>
      <c r="AW519" s="7"/>
      <c r="AX519" s="7" t="s">
        <v>9353</v>
      </c>
      <c r="AY519" s="7" t="s">
        <v>75</v>
      </c>
      <c r="AZ519" s="7" t="s">
        <v>636</v>
      </c>
      <c r="BA519" s="7" t="s">
        <v>76</v>
      </c>
      <c r="BB519" s="7" t="s">
        <v>9354</v>
      </c>
      <c r="BC519" s="7"/>
      <c r="BD519" s="7"/>
      <c r="BE519" s="7"/>
      <c r="BF519" s="7"/>
      <c r="BG519" s="7"/>
      <c r="BH519" s="7"/>
      <c r="BI519" s="7"/>
    </row>
    <row r="520" customFormat="false" ht="14.25" hidden="false" customHeight="true" outlineLevel="0" collapsed="false">
      <c r="A520" s="7" t="s">
        <v>9355</v>
      </c>
      <c r="B520" s="7" t="s">
        <v>9356</v>
      </c>
      <c r="C520" s="7" t="s">
        <v>9357</v>
      </c>
      <c r="D520" s="7" t="s">
        <v>9358</v>
      </c>
      <c r="E520" s="7" t="n">
        <v>2021</v>
      </c>
      <c r="F520" s="8" t="s">
        <v>9359</v>
      </c>
      <c r="G520" s="6" t="s">
        <v>1230</v>
      </c>
      <c r="H520" s="7"/>
      <c r="I520" s="7"/>
      <c r="J520" s="7"/>
      <c r="K520" s="7"/>
      <c r="L520" s="7"/>
      <c r="M520" s="7"/>
      <c r="N520" s="7"/>
      <c r="O520" s="7"/>
      <c r="P520" s="7" t="s">
        <v>61</v>
      </c>
      <c r="Q520" s="7" t="s">
        <v>62</v>
      </c>
      <c r="R520" s="7" t="s">
        <v>993</v>
      </c>
      <c r="S520" s="7" t="n">
        <v>16</v>
      </c>
      <c r="T520" s="7" t="s">
        <v>500</v>
      </c>
      <c r="U520" s="11" t="n">
        <v>45877</v>
      </c>
      <c r="V520" s="7" t="s">
        <v>9360</v>
      </c>
      <c r="W520" s="7"/>
      <c r="X520" s="7"/>
      <c r="Y520" s="7"/>
      <c r="Z520" s="7" t="s">
        <v>9361</v>
      </c>
      <c r="AA520" s="9" t="s">
        <v>9362</v>
      </c>
      <c r="AB520" s="7" t="s">
        <v>9363</v>
      </c>
      <c r="AC520" s="7" t="s">
        <v>9364</v>
      </c>
      <c r="AD520" s="7"/>
      <c r="AE520" s="7" t="s">
        <v>9365</v>
      </c>
      <c r="AF520" s="7"/>
      <c r="AG520" s="7"/>
      <c r="AH520" s="7"/>
      <c r="AI520" s="7"/>
      <c r="AJ520" s="10"/>
      <c r="AK520" s="7"/>
      <c r="AL520" s="7" t="s">
        <v>9366</v>
      </c>
      <c r="AM520" s="7" t="s">
        <v>9367</v>
      </c>
      <c r="AN520" s="7"/>
      <c r="AO520" s="7"/>
      <c r="AP520" s="7"/>
      <c r="AQ520" s="7"/>
      <c r="AR520" s="7"/>
      <c r="AS520" s="7"/>
      <c r="AT520" s="7" t="n">
        <v>19326203</v>
      </c>
      <c r="AU520" s="7"/>
      <c r="AV520" s="7" t="s">
        <v>1007</v>
      </c>
      <c r="AW520" s="7" t="n">
        <v>34411112</v>
      </c>
      <c r="AX520" s="7" t="s">
        <v>993</v>
      </c>
      <c r="AY520" s="7" t="s">
        <v>75</v>
      </c>
      <c r="AZ520" s="7" t="s">
        <v>107</v>
      </c>
      <c r="BA520" s="7" t="s">
        <v>76</v>
      </c>
      <c r="BB520" s="7" t="s">
        <v>9368</v>
      </c>
      <c r="BC520" s="7"/>
      <c r="BD520" s="7"/>
      <c r="BE520" s="7"/>
      <c r="BF520" s="7"/>
      <c r="BG520" s="7"/>
      <c r="BH520" s="7"/>
      <c r="BI520" s="7"/>
    </row>
    <row r="521" customFormat="false" ht="14.25" hidden="false" customHeight="true" outlineLevel="0" collapsed="false">
      <c r="A521" s="7" t="s">
        <v>9369</v>
      </c>
      <c r="B521" s="7" t="s">
        <v>9370</v>
      </c>
      <c r="C521" s="7" t="s">
        <v>9371</v>
      </c>
      <c r="D521" s="7" t="s">
        <v>9372</v>
      </c>
      <c r="E521" s="7" t="n">
        <v>2021</v>
      </c>
      <c r="F521" s="8" t="s">
        <v>9373</v>
      </c>
      <c r="G521" s="6" t="s">
        <v>1686</v>
      </c>
      <c r="H521" s="7"/>
      <c r="I521" s="7"/>
      <c r="J521" s="7"/>
      <c r="K521" s="7"/>
      <c r="L521" s="7"/>
      <c r="M521" s="7"/>
      <c r="N521" s="7"/>
      <c r="O521" s="7"/>
      <c r="P521" s="7" t="s">
        <v>61</v>
      </c>
      <c r="Q521" s="7" t="s">
        <v>62</v>
      </c>
      <c r="R521" s="7" t="s">
        <v>9374</v>
      </c>
      <c r="S521" s="7" t="n">
        <v>180</v>
      </c>
      <c r="T521" s="7" t="s">
        <v>9375</v>
      </c>
      <c r="U521" s="7" t="n">
        <v>5</v>
      </c>
      <c r="V521" s="7"/>
      <c r="W521" s="7" t="n">
        <v>166</v>
      </c>
      <c r="X521" s="7" t="n">
        <v>171</v>
      </c>
      <c r="Y521" s="7" t="n">
        <v>5</v>
      </c>
      <c r="Z521" s="7" t="s">
        <v>9376</v>
      </c>
      <c r="AA521" s="9" t="s">
        <v>9377</v>
      </c>
      <c r="AB521" s="7" t="s">
        <v>9378</v>
      </c>
      <c r="AC521" s="7" t="s">
        <v>9379</v>
      </c>
      <c r="AD521" s="7" t="s">
        <v>9380</v>
      </c>
      <c r="AE521" s="7" t="s">
        <v>9381</v>
      </c>
      <c r="AF521" s="7"/>
      <c r="AG521" s="7" t="s">
        <v>9382</v>
      </c>
      <c r="AH521" s="7"/>
      <c r="AI521" s="7"/>
      <c r="AJ521" s="10"/>
      <c r="AK521" s="7"/>
      <c r="AL521" s="7" t="s">
        <v>9383</v>
      </c>
      <c r="AM521" s="7" t="s">
        <v>9384</v>
      </c>
      <c r="AN521" s="7"/>
      <c r="AO521" s="7"/>
      <c r="AP521" s="7"/>
      <c r="AQ521" s="7"/>
      <c r="AR521" s="7"/>
      <c r="AS521" s="7"/>
      <c r="AT521" s="7" t="n">
        <v>3933660</v>
      </c>
      <c r="AU521" s="7"/>
      <c r="AV521" s="7" t="s">
        <v>9385</v>
      </c>
      <c r="AW521" s="7"/>
      <c r="AX521" s="7" t="s">
        <v>9386</v>
      </c>
      <c r="AY521" s="7" t="s">
        <v>75</v>
      </c>
      <c r="AZ521" s="7"/>
      <c r="BA521" s="7" t="s">
        <v>76</v>
      </c>
      <c r="BB521" s="7" t="s">
        <v>9387</v>
      </c>
      <c r="BC521" s="7"/>
      <c r="BD521" s="7"/>
      <c r="BE521" s="7"/>
      <c r="BF521" s="7"/>
      <c r="BG521" s="7"/>
      <c r="BH521" s="7"/>
      <c r="BI521" s="7"/>
    </row>
    <row r="522" customFormat="false" ht="14.25" hidden="false" customHeight="true" outlineLevel="0" collapsed="false">
      <c r="A522" s="7" t="s">
        <v>9388</v>
      </c>
      <c r="B522" s="7" t="s">
        <v>9389</v>
      </c>
      <c r="C522" s="7" t="s">
        <v>9390</v>
      </c>
      <c r="D522" s="7" t="s">
        <v>9391</v>
      </c>
      <c r="E522" s="7" t="n">
        <v>2021</v>
      </c>
      <c r="F522" s="8" t="s">
        <v>9392</v>
      </c>
      <c r="G522" s="6" t="s">
        <v>169</v>
      </c>
      <c r="H522" s="7"/>
      <c r="I522" s="7"/>
      <c r="J522" s="7"/>
      <c r="K522" s="7"/>
      <c r="L522" s="7"/>
      <c r="M522" s="7"/>
      <c r="N522" s="7"/>
      <c r="O522" s="7"/>
      <c r="P522" s="7" t="s">
        <v>61</v>
      </c>
      <c r="Q522" s="7" t="s">
        <v>62</v>
      </c>
      <c r="R522" s="7" t="s">
        <v>9393</v>
      </c>
      <c r="S522" s="7" t="n">
        <v>18</v>
      </c>
      <c r="T522" s="7" t="s">
        <v>500</v>
      </c>
      <c r="U522" s="7" t="n">
        <v>9</v>
      </c>
      <c r="V522" s="7" t="s">
        <v>9394</v>
      </c>
      <c r="W522" s="7"/>
      <c r="X522" s="7"/>
      <c r="Y522" s="7"/>
      <c r="Z522" s="7" t="s">
        <v>9395</v>
      </c>
      <c r="AA522" s="9" t="s">
        <v>9396</v>
      </c>
      <c r="AB522" s="7" t="s">
        <v>9397</v>
      </c>
      <c r="AC522" s="7" t="s">
        <v>9398</v>
      </c>
      <c r="AD522" s="7"/>
      <c r="AE522" s="7" t="s">
        <v>9399</v>
      </c>
      <c r="AF522" s="7"/>
      <c r="AG522" s="7" t="s">
        <v>9400</v>
      </c>
      <c r="AH522" s="7"/>
      <c r="AI522" s="7"/>
      <c r="AJ522" s="10"/>
      <c r="AK522" s="7"/>
      <c r="AL522" s="7" t="s">
        <v>9401</v>
      </c>
      <c r="AM522" s="7" t="s">
        <v>9402</v>
      </c>
      <c r="AN522" s="7"/>
      <c r="AO522" s="7"/>
      <c r="AP522" s="7"/>
      <c r="AQ522" s="7"/>
      <c r="AR522" s="7"/>
      <c r="AS522" s="7"/>
      <c r="AT522" s="7" t="n">
        <v>15491277</v>
      </c>
      <c r="AU522" s="7"/>
      <c r="AV522" s="7"/>
      <c r="AW522" s="7" t="n">
        <v>34491987</v>
      </c>
      <c r="AX522" s="7" t="s">
        <v>9403</v>
      </c>
      <c r="AY522" s="7" t="s">
        <v>75</v>
      </c>
      <c r="AZ522" s="7" t="s">
        <v>107</v>
      </c>
      <c r="BA522" s="7" t="s">
        <v>76</v>
      </c>
      <c r="BB522" s="7" t="s">
        <v>9404</v>
      </c>
      <c r="BC522" s="7"/>
      <c r="BD522" s="7"/>
      <c r="BE522" s="7"/>
      <c r="BF522" s="7"/>
      <c r="BG522" s="7"/>
      <c r="BH522" s="7"/>
      <c r="BI522" s="7"/>
    </row>
    <row r="523" customFormat="false" ht="14.25" hidden="false" customHeight="true" outlineLevel="0" collapsed="false">
      <c r="A523" s="7" t="s">
        <v>9405</v>
      </c>
      <c r="B523" s="7" t="s">
        <v>9406</v>
      </c>
      <c r="C523" s="7" t="s">
        <v>9407</v>
      </c>
      <c r="D523" s="7" t="s">
        <v>9408</v>
      </c>
      <c r="E523" s="7" t="n">
        <v>2021</v>
      </c>
      <c r="F523" s="8" t="s">
        <v>9409</v>
      </c>
      <c r="G523" s="6" t="s">
        <v>1230</v>
      </c>
      <c r="H523" s="7"/>
      <c r="I523" s="7"/>
      <c r="J523" s="7"/>
      <c r="K523" s="7"/>
      <c r="L523" s="7"/>
      <c r="M523" s="7"/>
      <c r="N523" s="7"/>
      <c r="O523" s="7"/>
      <c r="P523" s="7" t="s">
        <v>61</v>
      </c>
      <c r="Q523" s="7" t="s">
        <v>62</v>
      </c>
      <c r="R523" s="7" t="s">
        <v>9410</v>
      </c>
      <c r="S523" s="7" t="n">
        <v>25</v>
      </c>
      <c r="T523" s="7" t="s">
        <v>187</v>
      </c>
      <c r="U523" s="7" t="n">
        <v>6</v>
      </c>
      <c r="V523" s="7" t="n">
        <v>9253994</v>
      </c>
      <c r="W523" s="7" t="n">
        <v>2193</v>
      </c>
      <c r="X523" s="7" t="n">
        <v>2203</v>
      </c>
      <c r="Y523" s="7" t="n">
        <v>10</v>
      </c>
      <c r="Z523" s="7" t="s">
        <v>9411</v>
      </c>
      <c r="AA523" s="9" t="s">
        <v>9412</v>
      </c>
      <c r="AB523" s="7" t="s">
        <v>9413</v>
      </c>
      <c r="AC523" s="7" t="s">
        <v>9414</v>
      </c>
      <c r="AD523" s="7" t="s">
        <v>9415</v>
      </c>
      <c r="AE523" s="7" t="s">
        <v>9416</v>
      </c>
      <c r="AF523" s="7"/>
      <c r="AG523" s="7"/>
      <c r="AH523" s="7"/>
      <c r="AI523" s="7"/>
      <c r="AJ523" s="10" t="s">
        <v>9417</v>
      </c>
      <c r="AK523" s="7" t="s">
        <v>9418</v>
      </c>
      <c r="AL523" s="7" t="s">
        <v>9419</v>
      </c>
      <c r="AM523" s="7" t="s">
        <v>9420</v>
      </c>
      <c r="AN523" s="7"/>
      <c r="AO523" s="7"/>
      <c r="AP523" s="7"/>
      <c r="AQ523" s="7"/>
      <c r="AR523" s="7"/>
      <c r="AS523" s="7"/>
      <c r="AT523" s="7" t="n">
        <v>21682194</v>
      </c>
      <c r="AU523" s="7"/>
      <c r="AV523" s="7" t="s">
        <v>9421</v>
      </c>
      <c r="AW523" s="7" t="n">
        <v>33170786</v>
      </c>
      <c r="AX523" s="7" t="s">
        <v>9422</v>
      </c>
      <c r="AY523" s="7" t="s">
        <v>75</v>
      </c>
      <c r="AZ523" s="7" t="s">
        <v>7961</v>
      </c>
      <c r="BA523" s="7" t="s">
        <v>76</v>
      </c>
      <c r="BB523" s="7" t="s">
        <v>9423</v>
      </c>
      <c r="BC523" s="7"/>
      <c r="BD523" s="7"/>
      <c r="BE523" s="7"/>
      <c r="BF523" s="7"/>
      <c r="BG523" s="7"/>
      <c r="BH523" s="7"/>
      <c r="BI523" s="7"/>
    </row>
    <row r="524" customFormat="false" ht="14.25" hidden="false" customHeight="true" outlineLevel="0" collapsed="false">
      <c r="A524" s="7" t="s">
        <v>9424</v>
      </c>
      <c r="B524" s="7" t="s">
        <v>9425</v>
      </c>
      <c r="C524" s="7" t="s">
        <v>9426</v>
      </c>
      <c r="D524" s="7" t="s">
        <v>9427</v>
      </c>
      <c r="E524" s="7" t="n">
        <v>2021</v>
      </c>
      <c r="F524" s="8" t="s">
        <v>9428</v>
      </c>
      <c r="G524" s="6" t="s">
        <v>149</v>
      </c>
      <c r="H524" s="7"/>
      <c r="I524" s="7"/>
      <c r="J524" s="7"/>
      <c r="K524" s="7"/>
      <c r="L524" s="7"/>
      <c r="M524" s="7"/>
      <c r="N524" s="7"/>
      <c r="O524" s="7"/>
      <c r="P524" s="7" t="s">
        <v>61</v>
      </c>
      <c r="Q524" s="7" t="s">
        <v>62</v>
      </c>
      <c r="R524" s="7" t="s">
        <v>7737</v>
      </c>
      <c r="S524" s="7" t="n">
        <v>10</v>
      </c>
      <c r="T524" s="7" t="s">
        <v>4048</v>
      </c>
      <c r="U524" s="7" t="n">
        <v>7</v>
      </c>
      <c r="V524" s="7" t="n">
        <v>783</v>
      </c>
      <c r="W524" s="7"/>
      <c r="X524" s="7"/>
      <c r="Y524" s="7"/>
      <c r="Z524" s="7" t="s">
        <v>9429</v>
      </c>
      <c r="AA524" s="9" t="s">
        <v>9430</v>
      </c>
      <c r="AB524" s="7" t="s">
        <v>9431</v>
      </c>
      <c r="AC524" s="7" t="s">
        <v>9432</v>
      </c>
      <c r="AD524" s="7" t="s">
        <v>9433</v>
      </c>
      <c r="AE524" s="7" t="s">
        <v>9434</v>
      </c>
      <c r="AF524" s="7"/>
      <c r="AG524" s="7"/>
      <c r="AH524" s="7"/>
      <c r="AI524" s="7"/>
      <c r="AJ524" s="10" t="s">
        <v>9435</v>
      </c>
      <c r="AK524" s="7" t="s">
        <v>9436</v>
      </c>
      <c r="AL524" s="7" t="s">
        <v>9437</v>
      </c>
      <c r="AM524" s="7" t="s">
        <v>9438</v>
      </c>
      <c r="AN524" s="7"/>
      <c r="AO524" s="7"/>
      <c r="AP524" s="7"/>
      <c r="AQ524" s="7"/>
      <c r="AR524" s="7"/>
      <c r="AS524" s="7"/>
      <c r="AT524" s="7" t="n">
        <v>20760817</v>
      </c>
      <c r="AU524" s="7"/>
      <c r="AV524" s="7"/>
      <c r="AW524" s="7"/>
      <c r="AX524" s="7" t="s">
        <v>7737</v>
      </c>
      <c r="AY524" s="7" t="s">
        <v>75</v>
      </c>
      <c r="AZ524" s="7" t="s">
        <v>107</v>
      </c>
      <c r="BA524" s="7" t="s">
        <v>76</v>
      </c>
      <c r="BB524" s="7" t="s">
        <v>9439</v>
      </c>
      <c r="BC524" s="7"/>
      <c r="BD524" s="7"/>
      <c r="BE524" s="7"/>
      <c r="BF524" s="7"/>
      <c r="BG524" s="7"/>
      <c r="BH524" s="7"/>
      <c r="BI524" s="7"/>
    </row>
    <row r="525" customFormat="false" ht="14.25" hidden="false" customHeight="true" outlineLevel="0" collapsed="false">
      <c r="A525" s="7" t="s">
        <v>9440</v>
      </c>
      <c r="B525" s="7" t="s">
        <v>9441</v>
      </c>
      <c r="C525" s="7" t="s">
        <v>9442</v>
      </c>
      <c r="D525" s="7" t="s">
        <v>9443</v>
      </c>
      <c r="E525" s="7" t="n">
        <v>2021</v>
      </c>
      <c r="F525" s="8" t="s">
        <v>9444</v>
      </c>
      <c r="G525" s="6" t="s">
        <v>290</v>
      </c>
      <c r="H525" s="7"/>
      <c r="I525" s="7"/>
      <c r="J525" s="7"/>
      <c r="K525" s="7"/>
      <c r="L525" s="7"/>
      <c r="M525" s="7"/>
      <c r="N525" s="7"/>
      <c r="O525" s="7"/>
      <c r="P525" s="7" t="s">
        <v>61</v>
      </c>
      <c r="Q525" s="7" t="s">
        <v>62</v>
      </c>
      <c r="R525" s="7" t="s">
        <v>9445</v>
      </c>
      <c r="S525" s="7" t="n">
        <v>26</v>
      </c>
      <c r="T525" s="7" t="s">
        <v>4048</v>
      </c>
      <c r="U525" s="7" t="n">
        <v>24</v>
      </c>
      <c r="V525" s="7" t="n">
        <v>7494</v>
      </c>
      <c r="W525" s="7"/>
      <c r="X525" s="7"/>
      <c r="Y525" s="7"/>
      <c r="Z525" s="7" t="s">
        <v>9446</v>
      </c>
      <c r="AA525" s="9" t="s">
        <v>9447</v>
      </c>
      <c r="AB525" s="7" t="s">
        <v>9448</v>
      </c>
      <c r="AC525" s="7" t="s">
        <v>9449</v>
      </c>
      <c r="AD525" s="7" t="s">
        <v>9450</v>
      </c>
      <c r="AE525" s="7" t="s">
        <v>9451</v>
      </c>
      <c r="AF525" s="7"/>
      <c r="AG525" s="7" t="s">
        <v>9452</v>
      </c>
      <c r="AH525" s="7"/>
      <c r="AI525" s="7"/>
      <c r="AJ525" s="10" t="s">
        <v>9453</v>
      </c>
      <c r="AK525" s="7" t="s">
        <v>9454</v>
      </c>
      <c r="AL525" s="7" t="s">
        <v>9455</v>
      </c>
      <c r="AM525" s="7" t="s">
        <v>9456</v>
      </c>
      <c r="AN525" s="7"/>
      <c r="AO525" s="7"/>
      <c r="AP525" s="7"/>
      <c r="AQ525" s="7"/>
      <c r="AR525" s="7"/>
      <c r="AS525" s="7"/>
      <c r="AT525" s="7" t="n">
        <v>14203049</v>
      </c>
      <c r="AU525" s="7"/>
      <c r="AV525" s="7" t="s">
        <v>9457</v>
      </c>
      <c r="AW525" s="7" t="n">
        <v>34946577</v>
      </c>
      <c r="AX525" s="7" t="s">
        <v>9445</v>
      </c>
      <c r="AY525" s="7" t="s">
        <v>75</v>
      </c>
      <c r="AZ525" s="7" t="s">
        <v>107</v>
      </c>
      <c r="BA525" s="7" t="s">
        <v>76</v>
      </c>
      <c r="BB525" s="7" t="s">
        <v>9458</v>
      </c>
      <c r="BC525" s="7"/>
      <c r="BD525" s="7"/>
      <c r="BE525" s="7"/>
      <c r="BF525" s="7"/>
      <c r="BG525" s="7"/>
      <c r="BH525" s="7"/>
      <c r="BI525" s="7"/>
    </row>
    <row r="526" customFormat="false" ht="14.25" hidden="false" customHeight="true" outlineLevel="0" collapsed="false">
      <c r="A526" s="7" t="s">
        <v>9459</v>
      </c>
      <c r="B526" s="7" t="s">
        <v>9460</v>
      </c>
      <c r="C526" s="7" t="s">
        <v>9461</v>
      </c>
      <c r="D526" s="7" t="s">
        <v>9462</v>
      </c>
      <c r="E526" s="7" t="n">
        <v>2021</v>
      </c>
      <c r="F526" s="8" t="s">
        <v>9463</v>
      </c>
      <c r="G526" s="6" t="s">
        <v>169</v>
      </c>
      <c r="H526" s="7"/>
      <c r="I526" s="7"/>
      <c r="J526" s="7"/>
      <c r="K526" s="7"/>
      <c r="L526" s="7"/>
      <c r="M526" s="7"/>
      <c r="N526" s="7"/>
      <c r="O526" s="7"/>
      <c r="P526" s="7" t="s">
        <v>61</v>
      </c>
      <c r="Q526" s="7" t="s">
        <v>62</v>
      </c>
      <c r="R526" s="7" t="s">
        <v>9464</v>
      </c>
      <c r="S526" s="7" t="n">
        <v>54</v>
      </c>
      <c r="T526" s="7" t="s">
        <v>9465</v>
      </c>
      <c r="U526" s="7"/>
      <c r="V526" s="7" t="s">
        <v>9466</v>
      </c>
      <c r="W526" s="7" t="n">
        <v>1</v>
      </c>
      <c r="X526" s="7" t="n">
        <v>7</v>
      </c>
      <c r="Y526" s="7" t="n">
        <v>6</v>
      </c>
      <c r="Z526" s="7" t="s">
        <v>9467</v>
      </c>
      <c r="AA526" s="9" t="s">
        <v>9468</v>
      </c>
      <c r="AB526" s="7" t="s">
        <v>9469</v>
      </c>
      <c r="AC526" s="7" t="s">
        <v>9470</v>
      </c>
      <c r="AD526" s="7" t="s">
        <v>9471</v>
      </c>
      <c r="AE526" s="7" t="s">
        <v>9472</v>
      </c>
      <c r="AF526" s="7"/>
      <c r="AG526" s="7"/>
      <c r="AH526" s="7"/>
      <c r="AI526" s="7"/>
      <c r="AJ526" s="10"/>
      <c r="AK526" s="7"/>
      <c r="AL526" s="7" t="s">
        <v>9473</v>
      </c>
      <c r="AM526" s="7" t="s">
        <v>9474</v>
      </c>
      <c r="AN526" s="7"/>
      <c r="AO526" s="7"/>
      <c r="AP526" s="7"/>
      <c r="AQ526" s="7"/>
      <c r="AR526" s="7"/>
      <c r="AS526" s="7"/>
      <c r="AT526" s="7" t="n">
        <v>378682</v>
      </c>
      <c r="AU526" s="7"/>
      <c r="AV526" s="7" t="s">
        <v>9475</v>
      </c>
      <c r="AW526" s="7" t="n">
        <v>33533817</v>
      </c>
      <c r="AX526" s="7" t="s">
        <v>9476</v>
      </c>
      <c r="AY526" s="7" t="s">
        <v>75</v>
      </c>
      <c r="AZ526" s="7" t="s">
        <v>107</v>
      </c>
      <c r="BA526" s="7" t="s">
        <v>76</v>
      </c>
      <c r="BB526" s="7" t="s">
        <v>9477</v>
      </c>
      <c r="BC526" s="7"/>
      <c r="BD526" s="7"/>
      <c r="BE526" s="7"/>
      <c r="BF526" s="7"/>
      <c r="BG526" s="7"/>
      <c r="BH526" s="7"/>
      <c r="BI526" s="7"/>
    </row>
    <row r="527" customFormat="false" ht="14.25" hidden="false" customHeight="true" outlineLevel="0" collapsed="false">
      <c r="A527" s="7" t="s">
        <v>9478</v>
      </c>
      <c r="B527" s="7" t="s">
        <v>9479</v>
      </c>
      <c r="C527" s="7" t="s">
        <v>9480</v>
      </c>
      <c r="D527" s="7" t="s">
        <v>9481</v>
      </c>
      <c r="E527" s="7" t="n">
        <v>2021</v>
      </c>
      <c r="F527" s="8" t="s">
        <v>9482</v>
      </c>
      <c r="G527" s="6" t="s">
        <v>393</v>
      </c>
      <c r="H527" s="7"/>
      <c r="I527" s="7"/>
      <c r="J527" s="7"/>
      <c r="K527" s="7"/>
      <c r="L527" s="7"/>
      <c r="M527" s="7"/>
      <c r="N527" s="7"/>
      <c r="O527" s="7"/>
      <c r="P527" s="7" t="s">
        <v>61</v>
      </c>
      <c r="Q527" s="7" t="s">
        <v>62</v>
      </c>
      <c r="R527" s="7" t="s">
        <v>9483</v>
      </c>
      <c r="S527" s="7" t="n">
        <v>22</v>
      </c>
      <c r="T527" s="7" t="s">
        <v>903</v>
      </c>
      <c r="U527" s="7" t="n">
        <v>1</v>
      </c>
      <c r="V527" s="7" t="n">
        <v>570</v>
      </c>
      <c r="W527" s="7"/>
      <c r="X527" s="7"/>
      <c r="Y527" s="7"/>
      <c r="Z527" s="7" t="s">
        <v>9484</v>
      </c>
      <c r="AA527" s="9" t="s">
        <v>9485</v>
      </c>
      <c r="AB527" s="7" t="s">
        <v>9486</v>
      </c>
      <c r="AC527" s="7" t="s">
        <v>9487</v>
      </c>
      <c r="AD527" s="7" t="s">
        <v>9488</v>
      </c>
      <c r="AE527" s="7" t="s">
        <v>9489</v>
      </c>
      <c r="AF527" s="7"/>
      <c r="AG527" s="7"/>
      <c r="AH527" s="7"/>
      <c r="AI527" s="7"/>
      <c r="AJ527" s="10" t="s">
        <v>9490</v>
      </c>
      <c r="AK527" s="7" t="s">
        <v>9491</v>
      </c>
      <c r="AL527" s="7" t="s">
        <v>9492</v>
      </c>
      <c r="AM527" s="7" t="s">
        <v>9493</v>
      </c>
      <c r="AN527" s="7"/>
      <c r="AO527" s="7"/>
      <c r="AP527" s="7"/>
      <c r="AQ527" s="7"/>
      <c r="AR527" s="7"/>
      <c r="AS527" s="7"/>
      <c r="AT527" s="7" t="n">
        <v>17456215</v>
      </c>
      <c r="AU527" s="7"/>
      <c r="AV527" s="7"/>
      <c r="AW527" s="7" t="n">
        <v>34454572</v>
      </c>
      <c r="AX527" s="7" t="s">
        <v>9483</v>
      </c>
      <c r="AY527" s="7" t="s">
        <v>75</v>
      </c>
      <c r="AZ527" s="7" t="s">
        <v>107</v>
      </c>
      <c r="BA527" s="7" t="s">
        <v>76</v>
      </c>
      <c r="BB527" s="7" t="s">
        <v>9494</v>
      </c>
      <c r="BC527" s="7"/>
      <c r="BD527" s="7"/>
      <c r="BE527" s="7"/>
      <c r="BF527" s="7"/>
      <c r="BG527" s="7"/>
      <c r="BH527" s="7"/>
      <c r="BI527" s="7"/>
    </row>
    <row r="528" customFormat="false" ht="14.25" hidden="false" customHeight="true" outlineLevel="0" collapsed="false">
      <c r="A528" s="7" t="s">
        <v>9495</v>
      </c>
      <c r="B528" s="7" t="s">
        <v>9496</v>
      </c>
      <c r="C528" s="7" t="s">
        <v>9497</v>
      </c>
      <c r="D528" s="7" t="s">
        <v>9498</v>
      </c>
      <c r="E528" s="7" t="n">
        <v>2021</v>
      </c>
      <c r="F528" s="8" t="s">
        <v>9499</v>
      </c>
      <c r="G528" s="6" t="s">
        <v>713</v>
      </c>
      <c r="H528" s="7"/>
      <c r="I528" s="7"/>
      <c r="J528" s="7"/>
      <c r="K528" s="7"/>
      <c r="L528" s="7"/>
      <c r="M528" s="7"/>
      <c r="N528" s="7"/>
      <c r="O528" s="7"/>
      <c r="P528" s="7" t="s">
        <v>61</v>
      </c>
      <c r="Q528" s="7" t="s">
        <v>62</v>
      </c>
      <c r="R528" s="7" t="s">
        <v>748</v>
      </c>
      <c r="S528" s="7" t="n">
        <v>12</v>
      </c>
      <c r="T528" s="7" t="s">
        <v>749</v>
      </c>
      <c r="U528" s="7" t="n">
        <v>1</v>
      </c>
      <c r="V528" s="7" t="n">
        <v>7212</v>
      </c>
      <c r="W528" s="7"/>
      <c r="X528" s="7"/>
      <c r="Y528" s="7"/>
      <c r="Z528" s="7" t="s">
        <v>9500</v>
      </c>
      <c r="AA528" s="9" t="s">
        <v>9501</v>
      </c>
      <c r="AB528" s="7" t="s">
        <v>9502</v>
      </c>
      <c r="AC528" s="7" t="s">
        <v>9503</v>
      </c>
      <c r="AD528" s="7"/>
      <c r="AE528" s="7" t="s">
        <v>9504</v>
      </c>
      <c r="AF528" s="7"/>
      <c r="AG528" s="7"/>
      <c r="AH528" s="7"/>
      <c r="AI528" s="7"/>
      <c r="AJ528" s="10" t="s">
        <v>9505</v>
      </c>
      <c r="AK528" s="7" t="s">
        <v>9506</v>
      </c>
      <c r="AL528" s="7" t="s">
        <v>9507</v>
      </c>
      <c r="AM528" s="7" t="s">
        <v>9508</v>
      </c>
      <c r="AN528" s="7"/>
      <c r="AO528" s="7"/>
      <c r="AP528" s="7"/>
      <c r="AQ528" s="7"/>
      <c r="AR528" s="7"/>
      <c r="AS528" s="7"/>
      <c r="AT528" s="7" t="n">
        <v>20411723</v>
      </c>
      <c r="AU528" s="7"/>
      <c r="AV528" s="7"/>
      <c r="AW528" s="7" t="n">
        <v>34893600</v>
      </c>
      <c r="AX528" s="7" t="s">
        <v>759</v>
      </c>
      <c r="AY528" s="7" t="s">
        <v>75</v>
      </c>
      <c r="AZ528" s="7" t="s">
        <v>107</v>
      </c>
      <c r="BA528" s="7" t="s">
        <v>76</v>
      </c>
      <c r="BB528" s="7" t="s">
        <v>9509</v>
      </c>
      <c r="BC528" s="7"/>
      <c r="BD528" s="7"/>
      <c r="BE528" s="7"/>
      <c r="BF528" s="7"/>
      <c r="BG528" s="7"/>
      <c r="BH528" s="7"/>
      <c r="BI528" s="7"/>
    </row>
    <row r="529" customFormat="false" ht="14.25" hidden="false" customHeight="true" outlineLevel="0" collapsed="false">
      <c r="A529" s="7" t="s">
        <v>9510</v>
      </c>
      <c r="B529" s="7" t="s">
        <v>9511</v>
      </c>
      <c r="C529" s="7" t="s">
        <v>9512</v>
      </c>
      <c r="D529" s="7" t="s">
        <v>9513</v>
      </c>
      <c r="E529" s="7" t="n">
        <v>2021</v>
      </c>
      <c r="F529" s="8" t="s">
        <v>9514</v>
      </c>
      <c r="G529" s="6" t="s">
        <v>1686</v>
      </c>
      <c r="H529" s="7"/>
      <c r="I529" s="7"/>
      <c r="J529" s="7"/>
      <c r="K529" s="7"/>
      <c r="L529" s="7"/>
      <c r="M529" s="7"/>
      <c r="N529" s="7"/>
      <c r="O529" s="7"/>
      <c r="P529" s="7" t="s">
        <v>61</v>
      </c>
      <c r="Q529" s="7" t="s">
        <v>62</v>
      </c>
      <c r="R529" s="7" t="s">
        <v>9515</v>
      </c>
      <c r="S529" s="7" t="n">
        <v>17</v>
      </c>
      <c r="T529" s="7" t="s">
        <v>4592</v>
      </c>
      <c r="U529" s="7" t="n">
        <v>9</v>
      </c>
      <c r="V529" s="7"/>
      <c r="W529" s="7" t="n">
        <v>3145</v>
      </c>
      <c r="X529" s="7" t="n">
        <v>3152</v>
      </c>
      <c r="Y529" s="7" t="n">
        <v>7</v>
      </c>
      <c r="Z529" s="7" t="s">
        <v>9516</v>
      </c>
      <c r="AA529" s="9" t="s">
        <v>9517</v>
      </c>
      <c r="AB529" s="7" t="s">
        <v>9518</v>
      </c>
      <c r="AC529" s="7" t="s">
        <v>9519</v>
      </c>
      <c r="AD529" s="7" t="s">
        <v>9520</v>
      </c>
      <c r="AE529" s="7" t="s">
        <v>9521</v>
      </c>
      <c r="AF529" s="7"/>
      <c r="AG529" s="7" t="s">
        <v>9522</v>
      </c>
      <c r="AH529" s="7"/>
      <c r="AI529" s="7"/>
      <c r="AJ529" s="10" t="s">
        <v>9523</v>
      </c>
      <c r="AK529" s="7" t="s">
        <v>9524</v>
      </c>
      <c r="AL529" s="7" t="s">
        <v>9525</v>
      </c>
      <c r="AM529" s="7" t="s">
        <v>9526</v>
      </c>
      <c r="AN529" s="7"/>
      <c r="AO529" s="7"/>
      <c r="AP529" s="7"/>
      <c r="AQ529" s="7"/>
      <c r="AR529" s="7"/>
      <c r="AS529" s="7"/>
      <c r="AT529" s="7" t="n">
        <v>21645515</v>
      </c>
      <c r="AU529" s="7"/>
      <c r="AV529" s="7"/>
      <c r="AW529" s="7" t="n">
        <v>33847247</v>
      </c>
      <c r="AX529" s="7" t="s">
        <v>9527</v>
      </c>
      <c r="AY529" s="7" t="s">
        <v>75</v>
      </c>
      <c r="AZ529" s="7" t="s">
        <v>7961</v>
      </c>
      <c r="BA529" s="7" t="s">
        <v>76</v>
      </c>
      <c r="BB529" s="7" t="s">
        <v>9528</v>
      </c>
      <c r="BC529" s="7"/>
      <c r="BD529" s="7"/>
      <c r="BE529" s="7"/>
      <c r="BF529" s="7"/>
      <c r="BG529" s="7"/>
      <c r="BH529" s="7"/>
      <c r="BI529" s="7"/>
    </row>
    <row r="530" customFormat="false" ht="14.25" hidden="false" customHeight="true" outlineLevel="0" collapsed="false">
      <c r="A530" s="7" t="s">
        <v>9529</v>
      </c>
      <c r="B530" s="7" t="s">
        <v>9530</v>
      </c>
      <c r="C530" s="7" t="s">
        <v>9531</v>
      </c>
      <c r="D530" s="7" t="s">
        <v>9532</v>
      </c>
      <c r="E530" s="7" t="n">
        <v>2021</v>
      </c>
      <c r="F530" s="8" t="s">
        <v>9533</v>
      </c>
      <c r="G530" s="6" t="s">
        <v>713</v>
      </c>
      <c r="H530" s="7"/>
      <c r="I530" s="7"/>
      <c r="J530" s="7"/>
      <c r="K530" s="7"/>
      <c r="L530" s="7"/>
      <c r="M530" s="7"/>
      <c r="N530" s="7"/>
      <c r="O530" s="7"/>
      <c r="P530" s="7" t="s">
        <v>61</v>
      </c>
      <c r="Q530" s="7" t="s">
        <v>62</v>
      </c>
      <c r="R530" s="7" t="s">
        <v>9534</v>
      </c>
      <c r="S530" s="7" t="n">
        <v>39</v>
      </c>
      <c r="T530" s="7" t="s">
        <v>9535</v>
      </c>
      <c r="U530" s="7" t="n">
        <v>4</v>
      </c>
      <c r="V530" s="7"/>
      <c r="W530" s="7" t="n">
        <v>475</v>
      </c>
      <c r="X530" s="7" t="n">
        <v>478</v>
      </c>
      <c r="Y530" s="7" t="n">
        <v>3</v>
      </c>
      <c r="Z530" s="7" t="s">
        <v>9536</v>
      </c>
      <c r="AA530" s="9" t="s">
        <v>9537</v>
      </c>
      <c r="AB530" s="7" t="s">
        <v>9538</v>
      </c>
      <c r="AC530" s="7" t="s">
        <v>9539</v>
      </c>
      <c r="AD530" s="7" t="s">
        <v>9540</v>
      </c>
      <c r="AE530" s="7" t="s">
        <v>9541</v>
      </c>
      <c r="AF530" s="7"/>
      <c r="AG530" s="7" t="s">
        <v>9542</v>
      </c>
      <c r="AH530" s="7"/>
      <c r="AI530" s="7"/>
      <c r="AJ530" s="10"/>
      <c r="AK530" s="7"/>
      <c r="AL530" s="7" t="s">
        <v>9543</v>
      </c>
      <c r="AM530" s="7" t="s">
        <v>9544</v>
      </c>
      <c r="AN530" s="7"/>
      <c r="AO530" s="7"/>
      <c r="AP530" s="7"/>
      <c r="AQ530" s="7"/>
      <c r="AR530" s="7"/>
      <c r="AS530" s="7"/>
      <c r="AT530" s="7" t="n">
        <v>2550857</v>
      </c>
      <c r="AU530" s="7"/>
      <c r="AV530" s="7" t="s">
        <v>9545</v>
      </c>
      <c r="AW530" s="7" t="n">
        <v>34215476</v>
      </c>
      <c r="AX530" s="7" t="s">
        <v>9546</v>
      </c>
      <c r="AY530" s="7" t="s">
        <v>75</v>
      </c>
      <c r="AZ530" s="7" t="s">
        <v>127</v>
      </c>
      <c r="BA530" s="7" t="s">
        <v>76</v>
      </c>
      <c r="BB530" s="7" t="s">
        <v>9547</v>
      </c>
      <c r="BC530" s="7"/>
      <c r="BD530" s="7"/>
      <c r="BE530" s="7"/>
      <c r="BF530" s="7"/>
      <c r="BG530" s="7"/>
      <c r="BH530" s="7"/>
      <c r="BI530" s="7"/>
    </row>
    <row r="531" customFormat="false" ht="14.25" hidden="false" customHeight="true" outlineLevel="0" collapsed="false">
      <c r="A531" s="7" t="s">
        <v>9548</v>
      </c>
      <c r="B531" s="7" t="s">
        <v>9549</v>
      </c>
      <c r="C531" s="7" t="s">
        <v>9550</v>
      </c>
      <c r="D531" s="7" t="s">
        <v>9551</v>
      </c>
      <c r="E531" s="7" t="n">
        <v>2021</v>
      </c>
      <c r="F531" s="8" t="s">
        <v>9552</v>
      </c>
      <c r="G531" s="6" t="s">
        <v>149</v>
      </c>
      <c r="H531" s="7"/>
      <c r="I531" s="7"/>
      <c r="J531" s="7"/>
      <c r="K531" s="7"/>
      <c r="L531" s="7"/>
      <c r="M531" s="7"/>
      <c r="N531" s="7"/>
      <c r="O531" s="7"/>
      <c r="P531" s="7" t="s">
        <v>61</v>
      </c>
      <c r="Q531" s="7" t="s">
        <v>62</v>
      </c>
      <c r="R531" s="7" t="s">
        <v>9553</v>
      </c>
      <c r="S531" s="7" t="n">
        <v>2021</v>
      </c>
      <c r="T531" s="7" t="s">
        <v>7792</v>
      </c>
      <c r="U531" s="7"/>
      <c r="V531" s="7" t="n">
        <v>6650596</v>
      </c>
      <c r="W531" s="7"/>
      <c r="X531" s="7"/>
      <c r="Y531" s="7"/>
      <c r="Z531" s="7" t="s">
        <v>9554</v>
      </c>
      <c r="AA531" s="9" t="s">
        <v>9555</v>
      </c>
      <c r="AB531" s="7" t="s">
        <v>9556</v>
      </c>
      <c r="AC531" s="7" t="s">
        <v>9557</v>
      </c>
      <c r="AD531" s="7"/>
      <c r="AE531" s="7" t="s">
        <v>9558</v>
      </c>
      <c r="AF531" s="7"/>
      <c r="AG531" s="7" t="s">
        <v>9559</v>
      </c>
      <c r="AH531" s="7"/>
      <c r="AI531" s="7"/>
      <c r="AJ531" s="10"/>
      <c r="AK531" s="7"/>
      <c r="AL531" s="7" t="s">
        <v>9560</v>
      </c>
      <c r="AM531" s="7" t="s">
        <v>9561</v>
      </c>
      <c r="AN531" s="7"/>
      <c r="AO531" s="7"/>
      <c r="AP531" s="7"/>
      <c r="AQ531" s="7"/>
      <c r="AR531" s="7"/>
      <c r="AS531" s="7"/>
      <c r="AT531" s="7" t="n">
        <v>23146133</v>
      </c>
      <c r="AU531" s="7"/>
      <c r="AV531" s="7"/>
      <c r="AW531" s="7" t="n">
        <v>33628800</v>
      </c>
      <c r="AX531" s="7" t="s">
        <v>9562</v>
      </c>
      <c r="AY531" s="7" t="s">
        <v>75</v>
      </c>
      <c r="AZ531" s="7" t="s">
        <v>107</v>
      </c>
      <c r="BA531" s="7" t="s">
        <v>76</v>
      </c>
      <c r="BB531" s="7" t="s">
        <v>9563</v>
      </c>
      <c r="BC531" s="7"/>
      <c r="BD531" s="7"/>
      <c r="BE531" s="7"/>
      <c r="BF531" s="7"/>
      <c r="BG531" s="7"/>
      <c r="BH531" s="7"/>
      <c r="BI531" s="7"/>
    </row>
    <row r="532" customFormat="false" ht="14.25" hidden="false" customHeight="true" outlineLevel="0" collapsed="false">
      <c r="A532" s="7" t="s">
        <v>9564</v>
      </c>
      <c r="B532" s="7" t="s">
        <v>9565</v>
      </c>
      <c r="C532" s="7" t="s">
        <v>9566</v>
      </c>
      <c r="D532" s="7" t="s">
        <v>9567</v>
      </c>
      <c r="E532" s="7" t="n">
        <v>2021</v>
      </c>
      <c r="F532" s="8" t="s">
        <v>9568</v>
      </c>
      <c r="G532" s="6" t="s">
        <v>393</v>
      </c>
      <c r="H532" s="7"/>
      <c r="I532" s="7"/>
      <c r="J532" s="7"/>
      <c r="K532" s="7"/>
      <c r="L532" s="7"/>
      <c r="M532" s="7"/>
      <c r="N532" s="7"/>
      <c r="O532" s="7"/>
      <c r="P532" s="7" t="s">
        <v>61</v>
      </c>
      <c r="Q532" s="7" t="s">
        <v>62</v>
      </c>
      <c r="R532" s="7" t="s">
        <v>9569</v>
      </c>
      <c r="S532" s="7" t="n">
        <v>26</v>
      </c>
      <c r="T532" s="7" t="s">
        <v>9570</v>
      </c>
      <c r="U532" s="7" t="n">
        <v>2</v>
      </c>
      <c r="V532" s="7"/>
      <c r="W532" s="7" t="n">
        <v>226</v>
      </c>
      <c r="X532" s="7" t="n">
        <v>236</v>
      </c>
      <c r="Y532" s="7" t="n">
        <v>10</v>
      </c>
      <c r="Z532" s="7" t="s">
        <v>9571</v>
      </c>
      <c r="AA532" s="9" t="s">
        <v>9572</v>
      </c>
      <c r="AB532" s="7" t="s">
        <v>9573</v>
      </c>
      <c r="AC532" s="7" t="s">
        <v>9574</v>
      </c>
      <c r="AD532" s="7" t="s">
        <v>9575</v>
      </c>
      <c r="AE532" s="7" t="s">
        <v>9576</v>
      </c>
      <c r="AF532" s="7"/>
      <c r="AG532" s="7" t="s">
        <v>9577</v>
      </c>
      <c r="AH532" s="7" t="s">
        <v>9578</v>
      </c>
      <c r="AI532" s="7" t="s">
        <v>9579</v>
      </c>
      <c r="AJ532" s="10"/>
      <c r="AK532" s="7"/>
      <c r="AL532" s="7" t="s">
        <v>9580</v>
      </c>
      <c r="AM532" s="7" t="s">
        <v>9581</v>
      </c>
      <c r="AN532" s="7"/>
      <c r="AO532" s="7"/>
      <c r="AP532" s="7"/>
      <c r="AQ532" s="7"/>
      <c r="AR532" s="7"/>
      <c r="AS532" s="7"/>
      <c r="AT532" s="7" t="n">
        <v>15071367</v>
      </c>
      <c r="AU532" s="7"/>
      <c r="AV532" s="7" t="s">
        <v>9582</v>
      </c>
      <c r="AW532" s="7"/>
      <c r="AX532" s="7" t="s">
        <v>9583</v>
      </c>
      <c r="AY532" s="7" t="s">
        <v>75</v>
      </c>
      <c r="AZ532" s="7" t="s">
        <v>7961</v>
      </c>
      <c r="BA532" s="7" t="s">
        <v>76</v>
      </c>
      <c r="BB532" s="7" t="s">
        <v>9584</v>
      </c>
      <c r="BC532" s="7"/>
      <c r="BD532" s="7"/>
      <c r="BE532" s="7"/>
      <c r="BF532" s="7"/>
      <c r="BG532" s="7"/>
      <c r="BH532" s="7"/>
      <c r="BI532" s="7"/>
    </row>
    <row r="533" customFormat="false" ht="14.25" hidden="false" customHeight="true" outlineLevel="0" collapsed="false">
      <c r="A533" s="7" t="s">
        <v>9585</v>
      </c>
      <c r="B533" s="7" t="s">
        <v>9586</v>
      </c>
      <c r="C533" s="7" t="s">
        <v>9587</v>
      </c>
      <c r="D533" s="7" t="s">
        <v>9588</v>
      </c>
      <c r="E533" s="7" t="n">
        <v>2021</v>
      </c>
      <c r="F533" s="8" t="s">
        <v>9589</v>
      </c>
      <c r="G533" s="6" t="s">
        <v>393</v>
      </c>
      <c r="H533" s="7"/>
      <c r="I533" s="7"/>
      <c r="J533" s="7"/>
      <c r="K533" s="7"/>
      <c r="L533" s="7"/>
      <c r="M533" s="7"/>
      <c r="N533" s="7"/>
      <c r="O533" s="7"/>
      <c r="P533" s="7" t="s">
        <v>61</v>
      </c>
      <c r="Q533" s="7" t="s">
        <v>62</v>
      </c>
      <c r="R533" s="7" t="s">
        <v>2092</v>
      </c>
      <c r="S533" s="7" t="n">
        <v>21</v>
      </c>
      <c r="T533" s="7" t="s">
        <v>903</v>
      </c>
      <c r="U533" s="7" t="n">
        <v>1</v>
      </c>
      <c r="V533" s="7" t="n">
        <v>286</v>
      </c>
      <c r="W533" s="7"/>
      <c r="X533" s="7"/>
      <c r="Y533" s="7"/>
      <c r="Z533" s="7" t="s">
        <v>9590</v>
      </c>
      <c r="AA533" s="9" t="s">
        <v>9591</v>
      </c>
      <c r="AB533" s="7" t="s">
        <v>9592</v>
      </c>
      <c r="AC533" s="7" t="s">
        <v>9593</v>
      </c>
      <c r="AD533" s="7" t="s">
        <v>9594</v>
      </c>
      <c r="AE533" s="7" t="s">
        <v>9595</v>
      </c>
      <c r="AF533" s="7"/>
      <c r="AG533" s="7"/>
      <c r="AH533" s="7"/>
      <c r="AI533" s="7"/>
      <c r="AJ533" s="10"/>
      <c r="AK533" s="7"/>
      <c r="AL533" s="7" t="s">
        <v>9596</v>
      </c>
      <c r="AM533" s="7" t="s">
        <v>9597</v>
      </c>
      <c r="AN533" s="7"/>
      <c r="AO533" s="7"/>
      <c r="AP533" s="7"/>
      <c r="AQ533" s="7"/>
      <c r="AR533" s="7"/>
      <c r="AS533" s="7"/>
      <c r="AT533" s="7" t="n">
        <v>14712334</v>
      </c>
      <c r="AU533" s="7"/>
      <c r="AV533" s="7" t="s">
        <v>2103</v>
      </c>
      <c r="AW533" s="7" t="n">
        <v>33743614</v>
      </c>
      <c r="AX533" s="7" t="s">
        <v>2104</v>
      </c>
      <c r="AY533" s="7" t="s">
        <v>75</v>
      </c>
      <c r="AZ533" s="7" t="s">
        <v>107</v>
      </c>
      <c r="BA533" s="7" t="s">
        <v>76</v>
      </c>
      <c r="BB533" s="7" t="s">
        <v>9598</v>
      </c>
      <c r="BC533" s="7"/>
      <c r="BD533" s="7"/>
      <c r="BE533" s="7"/>
      <c r="BF533" s="7"/>
      <c r="BG533" s="7"/>
      <c r="BH533" s="7"/>
      <c r="BI533" s="7"/>
    </row>
    <row r="534" customFormat="false" ht="14.25" hidden="false" customHeight="true" outlineLevel="0" collapsed="false">
      <c r="A534" s="7" t="s">
        <v>9599</v>
      </c>
      <c r="B534" s="7" t="s">
        <v>9600</v>
      </c>
      <c r="C534" s="7" t="s">
        <v>9601</v>
      </c>
      <c r="D534" s="7" t="s">
        <v>9602</v>
      </c>
      <c r="E534" s="7" t="n">
        <v>2021</v>
      </c>
      <c r="F534" s="8" t="s">
        <v>9603</v>
      </c>
      <c r="G534" s="6" t="s">
        <v>349</v>
      </c>
      <c r="H534" s="7"/>
      <c r="I534" s="7"/>
      <c r="J534" s="7"/>
      <c r="K534" s="7"/>
      <c r="L534" s="7"/>
      <c r="M534" s="7"/>
      <c r="N534" s="7"/>
      <c r="O534" s="7"/>
      <c r="P534" s="7" t="s">
        <v>61</v>
      </c>
      <c r="Q534" s="7" t="s">
        <v>62</v>
      </c>
      <c r="R534" s="7" t="s">
        <v>9604</v>
      </c>
      <c r="S534" s="7" t="n">
        <v>116</v>
      </c>
      <c r="T534" s="7" t="s">
        <v>9604</v>
      </c>
      <c r="U534" s="7" t="n">
        <v>2</v>
      </c>
      <c r="V534" s="7"/>
      <c r="W534" s="7" t="n">
        <v>248</v>
      </c>
      <c r="X534" s="7" t="n">
        <v>256</v>
      </c>
      <c r="Y534" s="7" t="n">
        <v>8</v>
      </c>
      <c r="Z534" s="7" t="s">
        <v>9605</v>
      </c>
      <c r="AA534" s="9" t="s">
        <v>9606</v>
      </c>
      <c r="AB534" s="7" t="s">
        <v>9607</v>
      </c>
      <c r="AC534" s="7" t="s">
        <v>9608</v>
      </c>
      <c r="AD534" s="7" t="s">
        <v>9609</v>
      </c>
      <c r="AE534" s="7" t="s">
        <v>9610</v>
      </c>
      <c r="AF534" s="7"/>
      <c r="AG534" s="7" t="s">
        <v>9611</v>
      </c>
      <c r="AH534" s="7" t="s">
        <v>9612</v>
      </c>
      <c r="AI534" s="7" t="s">
        <v>9613</v>
      </c>
      <c r="AJ534" s="10"/>
      <c r="AK534" s="7"/>
      <c r="AL534" s="7" t="s">
        <v>9614</v>
      </c>
      <c r="AM534" s="7" t="s">
        <v>9615</v>
      </c>
      <c r="AN534" s="7"/>
      <c r="AO534" s="7"/>
      <c r="AP534" s="7"/>
      <c r="AQ534" s="7"/>
      <c r="AR534" s="7"/>
      <c r="AS534" s="7"/>
      <c r="AT534" s="7" t="s">
        <v>9616</v>
      </c>
      <c r="AU534" s="7"/>
      <c r="AV534" s="7" t="s">
        <v>9617</v>
      </c>
      <c r="AW534" s="7" t="n">
        <v>33656072</v>
      </c>
      <c r="AX534" s="7" t="s">
        <v>9618</v>
      </c>
      <c r="AY534" s="7" t="s">
        <v>75</v>
      </c>
      <c r="AZ534" s="7" t="s">
        <v>107</v>
      </c>
      <c r="BA534" s="7" t="s">
        <v>76</v>
      </c>
      <c r="BB534" s="7" t="s">
        <v>9619</v>
      </c>
      <c r="BC534" s="7"/>
      <c r="BD534" s="7"/>
      <c r="BE534" s="7"/>
      <c r="BF534" s="7"/>
      <c r="BG534" s="7"/>
      <c r="BH534" s="7"/>
      <c r="BI534" s="7"/>
    </row>
    <row r="535" customFormat="false" ht="14.25" hidden="false" customHeight="true" outlineLevel="0" collapsed="false">
      <c r="A535" s="7" t="s">
        <v>9620</v>
      </c>
      <c r="B535" s="7" t="s">
        <v>9621</v>
      </c>
      <c r="C535" s="7" t="s">
        <v>9622</v>
      </c>
      <c r="D535" s="7" t="s">
        <v>9623</v>
      </c>
      <c r="E535" s="7" t="n">
        <v>2021</v>
      </c>
      <c r="F535" s="8" t="s">
        <v>9624</v>
      </c>
      <c r="G535" s="6" t="s">
        <v>149</v>
      </c>
      <c r="H535" s="7"/>
      <c r="I535" s="7"/>
      <c r="J535" s="7"/>
      <c r="K535" s="7"/>
      <c r="L535" s="7"/>
      <c r="M535" s="7"/>
      <c r="N535" s="7"/>
      <c r="O535" s="7"/>
      <c r="P535" s="7" t="s">
        <v>61</v>
      </c>
      <c r="Q535" s="7" t="s">
        <v>62</v>
      </c>
      <c r="R535" s="7" t="s">
        <v>4949</v>
      </c>
      <c r="S535" s="7" t="n">
        <v>10</v>
      </c>
      <c r="T535" s="7" t="s">
        <v>903</v>
      </c>
      <c r="U535" s="7" t="n">
        <v>1</v>
      </c>
      <c r="V535" s="7" t="n">
        <v>88</v>
      </c>
      <c r="W535" s="7"/>
      <c r="X535" s="7"/>
      <c r="Y535" s="7"/>
      <c r="Z535" s="7" t="s">
        <v>9625</v>
      </c>
      <c r="AA535" s="9" t="s">
        <v>9626</v>
      </c>
      <c r="AB535" s="7" t="s">
        <v>9627</v>
      </c>
      <c r="AC535" s="7" t="s">
        <v>9628</v>
      </c>
      <c r="AD535" s="7" t="s">
        <v>9629</v>
      </c>
      <c r="AE535" s="7" t="s">
        <v>9630</v>
      </c>
      <c r="AF535" s="7"/>
      <c r="AG535" s="7"/>
      <c r="AH535" s="7"/>
      <c r="AI535" s="7"/>
      <c r="AJ535" s="10" t="s">
        <v>9631</v>
      </c>
      <c r="AK535" s="7" t="s">
        <v>9632</v>
      </c>
      <c r="AL535" s="7" t="s">
        <v>9633</v>
      </c>
      <c r="AM535" s="7" t="s">
        <v>9634</v>
      </c>
      <c r="AN535" s="7"/>
      <c r="AO535" s="7"/>
      <c r="AP535" s="7"/>
      <c r="AQ535" s="7"/>
      <c r="AR535" s="7"/>
      <c r="AS535" s="7"/>
      <c r="AT535" s="7" t="n">
        <v>20955162</v>
      </c>
      <c r="AU535" s="7"/>
      <c r="AV535" s="7"/>
      <c r="AW535" s="7" t="n">
        <v>34176515</v>
      </c>
      <c r="AX535" s="7" t="s">
        <v>4960</v>
      </c>
      <c r="AY535" s="7" t="s">
        <v>75</v>
      </c>
      <c r="AZ535" s="7" t="s">
        <v>107</v>
      </c>
      <c r="BA535" s="7" t="s">
        <v>76</v>
      </c>
      <c r="BB535" s="7" t="s">
        <v>9635</v>
      </c>
      <c r="BC535" s="7"/>
      <c r="BD535" s="7"/>
      <c r="BE535" s="7"/>
      <c r="BF535" s="7"/>
      <c r="BG535" s="7"/>
      <c r="BH535" s="7"/>
      <c r="BI535" s="7"/>
    </row>
    <row r="536" customFormat="false" ht="14.25" hidden="false" customHeight="true" outlineLevel="0" collapsed="false">
      <c r="A536" s="7" t="s">
        <v>9636</v>
      </c>
      <c r="B536" s="7" t="s">
        <v>9637</v>
      </c>
      <c r="C536" s="7" t="s">
        <v>9638</v>
      </c>
      <c r="D536" s="7" t="s">
        <v>9639</v>
      </c>
      <c r="E536" s="7" t="n">
        <v>2021</v>
      </c>
      <c r="F536" s="8" t="s">
        <v>9640</v>
      </c>
      <c r="G536" s="6" t="s">
        <v>9641</v>
      </c>
      <c r="H536" s="7"/>
      <c r="I536" s="7"/>
      <c r="J536" s="7"/>
      <c r="K536" s="7"/>
      <c r="L536" s="7"/>
      <c r="M536" s="7"/>
      <c r="N536" s="7"/>
      <c r="O536" s="7"/>
      <c r="P536" s="7" t="s">
        <v>61</v>
      </c>
      <c r="Q536" s="7" t="s">
        <v>62</v>
      </c>
      <c r="R536" s="7" t="s">
        <v>9642</v>
      </c>
      <c r="S536" s="7" t="n">
        <v>67</v>
      </c>
      <c r="T536" s="7" t="s">
        <v>9643</v>
      </c>
      <c r="U536" s="7" t="n">
        <v>2</v>
      </c>
      <c r="V536" s="7"/>
      <c r="W536" s="7" t="n">
        <v>237</v>
      </c>
      <c r="X536" s="7" t="n">
        <v>241</v>
      </c>
      <c r="Y536" s="7" t="n">
        <v>4</v>
      </c>
      <c r="Z536" s="7" t="s">
        <v>9644</v>
      </c>
      <c r="AA536" s="9" t="s">
        <v>9645</v>
      </c>
      <c r="AB536" s="7" t="s">
        <v>9646</v>
      </c>
      <c r="AC536" s="7" t="s">
        <v>9647</v>
      </c>
      <c r="AD536" s="7"/>
      <c r="AE536" s="7" t="s">
        <v>9648</v>
      </c>
      <c r="AF536" s="7"/>
      <c r="AG536" s="7" t="s">
        <v>9649</v>
      </c>
      <c r="AH536" s="7"/>
      <c r="AI536" s="7"/>
      <c r="AJ536" s="10"/>
      <c r="AK536" s="7"/>
      <c r="AL536" s="7"/>
      <c r="AM536" s="7"/>
      <c r="AN536" s="7"/>
      <c r="AO536" s="7"/>
      <c r="AP536" s="7"/>
      <c r="AQ536" s="7"/>
      <c r="AR536" s="7"/>
      <c r="AS536" s="7"/>
      <c r="AT536" s="7" t="n">
        <v>22990631</v>
      </c>
      <c r="AU536" s="7"/>
      <c r="AV536" s="7"/>
      <c r="AW536" s="7" t="n">
        <v>34592091</v>
      </c>
      <c r="AX536" s="7" t="s">
        <v>9650</v>
      </c>
      <c r="AY536" s="7" t="s">
        <v>75</v>
      </c>
      <c r="AZ536" s="7"/>
      <c r="BA536" s="7" t="s">
        <v>76</v>
      </c>
      <c r="BB536" s="7" t="s">
        <v>9651</v>
      </c>
      <c r="BC536" s="7"/>
      <c r="BD536" s="7"/>
      <c r="BE536" s="7"/>
      <c r="BF536" s="7"/>
      <c r="BG536" s="7"/>
      <c r="BH536" s="7"/>
      <c r="BI536" s="7"/>
    </row>
    <row r="537" customFormat="false" ht="14.25" hidden="false" customHeight="true" outlineLevel="0" collapsed="false">
      <c r="A537" s="7" t="s">
        <v>9652</v>
      </c>
      <c r="B537" s="7" t="s">
        <v>9653</v>
      </c>
      <c r="C537" s="7" t="s">
        <v>9654</v>
      </c>
      <c r="D537" s="7" t="s">
        <v>9655</v>
      </c>
      <c r="E537" s="7" t="n">
        <v>2021</v>
      </c>
      <c r="F537" s="8" t="s">
        <v>9656</v>
      </c>
      <c r="G537" s="6" t="s">
        <v>3714</v>
      </c>
      <c r="H537" s="7"/>
      <c r="I537" s="7"/>
      <c r="J537" s="7"/>
      <c r="K537" s="7"/>
      <c r="L537" s="7"/>
      <c r="M537" s="7"/>
      <c r="N537" s="7"/>
      <c r="O537" s="7"/>
      <c r="P537" s="7" t="s">
        <v>61</v>
      </c>
      <c r="Q537" s="7" t="s">
        <v>62</v>
      </c>
      <c r="R537" s="7" t="s">
        <v>4949</v>
      </c>
      <c r="S537" s="7" t="n">
        <v>10</v>
      </c>
      <c r="T537" s="7" t="s">
        <v>903</v>
      </c>
      <c r="U537" s="7" t="n">
        <v>1</v>
      </c>
      <c r="V537" s="7" t="n">
        <v>74</v>
      </c>
      <c r="W537" s="7"/>
      <c r="X537" s="7"/>
      <c r="Y537" s="7"/>
      <c r="Z537" s="7" t="s">
        <v>9657</v>
      </c>
      <c r="AA537" s="9" t="s">
        <v>9658</v>
      </c>
      <c r="AB537" s="7" t="s">
        <v>9659</v>
      </c>
      <c r="AC537" s="7" t="s">
        <v>9660</v>
      </c>
      <c r="AD537" s="7" t="s">
        <v>9661</v>
      </c>
      <c r="AE537" s="7" t="s">
        <v>9662</v>
      </c>
      <c r="AF537" s="7"/>
      <c r="AG537" s="7"/>
      <c r="AH537" s="7"/>
      <c r="AI537" s="7"/>
      <c r="AJ537" s="10" t="s">
        <v>9663</v>
      </c>
      <c r="AK537" s="7" t="s">
        <v>9664</v>
      </c>
      <c r="AL537" s="7" t="s">
        <v>9665</v>
      </c>
      <c r="AM537" s="7" t="s">
        <v>9666</v>
      </c>
      <c r="AN537" s="7"/>
      <c r="AO537" s="7"/>
      <c r="AP537" s="7"/>
      <c r="AQ537" s="7"/>
      <c r="AR537" s="7"/>
      <c r="AS537" s="7"/>
      <c r="AT537" s="7" t="n">
        <v>20955162</v>
      </c>
      <c r="AU537" s="7"/>
      <c r="AV537" s="7"/>
      <c r="AW537" s="7" t="n">
        <v>34011383</v>
      </c>
      <c r="AX537" s="7" t="s">
        <v>4960</v>
      </c>
      <c r="AY537" s="7" t="s">
        <v>75</v>
      </c>
      <c r="AZ537" s="7" t="s">
        <v>107</v>
      </c>
      <c r="BA537" s="7" t="s">
        <v>76</v>
      </c>
      <c r="BB537" s="7" t="s">
        <v>9667</v>
      </c>
      <c r="BC537" s="7"/>
      <c r="BD537" s="7"/>
      <c r="BE537" s="7"/>
      <c r="BF537" s="7"/>
      <c r="BG537" s="7"/>
      <c r="BH537" s="7"/>
      <c r="BI537" s="7"/>
    </row>
    <row r="538" customFormat="false" ht="14.25" hidden="false" customHeight="true" outlineLevel="0" collapsed="false">
      <c r="A538" s="7" t="s">
        <v>9668</v>
      </c>
      <c r="B538" s="7" t="s">
        <v>9669</v>
      </c>
      <c r="C538" s="7" t="s">
        <v>9670</v>
      </c>
      <c r="D538" s="7" t="s">
        <v>9671</v>
      </c>
      <c r="E538" s="7" t="n">
        <v>2021</v>
      </c>
      <c r="F538" s="8" t="s">
        <v>9672</v>
      </c>
      <c r="G538" s="6" t="s">
        <v>134</v>
      </c>
      <c r="H538" s="7"/>
      <c r="I538" s="7"/>
      <c r="J538" s="7"/>
      <c r="K538" s="7"/>
      <c r="L538" s="7"/>
      <c r="M538" s="7"/>
      <c r="N538" s="7"/>
      <c r="O538" s="7"/>
      <c r="P538" s="7" t="s">
        <v>61</v>
      </c>
      <c r="Q538" s="7" t="s">
        <v>62</v>
      </c>
      <c r="R538" s="7" t="s">
        <v>993</v>
      </c>
      <c r="S538" s="7" t="n">
        <v>16</v>
      </c>
      <c r="T538" s="7" t="s">
        <v>500</v>
      </c>
      <c r="U538" s="11" t="n">
        <v>45782</v>
      </c>
      <c r="V538" s="7" t="s">
        <v>9673</v>
      </c>
      <c r="W538" s="7"/>
      <c r="X538" s="7"/>
      <c r="Y538" s="7"/>
      <c r="Z538" s="7" t="s">
        <v>9674</v>
      </c>
      <c r="AA538" s="9" t="s">
        <v>9675</v>
      </c>
      <c r="AB538" s="7" t="s">
        <v>9676</v>
      </c>
      <c r="AC538" s="7" t="s">
        <v>9677</v>
      </c>
      <c r="AD538" s="7"/>
      <c r="AE538" s="7" t="s">
        <v>9678</v>
      </c>
      <c r="AF538" s="7"/>
      <c r="AG538" s="7" t="s">
        <v>9679</v>
      </c>
      <c r="AH538" s="7"/>
      <c r="AI538" s="7"/>
      <c r="AJ538" s="10"/>
      <c r="AK538" s="7"/>
      <c r="AL538" s="7" t="s">
        <v>9680</v>
      </c>
      <c r="AM538" s="7" t="s">
        <v>9681</v>
      </c>
      <c r="AN538" s="7"/>
      <c r="AO538" s="7"/>
      <c r="AP538" s="7"/>
      <c r="AQ538" s="7"/>
      <c r="AR538" s="7"/>
      <c r="AS538" s="7"/>
      <c r="AT538" s="7" t="n">
        <v>19326203</v>
      </c>
      <c r="AU538" s="7"/>
      <c r="AV538" s="7" t="s">
        <v>1007</v>
      </c>
      <c r="AW538" s="7" t="n">
        <v>34048465</v>
      </c>
      <c r="AX538" s="7" t="s">
        <v>993</v>
      </c>
      <c r="AY538" s="7" t="s">
        <v>75</v>
      </c>
      <c r="AZ538" s="7" t="s">
        <v>107</v>
      </c>
      <c r="BA538" s="7" t="s">
        <v>76</v>
      </c>
      <c r="BB538" s="7" t="s">
        <v>9682</v>
      </c>
      <c r="BC538" s="7"/>
      <c r="BD538" s="7"/>
      <c r="BE538" s="7"/>
      <c r="BF538" s="7"/>
      <c r="BG538" s="7"/>
      <c r="BH538" s="7"/>
      <c r="BI538" s="7"/>
    </row>
    <row r="539" customFormat="false" ht="14.25" hidden="false" customHeight="true" outlineLevel="0" collapsed="false">
      <c r="A539" s="7" t="s">
        <v>9683</v>
      </c>
      <c r="B539" s="7" t="s">
        <v>9684</v>
      </c>
      <c r="C539" s="7" t="s">
        <v>9685</v>
      </c>
      <c r="D539" s="7" t="s">
        <v>9686</v>
      </c>
      <c r="E539" s="7" t="n">
        <v>2021</v>
      </c>
      <c r="F539" s="8" t="s">
        <v>9687</v>
      </c>
      <c r="G539" s="6" t="s">
        <v>290</v>
      </c>
      <c r="H539" s="7"/>
      <c r="I539" s="7"/>
      <c r="J539" s="7"/>
      <c r="K539" s="7"/>
      <c r="L539" s="7"/>
      <c r="M539" s="7"/>
      <c r="N539" s="7"/>
      <c r="O539" s="7"/>
      <c r="P539" s="7" t="s">
        <v>61</v>
      </c>
      <c r="Q539" s="7" t="s">
        <v>62</v>
      </c>
      <c r="R539" s="7" t="s">
        <v>9688</v>
      </c>
      <c r="S539" s="7" t="n">
        <v>267</v>
      </c>
      <c r="T539" s="7" t="s">
        <v>218</v>
      </c>
      <c r="U539" s="7"/>
      <c r="V539" s="7" t="n">
        <v>113449</v>
      </c>
      <c r="W539" s="7"/>
      <c r="X539" s="7"/>
      <c r="Y539" s="7"/>
      <c r="Z539" s="7" t="s">
        <v>9689</v>
      </c>
      <c r="AA539" s="9" t="s">
        <v>9690</v>
      </c>
      <c r="AB539" s="7" t="s">
        <v>9691</v>
      </c>
      <c r="AC539" s="7" t="s">
        <v>9692</v>
      </c>
      <c r="AD539" s="7" t="s">
        <v>9693</v>
      </c>
      <c r="AE539" s="7" t="s">
        <v>9694</v>
      </c>
      <c r="AF539" s="7"/>
      <c r="AG539" s="7" t="s">
        <v>9695</v>
      </c>
      <c r="AH539" s="7"/>
      <c r="AI539" s="7"/>
      <c r="AJ539" s="10" t="s">
        <v>9696</v>
      </c>
      <c r="AK539" s="7" t="s">
        <v>9697</v>
      </c>
      <c r="AL539" s="7" t="s">
        <v>9698</v>
      </c>
      <c r="AM539" s="7" t="s">
        <v>9699</v>
      </c>
      <c r="AN539" s="7"/>
      <c r="AO539" s="7"/>
      <c r="AP539" s="7"/>
      <c r="AQ539" s="7"/>
      <c r="AR539" s="7"/>
      <c r="AS539" s="7"/>
      <c r="AT539" s="7" t="n">
        <v>3788741</v>
      </c>
      <c r="AU539" s="7"/>
      <c r="AV539" s="7" t="s">
        <v>9700</v>
      </c>
      <c r="AW539" s="7" t="n">
        <v>33129949</v>
      </c>
      <c r="AX539" s="7" t="s">
        <v>9701</v>
      </c>
      <c r="AY539" s="7" t="s">
        <v>75</v>
      </c>
      <c r="AZ539" s="7"/>
      <c r="BA539" s="7" t="s">
        <v>76</v>
      </c>
      <c r="BB539" s="7" t="s">
        <v>9702</v>
      </c>
      <c r="BC539" s="7"/>
      <c r="BD539" s="7"/>
      <c r="BE539" s="7"/>
      <c r="BF539" s="7"/>
      <c r="BG539" s="7"/>
      <c r="BH539" s="7"/>
      <c r="BI539" s="7"/>
    </row>
    <row r="540" customFormat="false" ht="14.25" hidden="false" customHeight="true" outlineLevel="0" collapsed="false">
      <c r="A540" s="7" t="s">
        <v>9703</v>
      </c>
      <c r="B540" s="7" t="s">
        <v>9704</v>
      </c>
      <c r="C540" s="7" t="s">
        <v>9705</v>
      </c>
      <c r="D540" s="7" t="s">
        <v>9706</v>
      </c>
      <c r="E540" s="7" t="n">
        <v>2021</v>
      </c>
      <c r="F540" s="8" t="s">
        <v>9707</v>
      </c>
      <c r="G540" s="6" t="s">
        <v>290</v>
      </c>
      <c r="H540" s="7"/>
      <c r="I540" s="7"/>
      <c r="J540" s="7"/>
      <c r="K540" s="7"/>
      <c r="L540" s="7"/>
      <c r="M540" s="7"/>
      <c r="N540" s="7"/>
      <c r="O540" s="7"/>
      <c r="P540" s="7" t="s">
        <v>61</v>
      </c>
      <c r="Q540" s="7" t="s">
        <v>62</v>
      </c>
      <c r="R540" s="7" t="s">
        <v>9708</v>
      </c>
      <c r="S540" s="7" t="n">
        <v>15</v>
      </c>
      <c r="T540" s="7" t="s">
        <v>9709</v>
      </c>
      <c r="U540" s="7" t="n">
        <v>1</v>
      </c>
      <c r="V540" s="7"/>
      <c r="W540" s="7" t="n">
        <v>282</v>
      </c>
      <c r="X540" s="7" t="n">
        <v>292</v>
      </c>
      <c r="Y540" s="7" t="n">
        <v>10</v>
      </c>
      <c r="Z540" s="7" t="s">
        <v>9710</v>
      </c>
      <c r="AA540" s="9" t="s">
        <v>9711</v>
      </c>
      <c r="AB540" s="7" t="s">
        <v>9712</v>
      </c>
      <c r="AC540" s="7" t="s">
        <v>9713</v>
      </c>
      <c r="AD540" s="7" t="s">
        <v>9714</v>
      </c>
      <c r="AE540" s="7"/>
      <c r="AF540" s="7"/>
      <c r="AG540" s="7"/>
      <c r="AH540" s="7"/>
      <c r="AI540" s="7"/>
      <c r="AJ540" s="10" t="s">
        <v>9715</v>
      </c>
      <c r="AK540" s="7" t="s">
        <v>9716</v>
      </c>
      <c r="AL540" s="7" t="s">
        <v>9717</v>
      </c>
      <c r="AM540" s="7" t="s">
        <v>9718</v>
      </c>
      <c r="AN540" s="7"/>
      <c r="AO540" s="7"/>
      <c r="AP540" s="7"/>
      <c r="AQ540" s="7"/>
      <c r="AR540" s="7"/>
      <c r="AS540" s="7"/>
      <c r="AT540" s="7" t="n">
        <v>19918631</v>
      </c>
      <c r="AU540" s="7"/>
      <c r="AV540" s="7"/>
      <c r="AW540" s="7"/>
      <c r="AX540" s="7" t="s">
        <v>9719</v>
      </c>
      <c r="AY540" s="7" t="s">
        <v>75</v>
      </c>
      <c r="AZ540" s="7" t="s">
        <v>127</v>
      </c>
      <c r="BA540" s="7" t="s">
        <v>76</v>
      </c>
      <c r="BB540" s="7" t="s">
        <v>9720</v>
      </c>
      <c r="BC540" s="7"/>
      <c r="BD540" s="7"/>
      <c r="BE540" s="7"/>
      <c r="BF540" s="7"/>
      <c r="BG540" s="7"/>
      <c r="BH540" s="7"/>
      <c r="BI540" s="7"/>
    </row>
    <row r="541" customFormat="false" ht="14.25" hidden="false" customHeight="true" outlineLevel="0" collapsed="false">
      <c r="A541" s="7" t="s">
        <v>9721</v>
      </c>
      <c r="B541" s="7" t="s">
        <v>9722</v>
      </c>
      <c r="C541" s="7" t="s">
        <v>9723</v>
      </c>
      <c r="D541" s="7" t="s">
        <v>9724</v>
      </c>
      <c r="E541" s="7" t="n">
        <v>2021</v>
      </c>
      <c r="F541" s="8" t="s">
        <v>9725</v>
      </c>
      <c r="G541" s="6" t="s">
        <v>134</v>
      </c>
      <c r="H541" s="7"/>
      <c r="I541" s="7"/>
      <c r="J541" s="7"/>
      <c r="K541" s="7"/>
      <c r="L541" s="7"/>
      <c r="M541" s="7"/>
      <c r="N541" s="7"/>
      <c r="O541" s="7"/>
      <c r="P541" s="7" t="s">
        <v>61</v>
      </c>
      <c r="Q541" s="7" t="s">
        <v>62</v>
      </c>
      <c r="R541" s="7" t="s">
        <v>679</v>
      </c>
      <c r="S541" s="7" t="n">
        <v>15</v>
      </c>
      <c r="T541" s="7" t="s">
        <v>500</v>
      </c>
      <c r="U541" s="7" t="n">
        <v>12</v>
      </c>
      <c r="V541" s="7" t="s">
        <v>9726</v>
      </c>
      <c r="W541" s="7"/>
      <c r="X541" s="7"/>
      <c r="Y541" s="7"/>
      <c r="Z541" s="7" t="s">
        <v>9727</v>
      </c>
      <c r="AA541" s="9" t="s">
        <v>9728</v>
      </c>
      <c r="AB541" s="7" t="s">
        <v>9729</v>
      </c>
      <c r="AC541" s="7" t="s">
        <v>9730</v>
      </c>
      <c r="AD541" s="7"/>
      <c r="AE541" s="7" t="s">
        <v>9731</v>
      </c>
      <c r="AF541" s="7"/>
      <c r="AG541" s="7" t="s">
        <v>9732</v>
      </c>
      <c r="AH541" s="7"/>
      <c r="AI541" s="7"/>
      <c r="AJ541" s="10" t="s">
        <v>9733</v>
      </c>
      <c r="AK541" s="7" t="s">
        <v>9734</v>
      </c>
      <c r="AL541" s="7" t="s">
        <v>9735</v>
      </c>
      <c r="AM541" s="7" t="s">
        <v>9736</v>
      </c>
      <c r="AN541" s="7"/>
      <c r="AO541" s="7"/>
      <c r="AP541" s="7"/>
      <c r="AQ541" s="7"/>
      <c r="AR541" s="7"/>
      <c r="AS541" s="7"/>
      <c r="AT541" s="7" t="n">
        <v>19352727</v>
      </c>
      <c r="AU541" s="7"/>
      <c r="AV541" s="7"/>
      <c r="AW541" s="7" t="n">
        <v>34871321</v>
      </c>
      <c r="AX541" s="7" t="s">
        <v>689</v>
      </c>
      <c r="AY541" s="7" t="s">
        <v>75</v>
      </c>
      <c r="AZ541" s="7" t="s">
        <v>107</v>
      </c>
      <c r="BA541" s="7" t="s">
        <v>76</v>
      </c>
      <c r="BB541" s="7" t="s">
        <v>9737</v>
      </c>
      <c r="BC541" s="7"/>
      <c r="BD541" s="7"/>
      <c r="BE541" s="7"/>
      <c r="BF541" s="7"/>
      <c r="BG541" s="7"/>
      <c r="BH541" s="7"/>
      <c r="BI541" s="7"/>
    </row>
    <row r="542" customFormat="false" ht="14.25" hidden="false" customHeight="true" outlineLevel="0" collapsed="false">
      <c r="A542" s="7" t="s">
        <v>9738</v>
      </c>
      <c r="B542" s="7" t="s">
        <v>9739</v>
      </c>
      <c r="C542" s="7" t="s">
        <v>9740</v>
      </c>
      <c r="D542" s="7" t="s">
        <v>9741</v>
      </c>
      <c r="E542" s="7" t="n">
        <v>2021</v>
      </c>
      <c r="F542" s="8" t="s">
        <v>9742</v>
      </c>
      <c r="G542" s="6" t="s">
        <v>149</v>
      </c>
      <c r="H542" s="7"/>
      <c r="I542" s="7"/>
      <c r="J542" s="7"/>
      <c r="K542" s="7"/>
      <c r="L542" s="7"/>
      <c r="M542" s="7"/>
      <c r="N542" s="7"/>
      <c r="O542" s="7"/>
      <c r="P542" s="7" t="s">
        <v>61</v>
      </c>
      <c r="Q542" s="7" t="s">
        <v>62</v>
      </c>
      <c r="R542" s="7" t="s">
        <v>679</v>
      </c>
      <c r="S542" s="7" t="n">
        <v>15</v>
      </c>
      <c r="T542" s="7" t="s">
        <v>500</v>
      </c>
      <c r="U542" s="7" t="n">
        <v>9</v>
      </c>
      <c r="V542" s="7" t="s">
        <v>9743</v>
      </c>
      <c r="W542" s="7"/>
      <c r="X542" s="7"/>
      <c r="Y542" s="7"/>
      <c r="Z542" s="7" t="s">
        <v>9744</v>
      </c>
      <c r="AA542" s="9" t="s">
        <v>9745</v>
      </c>
      <c r="AB542" s="7" t="s">
        <v>9746</v>
      </c>
      <c r="AC542" s="7" t="s">
        <v>9747</v>
      </c>
      <c r="AD542" s="7"/>
      <c r="AE542" s="7" t="s">
        <v>9748</v>
      </c>
      <c r="AF542" s="7"/>
      <c r="AG542" s="7" t="s">
        <v>4494</v>
      </c>
      <c r="AH542" s="7"/>
      <c r="AI542" s="7"/>
      <c r="AJ542" s="10" t="s">
        <v>9749</v>
      </c>
      <c r="AK542" s="7" t="s">
        <v>9750</v>
      </c>
      <c r="AL542" s="7" t="s">
        <v>9751</v>
      </c>
      <c r="AM542" s="7" t="s">
        <v>9752</v>
      </c>
      <c r="AN542" s="7"/>
      <c r="AO542" s="7"/>
      <c r="AP542" s="7"/>
      <c r="AQ542" s="7"/>
      <c r="AR542" s="7"/>
      <c r="AS542" s="7"/>
      <c r="AT542" s="7" t="n">
        <v>19352727</v>
      </c>
      <c r="AU542" s="7"/>
      <c r="AV542" s="7"/>
      <c r="AW542" s="7" t="n">
        <v>34492033</v>
      </c>
      <c r="AX542" s="7" t="s">
        <v>689</v>
      </c>
      <c r="AY542" s="7" t="s">
        <v>75</v>
      </c>
      <c r="AZ542" s="7" t="s">
        <v>107</v>
      </c>
      <c r="BA542" s="7" t="s">
        <v>76</v>
      </c>
      <c r="BB542" s="7" t="s">
        <v>9753</v>
      </c>
      <c r="BC542" s="7"/>
      <c r="BD542" s="7"/>
      <c r="BE542" s="7"/>
      <c r="BF542" s="7"/>
      <c r="BG542" s="7"/>
      <c r="BH542" s="7"/>
      <c r="BI542" s="7"/>
    </row>
    <row r="543" customFormat="false" ht="14.25" hidden="false" customHeight="true" outlineLevel="0" collapsed="false">
      <c r="A543" s="7" t="s">
        <v>9754</v>
      </c>
      <c r="B543" s="7" t="s">
        <v>9755</v>
      </c>
      <c r="C543" s="7" t="s">
        <v>9756</v>
      </c>
      <c r="D543" s="7" t="s">
        <v>9757</v>
      </c>
      <c r="E543" s="7" t="n">
        <v>2021</v>
      </c>
      <c r="F543" s="8" t="s">
        <v>9758</v>
      </c>
      <c r="G543" s="6" t="s">
        <v>149</v>
      </c>
      <c r="H543" s="7"/>
      <c r="I543" s="7"/>
      <c r="J543" s="7"/>
      <c r="K543" s="7"/>
      <c r="L543" s="7"/>
      <c r="M543" s="7"/>
      <c r="N543" s="7"/>
      <c r="O543" s="7"/>
      <c r="P543" s="7" t="s">
        <v>61</v>
      </c>
      <c r="Q543" s="7" t="s">
        <v>62</v>
      </c>
      <c r="R543" s="7" t="s">
        <v>7983</v>
      </c>
      <c r="S543" s="7" t="n">
        <v>24</v>
      </c>
      <c r="T543" s="7" t="s">
        <v>64</v>
      </c>
      <c r="U543" s="7"/>
      <c r="V543" s="7" t="n">
        <v>100592</v>
      </c>
      <c r="W543" s="7"/>
      <c r="X543" s="7"/>
      <c r="Y543" s="7"/>
      <c r="Z543" s="7" t="s">
        <v>9759</v>
      </c>
      <c r="AA543" s="9" t="s">
        <v>9760</v>
      </c>
      <c r="AB543" s="7" t="s">
        <v>9761</v>
      </c>
      <c r="AC543" s="7" t="s">
        <v>9762</v>
      </c>
      <c r="AD543" s="7" t="s">
        <v>9763</v>
      </c>
      <c r="AE543" s="7" t="s">
        <v>9764</v>
      </c>
      <c r="AF543" s="7"/>
      <c r="AG543" s="7"/>
      <c r="AH543" s="7" t="s">
        <v>9765</v>
      </c>
      <c r="AI543" s="7"/>
      <c r="AJ543" s="10" t="s">
        <v>9766</v>
      </c>
      <c r="AK543" s="7" t="s">
        <v>9767</v>
      </c>
      <c r="AL543" s="7" t="s">
        <v>9768</v>
      </c>
      <c r="AM543" s="7" t="s">
        <v>9769</v>
      </c>
      <c r="AN543" s="7"/>
      <c r="AO543" s="7"/>
      <c r="AP543" s="7"/>
      <c r="AQ543" s="7"/>
      <c r="AR543" s="7"/>
      <c r="AS543" s="7"/>
      <c r="AT543" s="7" t="n">
        <v>23529148</v>
      </c>
      <c r="AU543" s="7"/>
      <c r="AV543" s="7"/>
      <c r="AW543" s="7"/>
      <c r="AX543" s="7" t="s">
        <v>7994</v>
      </c>
      <c r="AY543" s="7" t="s">
        <v>75</v>
      </c>
      <c r="AZ543" s="7" t="s">
        <v>127</v>
      </c>
      <c r="BA543" s="7" t="s">
        <v>76</v>
      </c>
      <c r="BB543" s="7" t="s">
        <v>9770</v>
      </c>
      <c r="BC543" s="7"/>
      <c r="BD543" s="7"/>
      <c r="BE543" s="7"/>
      <c r="BF543" s="7"/>
      <c r="BG543" s="7"/>
      <c r="BH543" s="7"/>
      <c r="BI543" s="7"/>
    </row>
    <row r="544" customFormat="false" ht="14.25" hidden="false" customHeight="true" outlineLevel="0" collapsed="false">
      <c r="A544" s="7" t="s">
        <v>9771</v>
      </c>
      <c r="B544" s="7" t="s">
        <v>9772</v>
      </c>
      <c r="C544" s="7" t="s">
        <v>9773</v>
      </c>
      <c r="D544" s="7" t="s">
        <v>9774</v>
      </c>
      <c r="E544" s="7" t="n">
        <v>2021</v>
      </c>
      <c r="F544" s="8" t="s">
        <v>9775</v>
      </c>
      <c r="G544" s="6" t="s">
        <v>134</v>
      </c>
      <c r="H544" s="7"/>
      <c r="I544" s="7"/>
      <c r="J544" s="7"/>
      <c r="K544" s="7"/>
      <c r="L544" s="7"/>
      <c r="M544" s="7"/>
      <c r="N544" s="7"/>
      <c r="O544" s="7"/>
      <c r="P544" s="7" t="s">
        <v>61</v>
      </c>
      <c r="Q544" s="7" t="s">
        <v>62</v>
      </c>
      <c r="R544" s="7" t="s">
        <v>9776</v>
      </c>
      <c r="S544" s="7" t="n">
        <v>42</v>
      </c>
      <c r="T544" s="7" t="s">
        <v>9087</v>
      </c>
      <c r="U544" s="7" t="n">
        <v>5</v>
      </c>
      <c r="V544" s="7" t="n">
        <v>55008</v>
      </c>
      <c r="W544" s="7"/>
      <c r="X544" s="7"/>
      <c r="Y544" s="7"/>
      <c r="Z544" s="7" t="s">
        <v>9777</v>
      </c>
      <c r="AA544" s="9" t="s">
        <v>9778</v>
      </c>
      <c r="AB544" s="7" t="s">
        <v>9779</v>
      </c>
      <c r="AC544" s="7" t="s">
        <v>9780</v>
      </c>
      <c r="AD544" s="7" t="s">
        <v>9781</v>
      </c>
      <c r="AE544" s="7" t="s">
        <v>9782</v>
      </c>
      <c r="AF544" s="7"/>
      <c r="AG544" s="7"/>
      <c r="AH544" s="7"/>
      <c r="AI544" s="7"/>
      <c r="AJ544" s="10"/>
      <c r="AK544" s="7"/>
      <c r="AL544" s="7" t="s">
        <v>9783</v>
      </c>
      <c r="AM544" s="7" t="s">
        <v>9784</v>
      </c>
      <c r="AN544" s="7"/>
      <c r="AO544" s="7"/>
      <c r="AP544" s="7"/>
      <c r="AQ544" s="7"/>
      <c r="AR544" s="7"/>
      <c r="AS544" s="7"/>
      <c r="AT544" s="7" t="n">
        <v>9673334</v>
      </c>
      <c r="AU544" s="7"/>
      <c r="AV544" s="7" t="s">
        <v>9785</v>
      </c>
      <c r="AW544" s="7" t="n">
        <v>33984844</v>
      </c>
      <c r="AX544" s="7" t="s">
        <v>9786</v>
      </c>
      <c r="AY544" s="7" t="s">
        <v>75</v>
      </c>
      <c r="AZ544" s="7" t="s">
        <v>409</v>
      </c>
      <c r="BA544" s="7" t="s">
        <v>76</v>
      </c>
      <c r="BB544" s="7" t="s">
        <v>9787</v>
      </c>
      <c r="BC544" s="7"/>
      <c r="BD544" s="7"/>
      <c r="BE544" s="7"/>
      <c r="BF544" s="7"/>
      <c r="BG544" s="7"/>
      <c r="BH544" s="7"/>
      <c r="BI544" s="7"/>
    </row>
    <row r="545" customFormat="false" ht="14.25" hidden="false" customHeight="true" outlineLevel="0" collapsed="false">
      <c r="A545" s="7" t="s">
        <v>9788</v>
      </c>
      <c r="B545" s="7" t="s">
        <v>9789</v>
      </c>
      <c r="C545" s="7" t="s">
        <v>9790</v>
      </c>
      <c r="D545" s="7" t="s">
        <v>9791</v>
      </c>
      <c r="E545" s="7" t="n">
        <v>2021</v>
      </c>
      <c r="F545" s="8" t="s">
        <v>9792</v>
      </c>
      <c r="G545" s="6" t="s">
        <v>290</v>
      </c>
      <c r="H545" s="7"/>
      <c r="I545" s="7"/>
      <c r="J545" s="7"/>
      <c r="K545" s="7"/>
      <c r="L545" s="7"/>
      <c r="M545" s="7"/>
      <c r="N545" s="7"/>
      <c r="O545" s="7"/>
      <c r="P545" s="7" t="s">
        <v>61</v>
      </c>
      <c r="Q545" s="7" t="s">
        <v>62</v>
      </c>
      <c r="R545" s="7" t="s">
        <v>9793</v>
      </c>
      <c r="S545" s="7" t="n">
        <v>13</v>
      </c>
      <c r="T545" s="7" t="s">
        <v>903</v>
      </c>
      <c r="U545" s="7" t="n">
        <v>1</v>
      </c>
      <c r="V545" s="7" t="n">
        <v>13</v>
      </c>
      <c r="W545" s="7"/>
      <c r="X545" s="7"/>
      <c r="Y545" s="7"/>
      <c r="Z545" s="7" t="s">
        <v>9794</v>
      </c>
      <c r="AA545" s="9" t="s">
        <v>9795</v>
      </c>
      <c r="AB545" s="7" t="s">
        <v>9796</v>
      </c>
      <c r="AC545" s="7" t="s">
        <v>9797</v>
      </c>
      <c r="AD545" s="7" t="s">
        <v>9798</v>
      </c>
      <c r="AE545" s="7"/>
      <c r="AF545" s="7"/>
      <c r="AG545" s="7"/>
      <c r="AH545" s="7"/>
      <c r="AI545" s="7"/>
      <c r="AJ545" s="10" t="s">
        <v>9799</v>
      </c>
      <c r="AK545" s="7" t="s">
        <v>9800</v>
      </c>
      <c r="AL545" s="7" t="s">
        <v>9801</v>
      </c>
      <c r="AM545" s="7" t="s">
        <v>9802</v>
      </c>
      <c r="AN545" s="7"/>
      <c r="AO545" s="7"/>
      <c r="AP545" s="7"/>
      <c r="AQ545" s="7"/>
      <c r="AR545" s="7"/>
      <c r="AS545" s="7"/>
      <c r="AT545" s="7" t="n">
        <v>17582946</v>
      </c>
      <c r="AU545" s="7"/>
      <c r="AV545" s="7"/>
      <c r="AW545" s="7"/>
      <c r="AX545" s="7" t="s">
        <v>9803</v>
      </c>
      <c r="AY545" s="7" t="s">
        <v>75</v>
      </c>
      <c r="AZ545" s="7" t="s">
        <v>107</v>
      </c>
      <c r="BA545" s="7" t="s">
        <v>76</v>
      </c>
      <c r="BB545" s="7" t="s">
        <v>9804</v>
      </c>
      <c r="BC545" s="7"/>
      <c r="BD545" s="7"/>
      <c r="BE545" s="7"/>
      <c r="BF545" s="7"/>
      <c r="BG545" s="7"/>
      <c r="BH545" s="7"/>
      <c r="BI545" s="7"/>
    </row>
    <row r="546" customFormat="false" ht="14.25" hidden="false" customHeight="true" outlineLevel="0" collapsed="false">
      <c r="A546" s="7" t="s">
        <v>9805</v>
      </c>
      <c r="B546" s="7" t="s">
        <v>9806</v>
      </c>
      <c r="C546" s="7" t="s">
        <v>9807</v>
      </c>
      <c r="D546" s="7" t="s">
        <v>9808</v>
      </c>
      <c r="E546" s="7" t="n">
        <v>2021</v>
      </c>
      <c r="F546" s="8" t="s">
        <v>9809</v>
      </c>
      <c r="G546" s="6" t="s">
        <v>134</v>
      </c>
      <c r="H546" s="7"/>
      <c r="I546" s="7"/>
      <c r="J546" s="7"/>
      <c r="K546" s="7"/>
      <c r="L546" s="7"/>
      <c r="M546" s="7"/>
      <c r="N546" s="7"/>
      <c r="O546" s="7"/>
      <c r="P546" s="7" t="s">
        <v>61</v>
      </c>
      <c r="Q546" s="7" t="s">
        <v>62</v>
      </c>
      <c r="R546" s="7" t="s">
        <v>9810</v>
      </c>
      <c r="S546" s="7" t="n">
        <v>69</v>
      </c>
      <c r="T546" s="7" t="s">
        <v>9811</v>
      </c>
      <c r="U546" s="7" t="n">
        <v>7</v>
      </c>
      <c r="V546" s="7"/>
      <c r="W546" s="7" t="n">
        <v>159</v>
      </c>
      <c r="X546" s="7" t="n">
        <v>166</v>
      </c>
      <c r="Y546" s="7" t="n">
        <v>7</v>
      </c>
      <c r="Z546" s="7" t="s">
        <v>9812</v>
      </c>
      <c r="AA546" s="9" t="s">
        <v>9813</v>
      </c>
      <c r="AB546" s="7" t="s">
        <v>9814</v>
      </c>
      <c r="AC546" s="7" t="s">
        <v>9815</v>
      </c>
      <c r="AD546" s="7" t="s">
        <v>9816</v>
      </c>
      <c r="AE546" s="7"/>
      <c r="AF546" s="7"/>
      <c r="AG546" s="7"/>
      <c r="AH546" s="7"/>
      <c r="AI546" s="7"/>
      <c r="AJ546" s="10"/>
      <c r="AK546" s="7"/>
      <c r="AL546" s="7" t="s">
        <v>9817</v>
      </c>
      <c r="AM546" s="7" t="s">
        <v>9818</v>
      </c>
      <c r="AN546" s="7"/>
      <c r="AO546" s="7"/>
      <c r="AP546" s="7"/>
      <c r="AQ546" s="7"/>
      <c r="AR546" s="7"/>
      <c r="AS546" s="7"/>
      <c r="AT546" s="7" t="n">
        <v>23490918</v>
      </c>
      <c r="AU546" s="7"/>
      <c r="AV546" s="7"/>
      <c r="AW546" s="7"/>
      <c r="AX546" s="7" t="s">
        <v>9819</v>
      </c>
      <c r="AY546" s="7" t="s">
        <v>75</v>
      </c>
      <c r="AZ546" s="7"/>
      <c r="BA546" s="7" t="s">
        <v>76</v>
      </c>
      <c r="BB546" s="7" t="s">
        <v>9820</v>
      </c>
      <c r="BC546" s="7"/>
      <c r="BD546" s="7"/>
      <c r="BE546" s="7"/>
      <c r="BF546" s="7"/>
      <c r="BG546" s="7"/>
      <c r="BH546" s="7"/>
      <c r="BI546" s="7"/>
    </row>
    <row r="547" customFormat="false" ht="14.25" hidden="false" customHeight="true" outlineLevel="0" collapsed="false">
      <c r="A547" s="7" t="s">
        <v>9821</v>
      </c>
      <c r="B547" s="7" t="s">
        <v>9822</v>
      </c>
      <c r="C547" s="7" t="s">
        <v>9823</v>
      </c>
      <c r="D547" s="7" t="s">
        <v>9824</v>
      </c>
      <c r="E547" s="7" t="n">
        <v>2021</v>
      </c>
      <c r="F547" s="8" t="s">
        <v>9825</v>
      </c>
      <c r="G547" s="6" t="s">
        <v>1686</v>
      </c>
      <c r="H547" s="7"/>
      <c r="I547" s="7"/>
      <c r="J547" s="7"/>
      <c r="K547" s="7"/>
      <c r="L547" s="7"/>
      <c r="M547" s="7"/>
      <c r="N547" s="7"/>
      <c r="O547" s="7"/>
      <c r="P547" s="7" t="s">
        <v>61</v>
      </c>
      <c r="Q547" s="7" t="s">
        <v>62</v>
      </c>
      <c r="R547" s="7" t="s">
        <v>9826</v>
      </c>
      <c r="S547" s="7" t="n">
        <v>14</v>
      </c>
      <c r="T547" s="7" t="s">
        <v>9272</v>
      </c>
      <c r="U547" s="7" t="n">
        <v>1</v>
      </c>
      <c r="V547" s="7" t="n">
        <v>17</v>
      </c>
      <c r="W547" s="7"/>
      <c r="X547" s="7"/>
      <c r="Y547" s="7"/>
      <c r="Z547" s="7" t="s">
        <v>9827</v>
      </c>
      <c r="AA547" s="9" t="s">
        <v>9828</v>
      </c>
      <c r="AB547" s="7" t="s">
        <v>9829</v>
      </c>
      <c r="AC547" s="7" t="s">
        <v>9830</v>
      </c>
      <c r="AD547" s="7" t="s">
        <v>9831</v>
      </c>
      <c r="AE547" s="7" t="s">
        <v>9832</v>
      </c>
      <c r="AF547" s="7"/>
      <c r="AG547" s="7"/>
      <c r="AH547" s="7"/>
      <c r="AI547" s="7"/>
      <c r="AJ547" s="10" t="s">
        <v>9833</v>
      </c>
      <c r="AK547" s="7" t="s">
        <v>9834</v>
      </c>
      <c r="AL547" s="7" t="s">
        <v>9835</v>
      </c>
      <c r="AM547" s="7" t="s">
        <v>9836</v>
      </c>
      <c r="AN547" s="7"/>
      <c r="AO547" s="7"/>
      <c r="AP547" s="7"/>
      <c r="AQ547" s="7"/>
      <c r="AR547" s="7"/>
      <c r="AS547" s="7"/>
      <c r="AT547" s="7" t="n">
        <v>19994893</v>
      </c>
      <c r="AU547" s="7"/>
      <c r="AV547" s="7"/>
      <c r="AW547" s="7"/>
      <c r="AX547" s="7" t="s">
        <v>9826</v>
      </c>
      <c r="AY547" s="7" t="s">
        <v>75</v>
      </c>
      <c r="AZ547" s="7" t="s">
        <v>127</v>
      </c>
      <c r="BA547" s="7" t="s">
        <v>76</v>
      </c>
      <c r="BB547" s="7" t="s">
        <v>9837</v>
      </c>
      <c r="BC547" s="7"/>
      <c r="BD547" s="7"/>
      <c r="BE547" s="7"/>
      <c r="BF547" s="7"/>
      <c r="BG547" s="7"/>
      <c r="BH547" s="7"/>
      <c r="BI547" s="7"/>
    </row>
    <row r="548" customFormat="false" ht="14.25" hidden="false" customHeight="true" outlineLevel="0" collapsed="false">
      <c r="A548" s="7" t="s">
        <v>9838</v>
      </c>
      <c r="B548" s="7" t="s">
        <v>9839</v>
      </c>
      <c r="C548" s="7" t="s">
        <v>9840</v>
      </c>
      <c r="D548" s="7" t="s">
        <v>9841</v>
      </c>
      <c r="E548" s="7" t="n">
        <v>2021</v>
      </c>
      <c r="F548" s="8" t="s">
        <v>9842</v>
      </c>
      <c r="G548" s="6" t="s">
        <v>290</v>
      </c>
      <c r="H548" s="7"/>
      <c r="I548" s="7"/>
      <c r="J548" s="7"/>
      <c r="K548" s="7"/>
      <c r="L548" s="7"/>
      <c r="M548" s="7"/>
      <c r="N548" s="7"/>
      <c r="O548" s="7"/>
      <c r="P548" s="7" t="s">
        <v>61</v>
      </c>
      <c r="Q548" s="7" t="s">
        <v>62</v>
      </c>
      <c r="R548" s="7" t="s">
        <v>63</v>
      </c>
      <c r="S548" s="7" t="n">
        <v>138</v>
      </c>
      <c r="T548" s="7" t="s">
        <v>64</v>
      </c>
      <c r="U548" s="7"/>
      <c r="V548" s="7" t="n">
        <v>104856</v>
      </c>
      <c r="W548" s="7"/>
      <c r="X548" s="7"/>
      <c r="Y548" s="7"/>
      <c r="Z548" s="7" t="s">
        <v>9843</v>
      </c>
      <c r="AA548" s="9" t="s">
        <v>9844</v>
      </c>
      <c r="AB548" s="7" t="s">
        <v>9845</v>
      </c>
      <c r="AC548" s="7" t="s">
        <v>9846</v>
      </c>
      <c r="AD548" s="7" t="s">
        <v>9847</v>
      </c>
      <c r="AE548" s="7" t="s">
        <v>9848</v>
      </c>
      <c r="AF548" s="7"/>
      <c r="AG548" s="7" t="s">
        <v>9849</v>
      </c>
      <c r="AH548" s="7"/>
      <c r="AI548" s="7"/>
      <c r="AJ548" s="10" t="s">
        <v>9850</v>
      </c>
      <c r="AK548" s="7" t="s">
        <v>9851</v>
      </c>
      <c r="AL548" s="7" t="s">
        <v>9852</v>
      </c>
      <c r="AM548" s="7" t="s">
        <v>9853</v>
      </c>
      <c r="AN548" s="7"/>
      <c r="AO548" s="7"/>
      <c r="AP548" s="7"/>
      <c r="AQ548" s="7"/>
      <c r="AR548" s="7"/>
      <c r="AS548" s="7"/>
      <c r="AT548" s="7" t="n">
        <v>104825</v>
      </c>
      <c r="AU548" s="7"/>
      <c r="AV548" s="7" t="s">
        <v>73</v>
      </c>
      <c r="AW548" s="7" t="n">
        <v>34555571</v>
      </c>
      <c r="AX548" s="7" t="s">
        <v>74</v>
      </c>
      <c r="AY548" s="7" t="s">
        <v>75</v>
      </c>
      <c r="AZ548" s="7"/>
      <c r="BA548" s="7" t="s">
        <v>76</v>
      </c>
      <c r="BB548" s="7" t="s">
        <v>9854</v>
      </c>
      <c r="BC548" s="7"/>
      <c r="BD548" s="7"/>
      <c r="BE548" s="7"/>
      <c r="BF548" s="7"/>
      <c r="BG548" s="7"/>
      <c r="BH548" s="7"/>
      <c r="BI548" s="7"/>
    </row>
    <row r="549" customFormat="false" ht="14.25" hidden="false" customHeight="true" outlineLevel="0" collapsed="false">
      <c r="A549" s="7" t="s">
        <v>9855</v>
      </c>
      <c r="B549" s="7" t="s">
        <v>9856</v>
      </c>
      <c r="C549" s="7" t="s">
        <v>9857</v>
      </c>
      <c r="D549" s="7" t="s">
        <v>9858</v>
      </c>
      <c r="E549" s="7" t="n">
        <v>2021</v>
      </c>
      <c r="F549" s="8" t="s">
        <v>9859</v>
      </c>
      <c r="G549" s="6" t="s">
        <v>149</v>
      </c>
      <c r="H549" s="7"/>
      <c r="I549" s="7"/>
      <c r="J549" s="7"/>
      <c r="K549" s="7"/>
      <c r="L549" s="7"/>
      <c r="M549" s="7"/>
      <c r="N549" s="7"/>
      <c r="O549" s="7"/>
      <c r="P549" s="7" t="s">
        <v>61</v>
      </c>
      <c r="Q549" s="7" t="s">
        <v>62</v>
      </c>
      <c r="R549" s="7" t="s">
        <v>7983</v>
      </c>
      <c r="S549" s="7" t="n">
        <v>22</v>
      </c>
      <c r="T549" s="7" t="s">
        <v>64</v>
      </c>
      <c r="U549" s="7"/>
      <c r="V549" s="7" t="n">
        <v>100508</v>
      </c>
      <c r="W549" s="7"/>
      <c r="X549" s="7"/>
      <c r="Y549" s="7"/>
      <c r="Z549" s="7" t="s">
        <v>9860</v>
      </c>
      <c r="AA549" s="9" t="s">
        <v>9861</v>
      </c>
      <c r="AB549" s="7" t="s">
        <v>9862</v>
      </c>
      <c r="AC549" s="7" t="s">
        <v>9863</v>
      </c>
      <c r="AD549" s="7" t="s">
        <v>9864</v>
      </c>
      <c r="AE549" s="7" t="s">
        <v>9865</v>
      </c>
      <c r="AF549" s="7"/>
      <c r="AG549" s="7"/>
      <c r="AH549" s="7"/>
      <c r="AI549" s="7"/>
      <c r="AJ549" s="10"/>
      <c r="AK549" s="7"/>
      <c r="AL549" s="7" t="s">
        <v>9866</v>
      </c>
      <c r="AM549" s="7" t="s">
        <v>9867</v>
      </c>
      <c r="AN549" s="7"/>
      <c r="AO549" s="7"/>
      <c r="AP549" s="7"/>
      <c r="AQ549" s="7"/>
      <c r="AR549" s="7"/>
      <c r="AS549" s="7"/>
      <c r="AT549" s="7" t="n">
        <v>23529148</v>
      </c>
      <c r="AU549" s="7"/>
      <c r="AV549" s="7"/>
      <c r="AW549" s="7"/>
      <c r="AX549" s="7" t="s">
        <v>7994</v>
      </c>
      <c r="AY549" s="7" t="s">
        <v>75</v>
      </c>
      <c r="AZ549" s="7" t="s">
        <v>127</v>
      </c>
      <c r="BA549" s="7" t="s">
        <v>76</v>
      </c>
      <c r="BB549" s="7" t="s">
        <v>9868</v>
      </c>
      <c r="BC549" s="7"/>
      <c r="BD549" s="7"/>
      <c r="BE549" s="7"/>
      <c r="BF549" s="7"/>
      <c r="BG549" s="7"/>
      <c r="BH549" s="7"/>
      <c r="BI549" s="7"/>
    </row>
    <row r="550" customFormat="false" ht="14.25" hidden="false" customHeight="true" outlineLevel="0" collapsed="false">
      <c r="A550" s="7" t="s">
        <v>9869</v>
      </c>
      <c r="B550" s="7" t="s">
        <v>9870</v>
      </c>
      <c r="C550" s="7" t="s">
        <v>9871</v>
      </c>
      <c r="D550" s="7" t="s">
        <v>9872</v>
      </c>
      <c r="E550" s="7" t="n">
        <v>2021</v>
      </c>
      <c r="F550" s="8" t="s">
        <v>9873</v>
      </c>
      <c r="G550" s="6" t="s">
        <v>134</v>
      </c>
      <c r="H550" s="7"/>
      <c r="I550" s="7"/>
      <c r="J550" s="7"/>
      <c r="K550" s="7"/>
      <c r="L550" s="7"/>
      <c r="M550" s="7"/>
      <c r="N550" s="7"/>
      <c r="O550" s="7"/>
      <c r="P550" s="7" t="s">
        <v>61</v>
      </c>
      <c r="Q550" s="7" t="s">
        <v>62</v>
      </c>
      <c r="R550" s="7" t="s">
        <v>9874</v>
      </c>
      <c r="S550" s="7" t="n">
        <v>10</v>
      </c>
      <c r="T550" s="7" t="s">
        <v>9875</v>
      </c>
      <c r="U550" s="7"/>
      <c r="V550" s="7" t="n">
        <v>75</v>
      </c>
      <c r="W550" s="7"/>
      <c r="X550" s="7"/>
      <c r="Y550" s="7"/>
      <c r="Z550" s="7" t="s">
        <v>9876</v>
      </c>
      <c r="AA550" s="9" t="s">
        <v>9877</v>
      </c>
      <c r="AB550" s="7" t="s">
        <v>9878</v>
      </c>
      <c r="AC550" s="7" t="s">
        <v>9879</v>
      </c>
      <c r="AD550" s="7" t="s">
        <v>9880</v>
      </c>
      <c r="AE550" s="7"/>
      <c r="AF550" s="7"/>
      <c r="AG550" s="7"/>
      <c r="AH550" s="7"/>
      <c r="AI550" s="7"/>
      <c r="AJ550" s="10"/>
      <c r="AK550" s="7"/>
      <c r="AL550" s="7" t="s">
        <v>9881</v>
      </c>
      <c r="AM550" s="7" t="s">
        <v>9882</v>
      </c>
      <c r="AN550" s="7"/>
      <c r="AO550" s="7"/>
      <c r="AP550" s="7"/>
      <c r="AQ550" s="7"/>
      <c r="AR550" s="7"/>
      <c r="AS550" s="7"/>
      <c r="AT550" s="7" t="n">
        <v>26767104</v>
      </c>
      <c r="AU550" s="7"/>
      <c r="AV550" s="7"/>
      <c r="AW550" s="7"/>
      <c r="AX550" s="7" t="s">
        <v>9883</v>
      </c>
      <c r="AY550" s="7" t="s">
        <v>75</v>
      </c>
      <c r="AZ550" s="7" t="s">
        <v>127</v>
      </c>
      <c r="BA550" s="7" t="s">
        <v>76</v>
      </c>
      <c r="BB550" s="7" t="s">
        <v>9884</v>
      </c>
      <c r="BC550" s="7"/>
      <c r="BD550" s="7"/>
      <c r="BE550" s="7"/>
      <c r="BF550" s="7"/>
      <c r="BG550" s="7"/>
      <c r="BH550" s="7"/>
      <c r="BI550" s="7"/>
    </row>
    <row r="551" customFormat="false" ht="14.25" hidden="false" customHeight="true" outlineLevel="0" collapsed="false">
      <c r="A551" s="7" t="s">
        <v>9885</v>
      </c>
      <c r="B551" s="7" t="s">
        <v>9886</v>
      </c>
      <c r="C551" s="7" t="s">
        <v>9887</v>
      </c>
      <c r="D551" s="7" t="s">
        <v>9888</v>
      </c>
      <c r="E551" s="7" t="n">
        <v>2021</v>
      </c>
      <c r="F551" s="8" t="s">
        <v>9889</v>
      </c>
      <c r="G551" s="6" t="s">
        <v>134</v>
      </c>
      <c r="H551" s="7"/>
      <c r="I551" s="7"/>
      <c r="J551" s="7"/>
      <c r="K551" s="7"/>
      <c r="L551" s="7"/>
      <c r="M551" s="7"/>
      <c r="N551" s="7"/>
      <c r="O551" s="7"/>
      <c r="P551" s="7" t="s">
        <v>61</v>
      </c>
      <c r="Q551" s="7" t="s">
        <v>62</v>
      </c>
      <c r="R551" s="7" t="s">
        <v>7484</v>
      </c>
      <c r="S551" s="7" t="n">
        <v>45</v>
      </c>
      <c r="T551" s="7" t="s">
        <v>586</v>
      </c>
      <c r="U551" s="7" t="n">
        <v>2</v>
      </c>
      <c r="V551" s="7"/>
      <c r="W551" s="7" t="n">
        <v>406</v>
      </c>
      <c r="X551" s="7" t="n">
        <v>411</v>
      </c>
      <c r="Y551" s="7" t="n">
        <v>5</v>
      </c>
      <c r="Z551" s="7" t="s">
        <v>9890</v>
      </c>
      <c r="AA551" s="9" t="s">
        <v>9891</v>
      </c>
      <c r="AB551" s="7" t="s">
        <v>9892</v>
      </c>
      <c r="AC551" s="7" t="s">
        <v>9893</v>
      </c>
      <c r="AD551" s="7" t="s">
        <v>9894</v>
      </c>
      <c r="AE551" s="7" t="s">
        <v>9895</v>
      </c>
      <c r="AF551" s="7"/>
      <c r="AG551" s="7"/>
      <c r="AH551" s="7" t="s">
        <v>9896</v>
      </c>
      <c r="AI551" s="7" t="s">
        <v>9897</v>
      </c>
      <c r="AJ551" s="10" t="s">
        <v>9898</v>
      </c>
      <c r="AK551" s="7" t="s">
        <v>9899</v>
      </c>
      <c r="AL551" s="7" t="s">
        <v>9900</v>
      </c>
      <c r="AM551" s="7" t="s">
        <v>9901</v>
      </c>
      <c r="AN551" s="7"/>
      <c r="AO551" s="7"/>
      <c r="AP551" s="7"/>
      <c r="AQ551" s="7"/>
      <c r="AR551" s="7"/>
      <c r="AS551" s="7"/>
      <c r="AT551" s="7" t="n">
        <v>9717196</v>
      </c>
      <c r="AU551" s="7"/>
      <c r="AV551" s="7"/>
      <c r="AW551" s="7"/>
      <c r="AX551" s="7" t="s">
        <v>7493</v>
      </c>
      <c r="AY551" s="7" t="s">
        <v>75</v>
      </c>
      <c r="AZ551" s="7" t="s">
        <v>7961</v>
      </c>
      <c r="BA551" s="7" t="s">
        <v>76</v>
      </c>
      <c r="BB551" s="7" t="s">
        <v>9902</v>
      </c>
      <c r="BC551" s="7"/>
      <c r="BD551" s="7"/>
      <c r="BE551" s="7"/>
      <c r="BF551" s="7"/>
      <c r="BG551" s="7"/>
      <c r="BH551" s="7"/>
      <c r="BI551" s="7"/>
    </row>
    <row r="552" customFormat="false" ht="14.25" hidden="false" customHeight="true" outlineLevel="0" collapsed="false">
      <c r="A552" s="7" t="s">
        <v>9903</v>
      </c>
      <c r="B552" s="7" t="s">
        <v>9904</v>
      </c>
      <c r="C552" s="7" t="s">
        <v>9905</v>
      </c>
      <c r="D552" s="7" t="s">
        <v>9906</v>
      </c>
      <c r="E552" s="7" t="n">
        <v>2021</v>
      </c>
      <c r="F552" s="8" t="s">
        <v>9907</v>
      </c>
      <c r="G552" s="6" t="s">
        <v>290</v>
      </c>
      <c r="H552" s="7"/>
      <c r="I552" s="7"/>
      <c r="J552" s="7"/>
      <c r="K552" s="7"/>
      <c r="L552" s="7"/>
      <c r="M552" s="7"/>
      <c r="N552" s="7"/>
      <c r="O552" s="7"/>
      <c r="P552" s="7" t="s">
        <v>61</v>
      </c>
      <c r="Q552" s="7" t="s">
        <v>62</v>
      </c>
      <c r="R552" s="7" t="s">
        <v>1327</v>
      </c>
      <c r="S552" s="7" t="n">
        <v>12</v>
      </c>
      <c r="T552" s="7" t="s">
        <v>4763</v>
      </c>
      <c r="U552" s="7"/>
      <c r="V552" s="7" t="n">
        <v>610108</v>
      </c>
      <c r="W552" s="7"/>
      <c r="X552" s="7"/>
      <c r="Y552" s="7"/>
      <c r="Z552" s="7" t="s">
        <v>9908</v>
      </c>
      <c r="AA552" s="9" t="s">
        <v>9909</v>
      </c>
      <c r="AB552" s="7" t="s">
        <v>9910</v>
      </c>
      <c r="AC552" s="7" t="s">
        <v>9911</v>
      </c>
      <c r="AD552" s="7" t="s">
        <v>9912</v>
      </c>
      <c r="AE552" s="7" t="s">
        <v>9913</v>
      </c>
      <c r="AF552" s="7"/>
      <c r="AG552" s="7" t="s">
        <v>9914</v>
      </c>
      <c r="AH552" s="7"/>
      <c r="AI552" s="7"/>
      <c r="AJ552" s="10" t="s">
        <v>9915</v>
      </c>
      <c r="AK552" s="7" t="s">
        <v>9916</v>
      </c>
      <c r="AL552" s="7" t="s">
        <v>9917</v>
      </c>
      <c r="AM552" s="7"/>
      <c r="AN552" s="7"/>
      <c r="AO552" s="7"/>
      <c r="AP552" s="7"/>
      <c r="AQ552" s="7"/>
      <c r="AR552" s="7"/>
      <c r="AS552" s="7"/>
      <c r="AT552" s="7" t="n">
        <v>16643224</v>
      </c>
      <c r="AU552" s="7"/>
      <c r="AV552" s="7"/>
      <c r="AW552" s="7" t="n">
        <v>33717094</v>
      </c>
      <c r="AX552" s="7" t="s">
        <v>1340</v>
      </c>
      <c r="AY552" s="7" t="s">
        <v>75</v>
      </c>
      <c r="AZ552" s="7" t="s">
        <v>107</v>
      </c>
      <c r="BA552" s="7" t="s">
        <v>76</v>
      </c>
      <c r="BB552" s="7" t="s">
        <v>9918</v>
      </c>
      <c r="BC552" s="7"/>
      <c r="BD552" s="7"/>
      <c r="BE552" s="7"/>
      <c r="BF552" s="7"/>
      <c r="BG552" s="7"/>
      <c r="BH552" s="7"/>
      <c r="BI552" s="7"/>
    </row>
    <row r="553" customFormat="false" ht="14.25" hidden="false" customHeight="true" outlineLevel="0" collapsed="false">
      <c r="A553" s="7" t="s">
        <v>9919</v>
      </c>
      <c r="B553" s="7" t="s">
        <v>9920</v>
      </c>
      <c r="C553" s="7" t="s">
        <v>9921</v>
      </c>
      <c r="D553" s="7" t="s">
        <v>9922</v>
      </c>
      <c r="E553" s="7" t="n">
        <v>2021</v>
      </c>
      <c r="F553" s="8" t="s">
        <v>9923</v>
      </c>
      <c r="G553" s="6" t="s">
        <v>393</v>
      </c>
      <c r="H553" s="7"/>
      <c r="I553" s="7"/>
      <c r="J553" s="7"/>
      <c r="K553" s="7"/>
      <c r="L553" s="7"/>
      <c r="M553" s="7"/>
      <c r="N553" s="7"/>
      <c r="O553" s="7"/>
      <c r="P553" s="7" t="s">
        <v>61</v>
      </c>
      <c r="Q553" s="7" t="s">
        <v>62</v>
      </c>
      <c r="R553" s="7" t="s">
        <v>9924</v>
      </c>
      <c r="S553" s="7" t="n">
        <v>14</v>
      </c>
      <c r="T553" s="7" t="s">
        <v>9924</v>
      </c>
      <c r="U553" s="7" t="n">
        <v>12</v>
      </c>
      <c r="V553" s="7"/>
      <c r="W553" s="7" t="n">
        <v>6676</v>
      </c>
      <c r="X553" s="7" t="n">
        <v>6680</v>
      </c>
      <c r="Y553" s="7" t="n">
        <v>4</v>
      </c>
      <c r="Z553" s="7" t="s">
        <v>9925</v>
      </c>
      <c r="AA553" s="9" t="s">
        <v>9926</v>
      </c>
      <c r="AB553" s="7" t="s">
        <v>9927</v>
      </c>
      <c r="AC553" s="7" t="s">
        <v>9928</v>
      </c>
      <c r="AD553" s="7" t="s">
        <v>9929</v>
      </c>
      <c r="AE553" s="7" t="s">
        <v>9930</v>
      </c>
      <c r="AF553" s="7"/>
      <c r="AG553" s="7" t="s">
        <v>9931</v>
      </c>
      <c r="AH553" s="7"/>
      <c r="AI553" s="7"/>
      <c r="AJ553" s="10" t="s">
        <v>9932</v>
      </c>
      <c r="AK553" s="7" t="s">
        <v>9933</v>
      </c>
      <c r="AL553" s="7" t="s">
        <v>9934</v>
      </c>
      <c r="AM553" s="7" t="s">
        <v>9935</v>
      </c>
      <c r="AN553" s="7"/>
      <c r="AO553" s="7"/>
      <c r="AP553" s="7"/>
      <c r="AQ553" s="7"/>
      <c r="AR553" s="7"/>
      <c r="AS553" s="7"/>
      <c r="AT553" s="7" t="n">
        <v>9743618</v>
      </c>
      <c r="AU553" s="7"/>
      <c r="AV553" s="7"/>
      <c r="AW553" s="7"/>
      <c r="AX553" s="7" t="s">
        <v>9936</v>
      </c>
      <c r="AY553" s="7" t="s">
        <v>75</v>
      </c>
      <c r="AZ553" s="7"/>
      <c r="BA553" s="7" t="s">
        <v>76</v>
      </c>
      <c r="BB553" s="7" t="s">
        <v>9937</v>
      </c>
      <c r="BC553" s="7"/>
      <c r="BD553" s="7"/>
      <c r="BE553" s="7"/>
      <c r="BF553" s="7"/>
      <c r="BG553" s="7"/>
      <c r="BH553" s="7"/>
      <c r="BI553" s="7"/>
    </row>
    <row r="554" customFormat="false" ht="14.25" hidden="false" customHeight="true" outlineLevel="0" collapsed="false">
      <c r="A554" s="7" t="s">
        <v>9938</v>
      </c>
      <c r="B554" s="7" t="s">
        <v>9939</v>
      </c>
      <c r="C554" s="7" t="s">
        <v>9940</v>
      </c>
      <c r="D554" s="7" t="s">
        <v>9941</v>
      </c>
      <c r="E554" s="7" t="n">
        <v>2021</v>
      </c>
      <c r="F554" s="8" t="s">
        <v>9942</v>
      </c>
      <c r="G554" s="6" t="s">
        <v>3714</v>
      </c>
      <c r="H554" s="7"/>
      <c r="I554" s="7"/>
      <c r="J554" s="7"/>
      <c r="K554" s="7"/>
      <c r="L554" s="7"/>
      <c r="M554" s="7"/>
      <c r="N554" s="7"/>
      <c r="O554" s="7"/>
      <c r="P554" s="7" t="s">
        <v>255</v>
      </c>
      <c r="Q554" s="7" t="s">
        <v>62</v>
      </c>
      <c r="R554" s="7" t="s">
        <v>5139</v>
      </c>
      <c r="S554" s="7" t="n">
        <v>64</v>
      </c>
      <c r="T554" s="7" t="s">
        <v>307</v>
      </c>
      <c r="U554" s="7"/>
      <c r="V554" s="7"/>
      <c r="W554" s="7" t="n">
        <v>241</v>
      </c>
      <c r="X554" s="7" t="n">
        <v>265</v>
      </c>
      <c r="Y554" s="7" t="n">
        <v>24</v>
      </c>
      <c r="Z554" s="7" t="s">
        <v>9943</v>
      </c>
      <c r="AA554" s="9" t="s">
        <v>9944</v>
      </c>
      <c r="AB554" s="7" t="s">
        <v>9945</v>
      </c>
      <c r="AC554" s="7" t="s">
        <v>9946</v>
      </c>
      <c r="AD554" s="7" t="s">
        <v>9947</v>
      </c>
      <c r="AE554" s="7" t="s">
        <v>9948</v>
      </c>
      <c r="AF554" s="7"/>
      <c r="AG554" s="7"/>
      <c r="AH554" s="7"/>
      <c r="AI554" s="7"/>
      <c r="AJ554" s="10"/>
      <c r="AK554" s="7"/>
      <c r="AL554" s="7" t="s">
        <v>9949</v>
      </c>
      <c r="AM554" s="7" t="s">
        <v>9950</v>
      </c>
      <c r="AN554" s="7"/>
      <c r="AO554" s="7"/>
      <c r="AP554" s="7"/>
      <c r="AQ554" s="7"/>
      <c r="AR554" s="7"/>
      <c r="AS554" s="7"/>
      <c r="AT554" s="7" t="n">
        <v>23674512</v>
      </c>
      <c r="AU554" s="7"/>
      <c r="AV554" s="7"/>
      <c r="AW554" s="7"/>
      <c r="AX554" s="7" t="s">
        <v>5148</v>
      </c>
      <c r="AY554" s="7" t="s">
        <v>75</v>
      </c>
      <c r="AZ554" s="7"/>
      <c r="BA554" s="7" t="s">
        <v>76</v>
      </c>
      <c r="BB554" s="7" t="s">
        <v>9951</v>
      </c>
      <c r="BC554" s="7"/>
      <c r="BD554" s="7"/>
      <c r="BE554" s="7"/>
      <c r="BF554" s="7"/>
      <c r="BG554" s="7"/>
      <c r="BH554" s="7"/>
      <c r="BI554" s="7"/>
    </row>
    <row r="555" customFormat="false" ht="14.25" hidden="false" customHeight="true" outlineLevel="0" collapsed="false">
      <c r="A555" s="7" t="s">
        <v>9952</v>
      </c>
      <c r="B555" s="7" t="s">
        <v>9953</v>
      </c>
      <c r="C555" s="7" t="s">
        <v>9954</v>
      </c>
      <c r="D555" s="7" t="s">
        <v>9955</v>
      </c>
      <c r="E555" s="7" t="n">
        <v>2021</v>
      </c>
      <c r="F555" s="8" t="s">
        <v>9956</v>
      </c>
      <c r="G555" s="6" t="s">
        <v>9957</v>
      </c>
      <c r="H555" s="7"/>
      <c r="I555" s="7"/>
      <c r="J555" s="7"/>
      <c r="K555" s="7"/>
      <c r="L555" s="7"/>
      <c r="M555" s="7"/>
      <c r="N555" s="7"/>
      <c r="O555" s="7"/>
      <c r="P555" s="7" t="s">
        <v>255</v>
      </c>
      <c r="Q555" s="7" t="s">
        <v>62</v>
      </c>
      <c r="R555" s="7" t="s">
        <v>5139</v>
      </c>
      <c r="S555" s="7" t="n">
        <v>54</v>
      </c>
      <c r="T555" s="7" t="s">
        <v>307</v>
      </c>
      <c r="U555" s="7"/>
      <c r="V555" s="7"/>
      <c r="W555" s="7" t="n">
        <v>595</v>
      </c>
      <c r="X555" s="7" t="n">
        <v>603</v>
      </c>
      <c r="Y555" s="7" t="n">
        <v>8</v>
      </c>
      <c r="Z555" s="7" t="s">
        <v>9958</v>
      </c>
      <c r="AA555" s="9" t="s">
        <v>9959</v>
      </c>
      <c r="AB555" s="7" t="s">
        <v>9960</v>
      </c>
      <c r="AC555" s="7" t="s">
        <v>9961</v>
      </c>
      <c r="AD555" s="7" t="s">
        <v>9962</v>
      </c>
      <c r="AE555" s="7" t="s">
        <v>9963</v>
      </c>
      <c r="AF555" s="7"/>
      <c r="AG555" s="7"/>
      <c r="AH555" s="7"/>
      <c r="AI555" s="7"/>
      <c r="AJ555" s="10"/>
      <c r="AK555" s="7"/>
      <c r="AL555" s="7" t="s">
        <v>9964</v>
      </c>
      <c r="AM555" s="7" t="s">
        <v>9965</v>
      </c>
      <c r="AN555" s="7"/>
      <c r="AO555" s="7"/>
      <c r="AP555" s="7"/>
      <c r="AQ555" s="7"/>
      <c r="AR555" s="7"/>
      <c r="AS555" s="7"/>
      <c r="AT555" s="7" t="n">
        <v>23674512</v>
      </c>
      <c r="AU555" s="7"/>
      <c r="AV555" s="7"/>
      <c r="AW555" s="7"/>
      <c r="AX555" s="7" t="s">
        <v>5148</v>
      </c>
      <c r="AY555" s="7" t="s">
        <v>75</v>
      </c>
      <c r="AZ555" s="7"/>
      <c r="BA555" s="7" t="s">
        <v>76</v>
      </c>
      <c r="BB555" s="7" t="s">
        <v>9966</v>
      </c>
      <c r="BC555" s="7"/>
      <c r="BD555" s="7"/>
      <c r="BE555" s="7"/>
      <c r="BF555" s="7"/>
      <c r="BG555" s="7"/>
      <c r="BH555" s="7"/>
      <c r="BI555" s="7"/>
    </row>
    <row r="556" customFormat="false" ht="14.25" hidden="false" customHeight="true" outlineLevel="0" collapsed="false">
      <c r="A556" s="7" t="s">
        <v>9967</v>
      </c>
      <c r="B556" s="7" t="s">
        <v>9968</v>
      </c>
      <c r="C556" s="7" t="s">
        <v>9969</v>
      </c>
      <c r="D556" s="7" t="s">
        <v>9970</v>
      </c>
      <c r="E556" s="7" t="n">
        <v>2021</v>
      </c>
      <c r="F556" s="8" t="s">
        <v>9971</v>
      </c>
      <c r="G556" s="6" t="s">
        <v>134</v>
      </c>
      <c r="H556" s="7"/>
      <c r="I556" s="7"/>
      <c r="J556" s="7"/>
      <c r="K556" s="7"/>
      <c r="L556" s="7"/>
      <c r="M556" s="7"/>
      <c r="N556" s="7"/>
      <c r="O556" s="7"/>
      <c r="P556" s="7" t="s">
        <v>255</v>
      </c>
      <c r="Q556" s="7" t="s">
        <v>62</v>
      </c>
      <c r="R556" s="7" t="s">
        <v>9972</v>
      </c>
      <c r="S556" s="7"/>
      <c r="T556" s="7" t="s">
        <v>8248</v>
      </c>
      <c r="U556" s="7"/>
      <c r="V556" s="7"/>
      <c r="W556" s="7" t="n">
        <v>231</v>
      </c>
      <c r="X556" s="7" t="n">
        <v>255</v>
      </c>
      <c r="Y556" s="7" t="n">
        <v>24</v>
      </c>
      <c r="Z556" s="7"/>
      <c r="AA556" s="9" t="s">
        <v>9973</v>
      </c>
      <c r="AB556" s="7" t="s">
        <v>9974</v>
      </c>
      <c r="AC556" s="7" t="s">
        <v>9975</v>
      </c>
      <c r="AD556" s="7"/>
      <c r="AE556" s="7"/>
      <c r="AF556" s="7"/>
      <c r="AG556" s="7"/>
      <c r="AH556" s="7"/>
      <c r="AI556" s="7"/>
      <c r="AJ556" s="10"/>
      <c r="AK556" s="7"/>
      <c r="AL556" s="7" t="s">
        <v>9976</v>
      </c>
      <c r="AM556" s="7" t="s">
        <v>9977</v>
      </c>
      <c r="AN556" s="7"/>
      <c r="AO556" s="7"/>
      <c r="AP556" s="7"/>
      <c r="AQ556" s="7"/>
      <c r="AR556" s="7"/>
      <c r="AS556" s="7"/>
      <c r="AT556" s="7"/>
      <c r="AU556" s="7" t="s">
        <v>9978</v>
      </c>
      <c r="AV556" s="7"/>
      <c r="AW556" s="7"/>
      <c r="AX556" s="7" t="s">
        <v>9979</v>
      </c>
      <c r="AY556" s="7" t="s">
        <v>75</v>
      </c>
      <c r="AZ556" s="7"/>
      <c r="BA556" s="7" t="s">
        <v>76</v>
      </c>
      <c r="BB556" s="7" t="s">
        <v>9980</v>
      </c>
      <c r="BC556" s="7"/>
      <c r="BD556" s="7"/>
      <c r="BE556" s="7"/>
      <c r="BF556" s="7"/>
      <c r="BG556" s="7"/>
      <c r="BH556" s="7"/>
      <c r="BI556" s="7"/>
    </row>
    <row r="557" customFormat="false" ht="14.25" hidden="false" customHeight="true" outlineLevel="0" collapsed="false">
      <c r="A557" s="7" t="s">
        <v>9981</v>
      </c>
      <c r="B557" s="7" t="s">
        <v>9982</v>
      </c>
      <c r="C557" s="7" t="s">
        <v>9983</v>
      </c>
      <c r="D557" s="7" t="s">
        <v>9984</v>
      </c>
      <c r="E557" s="7" t="n">
        <v>2021</v>
      </c>
      <c r="F557" s="8" t="s">
        <v>9985</v>
      </c>
      <c r="G557" s="6" t="s">
        <v>134</v>
      </c>
      <c r="H557" s="7"/>
      <c r="I557" s="7"/>
      <c r="J557" s="7"/>
      <c r="K557" s="7"/>
      <c r="L557" s="7"/>
      <c r="M557" s="7"/>
      <c r="N557" s="7"/>
      <c r="O557" s="7"/>
      <c r="P557" s="7" t="s">
        <v>255</v>
      </c>
      <c r="Q557" s="7" t="s">
        <v>62</v>
      </c>
      <c r="R557" s="7" t="s">
        <v>9986</v>
      </c>
      <c r="S557" s="7" t="n">
        <v>327</v>
      </c>
      <c r="T557" s="7" t="s">
        <v>307</v>
      </c>
      <c r="U557" s="7"/>
      <c r="V557" s="7"/>
      <c r="W557" s="7" t="n">
        <v>111</v>
      </c>
      <c r="X557" s="7" t="n">
        <v>134</v>
      </c>
      <c r="Y557" s="7" t="n">
        <v>23</v>
      </c>
      <c r="Z557" s="7" t="s">
        <v>9987</v>
      </c>
      <c r="AA557" s="9" t="s">
        <v>9988</v>
      </c>
      <c r="AB557" s="7" t="s">
        <v>9989</v>
      </c>
      <c r="AC557" s="7" t="s">
        <v>9990</v>
      </c>
      <c r="AD557" s="7" t="s">
        <v>9991</v>
      </c>
      <c r="AE557" s="7"/>
      <c r="AF557" s="7"/>
      <c r="AG557" s="7"/>
      <c r="AH557" s="7"/>
      <c r="AI557" s="7"/>
      <c r="AJ557" s="10" t="s">
        <v>9992</v>
      </c>
      <c r="AK557" s="7" t="s">
        <v>9993</v>
      </c>
      <c r="AL557" s="7" t="s">
        <v>9994</v>
      </c>
      <c r="AM557" s="7" t="s">
        <v>9995</v>
      </c>
      <c r="AN557" s="7"/>
      <c r="AO557" s="7"/>
      <c r="AP557" s="7"/>
      <c r="AQ557" s="7"/>
      <c r="AR557" s="7"/>
      <c r="AS557" s="7"/>
      <c r="AT557" s="7" t="n">
        <v>21984182</v>
      </c>
      <c r="AU557" s="7"/>
      <c r="AV557" s="7"/>
      <c r="AW557" s="7"/>
      <c r="AX557" s="7" t="s">
        <v>9996</v>
      </c>
      <c r="AY557" s="7" t="s">
        <v>75</v>
      </c>
      <c r="AZ557" s="7"/>
      <c r="BA557" s="7" t="s">
        <v>76</v>
      </c>
      <c r="BB557" s="7" t="s">
        <v>9997</v>
      </c>
      <c r="BC557" s="7"/>
      <c r="BD557" s="7"/>
      <c r="BE557" s="7"/>
      <c r="BF557" s="7"/>
      <c r="BG557" s="7"/>
      <c r="BH557" s="7"/>
      <c r="BI557" s="7"/>
    </row>
    <row r="558" customFormat="false" ht="14.25" hidden="false" customHeight="true" outlineLevel="0" collapsed="false">
      <c r="A558" s="7" t="s">
        <v>9998</v>
      </c>
      <c r="B558" s="7" t="s">
        <v>9999</v>
      </c>
      <c r="C558" s="7" t="s">
        <v>10000</v>
      </c>
      <c r="D558" s="7" t="s">
        <v>10001</v>
      </c>
      <c r="E558" s="7" t="n">
        <v>2021</v>
      </c>
      <c r="F558" s="8" t="s">
        <v>10002</v>
      </c>
      <c r="G558" s="6" t="s">
        <v>134</v>
      </c>
      <c r="H558" s="7"/>
      <c r="I558" s="7"/>
      <c r="J558" s="7"/>
      <c r="K558" s="7"/>
      <c r="L558" s="7"/>
      <c r="M558" s="7"/>
      <c r="N558" s="7"/>
      <c r="O558" s="7"/>
      <c r="P558" s="7" t="s">
        <v>255</v>
      </c>
      <c r="Q558" s="7" t="s">
        <v>62</v>
      </c>
      <c r="R558" s="7" t="s">
        <v>10003</v>
      </c>
      <c r="S558" s="7"/>
      <c r="T558" s="7" t="s">
        <v>10004</v>
      </c>
      <c r="U558" s="7"/>
      <c r="V558" s="7"/>
      <c r="W558" s="7" t="n">
        <v>277</v>
      </c>
      <c r="X558" s="7" t="n">
        <v>306</v>
      </c>
      <c r="Y558" s="7" t="n">
        <v>29</v>
      </c>
      <c r="Z558" s="7" t="s">
        <v>10005</v>
      </c>
      <c r="AA558" s="9" t="s">
        <v>10006</v>
      </c>
      <c r="AB558" s="7" t="s">
        <v>10007</v>
      </c>
      <c r="AC558" s="7" t="s">
        <v>10008</v>
      </c>
      <c r="AD558" s="7" t="s">
        <v>10009</v>
      </c>
      <c r="AE558" s="7"/>
      <c r="AF558" s="7"/>
      <c r="AG558" s="7"/>
      <c r="AH558" s="7"/>
      <c r="AI558" s="7"/>
      <c r="AJ558" s="10"/>
      <c r="AK558" s="7"/>
      <c r="AL558" s="7" t="s">
        <v>10010</v>
      </c>
      <c r="AM558" s="7"/>
      <c r="AN558" s="7"/>
      <c r="AO558" s="7"/>
      <c r="AP558" s="7"/>
      <c r="AQ558" s="7"/>
      <c r="AR558" s="7"/>
      <c r="AS558" s="7"/>
      <c r="AT558" s="7"/>
      <c r="AU558" s="7" t="s">
        <v>10011</v>
      </c>
      <c r="AV558" s="7"/>
      <c r="AW558" s="7"/>
      <c r="AX558" s="7" t="s">
        <v>10012</v>
      </c>
      <c r="AY558" s="7" t="s">
        <v>75</v>
      </c>
      <c r="AZ558" s="7"/>
      <c r="BA558" s="7" t="s">
        <v>76</v>
      </c>
      <c r="BB558" s="7" t="s">
        <v>10013</v>
      </c>
      <c r="BC558" s="7"/>
      <c r="BD558" s="7"/>
      <c r="BE558" s="7"/>
      <c r="BF558" s="7"/>
      <c r="BG558" s="7"/>
      <c r="BH558" s="7"/>
      <c r="BI558" s="7"/>
    </row>
    <row r="559" customFormat="false" ht="14.25" hidden="false" customHeight="true" outlineLevel="0" collapsed="false">
      <c r="A559" s="7" t="s">
        <v>10014</v>
      </c>
      <c r="B559" s="7" t="s">
        <v>10015</v>
      </c>
      <c r="C559" s="7" t="s">
        <v>10016</v>
      </c>
      <c r="D559" s="7" t="s">
        <v>10017</v>
      </c>
      <c r="E559" s="7" t="n">
        <v>2021</v>
      </c>
      <c r="F559" s="8" t="s">
        <v>10018</v>
      </c>
      <c r="G559" s="6" t="s">
        <v>134</v>
      </c>
      <c r="H559" s="7"/>
      <c r="I559" s="7"/>
      <c r="J559" s="7"/>
      <c r="K559" s="7"/>
      <c r="L559" s="7"/>
      <c r="M559" s="7"/>
      <c r="N559" s="7"/>
      <c r="O559" s="7"/>
      <c r="P559" s="7" t="s">
        <v>255</v>
      </c>
      <c r="Q559" s="7" t="s">
        <v>62</v>
      </c>
      <c r="R559" s="7" t="s">
        <v>10019</v>
      </c>
      <c r="S559" s="7"/>
      <c r="T559" s="7" t="s">
        <v>10020</v>
      </c>
      <c r="U559" s="7"/>
      <c r="V559" s="7"/>
      <c r="W559" s="7" t="n">
        <v>187</v>
      </c>
      <c r="X559" s="7" t="n">
        <v>197</v>
      </c>
      <c r="Y559" s="7" t="n">
        <v>10</v>
      </c>
      <c r="Z559" s="7" t="s">
        <v>10021</v>
      </c>
      <c r="AA559" s="9" t="s">
        <v>10022</v>
      </c>
      <c r="AB559" s="7" t="s">
        <v>10023</v>
      </c>
      <c r="AC559" s="7" t="s">
        <v>10024</v>
      </c>
      <c r="AD559" s="7" t="s">
        <v>10025</v>
      </c>
      <c r="AE559" s="7"/>
      <c r="AF559" s="7"/>
      <c r="AG559" s="7"/>
      <c r="AH559" s="7"/>
      <c r="AI559" s="7"/>
      <c r="AJ559" s="10"/>
      <c r="AK559" s="7"/>
      <c r="AL559" s="7" t="s">
        <v>10026</v>
      </c>
      <c r="AM559" s="7" t="s">
        <v>10027</v>
      </c>
      <c r="AN559" s="7"/>
      <c r="AO559" s="7"/>
      <c r="AP559" s="7"/>
      <c r="AQ559" s="7"/>
      <c r="AR559" s="7"/>
      <c r="AS559" s="7"/>
      <c r="AT559" s="7"/>
      <c r="AU559" s="7" t="s">
        <v>10028</v>
      </c>
      <c r="AV559" s="7"/>
      <c r="AW559" s="7"/>
      <c r="AX559" s="7" t="s">
        <v>10029</v>
      </c>
      <c r="AY559" s="7" t="s">
        <v>75</v>
      </c>
      <c r="AZ559" s="7"/>
      <c r="BA559" s="7" t="s">
        <v>76</v>
      </c>
      <c r="BB559" s="7" t="s">
        <v>10030</v>
      </c>
      <c r="BC559" s="7"/>
      <c r="BD559" s="7"/>
      <c r="BE559" s="7"/>
      <c r="BF559" s="7"/>
      <c r="BG559" s="7"/>
      <c r="BH559" s="7"/>
      <c r="BI559" s="7"/>
    </row>
    <row r="560" customFormat="false" ht="14.25" hidden="false" customHeight="true" outlineLevel="0" collapsed="false">
      <c r="A560" s="7" t="s">
        <v>10031</v>
      </c>
      <c r="B560" s="7" t="s">
        <v>10032</v>
      </c>
      <c r="C560" s="7" t="s">
        <v>10033</v>
      </c>
      <c r="D560" s="7" t="s">
        <v>10034</v>
      </c>
      <c r="E560" s="7" t="n">
        <v>2021</v>
      </c>
      <c r="F560" s="8" t="s">
        <v>10035</v>
      </c>
      <c r="G560" s="6" t="s">
        <v>134</v>
      </c>
      <c r="H560" s="7"/>
      <c r="I560" s="7"/>
      <c r="J560" s="7"/>
      <c r="K560" s="7"/>
      <c r="L560" s="7"/>
      <c r="M560" s="7"/>
      <c r="N560" s="7"/>
      <c r="O560" s="7"/>
      <c r="P560" s="7" t="s">
        <v>255</v>
      </c>
      <c r="Q560" s="7" t="s">
        <v>62</v>
      </c>
      <c r="R560" s="7" t="s">
        <v>6407</v>
      </c>
      <c r="S560" s="7" t="n">
        <v>932</v>
      </c>
      <c r="T560" s="7" t="s">
        <v>307</v>
      </c>
      <c r="U560" s="7"/>
      <c r="V560" s="7"/>
      <c r="W560" s="7" t="n">
        <v>19</v>
      </c>
      <c r="X560" s="7" t="n">
        <v>42</v>
      </c>
      <c r="Y560" s="7" t="n">
        <v>23</v>
      </c>
      <c r="Z560" s="7" t="s">
        <v>10036</v>
      </c>
      <c r="AA560" s="9" t="s">
        <v>10037</v>
      </c>
      <c r="AB560" s="7" t="s">
        <v>10038</v>
      </c>
      <c r="AC560" s="7" t="s">
        <v>10039</v>
      </c>
      <c r="AD560" s="7" t="s">
        <v>10040</v>
      </c>
      <c r="AE560" s="7"/>
      <c r="AF560" s="7"/>
      <c r="AG560" s="7"/>
      <c r="AH560" s="7"/>
      <c r="AI560" s="7"/>
      <c r="AJ560" s="10"/>
      <c r="AK560" s="7"/>
      <c r="AL560" s="7" t="s">
        <v>10041</v>
      </c>
      <c r="AM560" s="7" t="s">
        <v>10042</v>
      </c>
      <c r="AN560" s="7"/>
      <c r="AO560" s="7"/>
      <c r="AP560" s="7"/>
      <c r="AQ560" s="7"/>
      <c r="AR560" s="7"/>
      <c r="AS560" s="7"/>
      <c r="AT560" s="7" t="s">
        <v>6418</v>
      </c>
      <c r="AU560" s="7"/>
      <c r="AV560" s="7"/>
      <c r="AW560" s="7"/>
      <c r="AX560" s="7" t="s">
        <v>6420</v>
      </c>
      <c r="AY560" s="7" t="s">
        <v>75</v>
      </c>
      <c r="AZ560" s="7"/>
      <c r="BA560" s="7" t="s">
        <v>76</v>
      </c>
      <c r="BB560" s="7" t="s">
        <v>10043</v>
      </c>
      <c r="BC560" s="7"/>
      <c r="BD560" s="7"/>
      <c r="BE560" s="7"/>
      <c r="BF560" s="7"/>
      <c r="BG560" s="7"/>
      <c r="BH560" s="7"/>
      <c r="BI560" s="7"/>
    </row>
    <row r="561" customFormat="false" ht="14.25" hidden="false" customHeight="true" outlineLevel="0" collapsed="false">
      <c r="A561" s="7" t="s">
        <v>10044</v>
      </c>
      <c r="B561" s="7" t="s">
        <v>10045</v>
      </c>
      <c r="C561" s="7" t="s">
        <v>10046</v>
      </c>
      <c r="D561" s="7" t="s">
        <v>10047</v>
      </c>
      <c r="E561" s="7" t="n">
        <v>2021</v>
      </c>
      <c r="F561" s="8" t="s">
        <v>10048</v>
      </c>
      <c r="G561" s="6" t="s">
        <v>3714</v>
      </c>
      <c r="H561" s="7"/>
      <c r="I561" s="7"/>
      <c r="J561" s="7"/>
      <c r="K561" s="7"/>
      <c r="L561" s="7"/>
      <c r="M561" s="7"/>
      <c r="N561" s="7"/>
      <c r="O561" s="7"/>
      <c r="P561" s="7" t="s">
        <v>255</v>
      </c>
      <c r="Q561" s="7" t="s">
        <v>62</v>
      </c>
      <c r="R561" s="7" t="s">
        <v>10049</v>
      </c>
      <c r="S561" s="7"/>
      <c r="T561" s="7" t="s">
        <v>8233</v>
      </c>
      <c r="U561" s="7"/>
      <c r="V561" s="7"/>
      <c r="W561" s="7" t="n">
        <v>333</v>
      </c>
      <c r="X561" s="7" t="n">
        <v>357</v>
      </c>
      <c r="Y561" s="7" t="n">
        <v>24</v>
      </c>
      <c r="Z561" s="7" t="s">
        <v>10050</v>
      </c>
      <c r="AA561" s="9" t="s">
        <v>10051</v>
      </c>
      <c r="AB561" s="7" t="s">
        <v>10052</v>
      </c>
      <c r="AC561" s="7" t="s">
        <v>10053</v>
      </c>
      <c r="AD561" s="7" t="s">
        <v>10054</v>
      </c>
      <c r="AE561" s="7"/>
      <c r="AF561" s="7"/>
      <c r="AG561" s="7"/>
      <c r="AH561" s="7"/>
      <c r="AI561" s="7"/>
      <c r="AJ561" s="10"/>
      <c r="AK561" s="7"/>
      <c r="AL561" s="7" t="s">
        <v>10055</v>
      </c>
      <c r="AM561" s="7" t="s">
        <v>10056</v>
      </c>
      <c r="AN561" s="7"/>
      <c r="AO561" s="7"/>
      <c r="AP561" s="7"/>
      <c r="AQ561" s="7"/>
      <c r="AR561" s="7"/>
      <c r="AS561" s="7"/>
      <c r="AT561" s="7"/>
      <c r="AU561" s="7" t="s">
        <v>10057</v>
      </c>
      <c r="AV561" s="7"/>
      <c r="AW561" s="7"/>
      <c r="AX561" s="7" t="s">
        <v>10058</v>
      </c>
      <c r="AY561" s="7" t="s">
        <v>75</v>
      </c>
      <c r="AZ561" s="7" t="s">
        <v>4371</v>
      </c>
      <c r="BA561" s="7" t="s">
        <v>76</v>
      </c>
      <c r="BB561" s="7" t="s">
        <v>10059</v>
      </c>
      <c r="BC561" s="7"/>
      <c r="BD561" s="7"/>
      <c r="BE561" s="7"/>
      <c r="BF561" s="7"/>
      <c r="BG561" s="7"/>
      <c r="BH561" s="7"/>
      <c r="BI561" s="7"/>
    </row>
    <row r="562" customFormat="false" ht="14.25" hidden="false" customHeight="true" outlineLevel="0" collapsed="false">
      <c r="A562" s="7" t="s">
        <v>10060</v>
      </c>
      <c r="B562" s="7" t="s">
        <v>10061</v>
      </c>
      <c r="C562" s="7" t="s">
        <v>10062</v>
      </c>
      <c r="D562" s="7" t="s">
        <v>10063</v>
      </c>
      <c r="E562" s="7" t="n">
        <v>2021</v>
      </c>
      <c r="F562" s="8" t="s">
        <v>10064</v>
      </c>
      <c r="G562" s="6" t="s">
        <v>134</v>
      </c>
      <c r="H562" s="7"/>
      <c r="I562" s="7"/>
      <c r="J562" s="7"/>
      <c r="K562" s="7"/>
      <c r="L562" s="7"/>
      <c r="M562" s="7"/>
      <c r="N562" s="7"/>
      <c r="O562" s="7"/>
      <c r="P562" s="7" t="s">
        <v>255</v>
      </c>
      <c r="Q562" s="7" t="s">
        <v>62</v>
      </c>
      <c r="R562" s="7" t="s">
        <v>10065</v>
      </c>
      <c r="S562" s="7"/>
      <c r="T562" s="7" t="s">
        <v>10066</v>
      </c>
      <c r="U562" s="7"/>
      <c r="V562" s="7"/>
      <c r="W562" s="7" t="n">
        <v>437</v>
      </c>
      <c r="X562" s="7" t="n">
        <v>441</v>
      </c>
      <c r="Y562" s="7" t="n">
        <v>4</v>
      </c>
      <c r="Z562" s="7" t="s">
        <v>10067</v>
      </c>
      <c r="AA562" s="9" t="s">
        <v>10068</v>
      </c>
      <c r="AB562" s="7" t="s">
        <v>10069</v>
      </c>
      <c r="AC562" s="7" t="s">
        <v>10070</v>
      </c>
      <c r="AD562" s="7" t="s">
        <v>10071</v>
      </c>
      <c r="AE562" s="7" t="s">
        <v>10072</v>
      </c>
      <c r="AF562" s="7"/>
      <c r="AG562" s="7"/>
      <c r="AH562" s="7"/>
      <c r="AI562" s="7"/>
      <c r="AJ562" s="10"/>
      <c r="AK562" s="7"/>
      <c r="AL562" s="7" t="s">
        <v>10073</v>
      </c>
      <c r="AM562" s="7" t="s">
        <v>10074</v>
      </c>
      <c r="AN562" s="7"/>
      <c r="AO562" s="7"/>
      <c r="AP562" s="7"/>
      <c r="AQ562" s="7"/>
      <c r="AR562" s="7"/>
      <c r="AS562" s="7"/>
      <c r="AT562" s="7"/>
      <c r="AU562" s="7" t="s">
        <v>10075</v>
      </c>
      <c r="AV562" s="7"/>
      <c r="AW562" s="7" t="n">
        <v>34042781</v>
      </c>
      <c r="AX562" s="7" t="s">
        <v>10076</v>
      </c>
      <c r="AY562" s="7" t="s">
        <v>75</v>
      </c>
      <c r="AZ562" s="7" t="s">
        <v>2509</v>
      </c>
      <c r="BA562" s="7" t="s">
        <v>76</v>
      </c>
      <c r="BB562" s="7" t="s">
        <v>10077</v>
      </c>
      <c r="BC562" s="7"/>
      <c r="BD562" s="7"/>
      <c r="BE562" s="7"/>
      <c r="BF562" s="7"/>
      <c r="BG562" s="7"/>
      <c r="BH562" s="7"/>
      <c r="BI562" s="7"/>
    </row>
    <row r="563" customFormat="false" ht="14.25" hidden="false" customHeight="true" outlineLevel="0" collapsed="false">
      <c r="A563" s="7" t="s">
        <v>10078</v>
      </c>
      <c r="B563" s="7" t="s">
        <v>10079</v>
      </c>
      <c r="C563" s="7" t="s">
        <v>10080</v>
      </c>
      <c r="D563" s="7" t="s">
        <v>10081</v>
      </c>
      <c r="E563" s="7" t="n">
        <v>2021</v>
      </c>
      <c r="F563" s="8" t="s">
        <v>10082</v>
      </c>
      <c r="G563" s="6" t="s">
        <v>134</v>
      </c>
      <c r="H563" s="7"/>
      <c r="I563" s="7"/>
      <c r="J563" s="7"/>
      <c r="K563" s="7"/>
      <c r="L563" s="7"/>
      <c r="M563" s="7"/>
      <c r="N563" s="7"/>
      <c r="O563" s="7"/>
      <c r="P563" s="7" t="s">
        <v>255</v>
      </c>
      <c r="Q563" s="7" t="s">
        <v>62</v>
      </c>
      <c r="R563" s="7" t="s">
        <v>10083</v>
      </c>
      <c r="S563" s="7"/>
      <c r="T563" s="7" t="s">
        <v>8233</v>
      </c>
      <c r="U563" s="7"/>
      <c r="V563" s="7"/>
      <c r="W563" s="7" t="n">
        <v>143</v>
      </c>
      <c r="X563" s="7" t="n">
        <v>177</v>
      </c>
      <c r="Y563" s="7" t="n">
        <v>34</v>
      </c>
      <c r="Z563" s="7" t="s">
        <v>10084</v>
      </c>
      <c r="AA563" s="9" t="s">
        <v>10085</v>
      </c>
      <c r="AB563" s="7" t="s">
        <v>10086</v>
      </c>
      <c r="AC563" s="7" t="s">
        <v>10087</v>
      </c>
      <c r="AD563" s="7"/>
      <c r="AE563" s="7"/>
      <c r="AF563" s="7"/>
      <c r="AG563" s="7"/>
      <c r="AH563" s="7"/>
      <c r="AI563" s="7"/>
      <c r="AJ563" s="10"/>
      <c r="AK563" s="7"/>
      <c r="AL563" s="7" t="s">
        <v>10088</v>
      </c>
      <c r="AM563" s="7" t="s">
        <v>10089</v>
      </c>
      <c r="AN563" s="7"/>
      <c r="AO563" s="7"/>
      <c r="AP563" s="7"/>
      <c r="AQ563" s="7"/>
      <c r="AR563" s="7"/>
      <c r="AS563" s="7"/>
      <c r="AT563" s="7"/>
      <c r="AU563" s="7" t="s">
        <v>10090</v>
      </c>
      <c r="AV563" s="7"/>
      <c r="AW563" s="7"/>
      <c r="AX563" s="7" t="s">
        <v>10091</v>
      </c>
      <c r="AY563" s="7" t="s">
        <v>75</v>
      </c>
      <c r="AZ563" s="7"/>
      <c r="BA563" s="7" t="s">
        <v>76</v>
      </c>
      <c r="BB563" s="7" t="s">
        <v>10092</v>
      </c>
      <c r="BC563" s="7"/>
      <c r="BD563" s="7"/>
      <c r="BE563" s="7"/>
      <c r="BF563" s="7"/>
      <c r="BG563" s="7"/>
      <c r="BH563" s="7"/>
      <c r="BI563" s="7"/>
    </row>
    <row r="564" customFormat="false" ht="14.25" hidden="false" customHeight="true" outlineLevel="0" collapsed="false">
      <c r="A564" s="7" t="s">
        <v>10093</v>
      </c>
      <c r="B564" s="7" t="s">
        <v>10094</v>
      </c>
      <c r="C564" s="7" t="s">
        <v>10095</v>
      </c>
      <c r="D564" s="7" t="s">
        <v>10096</v>
      </c>
      <c r="E564" s="7" t="n">
        <v>2021</v>
      </c>
      <c r="F564" s="8" t="s">
        <v>10097</v>
      </c>
      <c r="G564" s="6" t="s">
        <v>134</v>
      </c>
      <c r="H564" s="7"/>
      <c r="I564" s="7"/>
      <c r="J564" s="7"/>
      <c r="K564" s="7"/>
      <c r="L564" s="7"/>
      <c r="M564" s="7"/>
      <c r="N564" s="7"/>
      <c r="O564" s="7"/>
      <c r="P564" s="7" t="s">
        <v>255</v>
      </c>
      <c r="Q564" s="7" t="s">
        <v>62</v>
      </c>
      <c r="R564" s="7" t="s">
        <v>10098</v>
      </c>
      <c r="S564" s="7" t="n">
        <v>39</v>
      </c>
      <c r="T564" s="7" t="s">
        <v>307</v>
      </c>
      <c r="U564" s="7"/>
      <c r="V564" s="7"/>
      <c r="W564" s="7" t="n">
        <v>93</v>
      </c>
      <c r="X564" s="7" t="n">
        <v>109</v>
      </c>
      <c r="Y564" s="7" t="n">
        <v>16</v>
      </c>
      <c r="Z564" s="7" t="s">
        <v>10099</v>
      </c>
      <c r="AA564" s="9" t="s">
        <v>10100</v>
      </c>
      <c r="AB564" s="7" t="s">
        <v>10101</v>
      </c>
      <c r="AC564" s="7" t="s">
        <v>10102</v>
      </c>
      <c r="AD564" s="7" t="s">
        <v>10103</v>
      </c>
      <c r="AE564" s="7" t="s">
        <v>10104</v>
      </c>
      <c r="AF564" s="7"/>
      <c r="AG564" s="7"/>
      <c r="AH564" s="7"/>
      <c r="AI564" s="7"/>
      <c r="AJ564" s="10"/>
      <c r="AK564" s="7"/>
      <c r="AL564" s="7" t="s">
        <v>10105</v>
      </c>
      <c r="AM564" s="7" t="s">
        <v>10106</v>
      </c>
      <c r="AN564" s="7"/>
      <c r="AO564" s="7"/>
      <c r="AP564" s="7"/>
      <c r="AQ564" s="7"/>
      <c r="AR564" s="7"/>
      <c r="AS564" s="7"/>
      <c r="AT564" s="7" t="n">
        <v>21948402</v>
      </c>
      <c r="AU564" s="7"/>
      <c r="AV564" s="7"/>
      <c r="AW564" s="7"/>
      <c r="AX564" s="7" t="s">
        <v>10107</v>
      </c>
      <c r="AY564" s="7" t="s">
        <v>75</v>
      </c>
      <c r="AZ564" s="7"/>
      <c r="BA564" s="7" t="s">
        <v>76</v>
      </c>
      <c r="BB564" s="7" t="s">
        <v>10108</v>
      </c>
      <c r="BC564" s="7"/>
      <c r="BD564" s="7"/>
      <c r="BE564" s="7"/>
      <c r="BF564" s="7"/>
      <c r="BG564" s="7"/>
      <c r="BH564" s="7"/>
      <c r="BI564" s="7"/>
    </row>
    <row r="565" customFormat="false" ht="14.25" hidden="false" customHeight="true" outlineLevel="0" collapsed="false">
      <c r="A565" s="7" t="s">
        <v>10109</v>
      </c>
      <c r="B565" s="7" t="s">
        <v>10110</v>
      </c>
      <c r="C565" s="7" t="s">
        <v>10111</v>
      </c>
      <c r="D565" s="7" t="s">
        <v>10112</v>
      </c>
      <c r="E565" s="7" t="n">
        <v>2021</v>
      </c>
      <c r="F565" s="8" t="s">
        <v>10113</v>
      </c>
      <c r="G565" s="6" t="s">
        <v>134</v>
      </c>
      <c r="H565" s="7"/>
      <c r="I565" s="7"/>
      <c r="J565" s="7"/>
      <c r="K565" s="7"/>
      <c r="L565" s="7"/>
      <c r="M565" s="7"/>
      <c r="N565" s="7"/>
      <c r="O565" s="7"/>
      <c r="P565" s="7" t="s">
        <v>255</v>
      </c>
      <c r="Q565" s="7" t="s">
        <v>62</v>
      </c>
      <c r="R565" s="7" t="s">
        <v>10114</v>
      </c>
      <c r="S565" s="7"/>
      <c r="T565" s="7" t="s">
        <v>10115</v>
      </c>
      <c r="U565" s="7"/>
      <c r="V565" s="7"/>
      <c r="W565" s="7" t="n">
        <v>183</v>
      </c>
      <c r="X565" s="7" t="n">
        <v>215</v>
      </c>
      <c r="Y565" s="7" t="n">
        <v>32</v>
      </c>
      <c r="Z565" s="7" t="s">
        <v>10116</v>
      </c>
      <c r="AA565" s="9" t="s">
        <v>10117</v>
      </c>
      <c r="AB565" s="7" t="s">
        <v>10118</v>
      </c>
      <c r="AC565" s="7" t="s">
        <v>10119</v>
      </c>
      <c r="AD565" s="7" t="s">
        <v>10120</v>
      </c>
      <c r="AE565" s="7"/>
      <c r="AF565" s="7"/>
      <c r="AG565" s="7"/>
      <c r="AH565" s="7"/>
      <c r="AI565" s="7"/>
      <c r="AJ565" s="10"/>
      <c r="AK565" s="7"/>
      <c r="AL565" s="7" t="s">
        <v>10121</v>
      </c>
      <c r="AM565" s="7" t="s">
        <v>10122</v>
      </c>
      <c r="AN565" s="7"/>
      <c r="AO565" s="7"/>
      <c r="AP565" s="7"/>
      <c r="AQ565" s="7"/>
      <c r="AR565" s="7"/>
      <c r="AS565" s="7"/>
      <c r="AT565" s="7"/>
      <c r="AU565" s="7" t="s">
        <v>10123</v>
      </c>
      <c r="AV565" s="7"/>
      <c r="AW565" s="7"/>
      <c r="AX565" s="7" t="s">
        <v>10124</v>
      </c>
      <c r="AY565" s="7" t="s">
        <v>75</v>
      </c>
      <c r="AZ565" s="7"/>
      <c r="BA565" s="7" t="s">
        <v>76</v>
      </c>
      <c r="BB565" s="7" t="s">
        <v>10125</v>
      </c>
      <c r="BC565" s="7"/>
      <c r="BD565" s="7"/>
      <c r="BE565" s="7"/>
      <c r="BF565" s="7"/>
      <c r="BG565" s="7"/>
      <c r="BH565" s="7"/>
      <c r="BI565" s="7"/>
    </row>
    <row r="566" customFormat="false" ht="14.25" hidden="false" customHeight="true" outlineLevel="0" collapsed="false">
      <c r="A566" s="7" t="s">
        <v>10126</v>
      </c>
      <c r="B566" s="7" t="s">
        <v>10127</v>
      </c>
      <c r="C566" s="7" t="s">
        <v>10128</v>
      </c>
      <c r="D566" s="7" t="s">
        <v>10129</v>
      </c>
      <c r="E566" s="7" t="n">
        <v>2021</v>
      </c>
      <c r="F566" s="8" t="s">
        <v>10130</v>
      </c>
      <c r="G566" s="6" t="s">
        <v>10131</v>
      </c>
      <c r="H566" s="7"/>
      <c r="I566" s="7"/>
      <c r="J566" s="7"/>
      <c r="K566" s="7"/>
      <c r="L566" s="7"/>
      <c r="M566" s="7"/>
      <c r="N566" s="7"/>
      <c r="O566" s="7"/>
      <c r="P566" s="7" t="s">
        <v>255</v>
      </c>
      <c r="Q566" s="7" t="s">
        <v>62</v>
      </c>
      <c r="R566" s="7" t="s">
        <v>10132</v>
      </c>
      <c r="S566" s="7"/>
      <c r="T566" s="7" t="s">
        <v>307</v>
      </c>
      <c r="U566" s="7"/>
      <c r="V566" s="7"/>
      <c r="W566" s="7" t="n">
        <v>227</v>
      </c>
      <c r="X566" s="7" t="n">
        <v>241</v>
      </c>
      <c r="Y566" s="7" t="n">
        <v>14</v>
      </c>
      <c r="Z566" s="7" t="s">
        <v>10133</v>
      </c>
      <c r="AA566" s="9" t="s">
        <v>10134</v>
      </c>
      <c r="AB566" s="7" t="s">
        <v>10135</v>
      </c>
      <c r="AC566" s="7" t="s">
        <v>10136</v>
      </c>
      <c r="AD566" s="7" t="s">
        <v>10137</v>
      </c>
      <c r="AE566" s="7" t="s">
        <v>10138</v>
      </c>
      <c r="AF566" s="7"/>
      <c r="AG566" s="7"/>
      <c r="AH566" s="7"/>
      <c r="AI566" s="7"/>
      <c r="AJ566" s="10"/>
      <c r="AK566" s="7"/>
      <c r="AL566" s="7" t="s">
        <v>10139</v>
      </c>
      <c r="AM566" s="7" t="s">
        <v>10140</v>
      </c>
      <c r="AN566" s="7"/>
      <c r="AO566" s="7"/>
      <c r="AP566" s="7"/>
      <c r="AQ566" s="7"/>
      <c r="AR566" s="7"/>
      <c r="AS566" s="7"/>
      <c r="AT566" s="7" t="n">
        <v>25228595</v>
      </c>
      <c r="AU566" s="7"/>
      <c r="AV566" s="7"/>
      <c r="AW566" s="7"/>
      <c r="AX566" s="7" t="s">
        <v>10141</v>
      </c>
      <c r="AY566" s="7" t="s">
        <v>75</v>
      </c>
      <c r="AZ566" s="7"/>
      <c r="BA566" s="7" t="s">
        <v>76</v>
      </c>
      <c r="BB566" s="7" t="s">
        <v>10142</v>
      </c>
      <c r="BC566" s="7"/>
      <c r="BD566" s="7"/>
      <c r="BE566" s="7"/>
      <c r="BF566" s="7"/>
      <c r="BG566" s="7"/>
      <c r="BH566" s="7"/>
      <c r="BI566" s="7"/>
    </row>
    <row r="567" customFormat="false" ht="14.25" hidden="false" customHeight="true" outlineLevel="0" collapsed="false">
      <c r="A567" s="7" t="s">
        <v>10143</v>
      </c>
      <c r="B567" s="7" t="s">
        <v>10144</v>
      </c>
      <c r="C567" s="7" t="s">
        <v>10145</v>
      </c>
      <c r="D567" s="7" t="s">
        <v>10146</v>
      </c>
      <c r="E567" s="7" t="n">
        <v>2021</v>
      </c>
      <c r="F567" s="8" t="s">
        <v>10147</v>
      </c>
      <c r="G567" s="6" t="s">
        <v>134</v>
      </c>
      <c r="H567" s="7"/>
      <c r="I567" s="7"/>
      <c r="J567" s="7"/>
      <c r="K567" s="7"/>
      <c r="L567" s="7"/>
      <c r="M567" s="7"/>
      <c r="N567" s="7"/>
      <c r="O567" s="7"/>
      <c r="P567" s="7" t="s">
        <v>304</v>
      </c>
      <c r="Q567" s="7" t="s">
        <v>62</v>
      </c>
      <c r="R567" s="7" t="s">
        <v>10148</v>
      </c>
      <c r="S567" s="7" t="n">
        <v>1280</v>
      </c>
      <c r="T567" s="7" t="s">
        <v>307</v>
      </c>
      <c r="U567" s="7"/>
      <c r="V567" s="7"/>
      <c r="W567" s="7" t="n">
        <v>1</v>
      </c>
      <c r="X567" s="7" t="n">
        <v>18</v>
      </c>
      <c r="Y567" s="7" t="n">
        <v>17</v>
      </c>
      <c r="Z567" s="7" t="s">
        <v>10149</v>
      </c>
      <c r="AA567" s="9" t="s">
        <v>10150</v>
      </c>
      <c r="AB567" s="7" t="s">
        <v>10151</v>
      </c>
      <c r="AC567" s="7" t="s">
        <v>10152</v>
      </c>
      <c r="AD567" s="7" t="s">
        <v>10153</v>
      </c>
      <c r="AE567" s="7" t="s">
        <v>10154</v>
      </c>
      <c r="AF567" s="7"/>
      <c r="AG567" s="7"/>
      <c r="AH567" s="7"/>
      <c r="AI567" s="7"/>
      <c r="AJ567" s="10"/>
      <c r="AK567" s="7"/>
      <c r="AL567" s="7" t="s">
        <v>10155</v>
      </c>
      <c r="AM567" s="7" t="s">
        <v>10156</v>
      </c>
      <c r="AN567" s="7" t="s">
        <v>10157</v>
      </c>
      <c r="AO567" s="7"/>
      <c r="AP567" s="7" t="s">
        <v>10158</v>
      </c>
      <c r="AQ567" s="7" t="s">
        <v>10159</v>
      </c>
      <c r="AR567" s="7" t="s">
        <v>10160</v>
      </c>
      <c r="AS567" s="7" t="n">
        <v>254739</v>
      </c>
      <c r="AT567" s="7" t="n">
        <v>21945357</v>
      </c>
      <c r="AU567" s="7" t="s">
        <v>10161</v>
      </c>
      <c r="AV567" s="7"/>
      <c r="AW567" s="7"/>
      <c r="AX567" s="7" t="s">
        <v>10162</v>
      </c>
      <c r="AY567" s="7" t="s">
        <v>75</v>
      </c>
      <c r="AZ567" s="7"/>
      <c r="BA567" s="7" t="s">
        <v>76</v>
      </c>
      <c r="BB567" s="7" t="s">
        <v>10163</v>
      </c>
      <c r="BC567" s="7"/>
      <c r="BD567" s="7"/>
      <c r="BE567" s="7"/>
      <c r="BF567" s="7"/>
      <c r="BG567" s="7"/>
      <c r="BH567" s="7"/>
      <c r="BI567" s="7"/>
    </row>
    <row r="568" customFormat="false" ht="14.25" hidden="false" customHeight="true" outlineLevel="0" collapsed="false">
      <c r="A568" s="7" t="s">
        <v>10164</v>
      </c>
      <c r="B568" s="7" t="s">
        <v>10165</v>
      </c>
      <c r="C568" s="7" t="s">
        <v>10166</v>
      </c>
      <c r="D568" s="7" t="s">
        <v>10167</v>
      </c>
      <c r="E568" s="7" t="n">
        <v>2021</v>
      </c>
      <c r="F568" s="8" t="s">
        <v>10168</v>
      </c>
      <c r="G568" s="6" t="s">
        <v>134</v>
      </c>
      <c r="H568" s="7"/>
      <c r="I568" s="7"/>
      <c r="J568" s="7"/>
      <c r="K568" s="7"/>
      <c r="L568" s="7"/>
      <c r="M568" s="7"/>
      <c r="N568" s="7"/>
      <c r="O568" s="7"/>
      <c r="P568" s="7" t="s">
        <v>304</v>
      </c>
      <c r="Q568" s="7" t="s">
        <v>62</v>
      </c>
      <c r="R568" s="7" t="s">
        <v>10169</v>
      </c>
      <c r="S568" s="7"/>
      <c r="T568" s="7" t="s">
        <v>187</v>
      </c>
      <c r="U568" s="7"/>
      <c r="V568" s="7"/>
      <c r="W568" s="7" t="n">
        <v>510</v>
      </c>
      <c r="X568" s="7" t="n">
        <v>514</v>
      </c>
      <c r="Y568" s="7" t="n">
        <v>4</v>
      </c>
      <c r="Z568" s="7" t="s">
        <v>10170</v>
      </c>
      <c r="AA568" s="9" t="s">
        <v>10171</v>
      </c>
      <c r="AB568" s="7" t="s">
        <v>10172</v>
      </c>
      <c r="AC568" s="7" t="s">
        <v>10173</v>
      </c>
      <c r="AD568" s="7" t="s">
        <v>10174</v>
      </c>
      <c r="AE568" s="7" t="s">
        <v>10175</v>
      </c>
      <c r="AF568" s="7"/>
      <c r="AG568" s="7"/>
      <c r="AH568" s="7"/>
      <c r="AI568" s="7"/>
      <c r="AJ568" s="10"/>
      <c r="AK568" s="7"/>
      <c r="AL568" s="7" t="s">
        <v>10176</v>
      </c>
      <c r="AM568" s="7"/>
      <c r="AN568" s="7" t="s">
        <v>10177</v>
      </c>
      <c r="AO568" s="7" t="s">
        <v>10178</v>
      </c>
      <c r="AP568" s="7" t="s">
        <v>10179</v>
      </c>
      <c r="AQ568" s="7" t="s">
        <v>10180</v>
      </c>
      <c r="AR568" s="7" t="s">
        <v>10181</v>
      </c>
      <c r="AS568" s="7" t="n">
        <v>176802</v>
      </c>
      <c r="AT568" s="7"/>
      <c r="AU568" s="7" t="s">
        <v>10182</v>
      </c>
      <c r="AV568" s="7"/>
      <c r="AW568" s="7"/>
      <c r="AX568" s="7" t="s">
        <v>10183</v>
      </c>
      <c r="AY568" s="7" t="s">
        <v>75</v>
      </c>
      <c r="AZ568" s="7"/>
      <c r="BA568" s="7" t="s">
        <v>76</v>
      </c>
      <c r="BB568" s="7" t="s">
        <v>10184</v>
      </c>
      <c r="BC568" s="7"/>
      <c r="BD568" s="7"/>
      <c r="BE568" s="7"/>
      <c r="BF568" s="7"/>
      <c r="BG568" s="7"/>
      <c r="BH568" s="7"/>
      <c r="BI568" s="7"/>
    </row>
    <row r="569" customFormat="false" ht="14.25" hidden="false" customHeight="true" outlineLevel="0" collapsed="false">
      <c r="A569" s="7" t="s">
        <v>10185</v>
      </c>
      <c r="B569" s="7" t="s">
        <v>10186</v>
      </c>
      <c r="C569" s="7" t="s">
        <v>10187</v>
      </c>
      <c r="D569" s="7" t="s">
        <v>10188</v>
      </c>
      <c r="E569" s="7" t="n">
        <v>2021</v>
      </c>
      <c r="F569" s="8" t="s">
        <v>10189</v>
      </c>
      <c r="G569" s="6" t="s">
        <v>149</v>
      </c>
      <c r="H569" s="7"/>
      <c r="I569" s="7"/>
      <c r="J569" s="7"/>
      <c r="K569" s="7"/>
      <c r="L569" s="7"/>
      <c r="M569" s="7"/>
      <c r="N569" s="7"/>
      <c r="O569" s="7"/>
      <c r="P569" s="7" t="s">
        <v>304</v>
      </c>
      <c r="Q569" s="7" t="s">
        <v>62</v>
      </c>
      <c r="R569" s="7" t="s">
        <v>10190</v>
      </c>
      <c r="S569" s="7"/>
      <c r="T569" s="7" t="s">
        <v>187</v>
      </c>
      <c r="U569" s="7"/>
      <c r="V569" s="7"/>
      <c r="W569" s="7" t="n">
        <v>1043</v>
      </c>
      <c r="X569" s="7" t="n">
        <v>1047</v>
      </c>
      <c r="Y569" s="7" t="n">
        <v>4</v>
      </c>
      <c r="Z569" s="7" t="s">
        <v>10191</v>
      </c>
      <c r="AA569" s="9" t="s">
        <v>10192</v>
      </c>
      <c r="AB569" s="7" t="s">
        <v>10193</v>
      </c>
      <c r="AC569" s="7" t="s">
        <v>10194</v>
      </c>
      <c r="AD569" s="7" t="s">
        <v>10195</v>
      </c>
      <c r="AE569" s="7" t="s">
        <v>10196</v>
      </c>
      <c r="AF569" s="7"/>
      <c r="AG569" s="7"/>
      <c r="AH569" s="7"/>
      <c r="AI569" s="7"/>
      <c r="AJ569" s="10"/>
      <c r="AK569" s="7"/>
      <c r="AL569" s="7" t="s">
        <v>10197</v>
      </c>
      <c r="AM569" s="7"/>
      <c r="AN569" s="7"/>
      <c r="AO569" s="7"/>
      <c r="AP569" s="7" t="s">
        <v>10198</v>
      </c>
      <c r="AQ569" s="7" t="s">
        <v>10199</v>
      </c>
      <c r="AR569" s="7" t="s">
        <v>2584</v>
      </c>
      <c r="AS569" s="7" t="n">
        <v>172137</v>
      </c>
      <c r="AT569" s="7"/>
      <c r="AU569" s="7" t="s">
        <v>10200</v>
      </c>
      <c r="AV569" s="7"/>
      <c r="AW569" s="7"/>
      <c r="AX569" s="7" t="s">
        <v>10201</v>
      </c>
      <c r="AY569" s="7" t="s">
        <v>75</v>
      </c>
      <c r="AZ569" s="7"/>
      <c r="BA569" s="7" t="s">
        <v>76</v>
      </c>
      <c r="BB569" s="7" t="s">
        <v>10202</v>
      </c>
      <c r="BC569" s="7"/>
      <c r="BD569" s="7"/>
      <c r="BE569" s="7"/>
      <c r="BF569" s="7"/>
      <c r="BG569" s="7"/>
      <c r="BH569" s="7"/>
      <c r="BI569" s="7"/>
    </row>
    <row r="570" customFormat="false" ht="14.25" hidden="false" customHeight="true" outlineLevel="0" collapsed="false">
      <c r="A570" s="7" t="s">
        <v>10203</v>
      </c>
      <c r="B570" s="7" t="s">
        <v>10204</v>
      </c>
      <c r="C570" s="7" t="s">
        <v>10205</v>
      </c>
      <c r="D570" s="6" t="s">
        <v>10206</v>
      </c>
      <c r="E570" s="7" t="n">
        <v>2021</v>
      </c>
      <c r="F570" s="8" t="s">
        <v>10207</v>
      </c>
      <c r="G570" s="6" t="s">
        <v>134</v>
      </c>
      <c r="H570" s="7"/>
      <c r="I570" s="7"/>
      <c r="J570" s="7"/>
      <c r="K570" s="7"/>
      <c r="L570" s="7"/>
      <c r="M570" s="7"/>
      <c r="N570" s="7"/>
      <c r="O570" s="7"/>
      <c r="P570" s="7" t="s">
        <v>304</v>
      </c>
      <c r="Q570" s="7" t="s">
        <v>62</v>
      </c>
      <c r="R570" s="7" t="s">
        <v>5757</v>
      </c>
      <c r="S570" s="7" t="n">
        <v>1767</v>
      </c>
      <c r="T570" s="7" t="s">
        <v>9087</v>
      </c>
      <c r="U570" s="7" t="n">
        <v>1</v>
      </c>
      <c r="V570" s="7" t="n">
        <v>12038</v>
      </c>
      <c r="W570" s="7"/>
      <c r="X570" s="7"/>
      <c r="Y570" s="7"/>
      <c r="Z570" s="7" t="s">
        <v>10208</v>
      </c>
      <c r="AA570" s="9" t="s">
        <v>10209</v>
      </c>
      <c r="AB570" s="7" t="s">
        <v>10210</v>
      </c>
      <c r="AC570" s="7" t="s">
        <v>10211</v>
      </c>
      <c r="AD570" s="7"/>
      <c r="AE570" s="7" t="s">
        <v>10212</v>
      </c>
      <c r="AF570" s="7"/>
      <c r="AG570" s="7"/>
      <c r="AH570" s="7"/>
      <c r="AI570" s="7"/>
      <c r="AJ570" s="10"/>
      <c r="AK570" s="7"/>
      <c r="AL570" s="7" t="s">
        <v>10213</v>
      </c>
      <c r="AM570" s="7"/>
      <c r="AN570" s="7" t="s">
        <v>10214</v>
      </c>
      <c r="AO570" s="7" t="s">
        <v>10215</v>
      </c>
      <c r="AP570" s="7" t="s">
        <v>10216</v>
      </c>
      <c r="AQ570" s="7" t="s">
        <v>10217</v>
      </c>
      <c r="AR570" s="7" t="s">
        <v>10218</v>
      </c>
      <c r="AS570" s="7" t="n">
        <v>167293</v>
      </c>
      <c r="AT570" s="7" t="n">
        <v>17426588</v>
      </c>
      <c r="AU570" s="7"/>
      <c r="AV570" s="7"/>
      <c r="AW570" s="7"/>
      <c r="AX570" s="7" t="s">
        <v>5771</v>
      </c>
      <c r="AY570" s="7" t="s">
        <v>75</v>
      </c>
      <c r="AZ570" s="7" t="s">
        <v>127</v>
      </c>
      <c r="BA570" s="7" t="s">
        <v>76</v>
      </c>
      <c r="BB570" s="7" t="s">
        <v>10219</v>
      </c>
      <c r="BC570" s="7"/>
      <c r="BD570" s="7"/>
      <c r="BE570" s="7"/>
      <c r="BF570" s="7"/>
      <c r="BG570" s="7"/>
      <c r="BH570" s="7"/>
      <c r="BI570" s="7"/>
    </row>
    <row r="571" customFormat="false" ht="14.25" hidden="false" customHeight="true" outlineLevel="0" collapsed="false">
      <c r="A571" s="7" t="s">
        <v>10220</v>
      </c>
      <c r="B571" s="7" t="s">
        <v>10221</v>
      </c>
      <c r="C571" s="7" t="s">
        <v>10222</v>
      </c>
      <c r="D571" s="7" t="s">
        <v>10223</v>
      </c>
      <c r="E571" s="7" t="n">
        <v>2021</v>
      </c>
      <c r="F571" s="8" t="s">
        <v>10224</v>
      </c>
      <c r="G571" s="6" t="s">
        <v>149</v>
      </c>
      <c r="H571" s="7"/>
      <c r="I571" s="7"/>
      <c r="J571" s="7"/>
      <c r="K571" s="7"/>
      <c r="L571" s="7"/>
      <c r="M571" s="7"/>
      <c r="N571" s="7"/>
      <c r="O571" s="7"/>
      <c r="P571" s="7" t="s">
        <v>304</v>
      </c>
      <c r="Q571" s="7" t="s">
        <v>62</v>
      </c>
      <c r="R571" s="7" t="s">
        <v>10225</v>
      </c>
      <c r="S571" s="7"/>
      <c r="T571" s="7" t="s">
        <v>10226</v>
      </c>
      <c r="U571" s="7"/>
      <c r="V571" s="7"/>
      <c r="W571" s="7" t="n">
        <v>37</v>
      </c>
      <c r="X571" s="7" t="n">
        <v>42</v>
      </c>
      <c r="Y571" s="7" t="n">
        <v>5</v>
      </c>
      <c r="Z571" s="7" t="s">
        <v>10227</v>
      </c>
      <c r="AA571" s="9" t="s">
        <v>10228</v>
      </c>
      <c r="AB571" s="7" t="s">
        <v>10229</v>
      </c>
      <c r="AC571" s="7" t="s">
        <v>10230</v>
      </c>
      <c r="AD571" s="7" t="s">
        <v>10231</v>
      </c>
      <c r="AE571" s="7" t="s">
        <v>10232</v>
      </c>
      <c r="AF571" s="7"/>
      <c r="AG571" s="7"/>
      <c r="AH571" s="7"/>
      <c r="AI571" s="7"/>
      <c r="AJ571" s="10" t="s">
        <v>10233</v>
      </c>
      <c r="AK571" s="7" t="s">
        <v>10234</v>
      </c>
      <c r="AL571" s="7" t="s">
        <v>10235</v>
      </c>
      <c r="AM571" s="7"/>
      <c r="AN571" s="7"/>
      <c r="AO571" s="7" t="s">
        <v>10236</v>
      </c>
      <c r="AP571" s="7" t="s">
        <v>10237</v>
      </c>
      <c r="AQ571" s="7" t="s">
        <v>10238</v>
      </c>
      <c r="AR571" s="7" t="s">
        <v>3868</v>
      </c>
      <c r="AS571" s="7" t="n">
        <v>171674</v>
      </c>
      <c r="AT571" s="7"/>
      <c r="AU571" s="7" t="s">
        <v>10239</v>
      </c>
      <c r="AV571" s="7"/>
      <c r="AW571" s="7"/>
      <c r="AX571" s="7" t="s">
        <v>10240</v>
      </c>
      <c r="AY571" s="7" t="s">
        <v>75</v>
      </c>
      <c r="AZ571" s="7"/>
      <c r="BA571" s="7" t="s">
        <v>76</v>
      </c>
      <c r="BB571" s="7" t="s">
        <v>10241</v>
      </c>
      <c r="BC571" s="7"/>
      <c r="BD571" s="7"/>
      <c r="BE571" s="7"/>
      <c r="BF571" s="7"/>
      <c r="BG571" s="7"/>
      <c r="BH571" s="7"/>
      <c r="BI571" s="7"/>
    </row>
    <row r="572" customFormat="false" ht="14.25" hidden="false" customHeight="true" outlineLevel="0" collapsed="false">
      <c r="A572" s="7" t="s">
        <v>10242</v>
      </c>
      <c r="B572" s="7" t="s">
        <v>10243</v>
      </c>
      <c r="C572" s="7" t="s">
        <v>10244</v>
      </c>
      <c r="D572" s="7" t="s">
        <v>10245</v>
      </c>
      <c r="E572" s="7" t="n">
        <v>2021</v>
      </c>
      <c r="F572" s="8" t="s">
        <v>10246</v>
      </c>
      <c r="G572" s="6" t="s">
        <v>10131</v>
      </c>
      <c r="H572" s="7"/>
      <c r="I572" s="7"/>
      <c r="J572" s="7"/>
      <c r="K572" s="7"/>
      <c r="L572" s="7"/>
      <c r="M572" s="7"/>
      <c r="N572" s="7"/>
      <c r="O572" s="7"/>
      <c r="P572" s="7" t="s">
        <v>304</v>
      </c>
      <c r="Q572" s="7" t="s">
        <v>62</v>
      </c>
      <c r="R572" s="7" t="s">
        <v>10247</v>
      </c>
      <c r="S572" s="7"/>
      <c r="T572" s="7" t="s">
        <v>187</v>
      </c>
      <c r="U572" s="7"/>
      <c r="V572" s="7"/>
      <c r="W572" s="7" t="n">
        <v>60</v>
      </c>
      <c r="X572" s="7" t="n">
        <v>65</v>
      </c>
      <c r="Y572" s="7" t="n">
        <v>5</v>
      </c>
      <c r="Z572" s="7" t="s">
        <v>10248</v>
      </c>
      <c r="AA572" s="9" t="s">
        <v>10249</v>
      </c>
      <c r="AB572" s="7" t="s">
        <v>10250</v>
      </c>
      <c r="AC572" s="7" t="s">
        <v>10251</v>
      </c>
      <c r="AD572" s="7" t="s">
        <v>10252</v>
      </c>
      <c r="AE572" s="7" t="s">
        <v>10253</v>
      </c>
      <c r="AF572" s="7"/>
      <c r="AG572" s="7"/>
      <c r="AH572" s="7"/>
      <c r="AI572" s="7"/>
      <c r="AJ572" s="10"/>
      <c r="AK572" s="7"/>
      <c r="AL572" s="7" t="s">
        <v>10254</v>
      </c>
      <c r="AM572" s="7"/>
      <c r="AN572" s="7" t="s">
        <v>10255</v>
      </c>
      <c r="AO572" s="7"/>
      <c r="AP572" s="7" t="s">
        <v>10256</v>
      </c>
      <c r="AQ572" s="7" t="s">
        <v>10257</v>
      </c>
      <c r="AR572" s="7" t="s">
        <v>3435</v>
      </c>
      <c r="AS572" s="7" t="n">
        <v>177627</v>
      </c>
      <c r="AT572" s="7"/>
      <c r="AU572" s="7" t="s">
        <v>10258</v>
      </c>
      <c r="AV572" s="7"/>
      <c r="AW572" s="7"/>
      <c r="AX572" s="7" t="s">
        <v>10259</v>
      </c>
      <c r="AY572" s="7" t="s">
        <v>75</v>
      </c>
      <c r="AZ572" s="7"/>
      <c r="BA572" s="7" t="s">
        <v>76</v>
      </c>
      <c r="BB572" s="7" t="s">
        <v>10260</v>
      </c>
      <c r="BC572" s="7"/>
      <c r="BD572" s="7"/>
      <c r="BE572" s="7"/>
      <c r="BF572" s="7"/>
      <c r="BG572" s="7"/>
      <c r="BH572" s="7"/>
      <c r="BI572" s="7"/>
    </row>
    <row r="573" customFormat="false" ht="14.25" hidden="false" customHeight="true" outlineLevel="0" collapsed="false">
      <c r="A573" s="7" t="s">
        <v>10261</v>
      </c>
      <c r="B573" s="7" t="s">
        <v>10262</v>
      </c>
      <c r="C573" s="7" t="s">
        <v>10263</v>
      </c>
      <c r="D573" s="7" t="s">
        <v>10264</v>
      </c>
      <c r="E573" s="7" t="n">
        <v>2021</v>
      </c>
      <c r="F573" s="8" t="s">
        <v>10265</v>
      </c>
      <c r="G573" s="6" t="s">
        <v>134</v>
      </c>
      <c r="H573" s="7"/>
      <c r="I573" s="7"/>
      <c r="J573" s="7"/>
      <c r="K573" s="7"/>
      <c r="L573" s="7"/>
      <c r="M573" s="7"/>
      <c r="N573" s="7"/>
      <c r="O573" s="7"/>
      <c r="P573" s="7" t="s">
        <v>304</v>
      </c>
      <c r="Q573" s="7" t="s">
        <v>62</v>
      </c>
      <c r="R573" s="7" t="s">
        <v>10266</v>
      </c>
      <c r="S573" s="7"/>
      <c r="T573" s="7" t="s">
        <v>187</v>
      </c>
      <c r="U573" s="7"/>
      <c r="V573" s="7"/>
      <c r="W573" s="7" t="n">
        <v>79</v>
      </c>
      <c r="X573" s="7" t="n">
        <v>82</v>
      </c>
      <c r="Y573" s="7" t="n">
        <v>3</v>
      </c>
      <c r="Z573" s="7" t="s">
        <v>10267</v>
      </c>
      <c r="AA573" s="9" t="s">
        <v>10268</v>
      </c>
      <c r="AB573" s="7" t="s">
        <v>10269</v>
      </c>
      <c r="AC573" s="7" t="s">
        <v>10270</v>
      </c>
      <c r="AD573" s="7" t="s">
        <v>10271</v>
      </c>
      <c r="AE573" s="7" t="s">
        <v>10272</v>
      </c>
      <c r="AF573" s="7"/>
      <c r="AG573" s="7"/>
      <c r="AH573" s="7"/>
      <c r="AI573" s="7"/>
      <c r="AJ573" s="10"/>
      <c r="AK573" s="7"/>
      <c r="AL573" s="7" t="s">
        <v>10273</v>
      </c>
      <c r="AM573" s="7"/>
      <c r="AN573" s="7"/>
      <c r="AO573" s="7"/>
      <c r="AP573" s="7" t="s">
        <v>10274</v>
      </c>
      <c r="AQ573" s="7" t="s">
        <v>10275</v>
      </c>
      <c r="AR573" s="7" t="s">
        <v>363</v>
      </c>
      <c r="AS573" s="7" t="n">
        <v>181132</v>
      </c>
      <c r="AT573" s="7"/>
      <c r="AU573" s="7" t="s">
        <v>10276</v>
      </c>
      <c r="AV573" s="7"/>
      <c r="AW573" s="7"/>
      <c r="AX573" s="7" t="s">
        <v>10277</v>
      </c>
      <c r="AY573" s="7" t="s">
        <v>75</v>
      </c>
      <c r="AZ573" s="7"/>
      <c r="BA573" s="7" t="s">
        <v>76</v>
      </c>
      <c r="BB573" s="7" t="s">
        <v>10278</v>
      </c>
      <c r="BC573" s="7"/>
      <c r="BD573" s="7"/>
      <c r="BE573" s="7"/>
      <c r="BF573" s="7"/>
      <c r="BG573" s="7"/>
      <c r="BH573" s="7"/>
      <c r="BI573" s="7"/>
    </row>
    <row r="574" customFormat="false" ht="14.25" hidden="false" customHeight="true" outlineLevel="0" collapsed="false">
      <c r="A574" s="7" t="s">
        <v>10279</v>
      </c>
      <c r="B574" s="7" t="s">
        <v>10280</v>
      </c>
      <c r="C574" s="7" t="s">
        <v>10281</v>
      </c>
      <c r="D574" s="7" t="s">
        <v>10282</v>
      </c>
      <c r="E574" s="7" t="n">
        <v>2021</v>
      </c>
      <c r="F574" s="8" t="s">
        <v>10283</v>
      </c>
      <c r="G574" s="6" t="s">
        <v>169</v>
      </c>
      <c r="H574" s="7"/>
      <c r="I574" s="7"/>
      <c r="J574" s="7"/>
      <c r="K574" s="7"/>
      <c r="L574" s="7"/>
      <c r="M574" s="7"/>
      <c r="N574" s="7"/>
      <c r="O574" s="7"/>
      <c r="P574" s="7" t="s">
        <v>304</v>
      </c>
      <c r="Q574" s="7" t="s">
        <v>62</v>
      </c>
      <c r="R574" s="7" t="s">
        <v>10284</v>
      </c>
      <c r="S574" s="7"/>
      <c r="T574" s="7" t="s">
        <v>187</v>
      </c>
      <c r="U574" s="7"/>
      <c r="V574" s="7"/>
      <c r="W574" s="7"/>
      <c r="X574" s="7"/>
      <c r="Y574" s="7"/>
      <c r="Z574" s="7" t="s">
        <v>10285</v>
      </c>
      <c r="AA574" s="9" t="s">
        <v>10286</v>
      </c>
      <c r="AB574" s="7" t="s">
        <v>10287</v>
      </c>
      <c r="AC574" s="7" t="s">
        <v>10288</v>
      </c>
      <c r="AD574" s="7" t="s">
        <v>10289</v>
      </c>
      <c r="AE574" s="7" t="s">
        <v>10290</v>
      </c>
      <c r="AF574" s="7"/>
      <c r="AG574" s="7"/>
      <c r="AH574" s="7"/>
      <c r="AI574" s="7"/>
      <c r="AJ574" s="10"/>
      <c r="AK574" s="7"/>
      <c r="AL574" s="7" t="s">
        <v>10291</v>
      </c>
      <c r="AM574" s="7"/>
      <c r="AN574" s="7" t="s">
        <v>9057</v>
      </c>
      <c r="AO574" s="7"/>
      <c r="AP574" s="7" t="s">
        <v>10284</v>
      </c>
      <c r="AQ574" s="7" t="s">
        <v>10292</v>
      </c>
      <c r="AR574" s="7" t="s">
        <v>10293</v>
      </c>
      <c r="AS574" s="7" t="n">
        <v>171186</v>
      </c>
      <c r="AT574" s="7"/>
      <c r="AU574" s="7" t="s">
        <v>10294</v>
      </c>
      <c r="AV574" s="7"/>
      <c r="AW574" s="7"/>
      <c r="AX574" s="7" t="s">
        <v>9061</v>
      </c>
      <c r="AY574" s="7" t="s">
        <v>75</v>
      </c>
      <c r="AZ574" s="7"/>
      <c r="BA574" s="7" t="s">
        <v>76</v>
      </c>
      <c r="BB574" s="7" t="s">
        <v>10295</v>
      </c>
      <c r="BC574" s="7"/>
      <c r="BD574" s="7"/>
      <c r="BE574" s="7"/>
      <c r="BF574" s="7"/>
      <c r="BG574" s="7"/>
      <c r="BH574" s="7"/>
      <c r="BI574" s="7"/>
    </row>
    <row r="575" customFormat="false" ht="14.25" hidden="false" customHeight="true" outlineLevel="0" collapsed="false">
      <c r="A575" s="7" t="s">
        <v>10296</v>
      </c>
      <c r="B575" s="7" t="s">
        <v>10297</v>
      </c>
      <c r="C575" s="7" t="n">
        <v>57446231600</v>
      </c>
      <c r="D575" s="7" t="s">
        <v>10298</v>
      </c>
      <c r="E575" s="7" t="n">
        <v>2021</v>
      </c>
      <c r="F575" s="8" t="s">
        <v>10299</v>
      </c>
      <c r="G575" s="6" t="s">
        <v>134</v>
      </c>
      <c r="H575" s="7"/>
      <c r="I575" s="7"/>
      <c r="J575" s="7"/>
      <c r="K575" s="7"/>
      <c r="L575" s="7"/>
      <c r="M575" s="7"/>
      <c r="N575" s="7"/>
      <c r="O575" s="7"/>
      <c r="P575" s="7" t="s">
        <v>304</v>
      </c>
      <c r="Q575" s="7" t="s">
        <v>62</v>
      </c>
      <c r="R575" s="7" t="s">
        <v>10300</v>
      </c>
      <c r="S575" s="7"/>
      <c r="T575" s="7" t="s">
        <v>187</v>
      </c>
      <c r="U575" s="7"/>
      <c r="V575" s="7"/>
      <c r="W575" s="7" t="n">
        <v>133</v>
      </c>
      <c r="X575" s="7" t="n">
        <v>137</v>
      </c>
      <c r="Y575" s="7" t="n">
        <v>4</v>
      </c>
      <c r="Z575" s="7" t="s">
        <v>10301</v>
      </c>
      <c r="AA575" s="9" t="s">
        <v>10302</v>
      </c>
      <c r="AB575" s="7" t="s">
        <v>10303</v>
      </c>
      <c r="AC575" s="7" t="s">
        <v>10304</v>
      </c>
      <c r="AD575" s="7" t="s">
        <v>10305</v>
      </c>
      <c r="AE575" s="7" t="s">
        <v>10306</v>
      </c>
      <c r="AF575" s="7"/>
      <c r="AG575" s="7"/>
      <c r="AH575" s="7"/>
      <c r="AI575" s="7"/>
      <c r="AJ575" s="10"/>
      <c r="AK575" s="7"/>
      <c r="AL575" s="7" t="s">
        <v>10307</v>
      </c>
      <c r="AM575" s="7"/>
      <c r="AN575" s="7"/>
      <c r="AO575" s="7"/>
      <c r="AP575" s="7" t="s">
        <v>10308</v>
      </c>
      <c r="AQ575" s="7" t="s">
        <v>10309</v>
      </c>
      <c r="AR575" s="7" t="s">
        <v>5337</v>
      </c>
      <c r="AS575" s="7" t="n">
        <v>175864</v>
      </c>
      <c r="AT575" s="7"/>
      <c r="AU575" s="7" t="s">
        <v>10310</v>
      </c>
      <c r="AV575" s="7"/>
      <c r="AW575" s="7"/>
      <c r="AX575" s="7" t="s">
        <v>10311</v>
      </c>
      <c r="AY575" s="7" t="s">
        <v>75</v>
      </c>
      <c r="AZ575" s="7"/>
      <c r="BA575" s="7" t="s">
        <v>76</v>
      </c>
      <c r="BB575" s="7" t="s">
        <v>10312</v>
      </c>
      <c r="BC575" s="7"/>
      <c r="BD575" s="7"/>
      <c r="BE575" s="7"/>
      <c r="BF575" s="7"/>
      <c r="BG575" s="7"/>
      <c r="BH575" s="7"/>
      <c r="BI575" s="7"/>
    </row>
    <row r="576" customFormat="false" ht="14.25" hidden="false" customHeight="true" outlineLevel="0" collapsed="false">
      <c r="A576" s="7" t="s">
        <v>10313</v>
      </c>
      <c r="B576" s="7" t="s">
        <v>10314</v>
      </c>
      <c r="C576" s="7" t="s">
        <v>10315</v>
      </c>
      <c r="D576" s="7" t="s">
        <v>10316</v>
      </c>
      <c r="E576" s="7" t="n">
        <v>2021</v>
      </c>
      <c r="F576" s="8" t="s">
        <v>10317</v>
      </c>
      <c r="G576" s="6" t="s">
        <v>393</v>
      </c>
      <c r="H576" s="7"/>
      <c r="I576" s="7"/>
      <c r="J576" s="7"/>
      <c r="K576" s="7"/>
      <c r="L576" s="7"/>
      <c r="M576" s="7"/>
      <c r="N576" s="7"/>
      <c r="O576" s="7"/>
      <c r="P576" s="7" t="s">
        <v>304</v>
      </c>
      <c r="Q576" s="7" t="s">
        <v>62</v>
      </c>
      <c r="R576" s="7" t="s">
        <v>10318</v>
      </c>
      <c r="S576" s="12" t="n">
        <v>44470</v>
      </c>
      <c r="T576" s="7" t="s">
        <v>187</v>
      </c>
      <c r="U576" s="7"/>
      <c r="V576" s="7"/>
      <c r="W576" s="7"/>
      <c r="X576" s="7"/>
      <c r="Y576" s="7"/>
      <c r="Z576" s="7" t="s">
        <v>10319</v>
      </c>
      <c r="AA576" s="9" t="s">
        <v>10320</v>
      </c>
      <c r="AB576" s="7" t="s">
        <v>10321</v>
      </c>
      <c r="AC576" s="7" t="s">
        <v>10322</v>
      </c>
      <c r="AD576" s="7" t="s">
        <v>10323</v>
      </c>
      <c r="AE576" s="7" t="s">
        <v>10324</v>
      </c>
      <c r="AF576" s="7"/>
      <c r="AG576" s="7"/>
      <c r="AH576" s="7"/>
      <c r="AI576" s="7"/>
      <c r="AJ576" s="10" t="s">
        <v>10325</v>
      </c>
      <c r="AK576" s="7" t="s">
        <v>10326</v>
      </c>
      <c r="AL576" s="7" t="s">
        <v>10327</v>
      </c>
      <c r="AM576" s="7"/>
      <c r="AN576" s="7"/>
      <c r="AO576" s="7"/>
      <c r="AP576" s="7" t="s">
        <v>10328</v>
      </c>
      <c r="AQ576" s="7" t="s">
        <v>10329</v>
      </c>
      <c r="AR576" s="7" t="s">
        <v>10330</v>
      </c>
      <c r="AS576" s="7" t="n">
        <v>179017</v>
      </c>
      <c r="AT576" s="7" t="n">
        <v>21642516</v>
      </c>
      <c r="AU576" s="7" t="s">
        <v>10331</v>
      </c>
      <c r="AV576" s="7"/>
      <c r="AW576" s="7"/>
      <c r="AX576" s="7" t="s">
        <v>10332</v>
      </c>
      <c r="AY576" s="7" t="s">
        <v>75</v>
      </c>
      <c r="AZ576" s="7"/>
      <c r="BA576" s="7" t="s">
        <v>76</v>
      </c>
      <c r="BB576" s="7" t="s">
        <v>10333</v>
      </c>
      <c r="BC576" s="7"/>
      <c r="BD576" s="7"/>
      <c r="BE576" s="7"/>
      <c r="BF576" s="7"/>
      <c r="BG576" s="7"/>
      <c r="BH576" s="7"/>
      <c r="BI576" s="7"/>
    </row>
    <row r="577" customFormat="false" ht="14.25" hidden="false" customHeight="true" outlineLevel="0" collapsed="false">
      <c r="A577" s="7" t="s">
        <v>10334</v>
      </c>
      <c r="B577" s="7" t="s">
        <v>10335</v>
      </c>
      <c r="C577" s="7" t="s">
        <v>10336</v>
      </c>
      <c r="D577" s="7" t="s">
        <v>10337</v>
      </c>
      <c r="E577" s="7" t="n">
        <v>2021</v>
      </c>
      <c r="F577" s="8" t="s">
        <v>10338</v>
      </c>
      <c r="G577" s="6" t="s">
        <v>134</v>
      </c>
      <c r="H577" s="7"/>
      <c r="I577" s="7"/>
      <c r="J577" s="7"/>
      <c r="K577" s="7"/>
      <c r="L577" s="7"/>
      <c r="M577" s="7"/>
      <c r="N577" s="7"/>
      <c r="O577" s="7"/>
      <c r="P577" s="7" t="s">
        <v>304</v>
      </c>
      <c r="Q577" s="7" t="s">
        <v>62</v>
      </c>
      <c r="R577" s="7" t="s">
        <v>10339</v>
      </c>
      <c r="S577" s="7"/>
      <c r="T577" s="7" t="s">
        <v>187</v>
      </c>
      <c r="U577" s="7"/>
      <c r="V577" s="7"/>
      <c r="W577" s="7"/>
      <c r="X577" s="7"/>
      <c r="Y577" s="7"/>
      <c r="Z577" s="7" t="s">
        <v>10340</v>
      </c>
      <c r="AA577" s="9" t="s">
        <v>10341</v>
      </c>
      <c r="AB577" s="7" t="s">
        <v>10342</v>
      </c>
      <c r="AC577" s="7" t="s">
        <v>10343</v>
      </c>
      <c r="AD577" s="7" t="s">
        <v>10344</v>
      </c>
      <c r="AE577" s="7" t="s">
        <v>10345</v>
      </c>
      <c r="AF577" s="7"/>
      <c r="AG577" s="7"/>
      <c r="AH577" s="7"/>
      <c r="AI577" s="7"/>
      <c r="AJ577" s="10"/>
      <c r="AK577" s="7"/>
      <c r="AL577" s="7" t="s">
        <v>10346</v>
      </c>
      <c r="AM577" s="7"/>
      <c r="AN577" s="7"/>
      <c r="AO577" s="7" t="s">
        <v>10347</v>
      </c>
      <c r="AP577" s="7" t="s">
        <v>10348</v>
      </c>
      <c r="AQ577" s="7" t="s">
        <v>10349</v>
      </c>
      <c r="AR577" s="7" t="s">
        <v>10350</v>
      </c>
      <c r="AS577" s="7" t="n">
        <v>176863</v>
      </c>
      <c r="AT577" s="7"/>
      <c r="AU577" s="7" t="s">
        <v>10351</v>
      </c>
      <c r="AV577" s="7"/>
      <c r="AW577" s="7"/>
      <c r="AX577" s="7" t="s">
        <v>10352</v>
      </c>
      <c r="AY577" s="7" t="s">
        <v>75</v>
      </c>
      <c r="AZ577" s="7"/>
      <c r="BA577" s="7" t="s">
        <v>76</v>
      </c>
      <c r="BB577" s="7" t="s">
        <v>10353</v>
      </c>
      <c r="BC577" s="7"/>
      <c r="BD577" s="7"/>
      <c r="BE577" s="7"/>
      <c r="BF577" s="7"/>
      <c r="BG577" s="7"/>
      <c r="BH577" s="7"/>
      <c r="BI577" s="7"/>
    </row>
    <row r="578" customFormat="false" ht="14.25" hidden="false" customHeight="true" outlineLevel="0" collapsed="false">
      <c r="A578" s="7" t="s">
        <v>10354</v>
      </c>
      <c r="B578" s="7" t="s">
        <v>10355</v>
      </c>
      <c r="C578" s="7" t="s">
        <v>10356</v>
      </c>
      <c r="D578" s="7" t="s">
        <v>10357</v>
      </c>
      <c r="E578" s="7" t="n">
        <v>2021</v>
      </c>
      <c r="F578" s="8" t="s">
        <v>10358</v>
      </c>
      <c r="G578" s="6" t="s">
        <v>134</v>
      </c>
      <c r="H578" s="7"/>
      <c r="I578" s="7"/>
      <c r="J578" s="7"/>
      <c r="K578" s="7"/>
      <c r="L578" s="7"/>
      <c r="M578" s="7"/>
      <c r="N578" s="7"/>
      <c r="O578" s="7"/>
      <c r="P578" s="7" t="s">
        <v>304</v>
      </c>
      <c r="Q578" s="7" t="s">
        <v>62</v>
      </c>
      <c r="R578" s="7" t="s">
        <v>10359</v>
      </c>
      <c r="S578" s="7"/>
      <c r="T578" s="7" t="s">
        <v>187</v>
      </c>
      <c r="U578" s="7"/>
      <c r="V578" s="7" t="n">
        <v>9432301</v>
      </c>
      <c r="W578" s="7" t="n">
        <v>1710</v>
      </c>
      <c r="X578" s="7" t="n">
        <v>1716</v>
      </c>
      <c r="Y578" s="7" t="n">
        <v>6</v>
      </c>
      <c r="Z578" s="7" t="s">
        <v>10360</v>
      </c>
      <c r="AA578" s="9" t="s">
        <v>10361</v>
      </c>
      <c r="AB578" s="7" t="s">
        <v>10362</v>
      </c>
      <c r="AC578" s="7" t="s">
        <v>10363</v>
      </c>
      <c r="AD578" s="7" t="s">
        <v>10364</v>
      </c>
      <c r="AE578" s="7" t="s">
        <v>10365</v>
      </c>
      <c r="AF578" s="7"/>
      <c r="AG578" s="7"/>
      <c r="AH578" s="7"/>
      <c r="AI578" s="7"/>
      <c r="AJ578" s="10"/>
      <c r="AK578" s="7"/>
      <c r="AL578" s="7" t="s">
        <v>10366</v>
      </c>
      <c r="AM578" s="7"/>
      <c r="AN578" s="7"/>
      <c r="AO578" s="7"/>
      <c r="AP578" s="7" t="s">
        <v>10367</v>
      </c>
      <c r="AQ578" s="7" t="s">
        <v>10368</v>
      </c>
      <c r="AR578" s="7" t="s">
        <v>6625</v>
      </c>
      <c r="AS578" s="7" t="n">
        <v>169144</v>
      </c>
      <c r="AT578" s="7"/>
      <c r="AU578" s="7" t="s">
        <v>10369</v>
      </c>
      <c r="AV578" s="7"/>
      <c r="AW578" s="7"/>
      <c r="AX578" s="7" t="s">
        <v>10370</v>
      </c>
      <c r="AY578" s="7" t="s">
        <v>75</v>
      </c>
      <c r="AZ578" s="7"/>
      <c r="BA578" s="7" t="s">
        <v>76</v>
      </c>
      <c r="BB578" s="7" t="s">
        <v>10371</v>
      </c>
      <c r="BC578" s="7"/>
      <c r="BD578" s="7"/>
      <c r="BE578" s="7"/>
      <c r="BF578" s="7"/>
      <c r="BG578" s="7"/>
      <c r="BH578" s="7"/>
      <c r="BI578" s="7"/>
    </row>
    <row r="579" customFormat="false" ht="14.25" hidden="false" customHeight="true" outlineLevel="0" collapsed="false">
      <c r="A579" s="7" t="s">
        <v>10372</v>
      </c>
      <c r="B579" s="7" t="s">
        <v>10373</v>
      </c>
      <c r="C579" s="7" t="s">
        <v>10281</v>
      </c>
      <c r="D579" s="7" t="s">
        <v>10374</v>
      </c>
      <c r="E579" s="7" t="n">
        <v>2021</v>
      </c>
      <c r="F579" s="8" t="s">
        <v>10375</v>
      </c>
      <c r="G579" s="6" t="s">
        <v>134</v>
      </c>
      <c r="H579" s="7"/>
      <c r="I579" s="7"/>
      <c r="J579" s="7"/>
      <c r="K579" s="7"/>
      <c r="L579" s="7"/>
      <c r="M579" s="7"/>
      <c r="N579" s="7"/>
      <c r="O579" s="7"/>
      <c r="P579" s="7" t="s">
        <v>304</v>
      </c>
      <c r="Q579" s="7" t="s">
        <v>62</v>
      </c>
      <c r="R579" s="7" t="s">
        <v>10376</v>
      </c>
      <c r="S579" s="7"/>
      <c r="T579" s="7" t="s">
        <v>187</v>
      </c>
      <c r="U579" s="7"/>
      <c r="V579" s="7"/>
      <c r="W579" s="7"/>
      <c r="X579" s="7"/>
      <c r="Y579" s="7"/>
      <c r="Z579" s="7" t="s">
        <v>10377</v>
      </c>
      <c r="AA579" s="9" t="s">
        <v>10378</v>
      </c>
      <c r="AB579" s="7" t="s">
        <v>10379</v>
      </c>
      <c r="AC579" s="7" t="s">
        <v>10380</v>
      </c>
      <c r="AD579" s="7" t="s">
        <v>10381</v>
      </c>
      <c r="AE579" s="7" t="s">
        <v>10382</v>
      </c>
      <c r="AF579" s="7"/>
      <c r="AG579" s="7"/>
      <c r="AH579" s="7"/>
      <c r="AI579" s="7"/>
      <c r="AJ579" s="10"/>
      <c r="AK579" s="7"/>
      <c r="AL579" s="7" t="s">
        <v>10383</v>
      </c>
      <c r="AM579" s="7"/>
      <c r="AN579" s="7" t="s">
        <v>10384</v>
      </c>
      <c r="AO579" s="7"/>
      <c r="AP579" s="7" t="s">
        <v>10376</v>
      </c>
      <c r="AQ579" s="7" t="s">
        <v>10385</v>
      </c>
      <c r="AR579" s="7" t="s">
        <v>10386</v>
      </c>
      <c r="AS579" s="7" t="n">
        <v>176423</v>
      </c>
      <c r="AT579" s="7"/>
      <c r="AU579" s="7" t="s">
        <v>10387</v>
      </c>
      <c r="AV579" s="7"/>
      <c r="AW579" s="7"/>
      <c r="AX579" s="7" t="s">
        <v>10388</v>
      </c>
      <c r="AY579" s="7" t="s">
        <v>75</v>
      </c>
      <c r="AZ579" s="7"/>
      <c r="BA579" s="7" t="s">
        <v>76</v>
      </c>
      <c r="BB579" s="7" t="s">
        <v>10389</v>
      </c>
      <c r="BC579" s="7"/>
      <c r="BD579" s="7"/>
      <c r="BE579" s="7"/>
      <c r="BF579" s="7"/>
      <c r="BG579" s="7"/>
      <c r="BH579" s="7"/>
      <c r="BI579" s="7"/>
    </row>
    <row r="580" customFormat="false" ht="14.25" hidden="false" customHeight="true" outlineLevel="0" collapsed="false">
      <c r="A580" s="7" t="s">
        <v>10390</v>
      </c>
      <c r="B580" s="7" t="s">
        <v>10391</v>
      </c>
      <c r="C580" s="7" t="s">
        <v>10392</v>
      </c>
      <c r="D580" s="7" t="s">
        <v>10393</v>
      </c>
      <c r="E580" s="7" t="n">
        <v>2021</v>
      </c>
      <c r="F580" s="8" t="s">
        <v>10394</v>
      </c>
      <c r="G580" s="6" t="s">
        <v>134</v>
      </c>
      <c r="H580" s="7"/>
      <c r="I580" s="7"/>
      <c r="J580" s="7"/>
      <c r="K580" s="7"/>
      <c r="L580" s="7"/>
      <c r="M580" s="7"/>
      <c r="N580" s="7"/>
      <c r="O580" s="7"/>
      <c r="P580" s="7" t="s">
        <v>304</v>
      </c>
      <c r="Q580" s="7" t="s">
        <v>62</v>
      </c>
      <c r="R580" s="7" t="s">
        <v>10148</v>
      </c>
      <c r="S580" s="7" t="n">
        <v>1255</v>
      </c>
      <c r="T580" s="7" t="s">
        <v>307</v>
      </c>
      <c r="U580" s="7"/>
      <c r="V580" s="7"/>
      <c r="W580" s="7" t="n">
        <v>473</v>
      </c>
      <c r="X580" s="7" t="n">
        <v>482</v>
      </c>
      <c r="Y580" s="7" t="n">
        <v>9</v>
      </c>
      <c r="Z580" s="7" t="s">
        <v>10395</v>
      </c>
      <c r="AA580" s="9" t="s">
        <v>10396</v>
      </c>
      <c r="AB580" s="7" t="s">
        <v>10397</v>
      </c>
      <c r="AC580" s="7" t="s">
        <v>10398</v>
      </c>
      <c r="AD580" s="7" t="s">
        <v>10399</v>
      </c>
      <c r="AE580" s="7" t="s">
        <v>10400</v>
      </c>
      <c r="AF580" s="7"/>
      <c r="AG580" s="7"/>
      <c r="AH580" s="7"/>
      <c r="AI580" s="7"/>
      <c r="AJ580" s="10"/>
      <c r="AK580" s="7"/>
      <c r="AL580" s="7" t="s">
        <v>10401</v>
      </c>
      <c r="AM580" s="7" t="s">
        <v>10402</v>
      </c>
      <c r="AN580" s="7" t="s">
        <v>10403</v>
      </c>
      <c r="AO580" s="7"/>
      <c r="AP580" s="7" t="s">
        <v>10404</v>
      </c>
      <c r="AQ580" s="7" t="s">
        <v>10405</v>
      </c>
      <c r="AR580" s="7" t="s">
        <v>10406</v>
      </c>
      <c r="AS580" s="7" t="n">
        <v>252189</v>
      </c>
      <c r="AT580" s="7" t="n">
        <v>21945357</v>
      </c>
      <c r="AU580" s="7" t="s">
        <v>10407</v>
      </c>
      <c r="AV580" s="7"/>
      <c r="AW580" s="7"/>
      <c r="AX580" s="7" t="s">
        <v>10162</v>
      </c>
      <c r="AY580" s="7" t="s">
        <v>75</v>
      </c>
      <c r="AZ580" s="7"/>
      <c r="BA580" s="7" t="s">
        <v>76</v>
      </c>
      <c r="BB580" s="7" t="s">
        <v>10408</v>
      </c>
      <c r="BC580" s="7"/>
      <c r="BD580" s="7"/>
      <c r="BE580" s="7"/>
      <c r="BF580" s="7"/>
      <c r="BG580" s="7"/>
      <c r="BH580" s="7"/>
      <c r="BI580" s="7"/>
    </row>
    <row r="581" customFormat="false" ht="14.25" hidden="false" customHeight="true" outlineLevel="0" collapsed="false">
      <c r="A581" s="7" t="s">
        <v>10409</v>
      </c>
      <c r="B581" s="7" t="s">
        <v>10410</v>
      </c>
      <c r="C581" s="7" t="s">
        <v>10411</v>
      </c>
      <c r="D581" s="7" t="s">
        <v>10412</v>
      </c>
      <c r="E581" s="7" t="n">
        <v>2021</v>
      </c>
      <c r="F581" s="8" t="s">
        <v>10413</v>
      </c>
      <c r="G581" s="6" t="s">
        <v>134</v>
      </c>
      <c r="H581" s="7"/>
      <c r="I581" s="7"/>
      <c r="J581" s="7"/>
      <c r="K581" s="7"/>
      <c r="L581" s="7"/>
      <c r="M581" s="7"/>
      <c r="N581" s="7"/>
      <c r="O581" s="7"/>
      <c r="P581" s="7" t="s">
        <v>304</v>
      </c>
      <c r="Q581" s="7" t="s">
        <v>62</v>
      </c>
      <c r="R581" s="7" t="s">
        <v>10414</v>
      </c>
      <c r="S581" s="7"/>
      <c r="T581" s="7" t="s">
        <v>187</v>
      </c>
      <c r="U581" s="7"/>
      <c r="V581" s="7"/>
      <c r="W581" s="7"/>
      <c r="X581" s="7"/>
      <c r="Y581" s="7"/>
      <c r="Z581" s="7" t="s">
        <v>10415</v>
      </c>
      <c r="AA581" s="9" t="s">
        <v>10416</v>
      </c>
      <c r="AB581" s="7" t="s">
        <v>10417</v>
      </c>
      <c r="AC581" s="7" t="s">
        <v>10418</v>
      </c>
      <c r="AD581" s="7" t="s">
        <v>10419</v>
      </c>
      <c r="AE581" s="7" t="s">
        <v>10420</v>
      </c>
      <c r="AF581" s="7"/>
      <c r="AG581" s="7"/>
      <c r="AH581" s="7"/>
      <c r="AI581" s="7"/>
      <c r="AJ581" s="10"/>
      <c r="AK581" s="7"/>
      <c r="AL581" s="7" t="s">
        <v>10421</v>
      </c>
      <c r="AM581" s="7"/>
      <c r="AN581" s="7"/>
      <c r="AO581" s="7" t="s">
        <v>10422</v>
      </c>
      <c r="AP581" s="7" t="s">
        <v>10423</v>
      </c>
      <c r="AQ581" s="7" t="s">
        <v>10424</v>
      </c>
      <c r="AR581" s="7" t="s">
        <v>2201</v>
      </c>
      <c r="AS581" s="7" t="n">
        <v>175280</v>
      </c>
      <c r="AT581" s="7"/>
      <c r="AU581" s="7" t="s">
        <v>10425</v>
      </c>
      <c r="AV581" s="7"/>
      <c r="AW581" s="7"/>
      <c r="AX581" s="7" t="s">
        <v>10426</v>
      </c>
      <c r="AY581" s="7" t="s">
        <v>75</v>
      </c>
      <c r="AZ581" s="7"/>
      <c r="BA581" s="7" t="s">
        <v>76</v>
      </c>
      <c r="BB581" s="7" t="s">
        <v>10427</v>
      </c>
      <c r="BC581" s="7"/>
      <c r="BD581" s="7"/>
      <c r="BE581" s="7"/>
      <c r="BF581" s="7"/>
      <c r="BG581" s="7"/>
      <c r="BH581" s="7"/>
      <c r="BI581" s="7"/>
    </row>
    <row r="582" customFormat="false" ht="14.25" hidden="false" customHeight="true" outlineLevel="0" collapsed="false">
      <c r="A582" s="7" t="s">
        <v>10428</v>
      </c>
      <c r="B582" s="7" t="s">
        <v>10429</v>
      </c>
      <c r="C582" s="7" t="s">
        <v>10430</v>
      </c>
      <c r="D582" s="7" t="s">
        <v>10431</v>
      </c>
      <c r="E582" s="7" t="n">
        <v>2021</v>
      </c>
      <c r="F582" s="8" t="s">
        <v>10432</v>
      </c>
      <c r="G582" s="6" t="s">
        <v>134</v>
      </c>
      <c r="H582" s="7"/>
      <c r="I582" s="7"/>
      <c r="J582" s="7"/>
      <c r="K582" s="7"/>
      <c r="L582" s="7"/>
      <c r="M582" s="7"/>
      <c r="N582" s="7"/>
      <c r="O582" s="7"/>
      <c r="P582" s="7" t="s">
        <v>304</v>
      </c>
      <c r="Q582" s="7" t="s">
        <v>62</v>
      </c>
      <c r="R582" s="7" t="s">
        <v>10148</v>
      </c>
      <c r="S582" s="7" t="n">
        <v>1306</v>
      </c>
      <c r="T582" s="7" t="s">
        <v>307</v>
      </c>
      <c r="U582" s="7"/>
      <c r="V582" s="7"/>
      <c r="W582" s="7" t="n">
        <v>631</v>
      </c>
      <c r="X582" s="7" t="n">
        <v>640</v>
      </c>
      <c r="Y582" s="7" t="n">
        <v>9</v>
      </c>
      <c r="Z582" s="7" t="s">
        <v>10433</v>
      </c>
      <c r="AA582" s="9" t="s">
        <v>10434</v>
      </c>
      <c r="AB582" s="7" t="s">
        <v>10435</v>
      </c>
      <c r="AC582" s="7" t="s">
        <v>10436</v>
      </c>
      <c r="AD582" s="7" t="s">
        <v>10437</v>
      </c>
      <c r="AE582" s="7" t="s">
        <v>10438</v>
      </c>
      <c r="AF582" s="7"/>
      <c r="AG582" s="7"/>
      <c r="AH582" s="7"/>
      <c r="AI582" s="7"/>
      <c r="AJ582" s="10"/>
      <c r="AK582" s="7"/>
      <c r="AL582" s="7" t="s">
        <v>10439</v>
      </c>
      <c r="AM582" s="7" t="s">
        <v>10440</v>
      </c>
      <c r="AN582" s="7" t="s">
        <v>8869</v>
      </c>
      <c r="AO582" s="7"/>
      <c r="AP582" s="7" t="s">
        <v>10441</v>
      </c>
      <c r="AQ582" s="7" t="s">
        <v>10442</v>
      </c>
      <c r="AR582" s="7" t="s">
        <v>10443</v>
      </c>
      <c r="AS582" s="7" t="n">
        <v>254519</v>
      </c>
      <c r="AT582" s="7" t="n">
        <v>21945357</v>
      </c>
      <c r="AU582" s="7" t="s">
        <v>10444</v>
      </c>
      <c r="AV582" s="7"/>
      <c r="AW582" s="7"/>
      <c r="AX582" s="7" t="s">
        <v>10162</v>
      </c>
      <c r="AY582" s="7" t="s">
        <v>75</v>
      </c>
      <c r="AZ582" s="7"/>
      <c r="BA582" s="7" t="s">
        <v>76</v>
      </c>
      <c r="BB582" s="7" t="s">
        <v>10445</v>
      </c>
      <c r="BC582" s="7"/>
      <c r="BD582" s="7"/>
      <c r="BE582" s="7"/>
      <c r="BF582" s="7"/>
      <c r="BG582" s="7"/>
      <c r="BH582" s="7"/>
      <c r="BI582" s="7"/>
    </row>
    <row r="583" customFormat="false" ht="14.25" hidden="false" customHeight="true" outlineLevel="0" collapsed="false">
      <c r="A583" s="7" t="s">
        <v>10446</v>
      </c>
      <c r="B583" s="7" t="s">
        <v>10447</v>
      </c>
      <c r="C583" s="7" t="s">
        <v>10448</v>
      </c>
      <c r="D583" s="7" t="s">
        <v>10449</v>
      </c>
      <c r="E583" s="7" t="n">
        <v>2021</v>
      </c>
      <c r="F583" s="8" t="s">
        <v>10450</v>
      </c>
      <c r="G583" s="6" t="s">
        <v>134</v>
      </c>
      <c r="H583" s="7"/>
      <c r="I583" s="7"/>
      <c r="J583" s="7"/>
      <c r="K583" s="7"/>
      <c r="L583" s="7"/>
      <c r="M583" s="7"/>
      <c r="N583" s="7"/>
      <c r="O583" s="7"/>
      <c r="P583" s="7" t="s">
        <v>304</v>
      </c>
      <c r="Q583" s="7" t="s">
        <v>62</v>
      </c>
      <c r="R583" s="7" t="s">
        <v>10451</v>
      </c>
      <c r="S583" s="7"/>
      <c r="T583" s="7" t="s">
        <v>187</v>
      </c>
      <c r="U583" s="7"/>
      <c r="V583" s="7"/>
      <c r="W583" s="7"/>
      <c r="X583" s="7"/>
      <c r="Y583" s="7"/>
      <c r="Z583" s="7" t="s">
        <v>10452</v>
      </c>
      <c r="AA583" s="9" t="s">
        <v>10453</v>
      </c>
      <c r="AB583" s="7" t="s">
        <v>10454</v>
      </c>
      <c r="AC583" s="7" t="s">
        <v>10455</v>
      </c>
      <c r="AD583" s="7" t="s">
        <v>10456</v>
      </c>
      <c r="AE583" s="7" t="s">
        <v>10457</v>
      </c>
      <c r="AF583" s="7"/>
      <c r="AG583" s="7"/>
      <c r="AH583" s="7"/>
      <c r="AI583" s="7"/>
      <c r="AJ583" s="10"/>
      <c r="AK583" s="7"/>
      <c r="AL583" s="7" t="s">
        <v>10458</v>
      </c>
      <c r="AM583" s="7"/>
      <c r="AN583" s="7"/>
      <c r="AO583" s="7"/>
      <c r="AP583" s="7" t="s">
        <v>10451</v>
      </c>
      <c r="AQ583" s="7" t="s">
        <v>10459</v>
      </c>
      <c r="AR583" s="7" t="s">
        <v>363</v>
      </c>
      <c r="AS583" s="7" t="n">
        <v>176701</v>
      </c>
      <c r="AT583" s="7"/>
      <c r="AU583" s="7" t="s">
        <v>10460</v>
      </c>
      <c r="AV583" s="7"/>
      <c r="AW583" s="7"/>
      <c r="AX583" s="7" t="s">
        <v>10461</v>
      </c>
      <c r="AY583" s="7" t="s">
        <v>75</v>
      </c>
      <c r="AZ583" s="7"/>
      <c r="BA583" s="7" t="s">
        <v>76</v>
      </c>
      <c r="BB583" s="7" t="s">
        <v>10462</v>
      </c>
      <c r="BC583" s="7"/>
      <c r="BD583" s="7"/>
      <c r="BE583" s="7"/>
      <c r="BF583" s="7"/>
      <c r="BG583" s="7"/>
      <c r="BH583" s="7"/>
      <c r="BI583" s="7"/>
    </row>
    <row r="584" customFormat="false" ht="14.25" hidden="false" customHeight="true" outlineLevel="0" collapsed="false">
      <c r="A584" s="7" t="s">
        <v>10463</v>
      </c>
      <c r="B584" s="7" t="s">
        <v>10464</v>
      </c>
      <c r="C584" s="7" t="s">
        <v>10465</v>
      </c>
      <c r="D584" s="7" t="s">
        <v>10466</v>
      </c>
      <c r="E584" s="7" t="n">
        <v>2021</v>
      </c>
      <c r="F584" s="8" t="s">
        <v>10467</v>
      </c>
      <c r="G584" s="6" t="s">
        <v>134</v>
      </c>
      <c r="H584" s="7"/>
      <c r="I584" s="7"/>
      <c r="J584" s="7"/>
      <c r="K584" s="7"/>
      <c r="L584" s="7"/>
      <c r="M584" s="7"/>
      <c r="N584" s="7"/>
      <c r="O584" s="7"/>
      <c r="P584" s="7" t="s">
        <v>304</v>
      </c>
      <c r="Q584" s="7" t="s">
        <v>62</v>
      </c>
      <c r="R584" s="7" t="s">
        <v>10468</v>
      </c>
      <c r="S584" s="7"/>
      <c r="T584" s="7" t="s">
        <v>187</v>
      </c>
      <c r="U584" s="7"/>
      <c r="V584" s="7"/>
      <c r="W584" s="7" t="n">
        <v>54</v>
      </c>
      <c r="X584" s="7" t="n">
        <v>58</v>
      </c>
      <c r="Y584" s="7" t="n">
        <v>4</v>
      </c>
      <c r="Z584" s="7" t="s">
        <v>10469</v>
      </c>
      <c r="AA584" s="9" t="s">
        <v>10470</v>
      </c>
      <c r="AB584" s="7" t="s">
        <v>10471</v>
      </c>
      <c r="AC584" s="7" t="s">
        <v>10472</v>
      </c>
      <c r="AD584" s="7" t="s">
        <v>10473</v>
      </c>
      <c r="AE584" s="7" t="s">
        <v>10474</v>
      </c>
      <c r="AF584" s="7"/>
      <c r="AG584" s="7"/>
      <c r="AH584" s="7"/>
      <c r="AI584" s="7"/>
      <c r="AJ584" s="10"/>
      <c r="AK584" s="7"/>
      <c r="AL584" s="7" t="s">
        <v>10475</v>
      </c>
      <c r="AM584" s="7"/>
      <c r="AN584" s="7"/>
      <c r="AO584" s="7" t="s">
        <v>10476</v>
      </c>
      <c r="AP584" s="7" t="s">
        <v>10477</v>
      </c>
      <c r="AQ584" s="7" t="s">
        <v>10478</v>
      </c>
      <c r="AR584" s="7" t="s">
        <v>10181</v>
      </c>
      <c r="AS584" s="7" t="n">
        <v>177881</v>
      </c>
      <c r="AT584" s="7"/>
      <c r="AU584" s="7" t="s">
        <v>10479</v>
      </c>
      <c r="AV584" s="7"/>
      <c r="AW584" s="7"/>
      <c r="AX584" s="7" t="s">
        <v>10480</v>
      </c>
      <c r="AY584" s="7" t="s">
        <v>75</v>
      </c>
      <c r="AZ584" s="7"/>
      <c r="BA584" s="7" t="s">
        <v>76</v>
      </c>
      <c r="BB584" s="7" t="s">
        <v>10481</v>
      </c>
      <c r="BC584" s="7"/>
      <c r="BD584" s="7"/>
      <c r="BE584" s="7"/>
      <c r="BF584" s="7"/>
      <c r="BG584" s="7"/>
      <c r="BH584" s="7"/>
      <c r="BI584" s="7"/>
    </row>
    <row r="585" customFormat="false" ht="14.25" hidden="false" customHeight="true" outlineLevel="0" collapsed="false">
      <c r="A585" s="7" t="s">
        <v>10482</v>
      </c>
      <c r="B585" s="7" t="s">
        <v>10483</v>
      </c>
      <c r="C585" s="7" t="s">
        <v>10484</v>
      </c>
      <c r="D585" s="7" t="s">
        <v>10485</v>
      </c>
      <c r="E585" s="7" t="n">
        <v>2021</v>
      </c>
      <c r="F585" s="8" t="s">
        <v>10486</v>
      </c>
      <c r="G585" s="6" t="s">
        <v>134</v>
      </c>
      <c r="H585" s="7"/>
      <c r="I585" s="7"/>
      <c r="J585" s="7"/>
      <c r="K585" s="7"/>
      <c r="L585" s="7"/>
      <c r="M585" s="7"/>
      <c r="N585" s="7"/>
      <c r="O585" s="7"/>
      <c r="P585" s="7" t="s">
        <v>304</v>
      </c>
      <c r="Q585" s="7" t="s">
        <v>62</v>
      </c>
      <c r="R585" s="7" t="s">
        <v>2751</v>
      </c>
      <c r="S585" s="7" t="s">
        <v>10487</v>
      </c>
      <c r="T585" s="7" t="s">
        <v>307</v>
      </c>
      <c r="U585" s="7"/>
      <c r="V585" s="7"/>
      <c r="W585" s="7" t="n">
        <v>147</v>
      </c>
      <c r="X585" s="7" t="n">
        <v>157</v>
      </c>
      <c r="Y585" s="7" t="n">
        <v>10</v>
      </c>
      <c r="Z585" s="7" t="s">
        <v>10488</v>
      </c>
      <c r="AA585" s="9" t="s">
        <v>10489</v>
      </c>
      <c r="AB585" s="7" t="s">
        <v>10490</v>
      </c>
      <c r="AC585" s="7" t="s">
        <v>10491</v>
      </c>
      <c r="AD585" s="7"/>
      <c r="AE585" s="7" t="s">
        <v>10492</v>
      </c>
      <c r="AF585" s="7"/>
      <c r="AG585" s="7"/>
      <c r="AH585" s="7"/>
      <c r="AI585" s="7"/>
      <c r="AJ585" s="10"/>
      <c r="AK585" s="7"/>
      <c r="AL585" s="7" t="s">
        <v>10493</v>
      </c>
      <c r="AM585" s="7" t="s">
        <v>10494</v>
      </c>
      <c r="AN585" s="7" t="s">
        <v>10495</v>
      </c>
      <c r="AO585" s="7"/>
      <c r="AP585" s="7" t="s">
        <v>10496</v>
      </c>
      <c r="AQ585" s="7" t="s">
        <v>10497</v>
      </c>
      <c r="AR585" s="7" t="s">
        <v>5337</v>
      </c>
      <c r="AS585" s="7" t="n">
        <v>265999</v>
      </c>
      <c r="AT585" s="7" t="n">
        <v>3029743</v>
      </c>
      <c r="AU585" s="7" t="s">
        <v>10498</v>
      </c>
      <c r="AV585" s="7"/>
      <c r="AW585" s="7"/>
      <c r="AX585" s="7" t="s">
        <v>2766</v>
      </c>
      <c r="AY585" s="7" t="s">
        <v>75</v>
      </c>
      <c r="AZ585" s="7"/>
      <c r="BA585" s="7" t="s">
        <v>76</v>
      </c>
      <c r="BB585" s="7" t="s">
        <v>10499</v>
      </c>
      <c r="BC585" s="7"/>
      <c r="BD585" s="7"/>
      <c r="BE585" s="7"/>
      <c r="BF585" s="7"/>
      <c r="BG585" s="7"/>
      <c r="BH585" s="7"/>
      <c r="BI585" s="7"/>
    </row>
    <row r="586" customFormat="false" ht="14.25" hidden="false" customHeight="true" outlineLevel="0" collapsed="false">
      <c r="A586" s="7" t="s">
        <v>10500</v>
      </c>
      <c r="B586" s="7" t="s">
        <v>10501</v>
      </c>
      <c r="C586" s="7" t="s">
        <v>10502</v>
      </c>
      <c r="D586" s="7" t="s">
        <v>10503</v>
      </c>
      <c r="E586" s="7" t="n">
        <v>2021</v>
      </c>
      <c r="F586" s="8" t="s">
        <v>10504</v>
      </c>
      <c r="G586" s="6" t="s">
        <v>134</v>
      </c>
      <c r="H586" s="7"/>
      <c r="I586" s="7"/>
      <c r="J586" s="7"/>
      <c r="K586" s="7"/>
      <c r="L586" s="7"/>
      <c r="M586" s="7"/>
      <c r="N586" s="7"/>
      <c r="O586" s="7"/>
      <c r="P586" s="7" t="s">
        <v>304</v>
      </c>
      <c r="Q586" s="7" t="s">
        <v>62</v>
      </c>
      <c r="R586" s="7" t="s">
        <v>10505</v>
      </c>
      <c r="S586" s="7"/>
      <c r="T586" s="7" t="s">
        <v>187</v>
      </c>
      <c r="U586" s="7"/>
      <c r="V586" s="7"/>
      <c r="W586" s="7" t="n">
        <v>1274</v>
      </c>
      <c r="X586" s="7" t="n">
        <v>1279</v>
      </c>
      <c r="Y586" s="7" t="n">
        <v>5</v>
      </c>
      <c r="Z586" s="7" t="s">
        <v>10506</v>
      </c>
      <c r="AA586" s="9" t="s">
        <v>10507</v>
      </c>
      <c r="AB586" s="7" t="s">
        <v>10508</v>
      </c>
      <c r="AC586" s="7" t="s">
        <v>10509</v>
      </c>
      <c r="AD586" s="7" t="s">
        <v>10510</v>
      </c>
      <c r="AE586" s="7" t="s">
        <v>10511</v>
      </c>
      <c r="AF586" s="7"/>
      <c r="AG586" s="7"/>
      <c r="AH586" s="7"/>
      <c r="AI586" s="7"/>
      <c r="AJ586" s="10"/>
      <c r="AK586" s="7"/>
      <c r="AL586" s="7" t="s">
        <v>10512</v>
      </c>
      <c r="AM586" s="7"/>
      <c r="AN586" s="7"/>
      <c r="AO586" s="7"/>
      <c r="AP586" s="7" t="s">
        <v>10513</v>
      </c>
      <c r="AQ586" s="7" t="s">
        <v>10514</v>
      </c>
      <c r="AR586" s="7" t="s">
        <v>10515</v>
      </c>
      <c r="AS586" s="7" t="n">
        <v>175680</v>
      </c>
      <c r="AT586" s="7"/>
      <c r="AU586" s="7" t="s">
        <v>10516</v>
      </c>
      <c r="AV586" s="7"/>
      <c r="AW586" s="7"/>
      <c r="AX586" s="7" t="s">
        <v>10517</v>
      </c>
      <c r="AY586" s="7" t="s">
        <v>75</v>
      </c>
      <c r="AZ586" s="7"/>
      <c r="BA586" s="7" t="s">
        <v>76</v>
      </c>
      <c r="BB586" s="7" t="s">
        <v>10518</v>
      </c>
      <c r="BC586" s="7"/>
      <c r="BD586" s="7"/>
      <c r="BE586" s="7"/>
      <c r="BF586" s="7"/>
      <c r="BG586" s="7"/>
      <c r="BH586" s="7"/>
      <c r="BI586" s="7"/>
    </row>
    <row r="587" customFormat="false" ht="14.25" hidden="false" customHeight="true" outlineLevel="0" collapsed="false">
      <c r="A587" s="7" t="s">
        <v>10519</v>
      </c>
      <c r="B587" s="7" t="s">
        <v>10520</v>
      </c>
      <c r="C587" s="7" t="s">
        <v>10521</v>
      </c>
      <c r="D587" s="7" t="s">
        <v>10522</v>
      </c>
      <c r="E587" s="7" t="n">
        <v>2021</v>
      </c>
      <c r="F587" s="8" t="s">
        <v>10523</v>
      </c>
      <c r="G587" s="6" t="s">
        <v>134</v>
      </c>
      <c r="H587" s="7"/>
      <c r="I587" s="7"/>
      <c r="J587" s="7"/>
      <c r="K587" s="7"/>
      <c r="L587" s="7"/>
      <c r="M587" s="7"/>
      <c r="N587" s="7"/>
      <c r="O587" s="7"/>
      <c r="P587" s="7" t="s">
        <v>304</v>
      </c>
      <c r="Q587" s="7" t="s">
        <v>62</v>
      </c>
      <c r="R587" s="7" t="s">
        <v>10524</v>
      </c>
      <c r="S587" s="7"/>
      <c r="T587" s="7" t="s">
        <v>187</v>
      </c>
      <c r="U587" s="7"/>
      <c r="V587" s="7" t="n">
        <v>9465636</v>
      </c>
      <c r="W587" s="7" t="n">
        <v>323</v>
      </c>
      <c r="X587" s="7" t="n">
        <v>328</v>
      </c>
      <c r="Y587" s="7" t="n">
        <v>5</v>
      </c>
      <c r="Z587" s="7" t="s">
        <v>10525</v>
      </c>
      <c r="AA587" s="9" t="s">
        <v>10526</v>
      </c>
      <c r="AB587" s="7" t="s">
        <v>10527</v>
      </c>
      <c r="AC587" s="7" t="s">
        <v>10528</v>
      </c>
      <c r="AD587" s="7" t="s">
        <v>10529</v>
      </c>
      <c r="AE587" s="7" t="s">
        <v>10530</v>
      </c>
      <c r="AF587" s="7"/>
      <c r="AG587" s="7"/>
      <c r="AH587" s="7"/>
      <c r="AI587" s="7"/>
      <c r="AJ587" s="10" t="s">
        <v>10531</v>
      </c>
      <c r="AK587" s="7" t="s">
        <v>10532</v>
      </c>
      <c r="AL587" s="7" t="s">
        <v>10533</v>
      </c>
      <c r="AM587" s="7"/>
      <c r="AN587" s="7"/>
      <c r="AO587" s="7"/>
      <c r="AP587" s="7" t="s">
        <v>10534</v>
      </c>
      <c r="AQ587" s="7" t="s">
        <v>10535</v>
      </c>
      <c r="AR587" s="7" t="s">
        <v>10536</v>
      </c>
      <c r="AS587" s="7" t="n">
        <v>171067</v>
      </c>
      <c r="AT587" s="7"/>
      <c r="AU587" s="7" t="s">
        <v>10537</v>
      </c>
      <c r="AV587" s="7"/>
      <c r="AW587" s="7"/>
      <c r="AX587" s="7" t="s">
        <v>10538</v>
      </c>
      <c r="AY587" s="7" t="s">
        <v>75</v>
      </c>
      <c r="AZ587" s="7"/>
      <c r="BA587" s="7" t="s">
        <v>76</v>
      </c>
      <c r="BB587" s="7" t="s">
        <v>10539</v>
      </c>
      <c r="BC587" s="7"/>
      <c r="BD587" s="7"/>
      <c r="BE587" s="7"/>
      <c r="BF587" s="7"/>
      <c r="BG587" s="7"/>
      <c r="BH587" s="7"/>
      <c r="BI587" s="7"/>
    </row>
    <row r="588" customFormat="false" ht="14.25" hidden="false" customHeight="true" outlineLevel="0" collapsed="false">
      <c r="A588" s="7" t="s">
        <v>10540</v>
      </c>
      <c r="B588" s="7" t="s">
        <v>10541</v>
      </c>
      <c r="C588" s="7" t="s">
        <v>10542</v>
      </c>
      <c r="D588" s="7" t="s">
        <v>10543</v>
      </c>
      <c r="E588" s="7" t="n">
        <v>2021</v>
      </c>
      <c r="F588" s="8" t="s">
        <v>10544</v>
      </c>
      <c r="G588" s="6" t="s">
        <v>134</v>
      </c>
      <c r="H588" s="7"/>
      <c r="I588" s="7"/>
      <c r="J588" s="7"/>
      <c r="K588" s="7"/>
      <c r="L588" s="7"/>
      <c r="M588" s="7"/>
      <c r="N588" s="7"/>
      <c r="O588" s="7"/>
      <c r="P588" s="7" t="s">
        <v>304</v>
      </c>
      <c r="Q588" s="7" t="s">
        <v>62</v>
      </c>
      <c r="R588" s="7" t="s">
        <v>10545</v>
      </c>
      <c r="S588" s="7"/>
      <c r="T588" s="7" t="s">
        <v>187</v>
      </c>
      <c r="U588" s="7"/>
      <c r="V588" s="7"/>
      <c r="W588" s="7" t="n">
        <v>3344</v>
      </c>
      <c r="X588" s="7" t="n">
        <v>3348</v>
      </c>
      <c r="Y588" s="7" t="n">
        <v>4</v>
      </c>
      <c r="Z588" s="7" t="s">
        <v>10546</v>
      </c>
      <c r="AA588" s="9" t="s">
        <v>10547</v>
      </c>
      <c r="AB588" s="7" t="s">
        <v>10548</v>
      </c>
      <c r="AC588" s="7" t="s">
        <v>10549</v>
      </c>
      <c r="AD588" s="7"/>
      <c r="AE588" s="7" t="s">
        <v>10550</v>
      </c>
      <c r="AF588" s="7"/>
      <c r="AG588" s="7"/>
      <c r="AH588" s="7"/>
      <c r="AI588" s="7"/>
      <c r="AJ588" s="10"/>
      <c r="AK588" s="7"/>
      <c r="AL588" s="7" t="s">
        <v>10551</v>
      </c>
      <c r="AM588" s="7"/>
      <c r="AN588" s="7"/>
      <c r="AO588" s="7" t="s">
        <v>10552</v>
      </c>
      <c r="AP588" s="7" t="s">
        <v>10553</v>
      </c>
      <c r="AQ588" s="7" t="s">
        <v>10554</v>
      </c>
      <c r="AR588" s="7" t="s">
        <v>5337</v>
      </c>
      <c r="AS588" s="7" t="n">
        <v>175446</v>
      </c>
      <c r="AT588" s="7" t="s">
        <v>10555</v>
      </c>
      <c r="AU588" s="7" t="s">
        <v>10556</v>
      </c>
      <c r="AV588" s="7"/>
      <c r="AW588" s="7" t="n">
        <v>34891956</v>
      </c>
      <c r="AX588" s="7" t="s">
        <v>10557</v>
      </c>
      <c r="AY588" s="7" t="s">
        <v>75</v>
      </c>
      <c r="AZ588" s="7" t="s">
        <v>4371</v>
      </c>
      <c r="BA588" s="7" t="s">
        <v>76</v>
      </c>
      <c r="BB588" s="7" t="s">
        <v>10558</v>
      </c>
      <c r="BC588" s="7"/>
      <c r="BD588" s="7"/>
      <c r="BE588" s="7"/>
      <c r="BF588" s="7"/>
      <c r="BG588" s="7"/>
      <c r="BH588" s="7"/>
      <c r="BI588" s="7"/>
    </row>
    <row r="589" customFormat="false" ht="14.25" hidden="false" customHeight="true" outlineLevel="0" collapsed="false">
      <c r="A589" s="7" t="s">
        <v>10559</v>
      </c>
      <c r="B589" s="7" t="s">
        <v>10560</v>
      </c>
      <c r="C589" s="7" t="s">
        <v>10561</v>
      </c>
      <c r="D589" s="7" t="s">
        <v>10562</v>
      </c>
      <c r="E589" s="7" t="n">
        <v>2021</v>
      </c>
      <c r="F589" s="8" t="s">
        <v>10563</v>
      </c>
      <c r="G589" s="6" t="s">
        <v>290</v>
      </c>
      <c r="H589" s="7"/>
      <c r="I589" s="7"/>
      <c r="J589" s="7"/>
      <c r="K589" s="7"/>
      <c r="L589" s="7"/>
      <c r="M589" s="7"/>
      <c r="N589" s="7"/>
      <c r="O589" s="7"/>
      <c r="P589" s="7" t="s">
        <v>304</v>
      </c>
      <c r="Q589" s="7" t="s">
        <v>62</v>
      </c>
      <c r="R589" s="7" t="s">
        <v>10564</v>
      </c>
      <c r="S589" s="7" t="n">
        <v>165</v>
      </c>
      <c r="T589" s="7" t="s">
        <v>10565</v>
      </c>
      <c r="U589" s="7"/>
      <c r="V589" s="7"/>
      <c r="W589" s="7" t="n">
        <v>47</v>
      </c>
      <c r="X589" s="7" t="n">
        <v>57</v>
      </c>
      <c r="Y589" s="7" t="n">
        <v>10</v>
      </c>
      <c r="Z589" s="7"/>
      <c r="AA589" s="9" t="s">
        <v>10566</v>
      </c>
      <c r="AB589" s="7" t="s">
        <v>10567</v>
      </c>
      <c r="AC589" s="7" t="s">
        <v>10568</v>
      </c>
      <c r="AD589" s="7"/>
      <c r="AE589" s="7" t="s">
        <v>10569</v>
      </c>
      <c r="AF589" s="7"/>
      <c r="AG589" s="7"/>
      <c r="AH589" s="7"/>
      <c r="AI589" s="7"/>
      <c r="AJ589" s="10" t="s">
        <v>10570</v>
      </c>
      <c r="AK589" s="7" t="s">
        <v>10571</v>
      </c>
      <c r="AL589" s="7" t="s">
        <v>10572</v>
      </c>
      <c r="AM589" s="7"/>
      <c r="AN589" s="7" t="s">
        <v>10573</v>
      </c>
      <c r="AO589" s="7"/>
      <c r="AP589" s="7" t="s">
        <v>10574</v>
      </c>
      <c r="AQ589" s="7" t="s">
        <v>10575</v>
      </c>
      <c r="AR589" s="7" t="s">
        <v>5337</v>
      </c>
      <c r="AS589" s="7" t="n">
        <v>189443</v>
      </c>
      <c r="AT589" s="7" t="n">
        <v>26403498</v>
      </c>
      <c r="AU589" s="7"/>
      <c r="AV589" s="7"/>
      <c r="AW589" s="7"/>
      <c r="AX589" s="7" t="s">
        <v>10576</v>
      </c>
      <c r="AY589" s="7" t="s">
        <v>75</v>
      </c>
      <c r="AZ589" s="7"/>
      <c r="BA589" s="7" t="s">
        <v>76</v>
      </c>
      <c r="BB589" s="7" t="s">
        <v>10577</v>
      </c>
      <c r="BC589" s="7"/>
      <c r="BD589" s="7"/>
      <c r="BE589" s="7"/>
      <c r="BF589" s="7"/>
      <c r="BG589" s="7"/>
      <c r="BH589" s="7"/>
      <c r="BI589" s="7"/>
    </row>
    <row r="590" customFormat="false" ht="14.25" hidden="false" customHeight="true" outlineLevel="0" collapsed="false">
      <c r="A590" s="7" t="s">
        <v>10578</v>
      </c>
      <c r="B590" s="7" t="s">
        <v>10579</v>
      </c>
      <c r="C590" s="7" t="s">
        <v>10580</v>
      </c>
      <c r="D590" s="7" t="s">
        <v>10581</v>
      </c>
      <c r="E590" s="7" t="n">
        <v>2021</v>
      </c>
      <c r="F590" s="8" t="s">
        <v>10582</v>
      </c>
      <c r="G590" s="6" t="s">
        <v>134</v>
      </c>
      <c r="H590" s="7"/>
      <c r="I590" s="7"/>
      <c r="J590" s="7"/>
      <c r="K590" s="7"/>
      <c r="L590" s="7"/>
      <c r="M590" s="7"/>
      <c r="N590" s="7"/>
      <c r="O590" s="7"/>
      <c r="P590" s="7" t="s">
        <v>304</v>
      </c>
      <c r="Q590" s="7" t="s">
        <v>62</v>
      </c>
      <c r="R590" s="7" t="s">
        <v>10545</v>
      </c>
      <c r="S590" s="7"/>
      <c r="T590" s="7" t="s">
        <v>187</v>
      </c>
      <c r="U590" s="7"/>
      <c r="V590" s="7"/>
      <c r="W590" s="7" t="n">
        <v>2732</v>
      </c>
      <c r="X590" s="7" t="n">
        <v>2735</v>
      </c>
      <c r="Y590" s="7" t="n">
        <v>3</v>
      </c>
      <c r="Z590" s="7" t="s">
        <v>10583</v>
      </c>
      <c r="AA590" s="9" t="s">
        <v>10584</v>
      </c>
      <c r="AB590" s="7" t="s">
        <v>10585</v>
      </c>
      <c r="AC590" s="7" t="s">
        <v>10586</v>
      </c>
      <c r="AD590" s="7"/>
      <c r="AE590" s="7" t="s">
        <v>10587</v>
      </c>
      <c r="AF590" s="7"/>
      <c r="AG590" s="7"/>
      <c r="AH590" s="7"/>
      <c r="AI590" s="7"/>
      <c r="AJ590" s="10" t="s">
        <v>10588</v>
      </c>
      <c r="AK590" s="7" t="s">
        <v>10589</v>
      </c>
      <c r="AL590" s="7" t="s">
        <v>10590</v>
      </c>
      <c r="AM590" s="7"/>
      <c r="AN590" s="7"/>
      <c r="AO590" s="7" t="s">
        <v>10552</v>
      </c>
      <c r="AP590" s="7" t="s">
        <v>10553</v>
      </c>
      <c r="AQ590" s="7" t="s">
        <v>10554</v>
      </c>
      <c r="AR590" s="7" t="s">
        <v>5337</v>
      </c>
      <c r="AS590" s="7" t="n">
        <v>175446</v>
      </c>
      <c r="AT590" s="7" t="s">
        <v>10555</v>
      </c>
      <c r="AU590" s="7" t="s">
        <v>10556</v>
      </c>
      <c r="AV590" s="7"/>
      <c r="AW590" s="7" t="n">
        <v>34891815</v>
      </c>
      <c r="AX590" s="7" t="s">
        <v>10557</v>
      </c>
      <c r="AY590" s="7" t="s">
        <v>75</v>
      </c>
      <c r="AZ590" s="7"/>
      <c r="BA590" s="7" t="s">
        <v>76</v>
      </c>
      <c r="BB590" s="7" t="s">
        <v>10591</v>
      </c>
      <c r="BC590" s="7"/>
      <c r="BD590" s="7"/>
      <c r="BE590" s="7"/>
      <c r="BF590" s="7"/>
      <c r="BG590" s="7"/>
      <c r="BH590" s="7"/>
      <c r="BI590" s="7"/>
    </row>
    <row r="591" customFormat="false" ht="14.25" hidden="false" customHeight="true" outlineLevel="0" collapsed="false">
      <c r="A591" s="7" t="s">
        <v>10592</v>
      </c>
      <c r="B591" s="7" t="s">
        <v>10593</v>
      </c>
      <c r="C591" s="7" t="s">
        <v>10594</v>
      </c>
      <c r="D591" s="7" t="s">
        <v>10595</v>
      </c>
      <c r="E591" s="7" t="n">
        <v>2021</v>
      </c>
      <c r="F591" s="8" t="s">
        <v>10596</v>
      </c>
      <c r="G591" s="6" t="s">
        <v>134</v>
      </c>
      <c r="H591" s="7"/>
      <c r="I591" s="7"/>
      <c r="J591" s="7"/>
      <c r="K591" s="7"/>
      <c r="L591" s="7"/>
      <c r="M591" s="7"/>
      <c r="N591" s="7"/>
      <c r="O591" s="7"/>
      <c r="P591" s="7" t="s">
        <v>304</v>
      </c>
      <c r="Q591" s="7" t="s">
        <v>62</v>
      </c>
      <c r="R591" s="7" t="s">
        <v>10148</v>
      </c>
      <c r="S591" s="7" t="n">
        <v>1309</v>
      </c>
      <c r="T591" s="7" t="s">
        <v>307</v>
      </c>
      <c r="U591" s="7"/>
      <c r="V591" s="7"/>
      <c r="W591" s="7" t="n">
        <v>231</v>
      </c>
      <c r="X591" s="7" t="n">
        <v>243</v>
      </c>
      <c r="Y591" s="7" t="n">
        <v>12</v>
      </c>
      <c r="Z591" s="7" t="s">
        <v>10597</v>
      </c>
      <c r="AA591" s="9" t="s">
        <v>10598</v>
      </c>
      <c r="AB591" s="7" t="s">
        <v>10599</v>
      </c>
      <c r="AC591" s="7" t="s">
        <v>10600</v>
      </c>
      <c r="AD591" s="7" t="s">
        <v>10601</v>
      </c>
      <c r="AE591" s="7" t="s">
        <v>10602</v>
      </c>
      <c r="AF591" s="7"/>
      <c r="AG591" s="7"/>
      <c r="AH591" s="7"/>
      <c r="AI591" s="7"/>
      <c r="AJ591" s="10" t="s">
        <v>10603</v>
      </c>
      <c r="AK591" s="7" t="s">
        <v>10604</v>
      </c>
      <c r="AL591" s="7" t="s">
        <v>10605</v>
      </c>
      <c r="AM591" s="7" t="s">
        <v>10606</v>
      </c>
      <c r="AN591" s="7" t="s">
        <v>10607</v>
      </c>
      <c r="AO591" s="7"/>
      <c r="AP591" s="7" t="s">
        <v>10608</v>
      </c>
      <c r="AQ591" s="7" t="s">
        <v>10609</v>
      </c>
      <c r="AR591" s="7" t="s">
        <v>10610</v>
      </c>
      <c r="AS591" s="7" t="n">
        <v>253269</v>
      </c>
      <c r="AT591" s="7" t="n">
        <v>21945357</v>
      </c>
      <c r="AU591" s="7" t="s">
        <v>10611</v>
      </c>
      <c r="AV591" s="7"/>
      <c r="AW591" s="7"/>
      <c r="AX591" s="7" t="s">
        <v>10162</v>
      </c>
      <c r="AY591" s="7" t="s">
        <v>75</v>
      </c>
      <c r="AZ591" s="7"/>
      <c r="BA591" s="7" t="s">
        <v>76</v>
      </c>
      <c r="BB591" s="7" t="s">
        <v>10612</v>
      </c>
      <c r="BC591" s="7"/>
      <c r="BD591" s="7"/>
      <c r="BE591" s="7"/>
      <c r="BF591" s="7"/>
      <c r="BG591" s="7"/>
      <c r="BH591" s="7"/>
      <c r="BI591" s="7"/>
    </row>
    <row r="592" customFormat="false" ht="14.25" hidden="false" customHeight="true" outlineLevel="0" collapsed="false">
      <c r="A592" s="7" t="s">
        <v>10613</v>
      </c>
      <c r="B592" s="7" t="s">
        <v>10614</v>
      </c>
      <c r="C592" s="7" t="s">
        <v>10615</v>
      </c>
      <c r="D592" s="7" t="s">
        <v>10616</v>
      </c>
      <c r="E592" s="7" t="n">
        <v>2021</v>
      </c>
      <c r="F592" s="8" t="s">
        <v>10617</v>
      </c>
      <c r="G592" s="6" t="s">
        <v>134</v>
      </c>
      <c r="H592" s="7"/>
      <c r="I592" s="7"/>
      <c r="J592" s="7"/>
      <c r="K592" s="7"/>
      <c r="L592" s="7"/>
      <c r="M592" s="7"/>
      <c r="N592" s="7"/>
      <c r="O592" s="7"/>
      <c r="P592" s="7" t="s">
        <v>304</v>
      </c>
      <c r="Q592" s="7" t="s">
        <v>62</v>
      </c>
      <c r="R592" s="7" t="s">
        <v>10618</v>
      </c>
      <c r="S592" s="7"/>
      <c r="T592" s="7" t="s">
        <v>187</v>
      </c>
      <c r="U592" s="7"/>
      <c r="V592" s="7"/>
      <c r="W592" s="7" t="n">
        <v>114</v>
      </c>
      <c r="X592" s="7" t="n">
        <v>118</v>
      </c>
      <c r="Y592" s="7" t="n">
        <v>4</v>
      </c>
      <c r="Z592" s="7" t="s">
        <v>10619</v>
      </c>
      <c r="AA592" s="9" t="s">
        <v>10620</v>
      </c>
      <c r="AB592" s="7" t="s">
        <v>10621</v>
      </c>
      <c r="AC592" s="7" t="s">
        <v>10622</v>
      </c>
      <c r="AD592" s="7" t="s">
        <v>10623</v>
      </c>
      <c r="AE592" s="7" t="s">
        <v>10624</v>
      </c>
      <c r="AF592" s="7"/>
      <c r="AG592" s="7"/>
      <c r="AH592" s="7"/>
      <c r="AI592" s="7"/>
      <c r="AJ592" s="10" t="s">
        <v>10625</v>
      </c>
      <c r="AK592" s="7" t="s">
        <v>10626</v>
      </c>
      <c r="AL592" s="7" t="s">
        <v>10627</v>
      </c>
      <c r="AM592" s="7" t="s">
        <v>10628</v>
      </c>
      <c r="AN592" s="7"/>
      <c r="AO592" s="7" t="s">
        <v>10629</v>
      </c>
      <c r="AP592" s="7" t="s">
        <v>10618</v>
      </c>
      <c r="AQ592" s="7" t="s">
        <v>10630</v>
      </c>
      <c r="AR592" s="7" t="s">
        <v>5337</v>
      </c>
      <c r="AS592" s="7" t="n">
        <v>177644</v>
      </c>
      <c r="AT592" s="7"/>
      <c r="AU592" s="7" t="s">
        <v>10631</v>
      </c>
      <c r="AV592" s="7"/>
      <c r="AW592" s="7"/>
      <c r="AX592" s="7" t="s">
        <v>10632</v>
      </c>
      <c r="AY592" s="7" t="s">
        <v>75</v>
      </c>
      <c r="AZ592" s="7"/>
      <c r="BA592" s="7" t="s">
        <v>76</v>
      </c>
      <c r="BB592" s="7" t="s">
        <v>10633</v>
      </c>
      <c r="BC592" s="7"/>
      <c r="BD592" s="7"/>
      <c r="BE592" s="7"/>
      <c r="BF592" s="7"/>
      <c r="BG592" s="7"/>
      <c r="BH592" s="7"/>
      <c r="BI592" s="7"/>
    </row>
    <row r="593" customFormat="false" ht="14.25" hidden="false" customHeight="true" outlineLevel="0" collapsed="false">
      <c r="A593" s="7" t="s">
        <v>10634</v>
      </c>
      <c r="B593" s="7" t="s">
        <v>10635</v>
      </c>
      <c r="C593" s="7" t="s">
        <v>10636</v>
      </c>
      <c r="D593" s="7" t="s">
        <v>10637</v>
      </c>
      <c r="E593" s="7" t="n">
        <v>2021</v>
      </c>
      <c r="F593" s="8" t="s">
        <v>10638</v>
      </c>
      <c r="G593" s="6" t="s">
        <v>134</v>
      </c>
      <c r="H593" s="7"/>
      <c r="I593" s="7"/>
      <c r="J593" s="7"/>
      <c r="K593" s="7"/>
      <c r="L593" s="7"/>
      <c r="M593" s="7"/>
      <c r="N593" s="7"/>
      <c r="O593" s="7"/>
      <c r="P593" s="7" t="s">
        <v>304</v>
      </c>
      <c r="Q593" s="7" t="s">
        <v>62</v>
      </c>
      <c r="R593" s="7" t="s">
        <v>10639</v>
      </c>
      <c r="S593" s="7"/>
      <c r="T593" s="7" t="s">
        <v>187</v>
      </c>
      <c r="U593" s="7"/>
      <c r="V593" s="7"/>
      <c r="W593" s="7" t="n">
        <v>1999</v>
      </c>
      <c r="X593" s="7" t="n">
        <v>2005</v>
      </c>
      <c r="Y593" s="7" t="n">
        <v>6</v>
      </c>
      <c r="Z593" s="7"/>
      <c r="AA593" s="9" t="s">
        <v>10640</v>
      </c>
      <c r="AB593" s="7" t="s">
        <v>10641</v>
      </c>
      <c r="AC593" s="7" t="s">
        <v>10642</v>
      </c>
      <c r="AD593" s="7"/>
      <c r="AE593" s="7" t="s">
        <v>10643</v>
      </c>
      <c r="AF593" s="7"/>
      <c r="AG593" s="7"/>
      <c r="AH593" s="7"/>
      <c r="AI593" s="7"/>
      <c r="AJ593" s="10"/>
      <c r="AK593" s="7"/>
      <c r="AL593" s="7" t="s">
        <v>10644</v>
      </c>
      <c r="AM593" s="7"/>
      <c r="AN593" s="7"/>
      <c r="AO593" s="7"/>
      <c r="AP593" s="7" t="s">
        <v>10645</v>
      </c>
      <c r="AQ593" s="7" t="s">
        <v>10646</v>
      </c>
      <c r="AR593" s="7" t="s">
        <v>10647</v>
      </c>
      <c r="AS593" s="7" t="n">
        <v>176967</v>
      </c>
      <c r="AT593" s="7"/>
      <c r="AU593" s="7" t="s">
        <v>10648</v>
      </c>
      <c r="AV593" s="7"/>
      <c r="AW593" s="7"/>
      <c r="AX593" s="7" t="s">
        <v>10649</v>
      </c>
      <c r="AY593" s="7" t="s">
        <v>75</v>
      </c>
      <c r="AZ593" s="7"/>
      <c r="BA593" s="7" t="s">
        <v>76</v>
      </c>
      <c r="BB593" s="7" t="s">
        <v>10650</v>
      </c>
      <c r="BC593" s="7"/>
      <c r="BD593" s="7"/>
      <c r="BE593" s="7"/>
      <c r="BF593" s="7"/>
      <c r="BG593" s="7"/>
      <c r="BH593" s="7"/>
      <c r="BI593" s="7"/>
    </row>
    <row r="594" customFormat="false" ht="14.25" hidden="false" customHeight="true" outlineLevel="0" collapsed="false">
      <c r="A594" s="7" t="s">
        <v>10651</v>
      </c>
      <c r="B594" s="7" t="s">
        <v>10652</v>
      </c>
      <c r="C594" s="7" t="s">
        <v>10653</v>
      </c>
      <c r="D594" s="7" t="s">
        <v>10654</v>
      </c>
      <c r="E594" s="7" t="n">
        <v>2021</v>
      </c>
      <c r="F594" s="8" t="s">
        <v>10655</v>
      </c>
      <c r="G594" s="6" t="s">
        <v>134</v>
      </c>
      <c r="H594" s="7"/>
      <c r="I594" s="7"/>
      <c r="J594" s="7"/>
      <c r="K594" s="7"/>
      <c r="L594" s="7"/>
      <c r="M594" s="7"/>
      <c r="N594" s="7"/>
      <c r="O594" s="7"/>
      <c r="P594" s="7" t="s">
        <v>304</v>
      </c>
      <c r="Q594" s="7" t="s">
        <v>62</v>
      </c>
      <c r="R594" s="7" t="s">
        <v>10318</v>
      </c>
      <c r="S594" s="12" t="n">
        <v>44470</v>
      </c>
      <c r="T594" s="7" t="s">
        <v>187</v>
      </c>
      <c r="U594" s="7"/>
      <c r="V594" s="7"/>
      <c r="W594" s="7"/>
      <c r="X594" s="7"/>
      <c r="Y594" s="7"/>
      <c r="Z594" s="7" t="s">
        <v>10656</v>
      </c>
      <c r="AA594" s="9" t="s">
        <v>10657</v>
      </c>
      <c r="AB594" s="7" t="s">
        <v>10658</v>
      </c>
      <c r="AC594" s="7" t="s">
        <v>10659</v>
      </c>
      <c r="AD594" s="7" t="s">
        <v>10660</v>
      </c>
      <c r="AE594" s="7" t="s">
        <v>10661</v>
      </c>
      <c r="AF594" s="7"/>
      <c r="AG594" s="7"/>
      <c r="AH594" s="7"/>
      <c r="AI594" s="7"/>
      <c r="AJ594" s="10" t="s">
        <v>10662</v>
      </c>
      <c r="AK594" s="7" t="s">
        <v>10663</v>
      </c>
      <c r="AL594" s="7" t="s">
        <v>10664</v>
      </c>
      <c r="AM594" s="7" t="s">
        <v>10665</v>
      </c>
      <c r="AN594" s="7"/>
      <c r="AO594" s="7"/>
      <c r="AP594" s="7" t="s">
        <v>10328</v>
      </c>
      <c r="AQ594" s="7" t="s">
        <v>10329</v>
      </c>
      <c r="AR594" s="7" t="s">
        <v>10330</v>
      </c>
      <c r="AS594" s="7" t="n">
        <v>179017</v>
      </c>
      <c r="AT594" s="7" t="n">
        <v>21642516</v>
      </c>
      <c r="AU594" s="7" t="s">
        <v>10331</v>
      </c>
      <c r="AV594" s="7"/>
      <c r="AW594" s="7"/>
      <c r="AX594" s="7" t="s">
        <v>10332</v>
      </c>
      <c r="AY594" s="7" t="s">
        <v>75</v>
      </c>
      <c r="AZ594" s="7" t="s">
        <v>409</v>
      </c>
      <c r="BA594" s="7" t="s">
        <v>76</v>
      </c>
      <c r="BB594" s="7" t="s">
        <v>10666</v>
      </c>
      <c r="BC594" s="7"/>
      <c r="BD594" s="7"/>
      <c r="BE594" s="7"/>
      <c r="BF594" s="7"/>
      <c r="BG594" s="7"/>
      <c r="BH594" s="7"/>
      <c r="BI594" s="7"/>
    </row>
    <row r="595" customFormat="false" ht="14.25" hidden="false" customHeight="true" outlineLevel="0" collapsed="false">
      <c r="A595" s="7" t="s">
        <v>10667</v>
      </c>
      <c r="B595" s="7" t="s">
        <v>10668</v>
      </c>
      <c r="C595" s="7" t="s">
        <v>10669</v>
      </c>
      <c r="D595" s="7" t="s">
        <v>10670</v>
      </c>
      <c r="E595" s="7" t="n">
        <v>2021</v>
      </c>
      <c r="F595" s="8" t="s">
        <v>10671</v>
      </c>
      <c r="G595" s="6" t="s">
        <v>3714</v>
      </c>
      <c r="H595" s="7"/>
      <c r="I595" s="7"/>
      <c r="J595" s="7"/>
      <c r="K595" s="7"/>
      <c r="L595" s="7"/>
      <c r="M595" s="7"/>
      <c r="N595" s="7"/>
      <c r="O595" s="7"/>
      <c r="P595" s="7" t="s">
        <v>304</v>
      </c>
      <c r="Q595" s="7" t="s">
        <v>62</v>
      </c>
      <c r="R595" s="7" t="s">
        <v>10148</v>
      </c>
      <c r="S595" s="7" t="n">
        <v>1158</v>
      </c>
      <c r="T595" s="7" t="s">
        <v>307</v>
      </c>
      <c r="U595" s="7"/>
      <c r="V595" s="7"/>
      <c r="W595" s="7" t="n">
        <v>473</v>
      </c>
      <c r="X595" s="7" t="n">
        <v>482</v>
      </c>
      <c r="Y595" s="7" t="n">
        <v>9</v>
      </c>
      <c r="Z595" s="7" t="s">
        <v>10672</v>
      </c>
      <c r="AA595" s="9" t="s">
        <v>10673</v>
      </c>
      <c r="AB595" s="7" t="s">
        <v>10674</v>
      </c>
      <c r="AC595" s="7" t="s">
        <v>10675</v>
      </c>
      <c r="AD595" s="7" t="s">
        <v>10676</v>
      </c>
      <c r="AE595" s="7" t="s">
        <v>10677</v>
      </c>
      <c r="AF595" s="7"/>
      <c r="AG595" s="7"/>
      <c r="AH595" s="7"/>
      <c r="AI595" s="7"/>
      <c r="AJ595" s="10"/>
      <c r="AK595" s="7"/>
      <c r="AL595" s="7" t="s">
        <v>10678</v>
      </c>
      <c r="AM595" s="7" t="s">
        <v>10679</v>
      </c>
      <c r="AN595" s="7" t="s">
        <v>10680</v>
      </c>
      <c r="AO595" s="7"/>
      <c r="AP595" s="7" t="s">
        <v>10681</v>
      </c>
      <c r="AQ595" s="7" t="s">
        <v>10682</v>
      </c>
      <c r="AR595" s="7" t="s">
        <v>10683</v>
      </c>
      <c r="AS595" s="7" t="n">
        <v>250999</v>
      </c>
      <c r="AT595" s="7" t="n">
        <v>21945357</v>
      </c>
      <c r="AU595" s="7" t="s">
        <v>10684</v>
      </c>
      <c r="AV595" s="7"/>
      <c r="AW595" s="7"/>
      <c r="AX595" s="7" t="s">
        <v>10162</v>
      </c>
      <c r="AY595" s="7" t="s">
        <v>75</v>
      </c>
      <c r="AZ595" s="7"/>
      <c r="BA595" s="7" t="s">
        <v>76</v>
      </c>
      <c r="BB595" s="7" t="s">
        <v>10685</v>
      </c>
      <c r="BC595" s="7"/>
      <c r="BD595" s="7"/>
      <c r="BE595" s="7"/>
      <c r="BF595" s="7"/>
      <c r="BG595" s="7"/>
      <c r="BH595" s="7"/>
      <c r="BI595" s="7"/>
    </row>
    <row r="596" customFormat="false" ht="14.25" hidden="false" customHeight="true" outlineLevel="0" collapsed="false">
      <c r="A596" s="7" t="s">
        <v>10686</v>
      </c>
      <c r="B596" s="7" t="s">
        <v>10687</v>
      </c>
      <c r="C596" s="7" t="s">
        <v>10688</v>
      </c>
      <c r="D596" s="7" t="s">
        <v>10689</v>
      </c>
      <c r="E596" s="7" t="n">
        <v>2021</v>
      </c>
      <c r="F596" s="8" t="s">
        <v>10690</v>
      </c>
      <c r="G596" s="6" t="s">
        <v>134</v>
      </c>
      <c r="H596" s="7"/>
      <c r="I596" s="7"/>
      <c r="J596" s="7"/>
      <c r="K596" s="7"/>
      <c r="L596" s="7"/>
      <c r="M596" s="7"/>
      <c r="N596" s="7"/>
      <c r="O596" s="7"/>
      <c r="P596" s="7" t="s">
        <v>304</v>
      </c>
      <c r="Q596" s="7" t="s">
        <v>62</v>
      </c>
      <c r="R596" s="7" t="s">
        <v>10148</v>
      </c>
      <c r="S596" s="7" t="n">
        <v>1165</v>
      </c>
      <c r="T596" s="7" t="s">
        <v>586</v>
      </c>
      <c r="U596" s="7"/>
      <c r="V596" s="7"/>
      <c r="W596" s="7" t="n">
        <v>1165</v>
      </c>
      <c r="X596" s="7" t="n">
        <v>1176</v>
      </c>
      <c r="Y596" s="7" t="n">
        <v>11</v>
      </c>
      <c r="Z596" s="7" t="s">
        <v>10691</v>
      </c>
      <c r="AA596" s="9" t="s">
        <v>10692</v>
      </c>
      <c r="AB596" s="7" t="s">
        <v>10693</v>
      </c>
      <c r="AC596" s="7" t="s">
        <v>10694</v>
      </c>
      <c r="AD596" s="7" t="s">
        <v>10695</v>
      </c>
      <c r="AE596" s="7" t="s">
        <v>10696</v>
      </c>
      <c r="AF596" s="7"/>
      <c r="AG596" s="7"/>
      <c r="AH596" s="7"/>
      <c r="AI596" s="7"/>
      <c r="AJ596" s="10"/>
      <c r="AK596" s="7"/>
      <c r="AL596" s="7" t="s">
        <v>10697</v>
      </c>
      <c r="AM596" s="7" t="s">
        <v>10698</v>
      </c>
      <c r="AN596" s="7" t="s">
        <v>10699</v>
      </c>
      <c r="AO596" s="7"/>
      <c r="AP596" s="7" t="s">
        <v>10700</v>
      </c>
      <c r="AQ596" s="7" t="s">
        <v>10701</v>
      </c>
      <c r="AR596" s="7" t="s">
        <v>5353</v>
      </c>
      <c r="AS596" s="7" t="n">
        <v>243279</v>
      </c>
      <c r="AT596" s="7" t="n">
        <v>21945357</v>
      </c>
      <c r="AU596" s="7" t="s">
        <v>10702</v>
      </c>
      <c r="AV596" s="7"/>
      <c r="AW596" s="7"/>
      <c r="AX596" s="7" t="s">
        <v>10162</v>
      </c>
      <c r="AY596" s="7" t="s">
        <v>75</v>
      </c>
      <c r="AZ596" s="7"/>
      <c r="BA596" s="7" t="s">
        <v>76</v>
      </c>
      <c r="BB596" s="7" t="s">
        <v>10703</v>
      </c>
      <c r="BC596" s="7"/>
      <c r="BD596" s="7"/>
      <c r="BE596" s="7"/>
      <c r="BF596" s="7"/>
      <c r="BG596" s="7"/>
      <c r="BH596" s="7"/>
      <c r="BI596" s="7"/>
    </row>
    <row r="597" customFormat="false" ht="14.25" hidden="false" customHeight="true" outlineLevel="0" collapsed="false">
      <c r="A597" s="7" t="s">
        <v>10704</v>
      </c>
      <c r="B597" s="7" t="s">
        <v>10705</v>
      </c>
      <c r="C597" s="7" t="s">
        <v>10706</v>
      </c>
      <c r="D597" s="7" t="s">
        <v>10707</v>
      </c>
      <c r="E597" s="7" t="n">
        <v>2021</v>
      </c>
      <c r="F597" s="8" t="s">
        <v>10708</v>
      </c>
      <c r="G597" s="6" t="s">
        <v>134</v>
      </c>
      <c r="H597" s="7"/>
      <c r="I597" s="7"/>
      <c r="J597" s="7"/>
      <c r="K597" s="7"/>
      <c r="L597" s="7"/>
      <c r="M597" s="7"/>
      <c r="N597" s="7"/>
      <c r="O597" s="7"/>
      <c r="P597" s="7" t="s">
        <v>304</v>
      </c>
      <c r="Q597" s="7" t="s">
        <v>62</v>
      </c>
      <c r="R597" s="7" t="s">
        <v>10709</v>
      </c>
      <c r="S597" s="7"/>
      <c r="T597" s="7" t="s">
        <v>187</v>
      </c>
      <c r="U597" s="7"/>
      <c r="V597" s="7"/>
      <c r="W597" s="7" t="n">
        <v>21</v>
      </c>
      <c r="X597" s="7" t="n">
        <v>25</v>
      </c>
      <c r="Y597" s="7" t="n">
        <v>4</v>
      </c>
      <c r="Z597" s="7" t="s">
        <v>10710</v>
      </c>
      <c r="AA597" s="9" t="s">
        <v>10711</v>
      </c>
      <c r="AB597" s="7" t="s">
        <v>10712</v>
      </c>
      <c r="AC597" s="7" t="s">
        <v>10713</v>
      </c>
      <c r="AD597" s="7" t="s">
        <v>10714</v>
      </c>
      <c r="AE597" s="7" t="s">
        <v>10715</v>
      </c>
      <c r="AF597" s="7"/>
      <c r="AG597" s="7"/>
      <c r="AH597" s="7"/>
      <c r="AI597" s="7"/>
      <c r="AJ597" s="10"/>
      <c r="AK597" s="7"/>
      <c r="AL597" s="7" t="s">
        <v>10716</v>
      </c>
      <c r="AM597" s="7"/>
      <c r="AN597" s="7" t="s">
        <v>10717</v>
      </c>
      <c r="AO597" s="7" t="s">
        <v>10718</v>
      </c>
      <c r="AP597" s="7" t="s">
        <v>10719</v>
      </c>
      <c r="AQ597" s="7" t="s">
        <v>10720</v>
      </c>
      <c r="AR597" s="7" t="s">
        <v>10721</v>
      </c>
      <c r="AS597" s="7" t="n">
        <v>179923</v>
      </c>
      <c r="AT597" s="7"/>
      <c r="AU597" s="7" t="s">
        <v>10722</v>
      </c>
      <c r="AV597" s="7"/>
      <c r="AW597" s="7"/>
      <c r="AX597" s="7" t="s">
        <v>10723</v>
      </c>
      <c r="AY597" s="7" t="s">
        <v>75</v>
      </c>
      <c r="AZ597" s="7"/>
      <c r="BA597" s="7" t="s">
        <v>76</v>
      </c>
      <c r="BB597" s="7" t="s">
        <v>10724</v>
      </c>
      <c r="BC597" s="7"/>
      <c r="BD597" s="7"/>
      <c r="BE597" s="7"/>
      <c r="BF597" s="7"/>
      <c r="BG597" s="7"/>
      <c r="BH597" s="7"/>
      <c r="BI597" s="7"/>
    </row>
    <row r="598" customFormat="false" ht="14.25" hidden="false" customHeight="true" outlineLevel="0" collapsed="false">
      <c r="A598" s="7" t="s">
        <v>10725</v>
      </c>
      <c r="B598" s="7" t="s">
        <v>10726</v>
      </c>
      <c r="C598" s="7" t="s">
        <v>10727</v>
      </c>
      <c r="D598" s="6" t="s">
        <v>10728</v>
      </c>
      <c r="E598" s="7" t="n">
        <v>2021</v>
      </c>
      <c r="F598" s="8" t="s">
        <v>10729</v>
      </c>
      <c r="G598" s="6" t="s">
        <v>134</v>
      </c>
      <c r="H598" s="7"/>
      <c r="I598" s="7"/>
      <c r="J598" s="7"/>
      <c r="K598" s="7"/>
      <c r="L598" s="7"/>
      <c r="M598" s="7"/>
      <c r="N598" s="7"/>
      <c r="O598" s="7"/>
      <c r="P598" s="7" t="s">
        <v>304</v>
      </c>
      <c r="Q598" s="7" t="s">
        <v>62</v>
      </c>
      <c r="R598" s="7" t="s">
        <v>10730</v>
      </c>
      <c r="S598" s="12" t="n">
        <v>44378</v>
      </c>
      <c r="T598" s="7" t="s">
        <v>2677</v>
      </c>
      <c r="U598" s="7"/>
      <c r="V598" s="7"/>
      <c r="W598" s="7"/>
      <c r="X598" s="7"/>
      <c r="Y598" s="7"/>
      <c r="Z598" s="7" t="s">
        <v>10731</v>
      </c>
      <c r="AA598" s="9" t="s">
        <v>10732</v>
      </c>
      <c r="AB598" s="7" t="s">
        <v>10733</v>
      </c>
      <c r="AC598" s="7" t="s">
        <v>10734</v>
      </c>
      <c r="AD598" s="7" t="s">
        <v>10735</v>
      </c>
      <c r="AE598" s="7" t="s">
        <v>10736</v>
      </c>
      <c r="AF598" s="7"/>
      <c r="AG598" s="7"/>
      <c r="AH598" s="7"/>
      <c r="AI598" s="7"/>
      <c r="AJ598" s="10"/>
      <c r="AK598" s="7"/>
      <c r="AL598" s="7" t="s">
        <v>10737</v>
      </c>
      <c r="AM598" s="7"/>
      <c r="AN598" s="7" t="s">
        <v>10738</v>
      </c>
      <c r="AO598" s="7"/>
      <c r="AP598" s="7" t="s">
        <v>10739</v>
      </c>
      <c r="AQ598" s="7" t="s">
        <v>10740</v>
      </c>
      <c r="AR598" s="7" t="s">
        <v>10741</v>
      </c>
      <c r="AS598" s="7" t="n">
        <v>171813</v>
      </c>
      <c r="AT598" s="7" t="n">
        <v>21582246</v>
      </c>
      <c r="AU598" s="7" t="s">
        <v>10742</v>
      </c>
      <c r="AV598" s="7"/>
      <c r="AW598" s="7"/>
      <c r="AX598" s="7" t="s">
        <v>10743</v>
      </c>
      <c r="AY598" s="7" t="s">
        <v>75</v>
      </c>
      <c r="AZ598" s="7"/>
      <c r="BA598" s="7" t="s">
        <v>76</v>
      </c>
      <c r="BB598" s="7" t="s">
        <v>10744</v>
      </c>
      <c r="BC598" s="7"/>
      <c r="BD598" s="7"/>
      <c r="BE598" s="7"/>
      <c r="BF598" s="7"/>
      <c r="BG598" s="7"/>
      <c r="BH598" s="7"/>
      <c r="BI598" s="7"/>
    </row>
    <row r="599" customFormat="false" ht="14.25" hidden="false" customHeight="true" outlineLevel="0" collapsed="false">
      <c r="A599" s="7" t="s">
        <v>10745</v>
      </c>
      <c r="B599" s="7" t="s">
        <v>10746</v>
      </c>
      <c r="C599" s="7" t="s">
        <v>10747</v>
      </c>
      <c r="D599" s="7" t="s">
        <v>10748</v>
      </c>
      <c r="E599" s="7" t="n">
        <v>2021</v>
      </c>
      <c r="F599" s="8" t="s">
        <v>10749</v>
      </c>
      <c r="G599" s="6" t="s">
        <v>149</v>
      </c>
      <c r="H599" s="7"/>
      <c r="I599" s="7"/>
      <c r="J599" s="7"/>
      <c r="K599" s="7"/>
      <c r="L599" s="7"/>
      <c r="M599" s="7"/>
      <c r="N599" s="7"/>
      <c r="O599" s="7"/>
      <c r="P599" s="7" t="s">
        <v>304</v>
      </c>
      <c r="Q599" s="7" t="s">
        <v>62</v>
      </c>
      <c r="R599" s="7" t="s">
        <v>10750</v>
      </c>
      <c r="S599" s="7"/>
      <c r="T599" s="7" t="s">
        <v>187</v>
      </c>
      <c r="U599" s="7"/>
      <c r="V599" s="7" t="n">
        <v>9456172</v>
      </c>
      <c r="W599" s="7"/>
      <c r="X599" s="7"/>
      <c r="Y599" s="7"/>
      <c r="Z599" s="7" t="s">
        <v>10751</v>
      </c>
      <c r="AA599" s="9" t="s">
        <v>10752</v>
      </c>
      <c r="AB599" s="7" t="s">
        <v>10753</v>
      </c>
      <c r="AC599" s="7" t="s">
        <v>10754</v>
      </c>
      <c r="AD599" s="7" t="s">
        <v>10755</v>
      </c>
      <c r="AE599" s="7" t="s">
        <v>10756</v>
      </c>
      <c r="AF599" s="7"/>
      <c r="AG599" s="7"/>
      <c r="AH599" s="7"/>
      <c r="AI599" s="7"/>
      <c r="AJ599" s="10"/>
      <c r="AK599" s="7"/>
      <c r="AL599" s="7" t="s">
        <v>10757</v>
      </c>
      <c r="AM599" s="7"/>
      <c r="AN599" s="7"/>
      <c r="AO599" s="7"/>
      <c r="AP599" s="7" t="s">
        <v>10758</v>
      </c>
      <c r="AQ599" s="7" t="s">
        <v>10759</v>
      </c>
      <c r="AR599" s="7" t="s">
        <v>3093</v>
      </c>
      <c r="AS599" s="7" t="n">
        <v>170935</v>
      </c>
      <c r="AT599" s="7"/>
      <c r="AU599" s="7" t="s">
        <v>10760</v>
      </c>
      <c r="AV599" s="7"/>
      <c r="AW599" s="7"/>
      <c r="AX599" s="7" t="s">
        <v>3095</v>
      </c>
      <c r="AY599" s="7" t="s">
        <v>75</v>
      </c>
      <c r="AZ599" s="7"/>
      <c r="BA599" s="7" t="s">
        <v>76</v>
      </c>
      <c r="BB599" s="7" t="s">
        <v>10761</v>
      </c>
      <c r="BC599" s="7"/>
      <c r="BD599" s="7"/>
      <c r="BE599" s="7"/>
      <c r="BF599" s="7"/>
      <c r="BG599" s="7"/>
      <c r="BH599" s="7"/>
      <c r="BI599" s="7"/>
    </row>
    <row r="600" customFormat="false" ht="14.25" hidden="false" customHeight="true" outlineLevel="0" collapsed="false">
      <c r="A600" s="7" t="s">
        <v>10762</v>
      </c>
      <c r="B600" s="7" t="s">
        <v>10763</v>
      </c>
      <c r="C600" s="7" t="s">
        <v>10764</v>
      </c>
      <c r="D600" s="7" t="s">
        <v>10765</v>
      </c>
      <c r="E600" s="7" t="n">
        <v>2021</v>
      </c>
      <c r="F600" s="8" t="s">
        <v>10766</v>
      </c>
      <c r="G600" s="6" t="s">
        <v>149</v>
      </c>
      <c r="H600" s="7"/>
      <c r="I600" s="7"/>
      <c r="J600" s="7"/>
      <c r="K600" s="7"/>
      <c r="L600" s="7"/>
      <c r="M600" s="7"/>
      <c r="N600" s="7"/>
      <c r="O600" s="7"/>
      <c r="P600" s="7" t="s">
        <v>304</v>
      </c>
      <c r="Q600" s="7" t="s">
        <v>62</v>
      </c>
      <c r="R600" s="7" t="s">
        <v>10767</v>
      </c>
      <c r="S600" s="7"/>
      <c r="T600" s="7" t="s">
        <v>187</v>
      </c>
      <c r="U600" s="7"/>
      <c r="V600" s="7" t="n">
        <v>9464619</v>
      </c>
      <c r="W600" s="7" t="n">
        <v>157</v>
      </c>
      <c r="X600" s="7" t="n">
        <v>163</v>
      </c>
      <c r="Y600" s="7" t="n">
        <v>6</v>
      </c>
      <c r="Z600" s="7" t="s">
        <v>10768</v>
      </c>
      <c r="AA600" s="9" t="s">
        <v>10769</v>
      </c>
      <c r="AB600" s="7" t="s">
        <v>10770</v>
      </c>
      <c r="AC600" s="7" t="s">
        <v>10771</v>
      </c>
      <c r="AD600" s="7" t="s">
        <v>10772</v>
      </c>
      <c r="AE600" s="7" t="s">
        <v>10773</v>
      </c>
      <c r="AF600" s="7"/>
      <c r="AG600" s="7"/>
      <c r="AH600" s="7"/>
      <c r="AI600" s="7"/>
      <c r="AJ600" s="10"/>
      <c r="AK600" s="7"/>
      <c r="AL600" s="7" t="s">
        <v>10774</v>
      </c>
      <c r="AM600" s="7"/>
      <c r="AN600" s="7" t="s">
        <v>10775</v>
      </c>
      <c r="AO600" s="7"/>
      <c r="AP600" s="7" t="s">
        <v>10776</v>
      </c>
      <c r="AQ600" s="7" t="s">
        <v>10777</v>
      </c>
      <c r="AR600" s="7" t="s">
        <v>10778</v>
      </c>
      <c r="AS600" s="7" t="n">
        <v>171044</v>
      </c>
      <c r="AT600" s="7"/>
      <c r="AU600" s="7" t="s">
        <v>10779</v>
      </c>
      <c r="AV600" s="7"/>
      <c r="AW600" s="7"/>
      <c r="AX600" s="7" t="s">
        <v>10780</v>
      </c>
      <c r="AY600" s="7" t="s">
        <v>75</v>
      </c>
      <c r="AZ600" s="7"/>
      <c r="BA600" s="7" t="s">
        <v>76</v>
      </c>
      <c r="BB600" s="7" t="s">
        <v>10781</v>
      </c>
      <c r="BC600" s="7"/>
      <c r="BD600" s="7"/>
      <c r="BE600" s="7"/>
      <c r="BF600" s="7"/>
      <c r="BG600" s="7"/>
      <c r="BH600" s="7"/>
      <c r="BI600" s="7"/>
    </row>
    <row r="601" customFormat="false" ht="14.25" hidden="false" customHeight="true" outlineLevel="0" collapsed="false">
      <c r="A601" s="18"/>
      <c r="B601" s="18"/>
      <c r="C601" s="18"/>
      <c r="D601" s="18"/>
      <c r="E601" s="18"/>
      <c r="F601" s="19" t="s">
        <v>10782</v>
      </c>
      <c r="G601" s="20"/>
      <c r="H601" s="18"/>
      <c r="I601" s="18"/>
      <c r="J601" s="18"/>
      <c r="K601" s="18"/>
      <c r="L601" s="18"/>
      <c r="M601" s="18"/>
      <c r="N601" s="18"/>
      <c r="O601" s="18"/>
      <c r="P601" s="18"/>
      <c r="Q601" s="18"/>
      <c r="R601" s="18"/>
      <c r="S601" s="18"/>
      <c r="T601" s="18"/>
      <c r="U601" s="18"/>
      <c r="V601" s="18"/>
      <c r="W601" s="18"/>
      <c r="X601" s="18"/>
      <c r="Y601" s="18"/>
      <c r="Z601" s="18"/>
      <c r="AA601" s="20"/>
      <c r="AB601" s="18"/>
      <c r="AC601" s="18"/>
      <c r="AD601" s="18"/>
      <c r="AE601" s="18"/>
      <c r="AF601" s="18"/>
      <c r="AG601" s="18"/>
      <c r="AH601" s="18"/>
      <c r="AI601" s="18"/>
      <c r="AJ601" s="21"/>
      <c r="AK601" s="18"/>
      <c r="AL601" s="18"/>
      <c r="AM601" s="18"/>
      <c r="AN601" s="18"/>
      <c r="AO601" s="18"/>
      <c r="AP601" s="18"/>
      <c r="AQ601" s="18"/>
      <c r="AR601" s="18"/>
      <c r="AS601" s="18"/>
      <c r="AT601" s="18"/>
      <c r="AU601" s="18"/>
      <c r="AV601" s="18"/>
      <c r="AW601" s="18"/>
      <c r="AX601" s="18"/>
      <c r="AY601" s="18"/>
      <c r="AZ601" s="18"/>
      <c r="BA601" s="18"/>
      <c r="BB601" s="18"/>
      <c r="BC601" s="18"/>
      <c r="BD601" s="18"/>
      <c r="BE601" s="18"/>
      <c r="BF601" s="18"/>
      <c r="BG601" s="18"/>
      <c r="BH601" s="18"/>
      <c r="BI601" s="18"/>
    </row>
    <row r="602" customFormat="false" ht="14.25" hidden="false" customHeight="true" outlineLevel="0" collapsed="false">
      <c r="A602" s="7" t="s">
        <v>10783</v>
      </c>
      <c r="B602" s="7" t="s">
        <v>10784</v>
      </c>
      <c r="C602" s="7" t="s">
        <v>10785</v>
      </c>
      <c r="D602" s="7" t="s">
        <v>10786</v>
      </c>
      <c r="E602" s="7" t="n">
        <v>2021</v>
      </c>
      <c r="F602" s="8" t="s">
        <v>10787</v>
      </c>
      <c r="G602" s="6" t="s">
        <v>134</v>
      </c>
      <c r="H602" s="7"/>
      <c r="I602" s="7"/>
      <c r="J602" s="7"/>
      <c r="K602" s="7"/>
      <c r="L602" s="7"/>
      <c r="M602" s="7"/>
      <c r="N602" s="7"/>
      <c r="O602" s="7"/>
      <c r="P602" s="7" t="s">
        <v>304</v>
      </c>
      <c r="Q602" s="7" t="s">
        <v>62</v>
      </c>
      <c r="R602" s="7" t="s">
        <v>350</v>
      </c>
      <c r="S602" s="7" t="s">
        <v>10788</v>
      </c>
      <c r="T602" s="7" t="s">
        <v>307</v>
      </c>
      <c r="U602" s="7"/>
      <c r="V602" s="7"/>
      <c r="W602" s="7" t="n">
        <v>795</v>
      </c>
      <c r="X602" s="7" t="n">
        <v>803</v>
      </c>
      <c r="Y602" s="7" t="n">
        <v>8</v>
      </c>
      <c r="Z602" s="7" t="s">
        <v>10789</v>
      </c>
      <c r="AA602" s="9" t="s">
        <v>10790</v>
      </c>
      <c r="AB602" s="7" t="s">
        <v>10791</v>
      </c>
      <c r="AC602" s="7" t="s">
        <v>10792</v>
      </c>
      <c r="AD602" s="7" t="s">
        <v>10793</v>
      </c>
      <c r="AE602" s="7"/>
      <c r="AF602" s="7"/>
      <c r="AG602" s="7"/>
      <c r="AH602" s="7"/>
      <c r="AI602" s="7"/>
      <c r="AJ602" s="10"/>
      <c r="AK602" s="7"/>
      <c r="AL602" s="7" t="s">
        <v>10794</v>
      </c>
      <c r="AM602" s="7" t="s">
        <v>10795</v>
      </c>
      <c r="AN602" s="7" t="s">
        <v>10796</v>
      </c>
      <c r="AO602" s="7"/>
      <c r="AP602" s="7" t="s">
        <v>10797</v>
      </c>
      <c r="AQ602" s="7" t="s">
        <v>10798</v>
      </c>
      <c r="AR602" s="7" t="s">
        <v>5337</v>
      </c>
      <c r="AS602" s="7" t="n">
        <v>258189</v>
      </c>
      <c r="AT602" s="7" t="n">
        <v>23673370</v>
      </c>
      <c r="AU602" s="7" t="s">
        <v>10799</v>
      </c>
      <c r="AV602" s="7"/>
      <c r="AW602" s="7"/>
      <c r="AX602" s="7" t="s">
        <v>365</v>
      </c>
      <c r="AY602" s="7" t="s">
        <v>75</v>
      </c>
      <c r="AZ602" s="7"/>
      <c r="BA602" s="7" t="s">
        <v>76</v>
      </c>
      <c r="BB602" s="7" t="s">
        <v>10800</v>
      </c>
      <c r="BC602" s="7"/>
      <c r="BD602" s="7"/>
      <c r="BE602" s="7"/>
      <c r="BF602" s="7"/>
      <c r="BG602" s="7"/>
      <c r="BH602" s="7"/>
      <c r="BI602" s="7"/>
    </row>
    <row r="603" customFormat="false" ht="14.25" hidden="false" customHeight="true" outlineLevel="0" collapsed="false">
      <c r="A603" s="7" t="s">
        <v>10801</v>
      </c>
      <c r="B603" s="7" t="s">
        <v>10802</v>
      </c>
      <c r="C603" s="7" t="s">
        <v>10803</v>
      </c>
      <c r="D603" s="7" t="s">
        <v>10804</v>
      </c>
      <c r="E603" s="7" t="n">
        <v>2021</v>
      </c>
      <c r="F603" s="8" t="s">
        <v>10805</v>
      </c>
      <c r="G603" s="6" t="s">
        <v>134</v>
      </c>
      <c r="H603" s="7"/>
      <c r="I603" s="7"/>
      <c r="J603" s="7"/>
      <c r="K603" s="7"/>
      <c r="L603" s="7"/>
      <c r="M603" s="7"/>
      <c r="N603" s="7"/>
      <c r="O603" s="7"/>
      <c r="P603" s="7" t="s">
        <v>304</v>
      </c>
      <c r="Q603" s="7" t="s">
        <v>62</v>
      </c>
      <c r="R603" s="7" t="s">
        <v>305</v>
      </c>
      <c r="S603" s="7" t="n">
        <v>1435</v>
      </c>
      <c r="T603" s="7" t="s">
        <v>307</v>
      </c>
      <c r="U603" s="7"/>
      <c r="V603" s="7"/>
      <c r="W603" s="7" t="n">
        <v>3</v>
      </c>
      <c r="X603" s="7" t="n">
        <v>16</v>
      </c>
      <c r="Y603" s="7" t="n">
        <v>13</v>
      </c>
      <c r="Z603" s="7" t="s">
        <v>10806</v>
      </c>
      <c r="AA603" s="9" t="s">
        <v>10807</v>
      </c>
      <c r="AB603" s="7" t="s">
        <v>10808</v>
      </c>
      <c r="AC603" s="7" t="s">
        <v>10809</v>
      </c>
      <c r="AD603" s="7" t="s">
        <v>10810</v>
      </c>
      <c r="AE603" s="7" t="s">
        <v>10811</v>
      </c>
      <c r="AF603" s="7"/>
      <c r="AG603" s="7"/>
      <c r="AH603" s="7"/>
      <c r="AI603" s="7"/>
      <c r="AJ603" s="10"/>
      <c r="AK603" s="7"/>
      <c r="AL603" s="7" t="s">
        <v>10812</v>
      </c>
      <c r="AM603" s="7" t="s">
        <v>10813</v>
      </c>
      <c r="AN603" s="7" t="s">
        <v>10814</v>
      </c>
      <c r="AO603" s="7"/>
      <c r="AP603" s="7" t="s">
        <v>10815</v>
      </c>
      <c r="AQ603" s="7" t="s">
        <v>10816</v>
      </c>
      <c r="AR603" s="7" t="s">
        <v>5337</v>
      </c>
      <c r="AS603" s="7" t="n">
        <v>263199</v>
      </c>
      <c r="AT603" s="7" t="n">
        <v>18650929</v>
      </c>
      <c r="AU603" s="7" t="s">
        <v>10817</v>
      </c>
      <c r="AV603" s="7"/>
      <c r="AW603" s="7"/>
      <c r="AX603" s="7" t="s">
        <v>321</v>
      </c>
      <c r="AY603" s="7" t="s">
        <v>75</v>
      </c>
      <c r="AZ603" s="7"/>
      <c r="BA603" s="7" t="s">
        <v>76</v>
      </c>
      <c r="BB603" s="7" t="s">
        <v>10818</v>
      </c>
      <c r="BC603" s="7"/>
      <c r="BD603" s="7"/>
      <c r="BE603" s="7"/>
      <c r="BF603" s="7"/>
      <c r="BG603" s="7"/>
      <c r="BH603" s="7"/>
      <c r="BI603" s="7"/>
    </row>
    <row r="604" customFormat="false" ht="14.25" hidden="false" customHeight="true" outlineLevel="0" collapsed="false">
      <c r="A604" s="7" t="s">
        <v>10819</v>
      </c>
      <c r="B604" s="7" t="s">
        <v>10820</v>
      </c>
      <c r="C604" s="7" t="s">
        <v>10821</v>
      </c>
      <c r="D604" s="7" t="s">
        <v>10822</v>
      </c>
      <c r="E604" s="7" t="n">
        <v>2021</v>
      </c>
      <c r="F604" s="8" t="s">
        <v>10823</v>
      </c>
      <c r="G604" s="6" t="s">
        <v>134</v>
      </c>
      <c r="H604" s="7"/>
      <c r="I604" s="7"/>
      <c r="J604" s="7"/>
      <c r="K604" s="7"/>
      <c r="L604" s="7"/>
      <c r="M604" s="7"/>
      <c r="N604" s="7"/>
      <c r="O604" s="7"/>
      <c r="P604" s="7" t="s">
        <v>304</v>
      </c>
      <c r="Q604" s="7" t="s">
        <v>62</v>
      </c>
      <c r="R604" s="7" t="s">
        <v>10824</v>
      </c>
      <c r="S604" s="7"/>
      <c r="T604" s="7" t="s">
        <v>187</v>
      </c>
      <c r="U604" s="7"/>
      <c r="V604" s="7" t="n">
        <v>9396850</v>
      </c>
      <c r="W604" s="7" t="n">
        <v>216</v>
      </c>
      <c r="X604" s="7" t="n">
        <v>222</v>
      </c>
      <c r="Y604" s="7" t="n">
        <v>6</v>
      </c>
      <c r="Z604" s="7" t="s">
        <v>10825</v>
      </c>
      <c r="AA604" s="9" t="s">
        <v>10826</v>
      </c>
      <c r="AB604" s="7" t="s">
        <v>10827</v>
      </c>
      <c r="AC604" s="7" t="s">
        <v>10828</v>
      </c>
      <c r="AD604" s="7" t="s">
        <v>10829</v>
      </c>
      <c r="AE604" s="7" t="s">
        <v>10830</v>
      </c>
      <c r="AF604" s="7"/>
      <c r="AG604" s="7"/>
      <c r="AH604" s="7"/>
      <c r="AI604" s="7"/>
      <c r="AJ604" s="10"/>
      <c r="AK604" s="7"/>
      <c r="AL604" s="7" t="s">
        <v>10831</v>
      </c>
      <c r="AM604" s="7"/>
      <c r="AN604" s="7"/>
      <c r="AO604" s="7"/>
      <c r="AP604" s="7" t="s">
        <v>10832</v>
      </c>
      <c r="AQ604" s="7" t="s">
        <v>10833</v>
      </c>
      <c r="AR604" s="7" t="s">
        <v>5566</v>
      </c>
      <c r="AS604" s="7" t="n">
        <v>168374</v>
      </c>
      <c r="AT604" s="7"/>
      <c r="AU604" s="7" t="s">
        <v>10834</v>
      </c>
      <c r="AV604" s="7"/>
      <c r="AW604" s="7"/>
      <c r="AX604" s="7" t="s">
        <v>10835</v>
      </c>
      <c r="AY604" s="7" t="s">
        <v>75</v>
      </c>
      <c r="AZ604" s="7"/>
      <c r="BA604" s="7" t="s">
        <v>76</v>
      </c>
      <c r="BB604" s="7" t="s">
        <v>10836</v>
      </c>
      <c r="BC604" s="7"/>
      <c r="BD604" s="7"/>
      <c r="BE604" s="7"/>
      <c r="BF604" s="7"/>
      <c r="BG604" s="7"/>
      <c r="BH604" s="7"/>
      <c r="BI604" s="7"/>
    </row>
    <row r="605" customFormat="false" ht="14.25" hidden="false" customHeight="true" outlineLevel="0" collapsed="false">
      <c r="A605" s="7" t="s">
        <v>10837</v>
      </c>
      <c r="B605" s="7" t="s">
        <v>10838</v>
      </c>
      <c r="C605" s="7" t="s">
        <v>10839</v>
      </c>
      <c r="D605" s="7" t="s">
        <v>10840</v>
      </c>
      <c r="E605" s="7" t="n">
        <v>2021</v>
      </c>
      <c r="F605" s="8" t="s">
        <v>10841</v>
      </c>
      <c r="G605" s="6" t="s">
        <v>149</v>
      </c>
      <c r="H605" s="7"/>
      <c r="I605" s="7"/>
      <c r="J605" s="7"/>
      <c r="K605" s="7"/>
      <c r="L605" s="7"/>
      <c r="M605" s="7"/>
      <c r="N605" s="7"/>
      <c r="O605" s="7"/>
      <c r="P605" s="7" t="s">
        <v>304</v>
      </c>
      <c r="Q605" s="7" t="s">
        <v>62</v>
      </c>
      <c r="R605" s="7" t="s">
        <v>10842</v>
      </c>
      <c r="S605" s="7"/>
      <c r="T605" s="7" t="s">
        <v>187</v>
      </c>
      <c r="U605" s="7"/>
      <c r="V605" s="7"/>
      <c r="W605" s="7" t="n">
        <v>4608</v>
      </c>
      <c r="X605" s="7" t="n">
        <v>4611</v>
      </c>
      <c r="Y605" s="7" t="n">
        <v>3</v>
      </c>
      <c r="Z605" s="7" t="s">
        <v>10843</v>
      </c>
      <c r="AA605" s="9" t="s">
        <v>10844</v>
      </c>
      <c r="AB605" s="7" t="s">
        <v>10845</v>
      </c>
      <c r="AC605" s="7" t="s">
        <v>10846</v>
      </c>
      <c r="AD605" s="7" t="s">
        <v>10847</v>
      </c>
      <c r="AE605" s="7" t="s">
        <v>10848</v>
      </c>
      <c r="AF605" s="7"/>
      <c r="AG605" s="7"/>
      <c r="AH605" s="7"/>
      <c r="AI605" s="7"/>
      <c r="AJ605" s="10" t="s">
        <v>10849</v>
      </c>
      <c r="AK605" s="7" t="s">
        <v>10850</v>
      </c>
      <c r="AL605" s="7" t="s">
        <v>10851</v>
      </c>
      <c r="AM605" s="7" t="s">
        <v>10852</v>
      </c>
      <c r="AN605" s="7"/>
      <c r="AO605" s="7" t="s">
        <v>10853</v>
      </c>
      <c r="AP605" s="7" t="s">
        <v>10854</v>
      </c>
      <c r="AQ605" s="7" t="s">
        <v>10855</v>
      </c>
      <c r="AR605" s="7" t="s">
        <v>10856</v>
      </c>
      <c r="AS605" s="7" t="n">
        <v>176845</v>
      </c>
      <c r="AT605" s="7"/>
      <c r="AU605" s="7"/>
      <c r="AV605" s="7" t="s">
        <v>10857</v>
      </c>
      <c r="AW605" s="7"/>
      <c r="AX605" s="7" t="s">
        <v>10858</v>
      </c>
      <c r="AY605" s="7" t="s">
        <v>75</v>
      </c>
      <c r="AZ605" s="7"/>
      <c r="BA605" s="7" t="s">
        <v>76</v>
      </c>
      <c r="BB605" s="7" t="s">
        <v>10859</v>
      </c>
      <c r="BC605" s="7"/>
      <c r="BD605" s="7"/>
      <c r="BE605" s="7"/>
      <c r="BF605" s="7"/>
      <c r="BG605" s="7"/>
      <c r="BH605" s="7"/>
      <c r="BI605" s="7"/>
    </row>
    <row r="606" customFormat="false" ht="14.25" hidden="false" customHeight="true" outlineLevel="0" collapsed="false">
      <c r="A606" s="7" t="s">
        <v>10860</v>
      </c>
      <c r="B606" s="7" t="s">
        <v>10861</v>
      </c>
      <c r="C606" s="7" t="s">
        <v>10862</v>
      </c>
      <c r="D606" s="6" t="s">
        <v>10863</v>
      </c>
      <c r="E606" s="7" t="n">
        <v>2021</v>
      </c>
      <c r="F606" s="8" t="s">
        <v>10864</v>
      </c>
      <c r="G606" s="6" t="s">
        <v>134</v>
      </c>
      <c r="H606" s="7"/>
      <c r="I606" s="7"/>
      <c r="J606" s="7"/>
      <c r="K606" s="7"/>
      <c r="L606" s="7"/>
      <c r="M606" s="7"/>
      <c r="N606" s="7"/>
      <c r="O606" s="7"/>
      <c r="P606" s="7" t="s">
        <v>304</v>
      </c>
      <c r="Q606" s="7" t="s">
        <v>62</v>
      </c>
      <c r="R606" s="7" t="s">
        <v>10865</v>
      </c>
      <c r="S606" s="7"/>
      <c r="T606" s="7" t="s">
        <v>187</v>
      </c>
      <c r="U606" s="7"/>
      <c r="V606" s="7"/>
      <c r="W606" s="7"/>
      <c r="X606" s="7"/>
      <c r="Y606" s="7"/>
      <c r="Z606" s="7" t="s">
        <v>10866</v>
      </c>
      <c r="AA606" s="9" t="s">
        <v>10867</v>
      </c>
      <c r="AB606" s="7" t="s">
        <v>10868</v>
      </c>
      <c r="AC606" s="7" t="s">
        <v>10869</v>
      </c>
      <c r="AD606" s="7" t="s">
        <v>10870</v>
      </c>
      <c r="AE606" s="7" t="s">
        <v>10871</v>
      </c>
      <c r="AF606" s="7"/>
      <c r="AG606" s="7"/>
      <c r="AH606" s="7"/>
      <c r="AI606" s="7"/>
      <c r="AJ606" s="10"/>
      <c r="AK606" s="7"/>
      <c r="AL606" s="7" t="s">
        <v>10872</v>
      </c>
      <c r="AM606" s="7"/>
      <c r="AN606" s="7"/>
      <c r="AO606" s="7"/>
      <c r="AP606" s="7" t="s">
        <v>10873</v>
      </c>
      <c r="AQ606" s="7" t="s">
        <v>10874</v>
      </c>
      <c r="AR606" s="7" t="s">
        <v>10875</v>
      </c>
      <c r="AS606" s="7" t="n">
        <v>175482</v>
      </c>
      <c r="AT606" s="7"/>
      <c r="AU606" s="7" t="s">
        <v>10876</v>
      </c>
      <c r="AV606" s="7"/>
      <c r="AW606" s="7"/>
      <c r="AX606" s="7" t="s">
        <v>10877</v>
      </c>
      <c r="AY606" s="7" t="s">
        <v>75</v>
      </c>
      <c r="AZ606" s="7"/>
      <c r="BA606" s="7" t="s">
        <v>76</v>
      </c>
      <c r="BB606" s="7" t="s">
        <v>10878</v>
      </c>
      <c r="BC606" s="7"/>
      <c r="BD606" s="7"/>
      <c r="BE606" s="7"/>
      <c r="BF606" s="7"/>
      <c r="BG606" s="7"/>
      <c r="BH606" s="7"/>
      <c r="BI606" s="7"/>
    </row>
    <row r="607" customFormat="false" ht="14.25" hidden="false" customHeight="true" outlineLevel="0" collapsed="false">
      <c r="A607" s="7" t="s">
        <v>10879</v>
      </c>
      <c r="B607" s="7" t="s">
        <v>10880</v>
      </c>
      <c r="C607" s="7" t="s">
        <v>10881</v>
      </c>
      <c r="D607" s="7" t="s">
        <v>10882</v>
      </c>
      <c r="E607" s="7" t="n">
        <v>2021</v>
      </c>
      <c r="F607" s="8" t="s">
        <v>10883</v>
      </c>
      <c r="G607" s="6" t="s">
        <v>134</v>
      </c>
      <c r="H607" s="7"/>
      <c r="I607" s="7"/>
      <c r="J607" s="7"/>
      <c r="K607" s="7"/>
      <c r="L607" s="7"/>
      <c r="M607" s="7"/>
      <c r="N607" s="7"/>
      <c r="O607" s="7"/>
      <c r="P607" s="7" t="s">
        <v>304</v>
      </c>
      <c r="Q607" s="7" t="s">
        <v>62</v>
      </c>
      <c r="R607" s="7" t="s">
        <v>10148</v>
      </c>
      <c r="S607" s="7" t="n">
        <v>1141</v>
      </c>
      <c r="T607" s="7" t="s">
        <v>586</v>
      </c>
      <c r="U607" s="7"/>
      <c r="V607" s="7"/>
      <c r="W607" s="7" t="n">
        <v>187</v>
      </c>
      <c r="X607" s="7" t="n">
        <v>195</v>
      </c>
      <c r="Y607" s="7" t="n">
        <v>8</v>
      </c>
      <c r="Z607" s="7" t="s">
        <v>10884</v>
      </c>
      <c r="AA607" s="9" t="s">
        <v>10885</v>
      </c>
      <c r="AB607" s="7" t="s">
        <v>10886</v>
      </c>
      <c r="AC607" s="7" t="s">
        <v>10887</v>
      </c>
      <c r="AD607" s="7" t="s">
        <v>10888</v>
      </c>
      <c r="AE607" s="7" t="s">
        <v>10889</v>
      </c>
      <c r="AF607" s="7"/>
      <c r="AG607" s="7"/>
      <c r="AH607" s="7"/>
      <c r="AI607" s="7"/>
      <c r="AJ607" s="10"/>
      <c r="AK607" s="7"/>
      <c r="AL607" s="7" t="s">
        <v>10890</v>
      </c>
      <c r="AM607" s="7" t="s">
        <v>10891</v>
      </c>
      <c r="AN607" s="7" t="s">
        <v>10892</v>
      </c>
      <c r="AO607" s="7"/>
      <c r="AP607" s="7" t="s">
        <v>10893</v>
      </c>
      <c r="AQ607" s="7" t="s">
        <v>10894</v>
      </c>
      <c r="AR607" s="7" t="s">
        <v>2457</v>
      </c>
      <c r="AS607" s="7" t="n">
        <v>240399</v>
      </c>
      <c r="AT607" s="7" t="n">
        <v>21945357</v>
      </c>
      <c r="AU607" s="7" t="s">
        <v>10895</v>
      </c>
      <c r="AV607" s="7"/>
      <c r="AW607" s="7"/>
      <c r="AX607" s="7" t="s">
        <v>10162</v>
      </c>
      <c r="AY607" s="7" t="s">
        <v>75</v>
      </c>
      <c r="AZ607" s="7"/>
      <c r="BA607" s="7" t="s">
        <v>76</v>
      </c>
      <c r="BB607" s="7" t="s">
        <v>10896</v>
      </c>
      <c r="BC607" s="7"/>
      <c r="BD607" s="7"/>
      <c r="BE607" s="7"/>
      <c r="BF607" s="7"/>
      <c r="BG607" s="7"/>
      <c r="BH607" s="7"/>
      <c r="BI607" s="7"/>
    </row>
    <row r="608" customFormat="false" ht="14.25" hidden="false" customHeight="true" outlineLevel="0" collapsed="false">
      <c r="A608" s="7" t="s">
        <v>10897</v>
      </c>
      <c r="B608" s="7" t="s">
        <v>10898</v>
      </c>
      <c r="C608" s="7" t="s">
        <v>10899</v>
      </c>
      <c r="D608" s="7" t="s">
        <v>10900</v>
      </c>
      <c r="E608" s="7" t="n">
        <v>2021</v>
      </c>
      <c r="F608" s="8" t="s">
        <v>10901</v>
      </c>
      <c r="G608" s="6" t="s">
        <v>134</v>
      </c>
      <c r="H608" s="7"/>
      <c r="I608" s="7"/>
      <c r="J608" s="7"/>
      <c r="K608" s="7"/>
      <c r="L608" s="7"/>
      <c r="M608" s="7"/>
      <c r="N608" s="7"/>
      <c r="O608" s="7"/>
      <c r="P608" s="7" t="s">
        <v>304</v>
      </c>
      <c r="Q608" s="7" t="s">
        <v>62</v>
      </c>
      <c r="R608" s="7" t="s">
        <v>10247</v>
      </c>
      <c r="S608" s="7"/>
      <c r="T608" s="7" t="s">
        <v>187</v>
      </c>
      <c r="U608" s="7"/>
      <c r="V608" s="7"/>
      <c r="W608" s="7" t="n">
        <v>1789</v>
      </c>
      <c r="X608" s="7" t="n">
        <v>1792</v>
      </c>
      <c r="Y608" s="7" t="n">
        <v>3</v>
      </c>
      <c r="Z608" s="7" t="s">
        <v>10902</v>
      </c>
      <c r="AA608" s="9" t="s">
        <v>10903</v>
      </c>
      <c r="AB608" s="7" t="s">
        <v>10904</v>
      </c>
      <c r="AC608" s="7" t="s">
        <v>10905</v>
      </c>
      <c r="AD608" s="7" t="s">
        <v>10906</v>
      </c>
      <c r="AE608" s="7" t="s">
        <v>10907</v>
      </c>
      <c r="AF608" s="7"/>
      <c r="AG608" s="7"/>
      <c r="AH608" s="7"/>
      <c r="AI608" s="7"/>
      <c r="AJ608" s="10"/>
      <c r="AK608" s="7"/>
      <c r="AL608" s="7" t="s">
        <v>10908</v>
      </c>
      <c r="AM608" s="7"/>
      <c r="AN608" s="7" t="s">
        <v>10255</v>
      </c>
      <c r="AO608" s="7"/>
      <c r="AP608" s="7" t="s">
        <v>10256</v>
      </c>
      <c r="AQ608" s="7" t="s">
        <v>10257</v>
      </c>
      <c r="AR608" s="7" t="s">
        <v>3435</v>
      </c>
      <c r="AS608" s="7" t="n">
        <v>177627</v>
      </c>
      <c r="AT608" s="7"/>
      <c r="AU608" s="7" t="s">
        <v>10258</v>
      </c>
      <c r="AV608" s="7"/>
      <c r="AW608" s="7"/>
      <c r="AX608" s="7" t="s">
        <v>10259</v>
      </c>
      <c r="AY608" s="7" t="s">
        <v>75</v>
      </c>
      <c r="AZ608" s="7"/>
      <c r="BA608" s="7" t="s">
        <v>76</v>
      </c>
      <c r="BB608" s="7" t="s">
        <v>10909</v>
      </c>
      <c r="BC608" s="7"/>
      <c r="BD608" s="7"/>
      <c r="BE608" s="7"/>
      <c r="BF608" s="7"/>
      <c r="BG608" s="7"/>
      <c r="BH608" s="7"/>
      <c r="BI608" s="7"/>
    </row>
    <row r="609" customFormat="false" ht="14.25" hidden="false" customHeight="true" outlineLevel="0" collapsed="false">
      <c r="A609" s="7" t="s">
        <v>10910</v>
      </c>
      <c r="B609" s="7" t="s">
        <v>10911</v>
      </c>
      <c r="C609" s="7" t="s">
        <v>10912</v>
      </c>
      <c r="D609" s="7" t="s">
        <v>10913</v>
      </c>
      <c r="E609" s="7" t="n">
        <v>2021</v>
      </c>
      <c r="F609" s="8" t="s">
        <v>10914</v>
      </c>
      <c r="G609" s="6" t="s">
        <v>134</v>
      </c>
      <c r="H609" s="7"/>
      <c r="I609" s="7"/>
      <c r="J609" s="7"/>
      <c r="K609" s="7"/>
      <c r="L609" s="7"/>
      <c r="M609" s="7"/>
      <c r="N609" s="7"/>
      <c r="O609" s="7"/>
      <c r="P609" s="7" t="s">
        <v>304</v>
      </c>
      <c r="Q609" s="7" t="s">
        <v>62</v>
      </c>
      <c r="R609" s="7" t="s">
        <v>10915</v>
      </c>
      <c r="S609" s="7"/>
      <c r="T609" s="7" t="s">
        <v>187</v>
      </c>
      <c r="U609" s="7"/>
      <c r="V609" s="7"/>
      <c r="W609" s="7"/>
      <c r="X609" s="7"/>
      <c r="Y609" s="7"/>
      <c r="Z609" s="7" t="s">
        <v>10916</v>
      </c>
      <c r="AA609" s="9" t="s">
        <v>10917</v>
      </c>
      <c r="AB609" s="7" t="s">
        <v>10918</v>
      </c>
      <c r="AC609" s="7" t="s">
        <v>10919</v>
      </c>
      <c r="AD609" s="7" t="s">
        <v>10920</v>
      </c>
      <c r="AE609" s="7" t="s">
        <v>10921</v>
      </c>
      <c r="AF609" s="7"/>
      <c r="AG609" s="7"/>
      <c r="AH609" s="7"/>
      <c r="AI609" s="7"/>
      <c r="AJ609" s="10"/>
      <c r="AK609" s="7"/>
      <c r="AL609" s="7" t="s">
        <v>10922</v>
      </c>
      <c r="AM609" s="7"/>
      <c r="AN609" s="7"/>
      <c r="AO609" s="7"/>
      <c r="AP609" s="7" t="s">
        <v>10923</v>
      </c>
      <c r="AQ609" s="7" t="s">
        <v>10924</v>
      </c>
      <c r="AR609" s="7" t="s">
        <v>5337</v>
      </c>
      <c r="AS609" s="7" t="n">
        <v>175935</v>
      </c>
      <c r="AT609" s="7"/>
      <c r="AU609" s="7" t="s">
        <v>10925</v>
      </c>
      <c r="AV609" s="7"/>
      <c r="AW609" s="7"/>
      <c r="AX609" s="7" t="s">
        <v>10926</v>
      </c>
      <c r="AY609" s="7" t="s">
        <v>75</v>
      </c>
      <c r="AZ609" s="7"/>
      <c r="BA609" s="7" t="s">
        <v>76</v>
      </c>
      <c r="BB609" s="7" t="s">
        <v>10927</v>
      </c>
      <c r="BC609" s="7"/>
      <c r="BD609" s="7"/>
      <c r="BE609" s="7"/>
      <c r="BF609" s="7"/>
      <c r="BG609" s="7"/>
      <c r="BH609" s="7"/>
      <c r="BI609" s="7"/>
    </row>
    <row r="610" customFormat="false" ht="14.25" hidden="false" customHeight="true" outlineLevel="0" collapsed="false">
      <c r="A610" s="7" t="s">
        <v>10928</v>
      </c>
      <c r="B610" s="7" t="s">
        <v>10929</v>
      </c>
      <c r="C610" s="7" t="s">
        <v>10930</v>
      </c>
      <c r="D610" s="7" t="s">
        <v>10931</v>
      </c>
      <c r="E610" s="7" t="n">
        <v>2021</v>
      </c>
      <c r="F610" s="8" t="s">
        <v>10932</v>
      </c>
      <c r="G610" s="6" t="s">
        <v>134</v>
      </c>
      <c r="H610" s="7"/>
      <c r="I610" s="7"/>
      <c r="J610" s="7"/>
      <c r="K610" s="7"/>
      <c r="L610" s="7"/>
      <c r="M610" s="7"/>
      <c r="N610" s="7"/>
      <c r="O610" s="7"/>
      <c r="P610" s="7" t="s">
        <v>304</v>
      </c>
      <c r="Q610" s="7" t="s">
        <v>62</v>
      </c>
      <c r="R610" s="7" t="s">
        <v>10933</v>
      </c>
      <c r="S610" s="7"/>
      <c r="T610" s="7" t="s">
        <v>187</v>
      </c>
      <c r="U610" s="7"/>
      <c r="V610" s="7"/>
      <c r="W610" s="7"/>
      <c r="X610" s="7"/>
      <c r="Y610" s="7"/>
      <c r="Z610" s="7" t="s">
        <v>10934</v>
      </c>
      <c r="AA610" s="9" t="s">
        <v>10935</v>
      </c>
      <c r="AB610" s="7" t="s">
        <v>10936</v>
      </c>
      <c r="AC610" s="7" t="s">
        <v>10937</v>
      </c>
      <c r="AD610" s="7" t="s">
        <v>10938</v>
      </c>
      <c r="AE610" s="7" t="s">
        <v>10939</v>
      </c>
      <c r="AF610" s="7"/>
      <c r="AG610" s="7"/>
      <c r="AH610" s="7"/>
      <c r="AI610" s="7"/>
      <c r="AJ610" s="10"/>
      <c r="AK610" s="7"/>
      <c r="AL610" s="7" t="s">
        <v>10940</v>
      </c>
      <c r="AM610" s="7" t="s">
        <v>10941</v>
      </c>
      <c r="AN610" s="7"/>
      <c r="AO610" s="7"/>
      <c r="AP610" s="7" t="s">
        <v>10933</v>
      </c>
      <c r="AQ610" s="7" t="s">
        <v>10942</v>
      </c>
      <c r="AR610" s="7" t="s">
        <v>10943</v>
      </c>
      <c r="AS610" s="7" t="n">
        <v>177081</v>
      </c>
      <c r="AT610" s="7"/>
      <c r="AU610" s="7" t="s">
        <v>10944</v>
      </c>
      <c r="AV610" s="7"/>
      <c r="AW610" s="7"/>
      <c r="AX610" s="7" t="s">
        <v>10945</v>
      </c>
      <c r="AY610" s="7" t="s">
        <v>75</v>
      </c>
      <c r="AZ610" s="7"/>
      <c r="BA610" s="7" t="s">
        <v>76</v>
      </c>
      <c r="BB610" s="7" t="s">
        <v>10946</v>
      </c>
      <c r="BC610" s="7"/>
      <c r="BD610" s="7"/>
      <c r="BE610" s="7"/>
      <c r="BF610" s="7"/>
      <c r="BG610" s="7"/>
      <c r="BH610" s="7"/>
      <c r="BI610" s="7"/>
    </row>
    <row r="611" customFormat="false" ht="14.25" hidden="false" customHeight="true" outlineLevel="0" collapsed="false">
      <c r="A611" s="7" t="s">
        <v>10947</v>
      </c>
      <c r="B611" s="7" t="s">
        <v>10948</v>
      </c>
      <c r="C611" s="7" t="s">
        <v>10949</v>
      </c>
      <c r="D611" s="7" t="s">
        <v>10950</v>
      </c>
      <c r="E611" s="7" t="n">
        <v>2021</v>
      </c>
      <c r="F611" s="8" t="s">
        <v>10951</v>
      </c>
      <c r="G611" s="6" t="s">
        <v>134</v>
      </c>
      <c r="H611" s="7"/>
      <c r="I611" s="7"/>
      <c r="J611" s="7"/>
      <c r="K611" s="7"/>
      <c r="L611" s="7"/>
      <c r="M611" s="7"/>
      <c r="N611" s="7"/>
      <c r="O611" s="7"/>
      <c r="P611" s="7" t="s">
        <v>304</v>
      </c>
      <c r="Q611" s="7" t="s">
        <v>62</v>
      </c>
      <c r="R611" s="7" t="s">
        <v>10952</v>
      </c>
      <c r="S611" s="7"/>
      <c r="T611" s="7" t="s">
        <v>187</v>
      </c>
      <c r="U611" s="7"/>
      <c r="V611" s="7"/>
      <c r="W611" s="7"/>
      <c r="X611" s="7"/>
      <c r="Y611" s="7"/>
      <c r="Z611" s="7" t="s">
        <v>10953</v>
      </c>
      <c r="AA611" s="9" t="s">
        <v>10954</v>
      </c>
      <c r="AB611" s="7" t="s">
        <v>10955</v>
      </c>
      <c r="AC611" s="7" t="s">
        <v>10956</v>
      </c>
      <c r="AD611" s="7" t="s">
        <v>10957</v>
      </c>
      <c r="AE611" s="7" t="s">
        <v>10958</v>
      </c>
      <c r="AF611" s="7"/>
      <c r="AG611" s="7"/>
      <c r="AH611" s="7"/>
      <c r="AI611" s="7"/>
      <c r="AJ611" s="10"/>
      <c r="AK611" s="7"/>
      <c r="AL611" s="7" t="s">
        <v>10959</v>
      </c>
      <c r="AM611" s="7"/>
      <c r="AN611" s="7"/>
      <c r="AO611" s="7"/>
      <c r="AP611" s="7" t="s">
        <v>10960</v>
      </c>
      <c r="AQ611" s="7" t="s">
        <v>10961</v>
      </c>
      <c r="AR611" s="7" t="s">
        <v>5337</v>
      </c>
      <c r="AS611" s="7" t="n">
        <v>176997</v>
      </c>
      <c r="AT611" s="7"/>
      <c r="AU611" s="7" t="s">
        <v>10962</v>
      </c>
      <c r="AV611" s="7"/>
      <c r="AW611" s="7"/>
      <c r="AX611" s="7" t="s">
        <v>10963</v>
      </c>
      <c r="AY611" s="7" t="s">
        <v>75</v>
      </c>
      <c r="AZ611" s="7"/>
      <c r="BA611" s="7" t="s">
        <v>76</v>
      </c>
      <c r="BB611" s="7" t="s">
        <v>10964</v>
      </c>
      <c r="BC611" s="7"/>
      <c r="BD611" s="7"/>
      <c r="BE611" s="7"/>
      <c r="BF611" s="7"/>
      <c r="BG611" s="7"/>
      <c r="BH611" s="7"/>
      <c r="BI611" s="7"/>
    </row>
    <row r="612" customFormat="false" ht="14.25" hidden="false" customHeight="true" outlineLevel="0" collapsed="false">
      <c r="A612" s="7" t="s">
        <v>10965</v>
      </c>
      <c r="B612" s="7" t="s">
        <v>10966</v>
      </c>
      <c r="C612" s="7" t="s">
        <v>10967</v>
      </c>
      <c r="D612" s="7" t="s">
        <v>10968</v>
      </c>
      <c r="E612" s="7" t="n">
        <v>2021</v>
      </c>
      <c r="F612" s="8" t="s">
        <v>10969</v>
      </c>
      <c r="G612" s="6" t="s">
        <v>134</v>
      </c>
      <c r="H612" s="7"/>
      <c r="I612" s="7"/>
      <c r="J612" s="7"/>
      <c r="K612" s="7"/>
      <c r="L612" s="7"/>
      <c r="M612" s="7"/>
      <c r="N612" s="7"/>
      <c r="O612" s="7"/>
      <c r="P612" s="7" t="s">
        <v>304</v>
      </c>
      <c r="Q612" s="7" t="s">
        <v>62</v>
      </c>
      <c r="R612" s="7" t="s">
        <v>5757</v>
      </c>
      <c r="S612" s="7" t="n">
        <v>2107</v>
      </c>
      <c r="T612" s="7" t="s">
        <v>9087</v>
      </c>
      <c r="U612" s="7" t="n">
        <v>1</v>
      </c>
      <c r="V612" s="7" t="n">
        <v>12031</v>
      </c>
      <c r="W612" s="7"/>
      <c r="X612" s="7"/>
      <c r="Y612" s="7"/>
      <c r="Z612" s="7" t="s">
        <v>10970</v>
      </c>
      <c r="AA612" s="9" t="s">
        <v>10971</v>
      </c>
      <c r="AB612" s="7" t="s">
        <v>10972</v>
      </c>
      <c r="AC612" s="7" t="s">
        <v>10973</v>
      </c>
      <c r="AD612" s="7" t="s">
        <v>10974</v>
      </c>
      <c r="AE612" s="7" t="s">
        <v>10975</v>
      </c>
      <c r="AF612" s="7"/>
      <c r="AG612" s="7"/>
      <c r="AH612" s="7"/>
      <c r="AI612" s="7"/>
      <c r="AJ612" s="10"/>
      <c r="AK612" s="7"/>
      <c r="AL612" s="7" t="s">
        <v>10976</v>
      </c>
      <c r="AM612" s="7" t="s">
        <v>10977</v>
      </c>
      <c r="AN612" s="7" t="s">
        <v>10978</v>
      </c>
      <c r="AO612" s="7" t="s">
        <v>10979</v>
      </c>
      <c r="AP612" s="7" t="s">
        <v>10980</v>
      </c>
      <c r="AQ612" s="7" t="s">
        <v>10981</v>
      </c>
      <c r="AR612" s="7" t="s">
        <v>10982</v>
      </c>
      <c r="AS612" s="7" t="n">
        <v>175637</v>
      </c>
      <c r="AT612" s="7" t="n">
        <v>17426588</v>
      </c>
      <c r="AU612" s="7"/>
      <c r="AV612" s="7"/>
      <c r="AW612" s="7"/>
      <c r="AX612" s="7" t="s">
        <v>5771</v>
      </c>
      <c r="AY612" s="7" t="s">
        <v>75</v>
      </c>
      <c r="AZ612" s="7" t="s">
        <v>127</v>
      </c>
      <c r="BA612" s="7" t="s">
        <v>76</v>
      </c>
      <c r="BB612" s="7" t="s">
        <v>10983</v>
      </c>
      <c r="BC612" s="7"/>
      <c r="BD612" s="7"/>
      <c r="BE612" s="7"/>
      <c r="BF612" s="7"/>
      <c r="BG612" s="7"/>
      <c r="BH612" s="7"/>
      <c r="BI612" s="7"/>
    </row>
    <row r="613" customFormat="false" ht="14.25" hidden="false" customHeight="true" outlineLevel="0" collapsed="false">
      <c r="A613" s="7" t="s">
        <v>10984</v>
      </c>
      <c r="B613" s="7" t="s">
        <v>10985</v>
      </c>
      <c r="C613" s="7" t="s">
        <v>10986</v>
      </c>
      <c r="D613" s="7" t="s">
        <v>10987</v>
      </c>
      <c r="E613" s="7" t="n">
        <v>2021</v>
      </c>
      <c r="F613" s="8" t="s">
        <v>10988</v>
      </c>
      <c r="G613" s="6" t="s">
        <v>134</v>
      </c>
      <c r="H613" s="7"/>
      <c r="I613" s="7"/>
      <c r="J613" s="7"/>
      <c r="K613" s="7"/>
      <c r="L613" s="7"/>
      <c r="M613" s="7"/>
      <c r="N613" s="7"/>
      <c r="O613" s="7"/>
      <c r="P613" s="7" t="s">
        <v>304</v>
      </c>
      <c r="Q613" s="7" t="s">
        <v>62</v>
      </c>
      <c r="R613" s="7" t="s">
        <v>350</v>
      </c>
      <c r="S613" s="7" t="n">
        <v>166</v>
      </c>
      <c r="T613" s="7" t="s">
        <v>307</v>
      </c>
      <c r="U613" s="7"/>
      <c r="V613" s="7"/>
      <c r="W613" s="7" t="n">
        <v>713</v>
      </c>
      <c r="X613" s="7" t="n">
        <v>719</v>
      </c>
      <c r="Y613" s="7" t="n">
        <v>6</v>
      </c>
      <c r="Z613" s="7" t="s">
        <v>10989</v>
      </c>
      <c r="AA613" s="9" t="s">
        <v>10990</v>
      </c>
      <c r="AB613" s="7" t="s">
        <v>10991</v>
      </c>
      <c r="AC613" s="7" t="s">
        <v>10992</v>
      </c>
      <c r="AD613" s="7" t="s">
        <v>10993</v>
      </c>
      <c r="AE613" s="7"/>
      <c r="AF613" s="7"/>
      <c r="AG613" s="7"/>
      <c r="AH613" s="7"/>
      <c r="AI613" s="7"/>
      <c r="AJ613" s="10"/>
      <c r="AK613" s="7"/>
      <c r="AL613" s="7" t="s">
        <v>10994</v>
      </c>
      <c r="AM613" s="7" t="s">
        <v>10995</v>
      </c>
      <c r="AN613" s="7" t="s">
        <v>10996</v>
      </c>
      <c r="AO613" s="7"/>
      <c r="AP613" s="7" t="s">
        <v>10997</v>
      </c>
      <c r="AQ613" s="7" t="s">
        <v>10998</v>
      </c>
      <c r="AR613" s="7" t="s">
        <v>2457</v>
      </c>
      <c r="AS613" s="7" t="n">
        <v>254869</v>
      </c>
      <c r="AT613" s="7" t="n">
        <v>23673370</v>
      </c>
      <c r="AU613" s="7" t="s">
        <v>10999</v>
      </c>
      <c r="AV613" s="7"/>
      <c r="AW613" s="7"/>
      <c r="AX613" s="7" t="s">
        <v>365</v>
      </c>
      <c r="AY613" s="7" t="s">
        <v>75</v>
      </c>
      <c r="AZ613" s="7"/>
      <c r="BA613" s="7" t="s">
        <v>76</v>
      </c>
      <c r="BB613" s="7" t="s">
        <v>11000</v>
      </c>
      <c r="BC613" s="7"/>
      <c r="BD613" s="7"/>
      <c r="BE613" s="7"/>
      <c r="BF613" s="7"/>
      <c r="BG613" s="7"/>
      <c r="BH613" s="7"/>
      <c r="BI613" s="7"/>
    </row>
    <row r="614" customFormat="false" ht="14.25" hidden="false" customHeight="true" outlineLevel="0" collapsed="false">
      <c r="A614" s="7" t="s">
        <v>11001</v>
      </c>
      <c r="B614" s="7" t="s">
        <v>11002</v>
      </c>
      <c r="C614" s="7" t="s">
        <v>11003</v>
      </c>
      <c r="D614" s="7" t="s">
        <v>11004</v>
      </c>
      <c r="E614" s="7" t="n">
        <v>2021</v>
      </c>
      <c r="F614" s="8" t="s">
        <v>11005</v>
      </c>
      <c r="G614" s="6" t="s">
        <v>134</v>
      </c>
      <c r="H614" s="7"/>
      <c r="I614" s="7"/>
      <c r="J614" s="7"/>
      <c r="K614" s="7"/>
      <c r="L614" s="7"/>
      <c r="M614" s="7"/>
      <c r="N614" s="7"/>
      <c r="O614" s="7"/>
      <c r="P614" s="7" t="s">
        <v>304</v>
      </c>
      <c r="Q614" s="7" t="s">
        <v>62</v>
      </c>
      <c r="R614" s="7" t="s">
        <v>350</v>
      </c>
      <c r="S614" s="7" t="n">
        <v>154</v>
      </c>
      <c r="T614" s="7" t="s">
        <v>307</v>
      </c>
      <c r="U614" s="7"/>
      <c r="V614" s="7"/>
      <c r="W614" s="7" t="n">
        <v>165</v>
      </c>
      <c r="X614" s="7" t="n">
        <v>172</v>
      </c>
      <c r="Y614" s="7" t="n">
        <v>7</v>
      </c>
      <c r="Z614" s="7" t="s">
        <v>11006</v>
      </c>
      <c r="AA614" s="9" t="s">
        <v>11007</v>
      </c>
      <c r="AB614" s="7" t="s">
        <v>11008</v>
      </c>
      <c r="AC614" s="7" t="s">
        <v>11009</v>
      </c>
      <c r="AD614" s="7" t="s">
        <v>11010</v>
      </c>
      <c r="AE614" s="7"/>
      <c r="AF614" s="7"/>
      <c r="AG614" s="7"/>
      <c r="AH614" s="7"/>
      <c r="AI614" s="7"/>
      <c r="AJ614" s="10"/>
      <c r="AK614" s="7"/>
      <c r="AL614" s="7" t="s">
        <v>11011</v>
      </c>
      <c r="AM614" s="7" t="s">
        <v>11012</v>
      </c>
      <c r="AN614" s="7" t="s">
        <v>11013</v>
      </c>
      <c r="AO614" s="7"/>
      <c r="AP614" s="7" t="s">
        <v>11014</v>
      </c>
      <c r="AQ614" s="7" t="s">
        <v>11015</v>
      </c>
      <c r="AR614" s="7" t="s">
        <v>11016</v>
      </c>
      <c r="AS614" s="7" t="n">
        <v>253209</v>
      </c>
      <c r="AT614" s="7" t="n">
        <v>23673370</v>
      </c>
      <c r="AU614" s="7" t="s">
        <v>11017</v>
      </c>
      <c r="AV614" s="7"/>
      <c r="AW614" s="7"/>
      <c r="AX614" s="7" t="s">
        <v>365</v>
      </c>
      <c r="AY614" s="7" t="s">
        <v>75</v>
      </c>
      <c r="AZ614" s="7"/>
      <c r="BA614" s="7" t="s">
        <v>76</v>
      </c>
      <c r="BB614" s="7" t="s">
        <v>11018</v>
      </c>
      <c r="BC614" s="7"/>
      <c r="BD614" s="7"/>
      <c r="BE614" s="7"/>
      <c r="BF614" s="7"/>
      <c r="BG614" s="7"/>
      <c r="BH614" s="7"/>
      <c r="BI614" s="7"/>
    </row>
    <row r="615" customFormat="false" ht="14.25" hidden="false" customHeight="true" outlineLevel="0" collapsed="false">
      <c r="A615" s="7" t="s">
        <v>11019</v>
      </c>
      <c r="B615" s="7" t="s">
        <v>11020</v>
      </c>
      <c r="C615" s="7" t="s">
        <v>11021</v>
      </c>
      <c r="D615" s="7" t="s">
        <v>11022</v>
      </c>
      <c r="E615" s="7" t="n">
        <v>2021</v>
      </c>
      <c r="F615" s="8" t="s">
        <v>11023</v>
      </c>
      <c r="G615" s="6" t="s">
        <v>134</v>
      </c>
      <c r="H615" s="7"/>
      <c r="I615" s="7"/>
      <c r="J615" s="7"/>
      <c r="K615" s="7"/>
      <c r="L615" s="7"/>
      <c r="M615" s="7"/>
      <c r="N615" s="7"/>
      <c r="O615" s="7"/>
      <c r="P615" s="7" t="s">
        <v>304</v>
      </c>
      <c r="Q615" s="7" t="s">
        <v>62</v>
      </c>
      <c r="R615" s="7" t="s">
        <v>11024</v>
      </c>
      <c r="S615" s="7"/>
      <c r="T615" s="7" t="s">
        <v>187</v>
      </c>
      <c r="U615" s="7"/>
      <c r="V615" s="7"/>
      <c r="W615" s="7" t="n">
        <v>371</v>
      </c>
      <c r="X615" s="7" t="n">
        <v>376</v>
      </c>
      <c r="Y615" s="7" t="n">
        <v>5</v>
      </c>
      <c r="Z615" s="7" t="s">
        <v>11025</v>
      </c>
      <c r="AA615" s="9" t="s">
        <v>11026</v>
      </c>
      <c r="AB615" s="7" t="s">
        <v>11027</v>
      </c>
      <c r="AC615" s="7" t="s">
        <v>11028</v>
      </c>
      <c r="AD615" s="7" t="s">
        <v>11029</v>
      </c>
      <c r="AE615" s="7" t="s">
        <v>11030</v>
      </c>
      <c r="AF615" s="7"/>
      <c r="AG615" s="7"/>
      <c r="AH615" s="7"/>
      <c r="AI615" s="7"/>
      <c r="AJ615" s="10"/>
      <c r="AK615" s="7"/>
      <c r="AL615" s="7" t="s">
        <v>11031</v>
      </c>
      <c r="AM615" s="7"/>
      <c r="AN615" s="7"/>
      <c r="AO615" s="7"/>
      <c r="AP615" s="7" t="s">
        <v>11032</v>
      </c>
      <c r="AQ615" s="7" t="s">
        <v>11033</v>
      </c>
      <c r="AR615" s="7" t="s">
        <v>5337</v>
      </c>
      <c r="AS615" s="7" t="n">
        <v>176365</v>
      </c>
      <c r="AT615" s="7"/>
      <c r="AU615" s="7" t="s">
        <v>11034</v>
      </c>
      <c r="AV615" s="7"/>
      <c r="AW615" s="7"/>
      <c r="AX615" s="7" t="s">
        <v>11035</v>
      </c>
      <c r="AY615" s="7" t="s">
        <v>75</v>
      </c>
      <c r="AZ615" s="7"/>
      <c r="BA615" s="7" t="s">
        <v>76</v>
      </c>
      <c r="BB615" s="7" t="s">
        <v>11036</v>
      </c>
      <c r="BC615" s="7"/>
      <c r="BD615" s="7"/>
      <c r="BE615" s="7"/>
      <c r="BF615" s="7"/>
      <c r="BG615" s="7"/>
      <c r="BH615" s="7"/>
      <c r="BI615" s="7"/>
    </row>
    <row r="616" customFormat="false" ht="14.25" hidden="false" customHeight="true" outlineLevel="0" collapsed="false">
      <c r="A616" s="7" t="s">
        <v>11037</v>
      </c>
      <c r="B616" s="7" t="s">
        <v>11038</v>
      </c>
      <c r="C616" s="7" t="s">
        <v>11039</v>
      </c>
      <c r="D616" s="7" t="s">
        <v>11040</v>
      </c>
      <c r="E616" s="7" t="n">
        <v>2021</v>
      </c>
      <c r="F616" s="8" t="s">
        <v>11041</v>
      </c>
      <c r="G616" s="6" t="s">
        <v>134</v>
      </c>
      <c r="H616" s="7"/>
      <c r="I616" s="7"/>
      <c r="J616" s="7"/>
      <c r="K616" s="7"/>
      <c r="L616" s="7"/>
      <c r="M616" s="7"/>
      <c r="N616" s="7"/>
      <c r="O616" s="7"/>
      <c r="P616" s="7" t="s">
        <v>304</v>
      </c>
      <c r="Q616" s="7" t="s">
        <v>62</v>
      </c>
      <c r="R616" s="7" t="s">
        <v>11042</v>
      </c>
      <c r="S616" s="7"/>
      <c r="T616" s="7" t="s">
        <v>187</v>
      </c>
      <c r="U616" s="7"/>
      <c r="V616" s="7"/>
      <c r="W616" s="7"/>
      <c r="X616" s="7"/>
      <c r="Y616" s="7"/>
      <c r="Z616" s="7" t="s">
        <v>11043</v>
      </c>
      <c r="AA616" s="9" t="s">
        <v>11044</v>
      </c>
      <c r="AB616" s="7" t="s">
        <v>11045</v>
      </c>
      <c r="AC616" s="7" t="s">
        <v>11046</v>
      </c>
      <c r="AD616" s="7" t="s">
        <v>11047</v>
      </c>
      <c r="AE616" s="7" t="s">
        <v>11048</v>
      </c>
      <c r="AF616" s="7"/>
      <c r="AG616" s="7"/>
      <c r="AH616" s="7"/>
      <c r="AI616" s="7"/>
      <c r="AJ616" s="10"/>
      <c r="AK616" s="7"/>
      <c r="AL616" s="7" t="s">
        <v>11049</v>
      </c>
      <c r="AM616" s="7"/>
      <c r="AN616" s="7"/>
      <c r="AO616" s="7"/>
      <c r="AP616" s="7" t="s">
        <v>11050</v>
      </c>
      <c r="AQ616" s="7" t="s">
        <v>11051</v>
      </c>
      <c r="AR616" s="7" t="s">
        <v>11052</v>
      </c>
      <c r="AS616" s="7" t="n">
        <v>176852</v>
      </c>
      <c r="AT616" s="7"/>
      <c r="AU616" s="7" t="s">
        <v>11053</v>
      </c>
      <c r="AV616" s="7"/>
      <c r="AW616" s="7"/>
      <c r="AX616" s="7" t="s">
        <v>11054</v>
      </c>
      <c r="AY616" s="7" t="s">
        <v>75</v>
      </c>
      <c r="AZ616" s="7"/>
      <c r="BA616" s="7" t="s">
        <v>76</v>
      </c>
      <c r="BB616" s="7" t="s">
        <v>11055</v>
      </c>
      <c r="BC616" s="7"/>
      <c r="BD616" s="7"/>
      <c r="BE616" s="7"/>
      <c r="BF616" s="7"/>
      <c r="BG616" s="7"/>
      <c r="BH616" s="7"/>
      <c r="BI616" s="7"/>
    </row>
    <row r="617" customFormat="false" ht="14.25" hidden="false" customHeight="true" outlineLevel="0" collapsed="false">
      <c r="A617" s="7" t="s">
        <v>11056</v>
      </c>
      <c r="B617" s="7" t="s">
        <v>11057</v>
      </c>
      <c r="C617" s="7" t="s">
        <v>11058</v>
      </c>
      <c r="D617" s="7" t="s">
        <v>11059</v>
      </c>
      <c r="E617" s="7" t="n">
        <v>2021</v>
      </c>
      <c r="F617" s="8" t="s">
        <v>11060</v>
      </c>
      <c r="G617" s="6" t="s">
        <v>149</v>
      </c>
      <c r="H617" s="7"/>
      <c r="I617" s="7"/>
      <c r="J617" s="7"/>
      <c r="K617" s="7"/>
      <c r="L617" s="7"/>
      <c r="M617" s="7"/>
      <c r="N617" s="7"/>
      <c r="O617" s="7"/>
      <c r="P617" s="7" t="s">
        <v>304</v>
      </c>
      <c r="Q617" s="7" t="s">
        <v>62</v>
      </c>
      <c r="R617" s="7" t="s">
        <v>5757</v>
      </c>
      <c r="S617" s="7" t="n">
        <v>1898</v>
      </c>
      <c r="T617" s="7" t="s">
        <v>9087</v>
      </c>
      <c r="U617" s="7" t="n">
        <v>1</v>
      </c>
      <c r="V617" s="7" t="n">
        <v>12027</v>
      </c>
      <c r="W617" s="7"/>
      <c r="X617" s="7"/>
      <c r="Y617" s="7"/>
      <c r="Z617" s="7" t="s">
        <v>11061</v>
      </c>
      <c r="AA617" s="9" t="s">
        <v>11062</v>
      </c>
      <c r="AB617" s="7" t="s">
        <v>11063</v>
      </c>
      <c r="AC617" s="7" t="s">
        <v>11064</v>
      </c>
      <c r="AD617" s="7"/>
      <c r="AE617" s="7" t="s">
        <v>11065</v>
      </c>
      <c r="AF617" s="7"/>
      <c r="AG617" s="7"/>
      <c r="AH617" s="7"/>
      <c r="AI617" s="7"/>
      <c r="AJ617" s="10"/>
      <c r="AK617" s="7"/>
      <c r="AL617" s="7" t="s">
        <v>11066</v>
      </c>
      <c r="AM617" s="7" t="s">
        <v>11067</v>
      </c>
      <c r="AN617" s="7"/>
      <c r="AO617" s="7"/>
      <c r="AP617" s="7" t="s">
        <v>11068</v>
      </c>
      <c r="AQ617" s="7" t="s">
        <v>11069</v>
      </c>
      <c r="AR617" s="7" t="s">
        <v>319</v>
      </c>
      <c r="AS617" s="7" t="n">
        <v>169767</v>
      </c>
      <c r="AT617" s="7" t="n">
        <v>17426588</v>
      </c>
      <c r="AU617" s="7"/>
      <c r="AV617" s="7"/>
      <c r="AW617" s="7"/>
      <c r="AX617" s="7" t="s">
        <v>5771</v>
      </c>
      <c r="AY617" s="7" t="s">
        <v>75</v>
      </c>
      <c r="AZ617" s="7" t="s">
        <v>127</v>
      </c>
      <c r="BA617" s="7" t="s">
        <v>76</v>
      </c>
      <c r="BB617" s="7" t="s">
        <v>11070</v>
      </c>
      <c r="BC617" s="7"/>
      <c r="BD617" s="7"/>
      <c r="BE617" s="7"/>
      <c r="BF617" s="7"/>
      <c r="BG617" s="7"/>
      <c r="BH617" s="7"/>
      <c r="BI617" s="7"/>
    </row>
    <row r="618" customFormat="false" ht="14.25" hidden="false" customHeight="true" outlineLevel="0" collapsed="false">
      <c r="A618" s="7" t="s">
        <v>11071</v>
      </c>
      <c r="B618" s="7" t="s">
        <v>11072</v>
      </c>
      <c r="C618" s="7" t="s">
        <v>11073</v>
      </c>
      <c r="D618" s="7" t="s">
        <v>11074</v>
      </c>
      <c r="E618" s="7" t="n">
        <v>2021</v>
      </c>
      <c r="F618" s="8" t="s">
        <v>11075</v>
      </c>
      <c r="G618" s="6" t="s">
        <v>290</v>
      </c>
      <c r="H618" s="7"/>
      <c r="I618" s="7"/>
      <c r="J618" s="7"/>
      <c r="K618" s="7"/>
      <c r="L618" s="7"/>
      <c r="M618" s="7"/>
      <c r="N618" s="7"/>
      <c r="O618" s="7"/>
      <c r="P618" s="7" t="s">
        <v>304</v>
      </c>
      <c r="Q618" s="7" t="s">
        <v>62</v>
      </c>
      <c r="R618" s="7" t="s">
        <v>2892</v>
      </c>
      <c r="S618" s="7" t="n">
        <v>355</v>
      </c>
      <c r="T618" s="7" t="s">
        <v>307</v>
      </c>
      <c r="U618" s="7"/>
      <c r="V618" s="7"/>
      <c r="W618" s="7" t="n">
        <v>427</v>
      </c>
      <c r="X618" s="7" t="n">
        <v>437</v>
      </c>
      <c r="Y618" s="7" t="n">
        <v>10</v>
      </c>
      <c r="Z618" s="7" t="s">
        <v>11076</v>
      </c>
      <c r="AA618" s="9" t="s">
        <v>11077</v>
      </c>
      <c r="AB618" s="7" t="s">
        <v>11078</v>
      </c>
      <c r="AC618" s="7" t="s">
        <v>11079</v>
      </c>
      <c r="AD618" s="7" t="s">
        <v>11080</v>
      </c>
      <c r="AE618" s="7" t="s">
        <v>11081</v>
      </c>
      <c r="AF618" s="7"/>
      <c r="AG618" s="7"/>
      <c r="AH618" s="7"/>
      <c r="AI618" s="7"/>
      <c r="AJ618" s="10"/>
      <c r="AK618" s="7"/>
      <c r="AL618" s="7" t="s">
        <v>11082</v>
      </c>
      <c r="AM618" s="7" t="s">
        <v>11083</v>
      </c>
      <c r="AN618" s="7" t="s">
        <v>11084</v>
      </c>
      <c r="AO618" s="7"/>
      <c r="AP618" s="7" t="s">
        <v>11085</v>
      </c>
      <c r="AQ618" s="7" t="s">
        <v>11086</v>
      </c>
      <c r="AR618" s="7" t="s">
        <v>5337</v>
      </c>
      <c r="AS618" s="7" t="n">
        <v>263489</v>
      </c>
      <c r="AT618" s="7" t="n">
        <v>18761100</v>
      </c>
      <c r="AU618" s="7" t="s">
        <v>11087</v>
      </c>
      <c r="AV618" s="7"/>
      <c r="AW618" s="7"/>
      <c r="AX618" s="7" t="s">
        <v>2906</v>
      </c>
      <c r="AY618" s="7" t="s">
        <v>75</v>
      </c>
      <c r="AZ618" s="7"/>
      <c r="BA618" s="7" t="s">
        <v>76</v>
      </c>
      <c r="BB618" s="7" t="s">
        <v>11088</v>
      </c>
      <c r="BC618" s="7"/>
      <c r="BD618" s="7"/>
      <c r="BE618" s="7"/>
      <c r="BF618" s="7"/>
      <c r="BG618" s="7"/>
      <c r="BH618" s="7"/>
      <c r="BI618" s="7"/>
    </row>
    <row r="619" customFormat="false" ht="14.25" hidden="false" customHeight="true" outlineLevel="0" collapsed="false">
      <c r="A619" s="7" t="s">
        <v>11089</v>
      </c>
      <c r="B619" s="7" t="s">
        <v>11090</v>
      </c>
      <c r="C619" s="7" t="s">
        <v>11091</v>
      </c>
      <c r="D619" s="6" t="s">
        <v>11092</v>
      </c>
      <c r="E619" s="7" t="n">
        <v>2021</v>
      </c>
      <c r="F619" s="8" t="s">
        <v>11093</v>
      </c>
      <c r="G619" s="6" t="s">
        <v>134</v>
      </c>
      <c r="H619" s="7"/>
      <c r="I619" s="7"/>
      <c r="J619" s="7"/>
      <c r="K619" s="7"/>
      <c r="L619" s="7"/>
      <c r="M619" s="7"/>
      <c r="N619" s="7"/>
      <c r="O619" s="7"/>
      <c r="P619" s="7" t="s">
        <v>304</v>
      </c>
      <c r="Q619" s="7" t="s">
        <v>62</v>
      </c>
      <c r="R619" s="7" t="s">
        <v>11094</v>
      </c>
      <c r="S619" s="7"/>
      <c r="T619" s="7" t="s">
        <v>187</v>
      </c>
      <c r="U619" s="7"/>
      <c r="V619" s="7"/>
      <c r="W619" s="7"/>
      <c r="X619" s="7"/>
      <c r="Y619" s="7"/>
      <c r="Z619" s="7" t="s">
        <v>11095</v>
      </c>
      <c r="AA619" s="9" t="s">
        <v>11096</v>
      </c>
      <c r="AB619" s="7" t="s">
        <v>11097</v>
      </c>
      <c r="AC619" s="7" t="s">
        <v>11098</v>
      </c>
      <c r="AD619" s="7" t="s">
        <v>11099</v>
      </c>
      <c r="AE619" s="7" t="s">
        <v>11100</v>
      </c>
      <c r="AF619" s="7"/>
      <c r="AG619" s="7"/>
      <c r="AH619" s="7"/>
      <c r="AI619" s="7"/>
      <c r="AJ619" s="10"/>
      <c r="AK619" s="7"/>
      <c r="AL619" s="7" t="s">
        <v>11101</v>
      </c>
      <c r="AM619" s="7"/>
      <c r="AN619" s="7"/>
      <c r="AO619" s="7"/>
      <c r="AP619" s="7" t="s">
        <v>11102</v>
      </c>
      <c r="AQ619" s="7" t="s">
        <v>11103</v>
      </c>
      <c r="AR619" s="7" t="s">
        <v>11104</v>
      </c>
      <c r="AS619" s="7" t="n">
        <v>171426</v>
      </c>
      <c r="AT619" s="7"/>
      <c r="AU619" s="7" t="s">
        <v>11105</v>
      </c>
      <c r="AV619" s="7"/>
      <c r="AW619" s="7"/>
      <c r="AX619" s="7" t="s">
        <v>6910</v>
      </c>
      <c r="AY619" s="7" t="s">
        <v>75</v>
      </c>
      <c r="AZ619" s="7"/>
      <c r="BA619" s="7" t="s">
        <v>76</v>
      </c>
      <c r="BB619" s="7" t="s">
        <v>11106</v>
      </c>
      <c r="BC619" s="7"/>
      <c r="BD619" s="7"/>
      <c r="BE619" s="7"/>
      <c r="BF619" s="7"/>
      <c r="BG619" s="7"/>
      <c r="BH619" s="7"/>
      <c r="BI619" s="7"/>
    </row>
    <row r="620" customFormat="false" ht="14.25" hidden="false" customHeight="true" outlineLevel="0" collapsed="false">
      <c r="A620" s="7" t="s">
        <v>11107</v>
      </c>
      <c r="B620" s="7" t="s">
        <v>11108</v>
      </c>
      <c r="C620" s="7" t="s">
        <v>11109</v>
      </c>
      <c r="D620" s="7" t="s">
        <v>11110</v>
      </c>
      <c r="E620" s="7" t="n">
        <v>2021</v>
      </c>
      <c r="F620" s="8" t="s">
        <v>11111</v>
      </c>
      <c r="G620" s="6" t="s">
        <v>134</v>
      </c>
      <c r="H620" s="7"/>
      <c r="I620" s="7"/>
      <c r="J620" s="7"/>
      <c r="K620" s="7"/>
      <c r="L620" s="7"/>
      <c r="M620" s="7"/>
      <c r="N620" s="7"/>
      <c r="O620" s="7"/>
      <c r="P620" s="7" t="s">
        <v>304</v>
      </c>
      <c r="Q620" s="7" t="s">
        <v>62</v>
      </c>
      <c r="R620" s="7" t="s">
        <v>11112</v>
      </c>
      <c r="S620" s="7" t="n">
        <v>224</v>
      </c>
      <c r="T620" s="7" t="s">
        <v>307</v>
      </c>
      <c r="U620" s="7"/>
      <c r="V620" s="7"/>
      <c r="W620" s="7" t="n">
        <v>395</v>
      </c>
      <c r="X620" s="7" t="n">
        <v>402</v>
      </c>
      <c r="Y620" s="7" t="n">
        <v>7</v>
      </c>
      <c r="Z620" s="7" t="s">
        <v>11113</v>
      </c>
      <c r="AA620" s="9" t="s">
        <v>11114</v>
      </c>
      <c r="AB620" s="7" t="s">
        <v>11115</v>
      </c>
      <c r="AC620" s="7" t="s">
        <v>11116</v>
      </c>
      <c r="AD620" s="7" t="s">
        <v>11117</v>
      </c>
      <c r="AE620" s="7" t="s">
        <v>11118</v>
      </c>
      <c r="AF620" s="7"/>
      <c r="AG620" s="7"/>
      <c r="AH620" s="7"/>
      <c r="AI620" s="7"/>
      <c r="AJ620" s="10"/>
      <c r="AK620" s="7"/>
      <c r="AL620" s="7" t="s">
        <v>11119</v>
      </c>
      <c r="AM620" s="7" t="s">
        <v>11120</v>
      </c>
      <c r="AN620" s="7" t="s">
        <v>11121</v>
      </c>
      <c r="AO620" s="7"/>
      <c r="AP620" s="7" t="s">
        <v>11122</v>
      </c>
      <c r="AQ620" s="7" t="s">
        <v>11123</v>
      </c>
      <c r="AR620" s="7" t="s">
        <v>5277</v>
      </c>
      <c r="AS620" s="7" t="n">
        <v>262569</v>
      </c>
      <c r="AT620" s="7" t="n">
        <v>21903018</v>
      </c>
      <c r="AU620" s="7" t="s">
        <v>11124</v>
      </c>
      <c r="AV620" s="7"/>
      <c r="AW620" s="7"/>
      <c r="AX620" s="7" t="s">
        <v>11125</v>
      </c>
      <c r="AY620" s="7" t="s">
        <v>75</v>
      </c>
      <c r="AZ620" s="7"/>
      <c r="BA620" s="7" t="s">
        <v>76</v>
      </c>
      <c r="BB620" s="7" t="s">
        <v>11126</v>
      </c>
      <c r="BC620" s="7"/>
      <c r="BD620" s="7"/>
      <c r="BE620" s="7"/>
      <c r="BF620" s="7"/>
      <c r="BG620" s="7"/>
      <c r="BH620" s="7"/>
      <c r="BI620" s="7"/>
    </row>
    <row r="621" customFormat="false" ht="14.25" hidden="false" customHeight="true" outlineLevel="0" collapsed="false">
      <c r="A621" s="7" t="s">
        <v>11127</v>
      </c>
      <c r="B621" s="7" t="s">
        <v>11128</v>
      </c>
      <c r="C621" s="7" t="s">
        <v>11129</v>
      </c>
      <c r="D621" s="7" t="s">
        <v>11130</v>
      </c>
      <c r="E621" s="7" t="n">
        <v>2021</v>
      </c>
      <c r="F621" s="8" t="s">
        <v>11131</v>
      </c>
      <c r="G621" s="6" t="s">
        <v>149</v>
      </c>
      <c r="H621" s="7"/>
      <c r="I621" s="7"/>
      <c r="J621" s="7"/>
      <c r="K621" s="7"/>
      <c r="L621" s="7"/>
      <c r="M621" s="7"/>
      <c r="N621" s="7"/>
      <c r="O621" s="7"/>
      <c r="P621" s="7" t="s">
        <v>304</v>
      </c>
      <c r="Q621" s="7" t="s">
        <v>62</v>
      </c>
      <c r="R621" s="7" t="s">
        <v>305</v>
      </c>
      <c r="S621" s="7" t="n">
        <v>1350</v>
      </c>
      <c r="T621" s="7" t="s">
        <v>307</v>
      </c>
      <c r="U621" s="7"/>
      <c r="V621" s="7"/>
      <c r="W621" s="7" t="n">
        <v>41</v>
      </c>
      <c r="X621" s="7" t="n">
        <v>53</v>
      </c>
      <c r="Y621" s="7" t="n">
        <v>12</v>
      </c>
      <c r="Z621" s="7" t="s">
        <v>11132</v>
      </c>
      <c r="AA621" s="9" t="s">
        <v>11133</v>
      </c>
      <c r="AB621" s="7" t="s">
        <v>11134</v>
      </c>
      <c r="AC621" s="7" t="s">
        <v>11135</v>
      </c>
      <c r="AD621" s="7" t="s">
        <v>11136</v>
      </c>
      <c r="AE621" s="7" t="s">
        <v>11137</v>
      </c>
      <c r="AF621" s="7"/>
      <c r="AG621" s="7"/>
      <c r="AH621" s="7"/>
      <c r="AI621" s="7"/>
      <c r="AJ621" s="10"/>
      <c r="AK621" s="7"/>
      <c r="AL621" s="7" t="s">
        <v>11138</v>
      </c>
      <c r="AM621" s="7" t="s">
        <v>11139</v>
      </c>
      <c r="AN621" s="7" t="s">
        <v>11140</v>
      </c>
      <c r="AO621" s="7"/>
      <c r="AP621" s="7" t="s">
        <v>11141</v>
      </c>
      <c r="AQ621" s="7" t="s">
        <v>11142</v>
      </c>
      <c r="AR621" s="7" t="s">
        <v>5337</v>
      </c>
      <c r="AS621" s="7" t="n">
        <v>255579</v>
      </c>
      <c r="AT621" s="7" t="n">
        <v>18650929</v>
      </c>
      <c r="AU621" s="7" t="s">
        <v>11143</v>
      </c>
      <c r="AV621" s="7"/>
      <c r="AW621" s="7"/>
      <c r="AX621" s="7" t="s">
        <v>321</v>
      </c>
      <c r="AY621" s="7" t="s">
        <v>75</v>
      </c>
      <c r="AZ621" s="7"/>
      <c r="BA621" s="7" t="s">
        <v>76</v>
      </c>
      <c r="BB621" s="7" t="s">
        <v>11144</v>
      </c>
      <c r="BC621" s="7"/>
      <c r="BD621" s="7"/>
      <c r="BE621" s="7"/>
      <c r="BF621" s="7"/>
      <c r="BG621" s="7"/>
      <c r="BH621" s="7"/>
      <c r="BI621" s="7"/>
    </row>
    <row r="622" customFormat="false" ht="14.25" hidden="false" customHeight="true" outlineLevel="0" collapsed="false">
      <c r="A622" s="7" t="s">
        <v>11145</v>
      </c>
      <c r="B622" s="7" t="s">
        <v>11146</v>
      </c>
      <c r="C622" s="7" t="s">
        <v>11147</v>
      </c>
      <c r="D622" s="7" t="s">
        <v>11148</v>
      </c>
      <c r="E622" s="7" t="n">
        <v>2021</v>
      </c>
      <c r="F622" s="8" t="s">
        <v>11149</v>
      </c>
      <c r="G622" s="6" t="s">
        <v>149</v>
      </c>
      <c r="H622" s="7"/>
      <c r="I622" s="7"/>
      <c r="J622" s="7"/>
      <c r="K622" s="7"/>
      <c r="L622" s="7"/>
      <c r="M622" s="7"/>
      <c r="N622" s="7"/>
      <c r="O622" s="7"/>
      <c r="P622" s="7" t="s">
        <v>304</v>
      </c>
      <c r="Q622" s="7" t="s">
        <v>62</v>
      </c>
      <c r="R622" s="7" t="s">
        <v>11150</v>
      </c>
      <c r="S622" s="7"/>
      <c r="T622" s="7" t="s">
        <v>187</v>
      </c>
      <c r="U622" s="7"/>
      <c r="V622" s="7" t="n">
        <v>9418228</v>
      </c>
      <c r="W622" s="7" t="n">
        <v>1556</v>
      </c>
      <c r="X622" s="7" t="n">
        <v>1562</v>
      </c>
      <c r="Y622" s="7" t="n">
        <v>6</v>
      </c>
      <c r="Z622" s="7" t="s">
        <v>11151</v>
      </c>
      <c r="AA622" s="9" t="s">
        <v>11152</v>
      </c>
      <c r="AB622" s="7" t="s">
        <v>11153</v>
      </c>
      <c r="AC622" s="7" t="s">
        <v>11154</v>
      </c>
      <c r="AD622" s="7" t="s">
        <v>11155</v>
      </c>
      <c r="AE622" s="7" t="s">
        <v>11156</v>
      </c>
      <c r="AF622" s="7"/>
      <c r="AG622" s="7"/>
      <c r="AH622" s="7"/>
      <c r="AI622" s="7"/>
      <c r="AJ622" s="10"/>
      <c r="AK622" s="7"/>
      <c r="AL622" s="7" t="s">
        <v>11157</v>
      </c>
      <c r="AM622" s="7"/>
      <c r="AN622" s="7"/>
      <c r="AO622" s="7"/>
      <c r="AP622" s="7" t="s">
        <v>11158</v>
      </c>
      <c r="AQ622" s="7" t="s">
        <v>11159</v>
      </c>
      <c r="AR622" s="7" t="s">
        <v>2604</v>
      </c>
      <c r="AS622" s="7" t="n">
        <v>168766</v>
      </c>
      <c r="AT622" s="7"/>
      <c r="AU622" s="7" t="s">
        <v>11160</v>
      </c>
      <c r="AV622" s="7"/>
      <c r="AW622" s="7"/>
      <c r="AX622" s="7" t="s">
        <v>11161</v>
      </c>
      <c r="AY622" s="7" t="s">
        <v>75</v>
      </c>
      <c r="AZ622" s="7"/>
      <c r="BA622" s="7" t="s">
        <v>76</v>
      </c>
      <c r="BB622" s="7" t="s">
        <v>11162</v>
      </c>
      <c r="BC622" s="7"/>
      <c r="BD622" s="7"/>
      <c r="BE622" s="7"/>
      <c r="BF622" s="7"/>
      <c r="BG622" s="7"/>
      <c r="BH622" s="7"/>
      <c r="BI622" s="7"/>
    </row>
    <row r="623" customFormat="false" ht="14.25" hidden="false" customHeight="true" outlineLevel="0" collapsed="false">
      <c r="A623" s="7" t="s">
        <v>11163</v>
      </c>
      <c r="B623" s="7" t="s">
        <v>11164</v>
      </c>
      <c r="C623" s="7" t="s">
        <v>11165</v>
      </c>
      <c r="D623" s="7" t="s">
        <v>11166</v>
      </c>
      <c r="E623" s="7" t="n">
        <v>2021</v>
      </c>
      <c r="F623" s="8" t="s">
        <v>11167</v>
      </c>
      <c r="G623" s="6" t="s">
        <v>134</v>
      </c>
      <c r="H623" s="7"/>
      <c r="I623" s="7"/>
      <c r="J623" s="7"/>
      <c r="K623" s="7"/>
      <c r="L623" s="7"/>
      <c r="M623" s="7"/>
      <c r="N623" s="7"/>
      <c r="O623" s="7"/>
      <c r="P623" s="7" t="s">
        <v>304</v>
      </c>
      <c r="Q623" s="7" t="s">
        <v>62</v>
      </c>
      <c r="R623" s="7" t="s">
        <v>11168</v>
      </c>
      <c r="S623" s="7"/>
      <c r="T623" s="7" t="s">
        <v>187</v>
      </c>
      <c r="U623" s="7"/>
      <c r="V623" s="7" t="n">
        <v>9415183</v>
      </c>
      <c r="W623" s="7" t="n">
        <v>235</v>
      </c>
      <c r="X623" s="7" t="n">
        <v>240</v>
      </c>
      <c r="Y623" s="7" t="n">
        <v>5</v>
      </c>
      <c r="Z623" s="7" t="s">
        <v>11169</v>
      </c>
      <c r="AA623" s="9" t="s">
        <v>11170</v>
      </c>
      <c r="AB623" s="7" t="s">
        <v>11171</v>
      </c>
      <c r="AC623" s="7" t="s">
        <v>11172</v>
      </c>
      <c r="AD623" s="7" t="s">
        <v>11173</v>
      </c>
      <c r="AE623" s="7" t="s">
        <v>11174</v>
      </c>
      <c r="AF623" s="7"/>
      <c r="AG623" s="7"/>
      <c r="AH623" s="7"/>
      <c r="AI623" s="7"/>
      <c r="AJ623" s="10"/>
      <c r="AK623" s="7"/>
      <c r="AL623" s="7" t="s">
        <v>11175</v>
      </c>
      <c r="AM623" s="7"/>
      <c r="AN623" s="7"/>
      <c r="AO623" s="7"/>
      <c r="AP623" s="7" t="s">
        <v>11168</v>
      </c>
      <c r="AQ623" s="7" t="s">
        <v>11176</v>
      </c>
      <c r="AR623" s="7" t="s">
        <v>11177</v>
      </c>
      <c r="AS623" s="7" t="n">
        <v>168690</v>
      </c>
      <c r="AT623" s="7"/>
      <c r="AU623" s="7" t="s">
        <v>11178</v>
      </c>
      <c r="AV623" s="7"/>
      <c r="AW623" s="7"/>
      <c r="AX623" s="7" t="s">
        <v>11179</v>
      </c>
      <c r="AY623" s="7" t="s">
        <v>75</v>
      </c>
      <c r="AZ623" s="7"/>
      <c r="BA623" s="7" t="s">
        <v>76</v>
      </c>
      <c r="BB623" s="7" t="s">
        <v>11180</v>
      </c>
      <c r="BC623" s="7"/>
      <c r="BD623" s="7"/>
      <c r="BE623" s="7"/>
      <c r="BF623" s="7"/>
      <c r="BG623" s="7"/>
      <c r="BH623" s="7"/>
      <c r="BI623" s="7"/>
    </row>
    <row r="624" customFormat="false" ht="14.25" hidden="false" customHeight="true" outlineLevel="0" collapsed="false">
      <c r="A624" s="7" t="s">
        <v>11181</v>
      </c>
      <c r="B624" s="7" t="s">
        <v>11182</v>
      </c>
      <c r="C624" s="7" t="s">
        <v>11183</v>
      </c>
      <c r="D624" s="7" t="s">
        <v>11184</v>
      </c>
      <c r="E624" s="7" t="n">
        <v>2021</v>
      </c>
      <c r="F624" s="8" t="s">
        <v>11185</v>
      </c>
      <c r="G624" s="6" t="s">
        <v>3714</v>
      </c>
      <c r="H624" s="7"/>
      <c r="I624" s="7"/>
      <c r="J624" s="7"/>
      <c r="K624" s="7"/>
      <c r="L624" s="7"/>
      <c r="M624" s="7"/>
      <c r="N624" s="7"/>
      <c r="O624" s="7"/>
      <c r="P624" s="7" t="s">
        <v>304</v>
      </c>
      <c r="Q624" s="7" t="s">
        <v>62</v>
      </c>
      <c r="R624" s="7" t="s">
        <v>3162</v>
      </c>
      <c r="S624" s="7" t="n">
        <v>11733</v>
      </c>
      <c r="T624" s="7" t="s">
        <v>3163</v>
      </c>
      <c r="U624" s="7"/>
      <c r="V624" s="7" t="s">
        <v>11186</v>
      </c>
      <c r="W624" s="7"/>
      <c r="X624" s="7"/>
      <c r="Y624" s="7"/>
      <c r="Z624" s="7" t="s">
        <v>11187</v>
      </c>
      <c r="AA624" s="9" t="s">
        <v>11188</v>
      </c>
      <c r="AB624" s="7" t="s">
        <v>11189</v>
      </c>
      <c r="AC624" s="7" t="s">
        <v>11190</v>
      </c>
      <c r="AD624" s="7" t="s">
        <v>11191</v>
      </c>
      <c r="AE624" s="7" t="s">
        <v>11192</v>
      </c>
      <c r="AF624" s="7"/>
      <c r="AG624" s="7"/>
      <c r="AH624" s="7"/>
      <c r="AI624" s="7"/>
      <c r="AJ624" s="10"/>
      <c r="AK624" s="7"/>
      <c r="AL624" s="7" t="s">
        <v>11193</v>
      </c>
      <c r="AM624" s="7"/>
      <c r="AN624" s="7" t="s">
        <v>11194</v>
      </c>
      <c r="AO624" s="7" t="s">
        <v>3173</v>
      </c>
      <c r="AP624" s="7" t="s">
        <v>11195</v>
      </c>
      <c r="AQ624" s="7" t="s">
        <v>11196</v>
      </c>
      <c r="AR624" s="7" t="s">
        <v>5337</v>
      </c>
      <c r="AS624" s="7" t="n">
        <v>169680</v>
      </c>
      <c r="AT624" s="7" t="s">
        <v>3177</v>
      </c>
      <c r="AU624" s="7" t="s">
        <v>11197</v>
      </c>
      <c r="AV624" s="7" t="s">
        <v>3179</v>
      </c>
      <c r="AW624" s="7"/>
      <c r="AX624" s="7" t="s">
        <v>3180</v>
      </c>
      <c r="AY624" s="7" t="s">
        <v>75</v>
      </c>
      <c r="AZ624" s="7"/>
      <c r="BA624" s="7" t="s">
        <v>76</v>
      </c>
      <c r="BB624" s="7" t="s">
        <v>11198</v>
      </c>
      <c r="BC624" s="7"/>
      <c r="BD624" s="7"/>
      <c r="BE624" s="7"/>
      <c r="BF624" s="7"/>
      <c r="BG624" s="7"/>
      <c r="BH624" s="7"/>
      <c r="BI624" s="7"/>
    </row>
    <row r="625" customFormat="false" ht="14.25" hidden="false" customHeight="true" outlineLevel="0" collapsed="false">
      <c r="A625" s="7" t="s">
        <v>11199</v>
      </c>
      <c r="B625" s="7" t="s">
        <v>11200</v>
      </c>
      <c r="C625" s="7" t="s">
        <v>11201</v>
      </c>
      <c r="D625" s="7" t="s">
        <v>11202</v>
      </c>
      <c r="E625" s="7" t="n">
        <v>2021</v>
      </c>
      <c r="F625" s="8" t="s">
        <v>11203</v>
      </c>
      <c r="G625" s="6" t="s">
        <v>3714</v>
      </c>
      <c r="H625" s="7"/>
      <c r="I625" s="7"/>
      <c r="J625" s="7"/>
      <c r="K625" s="7"/>
      <c r="L625" s="7"/>
      <c r="M625" s="7"/>
      <c r="N625" s="7"/>
      <c r="O625" s="7"/>
      <c r="P625" s="7" t="s">
        <v>304</v>
      </c>
      <c r="Q625" s="7" t="s">
        <v>62</v>
      </c>
      <c r="R625" s="7" t="s">
        <v>11204</v>
      </c>
      <c r="S625" s="7"/>
      <c r="T625" s="7" t="s">
        <v>187</v>
      </c>
      <c r="U625" s="7"/>
      <c r="V625" s="7"/>
      <c r="W625" s="7" t="n">
        <v>4156</v>
      </c>
      <c r="X625" s="7" t="n">
        <v>4164</v>
      </c>
      <c r="Y625" s="7" t="n">
        <v>8</v>
      </c>
      <c r="Z625" s="7" t="s">
        <v>11205</v>
      </c>
      <c r="AA625" s="9" t="s">
        <v>11206</v>
      </c>
      <c r="AB625" s="7" t="s">
        <v>11207</v>
      </c>
      <c r="AC625" s="7" t="s">
        <v>11208</v>
      </c>
      <c r="AD625" s="7" t="s">
        <v>11209</v>
      </c>
      <c r="AE625" s="7" t="s">
        <v>11210</v>
      </c>
      <c r="AF625" s="7"/>
      <c r="AG625" s="7"/>
      <c r="AH625" s="7"/>
      <c r="AI625" s="7"/>
      <c r="AJ625" s="10" t="s">
        <v>11211</v>
      </c>
      <c r="AK625" s="7" t="s">
        <v>11212</v>
      </c>
      <c r="AL625" s="7" t="s">
        <v>11213</v>
      </c>
      <c r="AM625" s="7"/>
      <c r="AN625" s="7" t="s">
        <v>11214</v>
      </c>
      <c r="AO625" s="7" t="s">
        <v>11215</v>
      </c>
      <c r="AP625" s="7" t="s">
        <v>11216</v>
      </c>
      <c r="AQ625" s="7" t="s">
        <v>11217</v>
      </c>
      <c r="AR625" s="7" t="s">
        <v>5337</v>
      </c>
      <c r="AS625" s="7" t="n">
        <v>176404</v>
      </c>
      <c r="AT625" s="7"/>
      <c r="AU625" s="7" t="s">
        <v>11218</v>
      </c>
      <c r="AV625" s="7"/>
      <c r="AW625" s="7"/>
      <c r="AX625" s="7" t="s">
        <v>11219</v>
      </c>
      <c r="AY625" s="7" t="s">
        <v>75</v>
      </c>
      <c r="AZ625" s="7"/>
      <c r="BA625" s="7" t="s">
        <v>76</v>
      </c>
      <c r="BB625" s="7" t="s">
        <v>11220</v>
      </c>
      <c r="BC625" s="7"/>
      <c r="BD625" s="7"/>
      <c r="BE625" s="7"/>
      <c r="BF625" s="7"/>
      <c r="BG625" s="7"/>
      <c r="BH625" s="7"/>
      <c r="BI625" s="7"/>
    </row>
    <row r="626" customFormat="false" ht="14.25" hidden="false" customHeight="true" outlineLevel="0" collapsed="false">
      <c r="A626" s="7" t="s">
        <v>11221</v>
      </c>
      <c r="B626" s="7" t="s">
        <v>11222</v>
      </c>
      <c r="C626" s="7" t="s">
        <v>11223</v>
      </c>
      <c r="D626" s="7" t="s">
        <v>11224</v>
      </c>
      <c r="E626" s="7" t="n">
        <v>2021</v>
      </c>
      <c r="F626" s="8" t="s">
        <v>11225</v>
      </c>
      <c r="G626" s="6" t="s">
        <v>3714</v>
      </c>
      <c r="H626" s="7"/>
      <c r="I626" s="7"/>
      <c r="J626" s="7"/>
      <c r="K626" s="7"/>
      <c r="L626" s="7"/>
      <c r="M626" s="7"/>
      <c r="N626" s="7"/>
      <c r="O626" s="7"/>
      <c r="P626" s="7" t="s">
        <v>304</v>
      </c>
      <c r="Q626" s="7" t="s">
        <v>62</v>
      </c>
      <c r="R626" s="7" t="s">
        <v>3364</v>
      </c>
      <c r="S626" s="7"/>
      <c r="T626" s="7" t="s">
        <v>3365</v>
      </c>
      <c r="U626" s="7"/>
      <c r="V626" s="7"/>
      <c r="W626" s="7" t="n">
        <v>314</v>
      </c>
      <c r="X626" s="7" t="n">
        <v>319</v>
      </c>
      <c r="Y626" s="7" t="n">
        <v>5</v>
      </c>
      <c r="Z626" s="7" t="s">
        <v>11226</v>
      </c>
      <c r="AA626" s="9" t="s">
        <v>11227</v>
      </c>
      <c r="AB626" s="7" t="s">
        <v>11228</v>
      </c>
      <c r="AC626" s="7" t="s">
        <v>11229</v>
      </c>
      <c r="AD626" s="7" t="s">
        <v>11230</v>
      </c>
      <c r="AE626" s="7" t="s">
        <v>11231</v>
      </c>
      <c r="AF626" s="7"/>
      <c r="AG626" s="7"/>
      <c r="AH626" s="7"/>
      <c r="AI626" s="7"/>
      <c r="AJ626" s="10"/>
      <c r="AK626" s="7"/>
      <c r="AL626" s="7" t="s">
        <v>11232</v>
      </c>
      <c r="AM626" s="7" t="s">
        <v>11233</v>
      </c>
      <c r="AN626" s="7" t="s">
        <v>11234</v>
      </c>
      <c r="AO626" s="7" t="s">
        <v>11235</v>
      </c>
      <c r="AP626" s="7" t="s">
        <v>11236</v>
      </c>
      <c r="AQ626" s="7" t="s">
        <v>10646</v>
      </c>
      <c r="AR626" s="7" t="s">
        <v>5337</v>
      </c>
      <c r="AS626" s="7" t="n">
        <v>178685</v>
      </c>
      <c r="AT626" s="7"/>
      <c r="AU626" s="7" t="s">
        <v>11237</v>
      </c>
      <c r="AV626" s="7"/>
      <c r="AW626" s="7"/>
      <c r="AX626" s="7" t="s">
        <v>3380</v>
      </c>
      <c r="AY626" s="7" t="s">
        <v>75</v>
      </c>
      <c r="AZ626" s="7"/>
      <c r="BA626" s="7" t="s">
        <v>76</v>
      </c>
      <c r="BB626" s="7" t="s">
        <v>11238</v>
      </c>
      <c r="BC626" s="7"/>
      <c r="BD626" s="7"/>
      <c r="BE626" s="7"/>
      <c r="BF626" s="7"/>
      <c r="BG626" s="7"/>
      <c r="BH626" s="7"/>
      <c r="BI626" s="7"/>
    </row>
    <row r="627" customFormat="false" ht="14.25" hidden="false" customHeight="true" outlineLevel="0" collapsed="false">
      <c r="A627" s="7" t="s">
        <v>11239</v>
      </c>
      <c r="B627" s="7" t="s">
        <v>11240</v>
      </c>
      <c r="C627" s="7" t="s">
        <v>11241</v>
      </c>
      <c r="D627" s="7" t="s">
        <v>11242</v>
      </c>
      <c r="E627" s="7" t="n">
        <v>2021</v>
      </c>
      <c r="F627" s="8" t="s">
        <v>11243</v>
      </c>
      <c r="G627" s="6" t="s">
        <v>134</v>
      </c>
      <c r="H627" s="7"/>
      <c r="I627" s="7"/>
      <c r="J627" s="7"/>
      <c r="K627" s="7"/>
      <c r="L627" s="7"/>
      <c r="M627" s="7"/>
      <c r="N627" s="7"/>
      <c r="O627" s="7"/>
      <c r="P627" s="7" t="s">
        <v>304</v>
      </c>
      <c r="Q627" s="7" t="s">
        <v>62</v>
      </c>
      <c r="R627" s="7" t="s">
        <v>11244</v>
      </c>
      <c r="S627" s="7"/>
      <c r="T627" s="7" t="s">
        <v>187</v>
      </c>
      <c r="U627" s="7"/>
      <c r="V627" s="7"/>
      <c r="W627" s="7" t="n">
        <v>87</v>
      </c>
      <c r="X627" s="7" t="n">
        <v>90</v>
      </c>
      <c r="Y627" s="7" t="n">
        <v>3</v>
      </c>
      <c r="Z627" s="7" t="s">
        <v>11245</v>
      </c>
      <c r="AA627" s="9" t="s">
        <v>11246</v>
      </c>
      <c r="AB627" s="7" t="s">
        <v>11247</v>
      </c>
      <c r="AC627" s="7" t="s">
        <v>11248</v>
      </c>
      <c r="AD627" s="7" t="s">
        <v>11249</v>
      </c>
      <c r="AE627" s="7" t="s">
        <v>11250</v>
      </c>
      <c r="AF627" s="7"/>
      <c r="AG627" s="7"/>
      <c r="AH627" s="7"/>
      <c r="AI627" s="7"/>
      <c r="AJ627" s="10"/>
      <c r="AK627" s="7"/>
      <c r="AL627" s="7" t="s">
        <v>11251</v>
      </c>
      <c r="AM627" s="7"/>
      <c r="AN627" s="7"/>
      <c r="AO627" s="7" t="s">
        <v>11252</v>
      </c>
      <c r="AP627" s="7" t="s">
        <v>11253</v>
      </c>
      <c r="AQ627" s="7" t="s">
        <v>11254</v>
      </c>
      <c r="AR627" s="7" t="s">
        <v>11255</v>
      </c>
      <c r="AS627" s="7" t="n">
        <v>175765</v>
      </c>
      <c r="AT627" s="7"/>
      <c r="AU627" s="7" t="s">
        <v>11256</v>
      </c>
      <c r="AV627" s="7"/>
      <c r="AW627" s="7"/>
      <c r="AX627" s="7" t="s">
        <v>11257</v>
      </c>
      <c r="AY627" s="7" t="s">
        <v>75</v>
      </c>
      <c r="AZ627" s="7"/>
      <c r="BA627" s="7" t="s">
        <v>76</v>
      </c>
      <c r="BB627" s="7" t="s">
        <v>11258</v>
      </c>
      <c r="BC627" s="7"/>
      <c r="BD627" s="7"/>
      <c r="BE627" s="7"/>
      <c r="BF627" s="7"/>
      <c r="BG627" s="7"/>
      <c r="BH627" s="7"/>
      <c r="BI627" s="7"/>
    </row>
    <row r="628" customFormat="false" ht="14.25" hidden="false" customHeight="true" outlineLevel="0" collapsed="false">
      <c r="A628" s="7" t="s">
        <v>11259</v>
      </c>
      <c r="B628" s="7" t="s">
        <v>11260</v>
      </c>
      <c r="C628" s="7" t="s">
        <v>11261</v>
      </c>
      <c r="D628" s="7" t="s">
        <v>11262</v>
      </c>
      <c r="E628" s="7" t="n">
        <v>2021</v>
      </c>
      <c r="F628" s="8" t="s">
        <v>11263</v>
      </c>
      <c r="G628" s="6" t="s">
        <v>149</v>
      </c>
      <c r="H628" s="7"/>
      <c r="I628" s="7"/>
      <c r="J628" s="7"/>
      <c r="K628" s="7"/>
      <c r="L628" s="7"/>
      <c r="M628" s="7"/>
      <c r="N628" s="7"/>
      <c r="O628" s="7"/>
      <c r="P628" s="7" t="s">
        <v>304</v>
      </c>
      <c r="Q628" s="7" t="s">
        <v>62</v>
      </c>
      <c r="R628" s="7" t="s">
        <v>11264</v>
      </c>
      <c r="S628" s="7"/>
      <c r="T628" s="7" t="s">
        <v>187</v>
      </c>
      <c r="U628" s="7"/>
      <c r="V628" s="7"/>
      <c r="W628" s="7"/>
      <c r="X628" s="7"/>
      <c r="Y628" s="7"/>
      <c r="Z628" s="7" t="s">
        <v>11265</v>
      </c>
      <c r="AA628" s="9" t="s">
        <v>11266</v>
      </c>
      <c r="AB628" s="7" t="s">
        <v>11267</v>
      </c>
      <c r="AC628" s="7" t="s">
        <v>11268</v>
      </c>
      <c r="AD628" s="7" t="s">
        <v>11269</v>
      </c>
      <c r="AE628" s="7" t="s">
        <v>11270</v>
      </c>
      <c r="AF628" s="7"/>
      <c r="AG628" s="7"/>
      <c r="AH628" s="7"/>
      <c r="AI628" s="7"/>
      <c r="AJ628" s="10"/>
      <c r="AK628" s="7"/>
      <c r="AL628" s="7" t="s">
        <v>11271</v>
      </c>
      <c r="AM628" s="7"/>
      <c r="AN628" s="7"/>
      <c r="AO628" s="7" t="s">
        <v>11272</v>
      </c>
      <c r="AP628" s="7" t="s">
        <v>11273</v>
      </c>
      <c r="AQ628" s="7" t="s">
        <v>11274</v>
      </c>
      <c r="AR628" s="7" t="s">
        <v>11275</v>
      </c>
      <c r="AS628" s="7" t="n">
        <v>175676</v>
      </c>
      <c r="AT628" s="7"/>
      <c r="AU628" s="7" t="s">
        <v>11276</v>
      </c>
      <c r="AV628" s="7"/>
      <c r="AW628" s="7"/>
      <c r="AX628" s="7" t="s">
        <v>11277</v>
      </c>
      <c r="AY628" s="7" t="s">
        <v>75</v>
      </c>
      <c r="AZ628" s="7"/>
      <c r="BA628" s="7" t="s">
        <v>76</v>
      </c>
      <c r="BB628" s="7" t="s">
        <v>11278</v>
      </c>
      <c r="BC628" s="7"/>
      <c r="BD628" s="7"/>
      <c r="BE628" s="7"/>
      <c r="BF628" s="7"/>
      <c r="BG628" s="7"/>
      <c r="BH628" s="7"/>
      <c r="BI628" s="7"/>
    </row>
    <row r="629" customFormat="false" ht="14.25" hidden="false" customHeight="true" outlineLevel="0" collapsed="false">
      <c r="A629" s="7" t="s">
        <v>11279</v>
      </c>
      <c r="B629" s="7" t="s">
        <v>11280</v>
      </c>
      <c r="C629" s="7" t="s">
        <v>11281</v>
      </c>
      <c r="D629" s="7" t="s">
        <v>11282</v>
      </c>
      <c r="E629" s="7" t="n">
        <v>2021</v>
      </c>
      <c r="F629" s="8" t="s">
        <v>11283</v>
      </c>
      <c r="G629" s="6" t="s">
        <v>3714</v>
      </c>
      <c r="H629" s="7"/>
      <c r="I629" s="7"/>
      <c r="J629" s="7"/>
      <c r="K629" s="7"/>
      <c r="L629" s="7"/>
      <c r="M629" s="7"/>
      <c r="N629" s="7"/>
      <c r="O629" s="7"/>
      <c r="P629" s="7" t="s">
        <v>304</v>
      </c>
      <c r="Q629" s="7" t="s">
        <v>62</v>
      </c>
      <c r="R629" s="7" t="s">
        <v>11284</v>
      </c>
      <c r="S629" s="7"/>
      <c r="T629" s="7" t="s">
        <v>187</v>
      </c>
      <c r="U629" s="7"/>
      <c r="V629" s="7" t="n">
        <v>9376061</v>
      </c>
      <c r="W629" s="7" t="n">
        <v>825</v>
      </c>
      <c r="X629" s="7" t="n">
        <v>828</v>
      </c>
      <c r="Y629" s="7" t="n">
        <v>3</v>
      </c>
      <c r="Z629" s="7" t="s">
        <v>11285</v>
      </c>
      <c r="AA629" s="9" t="s">
        <v>11286</v>
      </c>
      <c r="AB629" s="7" t="s">
        <v>11287</v>
      </c>
      <c r="AC629" s="7" t="s">
        <v>11288</v>
      </c>
      <c r="AD629" s="7" t="s">
        <v>11289</v>
      </c>
      <c r="AE629" s="7" t="s">
        <v>11290</v>
      </c>
      <c r="AF629" s="7"/>
      <c r="AG629" s="7"/>
      <c r="AH629" s="7"/>
      <c r="AI629" s="7"/>
      <c r="AJ629" s="10"/>
      <c r="AK629" s="7"/>
      <c r="AL629" s="7" t="s">
        <v>11291</v>
      </c>
      <c r="AM629" s="7"/>
      <c r="AN629" s="7" t="s">
        <v>11292</v>
      </c>
      <c r="AO629" s="7" t="s">
        <v>11293</v>
      </c>
      <c r="AP629" s="7" t="s">
        <v>11294</v>
      </c>
      <c r="AQ629" s="7" t="s">
        <v>11295</v>
      </c>
      <c r="AR629" s="7" t="s">
        <v>11296</v>
      </c>
      <c r="AS629" s="7" t="n">
        <v>167930</v>
      </c>
      <c r="AT629" s="7"/>
      <c r="AU629" s="7" t="s">
        <v>11297</v>
      </c>
      <c r="AV629" s="7"/>
      <c r="AW629" s="7"/>
      <c r="AX629" s="7" t="s">
        <v>11298</v>
      </c>
      <c r="AY629" s="7" t="s">
        <v>75</v>
      </c>
      <c r="AZ629" s="7"/>
      <c r="BA629" s="7" t="s">
        <v>76</v>
      </c>
      <c r="BB629" s="7" t="s">
        <v>11299</v>
      </c>
      <c r="BC629" s="7"/>
      <c r="BD629" s="7"/>
      <c r="BE629" s="7"/>
      <c r="BF629" s="7"/>
      <c r="BG629" s="7"/>
      <c r="BH629" s="7"/>
      <c r="BI629" s="7"/>
    </row>
    <row r="630" customFormat="false" ht="14.25" hidden="false" customHeight="true" outlineLevel="0" collapsed="false">
      <c r="A630" s="7" t="s">
        <v>11300</v>
      </c>
      <c r="B630" s="7" t="s">
        <v>11301</v>
      </c>
      <c r="C630" s="7" t="s">
        <v>11302</v>
      </c>
      <c r="D630" s="7" t="s">
        <v>11303</v>
      </c>
      <c r="E630" s="7" t="n">
        <v>2020</v>
      </c>
      <c r="F630" s="8" t="s">
        <v>11304</v>
      </c>
      <c r="G630" s="6" t="s">
        <v>149</v>
      </c>
      <c r="H630" s="7"/>
      <c r="I630" s="7"/>
      <c r="J630" s="7"/>
      <c r="K630" s="7"/>
      <c r="L630" s="7"/>
      <c r="M630" s="7"/>
      <c r="N630" s="7"/>
      <c r="O630" s="7"/>
      <c r="P630" s="7" t="s">
        <v>61</v>
      </c>
      <c r="Q630" s="7" t="s">
        <v>62</v>
      </c>
      <c r="R630" s="7" t="s">
        <v>11305</v>
      </c>
      <c r="S630" s="7" t="n">
        <v>99</v>
      </c>
      <c r="T630" s="7" t="s">
        <v>1086</v>
      </c>
      <c r="U630" s="7" t="n">
        <v>8</v>
      </c>
      <c r="V630" s="7" t="s">
        <v>11306</v>
      </c>
      <c r="W630" s="7"/>
      <c r="X630" s="7"/>
      <c r="Y630" s="7"/>
      <c r="Z630" s="7" t="s">
        <v>11307</v>
      </c>
      <c r="AA630" s="9" t="s">
        <v>11308</v>
      </c>
      <c r="AB630" s="7" t="s">
        <v>11309</v>
      </c>
      <c r="AC630" s="7" t="s">
        <v>11310</v>
      </c>
      <c r="AD630" s="7" t="s">
        <v>11311</v>
      </c>
      <c r="AE630" s="7" t="s">
        <v>11312</v>
      </c>
      <c r="AF630" s="7"/>
      <c r="AG630" s="7"/>
      <c r="AH630" s="7"/>
      <c r="AI630" s="7"/>
      <c r="AJ630" s="10" t="s">
        <v>11313</v>
      </c>
      <c r="AK630" s="7" t="s">
        <v>11314</v>
      </c>
      <c r="AL630" s="7" t="s">
        <v>11315</v>
      </c>
      <c r="AM630" s="7" t="s">
        <v>11316</v>
      </c>
      <c r="AN630" s="7"/>
      <c r="AO630" s="7"/>
      <c r="AP630" s="7"/>
      <c r="AQ630" s="7"/>
      <c r="AR630" s="7"/>
      <c r="AS630" s="7"/>
      <c r="AT630" s="7" t="n">
        <v>257974</v>
      </c>
      <c r="AU630" s="7"/>
      <c r="AV630" s="7" t="s">
        <v>11317</v>
      </c>
      <c r="AW630" s="7" t="n">
        <v>32080115</v>
      </c>
      <c r="AX630" s="7" t="s">
        <v>11318</v>
      </c>
      <c r="AY630" s="7" t="s">
        <v>75</v>
      </c>
      <c r="AZ630" s="7" t="s">
        <v>107</v>
      </c>
      <c r="BA630" s="7" t="s">
        <v>76</v>
      </c>
      <c r="BB630" s="7" t="s">
        <v>11319</v>
      </c>
      <c r="BC630" s="7"/>
      <c r="BD630" s="7"/>
      <c r="BE630" s="7"/>
      <c r="BF630" s="7"/>
      <c r="BG630" s="7"/>
      <c r="BH630" s="7"/>
      <c r="BI630" s="7"/>
    </row>
    <row r="631" customFormat="false" ht="14.25" hidden="false" customHeight="true" outlineLevel="0" collapsed="false">
      <c r="A631" s="7" t="s">
        <v>10093</v>
      </c>
      <c r="B631" s="7" t="s">
        <v>10094</v>
      </c>
      <c r="C631" s="7" t="s">
        <v>10095</v>
      </c>
      <c r="D631" s="7" t="s">
        <v>11320</v>
      </c>
      <c r="E631" s="7" t="n">
        <v>2020</v>
      </c>
      <c r="F631" s="8" t="s">
        <v>11321</v>
      </c>
      <c r="G631" s="6" t="s">
        <v>134</v>
      </c>
      <c r="H631" s="7"/>
      <c r="I631" s="7"/>
      <c r="J631" s="7"/>
      <c r="K631" s="7"/>
      <c r="L631" s="7"/>
      <c r="M631" s="7"/>
      <c r="N631" s="7"/>
      <c r="O631" s="7"/>
      <c r="P631" s="7" t="s">
        <v>61</v>
      </c>
      <c r="Q631" s="7" t="s">
        <v>62</v>
      </c>
      <c r="R631" s="7" t="s">
        <v>11322</v>
      </c>
      <c r="S631" s="7" t="n">
        <v>1</v>
      </c>
      <c r="T631" s="7" t="s">
        <v>115</v>
      </c>
      <c r="U631" s="7" t="n">
        <v>3</v>
      </c>
      <c r="V631" s="7" t="n">
        <v>27</v>
      </c>
      <c r="W631" s="7"/>
      <c r="X631" s="7"/>
      <c r="Y631" s="7"/>
      <c r="Z631" s="7" t="s">
        <v>11323</v>
      </c>
      <c r="AA631" s="9" t="s">
        <v>11324</v>
      </c>
      <c r="AB631" s="7" t="s">
        <v>11325</v>
      </c>
      <c r="AC631" s="7" t="s">
        <v>11326</v>
      </c>
      <c r="AD631" s="7" t="s">
        <v>11327</v>
      </c>
      <c r="AE631" s="7"/>
      <c r="AF631" s="7"/>
      <c r="AG631" s="7"/>
      <c r="AH631" s="7"/>
      <c r="AI631" s="7"/>
      <c r="AJ631" s="10"/>
      <c r="AK631" s="7"/>
      <c r="AL631" s="7" t="s">
        <v>11328</v>
      </c>
      <c r="AM631" s="7" t="s">
        <v>11329</v>
      </c>
      <c r="AN631" s="7"/>
      <c r="AO631" s="7"/>
      <c r="AP631" s="7"/>
      <c r="AQ631" s="7"/>
      <c r="AR631" s="7"/>
      <c r="AS631" s="7"/>
      <c r="AT631" s="7" t="n">
        <v>26732688</v>
      </c>
      <c r="AU631" s="7"/>
      <c r="AV631" s="7"/>
      <c r="AW631" s="7"/>
      <c r="AX631" s="7" t="s">
        <v>11330</v>
      </c>
      <c r="AY631" s="7" t="s">
        <v>75</v>
      </c>
      <c r="AZ631" s="7" t="s">
        <v>127</v>
      </c>
      <c r="BA631" s="7" t="s">
        <v>76</v>
      </c>
      <c r="BB631" s="7" t="s">
        <v>11331</v>
      </c>
      <c r="BC631" s="7"/>
      <c r="BD631" s="7"/>
      <c r="BE631" s="7"/>
      <c r="BF631" s="7"/>
      <c r="BG631" s="7"/>
      <c r="BH631" s="7"/>
      <c r="BI631" s="7"/>
    </row>
    <row r="632" customFormat="false" ht="14.25" hidden="false" customHeight="true" outlineLevel="0" collapsed="false">
      <c r="A632" s="7" t="s">
        <v>11332</v>
      </c>
      <c r="B632" s="7" t="s">
        <v>11333</v>
      </c>
      <c r="C632" s="7" t="s">
        <v>11334</v>
      </c>
      <c r="D632" s="7" t="s">
        <v>11335</v>
      </c>
      <c r="E632" s="7" t="n">
        <v>2020</v>
      </c>
      <c r="F632" s="8" t="s">
        <v>11336</v>
      </c>
      <c r="G632" s="6" t="s">
        <v>134</v>
      </c>
      <c r="H632" s="7"/>
      <c r="I632" s="7"/>
      <c r="J632" s="7"/>
      <c r="K632" s="7"/>
      <c r="L632" s="7"/>
      <c r="M632" s="7"/>
      <c r="N632" s="7"/>
      <c r="O632" s="7"/>
      <c r="P632" s="7" t="s">
        <v>61</v>
      </c>
      <c r="Q632" s="7" t="s">
        <v>62</v>
      </c>
      <c r="R632" s="7" t="s">
        <v>11337</v>
      </c>
      <c r="S632" s="7" t="n">
        <v>11</v>
      </c>
      <c r="T632" s="7" t="s">
        <v>11338</v>
      </c>
      <c r="U632" s="7" t="n">
        <v>2</v>
      </c>
      <c r="V632" s="7"/>
      <c r="W632" s="7" t="n">
        <v>699</v>
      </c>
      <c r="X632" s="7" t="n">
        <v>704</v>
      </c>
      <c r="Y632" s="7" t="n">
        <v>5</v>
      </c>
      <c r="Z632" s="7"/>
      <c r="AA632" s="9" t="s">
        <v>11339</v>
      </c>
      <c r="AB632" s="7" t="s">
        <v>11340</v>
      </c>
      <c r="AC632" s="7" t="s">
        <v>11341</v>
      </c>
      <c r="AD632" s="7" t="s">
        <v>11342</v>
      </c>
      <c r="AE632" s="7"/>
      <c r="AF632" s="7"/>
      <c r="AG632" s="7"/>
      <c r="AH632" s="7"/>
      <c r="AI632" s="7"/>
      <c r="AJ632" s="10"/>
      <c r="AK632" s="7"/>
      <c r="AL632" s="7" t="s">
        <v>11343</v>
      </c>
      <c r="AM632" s="7"/>
      <c r="AN632" s="7"/>
      <c r="AO632" s="7"/>
      <c r="AP632" s="7"/>
      <c r="AQ632" s="7"/>
      <c r="AR632" s="7"/>
      <c r="AS632" s="7"/>
      <c r="AT632" s="7" t="n">
        <v>9758364</v>
      </c>
      <c r="AU632" s="7"/>
      <c r="AV632" s="7"/>
      <c r="AW632" s="7"/>
      <c r="AX632" s="7" t="s">
        <v>11344</v>
      </c>
      <c r="AY632" s="7" t="s">
        <v>75</v>
      </c>
      <c r="AZ632" s="7"/>
      <c r="BA632" s="7" t="s">
        <v>76</v>
      </c>
      <c r="BB632" s="7" t="s">
        <v>11345</v>
      </c>
      <c r="BC632" s="7"/>
      <c r="BD632" s="7"/>
      <c r="BE632" s="7"/>
      <c r="BF632" s="7"/>
      <c r="BG632" s="7"/>
      <c r="BH632" s="7"/>
      <c r="BI632" s="7"/>
    </row>
    <row r="633" customFormat="false" ht="14.25" hidden="false" customHeight="true" outlineLevel="0" collapsed="false">
      <c r="A633" s="7" t="s">
        <v>11346</v>
      </c>
      <c r="B633" s="7" t="s">
        <v>11347</v>
      </c>
      <c r="C633" s="7" t="s">
        <v>11348</v>
      </c>
      <c r="D633" s="7" t="s">
        <v>11349</v>
      </c>
      <c r="E633" s="7" t="n">
        <v>2020</v>
      </c>
      <c r="F633" s="8" t="s">
        <v>11350</v>
      </c>
      <c r="G633" s="6" t="s">
        <v>149</v>
      </c>
      <c r="H633" s="7"/>
      <c r="I633" s="7"/>
      <c r="J633" s="7"/>
      <c r="K633" s="7"/>
      <c r="L633" s="7"/>
      <c r="M633" s="7"/>
      <c r="N633" s="7"/>
      <c r="O633" s="7"/>
      <c r="P633" s="7" t="s">
        <v>61</v>
      </c>
      <c r="Q633" s="7" t="s">
        <v>62</v>
      </c>
      <c r="R633" s="7" t="s">
        <v>11351</v>
      </c>
      <c r="S633" s="7" t="n">
        <v>9</v>
      </c>
      <c r="T633" s="7" t="s">
        <v>586</v>
      </c>
      <c r="U633" s="7" t="n">
        <v>1</v>
      </c>
      <c r="V633" s="7" t="n">
        <v>32</v>
      </c>
      <c r="W633" s="7"/>
      <c r="X633" s="7"/>
      <c r="Y633" s="7"/>
      <c r="Z633" s="7" t="s">
        <v>11352</v>
      </c>
      <c r="AA633" s="9" t="s">
        <v>11353</v>
      </c>
      <c r="AB633" s="7" t="s">
        <v>11354</v>
      </c>
      <c r="AC633" s="7" t="s">
        <v>11355</v>
      </c>
      <c r="AD633" s="7" t="s">
        <v>11356</v>
      </c>
      <c r="AE633" s="7" t="s">
        <v>11357</v>
      </c>
      <c r="AF633" s="7"/>
      <c r="AG633" s="7"/>
      <c r="AH633" s="7"/>
      <c r="AI633" s="7"/>
      <c r="AJ633" s="10" t="s">
        <v>11358</v>
      </c>
      <c r="AK633" s="7" t="s">
        <v>11359</v>
      </c>
      <c r="AL633" s="7" t="s">
        <v>11360</v>
      </c>
      <c r="AM633" s="7" t="s">
        <v>11361</v>
      </c>
      <c r="AN633" s="7"/>
      <c r="AO633" s="7"/>
      <c r="AP633" s="7"/>
      <c r="AQ633" s="7"/>
      <c r="AR633" s="7"/>
      <c r="AS633" s="7"/>
      <c r="AT633" s="7" t="n">
        <v>21926662</v>
      </c>
      <c r="AU633" s="7"/>
      <c r="AV633" s="7"/>
      <c r="AW633" s="7"/>
      <c r="AX633" s="7" t="s">
        <v>11362</v>
      </c>
      <c r="AY633" s="7" t="s">
        <v>75</v>
      </c>
      <c r="AZ633" s="7" t="s">
        <v>7961</v>
      </c>
      <c r="BA633" s="7" t="s">
        <v>76</v>
      </c>
      <c r="BB633" s="7" t="s">
        <v>11363</v>
      </c>
      <c r="BC633" s="7"/>
      <c r="BD633" s="7"/>
      <c r="BE633" s="7"/>
      <c r="BF633" s="7"/>
      <c r="BG633" s="7"/>
      <c r="BH633" s="7"/>
      <c r="BI633" s="7"/>
    </row>
    <row r="634" customFormat="false" ht="14.25" hidden="false" customHeight="true" outlineLevel="0" collapsed="false">
      <c r="A634" s="7" t="s">
        <v>11364</v>
      </c>
      <c r="B634" s="7" t="s">
        <v>11365</v>
      </c>
      <c r="C634" s="7" t="s">
        <v>11366</v>
      </c>
      <c r="D634" s="7" t="s">
        <v>11367</v>
      </c>
      <c r="E634" s="7" t="n">
        <v>2020</v>
      </c>
      <c r="F634" s="8" t="s">
        <v>11368</v>
      </c>
      <c r="G634" s="6" t="s">
        <v>134</v>
      </c>
      <c r="H634" s="7"/>
      <c r="I634" s="7"/>
      <c r="J634" s="7"/>
      <c r="K634" s="7"/>
      <c r="L634" s="7"/>
      <c r="M634" s="7"/>
      <c r="N634" s="7"/>
      <c r="O634" s="7"/>
      <c r="P634" s="7" t="s">
        <v>61</v>
      </c>
      <c r="Q634" s="7" t="s">
        <v>62</v>
      </c>
      <c r="R634" s="7" t="s">
        <v>5213</v>
      </c>
      <c r="S634" s="7" t="n">
        <v>80</v>
      </c>
      <c r="T634" s="7" t="s">
        <v>307</v>
      </c>
      <c r="U634" s="7"/>
      <c r="V634" s="7"/>
      <c r="W634" s="7" t="n">
        <v>241</v>
      </c>
      <c r="X634" s="7" t="n">
        <v>265</v>
      </c>
      <c r="Y634" s="7" t="n">
        <v>24</v>
      </c>
      <c r="Z634" s="7" t="s">
        <v>11369</v>
      </c>
      <c r="AA634" s="9" t="s">
        <v>11370</v>
      </c>
      <c r="AB634" s="7" t="s">
        <v>11371</v>
      </c>
      <c r="AC634" s="7" t="s">
        <v>11372</v>
      </c>
      <c r="AD634" s="7" t="s">
        <v>11373</v>
      </c>
      <c r="AE634" s="7" t="s">
        <v>11374</v>
      </c>
      <c r="AF634" s="7"/>
      <c r="AG634" s="7"/>
      <c r="AH634" s="7"/>
      <c r="AI634" s="7"/>
      <c r="AJ634" s="10"/>
      <c r="AK634" s="7"/>
      <c r="AL634" s="7" t="s">
        <v>11375</v>
      </c>
      <c r="AM634" s="7" t="s">
        <v>11376</v>
      </c>
      <c r="AN634" s="7"/>
      <c r="AO634" s="7"/>
      <c r="AP634" s="7"/>
      <c r="AQ634" s="7"/>
      <c r="AR634" s="7"/>
      <c r="AS634" s="7"/>
      <c r="AT634" s="7" t="n">
        <v>21976503</v>
      </c>
      <c r="AU634" s="7"/>
      <c r="AV634" s="7"/>
      <c r="AW634" s="7"/>
      <c r="AX634" s="7" t="s">
        <v>5222</v>
      </c>
      <c r="AY634" s="7" t="s">
        <v>75</v>
      </c>
      <c r="AZ634" s="7"/>
      <c r="BA634" s="7" t="s">
        <v>76</v>
      </c>
      <c r="BB634" s="7" t="s">
        <v>11377</v>
      </c>
      <c r="BC634" s="7"/>
      <c r="BD634" s="7"/>
      <c r="BE634" s="7"/>
      <c r="BF634" s="7"/>
      <c r="BG634" s="7"/>
      <c r="BH634" s="7"/>
      <c r="BI634" s="7"/>
    </row>
    <row r="635" customFormat="false" ht="14.25" hidden="false" customHeight="true" outlineLevel="0" collapsed="false">
      <c r="A635" s="7" t="s">
        <v>11378</v>
      </c>
      <c r="B635" s="7" t="s">
        <v>11379</v>
      </c>
      <c r="C635" s="7" t="s">
        <v>11380</v>
      </c>
      <c r="D635" s="6" t="s">
        <v>11381</v>
      </c>
      <c r="E635" s="7" t="n">
        <v>2020</v>
      </c>
      <c r="F635" s="8" t="s">
        <v>11382</v>
      </c>
      <c r="G635" s="6" t="s">
        <v>1686</v>
      </c>
      <c r="H635" s="7"/>
      <c r="I635" s="7"/>
      <c r="J635" s="7"/>
      <c r="K635" s="7"/>
      <c r="L635" s="7"/>
      <c r="M635" s="7"/>
      <c r="N635" s="7"/>
      <c r="O635" s="7"/>
      <c r="P635" s="7" t="s">
        <v>61</v>
      </c>
      <c r="Q635" s="7" t="s">
        <v>62</v>
      </c>
      <c r="R635" s="7" t="s">
        <v>11383</v>
      </c>
      <c r="S635" s="7" t="n">
        <v>45</v>
      </c>
      <c r="T635" s="7" t="s">
        <v>11384</v>
      </c>
      <c r="U635" s="7" t="n">
        <v>3</v>
      </c>
      <c r="V635" s="7"/>
      <c r="W635" s="7" t="n">
        <v>229</v>
      </c>
      <c r="X635" s="7" t="n">
        <v>241</v>
      </c>
      <c r="Y635" s="7" t="n">
        <v>12</v>
      </c>
      <c r="Z635" s="7" t="s">
        <v>11385</v>
      </c>
      <c r="AA635" s="9" t="s">
        <v>11386</v>
      </c>
      <c r="AB635" s="7" t="s">
        <v>11387</v>
      </c>
      <c r="AC635" s="7" t="s">
        <v>11388</v>
      </c>
      <c r="AD635" s="7" t="s">
        <v>11389</v>
      </c>
      <c r="AE635" s="7" t="s">
        <v>11390</v>
      </c>
      <c r="AF635" s="7"/>
      <c r="AG635" s="7"/>
      <c r="AH635" s="7"/>
      <c r="AI635" s="7"/>
      <c r="AJ635" s="10" t="s">
        <v>11391</v>
      </c>
      <c r="AK635" s="7" t="s">
        <v>11392</v>
      </c>
      <c r="AL635" s="7" t="s">
        <v>11393</v>
      </c>
      <c r="AM635" s="7" t="s">
        <v>11394</v>
      </c>
      <c r="AN635" s="7"/>
      <c r="AO635" s="7"/>
      <c r="AP635" s="7"/>
      <c r="AQ635" s="7"/>
      <c r="AR635" s="7"/>
      <c r="AS635" s="7"/>
      <c r="AT635" s="7" t="n">
        <v>17538157</v>
      </c>
      <c r="AU635" s="7"/>
      <c r="AV635" s="7"/>
      <c r="AW635" s="7" t="n">
        <v>30917718</v>
      </c>
      <c r="AX635" s="7" t="s">
        <v>11395</v>
      </c>
      <c r="AY635" s="7" t="s">
        <v>75</v>
      </c>
      <c r="AZ635" s="7"/>
      <c r="BA635" s="7" t="s">
        <v>76</v>
      </c>
      <c r="BB635" s="7" t="s">
        <v>11396</v>
      </c>
      <c r="BC635" s="7"/>
      <c r="BD635" s="7"/>
      <c r="BE635" s="7"/>
      <c r="BF635" s="7"/>
      <c r="BG635" s="7"/>
      <c r="BH635" s="7"/>
      <c r="BI635" s="7"/>
    </row>
    <row r="636" customFormat="false" ht="14.25" hidden="false" customHeight="true" outlineLevel="0" collapsed="false">
      <c r="A636" s="7" t="s">
        <v>11397</v>
      </c>
      <c r="B636" s="7" t="s">
        <v>11398</v>
      </c>
      <c r="C636" s="7" t="s">
        <v>11399</v>
      </c>
      <c r="D636" s="7" t="s">
        <v>11400</v>
      </c>
      <c r="E636" s="7" t="n">
        <v>2020</v>
      </c>
      <c r="F636" s="8" t="s">
        <v>11401</v>
      </c>
      <c r="G636" s="6" t="s">
        <v>134</v>
      </c>
      <c r="H636" s="7"/>
      <c r="I636" s="7"/>
      <c r="J636" s="7"/>
      <c r="K636" s="7"/>
      <c r="L636" s="7"/>
      <c r="M636" s="7"/>
      <c r="N636" s="7"/>
      <c r="O636" s="7"/>
      <c r="P636" s="7" t="s">
        <v>61</v>
      </c>
      <c r="Q636" s="7" t="s">
        <v>62</v>
      </c>
      <c r="R636" s="7" t="s">
        <v>518</v>
      </c>
      <c r="S636" s="7" t="n">
        <v>98</v>
      </c>
      <c r="T636" s="7" t="s">
        <v>519</v>
      </c>
      <c r="U636" s="7" t="n">
        <v>5</v>
      </c>
      <c r="V636" s="7"/>
      <c r="W636" s="7" t="n">
        <v>757</v>
      </c>
      <c r="X636" s="7" t="n">
        <v>767</v>
      </c>
      <c r="Y636" s="7" t="n">
        <v>10</v>
      </c>
      <c r="Z636" s="7"/>
      <c r="AA636" s="9" t="s">
        <v>11402</v>
      </c>
      <c r="AB636" s="7" t="s">
        <v>11403</v>
      </c>
      <c r="AC636" s="7" t="s">
        <v>11404</v>
      </c>
      <c r="AD636" s="7" t="s">
        <v>11405</v>
      </c>
      <c r="AE636" s="7"/>
      <c r="AF636" s="7"/>
      <c r="AG636" s="7"/>
      <c r="AH636" s="7"/>
      <c r="AI636" s="7"/>
      <c r="AJ636" s="10"/>
      <c r="AK636" s="7"/>
      <c r="AL636" s="7" t="s">
        <v>11406</v>
      </c>
      <c r="AM636" s="7"/>
      <c r="AN636" s="7"/>
      <c r="AO636" s="7"/>
      <c r="AP636" s="7"/>
      <c r="AQ636" s="7"/>
      <c r="AR636" s="7"/>
      <c r="AS636" s="7"/>
      <c r="AT636" s="7" t="n">
        <v>19928645</v>
      </c>
      <c r="AU636" s="7"/>
      <c r="AV636" s="7"/>
      <c r="AW636" s="7"/>
      <c r="AX636" s="7" t="s">
        <v>525</v>
      </c>
      <c r="AY636" s="7" t="s">
        <v>75</v>
      </c>
      <c r="AZ636" s="7"/>
      <c r="BA636" s="7" t="s">
        <v>76</v>
      </c>
      <c r="BB636" s="7" t="s">
        <v>11407</v>
      </c>
      <c r="BC636" s="7"/>
      <c r="BD636" s="7"/>
      <c r="BE636" s="7"/>
      <c r="BF636" s="7"/>
      <c r="BG636" s="7"/>
      <c r="BH636" s="7"/>
      <c r="BI636" s="7"/>
    </row>
    <row r="637" customFormat="false" ht="14.25" hidden="false" customHeight="true" outlineLevel="0" collapsed="false">
      <c r="A637" s="7" t="s">
        <v>11408</v>
      </c>
      <c r="B637" s="7" t="s">
        <v>11409</v>
      </c>
      <c r="C637" s="7" t="s">
        <v>11410</v>
      </c>
      <c r="D637" s="7" t="s">
        <v>11411</v>
      </c>
      <c r="E637" s="7" t="n">
        <v>2020</v>
      </c>
      <c r="F637" s="8" t="s">
        <v>11412</v>
      </c>
      <c r="G637" s="6" t="s">
        <v>134</v>
      </c>
      <c r="H637" s="7"/>
      <c r="I637" s="7"/>
      <c r="J637" s="7"/>
      <c r="K637" s="7"/>
      <c r="L637" s="7"/>
      <c r="M637" s="7"/>
      <c r="N637" s="7"/>
      <c r="O637" s="7"/>
      <c r="P637" s="7" t="s">
        <v>61</v>
      </c>
      <c r="Q637" s="7" t="s">
        <v>62</v>
      </c>
      <c r="R637" s="7" t="s">
        <v>518</v>
      </c>
      <c r="S637" s="7" t="n">
        <v>98</v>
      </c>
      <c r="T637" s="7" t="s">
        <v>519</v>
      </c>
      <c r="U637" s="7" t="n">
        <v>24</v>
      </c>
      <c r="V637" s="7"/>
      <c r="W637" s="7" t="n">
        <v>4228</v>
      </c>
      <c r="X637" s="7" t="n">
        <v>4238</v>
      </c>
      <c r="Y637" s="7" t="n">
        <v>10</v>
      </c>
      <c r="Z637" s="7"/>
      <c r="AA637" s="9" t="s">
        <v>11413</v>
      </c>
      <c r="AB637" s="7" t="s">
        <v>11414</v>
      </c>
      <c r="AC637" s="7" t="s">
        <v>11415</v>
      </c>
      <c r="AD637" s="7" t="s">
        <v>11416</v>
      </c>
      <c r="AE637" s="7"/>
      <c r="AF637" s="7"/>
      <c r="AG637" s="7"/>
      <c r="AH637" s="7"/>
      <c r="AI637" s="7"/>
      <c r="AJ637" s="10"/>
      <c r="AK637" s="7"/>
      <c r="AL637" s="7" t="s">
        <v>11417</v>
      </c>
      <c r="AM637" s="7"/>
      <c r="AN637" s="7"/>
      <c r="AO637" s="7"/>
      <c r="AP637" s="7"/>
      <c r="AQ637" s="7"/>
      <c r="AR637" s="7"/>
      <c r="AS637" s="7"/>
      <c r="AT637" s="7" t="n">
        <v>19928645</v>
      </c>
      <c r="AU637" s="7"/>
      <c r="AV637" s="7"/>
      <c r="AW637" s="7"/>
      <c r="AX637" s="7" t="s">
        <v>525</v>
      </c>
      <c r="AY637" s="7" t="s">
        <v>75</v>
      </c>
      <c r="AZ637" s="7"/>
      <c r="BA637" s="7" t="s">
        <v>76</v>
      </c>
      <c r="BB637" s="7" t="s">
        <v>11418</v>
      </c>
      <c r="BC637" s="7"/>
      <c r="BD637" s="7"/>
      <c r="BE637" s="7"/>
      <c r="BF637" s="7"/>
      <c r="BG637" s="7"/>
      <c r="BH637" s="7"/>
      <c r="BI637" s="7"/>
    </row>
    <row r="638" customFormat="false" ht="14.25" hidden="false" customHeight="true" outlineLevel="0" collapsed="false">
      <c r="A638" s="7" t="s">
        <v>11419</v>
      </c>
      <c r="B638" s="7" t="s">
        <v>11420</v>
      </c>
      <c r="C638" s="7" t="s">
        <v>11421</v>
      </c>
      <c r="D638" s="7" t="s">
        <v>11422</v>
      </c>
      <c r="E638" s="7" t="n">
        <v>2020</v>
      </c>
      <c r="F638" s="8" t="s">
        <v>11423</v>
      </c>
      <c r="G638" s="6" t="s">
        <v>290</v>
      </c>
      <c r="H638" s="7"/>
      <c r="I638" s="7"/>
      <c r="J638" s="7"/>
      <c r="K638" s="7"/>
      <c r="L638" s="7"/>
      <c r="M638" s="7"/>
      <c r="N638" s="7"/>
      <c r="O638" s="7"/>
      <c r="P638" s="7" t="s">
        <v>61</v>
      </c>
      <c r="Q638" s="7" t="s">
        <v>62</v>
      </c>
      <c r="R638" s="7" t="s">
        <v>11424</v>
      </c>
      <c r="S638" s="7" t="n">
        <v>13</v>
      </c>
      <c r="T638" s="7" t="s">
        <v>11425</v>
      </c>
      <c r="U638" s="23" t="n">
        <v>45692</v>
      </c>
      <c r="V638" s="7"/>
      <c r="W638" s="7" t="n">
        <v>479</v>
      </c>
      <c r="X638" s="7" t="n">
        <v>490</v>
      </c>
      <c r="Y638" s="7" t="n">
        <v>11</v>
      </c>
      <c r="Z638" s="7" t="s">
        <v>11426</v>
      </c>
      <c r="AA638" s="9" t="s">
        <v>11427</v>
      </c>
      <c r="AB638" s="7" t="s">
        <v>11428</v>
      </c>
      <c r="AC638" s="7" t="s">
        <v>11429</v>
      </c>
      <c r="AD638" s="7" t="s">
        <v>11430</v>
      </c>
      <c r="AE638" s="7" t="s">
        <v>11431</v>
      </c>
      <c r="AF638" s="7"/>
      <c r="AG638" s="7"/>
      <c r="AH638" s="7"/>
      <c r="AI638" s="7"/>
      <c r="AJ638" s="10"/>
      <c r="AK638" s="7"/>
      <c r="AL638" s="7" t="s">
        <v>11432</v>
      </c>
      <c r="AM638" s="7" t="s">
        <v>11433</v>
      </c>
      <c r="AN638" s="7"/>
      <c r="AO638" s="7"/>
      <c r="AP638" s="7"/>
      <c r="AQ638" s="7"/>
      <c r="AR638" s="7"/>
      <c r="AS638" s="7"/>
      <c r="AT638" s="7" t="n">
        <v>17515858</v>
      </c>
      <c r="AU638" s="7"/>
      <c r="AV638" s="7"/>
      <c r="AW638" s="7"/>
      <c r="AX638" s="7" t="s">
        <v>11434</v>
      </c>
      <c r="AY638" s="7" t="s">
        <v>75</v>
      </c>
      <c r="AZ638" s="7" t="s">
        <v>4371</v>
      </c>
      <c r="BA638" s="7" t="s">
        <v>76</v>
      </c>
      <c r="BB638" s="7" t="s">
        <v>11435</v>
      </c>
      <c r="BC638" s="7"/>
      <c r="BD638" s="7"/>
      <c r="BE638" s="7"/>
      <c r="BF638" s="7"/>
      <c r="BG638" s="7"/>
      <c r="BH638" s="7"/>
      <c r="BI638" s="7"/>
    </row>
    <row r="639" customFormat="false" ht="14.25" hidden="false" customHeight="true" outlineLevel="0" collapsed="false">
      <c r="A639" s="7" t="s">
        <v>11436</v>
      </c>
      <c r="B639" s="7" t="s">
        <v>11437</v>
      </c>
      <c r="C639" s="7" t="s">
        <v>11438</v>
      </c>
      <c r="D639" s="7" t="s">
        <v>11439</v>
      </c>
      <c r="E639" s="7" t="n">
        <v>2020</v>
      </c>
      <c r="F639" s="8" t="s">
        <v>11440</v>
      </c>
      <c r="G639" s="6" t="s">
        <v>3714</v>
      </c>
      <c r="H639" s="7"/>
      <c r="I639" s="7"/>
      <c r="J639" s="7"/>
      <c r="K639" s="7"/>
      <c r="L639" s="7"/>
      <c r="M639" s="7"/>
      <c r="N639" s="7"/>
      <c r="O639" s="7"/>
      <c r="P639" s="7" t="s">
        <v>61</v>
      </c>
      <c r="Q639" s="7" t="s">
        <v>62</v>
      </c>
      <c r="R639" s="7" t="s">
        <v>114</v>
      </c>
      <c r="S639" s="7" t="n">
        <v>17</v>
      </c>
      <c r="T639" s="7" t="s">
        <v>9272</v>
      </c>
      <c r="U639" s="7" t="n">
        <v>2</v>
      </c>
      <c r="V639" s="7" t="n">
        <v>453</v>
      </c>
      <c r="W639" s="7"/>
      <c r="X639" s="7"/>
      <c r="Y639" s="7"/>
      <c r="Z639" s="7" t="s">
        <v>11441</v>
      </c>
      <c r="AA639" s="9" t="s">
        <v>11442</v>
      </c>
      <c r="AB639" s="7" t="s">
        <v>11443</v>
      </c>
      <c r="AC639" s="7" t="s">
        <v>11444</v>
      </c>
      <c r="AD639" s="7" t="s">
        <v>11445</v>
      </c>
      <c r="AE639" s="7" t="s">
        <v>11446</v>
      </c>
      <c r="AF639" s="7"/>
      <c r="AG639" s="7"/>
      <c r="AH639" s="7"/>
      <c r="AI639" s="7"/>
      <c r="AJ639" s="10" t="s">
        <v>11447</v>
      </c>
      <c r="AK639" s="7" t="s">
        <v>11448</v>
      </c>
      <c r="AL639" s="7" t="s">
        <v>11449</v>
      </c>
      <c r="AM639" s="7" t="s">
        <v>11450</v>
      </c>
      <c r="AN639" s="7"/>
      <c r="AO639" s="7"/>
      <c r="AP639" s="7"/>
      <c r="AQ639" s="7"/>
      <c r="AR639" s="7"/>
      <c r="AS639" s="7"/>
      <c r="AT639" s="7" t="n">
        <v>16617827</v>
      </c>
      <c r="AU639" s="7"/>
      <c r="AV639" s="7"/>
      <c r="AW639" s="7" t="n">
        <v>31936708</v>
      </c>
      <c r="AX639" s="7" t="s">
        <v>126</v>
      </c>
      <c r="AY639" s="7" t="s">
        <v>75</v>
      </c>
      <c r="AZ639" s="7" t="s">
        <v>107</v>
      </c>
      <c r="BA639" s="7" t="s">
        <v>76</v>
      </c>
      <c r="BB639" s="7" t="s">
        <v>11451</v>
      </c>
      <c r="BC639" s="7"/>
      <c r="BD639" s="7"/>
      <c r="BE639" s="7"/>
      <c r="BF639" s="7"/>
      <c r="BG639" s="7"/>
      <c r="BH639" s="7"/>
      <c r="BI639" s="7"/>
    </row>
    <row r="640" customFormat="false" ht="14.25" hidden="false" customHeight="true" outlineLevel="0" collapsed="false">
      <c r="A640" s="7" t="s">
        <v>11452</v>
      </c>
      <c r="B640" s="7" t="s">
        <v>11453</v>
      </c>
      <c r="C640" s="7" t="s">
        <v>11454</v>
      </c>
      <c r="D640" s="7" t="s">
        <v>11455</v>
      </c>
      <c r="E640" s="7" t="n">
        <v>2020</v>
      </c>
      <c r="F640" s="8" t="s">
        <v>11456</v>
      </c>
      <c r="G640" s="6" t="s">
        <v>393</v>
      </c>
      <c r="H640" s="7"/>
      <c r="I640" s="7"/>
      <c r="J640" s="7"/>
      <c r="K640" s="7"/>
      <c r="L640" s="7"/>
      <c r="M640" s="7"/>
      <c r="N640" s="7"/>
      <c r="O640" s="7"/>
      <c r="P640" s="7" t="s">
        <v>61</v>
      </c>
      <c r="Q640" s="7" t="s">
        <v>62</v>
      </c>
      <c r="R640" s="7" t="s">
        <v>11457</v>
      </c>
      <c r="S640" s="7"/>
      <c r="T640" s="7" t="s">
        <v>11458</v>
      </c>
      <c r="U640" s="7" t="n">
        <v>2</v>
      </c>
      <c r="V640" s="7"/>
      <c r="W640" s="7" t="n">
        <v>268</v>
      </c>
      <c r="X640" s="7" t="n">
        <v>274</v>
      </c>
      <c r="Y640" s="7" t="n">
        <v>6</v>
      </c>
      <c r="Z640" s="7" t="s">
        <v>11459</v>
      </c>
      <c r="AA640" s="9" t="s">
        <v>11460</v>
      </c>
      <c r="AB640" s="7" t="s">
        <v>11461</v>
      </c>
      <c r="AC640" s="7" t="s">
        <v>11462</v>
      </c>
      <c r="AD640" s="7" t="s">
        <v>11463</v>
      </c>
      <c r="AE640" s="7" t="s">
        <v>11464</v>
      </c>
      <c r="AF640" s="7"/>
      <c r="AG640" s="7"/>
      <c r="AH640" s="7"/>
      <c r="AI640" s="7"/>
      <c r="AJ640" s="10"/>
      <c r="AK640" s="7"/>
      <c r="AL640" s="7" t="s">
        <v>11465</v>
      </c>
      <c r="AM640" s="7"/>
      <c r="AN640" s="7"/>
      <c r="AO640" s="7"/>
      <c r="AP640" s="7"/>
      <c r="AQ640" s="7"/>
      <c r="AR640" s="7"/>
      <c r="AS640" s="7"/>
      <c r="AT640" s="7" t="s">
        <v>11466</v>
      </c>
      <c r="AU640" s="7"/>
      <c r="AV640" s="7"/>
      <c r="AW640" s="7"/>
      <c r="AX640" s="7" t="s">
        <v>11467</v>
      </c>
      <c r="AY640" s="7" t="s">
        <v>75</v>
      </c>
      <c r="AZ640" s="7" t="s">
        <v>127</v>
      </c>
      <c r="BA640" s="7" t="s">
        <v>76</v>
      </c>
      <c r="BB640" s="7" t="s">
        <v>11468</v>
      </c>
      <c r="BC640" s="7"/>
      <c r="BD640" s="7"/>
      <c r="BE640" s="7"/>
      <c r="BF640" s="7"/>
      <c r="BG640" s="7"/>
      <c r="BH640" s="7"/>
      <c r="BI640" s="7"/>
    </row>
    <row r="641" customFormat="false" ht="14.25" hidden="false" customHeight="true" outlineLevel="0" collapsed="false">
      <c r="A641" s="7" t="s">
        <v>11469</v>
      </c>
      <c r="B641" s="7" t="s">
        <v>11470</v>
      </c>
      <c r="C641" s="7" t="s">
        <v>11471</v>
      </c>
      <c r="D641" s="7" t="s">
        <v>11472</v>
      </c>
      <c r="E641" s="7" t="n">
        <v>2020</v>
      </c>
      <c r="F641" s="8" t="s">
        <v>11473</v>
      </c>
      <c r="G641" s="6" t="s">
        <v>134</v>
      </c>
      <c r="H641" s="7"/>
      <c r="I641" s="7"/>
      <c r="J641" s="7"/>
      <c r="K641" s="7"/>
      <c r="L641" s="7"/>
      <c r="M641" s="7"/>
      <c r="N641" s="7"/>
      <c r="O641" s="7"/>
      <c r="P641" s="7" t="s">
        <v>61</v>
      </c>
      <c r="Q641" s="7" t="s">
        <v>62</v>
      </c>
      <c r="R641" s="7" t="s">
        <v>11474</v>
      </c>
      <c r="S641" s="7" t="n">
        <v>34</v>
      </c>
      <c r="T641" s="7" t="s">
        <v>11475</v>
      </c>
      <c r="U641" s="7" t="n">
        <v>5</v>
      </c>
      <c r="V641" s="7"/>
      <c r="W641" s="7" t="n">
        <v>571</v>
      </c>
      <c r="X641" s="7" t="n">
        <v>576</v>
      </c>
      <c r="Y641" s="7" t="n">
        <v>5</v>
      </c>
      <c r="Z641" s="7" t="s">
        <v>11476</v>
      </c>
      <c r="AA641" s="9" t="s">
        <v>11477</v>
      </c>
      <c r="AB641" s="7" t="s">
        <v>11478</v>
      </c>
      <c r="AC641" s="7" t="s">
        <v>11479</v>
      </c>
      <c r="AD641" s="7" t="s">
        <v>11480</v>
      </c>
      <c r="AE641" s="7" t="s">
        <v>11481</v>
      </c>
      <c r="AF641" s="7"/>
      <c r="AG641" s="7"/>
      <c r="AH641" s="7"/>
      <c r="AI641" s="7"/>
      <c r="AJ641" s="10"/>
      <c r="AK641" s="7"/>
      <c r="AL641" s="7" t="s">
        <v>11482</v>
      </c>
      <c r="AM641" s="7" t="s">
        <v>11483</v>
      </c>
      <c r="AN641" s="7"/>
      <c r="AO641" s="7"/>
      <c r="AP641" s="7"/>
      <c r="AQ641" s="7"/>
      <c r="AR641" s="7"/>
      <c r="AS641" s="7"/>
      <c r="AT641" s="7" t="s">
        <v>11484</v>
      </c>
      <c r="AU641" s="7"/>
      <c r="AV641" s="7"/>
      <c r="AW641" s="7"/>
      <c r="AX641" s="7" t="s">
        <v>11485</v>
      </c>
      <c r="AY641" s="7" t="s">
        <v>75</v>
      </c>
      <c r="AZ641" s="7" t="s">
        <v>4371</v>
      </c>
      <c r="BA641" s="7" t="s">
        <v>76</v>
      </c>
      <c r="BB641" s="7" t="s">
        <v>11486</v>
      </c>
      <c r="BC641" s="7"/>
      <c r="BD641" s="7"/>
      <c r="BE641" s="7"/>
      <c r="BF641" s="7"/>
      <c r="BG641" s="7"/>
      <c r="BH641" s="7"/>
      <c r="BI641" s="7"/>
    </row>
    <row r="642" customFormat="false" ht="14.25" hidden="false" customHeight="true" outlineLevel="0" collapsed="false">
      <c r="A642" s="7" t="s">
        <v>11487</v>
      </c>
      <c r="B642" s="7" t="s">
        <v>11488</v>
      </c>
      <c r="C642" s="7" t="s">
        <v>11489</v>
      </c>
      <c r="D642" s="7" t="s">
        <v>11490</v>
      </c>
      <c r="E642" s="7" t="n">
        <v>2020</v>
      </c>
      <c r="F642" s="8" t="s">
        <v>11491</v>
      </c>
      <c r="G642" s="6" t="s">
        <v>1159</v>
      </c>
      <c r="H642" s="7"/>
      <c r="I642" s="7"/>
      <c r="J642" s="7"/>
      <c r="K642" s="7"/>
      <c r="L642" s="7"/>
      <c r="M642" s="7"/>
      <c r="N642" s="7"/>
      <c r="O642" s="7"/>
      <c r="P642" s="7" t="s">
        <v>61</v>
      </c>
      <c r="Q642" s="7" t="s">
        <v>62</v>
      </c>
      <c r="R642" s="7" t="s">
        <v>11492</v>
      </c>
      <c r="S642" s="7" t="n">
        <v>25</v>
      </c>
      <c r="T642" s="7" t="s">
        <v>11475</v>
      </c>
      <c r="U642" s="7" t="n">
        <v>3</v>
      </c>
      <c r="V642" s="7"/>
      <c r="W642" s="7" t="n">
        <v>327</v>
      </c>
      <c r="X642" s="7" t="n">
        <v>3355</v>
      </c>
      <c r="Y642" s="7" t="n">
        <v>3028</v>
      </c>
      <c r="Z642" s="7" t="s">
        <v>11493</v>
      </c>
      <c r="AA642" s="9" t="s">
        <v>11494</v>
      </c>
      <c r="AB642" s="7" t="s">
        <v>11495</v>
      </c>
      <c r="AC642" s="7" t="s">
        <v>11496</v>
      </c>
      <c r="AD642" s="7" t="s">
        <v>11497</v>
      </c>
      <c r="AE642" s="7" t="s">
        <v>11498</v>
      </c>
      <c r="AF642" s="7"/>
      <c r="AG642" s="7"/>
      <c r="AH642" s="7"/>
      <c r="AI642" s="7"/>
      <c r="AJ642" s="10"/>
      <c r="AK642" s="7"/>
      <c r="AL642" s="7" t="s">
        <v>11499</v>
      </c>
      <c r="AM642" s="7" t="s">
        <v>11500</v>
      </c>
      <c r="AN642" s="7"/>
      <c r="AO642" s="7"/>
      <c r="AP642" s="7"/>
      <c r="AQ642" s="7"/>
      <c r="AR642" s="7"/>
      <c r="AS642" s="7"/>
      <c r="AT642" s="7" t="n">
        <v>16331311</v>
      </c>
      <c r="AU642" s="7"/>
      <c r="AV642" s="7"/>
      <c r="AW642" s="7"/>
      <c r="AX642" s="7" t="s">
        <v>11501</v>
      </c>
      <c r="AY642" s="7" t="s">
        <v>75</v>
      </c>
      <c r="AZ642" s="7" t="s">
        <v>4371</v>
      </c>
      <c r="BA642" s="7" t="s">
        <v>76</v>
      </c>
      <c r="BB642" s="7" t="s">
        <v>11502</v>
      </c>
      <c r="BC642" s="7"/>
      <c r="BD642" s="7"/>
      <c r="BE642" s="7"/>
      <c r="BF642" s="7"/>
      <c r="BG642" s="7"/>
      <c r="BH642" s="7"/>
      <c r="BI642" s="7"/>
    </row>
    <row r="643" customFormat="false" ht="14.25" hidden="false" customHeight="true" outlineLevel="0" collapsed="false">
      <c r="A643" s="7" t="s">
        <v>11503</v>
      </c>
      <c r="B643" s="7" t="s">
        <v>11504</v>
      </c>
      <c r="C643" s="7" t="s">
        <v>11505</v>
      </c>
      <c r="D643" s="7" t="s">
        <v>11506</v>
      </c>
      <c r="E643" s="7" t="n">
        <v>2020</v>
      </c>
      <c r="F643" s="8" t="s">
        <v>11507</v>
      </c>
      <c r="G643" s="6" t="s">
        <v>1686</v>
      </c>
      <c r="H643" s="7"/>
      <c r="I643" s="7"/>
      <c r="J643" s="7"/>
      <c r="K643" s="7"/>
      <c r="L643" s="7"/>
      <c r="M643" s="7"/>
      <c r="N643" s="7"/>
      <c r="O643" s="7"/>
      <c r="P643" s="7" t="s">
        <v>61</v>
      </c>
      <c r="Q643" s="7" t="s">
        <v>62</v>
      </c>
      <c r="R643" s="7" t="s">
        <v>416</v>
      </c>
      <c r="S643" s="7" t="n">
        <v>9</v>
      </c>
      <c r="T643" s="7" t="s">
        <v>417</v>
      </c>
      <c r="U643" s="7" t="n">
        <v>4</v>
      </c>
      <c r="V643" s="7"/>
      <c r="W643" s="7" t="n">
        <v>1631</v>
      </c>
      <c r="X643" s="7" t="n">
        <v>1637</v>
      </c>
      <c r="Y643" s="7" t="n">
        <v>6</v>
      </c>
      <c r="Z643" s="7" t="s">
        <v>11508</v>
      </c>
      <c r="AA643" s="9" t="s">
        <v>11509</v>
      </c>
      <c r="AB643" s="7" t="s">
        <v>11510</v>
      </c>
      <c r="AC643" s="7" t="s">
        <v>11511</v>
      </c>
      <c r="AD643" s="7" t="s">
        <v>11512</v>
      </c>
      <c r="AE643" s="7"/>
      <c r="AF643" s="7"/>
      <c r="AG643" s="7"/>
      <c r="AH643" s="7"/>
      <c r="AI643" s="7"/>
      <c r="AJ643" s="10" t="s">
        <v>11513</v>
      </c>
      <c r="AK643" s="7" t="s">
        <v>11514</v>
      </c>
      <c r="AL643" s="7" t="s">
        <v>11515</v>
      </c>
      <c r="AM643" s="7" t="s">
        <v>11516</v>
      </c>
      <c r="AN643" s="7"/>
      <c r="AO643" s="7"/>
      <c r="AP643" s="7"/>
      <c r="AQ643" s="7"/>
      <c r="AR643" s="7"/>
      <c r="AS643" s="7"/>
      <c r="AT643" s="7" t="n">
        <v>20893191</v>
      </c>
      <c r="AU643" s="7"/>
      <c r="AV643" s="7"/>
      <c r="AW643" s="7"/>
      <c r="AX643" s="7" t="s">
        <v>425</v>
      </c>
      <c r="AY643" s="7" t="s">
        <v>75</v>
      </c>
      <c r="AZ643" s="7" t="s">
        <v>107</v>
      </c>
      <c r="BA643" s="7" t="s">
        <v>76</v>
      </c>
      <c r="BB643" s="7" t="s">
        <v>11517</v>
      </c>
      <c r="BC643" s="7"/>
      <c r="BD643" s="7"/>
      <c r="BE643" s="7"/>
      <c r="BF643" s="7"/>
      <c r="BG643" s="7"/>
      <c r="BH643" s="7"/>
      <c r="BI643" s="7"/>
    </row>
    <row r="644" customFormat="false" ht="14.25" hidden="false" customHeight="true" outlineLevel="0" collapsed="false">
      <c r="A644" s="7" t="s">
        <v>11518</v>
      </c>
      <c r="B644" s="7" t="s">
        <v>11519</v>
      </c>
      <c r="C644" s="7" t="s">
        <v>11520</v>
      </c>
      <c r="D644" s="7" t="s">
        <v>11521</v>
      </c>
      <c r="E644" s="7" t="n">
        <v>2020</v>
      </c>
      <c r="F644" s="8" t="s">
        <v>11522</v>
      </c>
      <c r="G644" s="6" t="s">
        <v>134</v>
      </c>
      <c r="H644" s="7"/>
      <c r="I644" s="7"/>
      <c r="J644" s="7"/>
      <c r="K644" s="7"/>
      <c r="L644" s="7"/>
      <c r="M644" s="7"/>
      <c r="N644" s="7"/>
      <c r="O644" s="7"/>
      <c r="P644" s="7" t="s">
        <v>61</v>
      </c>
      <c r="Q644" s="7" t="s">
        <v>62</v>
      </c>
      <c r="R644" s="7" t="s">
        <v>11523</v>
      </c>
      <c r="S644" s="7" t="n">
        <v>138</v>
      </c>
      <c r="T644" s="7" t="s">
        <v>202</v>
      </c>
      <c r="U644" s="7"/>
      <c r="V644" s="7"/>
      <c r="W644" s="7" t="n">
        <v>88</v>
      </c>
      <c r="X644" s="7" t="n">
        <v>94</v>
      </c>
      <c r="Y644" s="7" t="n">
        <v>6</v>
      </c>
      <c r="Z644" s="7" t="s">
        <v>11524</v>
      </c>
      <c r="AA644" s="9" t="s">
        <v>11525</v>
      </c>
      <c r="AB644" s="7" t="s">
        <v>11526</v>
      </c>
      <c r="AC644" s="7" t="s">
        <v>11527</v>
      </c>
      <c r="AD644" s="7" t="s">
        <v>11528</v>
      </c>
      <c r="AE644" s="7" t="s">
        <v>11529</v>
      </c>
      <c r="AF644" s="7"/>
      <c r="AG644" s="7"/>
      <c r="AH644" s="7"/>
      <c r="AI644" s="7"/>
      <c r="AJ644" s="10"/>
      <c r="AK644" s="7"/>
      <c r="AL644" s="7" t="s">
        <v>11530</v>
      </c>
      <c r="AM644" s="7" t="s">
        <v>11531</v>
      </c>
      <c r="AN644" s="7"/>
      <c r="AO644" s="7"/>
      <c r="AP644" s="7"/>
      <c r="AQ644" s="7"/>
      <c r="AR644" s="7"/>
      <c r="AS644" s="7"/>
      <c r="AT644" s="7" t="n">
        <v>1678655</v>
      </c>
      <c r="AU644" s="7"/>
      <c r="AV644" s="7"/>
      <c r="AW644" s="7"/>
      <c r="AX644" s="7" t="s">
        <v>11532</v>
      </c>
      <c r="AY644" s="7" t="s">
        <v>75</v>
      </c>
      <c r="AZ644" s="7"/>
      <c r="BA644" s="7" t="s">
        <v>76</v>
      </c>
      <c r="BB644" s="7" t="s">
        <v>11533</v>
      </c>
      <c r="BC644" s="7"/>
      <c r="BD644" s="7"/>
      <c r="BE644" s="7"/>
      <c r="BF644" s="7"/>
      <c r="BG644" s="7"/>
      <c r="BH644" s="7"/>
      <c r="BI644" s="7"/>
    </row>
    <row r="645" customFormat="false" ht="14.25" hidden="false" customHeight="true" outlineLevel="0" collapsed="false">
      <c r="A645" s="7" t="s">
        <v>11534</v>
      </c>
      <c r="B645" s="7" t="s">
        <v>11535</v>
      </c>
      <c r="C645" s="7" t="s">
        <v>11536</v>
      </c>
      <c r="D645" s="7" t="s">
        <v>11537</v>
      </c>
      <c r="E645" s="7" t="n">
        <v>2020</v>
      </c>
      <c r="F645" s="8" t="s">
        <v>11538</v>
      </c>
      <c r="G645" s="6" t="s">
        <v>134</v>
      </c>
      <c r="H645" s="7"/>
      <c r="I645" s="7"/>
      <c r="J645" s="7"/>
      <c r="K645" s="7"/>
      <c r="L645" s="7"/>
      <c r="M645" s="7"/>
      <c r="N645" s="7"/>
      <c r="O645" s="7"/>
      <c r="P645" s="7" t="s">
        <v>61</v>
      </c>
      <c r="Q645" s="7" t="s">
        <v>62</v>
      </c>
      <c r="R645" s="7" t="s">
        <v>11539</v>
      </c>
      <c r="S645" s="7" t="n">
        <v>58</v>
      </c>
      <c r="T645" s="7" t="s">
        <v>4968</v>
      </c>
      <c r="U645" s="7" t="n">
        <v>5</v>
      </c>
      <c r="V645" s="7" t="s">
        <v>11540</v>
      </c>
      <c r="W645" s="7"/>
      <c r="X645" s="7"/>
      <c r="Y645" s="7"/>
      <c r="Z645" s="7" t="s">
        <v>11541</v>
      </c>
      <c r="AA645" s="9" t="s">
        <v>11542</v>
      </c>
      <c r="AB645" s="7" t="s">
        <v>11543</v>
      </c>
      <c r="AC645" s="7" t="s">
        <v>11544</v>
      </c>
      <c r="AD645" s="7" t="s">
        <v>11545</v>
      </c>
      <c r="AE645" s="7" t="s">
        <v>11546</v>
      </c>
      <c r="AF645" s="7"/>
      <c r="AG645" s="7" t="s">
        <v>11547</v>
      </c>
      <c r="AH645" s="7"/>
      <c r="AI645" s="7"/>
      <c r="AJ645" s="10" t="s">
        <v>11548</v>
      </c>
      <c r="AK645" s="7" t="s">
        <v>11549</v>
      </c>
      <c r="AL645" s="7" t="s">
        <v>11550</v>
      </c>
      <c r="AM645" s="7" t="s">
        <v>11551</v>
      </c>
      <c r="AN645" s="7"/>
      <c r="AO645" s="7"/>
      <c r="AP645" s="7"/>
      <c r="AQ645" s="7"/>
      <c r="AR645" s="7"/>
      <c r="AS645" s="7"/>
      <c r="AT645" s="7" t="n">
        <v>951137</v>
      </c>
      <c r="AU645" s="7"/>
      <c r="AV645" s="7" t="s">
        <v>11552</v>
      </c>
      <c r="AW645" s="7" t="n">
        <v>32102854</v>
      </c>
      <c r="AX645" s="7" t="s">
        <v>11553</v>
      </c>
      <c r="AY645" s="7" t="s">
        <v>75</v>
      </c>
      <c r="AZ645" s="7" t="s">
        <v>409</v>
      </c>
      <c r="BA645" s="7" t="s">
        <v>76</v>
      </c>
      <c r="BB645" s="7" t="s">
        <v>11554</v>
      </c>
      <c r="BC645" s="7"/>
      <c r="BD645" s="7"/>
      <c r="BE645" s="7"/>
      <c r="BF645" s="7"/>
      <c r="BG645" s="7"/>
      <c r="BH645" s="7"/>
      <c r="BI645" s="7"/>
    </row>
    <row r="646" customFormat="false" ht="14.25" hidden="false" customHeight="true" outlineLevel="0" collapsed="false">
      <c r="A646" s="7" t="s">
        <v>11555</v>
      </c>
      <c r="B646" s="7" t="s">
        <v>11556</v>
      </c>
      <c r="C646" s="7" t="s">
        <v>11557</v>
      </c>
      <c r="D646" s="7" t="s">
        <v>11558</v>
      </c>
      <c r="E646" s="7" t="n">
        <v>2020</v>
      </c>
      <c r="F646" s="8" t="s">
        <v>11559</v>
      </c>
      <c r="G646" s="6" t="s">
        <v>134</v>
      </c>
      <c r="H646" s="7"/>
      <c r="I646" s="7"/>
      <c r="J646" s="7"/>
      <c r="K646" s="7"/>
      <c r="L646" s="7"/>
      <c r="M646" s="7"/>
      <c r="N646" s="7"/>
      <c r="O646" s="7"/>
      <c r="P646" s="7" t="s">
        <v>61</v>
      </c>
      <c r="Q646" s="7" t="s">
        <v>62</v>
      </c>
      <c r="R646" s="7" t="s">
        <v>11560</v>
      </c>
      <c r="S646" s="7" t="n">
        <v>11</v>
      </c>
      <c r="T646" s="7" t="s">
        <v>586</v>
      </c>
      <c r="U646" s="7" t="n">
        <v>2</v>
      </c>
      <c r="V646" s="7"/>
      <c r="W646" s="7" t="n">
        <v>350</v>
      </c>
      <c r="X646" s="7" t="n">
        <v>365</v>
      </c>
      <c r="Y646" s="7" t="n">
        <v>15</v>
      </c>
      <c r="Z646" s="7" t="s">
        <v>11561</v>
      </c>
      <c r="AA646" s="9" t="s">
        <v>11562</v>
      </c>
      <c r="AB646" s="7" t="s">
        <v>11563</v>
      </c>
      <c r="AC646" s="7" t="s">
        <v>11564</v>
      </c>
      <c r="AD646" s="7" t="s">
        <v>11565</v>
      </c>
      <c r="AE646" s="7" t="s">
        <v>11566</v>
      </c>
      <c r="AF646" s="7"/>
      <c r="AG646" s="7"/>
      <c r="AH646" s="7"/>
      <c r="AI646" s="7"/>
      <c r="AJ646" s="10"/>
      <c r="AK646" s="7"/>
      <c r="AL646" s="7" t="s">
        <v>11567</v>
      </c>
      <c r="AM646" s="7" t="s">
        <v>11568</v>
      </c>
      <c r="AN646" s="7"/>
      <c r="AO646" s="7"/>
      <c r="AP646" s="7"/>
      <c r="AQ646" s="7"/>
      <c r="AR646" s="7"/>
      <c r="AS646" s="7"/>
      <c r="AT646" s="7" t="n">
        <v>9756809</v>
      </c>
      <c r="AU646" s="7"/>
      <c r="AV646" s="7"/>
      <c r="AW646" s="7"/>
      <c r="AX646" s="7" t="s">
        <v>11569</v>
      </c>
      <c r="AY646" s="7" t="s">
        <v>75</v>
      </c>
      <c r="AZ646" s="7"/>
      <c r="BA646" s="7" t="s">
        <v>76</v>
      </c>
      <c r="BB646" s="7" t="s">
        <v>11570</v>
      </c>
      <c r="BC646" s="7"/>
      <c r="BD646" s="7"/>
      <c r="BE646" s="7"/>
      <c r="BF646" s="7"/>
      <c r="BG646" s="7"/>
      <c r="BH646" s="7"/>
      <c r="BI646" s="7"/>
    </row>
    <row r="647" customFormat="false" ht="14.25" hidden="false" customHeight="true" outlineLevel="0" collapsed="false">
      <c r="A647" s="7" t="s">
        <v>11571</v>
      </c>
      <c r="B647" s="7" t="s">
        <v>11572</v>
      </c>
      <c r="C647" s="7" t="s">
        <v>11573</v>
      </c>
      <c r="D647" s="7" t="s">
        <v>11574</v>
      </c>
      <c r="E647" s="7" t="n">
        <v>2020</v>
      </c>
      <c r="F647" s="8" t="s">
        <v>11575</v>
      </c>
      <c r="G647" s="6" t="s">
        <v>149</v>
      </c>
      <c r="H647" s="7"/>
      <c r="I647" s="7"/>
      <c r="J647" s="7"/>
      <c r="K647" s="7"/>
      <c r="L647" s="7"/>
      <c r="M647" s="7"/>
      <c r="N647" s="7"/>
      <c r="O647" s="7"/>
      <c r="P647" s="7" t="s">
        <v>61</v>
      </c>
      <c r="Q647" s="7" t="s">
        <v>62</v>
      </c>
      <c r="R647" s="7" t="s">
        <v>114</v>
      </c>
      <c r="S647" s="7" t="n">
        <v>17</v>
      </c>
      <c r="T647" s="7" t="s">
        <v>9272</v>
      </c>
      <c r="U647" s="7" t="n">
        <v>12</v>
      </c>
      <c r="V647" s="7" t="n">
        <v>4509</v>
      </c>
      <c r="W647" s="7" t="n">
        <v>1</v>
      </c>
      <c r="X647" s="7" t="n">
        <v>29</v>
      </c>
      <c r="Y647" s="7" t="n">
        <v>28</v>
      </c>
      <c r="Z647" s="7" t="s">
        <v>11576</v>
      </c>
      <c r="AA647" s="9" t="s">
        <v>11577</v>
      </c>
      <c r="AB647" s="7" t="s">
        <v>11578</v>
      </c>
      <c r="AC647" s="7" t="s">
        <v>11579</v>
      </c>
      <c r="AD647" s="7" t="s">
        <v>11580</v>
      </c>
      <c r="AE647" s="7" t="s">
        <v>11581</v>
      </c>
      <c r="AF647" s="7"/>
      <c r="AG647" s="7"/>
      <c r="AH647" s="7"/>
      <c r="AI647" s="7"/>
      <c r="AJ647" s="10" t="s">
        <v>11582</v>
      </c>
      <c r="AK647" s="7" t="s">
        <v>11583</v>
      </c>
      <c r="AL647" s="7" t="s">
        <v>11584</v>
      </c>
      <c r="AM647" s="7" t="s">
        <v>11585</v>
      </c>
      <c r="AN647" s="7"/>
      <c r="AO647" s="7"/>
      <c r="AP647" s="7"/>
      <c r="AQ647" s="7"/>
      <c r="AR647" s="7"/>
      <c r="AS647" s="7"/>
      <c r="AT647" s="7" t="n">
        <v>16617827</v>
      </c>
      <c r="AU647" s="7"/>
      <c r="AV647" s="7"/>
      <c r="AW647" s="7" t="n">
        <v>32585932</v>
      </c>
      <c r="AX647" s="7" t="s">
        <v>126</v>
      </c>
      <c r="AY647" s="7" t="s">
        <v>75</v>
      </c>
      <c r="AZ647" s="7" t="s">
        <v>107</v>
      </c>
      <c r="BA647" s="7" t="s">
        <v>76</v>
      </c>
      <c r="BB647" s="7" t="s">
        <v>11586</v>
      </c>
      <c r="BC647" s="7"/>
      <c r="BD647" s="7"/>
      <c r="BE647" s="7"/>
      <c r="BF647" s="7"/>
      <c r="BG647" s="7"/>
      <c r="BH647" s="7"/>
      <c r="BI647" s="7"/>
    </row>
    <row r="648" customFormat="false" ht="14.25" hidden="false" customHeight="true" outlineLevel="0" collapsed="false">
      <c r="A648" s="7" t="s">
        <v>11587</v>
      </c>
      <c r="B648" s="7" t="s">
        <v>11588</v>
      </c>
      <c r="C648" s="7" t="s">
        <v>11589</v>
      </c>
      <c r="D648" s="7" t="s">
        <v>11590</v>
      </c>
      <c r="E648" s="7" t="n">
        <v>2020</v>
      </c>
      <c r="F648" s="8" t="s">
        <v>11591</v>
      </c>
      <c r="G648" s="6" t="s">
        <v>134</v>
      </c>
      <c r="H648" s="7"/>
      <c r="I648" s="7"/>
      <c r="J648" s="7"/>
      <c r="K648" s="7"/>
      <c r="L648" s="7"/>
      <c r="M648" s="7"/>
      <c r="N648" s="7"/>
      <c r="O648" s="7"/>
      <c r="P648" s="7" t="s">
        <v>61</v>
      </c>
      <c r="Q648" s="7" t="s">
        <v>62</v>
      </c>
      <c r="R648" s="7" t="s">
        <v>11592</v>
      </c>
      <c r="S648" s="7" t="n">
        <v>151</v>
      </c>
      <c r="T648" s="7" t="s">
        <v>626</v>
      </c>
      <c r="U648" s="7" t="n">
        <v>4</v>
      </c>
      <c r="V648" s="7"/>
      <c r="W648" s="7" t="n">
        <v>342</v>
      </c>
      <c r="X648" s="7" t="n">
        <v>349</v>
      </c>
      <c r="Y648" s="7" t="n">
        <v>7</v>
      </c>
      <c r="Z648" s="7" t="s">
        <v>11593</v>
      </c>
      <c r="AA648" s="9" t="s">
        <v>11594</v>
      </c>
      <c r="AB648" s="7" t="s">
        <v>11595</v>
      </c>
      <c r="AC648" s="7" t="s">
        <v>11596</v>
      </c>
      <c r="AD648" s="7"/>
      <c r="AE648" s="7" t="s">
        <v>11597</v>
      </c>
      <c r="AF648" s="7"/>
      <c r="AG648" s="7" t="s">
        <v>11598</v>
      </c>
      <c r="AH648" s="7" t="s">
        <v>11599</v>
      </c>
      <c r="AI648" s="7"/>
      <c r="AJ648" s="10"/>
      <c r="AK648" s="7"/>
      <c r="AL648" s="7" t="s">
        <v>11600</v>
      </c>
      <c r="AM648" s="7" t="s">
        <v>11601</v>
      </c>
      <c r="AN648" s="7"/>
      <c r="AO648" s="7"/>
      <c r="AP648" s="7"/>
      <c r="AQ648" s="7"/>
      <c r="AR648" s="7"/>
      <c r="AS648" s="7"/>
      <c r="AT648" s="7" t="n">
        <v>9715916</v>
      </c>
      <c r="AU648" s="7"/>
      <c r="AV648" s="7" t="s">
        <v>11602</v>
      </c>
      <c r="AW648" s="7" t="n">
        <v>32461398</v>
      </c>
      <c r="AX648" s="7" t="s">
        <v>11603</v>
      </c>
      <c r="AY648" s="7" t="s">
        <v>75</v>
      </c>
      <c r="AZ648" s="7" t="s">
        <v>107</v>
      </c>
      <c r="BA648" s="7" t="s">
        <v>76</v>
      </c>
      <c r="BB648" s="7" t="s">
        <v>11604</v>
      </c>
      <c r="BC648" s="7"/>
      <c r="BD648" s="7"/>
      <c r="BE648" s="7"/>
      <c r="BF648" s="7"/>
      <c r="BG648" s="7"/>
      <c r="BH648" s="7"/>
      <c r="BI648" s="7"/>
    </row>
    <row r="649" customFormat="false" ht="14.25" hidden="false" customHeight="true" outlineLevel="0" collapsed="false">
      <c r="A649" s="7" t="s">
        <v>11605</v>
      </c>
      <c r="B649" s="7" t="s">
        <v>11606</v>
      </c>
      <c r="C649" s="7" t="s">
        <v>11607</v>
      </c>
      <c r="D649" s="7" t="s">
        <v>11608</v>
      </c>
      <c r="E649" s="7" t="n">
        <v>2020</v>
      </c>
      <c r="F649" s="8" t="s">
        <v>11609</v>
      </c>
      <c r="G649" s="6" t="s">
        <v>134</v>
      </c>
      <c r="H649" s="7"/>
      <c r="I649" s="7"/>
      <c r="J649" s="7"/>
      <c r="K649" s="7"/>
      <c r="L649" s="7"/>
      <c r="M649" s="7"/>
      <c r="N649" s="7"/>
      <c r="O649" s="7"/>
      <c r="P649" s="7" t="s">
        <v>61</v>
      </c>
      <c r="Q649" s="7" t="s">
        <v>62</v>
      </c>
      <c r="R649" s="7" t="s">
        <v>679</v>
      </c>
      <c r="S649" s="7" t="n">
        <v>14</v>
      </c>
      <c r="T649" s="7" t="s">
        <v>500</v>
      </c>
      <c r="U649" s="7" t="n">
        <v>3</v>
      </c>
      <c r="V649" s="7" t="s">
        <v>11610</v>
      </c>
      <c r="W649" s="7"/>
      <c r="X649" s="7"/>
      <c r="Y649" s="7"/>
      <c r="Z649" s="7" t="s">
        <v>11611</v>
      </c>
      <c r="AA649" s="9" t="s">
        <v>11612</v>
      </c>
      <c r="AB649" s="7" t="s">
        <v>11613</v>
      </c>
      <c r="AC649" s="7" t="s">
        <v>11614</v>
      </c>
      <c r="AD649" s="7"/>
      <c r="AE649" s="7" t="s">
        <v>11615</v>
      </c>
      <c r="AF649" s="7"/>
      <c r="AG649" s="7" t="s">
        <v>11616</v>
      </c>
      <c r="AH649" s="7"/>
      <c r="AI649" s="7"/>
      <c r="AJ649" s="10" t="s">
        <v>11617</v>
      </c>
      <c r="AK649" s="7" t="s">
        <v>11618</v>
      </c>
      <c r="AL649" s="7" t="s">
        <v>11619</v>
      </c>
      <c r="AM649" s="7" t="s">
        <v>11620</v>
      </c>
      <c r="AN649" s="7"/>
      <c r="AO649" s="7"/>
      <c r="AP649" s="7"/>
      <c r="AQ649" s="7"/>
      <c r="AR649" s="7"/>
      <c r="AS649" s="7"/>
      <c r="AT649" s="7" t="n">
        <v>19352727</v>
      </c>
      <c r="AU649" s="7"/>
      <c r="AV649" s="7"/>
      <c r="AW649" s="7" t="n">
        <v>32155159</v>
      </c>
      <c r="AX649" s="7" t="s">
        <v>689</v>
      </c>
      <c r="AY649" s="7" t="s">
        <v>75</v>
      </c>
      <c r="AZ649" s="7" t="s">
        <v>107</v>
      </c>
      <c r="BA649" s="7" t="s">
        <v>76</v>
      </c>
      <c r="BB649" s="7" t="s">
        <v>11621</v>
      </c>
      <c r="BC649" s="7"/>
      <c r="BD649" s="7"/>
      <c r="BE649" s="7"/>
      <c r="BF649" s="7"/>
      <c r="BG649" s="7"/>
      <c r="BH649" s="7"/>
      <c r="BI649" s="7"/>
    </row>
    <row r="650" customFormat="false" ht="14.25" hidden="false" customHeight="true" outlineLevel="0" collapsed="false">
      <c r="A650" s="7" t="s">
        <v>11622</v>
      </c>
      <c r="B650" s="7" t="s">
        <v>11623</v>
      </c>
      <c r="C650" s="7" t="n">
        <v>42561665100</v>
      </c>
      <c r="D650" s="7" t="s">
        <v>11624</v>
      </c>
      <c r="E650" s="7" t="n">
        <v>2020</v>
      </c>
      <c r="F650" s="8" t="s">
        <v>11625</v>
      </c>
      <c r="G650" s="6" t="s">
        <v>1686</v>
      </c>
      <c r="H650" s="7"/>
      <c r="I650" s="7"/>
      <c r="J650" s="7"/>
      <c r="K650" s="7"/>
      <c r="L650" s="7"/>
      <c r="M650" s="7"/>
      <c r="N650" s="7"/>
      <c r="O650" s="7"/>
      <c r="P650" s="7" t="s">
        <v>61</v>
      </c>
      <c r="Q650" s="7" t="s">
        <v>62</v>
      </c>
      <c r="R650" s="7" t="s">
        <v>2092</v>
      </c>
      <c r="S650" s="7" t="n">
        <v>20</v>
      </c>
      <c r="T650" s="7" t="s">
        <v>11626</v>
      </c>
      <c r="U650" s="7" t="n">
        <v>1</v>
      </c>
      <c r="V650" s="7" t="n">
        <v>208</v>
      </c>
      <c r="W650" s="7"/>
      <c r="X650" s="7"/>
      <c r="Y650" s="7"/>
      <c r="Z650" s="7" t="s">
        <v>11627</v>
      </c>
      <c r="AA650" s="9" t="s">
        <v>11628</v>
      </c>
      <c r="AB650" s="7" t="s">
        <v>11629</v>
      </c>
      <c r="AC650" s="7" t="s">
        <v>11630</v>
      </c>
      <c r="AD650" s="7" t="s">
        <v>11631</v>
      </c>
      <c r="AE650" s="7" t="s">
        <v>11632</v>
      </c>
      <c r="AF650" s="7"/>
      <c r="AG650" s="7"/>
      <c r="AH650" s="7"/>
      <c r="AI650" s="7"/>
      <c r="AJ650" s="10" t="s">
        <v>11633</v>
      </c>
      <c r="AK650" s="7" t="s">
        <v>11634</v>
      </c>
      <c r="AL650" s="7" t="s">
        <v>11635</v>
      </c>
      <c r="AM650" s="7" t="s">
        <v>11636</v>
      </c>
      <c r="AN650" s="7"/>
      <c r="AO650" s="7"/>
      <c r="AP650" s="7"/>
      <c r="AQ650" s="7"/>
      <c r="AR650" s="7"/>
      <c r="AS650" s="7"/>
      <c r="AT650" s="7" t="n">
        <v>14712334</v>
      </c>
      <c r="AU650" s="7"/>
      <c r="AV650" s="7" t="s">
        <v>2103</v>
      </c>
      <c r="AW650" s="7" t="n">
        <v>32164548</v>
      </c>
      <c r="AX650" s="7" t="s">
        <v>2104</v>
      </c>
      <c r="AY650" s="7" t="s">
        <v>75</v>
      </c>
      <c r="AZ650" s="7" t="s">
        <v>107</v>
      </c>
      <c r="BA650" s="7" t="s">
        <v>76</v>
      </c>
      <c r="BB650" s="7" t="s">
        <v>11637</v>
      </c>
      <c r="BC650" s="7"/>
      <c r="BD650" s="7"/>
      <c r="BE650" s="7"/>
      <c r="BF650" s="7"/>
      <c r="BG650" s="7"/>
      <c r="BH650" s="7"/>
      <c r="BI650" s="7"/>
    </row>
    <row r="651" customFormat="false" ht="14.25" hidden="false" customHeight="true" outlineLevel="0" collapsed="false">
      <c r="A651" s="7" t="s">
        <v>11638</v>
      </c>
      <c r="B651" s="7" t="s">
        <v>11639</v>
      </c>
      <c r="C651" s="7" t="s">
        <v>11640</v>
      </c>
      <c r="D651" s="7" t="s">
        <v>11641</v>
      </c>
      <c r="E651" s="7" t="n">
        <v>2020</v>
      </c>
      <c r="F651" s="8" t="s">
        <v>11642</v>
      </c>
      <c r="G651" s="6" t="s">
        <v>290</v>
      </c>
      <c r="H651" s="7"/>
      <c r="I651" s="7"/>
      <c r="J651" s="7"/>
      <c r="K651" s="7"/>
      <c r="L651" s="7"/>
      <c r="M651" s="7"/>
      <c r="N651" s="7"/>
      <c r="O651" s="7"/>
      <c r="P651" s="7" t="s">
        <v>61</v>
      </c>
      <c r="Q651" s="7" t="s">
        <v>62</v>
      </c>
      <c r="R651" s="7" t="s">
        <v>11643</v>
      </c>
      <c r="S651" s="7" t="n">
        <v>42</v>
      </c>
      <c r="T651" s="7" t="s">
        <v>466</v>
      </c>
      <c r="U651" s="7" t="n">
        <v>9</v>
      </c>
      <c r="V651" s="7" t="n">
        <v>2000011</v>
      </c>
      <c r="W651" s="7"/>
      <c r="X651" s="7"/>
      <c r="Y651" s="7"/>
      <c r="Z651" s="7" t="s">
        <v>11644</v>
      </c>
      <c r="AA651" s="9" t="s">
        <v>11645</v>
      </c>
      <c r="AB651" s="7" t="s">
        <v>11646</v>
      </c>
      <c r="AC651" s="7" t="s">
        <v>11647</v>
      </c>
      <c r="AD651" s="7" t="s">
        <v>11648</v>
      </c>
      <c r="AE651" s="7" t="s">
        <v>11649</v>
      </c>
      <c r="AF651" s="7"/>
      <c r="AG651" s="7" t="s">
        <v>11650</v>
      </c>
      <c r="AH651" s="7"/>
      <c r="AI651" s="7"/>
      <c r="AJ651" s="10"/>
      <c r="AK651" s="7"/>
      <c r="AL651" s="7" t="s">
        <v>11651</v>
      </c>
      <c r="AM651" s="7" t="s">
        <v>11652</v>
      </c>
      <c r="AN651" s="7"/>
      <c r="AO651" s="7"/>
      <c r="AP651" s="7"/>
      <c r="AQ651" s="7"/>
      <c r="AR651" s="7"/>
      <c r="AS651" s="7"/>
      <c r="AT651" s="7" t="n">
        <v>2659247</v>
      </c>
      <c r="AU651" s="7"/>
      <c r="AV651" s="7" t="s">
        <v>11653</v>
      </c>
      <c r="AW651" s="7" t="n">
        <v>32776366</v>
      </c>
      <c r="AX651" s="7" t="s">
        <v>11643</v>
      </c>
      <c r="AY651" s="7" t="s">
        <v>75</v>
      </c>
      <c r="AZ651" s="7" t="s">
        <v>636</v>
      </c>
      <c r="BA651" s="7" t="s">
        <v>76</v>
      </c>
      <c r="BB651" s="7" t="s">
        <v>11654</v>
      </c>
      <c r="BC651" s="7"/>
      <c r="BD651" s="7"/>
      <c r="BE651" s="7"/>
      <c r="BF651" s="7"/>
      <c r="BG651" s="7"/>
      <c r="BH651" s="7"/>
      <c r="BI651" s="7"/>
    </row>
    <row r="652" customFormat="false" ht="14.25" hidden="false" customHeight="true" outlineLevel="0" collapsed="false">
      <c r="A652" s="7" t="s">
        <v>11655</v>
      </c>
      <c r="B652" s="7" t="s">
        <v>11656</v>
      </c>
      <c r="C652" s="7" t="s">
        <v>11657</v>
      </c>
      <c r="D652" s="7" t="s">
        <v>11658</v>
      </c>
      <c r="E652" s="7" t="n">
        <v>2020</v>
      </c>
      <c r="F652" s="8" t="s">
        <v>11659</v>
      </c>
      <c r="G652" s="6" t="s">
        <v>134</v>
      </c>
      <c r="H652" s="7"/>
      <c r="I652" s="7"/>
      <c r="J652" s="7"/>
      <c r="K652" s="7"/>
      <c r="L652" s="7"/>
      <c r="M652" s="7"/>
      <c r="N652" s="7"/>
      <c r="O652" s="7"/>
      <c r="P652" s="7" t="s">
        <v>255</v>
      </c>
      <c r="Q652" s="7" t="s">
        <v>62</v>
      </c>
      <c r="R652" s="7" t="s">
        <v>11660</v>
      </c>
      <c r="S652" s="7"/>
      <c r="T652" s="7" t="s">
        <v>2112</v>
      </c>
      <c r="U652" s="7"/>
      <c r="V652" s="7"/>
      <c r="W652" s="7" t="n">
        <v>219</v>
      </c>
      <c r="X652" s="7" t="n">
        <v>230</v>
      </c>
      <c r="Y652" s="7" t="n">
        <v>11</v>
      </c>
      <c r="Z652" s="7" t="s">
        <v>11661</v>
      </c>
      <c r="AA652" s="9" t="s">
        <v>11662</v>
      </c>
      <c r="AB652" s="7" t="s">
        <v>11663</v>
      </c>
      <c r="AC652" s="7" t="s">
        <v>11664</v>
      </c>
      <c r="AD652" s="7"/>
      <c r="AE652" s="7"/>
      <c r="AF652" s="7"/>
      <c r="AG652" s="7"/>
      <c r="AH652" s="7"/>
      <c r="AI652" s="7"/>
      <c r="AJ652" s="10"/>
      <c r="AK652" s="7"/>
      <c r="AL652" s="7" t="s">
        <v>11665</v>
      </c>
      <c r="AM652" s="7"/>
      <c r="AN652" s="7"/>
      <c r="AO652" s="7"/>
      <c r="AP652" s="7"/>
      <c r="AQ652" s="7"/>
      <c r="AR652" s="7"/>
      <c r="AS652" s="7"/>
      <c r="AT652" s="7"/>
      <c r="AU652" s="7" t="s">
        <v>11666</v>
      </c>
      <c r="AV652" s="7"/>
      <c r="AW652" s="7"/>
      <c r="AX652" s="7" t="s">
        <v>11667</v>
      </c>
      <c r="AY652" s="7" t="s">
        <v>75</v>
      </c>
      <c r="AZ652" s="7"/>
      <c r="BA652" s="7" t="s">
        <v>76</v>
      </c>
      <c r="BB652" s="7" t="s">
        <v>11668</v>
      </c>
      <c r="BC652" s="7"/>
      <c r="BD652" s="7"/>
      <c r="BE652" s="7"/>
      <c r="BF652" s="7"/>
      <c r="BG652" s="7"/>
      <c r="BH652" s="7"/>
      <c r="BI652" s="7"/>
    </row>
    <row r="653" customFormat="false" ht="14.25" hidden="false" customHeight="true" outlineLevel="0" collapsed="false">
      <c r="A653" s="7" t="s">
        <v>11669</v>
      </c>
      <c r="B653" s="7" t="s">
        <v>11670</v>
      </c>
      <c r="C653" s="7" t="s">
        <v>11671</v>
      </c>
      <c r="D653" s="7" t="s">
        <v>11672</v>
      </c>
      <c r="E653" s="7" t="n">
        <v>2020</v>
      </c>
      <c r="F653" s="8" t="s">
        <v>11673</v>
      </c>
      <c r="G653" s="6" t="s">
        <v>134</v>
      </c>
      <c r="H653" s="7"/>
      <c r="I653" s="7"/>
      <c r="J653" s="7"/>
      <c r="K653" s="7"/>
      <c r="L653" s="7"/>
      <c r="M653" s="7"/>
      <c r="N653" s="7"/>
      <c r="O653" s="7"/>
      <c r="P653" s="7" t="s">
        <v>255</v>
      </c>
      <c r="Q653" s="7" t="s">
        <v>62</v>
      </c>
      <c r="R653" s="7" t="s">
        <v>5213</v>
      </c>
      <c r="S653" s="7" t="n">
        <v>68</v>
      </c>
      <c r="T653" s="7" t="s">
        <v>307</v>
      </c>
      <c r="U653" s="7"/>
      <c r="V653" s="7"/>
      <c r="W653" s="7" t="n">
        <v>211</v>
      </c>
      <c r="X653" s="7" t="n">
        <v>230</v>
      </c>
      <c r="Y653" s="7" t="n">
        <v>19</v>
      </c>
      <c r="Z653" s="7" t="s">
        <v>11674</v>
      </c>
      <c r="AA653" s="9" t="s">
        <v>11675</v>
      </c>
      <c r="AB653" s="7" t="s">
        <v>11676</v>
      </c>
      <c r="AC653" s="7" t="s">
        <v>11677</v>
      </c>
      <c r="AD653" s="7" t="s">
        <v>11678</v>
      </c>
      <c r="AE653" s="7" t="s">
        <v>11679</v>
      </c>
      <c r="AF653" s="7"/>
      <c r="AG653" s="7"/>
      <c r="AH653" s="7"/>
      <c r="AI653" s="7"/>
      <c r="AJ653" s="10"/>
      <c r="AK653" s="7"/>
      <c r="AL653" s="7" t="s">
        <v>11680</v>
      </c>
      <c r="AM653" s="7" t="s">
        <v>11681</v>
      </c>
      <c r="AN653" s="7"/>
      <c r="AO653" s="7"/>
      <c r="AP653" s="7"/>
      <c r="AQ653" s="7"/>
      <c r="AR653" s="7"/>
      <c r="AS653" s="7"/>
      <c r="AT653" s="7" t="n">
        <v>21976503</v>
      </c>
      <c r="AU653" s="7"/>
      <c r="AV653" s="7"/>
      <c r="AW653" s="7"/>
      <c r="AX653" s="7" t="s">
        <v>5222</v>
      </c>
      <c r="AY653" s="7" t="s">
        <v>75</v>
      </c>
      <c r="AZ653" s="7"/>
      <c r="BA653" s="7" t="s">
        <v>76</v>
      </c>
      <c r="BB653" s="7" t="s">
        <v>11682</v>
      </c>
      <c r="BC653" s="7"/>
      <c r="BD653" s="7"/>
      <c r="BE653" s="7"/>
      <c r="BF653" s="7"/>
      <c r="BG653" s="7"/>
      <c r="BH653" s="7"/>
      <c r="BI653" s="7"/>
    </row>
    <row r="654" customFormat="false" ht="14.25" hidden="false" customHeight="true" outlineLevel="0" collapsed="false">
      <c r="A654" s="7" t="s">
        <v>11683</v>
      </c>
      <c r="B654" s="7" t="s">
        <v>11684</v>
      </c>
      <c r="C654" s="7" t="s">
        <v>11685</v>
      </c>
      <c r="D654" s="7" t="s">
        <v>11686</v>
      </c>
      <c r="E654" s="7" t="n">
        <v>2020</v>
      </c>
      <c r="F654" s="8" t="s">
        <v>11687</v>
      </c>
      <c r="G654" s="6" t="s">
        <v>134</v>
      </c>
      <c r="H654" s="7"/>
      <c r="I654" s="7"/>
      <c r="J654" s="7"/>
      <c r="K654" s="7"/>
      <c r="L654" s="7"/>
      <c r="M654" s="7"/>
      <c r="N654" s="7"/>
      <c r="O654" s="7"/>
      <c r="P654" s="7" t="s">
        <v>255</v>
      </c>
      <c r="Q654" s="7" t="s">
        <v>62</v>
      </c>
      <c r="R654" s="7" t="s">
        <v>11688</v>
      </c>
      <c r="S654" s="7"/>
      <c r="T654" s="7" t="s">
        <v>2112</v>
      </c>
      <c r="U654" s="7"/>
      <c r="V654" s="7"/>
      <c r="W654" s="7" t="n">
        <v>209</v>
      </c>
      <c r="X654" s="7" t="n">
        <v>222</v>
      </c>
      <c r="Y654" s="7" t="n">
        <v>13</v>
      </c>
      <c r="Z654" s="7" t="s">
        <v>11689</v>
      </c>
      <c r="AA654" s="9" t="s">
        <v>11690</v>
      </c>
      <c r="AB654" s="7" t="s">
        <v>11691</v>
      </c>
      <c r="AC654" s="7" t="s">
        <v>11692</v>
      </c>
      <c r="AD654" s="7"/>
      <c r="AE654" s="7"/>
      <c r="AF654" s="7"/>
      <c r="AG654" s="7"/>
      <c r="AH654" s="7"/>
      <c r="AI654" s="7"/>
      <c r="AJ654" s="10"/>
      <c r="AK654" s="7"/>
      <c r="AL654" s="7" t="s">
        <v>11693</v>
      </c>
      <c r="AM654" s="7"/>
      <c r="AN654" s="7"/>
      <c r="AO654" s="7"/>
      <c r="AP654" s="7"/>
      <c r="AQ654" s="7"/>
      <c r="AR654" s="7"/>
      <c r="AS654" s="7"/>
      <c r="AT654" s="7"/>
      <c r="AU654" s="7" t="s">
        <v>11694</v>
      </c>
      <c r="AV654" s="7"/>
      <c r="AW654" s="7"/>
      <c r="AX654" s="7" t="s">
        <v>11695</v>
      </c>
      <c r="AY654" s="7" t="s">
        <v>75</v>
      </c>
      <c r="AZ654" s="7"/>
      <c r="BA654" s="7" t="s">
        <v>76</v>
      </c>
      <c r="BB654" s="7" t="s">
        <v>11696</v>
      </c>
      <c r="BC654" s="7"/>
      <c r="BD654" s="7"/>
      <c r="BE654" s="7"/>
      <c r="BF654" s="7"/>
      <c r="BG654" s="7"/>
      <c r="BH654" s="7"/>
      <c r="BI654" s="7"/>
    </row>
    <row r="655" customFormat="false" ht="14.25" hidden="false" customHeight="true" outlineLevel="0" collapsed="false">
      <c r="A655" s="7" t="s">
        <v>11697</v>
      </c>
      <c r="B655" s="7" t="s">
        <v>11698</v>
      </c>
      <c r="C655" s="7" t="s">
        <v>11699</v>
      </c>
      <c r="D655" s="7" t="s">
        <v>11700</v>
      </c>
      <c r="E655" s="7" t="n">
        <v>2020</v>
      </c>
      <c r="F655" s="8" t="s">
        <v>11701</v>
      </c>
      <c r="G655" s="6" t="s">
        <v>134</v>
      </c>
      <c r="H655" s="7"/>
      <c r="I655" s="7"/>
      <c r="J655" s="7"/>
      <c r="K655" s="7"/>
      <c r="L655" s="7"/>
      <c r="M655" s="7"/>
      <c r="N655" s="7"/>
      <c r="O655" s="7"/>
      <c r="P655" s="7" t="s">
        <v>255</v>
      </c>
      <c r="Q655" s="7" t="s">
        <v>62</v>
      </c>
      <c r="R655" s="7" t="s">
        <v>11702</v>
      </c>
      <c r="S655" s="7"/>
      <c r="T655" s="7" t="s">
        <v>10004</v>
      </c>
      <c r="U655" s="7"/>
      <c r="V655" s="7"/>
      <c r="W655" s="7" t="n">
        <v>175</v>
      </c>
      <c r="X655" s="7" t="n">
        <v>204</v>
      </c>
      <c r="Y655" s="7" t="n">
        <v>29</v>
      </c>
      <c r="Z655" s="7" t="s">
        <v>11703</v>
      </c>
      <c r="AA655" s="9" t="s">
        <v>11704</v>
      </c>
      <c r="AB655" s="7" t="s">
        <v>11705</v>
      </c>
      <c r="AC655" s="7" t="s">
        <v>11706</v>
      </c>
      <c r="AD655" s="7" t="s">
        <v>11707</v>
      </c>
      <c r="AE655" s="7"/>
      <c r="AF655" s="7"/>
      <c r="AG655" s="7"/>
      <c r="AH655" s="7"/>
      <c r="AI655" s="7"/>
      <c r="AJ655" s="10"/>
      <c r="AK655" s="7"/>
      <c r="AL655" s="7" t="s">
        <v>11708</v>
      </c>
      <c r="AM655" s="7"/>
      <c r="AN655" s="7"/>
      <c r="AO655" s="7"/>
      <c r="AP655" s="7"/>
      <c r="AQ655" s="7"/>
      <c r="AR655" s="7"/>
      <c r="AS655" s="7"/>
      <c r="AT655" s="7"/>
      <c r="AU655" s="7" t="s">
        <v>11709</v>
      </c>
      <c r="AV655" s="7"/>
      <c r="AW655" s="7"/>
      <c r="AX655" s="7" t="s">
        <v>11702</v>
      </c>
      <c r="AY655" s="7" t="s">
        <v>75</v>
      </c>
      <c r="AZ655" s="7"/>
      <c r="BA655" s="7" t="s">
        <v>76</v>
      </c>
      <c r="BB655" s="7" t="s">
        <v>11710</v>
      </c>
      <c r="BC655" s="7"/>
      <c r="BD655" s="7"/>
      <c r="BE655" s="7"/>
      <c r="BF655" s="7"/>
      <c r="BG655" s="7"/>
      <c r="BH655" s="7"/>
      <c r="BI655" s="7"/>
    </row>
    <row r="656" customFormat="false" ht="14.25" hidden="false" customHeight="true" outlineLevel="0" collapsed="false">
      <c r="A656" s="7" t="s">
        <v>11711</v>
      </c>
      <c r="B656" s="7" t="s">
        <v>11712</v>
      </c>
      <c r="C656" s="7" t="s">
        <v>11713</v>
      </c>
      <c r="D656" s="7" t="s">
        <v>11714</v>
      </c>
      <c r="E656" s="7" t="n">
        <v>2020</v>
      </c>
      <c r="F656" s="8" t="s">
        <v>11715</v>
      </c>
      <c r="G656" s="6" t="s">
        <v>134</v>
      </c>
      <c r="H656" s="7"/>
      <c r="I656" s="7"/>
      <c r="J656" s="7"/>
      <c r="K656" s="7"/>
      <c r="L656" s="7"/>
      <c r="M656" s="7"/>
      <c r="N656" s="7"/>
      <c r="O656" s="7"/>
      <c r="P656" s="7" t="s">
        <v>304</v>
      </c>
      <c r="Q656" s="7" t="s">
        <v>62</v>
      </c>
      <c r="R656" s="7" t="s">
        <v>10318</v>
      </c>
      <c r="S656" s="12" t="n">
        <v>44105</v>
      </c>
      <c r="T656" s="7" t="s">
        <v>187</v>
      </c>
      <c r="U656" s="7"/>
      <c r="V656" s="7" t="n">
        <v>9425053</v>
      </c>
      <c r="W656" s="7"/>
      <c r="X656" s="7"/>
      <c r="Y656" s="7"/>
      <c r="Z656" s="7" t="s">
        <v>11716</v>
      </c>
      <c r="AA656" s="9" t="s">
        <v>11717</v>
      </c>
      <c r="AB656" s="7" t="s">
        <v>11718</v>
      </c>
      <c r="AC656" s="7" t="s">
        <v>11719</v>
      </c>
      <c r="AD656" s="7"/>
      <c r="AE656" s="7" t="s">
        <v>11720</v>
      </c>
      <c r="AF656" s="7"/>
      <c r="AG656" s="7"/>
      <c r="AH656" s="7"/>
      <c r="AI656" s="7"/>
      <c r="AJ656" s="10" t="s">
        <v>11721</v>
      </c>
      <c r="AK656" s="7" t="s">
        <v>11722</v>
      </c>
      <c r="AL656" s="7" t="s">
        <v>11723</v>
      </c>
      <c r="AM656" s="7"/>
      <c r="AN656" s="7"/>
      <c r="AO656" s="7"/>
      <c r="AP656" s="7" t="s">
        <v>11724</v>
      </c>
      <c r="AQ656" s="7" t="s">
        <v>11725</v>
      </c>
      <c r="AR656" s="7" t="s">
        <v>10330</v>
      </c>
      <c r="AS656" s="7" t="n">
        <v>168873</v>
      </c>
      <c r="AT656" s="7" t="n">
        <v>21642516</v>
      </c>
      <c r="AU656" s="7" t="s">
        <v>11726</v>
      </c>
      <c r="AV656" s="7"/>
      <c r="AW656" s="7"/>
      <c r="AX656" s="7" t="s">
        <v>10332</v>
      </c>
      <c r="AY656" s="7" t="s">
        <v>75</v>
      </c>
      <c r="AZ656" s="7"/>
      <c r="BA656" s="7" t="s">
        <v>76</v>
      </c>
      <c r="BB656" s="7" t="s">
        <v>11727</v>
      </c>
      <c r="BC656" s="7"/>
      <c r="BD656" s="7"/>
      <c r="BE656" s="7"/>
      <c r="BF656" s="7"/>
      <c r="BG656" s="7"/>
      <c r="BH656" s="7"/>
      <c r="BI656" s="7"/>
    </row>
    <row r="657" customFormat="false" ht="14.25" hidden="false" customHeight="true" outlineLevel="0" collapsed="false">
      <c r="A657" s="7" t="s">
        <v>11728</v>
      </c>
      <c r="B657" s="7" t="s">
        <v>11729</v>
      </c>
      <c r="C657" s="7" t="s">
        <v>11730</v>
      </c>
      <c r="D657" s="7" t="s">
        <v>11731</v>
      </c>
      <c r="E657" s="7" t="n">
        <v>2020</v>
      </c>
      <c r="F657" s="8" t="s">
        <v>11732</v>
      </c>
      <c r="G657" s="6" t="s">
        <v>134</v>
      </c>
      <c r="H657" s="7"/>
      <c r="I657" s="7"/>
      <c r="J657" s="7"/>
      <c r="K657" s="7"/>
      <c r="L657" s="7"/>
      <c r="M657" s="7"/>
      <c r="N657" s="7"/>
      <c r="O657" s="7"/>
      <c r="P657" s="7" t="s">
        <v>304</v>
      </c>
      <c r="Q657" s="7" t="s">
        <v>62</v>
      </c>
      <c r="R657" s="7" t="s">
        <v>10148</v>
      </c>
      <c r="S657" s="7" t="n">
        <v>1118</v>
      </c>
      <c r="T657" s="7" t="s">
        <v>586</v>
      </c>
      <c r="U657" s="7"/>
      <c r="V657" s="7"/>
      <c r="W657" s="7" t="n">
        <v>81</v>
      </c>
      <c r="X657" s="7" t="n">
        <v>98</v>
      </c>
      <c r="Y657" s="7" t="n">
        <v>17</v>
      </c>
      <c r="Z657" s="7" t="s">
        <v>11733</v>
      </c>
      <c r="AA657" s="9" t="s">
        <v>11734</v>
      </c>
      <c r="AB657" s="7" t="s">
        <v>11735</v>
      </c>
      <c r="AC657" s="7" t="s">
        <v>11736</v>
      </c>
      <c r="AD657" s="7" t="s">
        <v>11737</v>
      </c>
      <c r="AE657" s="7" t="s">
        <v>11738</v>
      </c>
      <c r="AF657" s="7"/>
      <c r="AG657" s="7"/>
      <c r="AH657" s="7"/>
      <c r="AI657" s="7"/>
      <c r="AJ657" s="10"/>
      <c r="AK657" s="7"/>
      <c r="AL657" s="7" t="s">
        <v>11739</v>
      </c>
      <c r="AM657" s="7" t="s">
        <v>11740</v>
      </c>
      <c r="AN657" s="7" t="s">
        <v>11741</v>
      </c>
      <c r="AO657" s="7"/>
      <c r="AP657" s="7" t="s">
        <v>11742</v>
      </c>
      <c r="AQ657" s="7" t="s">
        <v>11743</v>
      </c>
      <c r="AR657" s="7" t="s">
        <v>5277</v>
      </c>
      <c r="AS657" s="7" t="n">
        <v>238509</v>
      </c>
      <c r="AT657" s="7" t="n">
        <v>21945357</v>
      </c>
      <c r="AU657" s="7" t="s">
        <v>11744</v>
      </c>
      <c r="AV657" s="7"/>
      <c r="AW657" s="7"/>
      <c r="AX657" s="7" t="s">
        <v>10162</v>
      </c>
      <c r="AY657" s="7" t="s">
        <v>75</v>
      </c>
      <c r="AZ657" s="7"/>
      <c r="BA657" s="7" t="s">
        <v>76</v>
      </c>
      <c r="BB657" s="7" t="s">
        <v>11745</v>
      </c>
      <c r="BC657" s="7"/>
      <c r="BD657" s="7"/>
      <c r="BE657" s="7"/>
      <c r="BF657" s="7"/>
      <c r="BG657" s="7"/>
      <c r="BH657" s="7"/>
      <c r="BI657" s="7"/>
    </row>
    <row r="658" customFormat="false" ht="14.25" hidden="false" customHeight="true" outlineLevel="0" collapsed="false">
      <c r="A658" s="7" t="s">
        <v>11746</v>
      </c>
      <c r="B658" s="7" t="s">
        <v>11747</v>
      </c>
      <c r="C658" s="7" t="s">
        <v>11748</v>
      </c>
      <c r="D658" s="7" t="s">
        <v>11749</v>
      </c>
      <c r="E658" s="7" t="n">
        <v>2020</v>
      </c>
      <c r="F658" s="8" t="s">
        <v>11750</v>
      </c>
      <c r="G658" s="6" t="s">
        <v>1686</v>
      </c>
      <c r="H658" s="7"/>
      <c r="I658" s="7"/>
      <c r="J658" s="7"/>
      <c r="K658" s="7"/>
      <c r="L658" s="7"/>
      <c r="M658" s="7"/>
      <c r="N658" s="7"/>
      <c r="O658" s="7"/>
      <c r="P658" s="7" t="s">
        <v>304</v>
      </c>
      <c r="Q658" s="7" t="s">
        <v>62</v>
      </c>
      <c r="R658" s="7" t="s">
        <v>11751</v>
      </c>
      <c r="S658" s="7"/>
      <c r="T658" s="7" t="s">
        <v>187</v>
      </c>
      <c r="U658" s="7"/>
      <c r="V658" s="7" t="n">
        <v>9374384</v>
      </c>
      <c r="W658" s="7"/>
      <c r="X658" s="7"/>
      <c r="Y658" s="7"/>
      <c r="Z658" s="7" t="s">
        <v>11752</v>
      </c>
      <c r="AA658" s="9" t="s">
        <v>11753</v>
      </c>
      <c r="AB658" s="7" t="s">
        <v>11754</v>
      </c>
      <c r="AC658" s="7" t="s">
        <v>11755</v>
      </c>
      <c r="AD658" s="7" t="s">
        <v>11756</v>
      </c>
      <c r="AE658" s="7" t="s">
        <v>11757</v>
      </c>
      <c r="AF658" s="7"/>
      <c r="AG658" s="7"/>
      <c r="AH658" s="7"/>
      <c r="AI658" s="7"/>
      <c r="AJ658" s="10"/>
      <c r="AK658" s="7"/>
      <c r="AL658" s="7" t="s">
        <v>11758</v>
      </c>
      <c r="AM658" s="7"/>
      <c r="AN658" s="7"/>
      <c r="AO658" s="7"/>
      <c r="AP658" s="7" t="s">
        <v>11759</v>
      </c>
      <c r="AQ658" s="7" t="s">
        <v>11760</v>
      </c>
      <c r="AR658" s="7" t="s">
        <v>11761</v>
      </c>
      <c r="AS658" s="7" t="n">
        <v>167832</v>
      </c>
      <c r="AT658" s="7"/>
      <c r="AU658" s="7" t="s">
        <v>11762</v>
      </c>
      <c r="AV658" s="7"/>
      <c r="AW658" s="7"/>
      <c r="AX658" s="7" t="s">
        <v>11763</v>
      </c>
      <c r="AY658" s="7" t="s">
        <v>75</v>
      </c>
      <c r="AZ658" s="7"/>
      <c r="BA658" s="7" t="s">
        <v>76</v>
      </c>
      <c r="BB658" s="7" t="s">
        <v>11764</v>
      </c>
      <c r="BC658" s="7"/>
      <c r="BD658" s="7"/>
      <c r="BE658" s="7"/>
      <c r="BF658" s="7"/>
      <c r="BG658" s="7"/>
      <c r="BH658" s="7"/>
      <c r="BI658" s="7"/>
    </row>
    <row r="659" customFormat="false" ht="14.25" hidden="false" customHeight="true" outlineLevel="0" collapsed="false">
      <c r="A659" s="7" t="s">
        <v>11765</v>
      </c>
      <c r="B659" s="7" t="s">
        <v>11766</v>
      </c>
      <c r="C659" s="7" t="s">
        <v>11767</v>
      </c>
      <c r="D659" s="7" t="s">
        <v>11768</v>
      </c>
      <c r="E659" s="7" t="n">
        <v>2020</v>
      </c>
      <c r="F659" s="8" t="s">
        <v>11769</v>
      </c>
      <c r="G659" s="6" t="s">
        <v>134</v>
      </c>
      <c r="H659" s="7"/>
      <c r="I659" s="7"/>
      <c r="J659" s="7"/>
      <c r="K659" s="7"/>
      <c r="L659" s="7"/>
      <c r="M659" s="7"/>
      <c r="N659" s="7"/>
      <c r="O659" s="7"/>
      <c r="P659" s="7" t="s">
        <v>304</v>
      </c>
      <c r="Q659" s="7" t="s">
        <v>62</v>
      </c>
      <c r="R659" s="7" t="s">
        <v>2751</v>
      </c>
      <c r="S659" s="7" t="s">
        <v>11770</v>
      </c>
      <c r="T659" s="7" t="s">
        <v>307</v>
      </c>
      <c r="U659" s="7"/>
      <c r="V659" s="7"/>
      <c r="W659" s="7" t="n">
        <v>226</v>
      </c>
      <c r="X659" s="7" t="n">
        <v>235</v>
      </c>
      <c r="Y659" s="7" t="n">
        <v>9</v>
      </c>
      <c r="Z659" s="7" t="s">
        <v>11771</v>
      </c>
      <c r="AA659" s="9" t="s">
        <v>11772</v>
      </c>
      <c r="AB659" s="7" t="s">
        <v>11773</v>
      </c>
      <c r="AC659" s="7" t="s">
        <v>11774</v>
      </c>
      <c r="AD659" s="7" t="s">
        <v>11775</v>
      </c>
      <c r="AE659" s="7" t="s">
        <v>11776</v>
      </c>
      <c r="AF659" s="7"/>
      <c r="AG659" s="7"/>
      <c r="AH659" s="7"/>
      <c r="AI659" s="7"/>
      <c r="AJ659" s="10"/>
      <c r="AK659" s="7"/>
      <c r="AL659" s="7" t="s">
        <v>11777</v>
      </c>
      <c r="AM659" s="7" t="s">
        <v>11778</v>
      </c>
      <c r="AN659" s="7" t="s">
        <v>11779</v>
      </c>
      <c r="AO659" s="7"/>
      <c r="AP659" s="7" t="s">
        <v>11780</v>
      </c>
      <c r="AQ659" s="7" t="s">
        <v>11781</v>
      </c>
      <c r="AR659" s="7" t="s">
        <v>11782</v>
      </c>
      <c r="AS659" s="7" t="n">
        <v>249659</v>
      </c>
      <c r="AT659" s="7" t="n">
        <v>3029743</v>
      </c>
      <c r="AU659" s="7" t="s">
        <v>11783</v>
      </c>
      <c r="AV659" s="7"/>
      <c r="AW659" s="7"/>
      <c r="AX659" s="7" t="s">
        <v>2766</v>
      </c>
      <c r="AY659" s="7" t="s">
        <v>75</v>
      </c>
      <c r="AZ659" s="7"/>
      <c r="BA659" s="7" t="s">
        <v>76</v>
      </c>
      <c r="BB659" s="7" t="s">
        <v>11784</v>
      </c>
      <c r="BC659" s="7"/>
      <c r="BD659" s="7"/>
      <c r="BE659" s="7"/>
      <c r="BF659" s="7"/>
      <c r="BG659" s="7"/>
      <c r="BH659" s="7"/>
      <c r="BI659" s="7"/>
    </row>
    <row r="660" customFormat="false" ht="14.25" hidden="false" customHeight="true" outlineLevel="0" collapsed="false">
      <c r="A660" s="7" t="s">
        <v>11785</v>
      </c>
      <c r="B660" s="7" t="s">
        <v>11786</v>
      </c>
      <c r="C660" s="7" t="s">
        <v>11787</v>
      </c>
      <c r="D660" s="7" t="s">
        <v>11788</v>
      </c>
      <c r="E660" s="7" t="n">
        <v>2020</v>
      </c>
      <c r="F660" s="8" t="s">
        <v>11789</v>
      </c>
      <c r="G660" s="6" t="s">
        <v>134</v>
      </c>
      <c r="H660" s="7"/>
      <c r="I660" s="7"/>
      <c r="J660" s="7"/>
      <c r="K660" s="7"/>
      <c r="L660" s="7"/>
      <c r="M660" s="7"/>
      <c r="N660" s="7"/>
      <c r="O660" s="7"/>
      <c r="P660" s="7" t="s">
        <v>304</v>
      </c>
      <c r="Q660" s="7" t="s">
        <v>62</v>
      </c>
      <c r="R660" s="7" t="s">
        <v>11790</v>
      </c>
      <c r="S660" s="12" t="n">
        <v>43983</v>
      </c>
      <c r="T660" s="7" t="s">
        <v>2677</v>
      </c>
      <c r="U660" s="7"/>
      <c r="V660" s="7" t="n">
        <v>9150682</v>
      </c>
      <c r="W660" s="7" t="n">
        <v>4238</v>
      </c>
      <c r="X660" s="7" t="n">
        <v>4244</v>
      </c>
      <c r="Y660" s="7" t="n">
        <v>6</v>
      </c>
      <c r="Z660" s="7" t="s">
        <v>11791</v>
      </c>
      <c r="AA660" s="9" t="s">
        <v>11792</v>
      </c>
      <c r="AB660" s="7" t="s">
        <v>11793</v>
      </c>
      <c r="AC660" s="7" t="s">
        <v>11794</v>
      </c>
      <c r="AD660" s="7"/>
      <c r="AE660" s="7" t="s">
        <v>11795</v>
      </c>
      <c r="AF660" s="7"/>
      <c r="AG660" s="7"/>
      <c r="AH660" s="7"/>
      <c r="AI660" s="7"/>
      <c r="AJ660" s="10" t="s">
        <v>11796</v>
      </c>
      <c r="AK660" s="7" t="s">
        <v>11797</v>
      </c>
      <c r="AL660" s="7" t="s">
        <v>11798</v>
      </c>
      <c r="AM660" s="7"/>
      <c r="AN660" s="7"/>
      <c r="AO660" s="7"/>
      <c r="AP660" s="7" t="s">
        <v>11799</v>
      </c>
      <c r="AQ660" s="7" t="s">
        <v>11800</v>
      </c>
      <c r="AR660" s="7" t="s">
        <v>5337</v>
      </c>
      <c r="AS660" s="7" t="n">
        <v>162075</v>
      </c>
      <c r="AT660" s="7" t="n">
        <v>21607508</v>
      </c>
      <c r="AU660" s="7" t="s">
        <v>11801</v>
      </c>
      <c r="AV660" s="7"/>
      <c r="AW660" s="7"/>
      <c r="AX660" s="7" t="s">
        <v>11802</v>
      </c>
      <c r="AY660" s="7" t="s">
        <v>75</v>
      </c>
      <c r="AZ660" s="7"/>
      <c r="BA660" s="7" t="s">
        <v>76</v>
      </c>
      <c r="BB660" s="7" t="s">
        <v>11803</v>
      </c>
      <c r="BC660" s="7"/>
      <c r="BD660" s="7"/>
      <c r="BE660" s="7"/>
      <c r="BF660" s="7"/>
      <c r="BG660" s="7"/>
      <c r="BH660" s="7"/>
      <c r="BI660" s="7"/>
    </row>
    <row r="661" customFormat="false" ht="14.25" hidden="false" customHeight="true" outlineLevel="0" collapsed="false">
      <c r="A661" s="7" t="s">
        <v>11804</v>
      </c>
      <c r="B661" s="7" t="s">
        <v>11805</v>
      </c>
      <c r="C661" s="7" t="s">
        <v>11806</v>
      </c>
      <c r="D661" s="7" t="s">
        <v>11807</v>
      </c>
      <c r="E661" s="7" t="n">
        <v>2020</v>
      </c>
      <c r="F661" s="8" t="s">
        <v>11808</v>
      </c>
      <c r="G661" s="6" t="s">
        <v>1686</v>
      </c>
      <c r="H661" s="7"/>
      <c r="I661" s="7"/>
      <c r="J661" s="7"/>
      <c r="K661" s="7"/>
      <c r="L661" s="7"/>
      <c r="M661" s="7"/>
      <c r="N661" s="7"/>
      <c r="O661" s="7"/>
      <c r="P661" s="7" t="s">
        <v>304</v>
      </c>
      <c r="Q661" s="7" t="s">
        <v>62</v>
      </c>
      <c r="R661" s="7" t="s">
        <v>11809</v>
      </c>
      <c r="S661" s="12" t="n">
        <v>44136</v>
      </c>
      <c r="T661" s="7" t="s">
        <v>2677</v>
      </c>
      <c r="U661" s="7"/>
      <c r="V661" s="7" t="n">
        <v>9288184</v>
      </c>
      <c r="W661" s="7" t="n">
        <v>589</v>
      </c>
      <c r="X661" s="7" t="n">
        <v>594</v>
      </c>
      <c r="Y661" s="7" t="n">
        <v>5</v>
      </c>
      <c r="Z661" s="7" t="s">
        <v>11810</v>
      </c>
      <c r="AA661" s="9" t="s">
        <v>11811</v>
      </c>
      <c r="AB661" s="7" t="s">
        <v>11812</v>
      </c>
      <c r="AC661" s="7" t="s">
        <v>11813</v>
      </c>
      <c r="AD661" s="7" t="s">
        <v>11814</v>
      </c>
      <c r="AE661" s="7" t="s">
        <v>11815</v>
      </c>
      <c r="AF661" s="7"/>
      <c r="AG661" s="7"/>
      <c r="AH661" s="7"/>
      <c r="AI661" s="7"/>
      <c r="AJ661" s="10" t="s">
        <v>11816</v>
      </c>
      <c r="AK661" s="7" t="s">
        <v>11817</v>
      </c>
      <c r="AL661" s="7" t="s">
        <v>11818</v>
      </c>
      <c r="AM661" s="7"/>
      <c r="AN661" s="7" t="s">
        <v>11819</v>
      </c>
      <c r="AO661" s="7" t="s">
        <v>11820</v>
      </c>
      <c r="AP661" s="7" t="s">
        <v>11821</v>
      </c>
      <c r="AQ661" s="7" t="s">
        <v>11822</v>
      </c>
      <c r="AR661" s="7" t="s">
        <v>11823</v>
      </c>
      <c r="AS661" s="7" t="n">
        <v>166093</v>
      </c>
      <c r="AT661" s="7" t="n">
        <v>10823409</v>
      </c>
      <c r="AU661" s="7" t="s">
        <v>11824</v>
      </c>
      <c r="AV661" s="7" t="s">
        <v>11825</v>
      </c>
      <c r="AW661" s="7"/>
      <c r="AX661" s="7" t="s">
        <v>11826</v>
      </c>
      <c r="AY661" s="7" t="s">
        <v>75</v>
      </c>
      <c r="AZ661" s="7"/>
      <c r="BA661" s="7" t="s">
        <v>76</v>
      </c>
      <c r="BB661" s="7" t="s">
        <v>11827</v>
      </c>
      <c r="BC661" s="7"/>
      <c r="BD661" s="7"/>
      <c r="BE661" s="7"/>
      <c r="BF661" s="7"/>
      <c r="BG661" s="7"/>
      <c r="BH661" s="7"/>
      <c r="BI661" s="7"/>
    </row>
    <row r="662" customFormat="false" ht="14.25" hidden="false" customHeight="true" outlineLevel="0" collapsed="false">
      <c r="A662" s="7" t="s">
        <v>11828</v>
      </c>
      <c r="B662" s="7" t="s">
        <v>11829</v>
      </c>
      <c r="C662" s="7" t="n">
        <v>36976145800</v>
      </c>
      <c r="D662" s="7" t="s">
        <v>11830</v>
      </c>
      <c r="E662" s="7" t="n">
        <v>2020</v>
      </c>
      <c r="F662" s="8" t="s">
        <v>11831</v>
      </c>
      <c r="G662" s="6" t="s">
        <v>3102</v>
      </c>
      <c r="H662" s="7"/>
      <c r="I662" s="7"/>
      <c r="J662" s="7"/>
      <c r="K662" s="7"/>
      <c r="L662" s="7"/>
      <c r="M662" s="7"/>
      <c r="N662" s="7"/>
      <c r="O662" s="7"/>
      <c r="P662" s="7" t="s">
        <v>304</v>
      </c>
      <c r="Q662" s="7" t="s">
        <v>62</v>
      </c>
      <c r="R662" s="7" t="s">
        <v>3364</v>
      </c>
      <c r="S662" s="7"/>
      <c r="T662" s="7" t="s">
        <v>3365</v>
      </c>
      <c r="U662" s="7"/>
      <c r="V662" s="7" t="n">
        <v>3388158</v>
      </c>
      <c r="W662" s="7" t="n">
        <v>29</v>
      </c>
      <c r="X662" s="7" t="n">
        <v>37</v>
      </c>
      <c r="Y662" s="7" t="n">
        <v>8</v>
      </c>
      <c r="Z662" s="7" t="s">
        <v>11832</v>
      </c>
      <c r="AA662" s="9" t="s">
        <v>11833</v>
      </c>
      <c r="AB662" s="7" t="s">
        <v>11834</v>
      </c>
      <c r="AC662" s="7" t="s">
        <v>11835</v>
      </c>
      <c r="AD662" s="7" t="s">
        <v>11836</v>
      </c>
      <c r="AE662" s="7" t="s">
        <v>11837</v>
      </c>
      <c r="AF662" s="7"/>
      <c r="AG662" s="7"/>
      <c r="AH662" s="7"/>
      <c r="AI662" s="7"/>
      <c r="AJ662" s="10" t="s">
        <v>11838</v>
      </c>
      <c r="AK662" s="7" t="s">
        <v>11839</v>
      </c>
      <c r="AL662" s="7" t="s">
        <v>11840</v>
      </c>
      <c r="AM662" s="7" t="s">
        <v>11841</v>
      </c>
      <c r="AN662" s="7"/>
      <c r="AO662" s="7"/>
      <c r="AP662" s="7" t="s">
        <v>11842</v>
      </c>
      <c r="AQ662" s="7" t="s">
        <v>11843</v>
      </c>
      <c r="AR662" s="7" t="s">
        <v>11844</v>
      </c>
      <c r="AS662" s="7" t="n">
        <v>165672</v>
      </c>
      <c r="AT662" s="7"/>
      <c r="AU662" s="7" t="s">
        <v>11845</v>
      </c>
      <c r="AV662" s="7"/>
      <c r="AW662" s="7"/>
      <c r="AX662" s="7" t="s">
        <v>3380</v>
      </c>
      <c r="AY662" s="7" t="s">
        <v>75</v>
      </c>
      <c r="AZ662" s="7"/>
      <c r="BA662" s="7" t="s">
        <v>76</v>
      </c>
      <c r="BB662" s="7" t="s">
        <v>11846</v>
      </c>
      <c r="BC662" s="7"/>
      <c r="BD662" s="7"/>
      <c r="BE662" s="7"/>
      <c r="BF662" s="7"/>
      <c r="BG662" s="7"/>
      <c r="BH662" s="7"/>
      <c r="BI662" s="7"/>
    </row>
    <row r="663" customFormat="false" ht="14.25" hidden="false" customHeight="true" outlineLevel="0" collapsed="false">
      <c r="A663" s="7" t="s">
        <v>11847</v>
      </c>
      <c r="B663" s="7" t="s">
        <v>11848</v>
      </c>
      <c r="C663" s="7" t="s">
        <v>11849</v>
      </c>
      <c r="D663" s="7" t="s">
        <v>11850</v>
      </c>
      <c r="E663" s="7" t="n">
        <v>2020</v>
      </c>
      <c r="F663" s="8" t="s">
        <v>11851</v>
      </c>
      <c r="G663" s="6" t="s">
        <v>134</v>
      </c>
      <c r="H663" s="7"/>
      <c r="I663" s="7"/>
      <c r="J663" s="7"/>
      <c r="K663" s="7"/>
      <c r="L663" s="7"/>
      <c r="M663" s="7"/>
      <c r="N663" s="7"/>
      <c r="O663" s="7"/>
      <c r="P663" s="7" t="s">
        <v>304</v>
      </c>
      <c r="Q663" s="7" t="s">
        <v>62</v>
      </c>
      <c r="R663" s="7" t="s">
        <v>305</v>
      </c>
      <c r="S663" s="7" t="s">
        <v>11852</v>
      </c>
      <c r="T663" s="7" t="s">
        <v>586</v>
      </c>
      <c r="U663" s="7"/>
      <c r="V663" s="7"/>
      <c r="W663" s="7" t="n">
        <v>439</v>
      </c>
      <c r="X663" s="7" t="n">
        <v>449</v>
      </c>
      <c r="Y663" s="7" t="n">
        <v>10</v>
      </c>
      <c r="Z663" s="7" t="s">
        <v>11853</v>
      </c>
      <c r="AA663" s="9" t="s">
        <v>11854</v>
      </c>
      <c r="AB663" s="7" t="s">
        <v>11855</v>
      </c>
      <c r="AC663" s="7" t="s">
        <v>11856</v>
      </c>
      <c r="AD663" s="7" t="s">
        <v>11857</v>
      </c>
      <c r="AE663" s="7" t="s">
        <v>11858</v>
      </c>
      <c r="AF663" s="7"/>
      <c r="AG663" s="7"/>
      <c r="AH663" s="7"/>
      <c r="AI663" s="7"/>
      <c r="AJ663" s="10"/>
      <c r="AK663" s="7"/>
      <c r="AL663" s="7" t="s">
        <v>11859</v>
      </c>
      <c r="AM663" s="7" t="s">
        <v>11860</v>
      </c>
      <c r="AN663" s="7" t="s">
        <v>11861</v>
      </c>
      <c r="AO663" s="7"/>
      <c r="AP663" s="7" t="s">
        <v>11862</v>
      </c>
      <c r="AQ663" s="7" t="s">
        <v>11863</v>
      </c>
      <c r="AR663" s="7" t="s">
        <v>11864</v>
      </c>
      <c r="AS663" s="7" t="n">
        <v>236669</v>
      </c>
      <c r="AT663" s="7" t="n">
        <v>18650929</v>
      </c>
      <c r="AU663" s="7" t="s">
        <v>11865</v>
      </c>
      <c r="AV663" s="7"/>
      <c r="AW663" s="7"/>
      <c r="AX663" s="7" t="s">
        <v>321</v>
      </c>
      <c r="AY663" s="7" t="s">
        <v>75</v>
      </c>
      <c r="AZ663" s="7"/>
      <c r="BA663" s="7" t="s">
        <v>76</v>
      </c>
      <c r="BB663" s="7" t="s">
        <v>11866</v>
      </c>
      <c r="BC663" s="7"/>
      <c r="BD663" s="7"/>
      <c r="BE663" s="7"/>
      <c r="BF663" s="7"/>
      <c r="BG663" s="7"/>
      <c r="BH663" s="7"/>
      <c r="BI663" s="7"/>
    </row>
    <row r="664" customFormat="false" ht="14.25" hidden="false" customHeight="true" outlineLevel="0" collapsed="false">
      <c r="A664" s="7" t="s">
        <v>11867</v>
      </c>
      <c r="B664" s="7" t="s">
        <v>11868</v>
      </c>
      <c r="C664" s="7" t="s">
        <v>11869</v>
      </c>
      <c r="D664" s="7" t="s">
        <v>11870</v>
      </c>
      <c r="E664" s="7" t="n">
        <v>2020</v>
      </c>
      <c r="F664" s="8" t="s">
        <v>11871</v>
      </c>
      <c r="G664" s="6" t="s">
        <v>134</v>
      </c>
      <c r="H664" s="7"/>
      <c r="I664" s="7"/>
      <c r="J664" s="7"/>
      <c r="K664" s="7"/>
      <c r="L664" s="7"/>
      <c r="M664" s="7"/>
      <c r="N664" s="7"/>
      <c r="O664" s="7"/>
      <c r="P664" s="7" t="s">
        <v>304</v>
      </c>
      <c r="Q664" s="7" t="s">
        <v>62</v>
      </c>
      <c r="R664" s="7" t="s">
        <v>11872</v>
      </c>
      <c r="S664" s="7"/>
      <c r="T664" s="7" t="s">
        <v>10226</v>
      </c>
      <c r="U664" s="7"/>
      <c r="V664" s="7"/>
      <c r="W664" s="7" t="n">
        <v>301</v>
      </c>
      <c r="X664" s="7" t="n">
        <v>304</v>
      </c>
      <c r="Y664" s="7" t="n">
        <v>3</v>
      </c>
      <c r="Z664" s="7" t="s">
        <v>11873</v>
      </c>
      <c r="AA664" s="9" t="s">
        <v>11874</v>
      </c>
      <c r="AB664" s="7" t="s">
        <v>11875</v>
      </c>
      <c r="AC664" s="7" t="s">
        <v>11876</v>
      </c>
      <c r="AD664" s="7" t="s">
        <v>11877</v>
      </c>
      <c r="AE664" s="7" t="s">
        <v>11878</v>
      </c>
      <c r="AF664" s="7"/>
      <c r="AG664" s="7"/>
      <c r="AH664" s="7"/>
      <c r="AI664" s="7"/>
      <c r="AJ664" s="10" t="s">
        <v>11879</v>
      </c>
      <c r="AK664" s="7" t="s">
        <v>11880</v>
      </c>
      <c r="AL664" s="7" t="s">
        <v>11881</v>
      </c>
      <c r="AM664" s="7"/>
      <c r="AN664" s="7"/>
      <c r="AO664" s="7" t="s">
        <v>10236</v>
      </c>
      <c r="AP664" s="7" t="s">
        <v>11882</v>
      </c>
      <c r="AQ664" s="7" t="s">
        <v>11883</v>
      </c>
      <c r="AR664" s="7" t="s">
        <v>11884</v>
      </c>
      <c r="AS664" s="7" t="n">
        <v>161513</v>
      </c>
      <c r="AT664" s="7"/>
      <c r="AU664" s="7" t="s">
        <v>11885</v>
      </c>
      <c r="AV664" s="7"/>
      <c r="AW664" s="7"/>
      <c r="AX664" s="7" t="s">
        <v>11886</v>
      </c>
      <c r="AY664" s="7" t="s">
        <v>75</v>
      </c>
      <c r="AZ664" s="7"/>
      <c r="BA664" s="7" t="s">
        <v>76</v>
      </c>
      <c r="BB664" s="7" t="s">
        <v>11887</v>
      </c>
      <c r="BC664" s="7"/>
      <c r="BD664" s="7"/>
      <c r="BE664" s="7"/>
      <c r="BF664" s="7"/>
      <c r="BG664" s="7"/>
      <c r="BH664" s="7"/>
      <c r="BI664" s="7"/>
    </row>
    <row r="665" customFormat="false" ht="14.25" hidden="false" customHeight="true" outlineLevel="0" collapsed="false">
      <c r="A665" s="7" t="s">
        <v>11888</v>
      </c>
      <c r="B665" s="7" t="s">
        <v>11889</v>
      </c>
      <c r="C665" s="7" t="s">
        <v>11890</v>
      </c>
      <c r="D665" s="7" t="s">
        <v>11891</v>
      </c>
      <c r="E665" s="7" t="n">
        <v>2020</v>
      </c>
      <c r="F665" s="8" t="s">
        <v>11892</v>
      </c>
      <c r="G665" s="24" t="s">
        <v>134</v>
      </c>
      <c r="H665" s="7"/>
      <c r="I665" s="7"/>
      <c r="J665" s="7"/>
      <c r="K665" s="7"/>
      <c r="L665" s="7"/>
      <c r="M665" s="7"/>
      <c r="N665" s="7"/>
      <c r="O665" s="7"/>
      <c r="P665" s="7" t="s">
        <v>304</v>
      </c>
      <c r="Q665" s="7" t="s">
        <v>62</v>
      </c>
      <c r="R665" s="7" t="s">
        <v>11893</v>
      </c>
      <c r="S665" s="12" t="n">
        <v>44013</v>
      </c>
      <c r="T665" s="7" t="s">
        <v>187</v>
      </c>
      <c r="U665" s="7"/>
      <c r="V665" s="7" t="n">
        <v>9183225</v>
      </c>
      <c r="W665" s="7" t="n">
        <v>163</v>
      </c>
      <c r="X665" s="7" t="n">
        <v>168</v>
      </c>
      <c r="Y665" s="7" t="n">
        <v>5</v>
      </c>
      <c r="Z665" s="7" t="s">
        <v>11894</v>
      </c>
      <c r="AA665" s="9" t="s">
        <v>11895</v>
      </c>
      <c r="AB665" s="7" t="s">
        <v>11896</v>
      </c>
      <c r="AC665" s="7" t="s">
        <v>11897</v>
      </c>
      <c r="AD665" s="7" t="s">
        <v>11898</v>
      </c>
      <c r="AE665" s="7" t="s">
        <v>11899</v>
      </c>
      <c r="AF665" s="7"/>
      <c r="AG665" s="7"/>
      <c r="AH665" s="7"/>
      <c r="AI665" s="7"/>
      <c r="AJ665" s="10"/>
      <c r="AK665" s="7"/>
      <c r="AL665" s="7" t="s">
        <v>11900</v>
      </c>
      <c r="AM665" s="7"/>
      <c r="AN665" s="7" t="s">
        <v>11901</v>
      </c>
      <c r="AO665" s="7"/>
      <c r="AP665" s="7" t="s">
        <v>11902</v>
      </c>
      <c r="AQ665" s="7" t="s">
        <v>11903</v>
      </c>
      <c r="AR665" s="7" t="s">
        <v>5337</v>
      </c>
      <c r="AS665" s="7" t="n">
        <v>162765</v>
      </c>
      <c r="AT665" s="7" t="n">
        <v>10637125</v>
      </c>
      <c r="AU665" s="7" t="s">
        <v>11904</v>
      </c>
      <c r="AV665" s="7"/>
      <c r="AW665" s="7"/>
      <c r="AX665" s="7" t="s">
        <v>11905</v>
      </c>
      <c r="AY665" s="7" t="s">
        <v>75</v>
      </c>
      <c r="AZ665" s="7" t="s">
        <v>409</v>
      </c>
      <c r="BA665" s="7" t="s">
        <v>76</v>
      </c>
      <c r="BB665" s="7" t="s">
        <v>11906</v>
      </c>
      <c r="BC665" s="7"/>
      <c r="BD665" s="7"/>
      <c r="BE665" s="7"/>
      <c r="BF665" s="7"/>
      <c r="BG665" s="7"/>
      <c r="BH665" s="7"/>
      <c r="BI665" s="7"/>
    </row>
    <row r="666" customFormat="false" ht="14.25" hidden="false" customHeight="true" outlineLevel="0" collapsed="false">
      <c r="A666" s="7" t="s">
        <v>11907</v>
      </c>
      <c r="B666" s="7" t="s">
        <v>11908</v>
      </c>
      <c r="C666" s="7" t="s">
        <v>11909</v>
      </c>
      <c r="D666" s="7" t="s">
        <v>11910</v>
      </c>
      <c r="E666" s="7" t="n">
        <v>2020</v>
      </c>
      <c r="F666" s="8" t="s">
        <v>11911</v>
      </c>
      <c r="G666" s="6" t="s">
        <v>134</v>
      </c>
      <c r="H666" s="7"/>
      <c r="I666" s="7"/>
      <c r="J666" s="7"/>
      <c r="K666" s="7"/>
      <c r="L666" s="7"/>
      <c r="M666" s="7"/>
      <c r="N666" s="7"/>
      <c r="O666" s="7"/>
      <c r="P666" s="7" t="s">
        <v>304</v>
      </c>
      <c r="Q666" s="7" t="s">
        <v>62</v>
      </c>
      <c r="R666" s="7" t="s">
        <v>11912</v>
      </c>
      <c r="S666" s="12" t="n">
        <v>44136</v>
      </c>
      <c r="T666" s="7" t="s">
        <v>187</v>
      </c>
      <c r="U666" s="7"/>
      <c r="V666" s="7" t="n">
        <v>9293746</v>
      </c>
      <c r="W666" s="7" t="n">
        <v>750</v>
      </c>
      <c r="X666" s="7" t="n">
        <v>755</v>
      </c>
      <c r="Y666" s="7" t="n">
        <v>5</v>
      </c>
      <c r="Z666" s="7" t="s">
        <v>11913</v>
      </c>
      <c r="AA666" s="9" t="s">
        <v>11914</v>
      </c>
      <c r="AB666" s="7" t="s">
        <v>11915</v>
      </c>
      <c r="AC666" s="7" t="s">
        <v>11916</v>
      </c>
      <c r="AD666" s="7" t="s">
        <v>11917</v>
      </c>
      <c r="AE666" s="7" t="s">
        <v>11918</v>
      </c>
      <c r="AF666" s="7"/>
      <c r="AG666" s="7"/>
      <c r="AH666" s="7"/>
      <c r="AI666" s="7"/>
      <c r="AJ666" s="10"/>
      <c r="AK666" s="7"/>
      <c r="AL666" s="7" t="s">
        <v>11919</v>
      </c>
      <c r="AM666" s="7"/>
      <c r="AN666" s="7"/>
      <c r="AO666" s="7" t="s">
        <v>11920</v>
      </c>
      <c r="AP666" s="7" t="s">
        <v>11921</v>
      </c>
      <c r="AQ666" s="7" t="s">
        <v>11922</v>
      </c>
      <c r="AR666" s="7" t="s">
        <v>11923</v>
      </c>
      <c r="AS666" s="7" t="n">
        <v>166041</v>
      </c>
      <c r="AT666" s="7" t="n">
        <v>21593442</v>
      </c>
      <c r="AU666" s="7" t="s">
        <v>11924</v>
      </c>
      <c r="AV666" s="7" t="s">
        <v>11925</v>
      </c>
      <c r="AW666" s="7"/>
      <c r="AX666" s="7" t="s">
        <v>11926</v>
      </c>
      <c r="AY666" s="7" t="s">
        <v>75</v>
      </c>
      <c r="AZ666" s="7"/>
      <c r="BA666" s="7" t="s">
        <v>76</v>
      </c>
      <c r="BB666" s="7" t="s">
        <v>11927</v>
      </c>
      <c r="BC666" s="7"/>
      <c r="BD666" s="7"/>
      <c r="BE666" s="7"/>
      <c r="BF666" s="7"/>
      <c r="BG666" s="7"/>
      <c r="BH666" s="7"/>
      <c r="BI666" s="7"/>
    </row>
    <row r="667" customFormat="false" ht="14.25" hidden="false" customHeight="true" outlineLevel="0" collapsed="false">
      <c r="A667" s="7" t="s">
        <v>11928</v>
      </c>
      <c r="B667" s="7" t="s">
        <v>11929</v>
      </c>
      <c r="C667" s="7" t="s">
        <v>11930</v>
      </c>
      <c r="D667" s="7" t="s">
        <v>11931</v>
      </c>
      <c r="E667" s="7" t="n">
        <v>2020</v>
      </c>
      <c r="F667" s="8" t="s">
        <v>11932</v>
      </c>
      <c r="G667" s="6" t="s">
        <v>134</v>
      </c>
      <c r="H667" s="7"/>
      <c r="I667" s="7"/>
      <c r="J667" s="7"/>
      <c r="K667" s="7"/>
      <c r="L667" s="7"/>
      <c r="M667" s="7"/>
      <c r="N667" s="7"/>
      <c r="O667" s="7"/>
      <c r="P667" s="7" t="s">
        <v>304</v>
      </c>
      <c r="Q667" s="7" t="s">
        <v>62</v>
      </c>
      <c r="R667" s="7" t="s">
        <v>11933</v>
      </c>
      <c r="S667" s="12" t="n">
        <v>43891</v>
      </c>
      <c r="T667" s="7" t="s">
        <v>187</v>
      </c>
      <c r="U667" s="7"/>
      <c r="V667" s="7" t="n">
        <v>9094595</v>
      </c>
      <c r="W667" s="7" t="n">
        <v>18</v>
      </c>
      <c r="X667" s="7" t="n">
        <v>21</v>
      </c>
      <c r="Y667" s="7" t="n">
        <v>3</v>
      </c>
      <c r="Z667" s="7" t="s">
        <v>11934</v>
      </c>
      <c r="AA667" s="9" t="s">
        <v>11935</v>
      </c>
      <c r="AB667" s="7" t="s">
        <v>11936</v>
      </c>
      <c r="AC667" s="7" t="s">
        <v>11937</v>
      </c>
      <c r="AD667" s="7" t="s">
        <v>11938</v>
      </c>
      <c r="AE667" s="7" t="s">
        <v>11939</v>
      </c>
      <c r="AF667" s="7"/>
      <c r="AG667" s="7"/>
      <c r="AH667" s="7"/>
      <c r="AI667" s="7"/>
      <c r="AJ667" s="10" t="s">
        <v>11940</v>
      </c>
      <c r="AK667" s="7" t="s">
        <v>11941</v>
      </c>
      <c r="AL667" s="7" t="s">
        <v>11942</v>
      </c>
      <c r="AM667" s="7" t="s">
        <v>11943</v>
      </c>
      <c r="AN667" s="7"/>
      <c r="AO667" s="7" t="s">
        <v>11944</v>
      </c>
      <c r="AP667" s="7" t="s">
        <v>11945</v>
      </c>
      <c r="AQ667" s="7" t="s">
        <v>11946</v>
      </c>
      <c r="AR667" s="7" t="s">
        <v>11947</v>
      </c>
      <c r="AS667" s="7" t="n">
        <v>160034</v>
      </c>
      <c r="AT667" s="7"/>
      <c r="AU667" s="7" t="s">
        <v>11948</v>
      </c>
      <c r="AV667" s="7"/>
      <c r="AW667" s="7"/>
      <c r="AX667" s="7" t="s">
        <v>11949</v>
      </c>
      <c r="AY667" s="7" t="s">
        <v>75</v>
      </c>
      <c r="AZ667" s="7" t="s">
        <v>409</v>
      </c>
      <c r="BA667" s="7" t="s">
        <v>76</v>
      </c>
      <c r="BB667" s="7" t="s">
        <v>11950</v>
      </c>
      <c r="BC667" s="7"/>
      <c r="BD667" s="7"/>
      <c r="BE667" s="7"/>
      <c r="BF667" s="7"/>
      <c r="BG667" s="7"/>
      <c r="BH667" s="7"/>
      <c r="BI667" s="7"/>
    </row>
    <row r="668" customFormat="false" ht="14.25" hidden="false" customHeight="true" outlineLevel="0" collapsed="false">
      <c r="A668" s="7" t="s">
        <v>11951</v>
      </c>
      <c r="B668" s="7" t="s">
        <v>11952</v>
      </c>
      <c r="C668" s="7" t="s">
        <v>11953</v>
      </c>
      <c r="D668" s="7" t="s">
        <v>11954</v>
      </c>
      <c r="E668" s="7" t="n">
        <v>2020</v>
      </c>
      <c r="F668" s="8" t="s">
        <v>11955</v>
      </c>
      <c r="G668" s="6" t="s">
        <v>134</v>
      </c>
      <c r="H668" s="7"/>
      <c r="I668" s="7"/>
      <c r="J668" s="7"/>
      <c r="K668" s="7"/>
      <c r="L668" s="7"/>
      <c r="M668" s="7"/>
      <c r="N668" s="7"/>
      <c r="O668" s="7"/>
      <c r="P668" s="7" t="s">
        <v>304</v>
      </c>
      <c r="Q668" s="7" t="s">
        <v>62</v>
      </c>
      <c r="R668" s="7" t="s">
        <v>3364</v>
      </c>
      <c r="S668" s="7"/>
      <c r="T668" s="7" t="s">
        <v>3365</v>
      </c>
      <c r="U668" s="7"/>
      <c r="V668" s="7"/>
      <c r="W668" s="7" t="n">
        <v>80</v>
      </c>
      <c r="X668" s="7" t="n">
        <v>85</v>
      </c>
      <c r="Y668" s="7" t="n">
        <v>5</v>
      </c>
      <c r="Z668" s="7" t="s">
        <v>11956</v>
      </c>
      <c r="AA668" s="9" t="s">
        <v>11957</v>
      </c>
      <c r="AB668" s="7" t="s">
        <v>11958</v>
      </c>
      <c r="AC668" s="7" t="s">
        <v>11959</v>
      </c>
      <c r="AD668" s="7" t="s">
        <v>11960</v>
      </c>
      <c r="AE668" s="7" t="s">
        <v>11961</v>
      </c>
      <c r="AF668" s="7"/>
      <c r="AG668" s="7"/>
      <c r="AH668" s="7"/>
      <c r="AI668" s="7"/>
      <c r="AJ668" s="10" t="s">
        <v>11962</v>
      </c>
      <c r="AK668" s="7" t="s">
        <v>11963</v>
      </c>
      <c r="AL668" s="7" t="s">
        <v>11964</v>
      </c>
      <c r="AM668" s="7"/>
      <c r="AN668" s="7"/>
      <c r="AO668" s="7"/>
      <c r="AP668" s="7" t="s">
        <v>11965</v>
      </c>
      <c r="AQ668" s="7" t="s">
        <v>11966</v>
      </c>
      <c r="AR668" s="7" t="s">
        <v>11967</v>
      </c>
      <c r="AS668" s="7" t="n">
        <v>161250</v>
      </c>
      <c r="AT668" s="7"/>
      <c r="AU668" s="7" t="s">
        <v>11968</v>
      </c>
      <c r="AV668" s="7"/>
      <c r="AW668" s="7"/>
      <c r="AX668" s="7" t="s">
        <v>3380</v>
      </c>
      <c r="AY668" s="7" t="s">
        <v>75</v>
      </c>
      <c r="AZ668" s="7"/>
      <c r="BA668" s="7" t="s">
        <v>76</v>
      </c>
      <c r="BB668" s="7" t="s">
        <v>11969</v>
      </c>
      <c r="BC668" s="7"/>
      <c r="BD668" s="7"/>
      <c r="BE668" s="7"/>
      <c r="BF668" s="7"/>
      <c r="BG668" s="7"/>
      <c r="BH668" s="7"/>
      <c r="BI668" s="7"/>
    </row>
    <row r="669" customFormat="false" ht="14.25" hidden="false" customHeight="true" outlineLevel="0" collapsed="false">
      <c r="A669" s="7" t="s">
        <v>11970</v>
      </c>
      <c r="B669" s="7" t="s">
        <v>11971</v>
      </c>
      <c r="C669" s="7" t="s">
        <v>11972</v>
      </c>
      <c r="D669" s="7" t="s">
        <v>11973</v>
      </c>
      <c r="E669" s="7" t="n">
        <v>2020</v>
      </c>
      <c r="F669" s="8" t="s">
        <v>11974</v>
      </c>
      <c r="G669" s="6" t="s">
        <v>134</v>
      </c>
      <c r="H669" s="7"/>
      <c r="I669" s="7"/>
      <c r="J669" s="7"/>
      <c r="K669" s="7"/>
      <c r="L669" s="7"/>
      <c r="M669" s="7"/>
      <c r="N669" s="7"/>
      <c r="O669" s="7"/>
      <c r="P669" s="7" t="s">
        <v>304</v>
      </c>
      <c r="Q669" s="7" t="s">
        <v>62</v>
      </c>
      <c r="R669" s="7" t="s">
        <v>2892</v>
      </c>
      <c r="S669" s="7" t="s">
        <v>11975</v>
      </c>
      <c r="T669" s="7" t="s">
        <v>307</v>
      </c>
      <c r="U669" s="7"/>
      <c r="V669" s="7"/>
      <c r="W669" s="7" t="n">
        <v>145</v>
      </c>
      <c r="X669" s="7" t="n">
        <v>157</v>
      </c>
      <c r="Y669" s="7" t="n">
        <v>12</v>
      </c>
      <c r="Z669" s="7" t="s">
        <v>11976</v>
      </c>
      <c r="AA669" s="9" t="s">
        <v>11977</v>
      </c>
      <c r="AB669" s="7" t="s">
        <v>11978</v>
      </c>
      <c r="AC669" s="7" t="s">
        <v>11979</v>
      </c>
      <c r="AD669" s="7" t="s">
        <v>11980</v>
      </c>
      <c r="AE669" s="7" t="s">
        <v>11981</v>
      </c>
      <c r="AF669" s="7"/>
      <c r="AG669" s="7"/>
      <c r="AH669" s="7"/>
      <c r="AI669" s="7"/>
      <c r="AJ669" s="10" t="s">
        <v>11982</v>
      </c>
      <c r="AK669" s="7" t="s">
        <v>11983</v>
      </c>
      <c r="AL669" s="7" t="s">
        <v>11984</v>
      </c>
      <c r="AM669" s="7" t="s">
        <v>11985</v>
      </c>
      <c r="AN669" s="7" t="s">
        <v>11986</v>
      </c>
      <c r="AO669" s="7"/>
      <c r="AP669" s="7" t="s">
        <v>11987</v>
      </c>
      <c r="AQ669" s="7" t="s">
        <v>11988</v>
      </c>
      <c r="AR669" s="7" t="s">
        <v>11989</v>
      </c>
      <c r="AS669" s="7" t="n">
        <v>241909</v>
      </c>
      <c r="AT669" s="7" t="n">
        <v>18761100</v>
      </c>
      <c r="AU669" s="7" t="s">
        <v>11990</v>
      </c>
      <c r="AV669" s="7"/>
      <c r="AW669" s="7"/>
      <c r="AX669" s="7" t="s">
        <v>2906</v>
      </c>
      <c r="AY669" s="7" t="s">
        <v>75</v>
      </c>
      <c r="AZ669" s="7"/>
      <c r="BA669" s="7" t="s">
        <v>76</v>
      </c>
      <c r="BB669" s="7" t="s">
        <v>11991</v>
      </c>
      <c r="BC669" s="7"/>
      <c r="BD669" s="7"/>
      <c r="BE669" s="7"/>
      <c r="BF669" s="7"/>
      <c r="BG669" s="7"/>
      <c r="BH669" s="7"/>
      <c r="BI669" s="7"/>
    </row>
    <row r="670" customFormat="false" ht="14.25" hidden="false" customHeight="true" outlineLevel="0" collapsed="false">
      <c r="A670" s="7" t="s">
        <v>11992</v>
      </c>
      <c r="B670" s="7" t="s">
        <v>11993</v>
      </c>
      <c r="C670" s="7" t="s">
        <v>11994</v>
      </c>
      <c r="D670" s="7" t="s">
        <v>11995</v>
      </c>
      <c r="E670" s="7" t="n">
        <v>2020</v>
      </c>
      <c r="F670" s="8" t="s">
        <v>11996</v>
      </c>
      <c r="G670" s="6" t="s">
        <v>134</v>
      </c>
      <c r="H670" s="7"/>
      <c r="I670" s="7"/>
      <c r="J670" s="7"/>
      <c r="K670" s="7"/>
      <c r="L670" s="7"/>
      <c r="M670" s="7"/>
      <c r="N670" s="7"/>
      <c r="O670" s="7"/>
      <c r="P670" s="7" t="s">
        <v>304</v>
      </c>
      <c r="Q670" s="7" t="s">
        <v>62</v>
      </c>
      <c r="R670" s="7" t="s">
        <v>11997</v>
      </c>
      <c r="S670" s="7"/>
      <c r="T670" s="7" t="s">
        <v>187</v>
      </c>
      <c r="U670" s="7"/>
      <c r="V670" s="7" t="n">
        <v>9231235</v>
      </c>
      <c r="W670" s="7" t="n">
        <v>125</v>
      </c>
      <c r="X670" s="7" t="n">
        <v>130</v>
      </c>
      <c r="Y670" s="7" t="n">
        <v>5</v>
      </c>
      <c r="Z670" s="7" t="s">
        <v>11998</v>
      </c>
      <c r="AA670" s="9" t="s">
        <v>11999</v>
      </c>
      <c r="AB670" s="7" t="s">
        <v>12000</v>
      </c>
      <c r="AC670" s="7" t="s">
        <v>12001</v>
      </c>
      <c r="AD670" s="7" t="s">
        <v>12002</v>
      </c>
      <c r="AE670" s="7" t="s">
        <v>12003</v>
      </c>
      <c r="AF670" s="7"/>
      <c r="AG670" s="7"/>
      <c r="AH670" s="7"/>
      <c r="AI670" s="7"/>
      <c r="AJ670" s="10"/>
      <c r="AK670" s="7"/>
      <c r="AL670" s="7" t="s">
        <v>12004</v>
      </c>
      <c r="AM670" s="7"/>
      <c r="AN670" s="7" t="s">
        <v>12005</v>
      </c>
      <c r="AO670" s="7" t="s">
        <v>9125</v>
      </c>
      <c r="AP670" s="7" t="s">
        <v>12006</v>
      </c>
      <c r="AQ670" s="7" t="s">
        <v>12007</v>
      </c>
      <c r="AR670" s="7" t="s">
        <v>12008</v>
      </c>
      <c r="AS670" s="7" t="n">
        <v>164385</v>
      </c>
      <c r="AT670" s="7"/>
      <c r="AU670" s="7" t="s">
        <v>12009</v>
      </c>
      <c r="AV670" s="7"/>
      <c r="AW670" s="7"/>
      <c r="AX670" s="7" t="s">
        <v>12010</v>
      </c>
      <c r="AY670" s="7" t="s">
        <v>75</v>
      </c>
      <c r="AZ670" s="7"/>
      <c r="BA670" s="7" t="s">
        <v>76</v>
      </c>
      <c r="BB670" s="7" t="s">
        <v>12011</v>
      </c>
      <c r="BC670" s="7"/>
      <c r="BD670" s="7"/>
      <c r="BE670" s="7"/>
      <c r="BF670" s="7"/>
      <c r="BG670" s="7"/>
      <c r="BH670" s="7"/>
      <c r="BI670" s="7"/>
    </row>
    <row r="671" customFormat="false" ht="14.25" hidden="false" customHeight="true" outlineLevel="0" collapsed="false">
      <c r="A671" s="7" t="s">
        <v>12012</v>
      </c>
      <c r="B671" s="7" t="s">
        <v>12013</v>
      </c>
      <c r="C671" s="7" t="s">
        <v>12014</v>
      </c>
      <c r="D671" s="7" t="s">
        <v>12015</v>
      </c>
      <c r="E671" s="7" t="n">
        <v>2020</v>
      </c>
      <c r="F671" s="8" t="s">
        <v>12016</v>
      </c>
      <c r="G671" s="6" t="s">
        <v>134</v>
      </c>
      <c r="H671" s="7"/>
      <c r="I671" s="7"/>
      <c r="J671" s="7"/>
      <c r="K671" s="7"/>
      <c r="L671" s="7"/>
      <c r="M671" s="7"/>
      <c r="N671" s="7"/>
      <c r="O671" s="7"/>
      <c r="P671" s="7" t="s">
        <v>304</v>
      </c>
      <c r="Q671" s="7" t="s">
        <v>62</v>
      </c>
      <c r="R671" s="7" t="s">
        <v>12017</v>
      </c>
      <c r="S671" s="7"/>
      <c r="T671" s="7" t="s">
        <v>187</v>
      </c>
      <c r="U671" s="7"/>
      <c r="V671" s="7" t="n">
        <v>9298425</v>
      </c>
      <c r="W671" s="7"/>
      <c r="X671" s="7"/>
      <c r="Y671" s="7"/>
      <c r="Z671" s="7" t="s">
        <v>12018</v>
      </c>
      <c r="AA671" s="9" t="s">
        <v>12019</v>
      </c>
      <c r="AB671" s="7" t="s">
        <v>12020</v>
      </c>
      <c r="AC671" s="7" t="s">
        <v>12021</v>
      </c>
      <c r="AD671" s="7" t="s">
        <v>12022</v>
      </c>
      <c r="AE671" s="7" t="s">
        <v>12023</v>
      </c>
      <c r="AF671" s="7"/>
      <c r="AG671" s="7"/>
      <c r="AH671" s="7"/>
      <c r="AI671" s="7"/>
      <c r="AJ671" s="10" t="s">
        <v>12024</v>
      </c>
      <c r="AK671" s="7" t="s">
        <v>12025</v>
      </c>
      <c r="AL671" s="7" t="s">
        <v>12026</v>
      </c>
      <c r="AM671" s="7"/>
      <c r="AN671" s="7"/>
      <c r="AO671" s="7" t="s">
        <v>3090</v>
      </c>
      <c r="AP671" s="7" t="s">
        <v>12017</v>
      </c>
      <c r="AQ671" s="7" t="s">
        <v>12027</v>
      </c>
      <c r="AR671" s="7" t="s">
        <v>2201</v>
      </c>
      <c r="AS671" s="7" t="n">
        <v>166312</v>
      </c>
      <c r="AT671" s="7"/>
      <c r="AU671" s="7" t="s">
        <v>12028</v>
      </c>
      <c r="AV671" s="7"/>
      <c r="AW671" s="7"/>
      <c r="AX671" s="7" t="s">
        <v>12029</v>
      </c>
      <c r="AY671" s="7" t="s">
        <v>75</v>
      </c>
      <c r="AZ671" s="7"/>
      <c r="BA671" s="7" t="s">
        <v>76</v>
      </c>
      <c r="BB671" s="7" t="s">
        <v>12030</v>
      </c>
      <c r="BC671" s="7"/>
      <c r="BD671" s="7"/>
      <c r="BE671" s="7"/>
      <c r="BF671" s="7"/>
      <c r="BG671" s="7"/>
      <c r="BH671" s="7"/>
      <c r="BI671" s="7"/>
    </row>
    <row r="672" customFormat="false" ht="14.25" hidden="false" customHeight="true" outlineLevel="0" collapsed="false">
      <c r="A672" s="7" t="s">
        <v>12031</v>
      </c>
      <c r="B672" s="7" t="s">
        <v>12032</v>
      </c>
      <c r="C672" s="7" t="s">
        <v>12033</v>
      </c>
      <c r="D672" s="7" t="s">
        <v>12034</v>
      </c>
      <c r="E672" s="7" t="n">
        <v>2020</v>
      </c>
      <c r="F672" s="8" t="s">
        <v>12035</v>
      </c>
      <c r="G672" s="6" t="s">
        <v>134</v>
      </c>
      <c r="H672" s="7"/>
      <c r="I672" s="7"/>
      <c r="J672" s="7"/>
      <c r="K672" s="7"/>
      <c r="L672" s="7"/>
      <c r="M672" s="7"/>
      <c r="N672" s="7"/>
      <c r="O672" s="7"/>
      <c r="P672" s="7" t="s">
        <v>304</v>
      </c>
      <c r="Q672" s="7" t="s">
        <v>62</v>
      </c>
      <c r="R672" s="7" t="s">
        <v>12036</v>
      </c>
      <c r="S672" s="7" t="n">
        <v>11314</v>
      </c>
      <c r="T672" s="7" t="s">
        <v>3163</v>
      </c>
      <c r="U672" s="7"/>
      <c r="V672" s="7" t="s">
        <v>12037</v>
      </c>
      <c r="W672" s="7"/>
      <c r="X672" s="7"/>
      <c r="Y672" s="7"/>
      <c r="Z672" s="7" t="s">
        <v>12038</v>
      </c>
      <c r="AA672" s="9" t="s">
        <v>12039</v>
      </c>
      <c r="AB672" s="7" t="s">
        <v>12040</v>
      </c>
      <c r="AC672" s="7" t="s">
        <v>12041</v>
      </c>
      <c r="AD672" s="7" t="s">
        <v>12042</v>
      </c>
      <c r="AE672" s="7" t="s">
        <v>12043</v>
      </c>
      <c r="AF672" s="7"/>
      <c r="AG672" s="7"/>
      <c r="AH672" s="7"/>
      <c r="AI672" s="7"/>
      <c r="AJ672" s="10" t="s">
        <v>12044</v>
      </c>
      <c r="AK672" s="7" t="s">
        <v>12045</v>
      </c>
      <c r="AL672" s="7" t="s">
        <v>12046</v>
      </c>
      <c r="AM672" s="7"/>
      <c r="AN672" s="7" t="s">
        <v>12047</v>
      </c>
      <c r="AO672" s="7" t="s">
        <v>3173</v>
      </c>
      <c r="AP672" s="7" t="s">
        <v>12048</v>
      </c>
      <c r="AQ672" s="7" t="s">
        <v>12049</v>
      </c>
      <c r="AR672" s="7" t="s">
        <v>12050</v>
      </c>
      <c r="AS672" s="7" t="n">
        <v>160064</v>
      </c>
      <c r="AT672" s="7" t="n">
        <v>16057422</v>
      </c>
      <c r="AU672" s="7" t="s">
        <v>12051</v>
      </c>
      <c r="AV672" s="7"/>
      <c r="AW672" s="7"/>
      <c r="AX672" s="7" t="s">
        <v>12052</v>
      </c>
      <c r="AY672" s="7" t="s">
        <v>75</v>
      </c>
      <c r="AZ672" s="7"/>
      <c r="BA672" s="7" t="s">
        <v>76</v>
      </c>
      <c r="BB672" s="7" t="s">
        <v>12053</v>
      </c>
      <c r="BC672" s="7"/>
      <c r="BD672" s="7"/>
      <c r="BE672" s="7"/>
      <c r="BF672" s="7"/>
      <c r="BG672" s="7"/>
      <c r="BH672" s="7"/>
      <c r="BI672" s="7"/>
    </row>
    <row r="673" customFormat="false" ht="14.25" hidden="false" customHeight="true" outlineLevel="0" collapsed="false">
      <c r="A673" s="7" t="s">
        <v>12054</v>
      </c>
      <c r="B673" s="7" t="s">
        <v>12055</v>
      </c>
      <c r="C673" s="7" t="s">
        <v>12056</v>
      </c>
      <c r="D673" s="7" t="s">
        <v>12057</v>
      </c>
      <c r="E673" s="7" t="n">
        <v>2020</v>
      </c>
      <c r="F673" s="8" t="s">
        <v>12058</v>
      </c>
      <c r="G673" s="6" t="s">
        <v>149</v>
      </c>
      <c r="H673" s="7"/>
      <c r="I673" s="7"/>
      <c r="J673" s="7"/>
      <c r="K673" s="7"/>
      <c r="L673" s="7"/>
      <c r="M673" s="7"/>
      <c r="N673" s="7"/>
      <c r="O673" s="7"/>
      <c r="P673" s="7" t="s">
        <v>304</v>
      </c>
      <c r="Q673" s="7" t="s">
        <v>62</v>
      </c>
      <c r="R673" s="7" t="s">
        <v>12059</v>
      </c>
      <c r="S673" s="7"/>
      <c r="T673" s="7" t="s">
        <v>187</v>
      </c>
      <c r="U673" s="7"/>
      <c r="V673" s="7" t="n">
        <v>9058048</v>
      </c>
      <c r="W673" s="7" t="n">
        <v>798</v>
      </c>
      <c r="X673" s="7" t="n">
        <v>804</v>
      </c>
      <c r="Y673" s="7" t="n">
        <v>6</v>
      </c>
      <c r="Z673" s="7" t="s">
        <v>12060</v>
      </c>
      <c r="AA673" s="9" t="s">
        <v>12061</v>
      </c>
      <c r="AB673" s="7" t="s">
        <v>12062</v>
      </c>
      <c r="AC673" s="7" t="s">
        <v>12063</v>
      </c>
      <c r="AD673" s="7" t="s">
        <v>12064</v>
      </c>
      <c r="AE673" s="7" t="s">
        <v>12065</v>
      </c>
      <c r="AF673" s="7"/>
      <c r="AG673" s="7"/>
      <c r="AH673" s="7"/>
      <c r="AI673" s="7"/>
      <c r="AJ673" s="10"/>
      <c r="AK673" s="7"/>
      <c r="AL673" s="7" t="s">
        <v>12066</v>
      </c>
      <c r="AM673" s="7"/>
      <c r="AN673" s="7"/>
      <c r="AO673" s="7" t="s">
        <v>3090</v>
      </c>
      <c r="AP673" s="7" t="s">
        <v>12067</v>
      </c>
      <c r="AQ673" s="7" t="s">
        <v>12068</v>
      </c>
      <c r="AR673" s="7" t="s">
        <v>3378</v>
      </c>
      <c r="AS673" s="7" t="n">
        <v>159162</v>
      </c>
      <c r="AT673" s="7"/>
      <c r="AU673" s="7" t="s">
        <v>12069</v>
      </c>
      <c r="AV673" s="7"/>
      <c r="AW673" s="7"/>
      <c r="AX673" s="7" t="s">
        <v>12070</v>
      </c>
      <c r="AY673" s="7" t="s">
        <v>75</v>
      </c>
      <c r="AZ673" s="7"/>
      <c r="BA673" s="7" t="s">
        <v>76</v>
      </c>
      <c r="BB673" s="7" t="s">
        <v>12071</v>
      </c>
      <c r="BC673" s="7"/>
      <c r="BD673" s="7"/>
      <c r="BE673" s="7"/>
      <c r="BF673" s="7"/>
      <c r="BG673" s="7"/>
      <c r="BH673" s="7"/>
      <c r="BI673" s="7"/>
    </row>
    <row r="674" customFormat="false" ht="14.25" hidden="false" customHeight="true" outlineLevel="0" collapsed="false">
      <c r="A674" s="7" t="s">
        <v>12072</v>
      </c>
      <c r="B674" s="7" t="s">
        <v>12073</v>
      </c>
      <c r="C674" s="7" t="s">
        <v>12074</v>
      </c>
      <c r="D674" s="7" t="s">
        <v>12075</v>
      </c>
      <c r="E674" s="7" t="n">
        <v>2020</v>
      </c>
      <c r="F674" s="8" t="s">
        <v>12076</v>
      </c>
      <c r="G674" s="6" t="s">
        <v>134</v>
      </c>
      <c r="H674" s="7"/>
      <c r="I674" s="7"/>
      <c r="J674" s="7"/>
      <c r="K674" s="7"/>
      <c r="L674" s="7"/>
      <c r="M674" s="7"/>
      <c r="N674" s="7"/>
      <c r="O674" s="7"/>
      <c r="P674" s="7" t="s">
        <v>304</v>
      </c>
      <c r="Q674" s="7" t="s">
        <v>62</v>
      </c>
      <c r="R674" s="7" t="s">
        <v>12077</v>
      </c>
      <c r="S674" s="7"/>
      <c r="T674" s="7" t="s">
        <v>187</v>
      </c>
      <c r="U674" s="7"/>
      <c r="V674" s="7" t="n">
        <v>9182944</v>
      </c>
      <c r="W674" s="7" t="n">
        <v>308</v>
      </c>
      <c r="X674" s="7" t="n">
        <v>313</v>
      </c>
      <c r="Y674" s="7" t="n">
        <v>5</v>
      </c>
      <c r="Z674" s="7" t="s">
        <v>12078</v>
      </c>
      <c r="AA674" s="9" t="s">
        <v>12079</v>
      </c>
      <c r="AB674" s="7" t="s">
        <v>12080</v>
      </c>
      <c r="AC674" s="7" t="s">
        <v>12081</v>
      </c>
      <c r="AD674" s="7" t="s">
        <v>12082</v>
      </c>
      <c r="AE674" s="7" t="s">
        <v>12083</v>
      </c>
      <c r="AF674" s="7"/>
      <c r="AG674" s="7"/>
      <c r="AH674" s="7"/>
      <c r="AI674" s="7"/>
      <c r="AJ674" s="10"/>
      <c r="AK674" s="7"/>
      <c r="AL674" s="7" t="s">
        <v>12084</v>
      </c>
      <c r="AM674" s="7"/>
      <c r="AN674" s="7"/>
      <c r="AO674" s="7"/>
      <c r="AP674" s="7" t="s">
        <v>12085</v>
      </c>
      <c r="AQ674" s="7" t="s">
        <v>12086</v>
      </c>
      <c r="AR674" s="7" t="s">
        <v>2584</v>
      </c>
      <c r="AS674" s="7" t="n">
        <v>162766</v>
      </c>
      <c r="AT674" s="7"/>
      <c r="AU674" s="7" t="s">
        <v>12087</v>
      </c>
      <c r="AV674" s="7"/>
      <c r="AW674" s="7"/>
      <c r="AX674" s="7" t="s">
        <v>10201</v>
      </c>
      <c r="AY674" s="7" t="s">
        <v>75</v>
      </c>
      <c r="AZ674" s="7"/>
      <c r="BA674" s="7" t="s">
        <v>76</v>
      </c>
      <c r="BB674" s="7" t="s">
        <v>12088</v>
      </c>
      <c r="BC674" s="7"/>
      <c r="BD674" s="7"/>
      <c r="BE674" s="7"/>
      <c r="BF674" s="7"/>
      <c r="BG674" s="7"/>
      <c r="BH674" s="7"/>
      <c r="BI674" s="7"/>
    </row>
    <row r="675" customFormat="false" ht="14.25" hidden="false" customHeight="true" outlineLevel="0" collapsed="false">
      <c r="A675" s="7" t="s">
        <v>12089</v>
      </c>
      <c r="B675" s="7" t="s">
        <v>12090</v>
      </c>
      <c r="C675" s="7" t="s">
        <v>12091</v>
      </c>
      <c r="D675" s="7" t="s">
        <v>12092</v>
      </c>
      <c r="E675" s="7" t="n">
        <v>2020</v>
      </c>
      <c r="F675" s="8" t="s">
        <v>12093</v>
      </c>
      <c r="G675" s="6" t="s">
        <v>134</v>
      </c>
      <c r="H675" s="7"/>
      <c r="I675" s="7"/>
      <c r="J675" s="7"/>
      <c r="K675" s="7"/>
      <c r="L675" s="7"/>
      <c r="M675" s="7"/>
      <c r="N675" s="7"/>
      <c r="O675" s="7"/>
      <c r="P675" s="7" t="s">
        <v>304</v>
      </c>
      <c r="Q675" s="7" t="s">
        <v>62</v>
      </c>
      <c r="R675" s="7" t="s">
        <v>305</v>
      </c>
      <c r="S675" s="7" t="s">
        <v>12094</v>
      </c>
      <c r="T675" s="7" t="s">
        <v>586</v>
      </c>
      <c r="U675" s="7"/>
      <c r="V675" s="7"/>
      <c r="W675" s="7" t="n">
        <v>118</v>
      </c>
      <c r="X675" s="7" t="n">
        <v>131</v>
      </c>
      <c r="Y675" s="7" t="n">
        <v>13</v>
      </c>
      <c r="Z675" s="7" t="s">
        <v>12095</v>
      </c>
      <c r="AA675" s="9" t="s">
        <v>12096</v>
      </c>
      <c r="AB675" s="7" t="s">
        <v>12097</v>
      </c>
      <c r="AC675" s="7" t="s">
        <v>12098</v>
      </c>
      <c r="AD675" s="7" t="s">
        <v>12099</v>
      </c>
      <c r="AE675" s="7" t="s">
        <v>12100</v>
      </c>
      <c r="AF675" s="7"/>
      <c r="AG675" s="7"/>
      <c r="AH675" s="7"/>
      <c r="AI675" s="7"/>
      <c r="AJ675" s="10"/>
      <c r="AK675" s="7"/>
      <c r="AL675" s="7" t="s">
        <v>12101</v>
      </c>
      <c r="AM675" s="7" t="s">
        <v>12102</v>
      </c>
      <c r="AN675" s="7" t="s">
        <v>12103</v>
      </c>
      <c r="AO675" s="7"/>
      <c r="AP675" s="7" t="s">
        <v>12104</v>
      </c>
      <c r="AQ675" s="7" t="s">
        <v>12105</v>
      </c>
      <c r="AR675" s="7" t="s">
        <v>12106</v>
      </c>
      <c r="AS675" s="7" t="n">
        <v>238449</v>
      </c>
      <c r="AT675" s="7" t="n">
        <v>18650929</v>
      </c>
      <c r="AU675" s="7" t="s">
        <v>12107</v>
      </c>
      <c r="AV675" s="7"/>
      <c r="AW675" s="7"/>
      <c r="AX675" s="7" t="s">
        <v>321</v>
      </c>
      <c r="AY675" s="7" t="s">
        <v>75</v>
      </c>
      <c r="AZ675" s="7"/>
      <c r="BA675" s="7" t="s">
        <v>76</v>
      </c>
      <c r="BB675" s="7" t="s">
        <v>12108</v>
      </c>
      <c r="BC675" s="7"/>
      <c r="BD675" s="7"/>
      <c r="BE675" s="7"/>
      <c r="BF675" s="7"/>
      <c r="BG675" s="7"/>
      <c r="BH675" s="7"/>
      <c r="BI675" s="7"/>
    </row>
    <row r="676" customFormat="false" ht="14.25" hidden="false" customHeight="true" outlineLevel="0" collapsed="false">
      <c r="A676" s="7" t="s">
        <v>12109</v>
      </c>
      <c r="B676" s="7" t="s">
        <v>12110</v>
      </c>
      <c r="C676" s="7" t="s">
        <v>12111</v>
      </c>
      <c r="D676" s="7" t="s">
        <v>12112</v>
      </c>
      <c r="E676" s="7" t="n">
        <v>2020</v>
      </c>
      <c r="F676" s="8" t="s">
        <v>12113</v>
      </c>
      <c r="G676" s="6" t="s">
        <v>134</v>
      </c>
      <c r="H676" s="7"/>
      <c r="I676" s="7"/>
      <c r="J676" s="7"/>
      <c r="K676" s="7"/>
      <c r="L676" s="7"/>
      <c r="M676" s="7"/>
      <c r="N676" s="7"/>
      <c r="O676" s="7"/>
      <c r="P676" s="7" t="s">
        <v>304</v>
      </c>
      <c r="Q676" s="7" t="s">
        <v>62</v>
      </c>
      <c r="R676" s="7" t="s">
        <v>10318</v>
      </c>
      <c r="S676" s="12" t="n">
        <v>44105</v>
      </c>
      <c r="T676" s="7" t="s">
        <v>187</v>
      </c>
      <c r="U676" s="7"/>
      <c r="V676" s="7" t="n">
        <v>9425273</v>
      </c>
      <c r="W676" s="7"/>
      <c r="X676" s="7"/>
      <c r="Y676" s="7"/>
      <c r="Z676" s="7" t="s">
        <v>12114</v>
      </c>
      <c r="AA676" s="9" t="s">
        <v>12115</v>
      </c>
      <c r="AB676" s="7" t="s">
        <v>12116</v>
      </c>
      <c r="AC676" s="7" t="s">
        <v>12117</v>
      </c>
      <c r="AD676" s="7" t="s">
        <v>12118</v>
      </c>
      <c r="AE676" s="7" t="s">
        <v>12119</v>
      </c>
      <c r="AF676" s="7"/>
      <c r="AG676" s="7"/>
      <c r="AH676" s="7"/>
      <c r="AI676" s="7"/>
      <c r="AJ676" s="10"/>
      <c r="AK676" s="7"/>
      <c r="AL676" s="7" t="s">
        <v>12120</v>
      </c>
      <c r="AM676" s="7"/>
      <c r="AN676" s="7"/>
      <c r="AO676" s="7"/>
      <c r="AP676" s="7" t="s">
        <v>11724</v>
      </c>
      <c r="AQ676" s="7" t="s">
        <v>11725</v>
      </c>
      <c r="AR676" s="7" t="s">
        <v>10330</v>
      </c>
      <c r="AS676" s="7" t="n">
        <v>168873</v>
      </c>
      <c r="AT676" s="7" t="n">
        <v>21642516</v>
      </c>
      <c r="AU676" s="7" t="s">
        <v>11726</v>
      </c>
      <c r="AV676" s="7"/>
      <c r="AW676" s="7"/>
      <c r="AX676" s="7" t="s">
        <v>10332</v>
      </c>
      <c r="AY676" s="7" t="s">
        <v>75</v>
      </c>
      <c r="AZ676" s="7"/>
      <c r="BA676" s="7" t="s">
        <v>76</v>
      </c>
      <c r="BB676" s="7" t="s">
        <v>12121</v>
      </c>
      <c r="BC676" s="7"/>
      <c r="BD676" s="7"/>
      <c r="BE676" s="7"/>
      <c r="BF676" s="7"/>
      <c r="BG676" s="7"/>
      <c r="BH676" s="7"/>
      <c r="BI676" s="7"/>
    </row>
    <row r="677" customFormat="false" ht="14.25" hidden="false" customHeight="true" outlineLevel="0" collapsed="false">
      <c r="A677" s="7" t="s">
        <v>12122</v>
      </c>
      <c r="B677" s="7" t="s">
        <v>12123</v>
      </c>
      <c r="C677" s="7" t="s">
        <v>12124</v>
      </c>
      <c r="D677" s="7" t="s">
        <v>12125</v>
      </c>
      <c r="E677" s="7" t="n">
        <v>2020</v>
      </c>
      <c r="F677" s="8" t="s">
        <v>12126</v>
      </c>
      <c r="G677" s="6" t="s">
        <v>134</v>
      </c>
      <c r="H677" s="7"/>
      <c r="I677" s="7"/>
      <c r="J677" s="7"/>
      <c r="K677" s="7"/>
      <c r="L677" s="7"/>
      <c r="M677" s="7"/>
      <c r="N677" s="7"/>
      <c r="O677" s="7"/>
      <c r="P677" s="7" t="s">
        <v>304</v>
      </c>
      <c r="Q677" s="7" t="s">
        <v>62</v>
      </c>
      <c r="R677" s="7" t="s">
        <v>11912</v>
      </c>
      <c r="S677" s="12" t="n">
        <v>44136</v>
      </c>
      <c r="T677" s="7" t="s">
        <v>187</v>
      </c>
      <c r="U677" s="7"/>
      <c r="V677" s="7" t="n">
        <v>9293753</v>
      </c>
      <c r="W677" s="7" t="n">
        <v>241</v>
      </c>
      <c r="X677" s="7" t="n">
        <v>246</v>
      </c>
      <c r="Y677" s="7" t="n">
        <v>5</v>
      </c>
      <c r="Z677" s="7" t="s">
        <v>12127</v>
      </c>
      <c r="AA677" s="9" t="s">
        <v>12128</v>
      </c>
      <c r="AB677" s="7" t="s">
        <v>12129</v>
      </c>
      <c r="AC677" s="7" t="s">
        <v>12130</v>
      </c>
      <c r="AD677" s="7" t="s">
        <v>12131</v>
      </c>
      <c r="AE677" s="7" t="s">
        <v>12132</v>
      </c>
      <c r="AF677" s="7"/>
      <c r="AG677" s="7"/>
      <c r="AH677" s="7"/>
      <c r="AI677" s="7"/>
      <c r="AJ677" s="10"/>
      <c r="AK677" s="7"/>
      <c r="AL677" s="7" t="s">
        <v>12133</v>
      </c>
      <c r="AM677" s="7"/>
      <c r="AN677" s="7"/>
      <c r="AO677" s="7" t="s">
        <v>11920</v>
      </c>
      <c r="AP677" s="7" t="s">
        <v>11921</v>
      </c>
      <c r="AQ677" s="7" t="s">
        <v>11922</v>
      </c>
      <c r="AR677" s="7" t="s">
        <v>11923</v>
      </c>
      <c r="AS677" s="7" t="n">
        <v>166041</v>
      </c>
      <c r="AT677" s="7" t="n">
        <v>21593442</v>
      </c>
      <c r="AU677" s="7" t="s">
        <v>11924</v>
      </c>
      <c r="AV677" s="7" t="s">
        <v>11925</v>
      </c>
      <c r="AW677" s="7"/>
      <c r="AX677" s="7" t="s">
        <v>11926</v>
      </c>
      <c r="AY677" s="7" t="s">
        <v>75</v>
      </c>
      <c r="AZ677" s="7"/>
      <c r="BA677" s="7" t="s">
        <v>76</v>
      </c>
      <c r="BB677" s="7" t="s">
        <v>12134</v>
      </c>
      <c r="BC677" s="7"/>
      <c r="BD677" s="7"/>
      <c r="BE677" s="7"/>
      <c r="BF677" s="7"/>
      <c r="BG677" s="7"/>
      <c r="BH677" s="7"/>
      <c r="BI677" s="7"/>
    </row>
    <row r="678" customFormat="false" ht="14.25" hidden="false" customHeight="true" outlineLevel="0" collapsed="false">
      <c r="A678" s="7" t="s">
        <v>12135</v>
      </c>
      <c r="B678" s="7" t="s">
        <v>12136</v>
      </c>
      <c r="C678" s="7" t="s">
        <v>12137</v>
      </c>
      <c r="D678" s="7" t="s">
        <v>12138</v>
      </c>
      <c r="E678" s="7" t="n">
        <v>2020</v>
      </c>
      <c r="F678" s="8" t="s">
        <v>12139</v>
      </c>
      <c r="G678" s="6" t="s">
        <v>3714</v>
      </c>
      <c r="H678" s="7"/>
      <c r="I678" s="7"/>
      <c r="J678" s="7"/>
      <c r="K678" s="7"/>
      <c r="L678" s="7"/>
      <c r="M678" s="7"/>
      <c r="N678" s="7"/>
      <c r="O678" s="7"/>
      <c r="P678" s="7" t="s">
        <v>304</v>
      </c>
      <c r="Q678" s="7" t="s">
        <v>62</v>
      </c>
      <c r="R678" s="7" t="s">
        <v>12140</v>
      </c>
      <c r="S678" s="12" t="n">
        <v>44166</v>
      </c>
      <c r="T678" s="7" t="s">
        <v>187</v>
      </c>
      <c r="U678" s="7"/>
      <c r="V678" s="7" t="n">
        <v>9357035</v>
      </c>
      <c r="W678" s="7"/>
      <c r="X678" s="7"/>
      <c r="Y678" s="7"/>
      <c r="Z678" s="7" t="s">
        <v>12141</v>
      </c>
      <c r="AA678" s="9" t="s">
        <v>12142</v>
      </c>
      <c r="AB678" s="7" t="s">
        <v>12143</v>
      </c>
      <c r="AC678" s="7" t="s">
        <v>12144</v>
      </c>
      <c r="AD678" s="7" t="s">
        <v>12145</v>
      </c>
      <c r="AE678" s="7" t="s">
        <v>12146</v>
      </c>
      <c r="AF678" s="7"/>
      <c r="AG678" s="7"/>
      <c r="AH678" s="7"/>
      <c r="AI678" s="7"/>
      <c r="AJ678" s="10"/>
      <c r="AK678" s="7"/>
      <c r="AL678" s="7" t="s">
        <v>12147</v>
      </c>
      <c r="AM678" s="7"/>
      <c r="AN678" s="7"/>
      <c r="AO678" s="7"/>
      <c r="AP678" s="7" t="s">
        <v>12148</v>
      </c>
      <c r="AQ678" s="7" t="s">
        <v>12149</v>
      </c>
      <c r="AR678" s="7" t="s">
        <v>12150</v>
      </c>
      <c r="AS678" s="7" t="n">
        <v>167396</v>
      </c>
      <c r="AT678" s="7" t="n">
        <v>25727621</v>
      </c>
      <c r="AU678" s="7" t="s">
        <v>12151</v>
      </c>
      <c r="AV678" s="7"/>
      <c r="AW678" s="7"/>
      <c r="AX678" s="7" t="s">
        <v>12152</v>
      </c>
      <c r="AY678" s="7" t="s">
        <v>75</v>
      </c>
      <c r="AZ678" s="7"/>
      <c r="BA678" s="7" t="s">
        <v>76</v>
      </c>
      <c r="BB678" s="7" t="s">
        <v>12153</v>
      </c>
      <c r="BC678" s="7"/>
      <c r="BD678" s="7"/>
      <c r="BE678" s="7"/>
      <c r="BF678" s="7"/>
      <c r="BG678" s="7"/>
      <c r="BH678" s="7"/>
      <c r="BI678" s="7"/>
    </row>
    <row r="679" customFormat="false" ht="14.25" hidden="false" customHeight="true" outlineLevel="0" collapsed="false">
      <c r="A679" s="7" t="s">
        <v>12154</v>
      </c>
      <c r="B679" s="7" t="s">
        <v>12155</v>
      </c>
      <c r="C679" s="7" t="s">
        <v>12156</v>
      </c>
      <c r="D679" s="7" t="s">
        <v>12157</v>
      </c>
      <c r="E679" s="7" t="n">
        <v>2020</v>
      </c>
      <c r="F679" s="8" t="s">
        <v>12158</v>
      </c>
      <c r="G679" s="6" t="s">
        <v>134</v>
      </c>
      <c r="H679" s="7"/>
      <c r="I679" s="7"/>
      <c r="J679" s="7"/>
      <c r="K679" s="7"/>
      <c r="L679" s="7"/>
      <c r="M679" s="7"/>
      <c r="N679" s="7"/>
      <c r="O679" s="7"/>
      <c r="P679" s="7" t="s">
        <v>304</v>
      </c>
      <c r="Q679" s="7" t="s">
        <v>62</v>
      </c>
      <c r="R679" s="7" t="s">
        <v>3162</v>
      </c>
      <c r="S679" s="7" t="n">
        <v>11330</v>
      </c>
      <c r="T679" s="7" t="s">
        <v>3163</v>
      </c>
      <c r="U679" s="7"/>
      <c r="V679" s="7" t="n">
        <v>1133019</v>
      </c>
      <c r="W679" s="7"/>
      <c r="X679" s="7"/>
      <c r="Y679" s="7"/>
      <c r="Z679" s="7" t="s">
        <v>12159</v>
      </c>
      <c r="AA679" s="9" t="s">
        <v>12160</v>
      </c>
      <c r="AB679" s="7" t="s">
        <v>12161</v>
      </c>
      <c r="AC679" s="7" t="s">
        <v>12162</v>
      </c>
      <c r="AD679" s="7" t="s">
        <v>12163</v>
      </c>
      <c r="AE679" s="7" t="s">
        <v>12164</v>
      </c>
      <c r="AF679" s="7"/>
      <c r="AG679" s="7"/>
      <c r="AH679" s="7"/>
      <c r="AI679" s="7"/>
      <c r="AJ679" s="10" t="s">
        <v>12165</v>
      </c>
      <c r="AK679" s="7" t="s">
        <v>12166</v>
      </c>
      <c r="AL679" s="7" t="s">
        <v>12167</v>
      </c>
      <c r="AM679" s="7" t="s">
        <v>12168</v>
      </c>
      <c r="AN679" s="7" t="s">
        <v>12169</v>
      </c>
      <c r="AO679" s="7" t="s">
        <v>12170</v>
      </c>
      <c r="AP679" s="7" t="s">
        <v>12171</v>
      </c>
      <c r="AQ679" s="7" t="s">
        <v>12172</v>
      </c>
      <c r="AR679" s="7" t="s">
        <v>12173</v>
      </c>
      <c r="AS679" s="7" t="n">
        <v>157914</v>
      </c>
      <c r="AT679" s="7" t="s">
        <v>3177</v>
      </c>
      <c r="AU679" s="7" t="s">
        <v>12174</v>
      </c>
      <c r="AV679" s="7" t="s">
        <v>3179</v>
      </c>
      <c r="AW679" s="7"/>
      <c r="AX679" s="7" t="s">
        <v>3180</v>
      </c>
      <c r="AY679" s="7" t="s">
        <v>75</v>
      </c>
      <c r="AZ679" s="7"/>
      <c r="BA679" s="7" t="s">
        <v>76</v>
      </c>
      <c r="BB679" s="7" t="s">
        <v>12175</v>
      </c>
      <c r="BC679" s="7"/>
      <c r="BD679" s="7"/>
      <c r="BE679" s="7"/>
      <c r="BF679" s="7"/>
      <c r="BG679" s="7"/>
      <c r="BH679" s="7"/>
      <c r="BI679" s="7"/>
    </row>
    <row r="680" customFormat="false" ht="14.25" hidden="false" customHeight="true" outlineLevel="0" collapsed="false">
      <c r="A680" s="7" t="s">
        <v>12176</v>
      </c>
      <c r="B680" s="7" t="s">
        <v>12177</v>
      </c>
      <c r="C680" s="7" t="s">
        <v>12178</v>
      </c>
      <c r="D680" s="7" t="s">
        <v>12179</v>
      </c>
      <c r="E680" s="7" t="n">
        <v>2020</v>
      </c>
      <c r="F680" s="8" t="s">
        <v>12180</v>
      </c>
      <c r="G680" s="6" t="s">
        <v>134</v>
      </c>
      <c r="H680" s="7"/>
      <c r="I680" s="7"/>
      <c r="J680" s="7"/>
      <c r="K680" s="7"/>
      <c r="L680" s="7"/>
      <c r="M680" s="7"/>
      <c r="N680" s="7"/>
      <c r="O680" s="7"/>
      <c r="P680" s="7" t="s">
        <v>304</v>
      </c>
      <c r="Q680" s="7" t="s">
        <v>62</v>
      </c>
      <c r="R680" s="7" t="s">
        <v>12181</v>
      </c>
      <c r="S680" s="7"/>
      <c r="T680" s="7" t="s">
        <v>187</v>
      </c>
      <c r="U680" s="7"/>
      <c r="V680" s="7" t="n">
        <v>9487603</v>
      </c>
      <c r="W680" s="7" t="n">
        <v>55</v>
      </c>
      <c r="X680" s="7" t="n">
        <v>59</v>
      </c>
      <c r="Y680" s="7" t="n">
        <v>4</v>
      </c>
      <c r="Z680" s="7" t="s">
        <v>12182</v>
      </c>
      <c r="AA680" s="9" t="s">
        <v>12183</v>
      </c>
      <c r="AB680" s="7" t="s">
        <v>12184</v>
      </c>
      <c r="AC680" s="7" t="s">
        <v>12185</v>
      </c>
      <c r="AD680" s="7" t="s">
        <v>12186</v>
      </c>
      <c r="AE680" s="7" t="s">
        <v>12187</v>
      </c>
      <c r="AF680" s="7"/>
      <c r="AG680" s="7"/>
      <c r="AH680" s="7"/>
      <c r="AI680" s="7"/>
      <c r="AJ680" s="10" t="s">
        <v>12188</v>
      </c>
      <c r="AK680" s="7" t="s">
        <v>12189</v>
      </c>
      <c r="AL680" s="7" t="s">
        <v>12190</v>
      </c>
      <c r="AM680" s="7"/>
      <c r="AN680" s="7"/>
      <c r="AO680" s="7" t="s">
        <v>2241</v>
      </c>
      <c r="AP680" s="7" t="s">
        <v>12191</v>
      </c>
      <c r="AQ680" s="7" t="s">
        <v>12192</v>
      </c>
      <c r="AR680" s="7" t="s">
        <v>2976</v>
      </c>
      <c r="AS680" s="7" t="n">
        <v>170641</v>
      </c>
      <c r="AT680" s="7"/>
      <c r="AU680" s="7" t="s">
        <v>12193</v>
      </c>
      <c r="AV680" s="7"/>
      <c r="AW680" s="7"/>
      <c r="AX680" s="7" t="s">
        <v>12194</v>
      </c>
      <c r="AY680" s="7" t="s">
        <v>75</v>
      </c>
      <c r="AZ680" s="7"/>
      <c r="BA680" s="7" t="s">
        <v>76</v>
      </c>
      <c r="BB680" s="7" t="s">
        <v>12195</v>
      </c>
      <c r="BC680" s="7"/>
      <c r="BD680" s="7"/>
      <c r="BE680" s="7"/>
      <c r="BF680" s="7"/>
      <c r="BG680" s="7"/>
      <c r="BH680" s="7"/>
      <c r="BI680" s="7"/>
    </row>
    <row r="681" customFormat="false" ht="14.25" hidden="false" customHeight="true" outlineLevel="0" collapsed="false">
      <c r="A681" s="7" t="s">
        <v>12196</v>
      </c>
      <c r="B681" s="7" t="s">
        <v>12197</v>
      </c>
      <c r="C681" s="7" t="s">
        <v>12198</v>
      </c>
      <c r="D681" s="7" t="s">
        <v>12199</v>
      </c>
      <c r="E681" s="7" t="n">
        <v>2020</v>
      </c>
      <c r="F681" s="8" t="s">
        <v>12200</v>
      </c>
      <c r="G681" s="6" t="s">
        <v>134</v>
      </c>
      <c r="H681" s="7"/>
      <c r="I681" s="7"/>
      <c r="J681" s="7"/>
      <c r="K681" s="7"/>
      <c r="L681" s="7"/>
      <c r="M681" s="7"/>
      <c r="N681" s="7"/>
      <c r="O681" s="7"/>
      <c r="P681" s="7" t="s">
        <v>304</v>
      </c>
      <c r="Q681" s="7" t="s">
        <v>62</v>
      </c>
      <c r="R681" s="7" t="s">
        <v>2751</v>
      </c>
      <c r="S681" s="7" t="s">
        <v>12201</v>
      </c>
      <c r="T681" s="7" t="s">
        <v>307</v>
      </c>
      <c r="U681" s="7"/>
      <c r="V681" s="7"/>
      <c r="W681" s="7" t="n">
        <v>428</v>
      </c>
      <c r="X681" s="7" t="n">
        <v>441</v>
      </c>
      <c r="Y681" s="7" t="n">
        <v>13</v>
      </c>
      <c r="Z681" s="7" t="s">
        <v>12202</v>
      </c>
      <c r="AA681" s="9" t="s">
        <v>12203</v>
      </c>
      <c r="AB681" s="7" t="s">
        <v>12204</v>
      </c>
      <c r="AC681" s="7" t="s">
        <v>12205</v>
      </c>
      <c r="AD681" s="7" t="s">
        <v>12206</v>
      </c>
      <c r="AE681" s="7" t="s">
        <v>12207</v>
      </c>
      <c r="AF681" s="7"/>
      <c r="AG681" s="7"/>
      <c r="AH681" s="7"/>
      <c r="AI681" s="7"/>
      <c r="AJ681" s="10"/>
      <c r="AK681" s="7"/>
      <c r="AL681" s="7" t="s">
        <v>12208</v>
      </c>
      <c r="AM681" s="7" t="s">
        <v>12209</v>
      </c>
      <c r="AN681" s="7" t="s">
        <v>12210</v>
      </c>
      <c r="AO681" s="7"/>
      <c r="AP681" s="7" t="s">
        <v>12211</v>
      </c>
      <c r="AQ681" s="7" t="s">
        <v>12212</v>
      </c>
      <c r="AR681" s="7" t="s">
        <v>12213</v>
      </c>
      <c r="AS681" s="7" t="n">
        <v>249529</v>
      </c>
      <c r="AT681" s="7" t="n">
        <v>3029743</v>
      </c>
      <c r="AU681" s="7" t="s">
        <v>12214</v>
      </c>
      <c r="AV681" s="7"/>
      <c r="AW681" s="7"/>
      <c r="AX681" s="7" t="s">
        <v>2766</v>
      </c>
      <c r="AY681" s="7" t="s">
        <v>75</v>
      </c>
      <c r="AZ681" s="7"/>
      <c r="BA681" s="7" t="s">
        <v>76</v>
      </c>
      <c r="BB681" s="7" t="s">
        <v>12215</v>
      </c>
      <c r="BC681" s="7"/>
      <c r="BD681" s="7"/>
      <c r="BE681" s="7"/>
      <c r="BF681" s="7"/>
      <c r="BG681" s="7"/>
      <c r="BH681" s="7"/>
      <c r="BI681" s="7"/>
    </row>
    <row r="682" customFormat="false" ht="14.25" hidden="false" customHeight="true" outlineLevel="0" collapsed="false">
      <c r="A682" s="7" t="s">
        <v>12216</v>
      </c>
      <c r="B682" s="7" t="s">
        <v>12217</v>
      </c>
      <c r="C682" s="7" t="s">
        <v>12218</v>
      </c>
      <c r="D682" s="7" t="s">
        <v>12219</v>
      </c>
      <c r="E682" s="7" t="n">
        <v>2020</v>
      </c>
      <c r="F682" s="8" t="s">
        <v>12220</v>
      </c>
      <c r="G682" s="6" t="s">
        <v>134</v>
      </c>
      <c r="H682" s="7"/>
      <c r="I682" s="7"/>
      <c r="J682" s="7"/>
      <c r="K682" s="7"/>
      <c r="L682" s="7"/>
      <c r="M682" s="7"/>
      <c r="N682" s="7"/>
      <c r="O682" s="7"/>
      <c r="P682" s="7" t="s">
        <v>304</v>
      </c>
      <c r="Q682" s="7" t="s">
        <v>62</v>
      </c>
      <c r="R682" s="7" t="s">
        <v>12221</v>
      </c>
      <c r="S682" s="7"/>
      <c r="T682" s="7" t="s">
        <v>187</v>
      </c>
      <c r="U682" s="7"/>
      <c r="V682" s="7"/>
      <c r="W682" s="7"/>
      <c r="X682" s="7"/>
      <c r="Y682" s="7"/>
      <c r="Z682" s="7" t="s">
        <v>12222</v>
      </c>
      <c r="AA682" s="9" t="s">
        <v>12223</v>
      </c>
      <c r="AB682" s="7" t="s">
        <v>12224</v>
      </c>
      <c r="AC682" s="7" t="s">
        <v>12225</v>
      </c>
      <c r="AD682" s="7" t="s">
        <v>12226</v>
      </c>
      <c r="AE682" s="7" t="s">
        <v>12227</v>
      </c>
      <c r="AF682" s="7"/>
      <c r="AG682" s="7"/>
      <c r="AH682" s="7"/>
      <c r="AI682" s="7"/>
      <c r="AJ682" s="10"/>
      <c r="AK682" s="7"/>
      <c r="AL682" s="7" t="s">
        <v>12228</v>
      </c>
      <c r="AM682" s="7"/>
      <c r="AN682" s="7"/>
      <c r="AO682" s="7" t="s">
        <v>3090</v>
      </c>
      <c r="AP682" s="7" t="s">
        <v>12221</v>
      </c>
      <c r="AQ682" s="7" t="s">
        <v>12229</v>
      </c>
      <c r="AR682" s="7" t="s">
        <v>12230</v>
      </c>
      <c r="AS682" s="7" t="n">
        <v>178855</v>
      </c>
      <c r="AT682" s="7"/>
      <c r="AU682" s="7" t="s">
        <v>12231</v>
      </c>
      <c r="AV682" s="7"/>
      <c r="AW682" s="7"/>
      <c r="AX682" s="7" t="s">
        <v>12232</v>
      </c>
      <c r="AY682" s="7" t="s">
        <v>75</v>
      </c>
      <c r="AZ682" s="7"/>
      <c r="BA682" s="7" t="s">
        <v>76</v>
      </c>
      <c r="BB682" s="7" t="s">
        <v>12233</v>
      </c>
      <c r="BC682" s="7"/>
      <c r="BD682" s="7"/>
      <c r="BE682" s="7"/>
      <c r="BF682" s="7"/>
      <c r="BG682" s="7"/>
      <c r="BH682" s="7"/>
      <c r="BI682" s="7"/>
    </row>
    <row r="683" customFormat="false" ht="14.25" hidden="false" customHeight="true" outlineLevel="0" collapsed="false">
      <c r="A683" s="7" t="s">
        <v>12234</v>
      </c>
      <c r="B683" s="7" t="s">
        <v>12235</v>
      </c>
      <c r="C683" s="7" t="s">
        <v>12236</v>
      </c>
      <c r="D683" s="7" t="s">
        <v>12237</v>
      </c>
      <c r="E683" s="7" t="n">
        <v>2020</v>
      </c>
      <c r="F683" s="8" t="s">
        <v>12238</v>
      </c>
      <c r="G683" s="6" t="s">
        <v>1686</v>
      </c>
      <c r="H683" s="7"/>
      <c r="I683" s="7"/>
      <c r="J683" s="7"/>
      <c r="K683" s="7"/>
      <c r="L683" s="7"/>
      <c r="M683" s="7"/>
      <c r="N683" s="7"/>
      <c r="O683" s="7"/>
      <c r="P683" s="7" t="s">
        <v>304</v>
      </c>
      <c r="Q683" s="7" t="s">
        <v>62</v>
      </c>
      <c r="R683" s="7" t="s">
        <v>12181</v>
      </c>
      <c r="S683" s="7"/>
      <c r="T683" s="7" t="s">
        <v>187</v>
      </c>
      <c r="U683" s="7"/>
      <c r="V683" s="7" t="n">
        <v>9487632</v>
      </c>
      <c r="W683" s="7" t="n">
        <v>65</v>
      </c>
      <c r="X683" s="7" t="n">
        <v>70</v>
      </c>
      <c r="Y683" s="7" t="n">
        <v>5</v>
      </c>
      <c r="Z683" s="7" t="s">
        <v>12239</v>
      </c>
      <c r="AA683" s="9" t="s">
        <v>12240</v>
      </c>
      <c r="AB683" s="7" t="s">
        <v>12241</v>
      </c>
      <c r="AC683" s="7" t="s">
        <v>12242</v>
      </c>
      <c r="AD683" s="7" t="s">
        <v>12243</v>
      </c>
      <c r="AE683" s="7" t="s">
        <v>12244</v>
      </c>
      <c r="AF683" s="7"/>
      <c r="AG683" s="7"/>
      <c r="AH683" s="7"/>
      <c r="AI683" s="7"/>
      <c r="AJ683" s="10"/>
      <c r="AK683" s="7"/>
      <c r="AL683" s="7" t="s">
        <v>12245</v>
      </c>
      <c r="AM683" s="7"/>
      <c r="AN683" s="7"/>
      <c r="AO683" s="7" t="s">
        <v>2241</v>
      </c>
      <c r="AP683" s="7" t="s">
        <v>12191</v>
      </c>
      <c r="AQ683" s="7" t="s">
        <v>12192</v>
      </c>
      <c r="AR683" s="7" t="s">
        <v>2976</v>
      </c>
      <c r="AS683" s="7" t="n">
        <v>170641</v>
      </c>
      <c r="AT683" s="7"/>
      <c r="AU683" s="7" t="s">
        <v>12193</v>
      </c>
      <c r="AV683" s="7"/>
      <c r="AW683" s="7"/>
      <c r="AX683" s="7" t="s">
        <v>12194</v>
      </c>
      <c r="AY683" s="7" t="s">
        <v>75</v>
      </c>
      <c r="AZ683" s="7"/>
      <c r="BA683" s="7" t="s">
        <v>76</v>
      </c>
      <c r="BB683" s="7" t="s">
        <v>12246</v>
      </c>
      <c r="BC683" s="7"/>
      <c r="BD683" s="7"/>
      <c r="BE683" s="7"/>
      <c r="BF683" s="7"/>
      <c r="BG683" s="7"/>
      <c r="BH683" s="7"/>
      <c r="BI683" s="7"/>
    </row>
    <row r="684" customFormat="false" ht="14.25" hidden="false" customHeight="true" outlineLevel="0" collapsed="false">
      <c r="A684" s="7" t="s">
        <v>12247</v>
      </c>
      <c r="B684" s="7" t="s">
        <v>12248</v>
      </c>
      <c r="C684" s="7" t="s">
        <v>12249</v>
      </c>
      <c r="D684" s="7" t="s">
        <v>12250</v>
      </c>
      <c r="E684" s="7" t="n">
        <v>2020</v>
      </c>
      <c r="F684" s="8" t="s">
        <v>12251</v>
      </c>
      <c r="G684" s="6" t="s">
        <v>134</v>
      </c>
      <c r="H684" s="7"/>
      <c r="I684" s="7"/>
      <c r="J684" s="7"/>
      <c r="K684" s="7"/>
      <c r="L684" s="7"/>
      <c r="M684" s="7"/>
      <c r="N684" s="7"/>
      <c r="O684" s="7"/>
      <c r="P684" s="7" t="s">
        <v>304</v>
      </c>
      <c r="Q684" s="7" t="s">
        <v>62</v>
      </c>
      <c r="R684" s="7" t="s">
        <v>12252</v>
      </c>
      <c r="S684" s="12" t="n">
        <v>44044</v>
      </c>
      <c r="T684" s="7" t="s">
        <v>187</v>
      </c>
      <c r="U684" s="7"/>
      <c r="V684" s="7" t="n">
        <v>9184535</v>
      </c>
      <c r="W684" s="7" t="n">
        <v>566</v>
      </c>
      <c r="X684" s="7" t="n">
        <v>569</v>
      </c>
      <c r="Y684" s="7" t="n">
        <v>3</v>
      </c>
      <c r="Z684" s="7" t="s">
        <v>12253</v>
      </c>
      <c r="AA684" s="9" t="s">
        <v>12254</v>
      </c>
      <c r="AB684" s="7" t="s">
        <v>12255</v>
      </c>
      <c r="AC684" s="7" t="s">
        <v>12256</v>
      </c>
      <c r="AD684" s="7" t="s">
        <v>12257</v>
      </c>
      <c r="AE684" s="7" t="s">
        <v>12258</v>
      </c>
      <c r="AF684" s="7"/>
      <c r="AG684" s="7"/>
      <c r="AH684" s="7"/>
      <c r="AI684" s="7"/>
      <c r="AJ684" s="10" t="s">
        <v>12259</v>
      </c>
      <c r="AK684" s="7" t="s">
        <v>12260</v>
      </c>
      <c r="AL684" s="7" t="s">
        <v>12261</v>
      </c>
      <c r="AM684" s="7"/>
      <c r="AN684" s="7"/>
      <c r="AO684" s="7"/>
      <c r="AP684" s="7" t="s">
        <v>12262</v>
      </c>
      <c r="AQ684" s="7" t="s">
        <v>12263</v>
      </c>
      <c r="AR684" s="7" t="s">
        <v>12264</v>
      </c>
      <c r="AS684" s="7" t="n">
        <v>162801</v>
      </c>
      <c r="AT684" s="7" t="n">
        <v>15483746</v>
      </c>
      <c r="AU684" s="7" t="s">
        <v>12265</v>
      </c>
      <c r="AV684" s="7" t="s">
        <v>12266</v>
      </c>
      <c r="AW684" s="7"/>
      <c r="AX684" s="7" t="s">
        <v>12267</v>
      </c>
      <c r="AY684" s="7" t="s">
        <v>75</v>
      </c>
      <c r="AZ684" s="7"/>
      <c r="BA684" s="7" t="s">
        <v>76</v>
      </c>
      <c r="BB684" s="7" t="s">
        <v>12268</v>
      </c>
      <c r="BC684" s="7"/>
      <c r="BD684" s="7"/>
      <c r="BE684" s="7"/>
      <c r="BF684" s="7"/>
      <c r="BG684" s="7"/>
      <c r="BH684" s="7"/>
      <c r="BI684" s="7"/>
    </row>
    <row r="685" customFormat="false" ht="14.25" hidden="false" customHeight="true" outlineLevel="0" collapsed="false">
      <c r="A685" s="7" t="s">
        <v>12269</v>
      </c>
      <c r="B685" s="7" t="s">
        <v>12270</v>
      </c>
      <c r="C685" s="7" t="s">
        <v>12271</v>
      </c>
      <c r="D685" s="7" t="s">
        <v>12272</v>
      </c>
      <c r="E685" s="7" t="n">
        <v>2020</v>
      </c>
      <c r="F685" s="8" t="s">
        <v>12273</v>
      </c>
      <c r="G685" s="6" t="s">
        <v>149</v>
      </c>
      <c r="H685" s="7"/>
      <c r="I685" s="7"/>
      <c r="J685" s="7"/>
      <c r="K685" s="7"/>
      <c r="L685" s="7"/>
      <c r="M685" s="7"/>
      <c r="N685" s="7"/>
      <c r="O685" s="7"/>
      <c r="P685" s="7" t="s">
        <v>304</v>
      </c>
      <c r="Q685" s="7" t="s">
        <v>62</v>
      </c>
      <c r="R685" s="7" t="s">
        <v>12274</v>
      </c>
      <c r="S685" s="7"/>
      <c r="T685" s="7" t="s">
        <v>187</v>
      </c>
      <c r="U685" s="7"/>
      <c r="V685" s="7" t="n">
        <v>9144009</v>
      </c>
      <c r="W685" s="7"/>
      <c r="X685" s="7"/>
      <c r="Y685" s="7"/>
      <c r="Z685" s="7"/>
      <c r="AA685" s="9" t="s">
        <v>12275</v>
      </c>
      <c r="AB685" s="7" t="s">
        <v>12276</v>
      </c>
      <c r="AC685" s="7" t="s">
        <v>12277</v>
      </c>
      <c r="AD685" s="7" t="s">
        <v>12278</v>
      </c>
      <c r="AE685" s="7" t="s">
        <v>12279</v>
      </c>
      <c r="AF685" s="7"/>
      <c r="AG685" s="7"/>
      <c r="AH685" s="7"/>
      <c r="AI685" s="7"/>
      <c r="AJ685" s="10"/>
      <c r="AK685" s="7"/>
      <c r="AL685" s="7" t="s">
        <v>12280</v>
      </c>
      <c r="AM685" s="7" t="s">
        <v>12281</v>
      </c>
      <c r="AN685" s="7"/>
      <c r="AO685" s="7"/>
      <c r="AP685" s="7" t="s">
        <v>12274</v>
      </c>
      <c r="AQ685" s="7" t="s">
        <v>12282</v>
      </c>
      <c r="AR685" s="7" t="s">
        <v>5337</v>
      </c>
      <c r="AS685" s="7" t="n">
        <v>161947</v>
      </c>
      <c r="AT685" s="7"/>
      <c r="AU685" s="7" t="s">
        <v>12283</v>
      </c>
      <c r="AV685" s="7"/>
      <c r="AW685" s="7"/>
      <c r="AX685" s="7" t="s">
        <v>12284</v>
      </c>
      <c r="AY685" s="7" t="s">
        <v>75</v>
      </c>
      <c r="AZ685" s="7"/>
      <c r="BA685" s="7" t="s">
        <v>76</v>
      </c>
      <c r="BB685" s="7" t="s">
        <v>12285</v>
      </c>
      <c r="BC685" s="7"/>
      <c r="BD685" s="7"/>
      <c r="BE685" s="7"/>
      <c r="BF685" s="7"/>
      <c r="BG685" s="7"/>
      <c r="BH685" s="7"/>
      <c r="BI685" s="7"/>
    </row>
    <row r="686" customFormat="false" ht="14.25" hidden="false" customHeight="true" outlineLevel="0" collapsed="false">
      <c r="A686" s="7" t="s">
        <v>12286</v>
      </c>
      <c r="B686" s="7" t="s">
        <v>12287</v>
      </c>
      <c r="C686" s="7" t="s">
        <v>12288</v>
      </c>
      <c r="D686" s="7" t="s">
        <v>12289</v>
      </c>
      <c r="E686" s="7" t="n">
        <v>2020</v>
      </c>
      <c r="F686" s="8" t="s">
        <v>12290</v>
      </c>
      <c r="G686" s="6" t="s">
        <v>149</v>
      </c>
      <c r="H686" s="7"/>
      <c r="I686" s="7"/>
      <c r="J686" s="7"/>
      <c r="K686" s="7"/>
      <c r="L686" s="7"/>
      <c r="M686" s="7"/>
      <c r="N686" s="7"/>
      <c r="O686" s="7"/>
      <c r="P686" s="7" t="s">
        <v>304</v>
      </c>
      <c r="Q686" s="7" t="s">
        <v>62</v>
      </c>
      <c r="R686" s="7" t="s">
        <v>305</v>
      </c>
      <c r="S686" s="7" t="n">
        <v>1309</v>
      </c>
      <c r="T686" s="7" t="s">
        <v>307</v>
      </c>
      <c r="U686" s="7"/>
      <c r="V686" s="7"/>
      <c r="W686" s="7" t="n">
        <v>43</v>
      </c>
      <c r="X686" s="7" t="n">
        <v>57</v>
      </c>
      <c r="Y686" s="7" t="n">
        <v>14</v>
      </c>
      <c r="Z686" s="7" t="s">
        <v>12291</v>
      </c>
      <c r="AA686" s="9" t="s">
        <v>12292</v>
      </c>
      <c r="AB686" s="7" t="s">
        <v>12293</v>
      </c>
      <c r="AC686" s="7" t="s">
        <v>12294</v>
      </c>
      <c r="AD686" s="7" t="s">
        <v>12295</v>
      </c>
      <c r="AE686" s="7" t="s">
        <v>12296</v>
      </c>
      <c r="AF686" s="7"/>
      <c r="AG686" s="7"/>
      <c r="AH686" s="7"/>
      <c r="AI686" s="7"/>
      <c r="AJ686" s="10" t="s">
        <v>12297</v>
      </c>
      <c r="AK686" s="7" t="s">
        <v>12298</v>
      </c>
      <c r="AL686" s="7" t="s">
        <v>12299</v>
      </c>
      <c r="AM686" s="7" t="s">
        <v>12300</v>
      </c>
      <c r="AN686" s="7" t="s">
        <v>12301</v>
      </c>
      <c r="AO686" s="7"/>
      <c r="AP686" s="7" t="s">
        <v>12302</v>
      </c>
      <c r="AQ686" s="7" t="s">
        <v>11760</v>
      </c>
      <c r="AR686" s="7" t="s">
        <v>11884</v>
      </c>
      <c r="AS686" s="7" t="n">
        <v>250949</v>
      </c>
      <c r="AT686" s="7" t="n">
        <v>18650929</v>
      </c>
      <c r="AU686" s="7" t="s">
        <v>12303</v>
      </c>
      <c r="AV686" s="7"/>
      <c r="AW686" s="7"/>
      <c r="AX686" s="7" t="s">
        <v>321</v>
      </c>
      <c r="AY686" s="7" t="s">
        <v>75</v>
      </c>
      <c r="AZ686" s="7"/>
      <c r="BA686" s="7" t="s">
        <v>76</v>
      </c>
      <c r="BB686" s="7" t="s">
        <v>12304</v>
      </c>
      <c r="BC686" s="7"/>
      <c r="BD686" s="7"/>
      <c r="BE686" s="7"/>
      <c r="BF686" s="7"/>
      <c r="BG686" s="7"/>
      <c r="BH686" s="7"/>
      <c r="BI686" s="7"/>
    </row>
    <row r="687" customFormat="false" ht="14.25" hidden="false" customHeight="true" outlineLevel="0" collapsed="false">
      <c r="A687" s="7" t="s">
        <v>12305</v>
      </c>
      <c r="B687" s="7" t="s">
        <v>12306</v>
      </c>
      <c r="C687" s="7" t="s">
        <v>12307</v>
      </c>
      <c r="D687" s="7" t="s">
        <v>12308</v>
      </c>
      <c r="E687" s="7" t="n">
        <v>2020</v>
      </c>
      <c r="F687" s="8" t="s">
        <v>12309</v>
      </c>
      <c r="G687" s="6" t="s">
        <v>134</v>
      </c>
      <c r="H687" s="7"/>
      <c r="I687" s="7"/>
      <c r="J687" s="7"/>
      <c r="K687" s="7"/>
      <c r="L687" s="7"/>
      <c r="M687" s="7"/>
      <c r="N687" s="7"/>
      <c r="O687" s="7"/>
      <c r="P687" s="7" t="s">
        <v>304</v>
      </c>
      <c r="Q687" s="7" t="s">
        <v>62</v>
      </c>
      <c r="R687" s="7" t="s">
        <v>12310</v>
      </c>
      <c r="S687" s="7"/>
      <c r="T687" s="7" t="s">
        <v>187</v>
      </c>
      <c r="U687" s="7"/>
      <c r="V687" s="7" t="n">
        <v>9376417</v>
      </c>
      <c r="W687" s="7"/>
      <c r="X687" s="7"/>
      <c r="Y687" s="7"/>
      <c r="Z687" s="7" t="s">
        <v>12311</v>
      </c>
      <c r="AA687" s="9" t="s">
        <v>12312</v>
      </c>
      <c r="AB687" s="7" t="s">
        <v>12313</v>
      </c>
      <c r="AC687" s="7" t="s">
        <v>12314</v>
      </c>
      <c r="AD687" s="7" t="s">
        <v>12315</v>
      </c>
      <c r="AE687" s="7" t="s">
        <v>12316</v>
      </c>
      <c r="AF687" s="7"/>
      <c r="AG687" s="7"/>
      <c r="AH687" s="7"/>
      <c r="AI687" s="7"/>
      <c r="AJ687" s="10"/>
      <c r="AK687" s="7"/>
      <c r="AL687" s="7" t="s">
        <v>12317</v>
      </c>
      <c r="AM687" s="7"/>
      <c r="AN687" s="7"/>
      <c r="AO687" s="7"/>
      <c r="AP687" s="7" t="s">
        <v>12310</v>
      </c>
      <c r="AQ687" s="7" t="s">
        <v>12318</v>
      </c>
      <c r="AR687" s="7" t="s">
        <v>12319</v>
      </c>
      <c r="AS687" s="7" t="n">
        <v>167936</v>
      </c>
      <c r="AT687" s="7"/>
      <c r="AU687" s="7" t="s">
        <v>12320</v>
      </c>
      <c r="AV687" s="7"/>
      <c r="AW687" s="7"/>
      <c r="AX687" s="7" t="s">
        <v>12321</v>
      </c>
      <c r="AY687" s="7" t="s">
        <v>75</v>
      </c>
      <c r="AZ687" s="7" t="s">
        <v>409</v>
      </c>
      <c r="BA687" s="7" t="s">
        <v>76</v>
      </c>
      <c r="BB687" s="7" t="s">
        <v>12322</v>
      </c>
      <c r="BC687" s="7"/>
      <c r="BD687" s="7"/>
      <c r="BE687" s="7"/>
      <c r="BF687" s="7"/>
      <c r="BG687" s="7"/>
      <c r="BH687" s="7"/>
      <c r="BI687" s="7"/>
    </row>
    <row r="688" customFormat="false" ht="14.25" hidden="false" customHeight="true" outlineLevel="0" collapsed="false">
      <c r="A688" s="7" t="s">
        <v>12323</v>
      </c>
      <c r="B688" s="7" t="s">
        <v>12324</v>
      </c>
      <c r="C688" s="7" t="s">
        <v>12325</v>
      </c>
      <c r="D688" s="7" t="s">
        <v>12326</v>
      </c>
      <c r="E688" s="7" t="n">
        <v>2020</v>
      </c>
      <c r="F688" s="8" t="s">
        <v>12327</v>
      </c>
      <c r="G688" s="6" t="s">
        <v>134</v>
      </c>
      <c r="H688" s="7"/>
      <c r="I688" s="7"/>
      <c r="J688" s="7"/>
      <c r="K688" s="7"/>
      <c r="L688" s="7"/>
      <c r="M688" s="7"/>
      <c r="N688" s="7"/>
      <c r="O688" s="7"/>
      <c r="P688" s="7" t="s">
        <v>304</v>
      </c>
      <c r="Q688" s="7" t="s">
        <v>62</v>
      </c>
      <c r="R688" s="7" t="s">
        <v>12328</v>
      </c>
      <c r="S688" s="7"/>
      <c r="T688" s="7" t="s">
        <v>187</v>
      </c>
      <c r="U688" s="7"/>
      <c r="V688" s="7" t="n">
        <v>9143023</v>
      </c>
      <c r="W688" s="7" t="n">
        <v>746</v>
      </c>
      <c r="X688" s="7" t="n">
        <v>750</v>
      </c>
      <c r="Y688" s="7" t="n">
        <v>4</v>
      </c>
      <c r="Z688" s="7" t="s">
        <v>12329</v>
      </c>
      <c r="AA688" s="9" t="s">
        <v>12330</v>
      </c>
      <c r="AB688" s="7" t="s">
        <v>12331</v>
      </c>
      <c r="AC688" s="7" t="s">
        <v>12332</v>
      </c>
      <c r="AD688" s="7" t="s">
        <v>12333</v>
      </c>
      <c r="AE688" s="7" t="s">
        <v>12334</v>
      </c>
      <c r="AF688" s="7"/>
      <c r="AG688" s="7"/>
      <c r="AH688" s="7"/>
      <c r="AI688" s="7"/>
      <c r="AJ688" s="10"/>
      <c r="AK688" s="7"/>
      <c r="AL688" s="7" t="s">
        <v>12335</v>
      </c>
      <c r="AM688" s="7"/>
      <c r="AN688" s="7"/>
      <c r="AO688" s="7"/>
      <c r="AP688" s="7" t="s">
        <v>12336</v>
      </c>
      <c r="AQ688" s="7" t="s">
        <v>11883</v>
      </c>
      <c r="AR688" s="7" t="s">
        <v>5316</v>
      </c>
      <c r="AS688" s="7" t="n">
        <v>161905</v>
      </c>
      <c r="AT688" s="7"/>
      <c r="AU688" s="7" t="s">
        <v>12337</v>
      </c>
      <c r="AV688" s="7"/>
      <c r="AW688" s="7"/>
      <c r="AX688" s="7" t="s">
        <v>12338</v>
      </c>
      <c r="AY688" s="7" t="s">
        <v>75</v>
      </c>
      <c r="AZ688" s="7"/>
      <c r="BA688" s="7" t="s">
        <v>76</v>
      </c>
      <c r="BB688" s="7" t="s">
        <v>12339</v>
      </c>
      <c r="BC688" s="7"/>
      <c r="BD688" s="7"/>
      <c r="BE688" s="7"/>
      <c r="BF688" s="7"/>
      <c r="BG688" s="7"/>
      <c r="BH688" s="7"/>
      <c r="BI688" s="7"/>
    </row>
    <row r="689" customFormat="false" ht="14.25" hidden="false" customHeight="true" outlineLevel="0" collapsed="false">
      <c r="A689" s="7" t="s">
        <v>12340</v>
      </c>
      <c r="B689" s="7" t="s">
        <v>12341</v>
      </c>
      <c r="C689" s="7" t="s">
        <v>12342</v>
      </c>
      <c r="D689" s="7" t="s">
        <v>12343</v>
      </c>
      <c r="E689" s="7" t="n">
        <v>2020</v>
      </c>
      <c r="F689" s="8" t="s">
        <v>12344</v>
      </c>
      <c r="G689" s="6" t="s">
        <v>134</v>
      </c>
      <c r="H689" s="7"/>
      <c r="I689" s="7"/>
      <c r="J689" s="7"/>
      <c r="K689" s="7"/>
      <c r="L689" s="7"/>
      <c r="M689" s="7"/>
      <c r="N689" s="7"/>
      <c r="O689" s="7"/>
      <c r="P689" s="7" t="s">
        <v>304</v>
      </c>
      <c r="Q689" s="7" t="s">
        <v>62</v>
      </c>
      <c r="R689" s="7" t="s">
        <v>12345</v>
      </c>
      <c r="S689" s="7"/>
      <c r="T689" s="7" t="s">
        <v>187</v>
      </c>
      <c r="U689" s="7"/>
      <c r="V689" s="7" t="n">
        <v>9121073</v>
      </c>
      <c r="W689" s="7" t="n">
        <v>984</v>
      </c>
      <c r="X689" s="7" t="n">
        <v>988</v>
      </c>
      <c r="Y689" s="7" t="n">
        <v>4</v>
      </c>
      <c r="Z689" s="7" t="s">
        <v>12346</v>
      </c>
      <c r="AA689" s="9" t="s">
        <v>12347</v>
      </c>
      <c r="AB689" s="7" t="s">
        <v>12348</v>
      </c>
      <c r="AC689" s="7" t="s">
        <v>12349</v>
      </c>
      <c r="AD689" s="7" t="s">
        <v>12350</v>
      </c>
      <c r="AE689" s="7" t="s">
        <v>12351</v>
      </c>
      <c r="AF689" s="7"/>
      <c r="AG689" s="7"/>
      <c r="AH689" s="7"/>
      <c r="AI689" s="7"/>
      <c r="AJ689" s="10"/>
      <c r="AK689" s="7"/>
      <c r="AL689" s="7" t="s">
        <v>12352</v>
      </c>
      <c r="AM689" s="7"/>
      <c r="AN689" s="7"/>
      <c r="AO689" s="7"/>
      <c r="AP689" s="7" t="s">
        <v>12353</v>
      </c>
      <c r="AQ689" s="7" t="s">
        <v>12354</v>
      </c>
      <c r="AR689" s="7" t="s">
        <v>6625</v>
      </c>
      <c r="AS689" s="7" t="n">
        <v>161336</v>
      </c>
      <c r="AT689" s="7"/>
      <c r="AU689" s="7" t="s">
        <v>12355</v>
      </c>
      <c r="AV689" s="7"/>
      <c r="AW689" s="7"/>
      <c r="AX689" s="7" t="s">
        <v>6627</v>
      </c>
      <c r="AY689" s="7" t="s">
        <v>75</v>
      </c>
      <c r="AZ689" s="7"/>
      <c r="BA689" s="7" t="s">
        <v>76</v>
      </c>
      <c r="BB689" s="7" t="s">
        <v>12356</v>
      </c>
      <c r="BC689" s="7"/>
      <c r="BD689" s="7"/>
      <c r="BE689" s="7"/>
      <c r="BF689" s="7"/>
      <c r="BG689" s="7"/>
      <c r="BH689" s="7"/>
      <c r="BI689" s="7"/>
    </row>
    <row r="690" customFormat="false" ht="14.25" hidden="false" customHeight="true" outlineLevel="0" collapsed="false">
      <c r="A690" s="7" t="s">
        <v>12357</v>
      </c>
      <c r="B690" s="7" t="s">
        <v>12358</v>
      </c>
      <c r="C690" s="7" t="s">
        <v>12359</v>
      </c>
      <c r="D690" s="7" t="s">
        <v>12360</v>
      </c>
      <c r="E690" s="7" t="n">
        <v>2020</v>
      </c>
      <c r="F690" s="8" t="s">
        <v>12361</v>
      </c>
      <c r="G690" s="6" t="s">
        <v>134</v>
      </c>
      <c r="H690" s="7"/>
      <c r="I690" s="7"/>
      <c r="J690" s="7"/>
      <c r="K690" s="7"/>
      <c r="L690" s="7"/>
      <c r="M690" s="7"/>
      <c r="N690" s="7"/>
      <c r="O690" s="7"/>
      <c r="P690" s="7" t="s">
        <v>304</v>
      </c>
      <c r="Q690" s="7" t="s">
        <v>62</v>
      </c>
      <c r="R690" s="7" t="s">
        <v>10148</v>
      </c>
      <c r="S690" s="7" t="s">
        <v>12362</v>
      </c>
      <c r="T690" s="7" t="s">
        <v>307</v>
      </c>
      <c r="U690" s="7"/>
      <c r="V690" s="7"/>
      <c r="W690" s="7" t="n">
        <v>273</v>
      </c>
      <c r="X690" s="7" t="n">
        <v>280</v>
      </c>
      <c r="Y690" s="7" t="n">
        <v>7</v>
      </c>
      <c r="Z690" s="7" t="s">
        <v>12363</v>
      </c>
      <c r="AA690" s="9" t="s">
        <v>12364</v>
      </c>
      <c r="AB690" s="7" t="s">
        <v>12365</v>
      </c>
      <c r="AC690" s="7" t="s">
        <v>12366</v>
      </c>
      <c r="AD690" s="7" t="s">
        <v>12367</v>
      </c>
      <c r="AE690" s="7" t="s">
        <v>12368</v>
      </c>
      <c r="AF690" s="7"/>
      <c r="AG690" s="7"/>
      <c r="AH690" s="7"/>
      <c r="AI690" s="7"/>
      <c r="AJ690" s="10"/>
      <c r="AK690" s="7"/>
      <c r="AL690" s="7" t="s">
        <v>12369</v>
      </c>
      <c r="AM690" s="7" t="s">
        <v>12370</v>
      </c>
      <c r="AN690" s="7" t="s">
        <v>12371</v>
      </c>
      <c r="AO690" s="7"/>
      <c r="AP690" s="7" t="s">
        <v>12372</v>
      </c>
      <c r="AQ690" s="7" t="s">
        <v>12373</v>
      </c>
      <c r="AR690" s="7" t="s">
        <v>12374</v>
      </c>
      <c r="AS690" s="7" t="n">
        <v>235929</v>
      </c>
      <c r="AT690" s="7" t="n">
        <v>21945357</v>
      </c>
      <c r="AU690" s="7" t="s">
        <v>12375</v>
      </c>
      <c r="AV690" s="7"/>
      <c r="AW690" s="7"/>
      <c r="AX690" s="7"/>
      <c r="AY690" s="7" t="s">
        <v>75</v>
      </c>
      <c r="AZ690" s="7"/>
      <c r="BA690" s="7" t="s">
        <v>76</v>
      </c>
      <c r="BB690" s="7" t="s">
        <v>12376</v>
      </c>
      <c r="BC690" s="7"/>
      <c r="BD690" s="7"/>
      <c r="BE690" s="7"/>
      <c r="BF690" s="7"/>
      <c r="BG690" s="7"/>
      <c r="BH690" s="7"/>
      <c r="BI690" s="7"/>
    </row>
    <row r="691" customFormat="false" ht="14.25" hidden="false" customHeight="true" outlineLevel="0" collapsed="false">
      <c r="A691" s="7" t="s">
        <v>12377</v>
      </c>
      <c r="B691" s="7" t="s">
        <v>12378</v>
      </c>
      <c r="C691" s="7" t="s">
        <v>12379</v>
      </c>
      <c r="D691" s="7" t="s">
        <v>12380</v>
      </c>
      <c r="E691" s="7" t="n">
        <v>2020</v>
      </c>
      <c r="F691" s="8" t="s">
        <v>12381</v>
      </c>
      <c r="G691" s="6" t="s">
        <v>149</v>
      </c>
      <c r="H691" s="7"/>
      <c r="I691" s="7"/>
      <c r="J691" s="7"/>
      <c r="K691" s="7"/>
      <c r="L691" s="7"/>
      <c r="M691" s="7"/>
      <c r="N691" s="7"/>
      <c r="O691" s="7"/>
      <c r="P691" s="7" t="s">
        <v>304</v>
      </c>
      <c r="Q691" s="7" t="s">
        <v>62</v>
      </c>
      <c r="R691" s="7" t="s">
        <v>5757</v>
      </c>
      <c r="S691" s="7" t="n">
        <v>1494</v>
      </c>
      <c r="T691" s="7" t="s">
        <v>12382</v>
      </c>
      <c r="U691" s="7" t="n">
        <v>1</v>
      </c>
      <c r="V691" s="7" t="n">
        <v>12002</v>
      </c>
      <c r="W691" s="7"/>
      <c r="X691" s="7"/>
      <c r="Y691" s="7"/>
      <c r="Z691" s="7" t="s">
        <v>12383</v>
      </c>
      <c r="AA691" s="9" t="s">
        <v>12384</v>
      </c>
      <c r="AB691" s="7" t="s">
        <v>12385</v>
      </c>
      <c r="AC691" s="7" t="s">
        <v>12386</v>
      </c>
      <c r="AD691" s="7"/>
      <c r="AE691" s="7" t="s">
        <v>12387</v>
      </c>
      <c r="AF691" s="7"/>
      <c r="AG691" s="7"/>
      <c r="AH691" s="7"/>
      <c r="AI691" s="7"/>
      <c r="AJ691" s="10"/>
      <c r="AK691" s="7"/>
      <c r="AL691" s="7" t="s">
        <v>12388</v>
      </c>
      <c r="AM691" s="7"/>
      <c r="AN691" s="7"/>
      <c r="AO691" s="7"/>
      <c r="AP691" s="7" t="s">
        <v>12389</v>
      </c>
      <c r="AQ691" s="7" t="s">
        <v>12390</v>
      </c>
      <c r="AR691" s="7" t="s">
        <v>12391</v>
      </c>
      <c r="AS691" s="7" t="n">
        <v>160580</v>
      </c>
      <c r="AT691" s="7" t="n">
        <v>17426588</v>
      </c>
      <c r="AU691" s="7"/>
      <c r="AV691" s="7"/>
      <c r="AW691" s="7"/>
      <c r="AX691" s="7" t="s">
        <v>5771</v>
      </c>
      <c r="AY691" s="7" t="s">
        <v>75</v>
      </c>
      <c r="AZ691" s="7" t="s">
        <v>127</v>
      </c>
      <c r="BA691" s="7" t="s">
        <v>76</v>
      </c>
      <c r="BB691" s="7" t="s">
        <v>12392</v>
      </c>
      <c r="BC691" s="7"/>
      <c r="BD691" s="7"/>
      <c r="BE691" s="7"/>
      <c r="BF691" s="7"/>
      <c r="BG691" s="7"/>
      <c r="BH691" s="7"/>
      <c r="BI691" s="7"/>
    </row>
    <row r="692" customFormat="false" ht="14.25" hidden="false" customHeight="true" outlineLevel="0" collapsed="false">
      <c r="A692" s="7" t="s">
        <v>12393</v>
      </c>
      <c r="B692" s="7" t="s">
        <v>12394</v>
      </c>
      <c r="C692" s="7" t="s">
        <v>12395</v>
      </c>
      <c r="D692" s="7" t="s">
        <v>12396</v>
      </c>
      <c r="E692" s="7" t="n">
        <v>2020</v>
      </c>
      <c r="F692" s="8" t="s">
        <v>12397</v>
      </c>
      <c r="G692" s="6" t="s">
        <v>134</v>
      </c>
      <c r="H692" s="7"/>
      <c r="I692" s="7"/>
      <c r="J692" s="7"/>
      <c r="K692" s="7"/>
      <c r="L692" s="7"/>
      <c r="M692" s="7"/>
      <c r="N692" s="7"/>
      <c r="O692" s="7"/>
      <c r="P692" s="7" t="s">
        <v>304</v>
      </c>
      <c r="Q692" s="7" t="s">
        <v>62</v>
      </c>
      <c r="R692" s="7" t="s">
        <v>10545</v>
      </c>
      <c r="S692" s="12" t="n">
        <v>44013</v>
      </c>
      <c r="T692" s="7" t="s">
        <v>187</v>
      </c>
      <c r="U692" s="7"/>
      <c r="V692" s="7" t="n">
        <v>9176003</v>
      </c>
      <c r="W692" s="7" t="n">
        <v>180</v>
      </c>
      <c r="X692" s="7" t="n">
        <v>183</v>
      </c>
      <c r="Y692" s="7" t="n">
        <v>3</v>
      </c>
      <c r="Z692" s="7" t="s">
        <v>12398</v>
      </c>
      <c r="AA692" s="9" t="s">
        <v>12399</v>
      </c>
      <c r="AB692" s="7" t="s">
        <v>12400</v>
      </c>
      <c r="AC692" s="7" t="s">
        <v>12401</v>
      </c>
      <c r="AD692" s="7"/>
      <c r="AE692" s="7" t="s">
        <v>12402</v>
      </c>
      <c r="AF692" s="7"/>
      <c r="AG692" s="7"/>
      <c r="AH692" s="7"/>
      <c r="AI692" s="7"/>
      <c r="AJ692" s="10"/>
      <c r="AK692" s="7"/>
      <c r="AL692" s="7" t="s">
        <v>12403</v>
      </c>
      <c r="AM692" s="7"/>
      <c r="AN692" s="7"/>
      <c r="AO692" s="7"/>
      <c r="AP692" s="7" t="s">
        <v>12404</v>
      </c>
      <c r="AQ692" s="7" t="s">
        <v>12405</v>
      </c>
      <c r="AR692" s="7" t="s">
        <v>12406</v>
      </c>
      <c r="AS692" s="7" t="n">
        <v>162693</v>
      </c>
      <c r="AT692" s="7" t="s">
        <v>10555</v>
      </c>
      <c r="AU692" s="7" t="s">
        <v>12407</v>
      </c>
      <c r="AV692" s="7"/>
      <c r="AW692" s="7"/>
      <c r="AX692" s="7" t="s">
        <v>10557</v>
      </c>
      <c r="AY692" s="7" t="s">
        <v>75</v>
      </c>
      <c r="AZ692" s="7"/>
      <c r="BA692" s="7" t="s">
        <v>76</v>
      </c>
      <c r="BB692" s="7" t="s">
        <v>12408</v>
      </c>
      <c r="BC692" s="7"/>
      <c r="BD692" s="7"/>
      <c r="BE692" s="7"/>
      <c r="BF692" s="7"/>
      <c r="BG692" s="7"/>
      <c r="BH692" s="7"/>
      <c r="BI692" s="7"/>
    </row>
    <row r="693" customFormat="false" ht="14.25" hidden="false" customHeight="true" outlineLevel="0" collapsed="false">
      <c r="A693" s="7" t="s">
        <v>12409</v>
      </c>
      <c r="B693" s="7" t="s">
        <v>12410</v>
      </c>
      <c r="C693" s="7" t="s">
        <v>12411</v>
      </c>
      <c r="D693" s="7" t="s">
        <v>12412</v>
      </c>
      <c r="E693" s="7" t="n">
        <v>2020</v>
      </c>
      <c r="F693" s="8" t="s">
        <v>12413</v>
      </c>
      <c r="G693" s="6" t="s">
        <v>134</v>
      </c>
      <c r="H693" s="7"/>
      <c r="I693" s="7"/>
      <c r="J693" s="7"/>
      <c r="K693" s="7"/>
      <c r="L693" s="7"/>
      <c r="M693" s="7"/>
      <c r="N693" s="7"/>
      <c r="O693" s="7"/>
      <c r="P693" s="7" t="s">
        <v>304</v>
      </c>
      <c r="Q693" s="7" t="s">
        <v>62</v>
      </c>
      <c r="R693" s="7" t="s">
        <v>10148</v>
      </c>
      <c r="S693" s="7" t="n">
        <v>1057</v>
      </c>
      <c r="T693" s="7" t="s">
        <v>586</v>
      </c>
      <c r="U693" s="7"/>
      <c r="V693" s="7"/>
      <c r="W693" s="7" t="n">
        <v>275</v>
      </c>
      <c r="X693" s="7" t="n">
        <v>283</v>
      </c>
      <c r="Y693" s="7" t="n">
        <v>8</v>
      </c>
      <c r="Z693" s="7" t="s">
        <v>12414</v>
      </c>
      <c r="AA693" s="9" t="s">
        <v>12415</v>
      </c>
      <c r="AB693" s="7" t="s">
        <v>12416</v>
      </c>
      <c r="AC693" s="7" t="s">
        <v>12417</v>
      </c>
      <c r="AD693" s="7" t="s">
        <v>12418</v>
      </c>
      <c r="AE693" s="7" t="s">
        <v>12419</v>
      </c>
      <c r="AF693" s="7"/>
      <c r="AG693" s="7"/>
      <c r="AH693" s="7"/>
      <c r="AI693" s="7"/>
      <c r="AJ693" s="10" t="s">
        <v>12420</v>
      </c>
      <c r="AK693" s="7" t="s">
        <v>12421</v>
      </c>
      <c r="AL693" s="7" t="s">
        <v>12422</v>
      </c>
      <c r="AM693" s="7" t="s">
        <v>12423</v>
      </c>
      <c r="AN693" s="7" t="s">
        <v>12424</v>
      </c>
      <c r="AO693" s="7"/>
      <c r="AP693" s="7" t="s">
        <v>12425</v>
      </c>
      <c r="AQ693" s="7" t="s">
        <v>12426</v>
      </c>
      <c r="AR693" s="7" t="s">
        <v>12427</v>
      </c>
      <c r="AS693" s="7" t="n">
        <v>234799</v>
      </c>
      <c r="AT693" s="7" t="n">
        <v>21945357</v>
      </c>
      <c r="AU693" s="7" t="s">
        <v>12428</v>
      </c>
      <c r="AV693" s="7"/>
      <c r="AW693" s="7"/>
      <c r="AX693" s="7" t="s">
        <v>10162</v>
      </c>
      <c r="AY693" s="7" t="s">
        <v>75</v>
      </c>
      <c r="AZ693" s="7"/>
      <c r="BA693" s="7" t="s">
        <v>76</v>
      </c>
      <c r="BB693" s="7" t="s">
        <v>12429</v>
      </c>
      <c r="BC693" s="7"/>
      <c r="BD693" s="7"/>
      <c r="BE693" s="7"/>
      <c r="BF693" s="7"/>
      <c r="BG693" s="7"/>
      <c r="BH693" s="7"/>
      <c r="BI693" s="7"/>
    </row>
    <row r="694" customFormat="false" ht="14.25" hidden="false" customHeight="true" outlineLevel="0" collapsed="false">
      <c r="A694" s="7" t="s">
        <v>12430</v>
      </c>
      <c r="B694" s="7" t="s">
        <v>12431</v>
      </c>
      <c r="C694" s="7" t="s">
        <v>12432</v>
      </c>
      <c r="D694" s="7" t="s">
        <v>12433</v>
      </c>
      <c r="E694" s="7" t="n">
        <v>2020</v>
      </c>
      <c r="F694" s="8" t="s">
        <v>12434</v>
      </c>
      <c r="G694" s="6" t="s">
        <v>134</v>
      </c>
      <c r="H694" s="7"/>
      <c r="I694" s="7"/>
      <c r="J694" s="7"/>
      <c r="K694" s="7"/>
      <c r="L694" s="7"/>
      <c r="M694" s="7"/>
      <c r="N694" s="7"/>
      <c r="O694" s="7"/>
      <c r="P694" s="7" t="s">
        <v>304</v>
      </c>
      <c r="Q694" s="7" t="s">
        <v>62</v>
      </c>
      <c r="R694" s="7" t="s">
        <v>12435</v>
      </c>
      <c r="S694" s="7"/>
      <c r="T694" s="7" t="s">
        <v>187</v>
      </c>
      <c r="U694" s="7"/>
      <c r="V694" s="7" t="n">
        <v>9231728</v>
      </c>
      <c r="W694" s="7" t="n">
        <v>456</v>
      </c>
      <c r="X694" s="7" t="n">
        <v>462</v>
      </c>
      <c r="Y694" s="7" t="n">
        <v>6</v>
      </c>
      <c r="Z694" s="7" t="s">
        <v>12436</v>
      </c>
      <c r="AA694" s="9" t="s">
        <v>12437</v>
      </c>
      <c r="AB694" s="7" t="s">
        <v>12438</v>
      </c>
      <c r="AC694" s="7" t="s">
        <v>12439</v>
      </c>
      <c r="AD694" s="7" t="s">
        <v>12440</v>
      </c>
      <c r="AE694" s="7" t="s">
        <v>12441</v>
      </c>
      <c r="AF694" s="7"/>
      <c r="AG694" s="7"/>
      <c r="AH694" s="7"/>
      <c r="AI694" s="7"/>
      <c r="AJ694" s="10"/>
      <c r="AK694" s="7"/>
      <c r="AL694" s="7" t="s">
        <v>12442</v>
      </c>
      <c r="AM694" s="7"/>
      <c r="AN694" s="7" t="s">
        <v>12443</v>
      </c>
      <c r="AO694" s="7"/>
      <c r="AP694" s="7" t="s">
        <v>12444</v>
      </c>
      <c r="AQ694" s="7" t="s">
        <v>12445</v>
      </c>
      <c r="AR694" s="7" t="s">
        <v>12446</v>
      </c>
      <c r="AS694" s="7" t="n">
        <v>164211</v>
      </c>
      <c r="AT694" s="7"/>
      <c r="AU694" s="7" t="s">
        <v>12447</v>
      </c>
      <c r="AV694" s="7"/>
      <c r="AW694" s="7"/>
      <c r="AX694" s="7" t="s">
        <v>12448</v>
      </c>
      <c r="AY694" s="7" t="s">
        <v>75</v>
      </c>
      <c r="AZ694" s="7"/>
      <c r="BA694" s="7" t="s">
        <v>76</v>
      </c>
      <c r="BB694" s="7" t="s">
        <v>12449</v>
      </c>
      <c r="BC694" s="7"/>
      <c r="BD694" s="7"/>
      <c r="BE694" s="7"/>
      <c r="BF694" s="7"/>
      <c r="BG694" s="7"/>
      <c r="BH694" s="7"/>
      <c r="BI694" s="7"/>
    </row>
    <row r="695" customFormat="false" ht="14.25" hidden="false" customHeight="true" outlineLevel="0" collapsed="false">
      <c r="A695" s="7" t="s">
        <v>12450</v>
      </c>
      <c r="B695" s="7" t="s">
        <v>12451</v>
      </c>
      <c r="C695" s="7" t="s">
        <v>12452</v>
      </c>
      <c r="D695" s="7" t="s">
        <v>12453</v>
      </c>
      <c r="E695" s="7" t="n">
        <v>2020</v>
      </c>
      <c r="F695" s="8" t="s">
        <v>12454</v>
      </c>
      <c r="G695" s="6" t="s">
        <v>134</v>
      </c>
      <c r="H695" s="7"/>
      <c r="I695" s="7"/>
      <c r="J695" s="7"/>
      <c r="K695" s="7"/>
      <c r="L695" s="7"/>
      <c r="M695" s="7"/>
      <c r="N695" s="7"/>
      <c r="O695" s="7"/>
      <c r="P695" s="7" t="s">
        <v>304</v>
      </c>
      <c r="Q695" s="7" t="s">
        <v>62</v>
      </c>
      <c r="R695" s="7" t="s">
        <v>2751</v>
      </c>
      <c r="S695" s="7" t="s">
        <v>12455</v>
      </c>
      <c r="T695" s="7" t="s">
        <v>307</v>
      </c>
      <c r="U695" s="7"/>
      <c r="V695" s="7"/>
      <c r="W695" s="7" t="n">
        <v>369</v>
      </c>
      <c r="X695" s="7" t="n">
        <v>380</v>
      </c>
      <c r="Y695" s="7" t="n">
        <v>11</v>
      </c>
      <c r="Z695" s="7" t="s">
        <v>12456</v>
      </c>
      <c r="AA695" s="9" t="s">
        <v>12457</v>
      </c>
      <c r="AB695" s="7" t="s">
        <v>12458</v>
      </c>
      <c r="AC695" s="7" t="s">
        <v>12459</v>
      </c>
      <c r="AD695" s="7" t="s">
        <v>12460</v>
      </c>
      <c r="AE695" s="7" t="s">
        <v>12461</v>
      </c>
      <c r="AF695" s="7"/>
      <c r="AG695" s="7"/>
      <c r="AH695" s="7"/>
      <c r="AI695" s="7"/>
      <c r="AJ695" s="10" t="s">
        <v>12462</v>
      </c>
      <c r="AK695" s="7" t="s">
        <v>12463</v>
      </c>
      <c r="AL695" s="7" t="s">
        <v>12464</v>
      </c>
      <c r="AM695" s="7" t="s">
        <v>12465</v>
      </c>
      <c r="AN695" s="7" t="s">
        <v>12466</v>
      </c>
      <c r="AO695" s="7"/>
      <c r="AP695" s="7" t="s">
        <v>12467</v>
      </c>
      <c r="AQ695" s="7" t="s">
        <v>12468</v>
      </c>
      <c r="AR695" s="7" t="s">
        <v>12469</v>
      </c>
      <c r="AS695" s="7" t="n">
        <v>253109</v>
      </c>
      <c r="AT695" s="7" t="n">
        <v>3029743</v>
      </c>
      <c r="AU695" s="7" t="s">
        <v>12470</v>
      </c>
      <c r="AV695" s="7"/>
      <c r="AW695" s="7"/>
      <c r="AX695" s="7" t="s">
        <v>2766</v>
      </c>
      <c r="AY695" s="7" t="s">
        <v>75</v>
      </c>
      <c r="AZ695" s="7"/>
      <c r="BA695" s="7" t="s">
        <v>76</v>
      </c>
      <c r="BB695" s="7" t="s">
        <v>12471</v>
      </c>
      <c r="BC695" s="7"/>
      <c r="BD695" s="7"/>
      <c r="BE695" s="7"/>
      <c r="BF695" s="7"/>
      <c r="BG695" s="7"/>
      <c r="BH695" s="7"/>
      <c r="BI695" s="7"/>
    </row>
    <row r="696" customFormat="false" ht="14.25" hidden="false" customHeight="true" outlineLevel="0" collapsed="false">
      <c r="A696" s="7" t="s">
        <v>12472</v>
      </c>
      <c r="B696" s="7" t="s">
        <v>12473</v>
      </c>
      <c r="C696" s="7" t="s">
        <v>12474</v>
      </c>
      <c r="D696" s="7" t="s">
        <v>12475</v>
      </c>
      <c r="E696" s="7" t="n">
        <v>2020</v>
      </c>
      <c r="F696" s="8" t="s">
        <v>12476</v>
      </c>
      <c r="G696" s="6" t="s">
        <v>134</v>
      </c>
      <c r="H696" s="7"/>
      <c r="I696" s="7"/>
      <c r="J696" s="7"/>
      <c r="K696" s="7"/>
      <c r="L696" s="7"/>
      <c r="M696" s="7"/>
      <c r="N696" s="7"/>
      <c r="O696" s="7"/>
      <c r="P696" s="7" t="s">
        <v>304</v>
      </c>
      <c r="Q696" s="7" t="s">
        <v>62</v>
      </c>
      <c r="R696" s="7" t="s">
        <v>12477</v>
      </c>
      <c r="S696" s="7"/>
      <c r="T696" s="7" t="s">
        <v>187</v>
      </c>
      <c r="U696" s="7"/>
      <c r="V696" s="7" t="n">
        <v>9138880</v>
      </c>
      <c r="W696" s="7"/>
      <c r="X696" s="7"/>
      <c r="Y696" s="7"/>
      <c r="Z696" s="7" t="s">
        <v>12478</v>
      </c>
      <c r="AA696" s="9" t="s">
        <v>12479</v>
      </c>
      <c r="AB696" s="7" t="s">
        <v>12480</v>
      </c>
      <c r="AC696" s="7" t="s">
        <v>12481</v>
      </c>
      <c r="AD696" s="7" t="s">
        <v>12482</v>
      </c>
      <c r="AE696" s="7" t="s">
        <v>12483</v>
      </c>
      <c r="AF696" s="7"/>
      <c r="AG696" s="7"/>
      <c r="AH696" s="7"/>
      <c r="AI696" s="7"/>
      <c r="AJ696" s="10" t="s">
        <v>12484</v>
      </c>
      <c r="AK696" s="7" t="s">
        <v>12485</v>
      </c>
      <c r="AL696" s="7" t="s">
        <v>12486</v>
      </c>
      <c r="AM696" s="7"/>
      <c r="AN696" s="7"/>
      <c r="AO696" s="7" t="s">
        <v>12487</v>
      </c>
      <c r="AP696" s="7" t="s">
        <v>12488</v>
      </c>
      <c r="AQ696" s="7" t="s">
        <v>12489</v>
      </c>
      <c r="AR696" s="7" t="s">
        <v>5337</v>
      </c>
      <c r="AS696" s="7" t="n">
        <v>161827</v>
      </c>
      <c r="AT696" s="7"/>
      <c r="AU696" s="7" t="s">
        <v>12490</v>
      </c>
      <c r="AV696" s="7"/>
      <c r="AW696" s="7"/>
      <c r="AX696" s="7" t="s">
        <v>12491</v>
      </c>
      <c r="AY696" s="7" t="s">
        <v>75</v>
      </c>
      <c r="AZ696" s="7"/>
      <c r="BA696" s="7" t="s">
        <v>76</v>
      </c>
      <c r="BB696" s="7" t="s">
        <v>12492</v>
      </c>
      <c r="BC696" s="7"/>
      <c r="BD696" s="7"/>
      <c r="BE696" s="7"/>
      <c r="BF696" s="7"/>
      <c r="BG696" s="7"/>
      <c r="BH696" s="7"/>
      <c r="BI696" s="7"/>
    </row>
    <row r="697" customFormat="false" ht="14.25" hidden="false" customHeight="true" outlineLevel="0" collapsed="false">
      <c r="A697" s="7" t="s">
        <v>12493</v>
      </c>
      <c r="B697" s="7" t="s">
        <v>12494</v>
      </c>
      <c r="C697" s="7" t="s">
        <v>12495</v>
      </c>
      <c r="D697" s="7" t="s">
        <v>12496</v>
      </c>
      <c r="E697" s="7" t="n">
        <v>2020</v>
      </c>
      <c r="F697" s="8" t="s">
        <v>12497</v>
      </c>
      <c r="G697" s="6" t="s">
        <v>149</v>
      </c>
      <c r="H697" s="7"/>
      <c r="I697" s="7"/>
      <c r="J697" s="7"/>
      <c r="K697" s="7"/>
      <c r="L697" s="7"/>
      <c r="M697" s="7"/>
      <c r="N697" s="7"/>
      <c r="O697" s="7"/>
      <c r="P697" s="7" t="s">
        <v>304</v>
      </c>
      <c r="Q697" s="7" t="s">
        <v>62</v>
      </c>
      <c r="R697" s="7" t="s">
        <v>5757</v>
      </c>
      <c r="S697" s="7" t="n">
        <v>1566</v>
      </c>
      <c r="T697" s="7" t="s">
        <v>12382</v>
      </c>
      <c r="U697" s="7" t="n">
        <v>1</v>
      </c>
      <c r="V697" s="7" t="n">
        <v>12019</v>
      </c>
      <c r="W697" s="7"/>
      <c r="X697" s="7"/>
      <c r="Y697" s="7"/>
      <c r="Z697" s="7" t="s">
        <v>12498</v>
      </c>
      <c r="AA697" s="9" t="s">
        <v>12499</v>
      </c>
      <c r="AB697" s="7" t="s">
        <v>12500</v>
      </c>
      <c r="AC697" s="7" t="s">
        <v>12501</v>
      </c>
      <c r="AD697" s="7"/>
      <c r="AE697" s="7" t="s">
        <v>12502</v>
      </c>
      <c r="AF697" s="7"/>
      <c r="AG697" s="7"/>
      <c r="AH697" s="7"/>
      <c r="AI697" s="7"/>
      <c r="AJ697" s="10"/>
      <c r="AK697" s="7"/>
      <c r="AL697" s="7" t="s">
        <v>12503</v>
      </c>
      <c r="AM697" s="7"/>
      <c r="AN697" s="7"/>
      <c r="AO697" s="7"/>
      <c r="AP697" s="7" t="s">
        <v>12504</v>
      </c>
      <c r="AQ697" s="7" t="s">
        <v>12505</v>
      </c>
      <c r="AR697" s="7" t="s">
        <v>319</v>
      </c>
      <c r="AS697" s="7" t="n">
        <v>161570</v>
      </c>
      <c r="AT697" s="7" t="n">
        <v>17426588</v>
      </c>
      <c r="AU697" s="7"/>
      <c r="AV697" s="7"/>
      <c r="AW697" s="7"/>
      <c r="AX697" s="7" t="s">
        <v>5771</v>
      </c>
      <c r="AY697" s="7" t="s">
        <v>75</v>
      </c>
      <c r="AZ697" s="7" t="s">
        <v>127</v>
      </c>
      <c r="BA697" s="7" t="s">
        <v>76</v>
      </c>
      <c r="BB697" s="7" t="s">
        <v>12506</v>
      </c>
      <c r="BC697" s="7"/>
      <c r="BD697" s="7"/>
      <c r="BE697" s="7"/>
      <c r="BF697" s="7"/>
      <c r="BG697" s="7"/>
      <c r="BH697" s="7"/>
      <c r="BI697" s="7"/>
    </row>
    <row r="698" customFormat="false" ht="14.25" hidden="false" customHeight="true" outlineLevel="0" collapsed="false">
      <c r="A698" s="7" t="s">
        <v>12507</v>
      </c>
      <c r="B698" s="7" t="s">
        <v>12508</v>
      </c>
      <c r="C698" s="7" t="s">
        <v>12509</v>
      </c>
      <c r="D698" s="7" t="s">
        <v>12510</v>
      </c>
      <c r="E698" s="7" t="n">
        <v>2020</v>
      </c>
      <c r="F698" s="8" t="s">
        <v>12511</v>
      </c>
      <c r="G698" s="6" t="s">
        <v>3714</v>
      </c>
      <c r="H698" s="7"/>
      <c r="I698" s="7"/>
      <c r="J698" s="7"/>
      <c r="K698" s="7"/>
      <c r="L698" s="7"/>
      <c r="M698" s="7"/>
      <c r="N698" s="7"/>
      <c r="O698" s="7"/>
      <c r="P698" s="7" t="s">
        <v>304</v>
      </c>
      <c r="Q698" s="7" t="s">
        <v>62</v>
      </c>
      <c r="R698" s="7" t="s">
        <v>12512</v>
      </c>
      <c r="S698" s="7"/>
      <c r="T698" s="7" t="s">
        <v>187</v>
      </c>
      <c r="U698" s="7"/>
      <c r="V698" s="7" t="n">
        <v>9163708</v>
      </c>
      <c r="W698" s="7" t="n">
        <v>199</v>
      </c>
      <c r="X698" s="7" t="n">
        <v>204</v>
      </c>
      <c r="Y698" s="7" t="n">
        <v>5</v>
      </c>
      <c r="Z698" s="7" t="s">
        <v>12513</v>
      </c>
      <c r="AA698" s="9" t="s">
        <v>12514</v>
      </c>
      <c r="AB698" s="7" t="s">
        <v>12515</v>
      </c>
      <c r="AC698" s="7" t="s">
        <v>12516</v>
      </c>
      <c r="AD698" s="7" t="s">
        <v>12517</v>
      </c>
      <c r="AE698" s="7" t="s">
        <v>12518</v>
      </c>
      <c r="AF698" s="7"/>
      <c r="AG698" s="7"/>
      <c r="AH698" s="7"/>
      <c r="AI698" s="7"/>
      <c r="AJ698" s="10" t="s">
        <v>12519</v>
      </c>
      <c r="AK698" s="7" t="s">
        <v>12520</v>
      </c>
      <c r="AL698" s="7" t="s">
        <v>12521</v>
      </c>
      <c r="AM698" s="7"/>
      <c r="AN698" s="7"/>
      <c r="AO698" s="7" t="s">
        <v>12522</v>
      </c>
      <c r="AP698" s="7" t="s">
        <v>12523</v>
      </c>
      <c r="AQ698" s="7" t="s">
        <v>12524</v>
      </c>
      <c r="AR698" s="7" t="s">
        <v>5337</v>
      </c>
      <c r="AS698" s="7" t="n">
        <v>162352</v>
      </c>
      <c r="AT698" s="7"/>
      <c r="AU698" s="7" t="s">
        <v>12525</v>
      </c>
      <c r="AV698" s="7"/>
      <c r="AW698" s="7"/>
      <c r="AX698" s="7" t="s">
        <v>12526</v>
      </c>
      <c r="AY698" s="7" t="s">
        <v>75</v>
      </c>
      <c r="AZ698" s="7"/>
      <c r="BA698" s="7" t="s">
        <v>76</v>
      </c>
      <c r="BB698" s="7" t="s">
        <v>12527</v>
      </c>
      <c r="BC698" s="7"/>
      <c r="BD698" s="7"/>
      <c r="BE698" s="7"/>
      <c r="BF698" s="7"/>
      <c r="BG698" s="7"/>
      <c r="BH698" s="7"/>
      <c r="BI698" s="7"/>
    </row>
    <row r="699" customFormat="false" ht="14.25" hidden="false" customHeight="true" outlineLevel="0" collapsed="false">
      <c r="A699" s="7" t="s">
        <v>12528</v>
      </c>
      <c r="B699" s="7" t="s">
        <v>12529</v>
      </c>
      <c r="C699" s="7" t="s">
        <v>12530</v>
      </c>
      <c r="D699" s="7" t="s">
        <v>12531</v>
      </c>
      <c r="E699" s="7" t="n">
        <v>2020</v>
      </c>
      <c r="F699" s="8" t="s">
        <v>12532</v>
      </c>
      <c r="G699" s="6" t="s">
        <v>3714</v>
      </c>
      <c r="H699" s="7"/>
      <c r="I699" s="7"/>
      <c r="J699" s="7"/>
      <c r="K699" s="7"/>
      <c r="L699" s="7"/>
      <c r="M699" s="7"/>
      <c r="N699" s="7"/>
      <c r="O699" s="7"/>
      <c r="P699" s="7" t="s">
        <v>304</v>
      </c>
      <c r="Q699" s="7" t="s">
        <v>62</v>
      </c>
      <c r="R699" s="7" t="s">
        <v>10148</v>
      </c>
      <c r="S699" s="7" t="n">
        <v>1073</v>
      </c>
      <c r="T699" s="7" t="s">
        <v>586</v>
      </c>
      <c r="U699" s="7"/>
      <c r="V699" s="7"/>
      <c r="W699" s="7" t="n">
        <v>330</v>
      </c>
      <c r="X699" s="7" t="n">
        <v>340</v>
      </c>
      <c r="Y699" s="7" t="n">
        <v>10</v>
      </c>
      <c r="Z699" s="7" t="s">
        <v>12533</v>
      </c>
      <c r="AA699" s="9" t="s">
        <v>12534</v>
      </c>
      <c r="AB699" s="7" t="s">
        <v>12535</v>
      </c>
      <c r="AC699" s="7" t="s">
        <v>12536</v>
      </c>
      <c r="AD699" s="7" t="s">
        <v>12537</v>
      </c>
      <c r="AE699" s="7" t="s">
        <v>12538</v>
      </c>
      <c r="AF699" s="7"/>
      <c r="AG699" s="7"/>
      <c r="AH699" s="7"/>
      <c r="AI699" s="7"/>
      <c r="AJ699" s="10"/>
      <c r="AK699" s="7"/>
      <c r="AL699" s="7" t="s">
        <v>12539</v>
      </c>
      <c r="AM699" s="7" t="s">
        <v>12540</v>
      </c>
      <c r="AN699" s="7" t="s">
        <v>12541</v>
      </c>
      <c r="AO699" s="7"/>
      <c r="AP699" s="7" t="s">
        <v>12542</v>
      </c>
      <c r="AQ699" s="7" t="s">
        <v>12543</v>
      </c>
      <c r="AR699" s="7" t="s">
        <v>12544</v>
      </c>
      <c r="AS699" s="7" t="n">
        <v>235209</v>
      </c>
      <c r="AT699" s="7" t="n">
        <v>21945357</v>
      </c>
      <c r="AU699" s="7" t="s">
        <v>12545</v>
      </c>
      <c r="AV699" s="7"/>
      <c r="AW699" s="7"/>
      <c r="AX699" s="7" t="s">
        <v>10162</v>
      </c>
      <c r="AY699" s="7" t="s">
        <v>75</v>
      </c>
      <c r="AZ699" s="7"/>
      <c r="BA699" s="7" t="s">
        <v>76</v>
      </c>
      <c r="BB699" s="7" t="s">
        <v>12546</v>
      </c>
      <c r="BC699" s="7"/>
      <c r="BD699" s="7"/>
      <c r="BE699" s="7"/>
      <c r="BF699" s="7"/>
      <c r="BG699" s="7"/>
      <c r="BH699" s="7"/>
      <c r="BI699" s="7"/>
    </row>
    <row r="700" customFormat="false" ht="14.25" hidden="false" customHeight="true" outlineLevel="0" collapsed="false">
      <c r="A700" s="7" t="s">
        <v>12547</v>
      </c>
      <c r="B700" s="7" t="s">
        <v>12548</v>
      </c>
      <c r="C700" s="7" t="s">
        <v>12549</v>
      </c>
      <c r="D700" s="7" t="s">
        <v>12550</v>
      </c>
      <c r="E700" s="7" t="n">
        <v>2020</v>
      </c>
      <c r="F700" s="8" t="s">
        <v>12551</v>
      </c>
      <c r="G700" s="6" t="s">
        <v>134</v>
      </c>
      <c r="H700" s="7"/>
      <c r="I700" s="7"/>
      <c r="J700" s="7"/>
      <c r="K700" s="7"/>
      <c r="L700" s="7"/>
      <c r="M700" s="7"/>
      <c r="N700" s="7"/>
      <c r="O700" s="7"/>
      <c r="P700" s="7" t="s">
        <v>304</v>
      </c>
      <c r="Q700" s="7" t="s">
        <v>62</v>
      </c>
      <c r="R700" s="7" t="s">
        <v>3364</v>
      </c>
      <c r="S700" s="7"/>
      <c r="T700" s="7" t="s">
        <v>3365</v>
      </c>
      <c r="U700" s="7"/>
      <c r="V700" s="7"/>
      <c r="W700" s="7" t="n">
        <v>68</v>
      </c>
      <c r="X700" s="7" t="n">
        <v>72</v>
      </c>
      <c r="Y700" s="7" t="n">
        <v>4</v>
      </c>
      <c r="Z700" s="7" t="s">
        <v>12552</v>
      </c>
      <c r="AA700" s="9" t="s">
        <v>12553</v>
      </c>
      <c r="AB700" s="7" t="s">
        <v>12554</v>
      </c>
      <c r="AC700" s="7" t="s">
        <v>12555</v>
      </c>
      <c r="AD700" s="7" t="s">
        <v>12556</v>
      </c>
      <c r="AE700" s="7" t="s">
        <v>12557</v>
      </c>
      <c r="AF700" s="7"/>
      <c r="AG700" s="7"/>
      <c r="AH700" s="7"/>
      <c r="AI700" s="7"/>
      <c r="AJ700" s="10"/>
      <c r="AK700" s="7"/>
      <c r="AL700" s="7" t="s">
        <v>12558</v>
      </c>
      <c r="AM700" s="7"/>
      <c r="AN700" s="7"/>
      <c r="AO700" s="7"/>
      <c r="AP700" s="7" t="s">
        <v>12559</v>
      </c>
      <c r="AQ700" s="7" t="s">
        <v>12560</v>
      </c>
      <c r="AR700" s="7" t="s">
        <v>5337</v>
      </c>
      <c r="AS700" s="7" t="n">
        <v>164691</v>
      </c>
      <c r="AT700" s="7"/>
      <c r="AU700" s="7" t="s">
        <v>12561</v>
      </c>
      <c r="AV700" s="7"/>
      <c r="AW700" s="7"/>
      <c r="AX700" s="7" t="s">
        <v>3380</v>
      </c>
      <c r="AY700" s="7" t="s">
        <v>75</v>
      </c>
      <c r="AZ700" s="7"/>
      <c r="BA700" s="7" t="s">
        <v>76</v>
      </c>
      <c r="BB700" s="7" t="s">
        <v>12562</v>
      </c>
      <c r="BC700" s="7"/>
      <c r="BD700" s="7"/>
      <c r="BE700" s="7"/>
      <c r="BF700" s="7"/>
      <c r="BG700" s="7"/>
      <c r="BH700" s="7"/>
      <c r="BI700" s="7"/>
    </row>
    <row r="701" customFormat="false" ht="14.25" hidden="false" customHeight="true" outlineLevel="0" collapsed="false">
      <c r="A701" s="7" t="s">
        <v>12563</v>
      </c>
      <c r="B701" s="7" t="s">
        <v>12564</v>
      </c>
      <c r="C701" s="7" t="s">
        <v>515</v>
      </c>
      <c r="D701" s="7" t="s">
        <v>12565</v>
      </c>
      <c r="E701" s="7" t="n">
        <v>2020</v>
      </c>
      <c r="F701" s="8" t="s">
        <v>12566</v>
      </c>
      <c r="G701" s="6" t="s">
        <v>134</v>
      </c>
      <c r="H701" s="7"/>
      <c r="I701" s="7"/>
      <c r="J701" s="7"/>
      <c r="K701" s="7"/>
      <c r="L701" s="7"/>
      <c r="M701" s="7"/>
      <c r="N701" s="7"/>
      <c r="O701" s="7"/>
      <c r="P701" s="7" t="s">
        <v>304</v>
      </c>
      <c r="Q701" s="7" t="s">
        <v>62</v>
      </c>
      <c r="R701" s="7" t="s">
        <v>10148</v>
      </c>
      <c r="S701" s="7" t="n">
        <v>1079</v>
      </c>
      <c r="T701" s="7" t="s">
        <v>586</v>
      </c>
      <c r="U701" s="7"/>
      <c r="V701" s="7"/>
      <c r="W701" s="7" t="n">
        <v>759</v>
      </c>
      <c r="X701" s="7" t="n">
        <v>780</v>
      </c>
      <c r="Y701" s="7" t="n">
        <v>21</v>
      </c>
      <c r="Z701" s="7" t="s">
        <v>12567</v>
      </c>
      <c r="AA701" s="9" t="s">
        <v>12568</v>
      </c>
      <c r="AB701" s="7" t="s">
        <v>12569</v>
      </c>
      <c r="AC701" s="7" t="s">
        <v>12570</v>
      </c>
      <c r="AD701" s="7" t="s">
        <v>12571</v>
      </c>
      <c r="AE701" s="7" t="s">
        <v>12572</v>
      </c>
      <c r="AF701" s="7"/>
      <c r="AG701" s="7"/>
      <c r="AH701" s="7"/>
      <c r="AI701" s="7"/>
      <c r="AJ701" s="10"/>
      <c r="AK701" s="7"/>
      <c r="AL701" s="7" t="s">
        <v>12573</v>
      </c>
      <c r="AM701" s="7" t="s">
        <v>12574</v>
      </c>
      <c r="AN701" s="7" t="s">
        <v>12575</v>
      </c>
      <c r="AO701" s="7"/>
      <c r="AP701" s="7" t="s">
        <v>12576</v>
      </c>
      <c r="AQ701" s="7" t="s">
        <v>12577</v>
      </c>
      <c r="AR701" s="7" t="s">
        <v>5277</v>
      </c>
      <c r="AS701" s="7" t="n">
        <v>235959</v>
      </c>
      <c r="AT701" s="7" t="n">
        <v>21945357</v>
      </c>
      <c r="AU701" s="7" t="s">
        <v>12578</v>
      </c>
      <c r="AV701" s="7"/>
      <c r="AW701" s="7"/>
      <c r="AX701" s="7" t="s">
        <v>10162</v>
      </c>
      <c r="AY701" s="7" t="s">
        <v>75</v>
      </c>
      <c r="AZ701" s="7"/>
      <c r="BA701" s="7" t="s">
        <v>76</v>
      </c>
      <c r="BB701" s="7" t="s">
        <v>12579</v>
      </c>
      <c r="BC701" s="7"/>
      <c r="BD701" s="7"/>
      <c r="BE701" s="7"/>
      <c r="BF701" s="7"/>
      <c r="BG701" s="7"/>
      <c r="BH701" s="7"/>
      <c r="BI701" s="7"/>
    </row>
    <row r="702" customFormat="false" ht="14.25" hidden="false" customHeight="true" outlineLevel="0" collapsed="false">
      <c r="A702" s="7" t="s">
        <v>12580</v>
      </c>
      <c r="B702" s="7" t="s">
        <v>12581</v>
      </c>
      <c r="C702" s="7" t="s">
        <v>12582</v>
      </c>
      <c r="D702" s="7" t="s">
        <v>12583</v>
      </c>
      <c r="E702" s="7" t="n">
        <v>2020</v>
      </c>
      <c r="F702" s="8" t="s">
        <v>12584</v>
      </c>
      <c r="G702" s="6" t="s">
        <v>134</v>
      </c>
      <c r="H702" s="7"/>
      <c r="I702" s="7"/>
      <c r="J702" s="7"/>
      <c r="K702" s="7"/>
      <c r="L702" s="7"/>
      <c r="M702" s="7"/>
      <c r="N702" s="7"/>
      <c r="O702" s="7"/>
      <c r="P702" s="7" t="s">
        <v>304</v>
      </c>
      <c r="Q702" s="7" t="s">
        <v>62</v>
      </c>
      <c r="R702" s="7" t="s">
        <v>12585</v>
      </c>
      <c r="S702" s="7"/>
      <c r="T702" s="7" t="s">
        <v>187</v>
      </c>
      <c r="U702" s="7"/>
      <c r="V702" s="7" t="n">
        <v>9230832</v>
      </c>
      <c r="W702" s="7" t="n">
        <v>1456</v>
      </c>
      <c r="X702" s="7" t="n">
        <v>1459</v>
      </c>
      <c r="Y702" s="7" t="n">
        <v>3</v>
      </c>
      <c r="Z702" s="7" t="s">
        <v>12586</v>
      </c>
      <c r="AA702" s="9" t="s">
        <v>12587</v>
      </c>
      <c r="AB702" s="7" t="s">
        <v>12588</v>
      </c>
      <c r="AC702" s="7" t="s">
        <v>12589</v>
      </c>
      <c r="AD702" s="7" t="s">
        <v>12590</v>
      </c>
      <c r="AE702" s="7" t="s">
        <v>12591</v>
      </c>
      <c r="AF702" s="7"/>
      <c r="AG702" s="7"/>
      <c r="AH702" s="7"/>
      <c r="AI702" s="7"/>
      <c r="AJ702" s="10"/>
      <c r="AK702" s="7"/>
      <c r="AL702" s="7" t="s">
        <v>12592</v>
      </c>
      <c r="AM702" s="7"/>
      <c r="AN702" s="7"/>
      <c r="AO702" s="7"/>
      <c r="AP702" s="7" t="s">
        <v>12585</v>
      </c>
      <c r="AQ702" s="7" t="s">
        <v>12593</v>
      </c>
      <c r="AR702" s="7" t="s">
        <v>12594</v>
      </c>
      <c r="AS702" s="7" t="n">
        <v>164636</v>
      </c>
      <c r="AT702" s="7"/>
      <c r="AU702" s="7" t="s">
        <v>12595</v>
      </c>
      <c r="AV702" s="7"/>
      <c r="AW702" s="7"/>
      <c r="AX702" s="7" t="s">
        <v>12596</v>
      </c>
      <c r="AY702" s="7" t="s">
        <v>75</v>
      </c>
      <c r="AZ702" s="7"/>
      <c r="BA702" s="7" t="s">
        <v>76</v>
      </c>
      <c r="BB702" s="7" t="s">
        <v>12597</v>
      </c>
      <c r="BC702" s="7"/>
      <c r="BD702" s="7"/>
      <c r="BE702" s="7"/>
      <c r="BF702" s="7"/>
      <c r="BG702" s="7"/>
      <c r="BH702" s="7"/>
      <c r="BI702" s="7"/>
    </row>
    <row r="703" customFormat="false" ht="14.25" hidden="false" customHeight="true" outlineLevel="0" collapsed="false">
      <c r="A703" s="7" t="s">
        <v>12598</v>
      </c>
      <c r="B703" s="7" t="s">
        <v>12599</v>
      </c>
      <c r="C703" s="7" t="s">
        <v>12600</v>
      </c>
      <c r="D703" s="7" t="s">
        <v>12601</v>
      </c>
      <c r="E703" s="7" t="n">
        <v>2020</v>
      </c>
      <c r="F703" s="8" t="s">
        <v>12602</v>
      </c>
      <c r="G703" s="6" t="s">
        <v>3714</v>
      </c>
      <c r="H703" s="7"/>
      <c r="I703" s="7"/>
      <c r="J703" s="7"/>
      <c r="K703" s="7"/>
      <c r="L703" s="7"/>
      <c r="M703" s="7"/>
      <c r="N703" s="7"/>
      <c r="O703" s="7"/>
      <c r="P703" s="7" t="s">
        <v>304</v>
      </c>
      <c r="Q703" s="7" t="s">
        <v>62</v>
      </c>
      <c r="R703" s="7" t="s">
        <v>12603</v>
      </c>
      <c r="S703" s="7"/>
      <c r="T703" s="7" t="s">
        <v>187</v>
      </c>
      <c r="U703" s="7"/>
      <c r="V703" s="7" t="n">
        <v>9132879</v>
      </c>
      <c r="W703" s="7"/>
      <c r="X703" s="7"/>
      <c r="Y703" s="7"/>
      <c r="Z703" s="7" t="s">
        <v>12604</v>
      </c>
      <c r="AA703" s="9" t="s">
        <v>12605</v>
      </c>
      <c r="AB703" s="7" t="s">
        <v>12606</v>
      </c>
      <c r="AC703" s="7" t="s">
        <v>12607</v>
      </c>
      <c r="AD703" s="7" t="s">
        <v>12608</v>
      </c>
      <c r="AE703" s="7" t="s">
        <v>12609</v>
      </c>
      <c r="AF703" s="7"/>
      <c r="AG703" s="7"/>
      <c r="AH703" s="7"/>
      <c r="AI703" s="7"/>
      <c r="AJ703" s="10"/>
      <c r="AK703" s="7"/>
      <c r="AL703" s="7" t="s">
        <v>12610</v>
      </c>
      <c r="AM703" s="7"/>
      <c r="AN703" s="7"/>
      <c r="AO703" s="7"/>
      <c r="AP703" s="7" t="s">
        <v>12603</v>
      </c>
      <c r="AQ703" s="7" t="s">
        <v>12611</v>
      </c>
      <c r="AR703" s="7" t="s">
        <v>12612</v>
      </c>
      <c r="AS703" s="7" t="n">
        <v>161636</v>
      </c>
      <c r="AT703" s="7"/>
      <c r="AU703" s="7" t="s">
        <v>12613</v>
      </c>
      <c r="AV703" s="7"/>
      <c r="AW703" s="7"/>
      <c r="AX703" s="7" t="s">
        <v>12614</v>
      </c>
      <c r="AY703" s="7" t="s">
        <v>75</v>
      </c>
      <c r="AZ703" s="7"/>
      <c r="BA703" s="7" t="s">
        <v>76</v>
      </c>
      <c r="BB703" s="7" t="s">
        <v>12615</v>
      </c>
      <c r="BC703" s="7"/>
      <c r="BD703" s="7"/>
      <c r="BE703" s="7"/>
      <c r="BF703" s="7"/>
      <c r="BG703" s="7"/>
      <c r="BH703" s="7"/>
      <c r="BI703" s="7"/>
    </row>
    <row r="704" customFormat="false" ht="14.25" hidden="false" customHeight="true" outlineLevel="0" collapsed="false">
      <c r="A704" s="7" t="s">
        <v>12616</v>
      </c>
      <c r="B704" s="7" t="s">
        <v>12617</v>
      </c>
      <c r="C704" s="7" t="s">
        <v>12618</v>
      </c>
      <c r="D704" s="7" t="s">
        <v>12619</v>
      </c>
      <c r="E704" s="7" t="n">
        <v>2020</v>
      </c>
      <c r="F704" s="8" t="s">
        <v>12620</v>
      </c>
      <c r="G704" s="6" t="s">
        <v>134</v>
      </c>
      <c r="H704" s="7"/>
      <c r="I704" s="7"/>
      <c r="J704" s="7"/>
      <c r="K704" s="7"/>
      <c r="L704" s="7"/>
      <c r="M704" s="7"/>
      <c r="N704" s="7"/>
      <c r="O704" s="7"/>
      <c r="P704" s="7" t="s">
        <v>304</v>
      </c>
      <c r="Q704" s="7" t="s">
        <v>62</v>
      </c>
      <c r="R704" s="7" t="s">
        <v>12621</v>
      </c>
      <c r="S704" s="7"/>
      <c r="T704" s="7" t="s">
        <v>187</v>
      </c>
      <c r="U704" s="7"/>
      <c r="V704" s="7" t="n">
        <v>9342871</v>
      </c>
      <c r="W704" s="7"/>
      <c r="X704" s="7"/>
      <c r="Y704" s="7"/>
      <c r="Z704" s="7" t="s">
        <v>12622</v>
      </c>
      <c r="AA704" s="9" t="s">
        <v>12623</v>
      </c>
      <c r="AB704" s="7" t="s">
        <v>12624</v>
      </c>
      <c r="AC704" s="7" t="s">
        <v>12625</v>
      </c>
      <c r="AD704" s="7" t="s">
        <v>12626</v>
      </c>
      <c r="AE704" s="7" t="s">
        <v>12627</v>
      </c>
      <c r="AF704" s="7"/>
      <c r="AG704" s="7"/>
      <c r="AH704" s="7"/>
      <c r="AI704" s="7"/>
      <c r="AJ704" s="10"/>
      <c r="AK704" s="7"/>
      <c r="AL704" s="7" t="s">
        <v>12628</v>
      </c>
      <c r="AM704" s="7"/>
      <c r="AN704" s="7"/>
      <c r="AO704" s="7" t="s">
        <v>12629</v>
      </c>
      <c r="AP704" s="7" t="s">
        <v>12630</v>
      </c>
      <c r="AQ704" s="7" t="s">
        <v>12631</v>
      </c>
      <c r="AR704" s="7" t="s">
        <v>12632</v>
      </c>
      <c r="AS704" s="7" t="n">
        <v>167052</v>
      </c>
      <c r="AT704" s="7"/>
      <c r="AU704" s="7" t="s">
        <v>12633</v>
      </c>
      <c r="AV704" s="7"/>
      <c r="AW704" s="7"/>
      <c r="AX704" s="7" t="s">
        <v>12634</v>
      </c>
      <c r="AY704" s="7" t="s">
        <v>75</v>
      </c>
      <c r="AZ704" s="7"/>
      <c r="BA704" s="7" t="s">
        <v>76</v>
      </c>
      <c r="BB704" s="7" t="s">
        <v>12635</v>
      </c>
      <c r="BC704" s="7"/>
      <c r="BD704" s="7"/>
      <c r="BE704" s="7"/>
      <c r="BF704" s="7"/>
      <c r="BG704" s="7"/>
      <c r="BH704" s="7"/>
      <c r="BI704" s="7"/>
    </row>
    <row r="705" customFormat="false" ht="14.25" hidden="false" customHeight="true" outlineLevel="0" collapsed="false">
      <c r="A705" s="7" t="s">
        <v>12636</v>
      </c>
      <c r="B705" s="7" t="s">
        <v>12637</v>
      </c>
      <c r="C705" s="7" t="s">
        <v>12638</v>
      </c>
      <c r="D705" s="7" t="s">
        <v>12639</v>
      </c>
      <c r="E705" s="7" t="n">
        <v>2020</v>
      </c>
      <c r="F705" s="8" t="s">
        <v>12640</v>
      </c>
      <c r="G705" s="6" t="s">
        <v>149</v>
      </c>
      <c r="H705" s="7"/>
      <c r="I705" s="7"/>
      <c r="J705" s="7"/>
      <c r="K705" s="7"/>
      <c r="L705" s="7"/>
      <c r="M705" s="7"/>
      <c r="N705" s="7"/>
      <c r="O705" s="7"/>
      <c r="P705" s="7" t="s">
        <v>304</v>
      </c>
      <c r="Q705" s="7" t="s">
        <v>62</v>
      </c>
      <c r="R705" s="7" t="s">
        <v>2892</v>
      </c>
      <c r="S705" s="7" t="n">
        <v>601</v>
      </c>
      <c r="T705" s="7" t="s">
        <v>586</v>
      </c>
      <c r="U705" s="7"/>
      <c r="V705" s="7"/>
      <c r="W705" s="7" t="n">
        <v>51</v>
      </c>
      <c r="X705" s="7" t="n">
        <v>61</v>
      </c>
      <c r="Y705" s="7" t="n">
        <v>10</v>
      </c>
      <c r="Z705" s="7" t="s">
        <v>12641</v>
      </c>
      <c r="AA705" s="9" t="s">
        <v>12642</v>
      </c>
      <c r="AB705" s="7" t="s">
        <v>12643</v>
      </c>
      <c r="AC705" s="7" t="s">
        <v>12644</v>
      </c>
      <c r="AD705" s="7" t="s">
        <v>12645</v>
      </c>
      <c r="AE705" s="7" t="s">
        <v>12646</v>
      </c>
      <c r="AF705" s="7"/>
      <c r="AG705" s="7"/>
      <c r="AH705" s="7"/>
      <c r="AI705" s="7"/>
      <c r="AJ705" s="10"/>
      <c r="AK705" s="7"/>
      <c r="AL705" s="7" t="s">
        <v>12647</v>
      </c>
      <c r="AM705" s="7" t="s">
        <v>12648</v>
      </c>
      <c r="AN705" s="7" t="s">
        <v>12649</v>
      </c>
      <c r="AO705" s="7"/>
      <c r="AP705" s="7" t="s">
        <v>12650</v>
      </c>
      <c r="AQ705" s="7" t="s">
        <v>12651</v>
      </c>
      <c r="AR705" s="7" t="s">
        <v>5277</v>
      </c>
      <c r="AS705" s="7" t="n">
        <v>240289</v>
      </c>
      <c r="AT705" s="7" t="n">
        <v>18761100</v>
      </c>
      <c r="AU705" s="7" t="s">
        <v>12652</v>
      </c>
      <c r="AV705" s="7"/>
      <c r="AW705" s="7"/>
      <c r="AX705" s="7" t="s">
        <v>2906</v>
      </c>
      <c r="AY705" s="7" t="s">
        <v>75</v>
      </c>
      <c r="AZ705" s="7"/>
      <c r="BA705" s="7" t="s">
        <v>76</v>
      </c>
      <c r="BB705" s="7" t="s">
        <v>12653</v>
      </c>
      <c r="BC705" s="7"/>
      <c r="BD705" s="7"/>
      <c r="BE705" s="7"/>
      <c r="BF705" s="7"/>
      <c r="BG705" s="7"/>
      <c r="BH705" s="7"/>
      <c r="BI705" s="7"/>
    </row>
    <row r="706" customFormat="false" ht="14.25" hidden="false" customHeight="true" outlineLevel="0" collapsed="false">
      <c r="A706" s="7" t="s">
        <v>12654</v>
      </c>
      <c r="B706" s="7" t="s">
        <v>12655</v>
      </c>
      <c r="C706" s="7" t="s">
        <v>12656</v>
      </c>
      <c r="D706" s="7" t="s">
        <v>12657</v>
      </c>
      <c r="E706" s="7" t="n">
        <v>2020</v>
      </c>
      <c r="F706" s="8" t="s">
        <v>12658</v>
      </c>
      <c r="G706" s="6" t="s">
        <v>134</v>
      </c>
      <c r="H706" s="7"/>
      <c r="I706" s="7"/>
      <c r="J706" s="7"/>
      <c r="K706" s="7"/>
      <c r="L706" s="7"/>
      <c r="M706" s="7"/>
      <c r="N706" s="7"/>
      <c r="O706" s="7"/>
      <c r="P706" s="7" t="s">
        <v>304</v>
      </c>
      <c r="Q706" s="7" t="s">
        <v>62</v>
      </c>
      <c r="R706" s="7" t="s">
        <v>2751</v>
      </c>
      <c r="S706" s="7" t="s">
        <v>12659</v>
      </c>
      <c r="T706" s="7" t="s">
        <v>307</v>
      </c>
      <c r="U706" s="7"/>
      <c r="V706" s="7"/>
      <c r="W706" s="7" t="n">
        <v>187</v>
      </c>
      <c r="X706" s="7" t="n">
        <v>197</v>
      </c>
      <c r="Y706" s="7" t="n">
        <v>10</v>
      </c>
      <c r="Z706" s="7" t="s">
        <v>12660</v>
      </c>
      <c r="AA706" s="9" t="s">
        <v>12661</v>
      </c>
      <c r="AB706" s="7" t="s">
        <v>12662</v>
      </c>
      <c r="AC706" s="7" t="s">
        <v>12663</v>
      </c>
      <c r="AD706" s="7" t="s">
        <v>12664</v>
      </c>
      <c r="AE706" s="7" t="s">
        <v>12665</v>
      </c>
      <c r="AF706" s="7"/>
      <c r="AG706" s="7"/>
      <c r="AH706" s="7"/>
      <c r="AI706" s="7"/>
      <c r="AJ706" s="10"/>
      <c r="AK706" s="7"/>
      <c r="AL706" s="7" t="s">
        <v>12666</v>
      </c>
      <c r="AM706" s="7" t="s">
        <v>12667</v>
      </c>
      <c r="AN706" s="7" t="s">
        <v>12668</v>
      </c>
      <c r="AO706" s="7"/>
      <c r="AP706" s="7" t="s">
        <v>12669</v>
      </c>
      <c r="AQ706" s="7" t="s">
        <v>12670</v>
      </c>
      <c r="AR706" s="7" t="s">
        <v>11782</v>
      </c>
      <c r="AS706" s="7" t="n">
        <v>249939</v>
      </c>
      <c r="AT706" s="7" t="n">
        <v>3029743</v>
      </c>
      <c r="AU706" s="7" t="s">
        <v>12671</v>
      </c>
      <c r="AV706" s="7"/>
      <c r="AW706" s="7"/>
      <c r="AX706" s="7" t="s">
        <v>2766</v>
      </c>
      <c r="AY706" s="7" t="s">
        <v>75</v>
      </c>
      <c r="AZ706" s="7"/>
      <c r="BA706" s="7" t="s">
        <v>76</v>
      </c>
      <c r="BB706" s="7" t="s">
        <v>12672</v>
      </c>
      <c r="BC706" s="7"/>
      <c r="BD706" s="7"/>
      <c r="BE706" s="7"/>
      <c r="BF706" s="7"/>
      <c r="BG706" s="7"/>
      <c r="BH706" s="7"/>
      <c r="BI706" s="7"/>
    </row>
    <row r="707" customFormat="false" ht="14.25" hidden="false" customHeight="true" outlineLevel="0" collapsed="false">
      <c r="A707" s="7" t="s">
        <v>12673</v>
      </c>
      <c r="B707" s="7" t="s">
        <v>12674</v>
      </c>
      <c r="C707" s="7" t="s">
        <v>12675</v>
      </c>
      <c r="D707" s="7" t="s">
        <v>12676</v>
      </c>
      <c r="E707" s="7" t="n">
        <v>2020</v>
      </c>
      <c r="F707" s="8" t="s">
        <v>12677</v>
      </c>
      <c r="G707" s="6" t="s">
        <v>134</v>
      </c>
      <c r="H707" s="7"/>
      <c r="I707" s="7"/>
      <c r="J707" s="7"/>
      <c r="K707" s="7"/>
      <c r="L707" s="7"/>
      <c r="M707" s="7"/>
      <c r="N707" s="7"/>
      <c r="O707" s="7"/>
      <c r="P707" s="7" t="s">
        <v>304</v>
      </c>
      <c r="Q707" s="7" t="s">
        <v>62</v>
      </c>
      <c r="R707" s="7" t="s">
        <v>12678</v>
      </c>
      <c r="S707" s="7"/>
      <c r="T707" s="7" t="s">
        <v>187</v>
      </c>
      <c r="U707" s="7"/>
      <c r="V707" s="7" t="n">
        <v>9031201</v>
      </c>
      <c r="W707" s="7" t="n">
        <v>188</v>
      </c>
      <c r="X707" s="7" t="n">
        <v>193</v>
      </c>
      <c r="Y707" s="7" t="n">
        <v>5</v>
      </c>
      <c r="Z707" s="7" t="s">
        <v>12679</v>
      </c>
      <c r="AA707" s="9" t="s">
        <v>12680</v>
      </c>
      <c r="AB707" s="7" t="s">
        <v>12681</v>
      </c>
      <c r="AC707" s="7" t="s">
        <v>12682</v>
      </c>
      <c r="AD707" s="7" t="s">
        <v>12683</v>
      </c>
      <c r="AE707" s="7" t="s">
        <v>12684</v>
      </c>
      <c r="AF707" s="7"/>
      <c r="AG707" s="7"/>
      <c r="AH707" s="7"/>
      <c r="AI707" s="7"/>
      <c r="AJ707" s="10"/>
      <c r="AK707" s="7"/>
      <c r="AL707" s="7" t="s">
        <v>12685</v>
      </c>
      <c r="AM707" s="7"/>
      <c r="AN707" s="7" t="s">
        <v>12686</v>
      </c>
      <c r="AO707" s="7" t="s">
        <v>12687</v>
      </c>
      <c r="AP707" s="7" t="s">
        <v>12688</v>
      </c>
      <c r="AQ707" s="7" t="s">
        <v>12689</v>
      </c>
      <c r="AR707" s="7" t="s">
        <v>3256</v>
      </c>
      <c r="AS707" s="7" t="n">
        <v>158422</v>
      </c>
      <c r="AT707" s="7"/>
      <c r="AU707" s="7" t="s">
        <v>12690</v>
      </c>
      <c r="AV707" s="7"/>
      <c r="AW707" s="7"/>
      <c r="AX707" s="7" t="s">
        <v>12691</v>
      </c>
      <c r="AY707" s="7" t="s">
        <v>75</v>
      </c>
      <c r="AZ707" s="7"/>
      <c r="BA707" s="7" t="s">
        <v>76</v>
      </c>
      <c r="BB707" s="7" t="s">
        <v>12692</v>
      </c>
      <c r="BC707" s="7"/>
      <c r="BD707" s="7"/>
      <c r="BE707" s="7"/>
      <c r="BF707" s="7"/>
      <c r="BG707" s="7"/>
      <c r="BH707" s="7"/>
      <c r="BI707" s="7"/>
    </row>
    <row r="708" customFormat="false" ht="14.25" hidden="false" customHeight="true" outlineLevel="0" collapsed="false">
      <c r="A708" s="7" t="s">
        <v>12693</v>
      </c>
      <c r="B708" s="7" t="s">
        <v>12694</v>
      </c>
      <c r="C708" s="7" t="s">
        <v>12695</v>
      </c>
      <c r="D708" s="7" t="s">
        <v>12696</v>
      </c>
      <c r="E708" s="7" t="n">
        <v>2020</v>
      </c>
      <c r="F708" s="8" t="s">
        <v>12697</v>
      </c>
      <c r="G708" s="6" t="s">
        <v>12698</v>
      </c>
      <c r="H708" s="7"/>
      <c r="I708" s="7"/>
      <c r="J708" s="7"/>
      <c r="K708" s="7"/>
      <c r="L708" s="7"/>
      <c r="M708" s="7"/>
      <c r="N708" s="7"/>
      <c r="O708" s="7"/>
      <c r="P708" s="7" t="s">
        <v>304</v>
      </c>
      <c r="Q708" s="7" t="s">
        <v>62</v>
      </c>
      <c r="R708" s="7" t="s">
        <v>2751</v>
      </c>
      <c r="S708" s="7" t="s">
        <v>12699</v>
      </c>
      <c r="T708" s="7" t="s">
        <v>586</v>
      </c>
      <c r="U708" s="7"/>
      <c r="V708" s="7"/>
      <c r="W708" s="7" t="n">
        <v>54</v>
      </c>
      <c r="X708" s="7" t="n">
        <v>69</v>
      </c>
      <c r="Y708" s="7" t="n">
        <v>15</v>
      </c>
      <c r="Z708" s="7" t="s">
        <v>12700</v>
      </c>
      <c r="AA708" s="9" t="s">
        <v>12701</v>
      </c>
      <c r="AB708" s="7" t="s">
        <v>12702</v>
      </c>
      <c r="AC708" s="7" t="s">
        <v>12703</v>
      </c>
      <c r="AD708" s="7" t="s">
        <v>12704</v>
      </c>
      <c r="AE708" s="7" t="s">
        <v>12705</v>
      </c>
      <c r="AF708" s="7"/>
      <c r="AG708" s="7"/>
      <c r="AH708" s="7"/>
      <c r="AI708" s="7"/>
      <c r="AJ708" s="10"/>
      <c r="AK708" s="7"/>
      <c r="AL708" s="7" t="s">
        <v>12706</v>
      </c>
      <c r="AM708" s="7" t="s">
        <v>12707</v>
      </c>
      <c r="AN708" s="7" t="s">
        <v>12708</v>
      </c>
      <c r="AO708" s="7"/>
      <c r="AP708" s="7" t="s">
        <v>12709</v>
      </c>
      <c r="AQ708" s="7" t="s">
        <v>12710</v>
      </c>
      <c r="AR708" s="7" t="s">
        <v>2303</v>
      </c>
      <c r="AS708" s="7" t="n">
        <v>242489</v>
      </c>
      <c r="AT708" s="7" t="n">
        <v>3029743</v>
      </c>
      <c r="AU708" s="7" t="s">
        <v>12711</v>
      </c>
      <c r="AV708" s="7"/>
      <c r="AW708" s="7"/>
      <c r="AX708" s="7" t="s">
        <v>2766</v>
      </c>
      <c r="AY708" s="7" t="s">
        <v>75</v>
      </c>
      <c r="AZ708" s="7"/>
      <c r="BA708" s="7" t="s">
        <v>76</v>
      </c>
      <c r="BB708" s="7" t="s">
        <v>12712</v>
      </c>
      <c r="BC708" s="7"/>
      <c r="BD708" s="7"/>
      <c r="BE708" s="7"/>
      <c r="BF708" s="7"/>
      <c r="BG708" s="7"/>
      <c r="BH708" s="7"/>
      <c r="BI708" s="7"/>
    </row>
    <row r="709" customFormat="false" ht="14.25" hidden="false" customHeight="true" outlineLevel="0" collapsed="false">
      <c r="A709" s="7" t="s">
        <v>10126</v>
      </c>
      <c r="B709" s="7" t="s">
        <v>10127</v>
      </c>
      <c r="C709" s="7" t="s">
        <v>10128</v>
      </c>
      <c r="D709" s="7" t="s">
        <v>12713</v>
      </c>
      <c r="E709" s="7" t="n">
        <v>2020</v>
      </c>
      <c r="F709" s="8" t="s">
        <v>12714</v>
      </c>
      <c r="G709" s="6" t="s">
        <v>134</v>
      </c>
      <c r="H709" s="7"/>
      <c r="I709" s="7"/>
      <c r="J709" s="7"/>
      <c r="K709" s="7"/>
      <c r="L709" s="7"/>
      <c r="M709" s="7"/>
      <c r="N709" s="7"/>
      <c r="O709" s="7"/>
      <c r="P709" s="7" t="s">
        <v>304</v>
      </c>
      <c r="Q709" s="7" t="s">
        <v>62</v>
      </c>
      <c r="R709" s="7" t="s">
        <v>12715</v>
      </c>
      <c r="S709" s="7"/>
      <c r="T709" s="7" t="s">
        <v>187</v>
      </c>
      <c r="U709" s="7"/>
      <c r="V709" s="7" t="n">
        <v>9277286</v>
      </c>
      <c r="W709" s="7" t="n">
        <v>213</v>
      </c>
      <c r="X709" s="7" t="n">
        <v>218</v>
      </c>
      <c r="Y709" s="7" t="n">
        <v>5</v>
      </c>
      <c r="Z709" s="7" t="s">
        <v>12716</v>
      </c>
      <c r="AA709" s="9" t="s">
        <v>12717</v>
      </c>
      <c r="AB709" s="7" t="s">
        <v>12718</v>
      </c>
      <c r="AC709" s="7" t="s">
        <v>12719</v>
      </c>
      <c r="AD709" s="7" t="s">
        <v>12720</v>
      </c>
      <c r="AE709" s="7" t="s">
        <v>12721</v>
      </c>
      <c r="AF709" s="7"/>
      <c r="AG709" s="7"/>
      <c r="AH709" s="7"/>
      <c r="AI709" s="7"/>
      <c r="AJ709" s="10"/>
      <c r="AK709" s="7"/>
      <c r="AL709" s="7" t="s">
        <v>12722</v>
      </c>
      <c r="AM709" s="7"/>
      <c r="AN709" s="7" t="s">
        <v>12723</v>
      </c>
      <c r="AO709" s="7"/>
      <c r="AP709" s="7" t="s">
        <v>12724</v>
      </c>
      <c r="AQ709" s="7" t="s">
        <v>11123</v>
      </c>
      <c r="AR709" s="7" t="s">
        <v>12725</v>
      </c>
      <c r="AS709" s="7" t="n">
        <v>165681</v>
      </c>
      <c r="AT709" s="7"/>
      <c r="AU709" s="7" t="s">
        <v>12726</v>
      </c>
      <c r="AV709" s="7"/>
      <c r="AW709" s="7"/>
      <c r="AX709" s="7" t="s">
        <v>12727</v>
      </c>
      <c r="AY709" s="7" t="s">
        <v>75</v>
      </c>
      <c r="AZ709" s="7"/>
      <c r="BA709" s="7" t="s">
        <v>76</v>
      </c>
      <c r="BB709" s="7" t="s">
        <v>12728</v>
      </c>
      <c r="BC709" s="7"/>
      <c r="BD709" s="7"/>
      <c r="BE709" s="7"/>
      <c r="BF709" s="7"/>
      <c r="BG709" s="7"/>
      <c r="BH709" s="7"/>
      <c r="BI709" s="7"/>
    </row>
    <row r="710" customFormat="false" ht="14.25" hidden="false" customHeight="true" outlineLevel="0" collapsed="false">
      <c r="A710" s="7" t="s">
        <v>12729</v>
      </c>
      <c r="B710" s="7" t="s">
        <v>12730</v>
      </c>
      <c r="C710" s="7" t="s">
        <v>12731</v>
      </c>
      <c r="D710" s="7" t="s">
        <v>12732</v>
      </c>
      <c r="E710" s="7" t="n">
        <v>2019</v>
      </c>
      <c r="F710" s="8" t="s">
        <v>12733</v>
      </c>
      <c r="G710" s="6" t="s">
        <v>134</v>
      </c>
      <c r="H710" s="7"/>
      <c r="I710" s="7"/>
      <c r="J710" s="7"/>
      <c r="K710" s="7"/>
      <c r="L710" s="7"/>
      <c r="M710" s="7"/>
      <c r="N710" s="7"/>
      <c r="O710" s="7"/>
      <c r="P710" s="7" t="s">
        <v>61</v>
      </c>
      <c r="Q710" s="7" t="s">
        <v>62</v>
      </c>
      <c r="R710" s="7" t="s">
        <v>9604</v>
      </c>
      <c r="S710" s="7" t="n">
        <v>113</v>
      </c>
      <c r="T710" s="7" t="s">
        <v>9604</v>
      </c>
      <c r="U710" s="7" t="n">
        <v>5</v>
      </c>
      <c r="V710" s="7"/>
      <c r="W710" s="7" t="n">
        <v>935</v>
      </c>
      <c r="X710" s="7" t="n">
        <v>945</v>
      </c>
      <c r="Y710" s="7" t="n">
        <v>10</v>
      </c>
      <c r="Z710" s="7" t="s">
        <v>12734</v>
      </c>
      <c r="AA710" s="9" t="s">
        <v>12735</v>
      </c>
      <c r="AB710" s="7" t="s">
        <v>12736</v>
      </c>
      <c r="AC710" s="7" t="s">
        <v>12737</v>
      </c>
      <c r="AD710" s="7" t="s">
        <v>12738</v>
      </c>
      <c r="AE710" s="7" t="s">
        <v>12739</v>
      </c>
      <c r="AF710" s="7"/>
      <c r="AG710" s="7"/>
      <c r="AH710" s="7" t="s">
        <v>12740</v>
      </c>
      <c r="AI710" s="7" t="s">
        <v>7046</v>
      </c>
      <c r="AJ710" s="10" t="s">
        <v>12741</v>
      </c>
      <c r="AK710" s="7" t="s">
        <v>12742</v>
      </c>
      <c r="AL710" s="7" t="s">
        <v>12743</v>
      </c>
      <c r="AM710" s="7" t="s">
        <v>12744</v>
      </c>
      <c r="AN710" s="7"/>
      <c r="AO710" s="7"/>
      <c r="AP710" s="7"/>
      <c r="AQ710" s="7"/>
      <c r="AR710" s="7"/>
      <c r="AS710" s="7"/>
      <c r="AT710" s="7" t="s">
        <v>9616</v>
      </c>
      <c r="AU710" s="7"/>
      <c r="AV710" s="7" t="s">
        <v>9617</v>
      </c>
      <c r="AW710" s="7" t="n">
        <v>31482946</v>
      </c>
      <c r="AX710" s="7" t="s">
        <v>9618</v>
      </c>
      <c r="AY710" s="7" t="s">
        <v>75</v>
      </c>
      <c r="AZ710" s="7" t="s">
        <v>107</v>
      </c>
      <c r="BA710" s="7" t="s">
        <v>76</v>
      </c>
      <c r="BB710" s="7" t="s">
        <v>12745</v>
      </c>
      <c r="BC710" s="7"/>
      <c r="BD710" s="7"/>
      <c r="BE710" s="7"/>
      <c r="BF710" s="7"/>
      <c r="BG710" s="7"/>
      <c r="BH710" s="7"/>
      <c r="BI710" s="7"/>
    </row>
    <row r="711" customFormat="false" ht="14.25" hidden="false" customHeight="true" outlineLevel="0" collapsed="false">
      <c r="A711" s="7" t="s">
        <v>12746</v>
      </c>
      <c r="B711" s="7" t="s">
        <v>12747</v>
      </c>
      <c r="C711" s="7" t="s">
        <v>12748</v>
      </c>
      <c r="D711" s="7" t="s">
        <v>12749</v>
      </c>
      <c r="E711" s="7" t="n">
        <v>2019</v>
      </c>
      <c r="F711" s="8" t="s">
        <v>12750</v>
      </c>
      <c r="G711" s="6" t="s">
        <v>134</v>
      </c>
      <c r="H711" s="7"/>
      <c r="I711" s="7"/>
      <c r="J711" s="7"/>
      <c r="K711" s="7"/>
      <c r="L711" s="7"/>
      <c r="M711" s="7"/>
      <c r="N711" s="7"/>
      <c r="O711" s="7"/>
      <c r="P711" s="7" t="s">
        <v>61</v>
      </c>
      <c r="Q711" s="7" t="s">
        <v>62</v>
      </c>
      <c r="R711" s="7" t="s">
        <v>12751</v>
      </c>
      <c r="S711" s="7" t="n">
        <v>8</v>
      </c>
      <c r="T711" s="7" t="s">
        <v>12752</v>
      </c>
      <c r="U711" s="7" t="n">
        <v>3</v>
      </c>
      <c r="V711" s="7"/>
      <c r="W711" s="7" t="n">
        <v>949</v>
      </c>
      <c r="X711" s="7" t="n">
        <v>953</v>
      </c>
      <c r="Y711" s="7" t="n">
        <v>4</v>
      </c>
      <c r="Z711" s="7" t="s">
        <v>12753</v>
      </c>
      <c r="AA711" s="9" t="s">
        <v>12754</v>
      </c>
      <c r="AB711" s="7" t="s">
        <v>12755</v>
      </c>
      <c r="AC711" s="7" t="s">
        <v>12756</v>
      </c>
      <c r="AD711" s="7" t="s">
        <v>12757</v>
      </c>
      <c r="AE711" s="7"/>
      <c r="AF711" s="7"/>
      <c r="AG711" s="7"/>
      <c r="AH711" s="7"/>
      <c r="AI711" s="7"/>
      <c r="AJ711" s="10"/>
      <c r="AK711" s="7"/>
      <c r="AL711" s="7" t="s">
        <v>12758</v>
      </c>
      <c r="AM711" s="7"/>
      <c r="AN711" s="7"/>
      <c r="AO711" s="7"/>
      <c r="AP711" s="7"/>
      <c r="AQ711" s="7"/>
      <c r="AR711" s="7"/>
      <c r="AS711" s="7"/>
      <c r="AT711" s="7" t="n">
        <v>22783091</v>
      </c>
      <c r="AU711" s="7"/>
      <c r="AV711" s="7"/>
      <c r="AW711" s="7"/>
      <c r="AX711" s="7" t="s">
        <v>12759</v>
      </c>
      <c r="AY711" s="7" t="s">
        <v>75</v>
      </c>
      <c r="AZ711" s="7"/>
      <c r="BA711" s="7" t="s">
        <v>76</v>
      </c>
      <c r="BB711" s="7" t="s">
        <v>12760</v>
      </c>
      <c r="BC711" s="7"/>
      <c r="BD711" s="7"/>
      <c r="BE711" s="7"/>
      <c r="BF711" s="7"/>
      <c r="BG711" s="7"/>
      <c r="BH711" s="7"/>
      <c r="BI711" s="7"/>
    </row>
    <row r="712" customFormat="false" ht="14.25" hidden="false" customHeight="true" outlineLevel="0" collapsed="false">
      <c r="A712" s="7" t="s">
        <v>12761</v>
      </c>
      <c r="B712" s="7" t="s">
        <v>12762</v>
      </c>
      <c r="C712" s="7" t="s">
        <v>12763</v>
      </c>
      <c r="D712" s="7" t="s">
        <v>12764</v>
      </c>
      <c r="E712" s="7" t="n">
        <v>2019</v>
      </c>
      <c r="F712" s="8" t="s">
        <v>12765</v>
      </c>
      <c r="G712" s="6" t="s">
        <v>3714</v>
      </c>
      <c r="H712" s="7"/>
      <c r="I712" s="7"/>
      <c r="J712" s="7"/>
      <c r="K712" s="7"/>
      <c r="L712" s="7"/>
      <c r="M712" s="7"/>
      <c r="N712" s="7"/>
      <c r="O712" s="7"/>
      <c r="P712" s="7" t="s">
        <v>61</v>
      </c>
      <c r="Q712" s="7" t="s">
        <v>62</v>
      </c>
      <c r="R712" s="7" t="s">
        <v>12766</v>
      </c>
      <c r="S712" s="7" t="n">
        <v>17</v>
      </c>
      <c r="T712" s="7" t="s">
        <v>11626</v>
      </c>
      <c r="U712" s="7" t="n">
        <v>1</v>
      </c>
      <c r="V712" s="7" t="n">
        <v>171</v>
      </c>
      <c r="W712" s="7"/>
      <c r="X712" s="7"/>
      <c r="Y712" s="7"/>
      <c r="Z712" s="7" t="s">
        <v>12767</v>
      </c>
      <c r="AA712" s="9" t="s">
        <v>12768</v>
      </c>
      <c r="AB712" s="7" t="s">
        <v>12769</v>
      </c>
      <c r="AC712" s="7" t="s">
        <v>12770</v>
      </c>
      <c r="AD712" s="7" t="s">
        <v>12771</v>
      </c>
      <c r="AE712" s="7" t="s">
        <v>12772</v>
      </c>
      <c r="AF712" s="7"/>
      <c r="AG712" s="7"/>
      <c r="AH712" s="7"/>
      <c r="AI712" s="7"/>
      <c r="AJ712" s="10"/>
      <c r="AK712" s="7"/>
      <c r="AL712" s="7" t="s">
        <v>12773</v>
      </c>
      <c r="AM712" s="7" t="s">
        <v>12774</v>
      </c>
      <c r="AN712" s="7"/>
      <c r="AO712" s="7"/>
      <c r="AP712" s="7"/>
      <c r="AQ712" s="7"/>
      <c r="AR712" s="7"/>
      <c r="AS712" s="7"/>
      <c r="AT712" s="7" t="n">
        <v>17417015</v>
      </c>
      <c r="AU712" s="7"/>
      <c r="AV712" s="7"/>
      <c r="AW712" s="7" t="n">
        <v>31474220</v>
      </c>
      <c r="AX712" s="7" t="s">
        <v>12775</v>
      </c>
      <c r="AY712" s="7" t="s">
        <v>75</v>
      </c>
      <c r="AZ712" s="7" t="s">
        <v>107</v>
      </c>
      <c r="BA712" s="7" t="s">
        <v>76</v>
      </c>
      <c r="BB712" s="7" t="s">
        <v>12776</v>
      </c>
      <c r="BC712" s="7"/>
      <c r="BD712" s="7"/>
      <c r="BE712" s="7"/>
      <c r="BF712" s="7"/>
      <c r="BG712" s="7"/>
      <c r="BH712" s="7"/>
      <c r="BI712" s="7"/>
    </row>
    <row r="713" customFormat="false" ht="14.25" hidden="false" customHeight="true" outlineLevel="0" collapsed="false">
      <c r="A713" s="7" t="s">
        <v>12777</v>
      </c>
      <c r="B713" s="7" t="s">
        <v>12778</v>
      </c>
      <c r="C713" s="7" t="s">
        <v>12779</v>
      </c>
      <c r="D713" s="7" t="s">
        <v>12780</v>
      </c>
      <c r="E713" s="7" t="n">
        <v>2019</v>
      </c>
      <c r="F713" s="8" t="s">
        <v>12781</v>
      </c>
      <c r="G713" s="6" t="s">
        <v>290</v>
      </c>
      <c r="H713" s="7"/>
      <c r="I713" s="7"/>
      <c r="J713" s="7"/>
      <c r="K713" s="7"/>
      <c r="L713" s="7"/>
      <c r="M713" s="7"/>
      <c r="N713" s="7"/>
      <c r="O713" s="7"/>
      <c r="P713" s="7" t="s">
        <v>61</v>
      </c>
      <c r="Q713" s="7" t="s">
        <v>62</v>
      </c>
      <c r="R713" s="7" t="s">
        <v>12782</v>
      </c>
      <c r="S713" s="7" t="n">
        <v>6</v>
      </c>
      <c r="T713" s="7" t="s">
        <v>12783</v>
      </c>
      <c r="U713" s="7" t="n">
        <v>10</v>
      </c>
      <c r="V713" s="7"/>
      <c r="W713" s="7" t="n">
        <v>62</v>
      </c>
      <c r="X713" s="7" t="n">
        <v>72</v>
      </c>
      <c r="Y713" s="7" t="n">
        <v>10</v>
      </c>
      <c r="Z713" s="7" t="s">
        <v>12784</v>
      </c>
      <c r="AA713" s="9" t="s">
        <v>12785</v>
      </c>
      <c r="AB713" s="7" t="s">
        <v>12786</v>
      </c>
      <c r="AC713" s="7" t="s">
        <v>12787</v>
      </c>
      <c r="AD713" s="7" t="s">
        <v>12788</v>
      </c>
      <c r="AE713" s="7"/>
      <c r="AF713" s="7"/>
      <c r="AG713" s="7"/>
      <c r="AH713" s="7"/>
      <c r="AI713" s="7"/>
      <c r="AJ713" s="10" t="s">
        <v>12789</v>
      </c>
      <c r="AK713" s="7" t="s">
        <v>12790</v>
      </c>
      <c r="AL713" s="7" t="s">
        <v>12791</v>
      </c>
      <c r="AM713" s="7" t="s">
        <v>12792</v>
      </c>
      <c r="AN713" s="7"/>
      <c r="AO713" s="7"/>
      <c r="AP713" s="7"/>
      <c r="AQ713" s="7"/>
      <c r="AR713" s="7"/>
      <c r="AS713" s="7"/>
      <c r="AT713" s="7" t="s">
        <v>12793</v>
      </c>
      <c r="AU713" s="7"/>
      <c r="AV713" s="7"/>
      <c r="AW713" s="7"/>
      <c r="AX713" s="7" t="s">
        <v>1062</v>
      </c>
      <c r="AY713" s="7" t="s">
        <v>75</v>
      </c>
      <c r="AZ713" s="7" t="s">
        <v>127</v>
      </c>
      <c r="BA713" s="7" t="s">
        <v>76</v>
      </c>
      <c r="BB713" s="7" t="s">
        <v>12794</v>
      </c>
      <c r="BC713" s="7"/>
      <c r="BD713" s="7"/>
      <c r="BE713" s="7"/>
      <c r="BF713" s="7"/>
      <c r="BG713" s="7"/>
      <c r="BH713" s="7"/>
      <c r="BI713" s="7"/>
    </row>
    <row r="714" customFormat="false" ht="14.25" hidden="false" customHeight="true" outlineLevel="0" collapsed="false">
      <c r="A714" s="7" t="s">
        <v>12795</v>
      </c>
      <c r="B714" s="7" t="s">
        <v>12796</v>
      </c>
      <c r="C714" s="7" t="s">
        <v>12797</v>
      </c>
      <c r="D714" s="7" t="s">
        <v>12798</v>
      </c>
      <c r="E714" s="7" t="n">
        <v>2019</v>
      </c>
      <c r="F714" s="8" t="s">
        <v>12799</v>
      </c>
      <c r="G714" s="6" t="s">
        <v>134</v>
      </c>
      <c r="H714" s="7"/>
      <c r="I714" s="7"/>
      <c r="J714" s="7"/>
      <c r="K714" s="7"/>
      <c r="L714" s="7"/>
      <c r="M714" s="7"/>
      <c r="N714" s="7"/>
      <c r="O714" s="7"/>
      <c r="P714" s="7" t="s">
        <v>61</v>
      </c>
      <c r="Q714" s="7" t="s">
        <v>62</v>
      </c>
      <c r="R714" s="7" t="s">
        <v>12800</v>
      </c>
      <c r="S714" s="7" t="n">
        <v>10</v>
      </c>
      <c r="T714" s="7" t="s">
        <v>12801</v>
      </c>
      <c r="U714" s="7" t="n">
        <v>2</v>
      </c>
      <c r="V714" s="7"/>
      <c r="W714" s="7" t="n">
        <v>37</v>
      </c>
      <c r="X714" s="7" t="n">
        <v>54</v>
      </c>
      <c r="Y714" s="7" t="n">
        <v>17</v>
      </c>
      <c r="Z714" s="7" t="s">
        <v>12802</v>
      </c>
      <c r="AA714" s="9" t="s">
        <v>12803</v>
      </c>
      <c r="AB714" s="7" t="s">
        <v>12804</v>
      </c>
      <c r="AC714" s="7" t="s">
        <v>12805</v>
      </c>
      <c r="AD714" s="7" t="s">
        <v>12806</v>
      </c>
      <c r="AE714" s="7"/>
      <c r="AF714" s="7"/>
      <c r="AG714" s="7"/>
      <c r="AH714" s="7"/>
      <c r="AI714" s="7"/>
      <c r="AJ714" s="10" t="s">
        <v>12807</v>
      </c>
      <c r="AK714" s="7" t="s">
        <v>12808</v>
      </c>
      <c r="AL714" s="7" t="s">
        <v>12809</v>
      </c>
      <c r="AM714" s="7" t="s">
        <v>12810</v>
      </c>
      <c r="AN714" s="7"/>
      <c r="AO714" s="7"/>
      <c r="AP714" s="7"/>
      <c r="AQ714" s="7"/>
      <c r="AR714" s="7"/>
      <c r="AS714" s="7"/>
      <c r="AT714" s="7" t="n">
        <v>20935374</v>
      </c>
      <c r="AU714" s="7"/>
      <c r="AV714" s="7"/>
      <c r="AW714" s="7"/>
      <c r="AX714" s="7" t="s">
        <v>12811</v>
      </c>
      <c r="AY714" s="7" t="s">
        <v>75</v>
      </c>
      <c r="AZ714" s="7"/>
      <c r="BA714" s="7" t="s">
        <v>76</v>
      </c>
      <c r="BB714" s="7" t="s">
        <v>12812</v>
      </c>
      <c r="BC714" s="7"/>
      <c r="BD714" s="7"/>
      <c r="BE714" s="7"/>
      <c r="BF714" s="7"/>
      <c r="BG714" s="7"/>
      <c r="BH714" s="7"/>
      <c r="BI714" s="7"/>
    </row>
    <row r="715" customFormat="false" ht="14.25" hidden="false" customHeight="true" outlineLevel="0" collapsed="false">
      <c r="A715" s="7" t="s">
        <v>12813</v>
      </c>
      <c r="B715" s="7" t="s">
        <v>12814</v>
      </c>
      <c r="C715" s="7" t="s">
        <v>12815</v>
      </c>
      <c r="D715" s="7" t="s">
        <v>12816</v>
      </c>
      <c r="E715" s="7" t="n">
        <v>2019</v>
      </c>
      <c r="F715" s="8" t="s">
        <v>12817</v>
      </c>
      <c r="G715" s="6" t="s">
        <v>134</v>
      </c>
      <c r="H715" s="7"/>
      <c r="I715" s="7"/>
      <c r="J715" s="7"/>
      <c r="K715" s="7"/>
      <c r="L715" s="7"/>
      <c r="M715" s="7"/>
      <c r="N715" s="7"/>
      <c r="O715" s="7"/>
      <c r="P715" s="7" t="s">
        <v>61</v>
      </c>
      <c r="Q715" s="7" t="s">
        <v>62</v>
      </c>
      <c r="R715" s="7" t="s">
        <v>12818</v>
      </c>
      <c r="S715" s="7" t="n">
        <v>7</v>
      </c>
      <c r="T715" s="7" t="s">
        <v>202</v>
      </c>
      <c r="U715" s="7" t="n">
        <v>1</v>
      </c>
      <c r="V715" s="7"/>
      <c r="W715" s="7" t="n">
        <v>121</v>
      </c>
      <c r="X715" s="7" t="n">
        <v>126</v>
      </c>
      <c r="Y715" s="7" t="n">
        <v>5</v>
      </c>
      <c r="Z715" s="7" t="s">
        <v>12819</v>
      </c>
      <c r="AA715" s="9" t="s">
        <v>12820</v>
      </c>
      <c r="AB715" s="7" t="s">
        <v>12821</v>
      </c>
      <c r="AC715" s="7" t="s">
        <v>12822</v>
      </c>
      <c r="AD715" s="7" t="s">
        <v>12823</v>
      </c>
      <c r="AE715" s="7" t="s">
        <v>12824</v>
      </c>
      <c r="AF715" s="7"/>
      <c r="AG715" s="7"/>
      <c r="AH715" s="7"/>
      <c r="AI715" s="7"/>
      <c r="AJ715" s="10" t="s">
        <v>12825</v>
      </c>
      <c r="AK715" s="7" t="s">
        <v>12826</v>
      </c>
      <c r="AL715" s="7" t="s">
        <v>12827</v>
      </c>
      <c r="AM715" s="7" t="s">
        <v>12828</v>
      </c>
      <c r="AN715" s="7"/>
      <c r="AO715" s="7"/>
      <c r="AP715" s="7"/>
      <c r="AQ715" s="7"/>
      <c r="AR715" s="7"/>
      <c r="AS715" s="7"/>
      <c r="AT715" s="7" t="n">
        <v>22133984</v>
      </c>
      <c r="AU715" s="7"/>
      <c r="AV715" s="7"/>
      <c r="AW715" s="7"/>
      <c r="AX715" s="7" t="s">
        <v>12829</v>
      </c>
      <c r="AY715" s="7" t="s">
        <v>75</v>
      </c>
      <c r="AZ715" s="7" t="s">
        <v>2509</v>
      </c>
      <c r="BA715" s="7" t="s">
        <v>76</v>
      </c>
      <c r="BB715" s="7" t="s">
        <v>12830</v>
      </c>
      <c r="BC715" s="7"/>
      <c r="BD715" s="7"/>
      <c r="BE715" s="7"/>
      <c r="BF715" s="7"/>
      <c r="BG715" s="7"/>
      <c r="BH715" s="7"/>
      <c r="BI715" s="7"/>
    </row>
    <row r="716" customFormat="false" ht="14.25" hidden="false" customHeight="true" outlineLevel="0" collapsed="false">
      <c r="A716" s="7" t="s">
        <v>12831</v>
      </c>
      <c r="B716" s="7" t="s">
        <v>12832</v>
      </c>
      <c r="C716" s="7" t="s">
        <v>12833</v>
      </c>
      <c r="D716" s="7" t="s">
        <v>12834</v>
      </c>
      <c r="E716" s="7" t="n">
        <v>2019</v>
      </c>
      <c r="F716" s="8" t="s">
        <v>12835</v>
      </c>
      <c r="G716" s="6" t="s">
        <v>134</v>
      </c>
      <c r="H716" s="7"/>
      <c r="I716" s="7"/>
      <c r="J716" s="7"/>
      <c r="K716" s="7"/>
      <c r="L716" s="7"/>
      <c r="M716" s="7"/>
      <c r="N716" s="7"/>
      <c r="O716" s="7"/>
      <c r="P716" s="7" t="s">
        <v>61</v>
      </c>
      <c r="Q716" s="7" t="s">
        <v>62</v>
      </c>
      <c r="R716" s="7" t="s">
        <v>12836</v>
      </c>
      <c r="S716" s="7" t="n">
        <v>10</v>
      </c>
      <c r="T716" s="7" t="s">
        <v>12837</v>
      </c>
      <c r="U716" s="7" t="n">
        <v>5</v>
      </c>
      <c r="V716" s="7"/>
      <c r="W716" s="7" t="n">
        <v>1019</v>
      </c>
      <c r="X716" s="7" t="n">
        <v>1031</v>
      </c>
      <c r="Y716" s="7" t="n">
        <v>12</v>
      </c>
      <c r="Z716" s="7" t="s">
        <v>12838</v>
      </c>
      <c r="AA716" s="9" t="s">
        <v>12839</v>
      </c>
      <c r="AB716" s="7" t="s">
        <v>12840</v>
      </c>
      <c r="AC716" s="7" t="s">
        <v>12841</v>
      </c>
      <c r="AD716" s="7" t="s">
        <v>12842</v>
      </c>
      <c r="AE716" s="7" t="s">
        <v>12843</v>
      </c>
      <c r="AF716" s="7"/>
      <c r="AG716" s="7"/>
      <c r="AH716" s="7"/>
      <c r="AI716" s="7"/>
      <c r="AJ716" s="10"/>
      <c r="AK716" s="7"/>
      <c r="AL716" s="7" t="s">
        <v>12844</v>
      </c>
      <c r="AM716" s="7"/>
      <c r="AN716" s="7"/>
      <c r="AO716" s="7"/>
      <c r="AP716" s="7"/>
      <c r="AQ716" s="7"/>
      <c r="AR716" s="7"/>
      <c r="AS716" s="7"/>
      <c r="AT716" s="7" t="n">
        <v>9760245</v>
      </c>
      <c r="AU716" s="7"/>
      <c r="AV716" s="7"/>
      <c r="AW716" s="7"/>
      <c r="AX716" s="7" t="s">
        <v>12845</v>
      </c>
      <c r="AY716" s="7" t="s">
        <v>75</v>
      </c>
      <c r="AZ716" s="7"/>
      <c r="BA716" s="7" t="s">
        <v>76</v>
      </c>
      <c r="BB716" s="7" t="s">
        <v>12846</v>
      </c>
      <c r="BC716" s="7"/>
      <c r="BD716" s="7"/>
      <c r="BE716" s="7"/>
      <c r="BF716" s="7"/>
      <c r="BG716" s="7"/>
      <c r="BH716" s="7"/>
      <c r="BI716" s="7"/>
    </row>
    <row r="717" customFormat="false" ht="14.25" hidden="false" customHeight="true" outlineLevel="0" collapsed="false">
      <c r="A717" s="7" t="s">
        <v>12847</v>
      </c>
      <c r="B717" s="7" t="s">
        <v>12848</v>
      </c>
      <c r="C717" s="7" t="s">
        <v>12849</v>
      </c>
      <c r="D717" s="7" t="s">
        <v>12850</v>
      </c>
      <c r="E717" s="7" t="n">
        <v>2019</v>
      </c>
      <c r="F717" s="8" t="s">
        <v>12851</v>
      </c>
      <c r="G717" s="6" t="s">
        <v>149</v>
      </c>
      <c r="H717" s="7"/>
      <c r="I717" s="7"/>
      <c r="J717" s="7"/>
      <c r="K717" s="7"/>
      <c r="L717" s="7"/>
      <c r="M717" s="7"/>
      <c r="N717" s="7"/>
      <c r="O717" s="7"/>
      <c r="P717" s="7" t="s">
        <v>61</v>
      </c>
      <c r="Q717" s="7" t="s">
        <v>62</v>
      </c>
      <c r="R717" s="7" t="s">
        <v>12852</v>
      </c>
      <c r="S717" s="7" t="n">
        <v>26</v>
      </c>
      <c r="T717" s="7" t="s">
        <v>395</v>
      </c>
      <c r="U717" s="7" t="n">
        <v>11</v>
      </c>
      <c r="V717" s="7"/>
      <c r="W717" s="7" t="n">
        <v>1355</v>
      </c>
      <c r="X717" s="7" t="n">
        <v>1359</v>
      </c>
      <c r="Y717" s="7" t="n">
        <v>4</v>
      </c>
      <c r="Z717" s="7" t="s">
        <v>12853</v>
      </c>
      <c r="AA717" s="9" t="s">
        <v>12854</v>
      </c>
      <c r="AB717" s="7" t="s">
        <v>12855</v>
      </c>
      <c r="AC717" s="7" t="s">
        <v>12856</v>
      </c>
      <c r="AD717" s="7" t="s">
        <v>12857</v>
      </c>
      <c r="AE717" s="7" t="s">
        <v>12858</v>
      </c>
      <c r="AF717" s="7"/>
      <c r="AG717" s="7"/>
      <c r="AH717" s="7"/>
      <c r="AI717" s="7"/>
      <c r="AJ717" s="10"/>
      <c r="AK717" s="7"/>
      <c r="AL717" s="7" t="s">
        <v>12859</v>
      </c>
      <c r="AM717" s="7" t="s">
        <v>12860</v>
      </c>
      <c r="AN717" s="7"/>
      <c r="AO717" s="7"/>
      <c r="AP717" s="7"/>
      <c r="AQ717" s="7"/>
      <c r="AR717" s="7"/>
      <c r="AS717" s="7"/>
      <c r="AT717" s="7" t="n">
        <v>10675027</v>
      </c>
      <c r="AU717" s="7"/>
      <c r="AV717" s="7" t="s">
        <v>12861</v>
      </c>
      <c r="AW717" s="7" t="n">
        <v>31361300</v>
      </c>
      <c r="AX717" s="7" t="s">
        <v>12862</v>
      </c>
      <c r="AY717" s="7" t="s">
        <v>75</v>
      </c>
      <c r="AZ717" s="7" t="s">
        <v>409</v>
      </c>
      <c r="BA717" s="7" t="s">
        <v>76</v>
      </c>
      <c r="BB717" s="7" t="s">
        <v>12863</v>
      </c>
      <c r="BC717" s="7"/>
      <c r="BD717" s="7"/>
      <c r="BE717" s="7"/>
      <c r="BF717" s="7"/>
      <c r="BG717" s="7"/>
      <c r="BH717" s="7"/>
      <c r="BI717" s="7"/>
    </row>
    <row r="718" customFormat="false" ht="14.25" hidden="false" customHeight="true" outlineLevel="0" collapsed="false">
      <c r="A718" s="7" t="s">
        <v>12864</v>
      </c>
      <c r="B718" s="7" t="s">
        <v>12865</v>
      </c>
      <c r="C718" s="7" t="s">
        <v>12866</v>
      </c>
      <c r="D718" s="7" t="s">
        <v>12867</v>
      </c>
      <c r="E718" s="7" t="n">
        <v>2019</v>
      </c>
      <c r="F718" s="8" t="s">
        <v>12868</v>
      </c>
      <c r="G718" s="6" t="s">
        <v>134</v>
      </c>
      <c r="H718" s="7"/>
      <c r="I718" s="7"/>
      <c r="J718" s="7"/>
      <c r="K718" s="7"/>
      <c r="L718" s="7"/>
      <c r="M718" s="7"/>
      <c r="N718" s="7"/>
      <c r="O718" s="7"/>
      <c r="P718" s="7" t="s">
        <v>61</v>
      </c>
      <c r="Q718" s="7" t="s">
        <v>62</v>
      </c>
      <c r="R718" s="7" t="s">
        <v>12869</v>
      </c>
      <c r="S718" s="7" t="n">
        <v>266</v>
      </c>
      <c r="T718" s="7" t="s">
        <v>202</v>
      </c>
      <c r="U718" s="7"/>
      <c r="V718" s="7"/>
      <c r="W718" s="7" t="n">
        <v>63</v>
      </c>
      <c r="X718" s="7" t="n">
        <v>66</v>
      </c>
      <c r="Y718" s="7" t="n">
        <v>3</v>
      </c>
      <c r="Z718" s="7" t="s">
        <v>12870</v>
      </c>
      <c r="AA718" s="9" t="s">
        <v>12871</v>
      </c>
      <c r="AB718" s="7" t="s">
        <v>12872</v>
      </c>
      <c r="AC718" s="7" t="s">
        <v>12873</v>
      </c>
      <c r="AD718" s="7" t="s">
        <v>12874</v>
      </c>
      <c r="AE718" s="7" t="s">
        <v>12875</v>
      </c>
      <c r="AF718" s="7"/>
      <c r="AG718" s="7" t="s">
        <v>12876</v>
      </c>
      <c r="AH718" s="7"/>
      <c r="AI718" s="7"/>
      <c r="AJ718" s="10" t="s">
        <v>12877</v>
      </c>
      <c r="AK718" s="7" t="s">
        <v>12878</v>
      </c>
      <c r="AL718" s="7" t="s">
        <v>12879</v>
      </c>
      <c r="AM718" s="7" t="s">
        <v>12880</v>
      </c>
      <c r="AN718" s="7"/>
      <c r="AO718" s="7"/>
      <c r="AP718" s="7"/>
      <c r="AQ718" s="7"/>
      <c r="AR718" s="7"/>
      <c r="AS718" s="7"/>
      <c r="AT718" s="7" t="n">
        <v>3044017</v>
      </c>
      <c r="AU718" s="7"/>
      <c r="AV718" s="7" t="s">
        <v>12881</v>
      </c>
      <c r="AW718" s="7" t="n">
        <v>30736948</v>
      </c>
      <c r="AX718" s="7" t="s">
        <v>12882</v>
      </c>
      <c r="AY718" s="7" t="s">
        <v>75</v>
      </c>
      <c r="AZ718" s="7"/>
      <c r="BA718" s="7" t="s">
        <v>76</v>
      </c>
      <c r="BB718" s="7" t="s">
        <v>12883</v>
      </c>
      <c r="BC718" s="7"/>
      <c r="BD718" s="7"/>
      <c r="BE718" s="7"/>
      <c r="BF718" s="7"/>
      <c r="BG718" s="7"/>
      <c r="BH718" s="7"/>
      <c r="BI718" s="7"/>
    </row>
    <row r="719" customFormat="false" ht="14.25" hidden="false" customHeight="true" outlineLevel="0" collapsed="false">
      <c r="A719" s="7" t="s">
        <v>12884</v>
      </c>
      <c r="B719" s="7" t="s">
        <v>12885</v>
      </c>
      <c r="C719" s="7" t="s">
        <v>12886</v>
      </c>
      <c r="D719" s="7" t="s">
        <v>12887</v>
      </c>
      <c r="E719" s="7" t="n">
        <v>2019</v>
      </c>
      <c r="F719" s="8" t="s">
        <v>12888</v>
      </c>
      <c r="G719" s="6" t="s">
        <v>134</v>
      </c>
      <c r="H719" s="7"/>
      <c r="I719" s="7"/>
      <c r="J719" s="7"/>
      <c r="K719" s="7"/>
      <c r="L719" s="7"/>
      <c r="M719" s="7"/>
      <c r="N719" s="7"/>
      <c r="O719" s="7"/>
      <c r="P719" s="7" t="s">
        <v>61</v>
      </c>
      <c r="Q719" s="7" t="s">
        <v>62</v>
      </c>
      <c r="R719" s="7" t="s">
        <v>12889</v>
      </c>
      <c r="S719" s="7" t="n">
        <v>11</v>
      </c>
      <c r="T719" s="7" t="s">
        <v>12890</v>
      </c>
      <c r="U719" s="7" t="n">
        <v>10</v>
      </c>
      <c r="V719" s="7" t="s">
        <v>12891</v>
      </c>
      <c r="W719" s="7"/>
      <c r="X719" s="7"/>
      <c r="Y719" s="7"/>
      <c r="Z719" s="7" t="s">
        <v>12892</v>
      </c>
      <c r="AA719" s="9" t="s">
        <v>12893</v>
      </c>
      <c r="AB719" s="7" t="s">
        <v>12894</v>
      </c>
      <c r="AC719" s="7" t="s">
        <v>12895</v>
      </c>
      <c r="AD719" s="7" t="s">
        <v>12896</v>
      </c>
      <c r="AE719" s="7" t="s">
        <v>12897</v>
      </c>
      <c r="AF719" s="7"/>
      <c r="AG719" s="7" t="s">
        <v>12898</v>
      </c>
      <c r="AH719" s="7"/>
      <c r="AI719" s="7"/>
      <c r="AJ719" s="10" t="s">
        <v>12899</v>
      </c>
      <c r="AK719" s="7" t="s">
        <v>12900</v>
      </c>
      <c r="AL719" s="7" t="s">
        <v>12901</v>
      </c>
      <c r="AM719" s="7" t="s">
        <v>12902</v>
      </c>
      <c r="AN719" s="7"/>
      <c r="AO719" s="7"/>
      <c r="AP719" s="7"/>
      <c r="AQ719" s="7"/>
      <c r="AR719" s="7"/>
      <c r="AS719" s="7"/>
      <c r="AT719" s="7" t="n">
        <v>17574676</v>
      </c>
      <c r="AU719" s="7"/>
      <c r="AV719" s="7"/>
      <c r="AW719" s="7" t="n">
        <v>31468702</v>
      </c>
      <c r="AX719" s="7" t="s">
        <v>12903</v>
      </c>
      <c r="AY719" s="7" t="s">
        <v>75</v>
      </c>
      <c r="AZ719" s="7" t="s">
        <v>107</v>
      </c>
      <c r="BA719" s="7" t="s">
        <v>76</v>
      </c>
      <c r="BB719" s="7" t="s">
        <v>12904</v>
      </c>
      <c r="BC719" s="7"/>
      <c r="BD719" s="7"/>
      <c r="BE719" s="7"/>
      <c r="BF719" s="7"/>
      <c r="BG719" s="7"/>
      <c r="BH719" s="7"/>
      <c r="BI719" s="7"/>
    </row>
    <row r="720" customFormat="false" ht="14.25" hidden="false" customHeight="true" outlineLevel="0" collapsed="false">
      <c r="A720" s="7" t="s">
        <v>12905</v>
      </c>
      <c r="B720" s="7" t="s">
        <v>12906</v>
      </c>
      <c r="C720" s="7" t="s">
        <v>12907</v>
      </c>
      <c r="D720" s="7" t="s">
        <v>12908</v>
      </c>
      <c r="E720" s="7" t="n">
        <v>2019</v>
      </c>
      <c r="F720" s="8" t="s">
        <v>12909</v>
      </c>
      <c r="G720" s="6" t="s">
        <v>290</v>
      </c>
      <c r="H720" s="7"/>
      <c r="I720" s="7"/>
      <c r="J720" s="7"/>
      <c r="K720" s="7"/>
      <c r="L720" s="7"/>
      <c r="M720" s="7"/>
      <c r="N720" s="7"/>
      <c r="O720" s="7"/>
      <c r="P720" s="7" t="s">
        <v>61</v>
      </c>
      <c r="Q720" s="7" t="s">
        <v>62</v>
      </c>
      <c r="R720" s="7" t="s">
        <v>12910</v>
      </c>
      <c r="S720" s="7" t="n">
        <v>163</v>
      </c>
      <c r="T720" s="7" t="s">
        <v>12911</v>
      </c>
      <c r="U720" s="7"/>
      <c r="V720" s="7"/>
      <c r="W720" s="7" t="n">
        <v>649</v>
      </c>
      <c r="X720" s="7" t="n">
        <v>659</v>
      </c>
      <c r="Y720" s="7" t="n">
        <v>10</v>
      </c>
      <c r="Z720" s="7" t="s">
        <v>12912</v>
      </c>
      <c r="AA720" s="9" t="s">
        <v>12913</v>
      </c>
      <c r="AB720" s="7" t="s">
        <v>12914</v>
      </c>
      <c r="AC720" s="7" t="s">
        <v>12915</v>
      </c>
      <c r="AD720" s="7" t="s">
        <v>12916</v>
      </c>
      <c r="AE720" s="7" t="s">
        <v>12917</v>
      </c>
      <c r="AF720" s="7"/>
      <c r="AG720" s="7" t="s">
        <v>12918</v>
      </c>
      <c r="AH720" s="7"/>
      <c r="AI720" s="7"/>
      <c r="AJ720" s="10" t="s">
        <v>12919</v>
      </c>
      <c r="AK720" s="7" t="s">
        <v>12920</v>
      </c>
      <c r="AL720" s="7" t="s">
        <v>12921</v>
      </c>
      <c r="AM720" s="7" t="s">
        <v>12922</v>
      </c>
      <c r="AN720" s="7"/>
      <c r="AO720" s="7"/>
      <c r="AP720" s="7"/>
      <c r="AQ720" s="7"/>
      <c r="AR720" s="7"/>
      <c r="AS720" s="7"/>
      <c r="AT720" s="7" t="n">
        <v>2235234</v>
      </c>
      <c r="AU720" s="7"/>
      <c r="AV720" s="7" t="s">
        <v>12923</v>
      </c>
      <c r="AW720" s="7" t="n">
        <v>30562700</v>
      </c>
      <c r="AX720" s="7" t="s">
        <v>12924</v>
      </c>
      <c r="AY720" s="7" t="s">
        <v>75</v>
      </c>
      <c r="AZ720" s="7" t="s">
        <v>409</v>
      </c>
      <c r="BA720" s="7" t="s">
        <v>76</v>
      </c>
      <c r="BB720" s="7" t="s">
        <v>12925</v>
      </c>
      <c r="BC720" s="7"/>
      <c r="BD720" s="7"/>
      <c r="BE720" s="7"/>
      <c r="BF720" s="7"/>
      <c r="BG720" s="7"/>
      <c r="BH720" s="7"/>
      <c r="BI720" s="7"/>
    </row>
    <row r="721" customFormat="false" ht="14.25" hidden="false" customHeight="true" outlineLevel="0" collapsed="false">
      <c r="A721" s="7" t="s">
        <v>12926</v>
      </c>
      <c r="B721" s="7" t="s">
        <v>12927</v>
      </c>
      <c r="C721" s="7" t="s">
        <v>12928</v>
      </c>
      <c r="D721" s="7" t="s">
        <v>12929</v>
      </c>
      <c r="E721" s="7" t="n">
        <v>2019</v>
      </c>
      <c r="F721" s="8" t="s">
        <v>12930</v>
      </c>
      <c r="G721" s="6" t="s">
        <v>1686</v>
      </c>
      <c r="H721" s="7"/>
      <c r="I721" s="7"/>
      <c r="J721" s="7"/>
      <c r="K721" s="7"/>
      <c r="L721" s="7"/>
      <c r="M721" s="7"/>
      <c r="N721" s="7"/>
      <c r="O721" s="7"/>
      <c r="P721" s="7" t="s">
        <v>61</v>
      </c>
      <c r="Q721" s="7" t="s">
        <v>62</v>
      </c>
      <c r="R721" s="7" t="s">
        <v>1897</v>
      </c>
      <c r="S721" s="7" t="n">
        <v>14</v>
      </c>
      <c r="T721" s="7" t="s">
        <v>1898</v>
      </c>
      <c r="U721" s="7" t="n">
        <v>2</v>
      </c>
      <c r="V721" s="7" t="n">
        <v>786</v>
      </c>
      <c r="W721" s="7" t="n">
        <v>229</v>
      </c>
      <c r="X721" s="7" t="n">
        <v>238</v>
      </c>
      <c r="Y721" s="7" t="n">
        <v>9</v>
      </c>
      <c r="Z721" s="7" t="s">
        <v>12931</v>
      </c>
      <c r="AA721" s="9" t="s">
        <v>12932</v>
      </c>
      <c r="AB721" s="7" t="s">
        <v>12933</v>
      </c>
      <c r="AC721" s="7" t="s">
        <v>12934</v>
      </c>
      <c r="AD721" s="7" t="s">
        <v>12935</v>
      </c>
      <c r="AE721" s="7" t="s">
        <v>12936</v>
      </c>
      <c r="AF721" s="7"/>
      <c r="AG721" s="7" t="s">
        <v>12937</v>
      </c>
      <c r="AH721" s="7"/>
      <c r="AI721" s="7"/>
      <c r="AJ721" s="10" t="s">
        <v>12938</v>
      </c>
      <c r="AK721" s="7" t="s">
        <v>12939</v>
      </c>
      <c r="AL721" s="7" t="s">
        <v>12940</v>
      </c>
      <c r="AM721" s="7" t="s">
        <v>12941</v>
      </c>
      <c r="AN721" s="7"/>
      <c r="AO721" s="7"/>
      <c r="AP721" s="7"/>
      <c r="AQ721" s="7"/>
      <c r="AR721" s="7"/>
      <c r="AS721" s="7"/>
      <c r="AT721" s="7" t="n">
        <v>18271987</v>
      </c>
      <c r="AU721" s="7"/>
      <c r="AV721" s="7"/>
      <c r="AW721" s="7" t="n">
        <v>31724372</v>
      </c>
      <c r="AX721" s="7" t="s">
        <v>1897</v>
      </c>
      <c r="AY721" s="7" t="s">
        <v>75</v>
      </c>
      <c r="AZ721" s="7" t="s">
        <v>127</v>
      </c>
      <c r="BA721" s="7" t="s">
        <v>76</v>
      </c>
      <c r="BB721" s="7" t="s">
        <v>12942</v>
      </c>
      <c r="BC721" s="7"/>
      <c r="BD721" s="7"/>
      <c r="BE721" s="7"/>
      <c r="BF721" s="7"/>
      <c r="BG721" s="7"/>
      <c r="BH721" s="7"/>
      <c r="BI721" s="7"/>
    </row>
    <row r="722" customFormat="false" ht="14.25" hidden="false" customHeight="true" outlineLevel="0" collapsed="false">
      <c r="A722" s="7" t="s">
        <v>12943</v>
      </c>
      <c r="B722" s="7" t="s">
        <v>12944</v>
      </c>
      <c r="C722" s="7" t="s">
        <v>12945</v>
      </c>
      <c r="D722" s="7" t="s">
        <v>12946</v>
      </c>
      <c r="E722" s="7" t="n">
        <v>2019</v>
      </c>
      <c r="F722" s="8" t="s">
        <v>12947</v>
      </c>
      <c r="G722" s="6" t="s">
        <v>149</v>
      </c>
      <c r="H722" s="7"/>
      <c r="I722" s="7"/>
      <c r="J722" s="7"/>
      <c r="K722" s="7"/>
      <c r="L722" s="7"/>
      <c r="M722" s="7"/>
      <c r="N722" s="7"/>
      <c r="O722" s="7"/>
      <c r="P722" s="7" t="s">
        <v>61</v>
      </c>
      <c r="Q722" s="7" t="s">
        <v>62</v>
      </c>
      <c r="R722" s="7" t="s">
        <v>1913</v>
      </c>
      <c r="S722" s="7" t="n">
        <v>191</v>
      </c>
      <c r="T722" s="7" t="s">
        <v>202</v>
      </c>
      <c r="U722" s="7"/>
      <c r="V722" s="7"/>
      <c r="W722" s="7" t="n">
        <v>185</v>
      </c>
      <c r="X722" s="7" t="n">
        <v>197</v>
      </c>
      <c r="Y722" s="7" t="n">
        <v>12</v>
      </c>
      <c r="Z722" s="7" t="s">
        <v>12948</v>
      </c>
      <c r="AA722" s="9" t="s">
        <v>12949</v>
      </c>
      <c r="AB722" s="7" t="s">
        <v>12950</v>
      </c>
      <c r="AC722" s="7" t="s">
        <v>12951</v>
      </c>
      <c r="AD722" s="7" t="s">
        <v>12952</v>
      </c>
      <c r="AE722" s="7" t="s">
        <v>12953</v>
      </c>
      <c r="AF722" s="7"/>
      <c r="AG722" s="7"/>
      <c r="AH722" s="7"/>
      <c r="AI722" s="7"/>
      <c r="AJ722" s="10" t="s">
        <v>12954</v>
      </c>
      <c r="AK722" s="7" t="s">
        <v>12955</v>
      </c>
      <c r="AL722" s="7" t="s">
        <v>12956</v>
      </c>
      <c r="AM722" s="7" t="s">
        <v>12957</v>
      </c>
      <c r="AN722" s="7"/>
      <c r="AO722" s="7"/>
      <c r="AP722" s="7"/>
      <c r="AQ722" s="7"/>
      <c r="AR722" s="7"/>
      <c r="AS722" s="7"/>
      <c r="AT722" s="7" t="s">
        <v>1924</v>
      </c>
      <c r="AU722" s="7"/>
      <c r="AV722" s="7" t="s">
        <v>1925</v>
      </c>
      <c r="AW722" s="7" t="n">
        <v>30633895</v>
      </c>
      <c r="AX722" s="7" t="s">
        <v>1926</v>
      </c>
      <c r="AY722" s="7" t="s">
        <v>75</v>
      </c>
      <c r="AZ722" s="7" t="s">
        <v>4371</v>
      </c>
      <c r="BA722" s="7" t="s">
        <v>76</v>
      </c>
      <c r="BB722" s="7" t="s">
        <v>12958</v>
      </c>
      <c r="BC722" s="7"/>
      <c r="BD722" s="7"/>
      <c r="BE722" s="7"/>
      <c r="BF722" s="7"/>
      <c r="BG722" s="7"/>
      <c r="BH722" s="7"/>
      <c r="BI722" s="7"/>
    </row>
    <row r="723" customFormat="false" ht="14.25" hidden="false" customHeight="true" outlineLevel="0" collapsed="false">
      <c r="A723" s="7" t="s">
        <v>12959</v>
      </c>
      <c r="B723" s="7" t="s">
        <v>12960</v>
      </c>
      <c r="C723" s="7" t="s">
        <v>12961</v>
      </c>
      <c r="D723" s="7" t="s">
        <v>12962</v>
      </c>
      <c r="E723" s="7" t="n">
        <v>2019</v>
      </c>
      <c r="F723" s="8" t="s">
        <v>12963</v>
      </c>
      <c r="G723" s="6" t="s">
        <v>134</v>
      </c>
      <c r="H723" s="7"/>
      <c r="I723" s="7"/>
      <c r="J723" s="7"/>
      <c r="K723" s="7"/>
      <c r="L723" s="7"/>
      <c r="M723" s="7"/>
      <c r="N723" s="7"/>
      <c r="O723" s="7"/>
      <c r="P723" s="7" t="s">
        <v>61</v>
      </c>
      <c r="Q723" s="7" t="s">
        <v>62</v>
      </c>
      <c r="R723" s="7" t="s">
        <v>12964</v>
      </c>
      <c r="S723" s="7" t="n">
        <v>8</v>
      </c>
      <c r="T723" s="7" t="s">
        <v>12965</v>
      </c>
      <c r="U723" s="7" t="s">
        <v>12966</v>
      </c>
      <c r="V723" s="7"/>
      <c r="W723" s="7" t="n">
        <v>813</v>
      </c>
      <c r="X723" s="7" t="n">
        <v>818</v>
      </c>
      <c r="Y723" s="7" t="n">
        <v>5</v>
      </c>
      <c r="Z723" s="7" t="s">
        <v>12967</v>
      </c>
      <c r="AA723" s="9" t="s">
        <v>12968</v>
      </c>
      <c r="AB723" s="7" t="s">
        <v>12969</v>
      </c>
      <c r="AC723" s="7" t="s">
        <v>12970</v>
      </c>
      <c r="AD723" s="7" t="s">
        <v>12971</v>
      </c>
      <c r="AE723" s="7"/>
      <c r="AF723" s="7"/>
      <c r="AG723" s="7"/>
      <c r="AH723" s="7"/>
      <c r="AI723" s="7"/>
      <c r="AJ723" s="10"/>
      <c r="AK723" s="7"/>
      <c r="AL723" s="7" t="s">
        <v>12972</v>
      </c>
      <c r="AM723" s="7"/>
      <c r="AN723" s="7"/>
      <c r="AO723" s="7"/>
      <c r="AP723" s="7"/>
      <c r="AQ723" s="7"/>
      <c r="AR723" s="7"/>
      <c r="AS723" s="7"/>
      <c r="AT723" s="7" t="n">
        <v>22783075</v>
      </c>
      <c r="AU723" s="7"/>
      <c r="AV723" s="7"/>
      <c r="AW723" s="7"/>
      <c r="AX723" s="7" t="s">
        <v>12973</v>
      </c>
      <c r="AY723" s="7" t="s">
        <v>75</v>
      </c>
      <c r="AZ723" s="7" t="s">
        <v>4371</v>
      </c>
      <c r="BA723" s="7" t="s">
        <v>76</v>
      </c>
      <c r="BB723" s="7" t="s">
        <v>12974</v>
      </c>
      <c r="BC723" s="7"/>
      <c r="BD723" s="7"/>
      <c r="BE723" s="7"/>
      <c r="BF723" s="7"/>
      <c r="BG723" s="7"/>
      <c r="BH723" s="7"/>
      <c r="BI723" s="7"/>
    </row>
    <row r="724" customFormat="false" ht="14.25" hidden="false" customHeight="true" outlineLevel="0" collapsed="false">
      <c r="A724" s="7" t="s">
        <v>12975</v>
      </c>
      <c r="B724" s="7" t="s">
        <v>12976</v>
      </c>
      <c r="C724" s="7" t="s">
        <v>12977</v>
      </c>
      <c r="D724" s="7" t="s">
        <v>12978</v>
      </c>
      <c r="E724" s="7" t="n">
        <v>2019</v>
      </c>
      <c r="F724" s="8" t="s">
        <v>12979</v>
      </c>
      <c r="G724" s="6" t="s">
        <v>134</v>
      </c>
      <c r="H724" s="7"/>
      <c r="I724" s="7"/>
      <c r="J724" s="7"/>
      <c r="K724" s="7"/>
      <c r="L724" s="7"/>
      <c r="M724" s="7"/>
      <c r="N724" s="7"/>
      <c r="O724" s="7"/>
      <c r="P724" s="7" t="s">
        <v>61</v>
      </c>
      <c r="Q724" s="7" t="s">
        <v>62</v>
      </c>
      <c r="R724" s="7" t="s">
        <v>11337</v>
      </c>
      <c r="S724" s="7" t="n">
        <v>10</v>
      </c>
      <c r="T724" s="7" t="s">
        <v>11338</v>
      </c>
      <c r="U724" s="7" t="n">
        <v>4</v>
      </c>
      <c r="V724" s="7"/>
      <c r="W724" s="7" t="n">
        <v>66</v>
      </c>
      <c r="X724" s="7" t="n">
        <v>70</v>
      </c>
      <c r="Y724" s="7" t="n">
        <v>4</v>
      </c>
      <c r="Z724" s="7"/>
      <c r="AA724" s="9" t="s">
        <v>12980</v>
      </c>
      <c r="AB724" s="7" t="s">
        <v>12981</v>
      </c>
      <c r="AC724" s="7" t="s">
        <v>12982</v>
      </c>
      <c r="AD724" s="7" t="s">
        <v>12983</v>
      </c>
      <c r="AE724" s="7"/>
      <c r="AF724" s="7"/>
      <c r="AG724" s="7"/>
      <c r="AH724" s="7"/>
      <c r="AI724" s="7"/>
      <c r="AJ724" s="10"/>
      <c r="AK724" s="7"/>
      <c r="AL724" s="7" t="s">
        <v>12984</v>
      </c>
      <c r="AM724" s="7"/>
      <c r="AN724" s="7"/>
      <c r="AO724" s="7"/>
      <c r="AP724" s="7"/>
      <c r="AQ724" s="7"/>
      <c r="AR724" s="7"/>
      <c r="AS724" s="7"/>
      <c r="AT724" s="7" t="n">
        <v>9758364</v>
      </c>
      <c r="AU724" s="7"/>
      <c r="AV724" s="7"/>
      <c r="AW724" s="7"/>
      <c r="AX724" s="7" t="s">
        <v>11344</v>
      </c>
      <c r="AY724" s="7" t="s">
        <v>75</v>
      </c>
      <c r="AZ724" s="7"/>
      <c r="BA724" s="7" t="s">
        <v>76</v>
      </c>
      <c r="BB724" s="7" t="s">
        <v>12985</v>
      </c>
      <c r="BC724" s="7"/>
      <c r="BD724" s="7"/>
      <c r="BE724" s="7"/>
      <c r="BF724" s="7"/>
      <c r="BG724" s="7"/>
      <c r="BH724" s="7"/>
      <c r="BI724" s="7"/>
    </row>
    <row r="725" customFormat="false" ht="14.25" hidden="false" customHeight="true" outlineLevel="0" collapsed="false">
      <c r="A725" s="7" t="s">
        <v>12986</v>
      </c>
      <c r="B725" s="7" t="s">
        <v>12987</v>
      </c>
      <c r="C725" s="7" t="s">
        <v>12988</v>
      </c>
      <c r="D725" s="7" t="s">
        <v>12989</v>
      </c>
      <c r="E725" s="7" t="n">
        <v>2019</v>
      </c>
      <c r="F725" s="8" t="s">
        <v>12990</v>
      </c>
      <c r="G725" s="6" t="s">
        <v>349</v>
      </c>
      <c r="H725" s="7"/>
      <c r="I725" s="7"/>
      <c r="J725" s="7"/>
      <c r="K725" s="7"/>
      <c r="L725" s="7"/>
      <c r="M725" s="7"/>
      <c r="N725" s="7"/>
      <c r="O725" s="7"/>
      <c r="P725" s="7" t="s">
        <v>61</v>
      </c>
      <c r="Q725" s="7" t="s">
        <v>62</v>
      </c>
      <c r="R725" s="7" t="s">
        <v>9708</v>
      </c>
      <c r="S725" s="7" t="n">
        <v>13</v>
      </c>
      <c r="T725" s="7" t="s">
        <v>9709</v>
      </c>
      <c r="U725" s="7" t="n">
        <v>3</v>
      </c>
      <c r="V725" s="7"/>
      <c r="W725" s="7" t="n">
        <v>1222</v>
      </c>
      <c r="X725" s="7" t="n">
        <v>1230</v>
      </c>
      <c r="Y725" s="7" t="n">
        <v>8</v>
      </c>
      <c r="Z725" s="7" t="s">
        <v>12991</v>
      </c>
      <c r="AA725" s="9" t="s">
        <v>12992</v>
      </c>
      <c r="AB725" s="7" t="s">
        <v>12993</v>
      </c>
      <c r="AC725" s="7" t="s">
        <v>12994</v>
      </c>
      <c r="AD725" s="7" t="s">
        <v>12995</v>
      </c>
      <c r="AE725" s="7"/>
      <c r="AF725" s="7"/>
      <c r="AG725" s="7"/>
      <c r="AH725" s="7"/>
      <c r="AI725" s="7"/>
      <c r="AJ725" s="10"/>
      <c r="AK725" s="7"/>
      <c r="AL725" s="7" t="s">
        <v>12996</v>
      </c>
      <c r="AM725" s="7" t="s">
        <v>12997</v>
      </c>
      <c r="AN725" s="7"/>
      <c r="AO725" s="7"/>
      <c r="AP725" s="7"/>
      <c r="AQ725" s="7"/>
      <c r="AR725" s="7"/>
      <c r="AS725" s="7"/>
      <c r="AT725" s="7" t="n">
        <v>19918631</v>
      </c>
      <c r="AU725" s="7"/>
      <c r="AV725" s="7"/>
      <c r="AW725" s="7"/>
      <c r="AX725" s="7" t="s">
        <v>9719</v>
      </c>
      <c r="AY725" s="7" t="s">
        <v>75</v>
      </c>
      <c r="AZ725" s="7" t="s">
        <v>107</v>
      </c>
      <c r="BA725" s="7" t="s">
        <v>76</v>
      </c>
      <c r="BB725" s="7" t="s">
        <v>12998</v>
      </c>
      <c r="BC725" s="7"/>
      <c r="BD725" s="7"/>
      <c r="BE725" s="7"/>
      <c r="BF725" s="7"/>
      <c r="BG725" s="7"/>
      <c r="BH725" s="7"/>
      <c r="BI725" s="7"/>
    </row>
    <row r="726" customFormat="false" ht="14.25" hidden="false" customHeight="true" outlineLevel="0" collapsed="false">
      <c r="A726" s="7" t="s">
        <v>12999</v>
      </c>
      <c r="B726" s="7" t="s">
        <v>13000</v>
      </c>
      <c r="C726" s="7" t="s">
        <v>13001</v>
      </c>
      <c r="D726" s="7" t="s">
        <v>13002</v>
      </c>
      <c r="E726" s="7" t="n">
        <v>2019</v>
      </c>
      <c r="F726" s="8" t="s">
        <v>13003</v>
      </c>
      <c r="G726" s="6" t="s">
        <v>134</v>
      </c>
      <c r="H726" s="7"/>
      <c r="I726" s="7"/>
      <c r="J726" s="7"/>
      <c r="K726" s="7"/>
      <c r="L726" s="7"/>
      <c r="M726" s="7"/>
      <c r="N726" s="7"/>
      <c r="O726" s="7"/>
      <c r="P726" s="7" t="s">
        <v>61</v>
      </c>
      <c r="Q726" s="7" t="s">
        <v>62</v>
      </c>
      <c r="R726" s="7" t="s">
        <v>13004</v>
      </c>
      <c r="S726" s="7" t="n">
        <v>10</v>
      </c>
      <c r="T726" s="7" t="s">
        <v>13005</v>
      </c>
      <c r="U726" s="7" t="n">
        <v>12</v>
      </c>
      <c r="V726" s="7"/>
      <c r="W726" s="7" t="n">
        <v>6351</v>
      </c>
      <c r="X726" s="7" t="n">
        <v>6369</v>
      </c>
      <c r="Y726" s="7" t="n">
        <v>18</v>
      </c>
      <c r="Z726" s="7" t="s">
        <v>13006</v>
      </c>
      <c r="AA726" s="9" t="s">
        <v>13007</v>
      </c>
      <c r="AB726" s="7" t="s">
        <v>13008</v>
      </c>
      <c r="AC726" s="7" t="s">
        <v>13009</v>
      </c>
      <c r="AD726" s="7"/>
      <c r="AE726" s="7" t="s">
        <v>13010</v>
      </c>
      <c r="AF726" s="7"/>
      <c r="AG726" s="7"/>
      <c r="AH726" s="7"/>
      <c r="AI726" s="7"/>
      <c r="AJ726" s="10" t="s">
        <v>13011</v>
      </c>
      <c r="AK726" s="7" t="s">
        <v>13012</v>
      </c>
      <c r="AL726" s="7" t="s">
        <v>13013</v>
      </c>
      <c r="AM726" s="7" t="s">
        <v>13014</v>
      </c>
      <c r="AN726" s="7"/>
      <c r="AO726" s="7"/>
      <c r="AP726" s="7"/>
      <c r="AQ726" s="7"/>
      <c r="AR726" s="7"/>
      <c r="AS726" s="7"/>
      <c r="AT726" s="7" t="n">
        <v>21567085</v>
      </c>
      <c r="AU726" s="7"/>
      <c r="AV726" s="7"/>
      <c r="AW726" s="7"/>
      <c r="AX726" s="7" t="s">
        <v>13015</v>
      </c>
      <c r="AY726" s="7" t="s">
        <v>75</v>
      </c>
      <c r="AZ726" s="7" t="s">
        <v>107</v>
      </c>
      <c r="BA726" s="7" t="s">
        <v>76</v>
      </c>
      <c r="BB726" s="7" t="s">
        <v>13016</v>
      </c>
      <c r="BC726" s="7"/>
      <c r="BD726" s="7"/>
      <c r="BE726" s="7"/>
      <c r="BF726" s="7"/>
      <c r="BG726" s="7"/>
      <c r="BH726" s="7"/>
      <c r="BI726" s="7"/>
    </row>
    <row r="727" customFormat="false" ht="14.25" hidden="false" customHeight="true" outlineLevel="0" collapsed="false">
      <c r="A727" s="7" t="s">
        <v>13017</v>
      </c>
      <c r="B727" s="7" t="s">
        <v>13018</v>
      </c>
      <c r="C727" s="7" t="s">
        <v>13019</v>
      </c>
      <c r="D727" s="7" t="s">
        <v>13020</v>
      </c>
      <c r="E727" s="7" t="n">
        <v>2019</v>
      </c>
      <c r="F727" s="8" t="s">
        <v>13021</v>
      </c>
      <c r="G727" s="6" t="s">
        <v>349</v>
      </c>
      <c r="H727" s="7"/>
      <c r="I727" s="7"/>
      <c r="J727" s="7"/>
      <c r="K727" s="7"/>
      <c r="L727" s="7"/>
      <c r="M727" s="7"/>
      <c r="N727" s="7"/>
      <c r="O727" s="7"/>
      <c r="P727" s="7" t="s">
        <v>61</v>
      </c>
      <c r="Q727" s="7" t="s">
        <v>62</v>
      </c>
      <c r="R727" s="7" t="s">
        <v>993</v>
      </c>
      <c r="S727" s="7" t="n">
        <v>14</v>
      </c>
      <c r="T727" s="7" t="s">
        <v>500</v>
      </c>
      <c r="U727" s="7" t="n">
        <v>9</v>
      </c>
      <c r="V727" s="7" t="s">
        <v>13022</v>
      </c>
      <c r="W727" s="7"/>
      <c r="X727" s="7"/>
      <c r="Y727" s="7"/>
      <c r="Z727" s="7" t="s">
        <v>13023</v>
      </c>
      <c r="AA727" s="9" t="s">
        <v>13024</v>
      </c>
      <c r="AB727" s="7" t="s">
        <v>13025</v>
      </c>
      <c r="AC727" s="7" t="s">
        <v>13026</v>
      </c>
      <c r="AD727" s="7"/>
      <c r="AE727" s="7" t="s">
        <v>13027</v>
      </c>
      <c r="AF727" s="7"/>
      <c r="AG727" s="7" t="s">
        <v>13028</v>
      </c>
      <c r="AH727" s="7"/>
      <c r="AI727" s="7"/>
      <c r="AJ727" s="10" t="s">
        <v>13029</v>
      </c>
      <c r="AK727" s="7"/>
      <c r="AL727" s="7" t="s">
        <v>13030</v>
      </c>
      <c r="AM727" s="7" t="s">
        <v>13031</v>
      </c>
      <c r="AN727" s="7"/>
      <c r="AO727" s="7"/>
      <c r="AP727" s="7"/>
      <c r="AQ727" s="7"/>
      <c r="AR727" s="7"/>
      <c r="AS727" s="7"/>
      <c r="AT727" s="7" t="n">
        <v>19326203</v>
      </c>
      <c r="AU727" s="7"/>
      <c r="AV727" s="7" t="s">
        <v>1007</v>
      </c>
      <c r="AW727" s="7" t="n">
        <v>31513658</v>
      </c>
      <c r="AX727" s="7" t="s">
        <v>993</v>
      </c>
      <c r="AY727" s="7" t="s">
        <v>75</v>
      </c>
      <c r="AZ727" s="7" t="s">
        <v>107</v>
      </c>
      <c r="BA727" s="7" t="s">
        <v>76</v>
      </c>
      <c r="BB727" s="7" t="s">
        <v>13032</v>
      </c>
      <c r="BC727" s="7"/>
      <c r="BD727" s="7"/>
      <c r="BE727" s="7"/>
      <c r="BF727" s="7"/>
      <c r="BG727" s="7"/>
      <c r="BH727" s="7"/>
      <c r="BI727" s="7"/>
    </row>
    <row r="728" customFormat="false" ht="14.25" hidden="false" customHeight="true" outlineLevel="0" collapsed="false">
      <c r="A728" s="7" t="s">
        <v>13033</v>
      </c>
      <c r="B728" s="7" t="s">
        <v>13034</v>
      </c>
      <c r="C728" s="7" t="s">
        <v>13035</v>
      </c>
      <c r="D728" s="7" t="s">
        <v>13036</v>
      </c>
      <c r="E728" s="7" t="n">
        <v>2019</v>
      </c>
      <c r="F728" s="8" t="s">
        <v>13037</v>
      </c>
      <c r="G728" s="6" t="s">
        <v>3714</v>
      </c>
      <c r="H728" s="7"/>
      <c r="I728" s="7"/>
      <c r="J728" s="7"/>
      <c r="K728" s="7"/>
      <c r="L728" s="7"/>
      <c r="M728" s="7"/>
      <c r="N728" s="7"/>
      <c r="O728" s="7"/>
      <c r="P728" s="7" t="s">
        <v>61</v>
      </c>
      <c r="Q728" s="7" t="s">
        <v>62</v>
      </c>
      <c r="R728" s="7" t="s">
        <v>13038</v>
      </c>
      <c r="S728" s="7" t="n">
        <v>43</v>
      </c>
      <c r="T728" s="7" t="s">
        <v>13039</v>
      </c>
      <c r="U728" s="7" t="n">
        <v>3</v>
      </c>
      <c r="V728" s="7"/>
      <c r="W728" s="7" t="n">
        <v>363</v>
      </c>
      <c r="X728" s="7" t="n">
        <v>371</v>
      </c>
      <c r="Y728" s="7" t="n">
        <v>8</v>
      </c>
      <c r="Z728" s="7" t="s">
        <v>13040</v>
      </c>
      <c r="AA728" s="9" t="s">
        <v>13041</v>
      </c>
      <c r="AB728" s="7" t="s">
        <v>13042</v>
      </c>
      <c r="AC728" s="7" t="s">
        <v>13043</v>
      </c>
      <c r="AD728" s="7" t="s">
        <v>13044</v>
      </c>
      <c r="AE728" s="7" t="s">
        <v>13045</v>
      </c>
      <c r="AF728" s="7"/>
      <c r="AG728" s="7"/>
      <c r="AH728" s="7"/>
      <c r="AI728" s="7"/>
      <c r="AJ728" s="10"/>
      <c r="AK728" s="7"/>
      <c r="AL728" s="7" t="s">
        <v>13046</v>
      </c>
      <c r="AM728" s="7"/>
      <c r="AN728" s="7"/>
      <c r="AO728" s="7"/>
      <c r="AP728" s="7"/>
      <c r="AQ728" s="7"/>
      <c r="AR728" s="7"/>
      <c r="AS728" s="7"/>
      <c r="AT728" s="7" t="n">
        <v>3505596</v>
      </c>
      <c r="AU728" s="7"/>
      <c r="AV728" s="7" t="s">
        <v>13047</v>
      </c>
      <c r="AW728" s="7"/>
      <c r="AX728" s="7" t="s">
        <v>13048</v>
      </c>
      <c r="AY728" s="7" t="s">
        <v>75</v>
      </c>
      <c r="AZ728" s="7"/>
      <c r="BA728" s="7" t="s">
        <v>76</v>
      </c>
      <c r="BB728" s="7" t="s">
        <v>13049</v>
      </c>
      <c r="BC728" s="7"/>
      <c r="BD728" s="7"/>
      <c r="BE728" s="7"/>
      <c r="BF728" s="7"/>
      <c r="BG728" s="7"/>
      <c r="BH728" s="7"/>
      <c r="BI728" s="7"/>
    </row>
    <row r="729" customFormat="false" ht="14.25" hidden="false" customHeight="true" outlineLevel="0" collapsed="false">
      <c r="A729" s="7" t="s">
        <v>13050</v>
      </c>
      <c r="B729" s="7" t="s">
        <v>13051</v>
      </c>
      <c r="C729" s="7" t="s">
        <v>13052</v>
      </c>
      <c r="D729" s="7" t="s">
        <v>13053</v>
      </c>
      <c r="E729" s="7" t="n">
        <v>2019</v>
      </c>
      <c r="F729" s="8" t="s">
        <v>13054</v>
      </c>
      <c r="G729" s="6" t="s">
        <v>1686</v>
      </c>
      <c r="H729" s="7"/>
      <c r="I729" s="7"/>
      <c r="J729" s="7"/>
      <c r="K729" s="7"/>
      <c r="L729" s="7"/>
      <c r="M729" s="7"/>
      <c r="N729" s="7"/>
      <c r="O729" s="7"/>
      <c r="P729" s="7" t="s">
        <v>61</v>
      </c>
      <c r="Q729" s="7" t="s">
        <v>62</v>
      </c>
      <c r="R729" s="7" t="s">
        <v>4794</v>
      </c>
      <c r="S729" s="7" t="n">
        <v>12</v>
      </c>
      <c r="T729" s="7" t="s">
        <v>11626</v>
      </c>
      <c r="U729" s="7" t="n">
        <v>1</v>
      </c>
      <c r="V729" s="7" t="n">
        <v>440</v>
      </c>
      <c r="W729" s="7"/>
      <c r="X729" s="7"/>
      <c r="Y729" s="7"/>
      <c r="Z729" s="7" t="s">
        <v>13055</v>
      </c>
      <c r="AA729" s="9" t="s">
        <v>13056</v>
      </c>
      <c r="AB729" s="7" t="s">
        <v>13057</v>
      </c>
      <c r="AC729" s="7" t="s">
        <v>13058</v>
      </c>
      <c r="AD729" s="7" t="s">
        <v>13059</v>
      </c>
      <c r="AE729" s="7" t="s">
        <v>13060</v>
      </c>
      <c r="AF729" s="7"/>
      <c r="AG729" s="7"/>
      <c r="AH729" s="7"/>
      <c r="AI729" s="7"/>
      <c r="AJ729" s="10" t="s">
        <v>13061</v>
      </c>
      <c r="AK729" s="7"/>
      <c r="AL729" s="7" t="s">
        <v>13062</v>
      </c>
      <c r="AM729" s="7" t="s">
        <v>13063</v>
      </c>
      <c r="AN729" s="7"/>
      <c r="AO729" s="7"/>
      <c r="AP729" s="7"/>
      <c r="AQ729" s="7"/>
      <c r="AR729" s="7"/>
      <c r="AS729" s="7"/>
      <c r="AT729" s="7" t="n">
        <v>17563305</v>
      </c>
      <c r="AU729" s="7"/>
      <c r="AV729" s="7"/>
      <c r="AW729" s="7" t="n">
        <v>31522689</v>
      </c>
      <c r="AX729" s="7" t="s">
        <v>1044</v>
      </c>
      <c r="AY729" s="7" t="s">
        <v>75</v>
      </c>
      <c r="AZ729" s="7" t="s">
        <v>107</v>
      </c>
      <c r="BA729" s="7" t="s">
        <v>76</v>
      </c>
      <c r="BB729" s="7" t="s">
        <v>13064</v>
      </c>
      <c r="BC729" s="7"/>
      <c r="BD729" s="7"/>
      <c r="BE729" s="7"/>
      <c r="BF729" s="7"/>
      <c r="BG729" s="7"/>
      <c r="BH729" s="7"/>
      <c r="BI729" s="7"/>
    </row>
    <row r="730" customFormat="false" ht="14.25" hidden="false" customHeight="true" outlineLevel="0" collapsed="false">
      <c r="A730" s="7" t="s">
        <v>13065</v>
      </c>
      <c r="B730" s="7" t="s">
        <v>13066</v>
      </c>
      <c r="C730" s="7" t="s">
        <v>13067</v>
      </c>
      <c r="D730" s="7" t="s">
        <v>13068</v>
      </c>
      <c r="E730" s="7" t="n">
        <v>2019</v>
      </c>
      <c r="F730" s="8" t="s">
        <v>13069</v>
      </c>
      <c r="G730" s="6" t="s">
        <v>134</v>
      </c>
      <c r="H730" s="7"/>
      <c r="I730" s="7"/>
      <c r="J730" s="7"/>
      <c r="K730" s="7"/>
      <c r="L730" s="7"/>
      <c r="M730" s="7"/>
      <c r="N730" s="7"/>
      <c r="O730" s="7"/>
      <c r="P730" s="7" t="s">
        <v>61</v>
      </c>
      <c r="Q730" s="7" t="s">
        <v>62</v>
      </c>
      <c r="R730" s="7" t="s">
        <v>12836</v>
      </c>
      <c r="S730" s="7" t="n">
        <v>10</v>
      </c>
      <c r="T730" s="7" t="s">
        <v>12837</v>
      </c>
      <c r="U730" s="7" t="n">
        <v>4</v>
      </c>
      <c r="V730" s="7"/>
      <c r="W730" s="7" t="n">
        <v>1337</v>
      </c>
      <c r="X730" s="7" t="n">
        <v>1341</v>
      </c>
      <c r="Y730" s="7" t="n">
        <v>4</v>
      </c>
      <c r="Z730" s="7" t="s">
        <v>13070</v>
      </c>
      <c r="AA730" s="9" t="s">
        <v>13071</v>
      </c>
      <c r="AB730" s="7" t="s">
        <v>13072</v>
      </c>
      <c r="AC730" s="7" t="s">
        <v>13073</v>
      </c>
      <c r="AD730" s="7" t="s">
        <v>13074</v>
      </c>
      <c r="AE730" s="7" t="s">
        <v>13075</v>
      </c>
      <c r="AF730" s="7"/>
      <c r="AG730" s="7"/>
      <c r="AH730" s="7"/>
      <c r="AI730" s="7"/>
      <c r="AJ730" s="10"/>
      <c r="AK730" s="7"/>
      <c r="AL730" s="7" t="s">
        <v>13076</v>
      </c>
      <c r="AM730" s="7"/>
      <c r="AN730" s="7"/>
      <c r="AO730" s="7"/>
      <c r="AP730" s="7"/>
      <c r="AQ730" s="7"/>
      <c r="AR730" s="7"/>
      <c r="AS730" s="7"/>
      <c r="AT730" s="7" t="n">
        <v>9760245</v>
      </c>
      <c r="AU730" s="7"/>
      <c r="AV730" s="7"/>
      <c r="AW730" s="7"/>
      <c r="AX730" s="7" t="s">
        <v>12845</v>
      </c>
      <c r="AY730" s="7" t="s">
        <v>75</v>
      </c>
      <c r="AZ730" s="7"/>
      <c r="BA730" s="7" t="s">
        <v>76</v>
      </c>
      <c r="BB730" s="7" t="s">
        <v>13077</v>
      </c>
      <c r="BC730" s="7"/>
      <c r="BD730" s="7"/>
      <c r="BE730" s="7"/>
      <c r="BF730" s="7"/>
      <c r="BG730" s="7"/>
      <c r="BH730" s="7"/>
      <c r="BI730" s="7"/>
    </row>
    <row r="731" customFormat="false" ht="14.25" hidden="false" customHeight="true" outlineLevel="0" collapsed="false">
      <c r="A731" s="7" t="s">
        <v>13078</v>
      </c>
      <c r="B731" s="7" t="s">
        <v>13079</v>
      </c>
      <c r="C731" s="7" t="s">
        <v>13080</v>
      </c>
      <c r="D731" s="7" t="s">
        <v>13081</v>
      </c>
      <c r="E731" s="7" t="n">
        <v>2019</v>
      </c>
      <c r="F731" s="8" t="s">
        <v>13082</v>
      </c>
      <c r="G731" s="6" t="s">
        <v>393</v>
      </c>
      <c r="H731" s="7"/>
      <c r="I731" s="7"/>
      <c r="J731" s="7"/>
      <c r="K731" s="7"/>
      <c r="L731" s="7"/>
      <c r="M731" s="7"/>
      <c r="N731" s="7"/>
      <c r="O731" s="7"/>
      <c r="P731" s="7" t="s">
        <v>61</v>
      </c>
      <c r="Q731" s="7" t="s">
        <v>62</v>
      </c>
      <c r="R731" s="7" t="s">
        <v>13083</v>
      </c>
      <c r="S731" s="7" t="n">
        <v>19</v>
      </c>
      <c r="T731" s="7" t="s">
        <v>12890</v>
      </c>
      <c r="U731" s="7" t="n">
        <v>4</v>
      </c>
      <c r="V731" s="7"/>
      <c r="W731" s="7" t="n">
        <v>1139</v>
      </c>
      <c r="X731" s="7" t="n">
        <v>1149</v>
      </c>
      <c r="Y731" s="7" t="n">
        <v>10</v>
      </c>
      <c r="Z731" s="7" t="s">
        <v>13084</v>
      </c>
      <c r="AA731" s="9" t="s">
        <v>13085</v>
      </c>
      <c r="AB731" s="7" t="s">
        <v>13086</v>
      </c>
      <c r="AC731" s="7" t="s">
        <v>13087</v>
      </c>
      <c r="AD731" s="7" t="s">
        <v>13088</v>
      </c>
      <c r="AE731" s="7" t="s">
        <v>13089</v>
      </c>
      <c r="AF731" s="7"/>
      <c r="AG731" s="7" t="s">
        <v>13090</v>
      </c>
      <c r="AH731" s="7"/>
      <c r="AI731" s="7"/>
      <c r="AJ731" s="10" t="s">
        <v>13091</v>
      </c>
      <c r="AK731" s="7" t="s">
        <v>13092</v>
      </c>
      <c r="AL731" s="7" t="s">
        <v>13093</v>
      </c>
      <c r="AM731" s="7" t="s">
        <v>13094</v>
      </c>
      <c r="AN731" s="7"/>
      <c r="AO731" s="7"/>
      <c r="AP731" s="7"/>
      <c r="AQ731" s="7"/>
      <c r="AR731" s="7"/>
      <c r="AS731" s="7"/>
      <c r="AT731" s="7" t="n">
        <v>16006135</v>
      </c>
      <c r="AU731" s="7"/>
      <c r="AV731" s="7" t="s">
        <v>13095</v>
      </c>
      <c r="AW731" s="7" t="n">
        <v>30346659</v>
      </c>
      <c r="AX731" s="7" t="s">
        <v>13096</v>
      </c>
      <c r="AY731" s="7" t="s">
        <v>75</v>
      </c>
      <c r="AZ731" s="7" t="s">
        <v>2509</v>
      </c>
      <c r="BA731" s="7" t="s">
        <v>76</v>
      </c>
      <c r="BB731" s="7" t="s">
        <v>13097</v>
      </c>
      <c r="BC731" s="7"/>
      <c r="BD731" s="7"/>
      <c r="BE731" s="7"/>
      <c r="BF731" s="7"/>
      <c r="BG731" s="7"/>
      <c r="BH731" s="7"/>
      <c r="BI731" s="7"/>
    </row>
    <row r="732" customFormat="false" ht="14.25" hidden="false" customHeight="true" outlineLevel="0" collapsed="false">
      <c r="A732" s="7" t="s">
        <v>13098</v>
      </c>
      <c r="B732" s="7" t="s">
        <v>13099</v>
      </c>
      <c r="C732" s="7" t="s">
        <v>13100</v>
      </c>
      <c r="D732" s="7" t="s">
        <v>13101</v>
      </c>
      <c r="E732" s="7" t="n">
        <v>2019</v>
      </c>
      <c r="F732" s="8" t="s">
        <v>13102</v>
      </c>
      <c r="G732" s="6" t="s">
        <v>149</v>
      </c>
      <c r="H732" s="7"/>
      <c r="I732" s="7"/>
      <c r="J732" s="7"/>
      <c r="K732" s="7"/>
      <c r="L732" s="7"/>
      <c r="M732" s="7"/>
      <c r="N732" s="7"/>
      <c r="O732" s="7"/>
      <c r="P732" s="7" t="s">
        <v>61</v>
      </c>
      <c r="Q732" s="7" t="s">
        <v>62</v>
      </c>
      <c r="R732" s="7" t="s">
        <v>305</v>
      </c>
      <c r="S732" s="7" t="n">
        <v>899</v>
      </c>
      <c r="T732" s="7" t="s">
        <v>13103</v>
      </c>
      <c r="U732" s="7"/>
      <c r="V732" s="7"/>
      <c r="W732" s="7" t="n">
        <v>320</v>
      </c>
      <c r="X732" s="7" t="n">
        <v>334</v>
      </c>
      <c r="Y732" s="7" t="n">
        <v>14</v>
      </c>
      <c r="Z732" s="7" t="s">
        <v>13104</v>
      </c>
      <c r="AA732" s="9" t="s">
        <v>13105</v>
      </c>
      <c r="AB732" s="7" t="s">
        <v>13106</v>
      </c>
      <c r="AC732" s="7" t="s">
        <v>13107</v>
      </c>
      <c r="AD732" s="7" t="s">
        <v>13108</v>
      </c>
      <c r="AE732" s="7" t="s">
        <v>13109</v>
      </c>
      <c r="AF732" s="7"/>
      <c r="AG732" s="7"/>
      <c r="AH732" s="7"/>
      <c r="AI732" s="7"/>
      <c r="AJ732" s="10"/>
      <c r="AK732" s="7"/>
      <c r="AL732" s="7" t="s">
        <v>13110</v>
      </c>
      <c r="AM732" s="7" t="s">
        <v>13111</v>
      </c>
      <c r="AN732" s="7"/>
      <c r="AO732" s="7"/>
      <c r="AP732" s="7"/>
      <c r="AQ732" s="7"/>
      <c r="AR732" s="7"/>
      <c r="AS732" s="7"/>
      <c r="AT732" s="7" t="n">
        <v>18650929</v>
      </c>
      <c r="AU732" s="7"/>
      <c r="AV732" s="7"/>
      <c r="AW732" s="7"/>
      <c r="AX732" s="7" t="s">
        <v>321</v>
      </c>
      <c r="AY732" s="7" t="s">
        <v>75</v>
      </c>
      <c r="AZ732" s="7"/>
      <c r="BA732" s="7" t="s">
        <v>76</v>
      </c>
      <c r="BB732" s="7" t="s">
        <v>13112</v>
      </c>
      <c r="BC732" s="7"/>
      <c r="BD732" s="7"/>
      <c r="BE732" s="7"/>
      <c r="BF732" s="7"/>
      <c r="BG732" s="7"/>
      <c r="BH732" s="7"/>
      <c r="BI732" s="7"/>
    </row>
    <row r="733" customFormat="false" ht="14.25" hidden="false" customHeight="true" outlineLevel="0" collapsed="false">
      <c r="A733" s="7" t="s">
        <v>13113</v>
      </c>
      <c r="B733" s="7" t="s">
        <v>13114</v>
      </c>
      <c r="C733" s="7" t="s">
        <v>13115</v>
      </c>
      <c r="D733" s="7" t="s">
        <v>13116</v>
      </c>
      <c r="E733" s="7" t="n">
        <v>2019</v>
      </c>
      <c r="F733" s="8" t="s">
        <v>13117</v>
      </c>
      <c r="G733" s="6" t="s">
        <v>134</v>
      </c>
      <c r="H733" s="7"/>
      <c r="I733" s="7"/>
      <c r="J733" s="7"/>
      <c r="K733" s="7"/>
      <c r="L733" s="7"/>
      <c r="M733" s="7"/>
      <c r="N733" s="7"/>
      <c r="O733" s="7"/>
      <c r="P733" s="7" t="s">
        <v>61</v>
      </c>
      <c r="Q733" s="7" t="s">
        <v>62</v>
      </c>
      <c r="R733" s="7" t="s">
        <v>13118</v>
      </c>
      <c r="S733" s="7" t="n">
        <v>16</v>
      </c>
      <c r="T733" s="7" t="s">
        <v>13119</v>
      </c>
      <c r="U733" s="7" t="n">
        <v>12</v>
      </c>
      <c r="V733" s="7"/>
      <c r="W733" s="7" t="n">
        <v>5105</v>
      </c>
      <c r="X733" s="7" t="n">
        <v>5110</v>
      </c>
      <c r="Y733" s="7" t="n">
        <v>5</v>
      </c>
      <c r="Z733" s="7" t="s">
        <v>13120</v>
      </c>
      <c r="AA733" s="9" t="s">
        <v>13121</v>
      </c>
      <c r="AB733" s="7" t="s">
        <v>13122</v>
      </c>
      <c r="AC733" s="7" t="s">
        <v>13123</v>
      </c>
      <c r="AD733" s="7" t="s">
        <v>13124</v>
      </c>
      <c r="AE733" s="7"/>
      <c r="AF733" s="7"/>
      <c r="AG733" s="7"/>
      <c r="AH733" s="7"/>
      <c r="AI733" s="7"/>
      <c r="AJ733" s="10"/>
      <c r="AK733" s="7"/>
      <c r="AL733" s="7" t="s">
        <v>13125</v>
      </c>
      <c r="AM733" s="7"/>
      <c r="AN733" s="7"/>
      <c r="AO733" s="7"/>
      <c r="AP733" s="7"/>
      <c r="AQ733" s="7"/>
      <c r="AR733" s="7"/>
      <c r="AS733" s="7"/>
      <c r="AT733" s="7" t="n">
        <v>15461955</v>
      </c>
      <c r="AU733" s="7"/>
      <c r="AV733" s="7"/>
      <c r="AW733" s="7"/>
      <c r="AX733" s="7" t="s">
        <v>13126</v>
      </c>
      <c r="AY733" s="7" t="s">
        <v>75</v>
      </c>
      <c r="AZ733" s="7"/>
      <c r="BA733" s="7" t="s">
        <v>76</v>
      </c>
      <c r="BB733" s="7" t="s">
        <v>13127</v>
      </c>
      <c r="BC733" s="7"/>
      <c r="BD733" s="7"/>
      <c r="BE733" s="7"/>
      <c r="BF733" s="7"/>
      <c r="BG733" s="7"/>
      <c r="BH733" s="7"/>
      <c r="BI733" s="7"/>
    </row>
    <row r="734" customFormat="false" ht="14.25" hidden="false" customHeight="true" outlineLevel="0" collapsed="false">
      <c r="A734" s="7" t="s">
        <v>13128</v>
      </c>
      <c r="B734" s="7" t="s">
        <v>13129</v>
      </c>
      <c r="C734" s="7" t="s">
        <v>13130</v>
      </c>
      <c r="D734" s="7" t="s">
        <v>13131</v>
      </c>
      <c r="E734" s="7" t="n">
        <v>2019</v>
      </c>
      <c r="F734" s="8" t="s">
        <v>13132</v>
      </c>
      <c r="G734" s="6" t="s">
        <v>134</v>
      </c>
      <c r="H734" s="7"/>
      <c r="I734" s="7"/>
      <c r="J734" s="7"/>
      <c r="K734" s="7"/>
      <c r="L734" s="7"/>
      <c r="M734" s="7"/>
      <c r="N734" s="7"/>
      <c r="O734" s="7"/>
      <c r="P734" s="7" t="s">
        <v>61</v>
      </c>
      <c r="Q734" s="7" t="s">
        <v>62</v>
      </c>
      <c r="R734" s="7" t="s">
        <v>13133</v>
      </c>
      <c r="S734" s="7" t="n">
        <v>8</v>
      </c>
      <c r="T734" s="7" t="s">
        <v>13133</v>
      </c>
      <c r="U734" s="7" t="n">
        <v>11</v>
      </c>
      <c r="V734" s="7"/>
      <c r="W734" s="7" t="n">
        <v>3690</v>
      </c>
      <c r="X734" s="7" t="n">
        <v>3695</v>
      </c>
      <c r="Y734" s="7" t="n">
        <v>5</v>
      </c>
      <c r="Z734" s="7"/>
      <c r="AA734" s="9" t="s">
        <v>13134</v>
      </c>
      <c r="AB734" s="7" t="s">
        <v>13135</v>
      </c>
      <c r="AC734" s="7" t="s">
        <v>13136</v>
      </c>
      <c r="AD734" s="7" t="s">
        <v>13137</v>
      </c>
      <c r="AE734" s="7"/>
      <c r="AF734" s="7"/>
      <c r="AG734" s="7"/>
      <c r="AH734" s="7"/>
      <c r="AI734" s="7"/>
      <c r="AJ734" s="10"/>
      <c r="AK734" s="7"/>
      <c r="AL734" s="7" t="s">
        <v>13138</v>
      </c>
      <c r="AM734" s="7" t="s">
        <v>13139</v>
      </c>
      <c r="AN734" s="7"/>
      <c r="AO734" s="7"/>
      <c r="AP734" s="7"/>
      <c r="AQ734" s="7"/>
      <c r="AR734" s="7"/>
      <c r="AS734" s="7"/>
      <c r="AT734" s="7" t="n">
        <v>22778616</v>
      </c>
      <c r="AU734" s="7"/>
      <c r="AV734" s="7"/>
      <c r="AW734" s="7"/>
      <c r="AX734" s="7" t="s">
        <v>13140</v>
      </c>
      <c r="AY734" s="7" t="s">
        <v>75</v>
      </c>
      <c r="AZ734" s="7"/>
      <c r="BA734" s="7" t="s">
        <v>76</v>
      </c>
      <c r="BB734" s="7" t="s">
        <v>13141</v>
      </c>
      <c r="BC734" s="7"/>
      <c r="BD734" s="7"/>
      <c r="BE734" s="7"/>
      <c r="BF734" s="7"/>
      <c r="BG734" s="7"/>
      <c r="BH734" s="7"/>
      <c r="BI734" s="7"/>
    </row>
    <row r="735" customFormat="false" ht="14.25" hidden="false" customHeight="true" outlineLevel="0" collapsed="false">
      <c r="A735" s="7" t="s">
        <v>13142</v>
      </c>
      <c r="B735" s="7" t="s">
        <v>13143</v>
      </c>
      <c r="C735" s="7" t="s">
        <v>13144</v>
      </c>
      <c r="D735" s="7" t="s">
        <v>13145</v>
      </c>
      <c r="E735" s="7" t="n">
        <v>2019</v>
      </c>
      <c r="F735" s="8" t="s">
        <v>13146</v>
      </c>
      <c r="G735" s="6" t="s">
        <v>149</v>
      </c>
      <c r="H735" s="7"/>
      <c r="I735" s="7"/>
      <c r="J735" s="7"/>
      <c r="K735" s="7"/>
      <c r="L735" s="7"/>
      <c r="M735" s="7"/>
      <c r="N735" s="7"/>
      <c r="O735" s="7"/>
      <c r="P735" s="7" t="s">
        <v>61</v>
      </c>
      <c r="Q735" s="7" t="s">
        <v>62</v>
      </c>
      <c r="R735" s="7" t="s">
        <v>993</v>
      </c>
      <c r="S735" s="7" t="n">
        <v>14</v>
      </c>
      <c r="T735" s="7" t="s">
        <v>500</v>
      </c>
      <c r="U735" s="7" t="n">
        <v>6</v>
      </c>
      <c r="V735" s="7" t="s">
        <v>13147</v>
      </c>
      <c r="W735" s="7"/>
      <c r="X735" s="7"/>
      <c r="Y735" s="7"/>
      <c r="Z735" s="7" t="s">
        <v>13148</v>
      </c>
      <c r="AA735" s="9" t="s">
        <v>13149</v>
      </c>
      <c r="AB735" s="7" t="s">
        <v>13150</v>
      </c>
      <c r="AC735" s="7" t="s">
        <v>13151</v>
      </c>
      <c r="AD735" s="7"/>
      <c r="AE735" s="7" t="s">
        <v>13152</v>
      </c>
      <c r="AF735" s="7"/>
      <c r="AG735" s="7"/>
      <c r="AH735" s="7"/>
      <c r="AI735" s="7"/>
      <c r="AJ735" s="10" t="s">
        <v>13153</v>
      </c>
      <c r="AK735" s="7" t="s">
        <v>13154</v>
      </c>
      <c r="AL735" s="7" t="s">
        <v>13155</v>
      </c>
      <c r="AM735" s="7" t="s">
        <v>13156</v>
      </c>
      <c r="AN735" s="7"/>
      <c r="AO735" s="7"/>
      <c r="AP735" s="7"/>
      <c r="AQ735" s="7"/>
      <c r="AR735" s="7"/>
      <c r="AS735" s="7"/>
      <c r="AT735" s="7" t="n">
        <v>19326203</v>
      </c>
      <c r="AU735" s="7"/>
      <c r="AV735" s="7" t="s">
        <v>1007</v>
      </c>
      <c r="AW735" s="7" t="n">
        <v>31211789</v>
      </c>
      <c r="AX735" s="7" t="s">
        <v>993</v>
      </c>
      <c r="AY735" s="7" t="s">
        <v>75</v>
      </c>
      <c r="AZ735" s="7" t="s">
        <v>107</v>
      </c>
      <c r="BA735" s="7" t="s">
        <v>76</v>
      </c>
      <c r="BB735" s="7" t="s">
        <v>13157</v>
      </c>
      <c r="BC735" s="7"/>
      <c r="BD735" s="7"/>
      <c r="BE735" s="7"/>
      <c r="BF735" s="7"/>
      <c r="BG735" s="7"/>
      <c r="BH735" s="7"/>
      <c r="BI735" s="7"/>
    </row>
    <row r="736" customFormat="false" ht="14.25" hidden="false" customHeight="true" outlineLevel="0" collapsed="false">
      <c r="A736" s="7" t="s">
        <v>13158</v>
      </c>
      <c r="B736" s="7" t="s">
        <v>13159</v>
      </c>
      <c r="C736" s="7" t="s">
        <v>13160</v>
      </c>
      <c r="D736" s="7" t="s">
        <v>13161</v>
      </c>
      <c r="E736" s="7" t="n">
        <v>2019</v>
      </c>
      <c r="F736" s="8" t="s">
        <v>13162</v>
      </c>
      <c r="G736" s="6" t="s">
        <v>3714</v>
      </c>
      <c r="H736" s="7"/>
      <c r="I736" s="7"/>
      <c r="J736" s="7"/>
      <c r="K736" s="7"/>
      <c r="L736" s="7"/>
      <c r="M736" s="7"/>
      <c r="N736" s="7"/>
      <c r="O736" s="7"/>
      <c r="P736" s="7" t="s">
        <v>61</v>
      </c>
      <c r="Q736" s="7" t="s">
        <v>62</v>
      </c>
      <c r="R736" s="7" t="s">
        <v>4949</v>
      </c>
      <c r="S736" s="7" t="n">
        <v>8</v>
      </c>
      <c r="T736" s="7" t="s">
        <v>11626</v>
      </c>
      <c r="U736" s="7" t="n">
        <v>1</v>
      </c>
      <c r="V736" s="7" t="n">
        <v>98</v>
      </c>
      <c r="W736" s="7"/>
      <c r="X736" s="7"/>
      <c r="Y736" s="7"/>
      <c r="Z736" s="7" t="s">
        <v>13163</v>
      </c>
      <c r="AA736" s="9" t="s">
        <v>13164</v>
      </c>
      <c r="AB736" s="7" t="s">
        <v>13165</v>
      </c>
      <c r="AC736" s="7" t="s">
        <v>13166</v>
      </c>
      <c r="AD736" s="7" t="s">
        <v>13167</v>
      </c>
      <c r="AE736" s="7" t="s">
        <v>13168</v>
      </c>
      <c r="AF736" s="7"/>
      <c r="AG736" s="7"/>
      <c r="AH736" s="7"/>
      <c r="AI736" s="7"/>
      <c r="AJ736" s="10"/>
      <c r="AK736" s="7"/>
      <c r="AL736" s="7" t="s">
        <v>13169</v>
      </c>
      <c r="AM736" s="7" t="s">
        <v>13170</v>
      </c>
      <c r="AN736" s="7"/>
      <c r="AO736" s="7"/>
      <c r="AP736" s="7"/>
      <c r="AQ736" s="7"/>
      <c r="AR736" s="7"/>
      <c r="AS736" s="7"/>
      <c r="AT736" s="7" t="n">
        <v>20955162</v>
      </c>
      <c r="AU736" s="7"/>
      <c r="AV736" s="7"/>
      <c r="AW736" s="7" t="n">
        <v>31791409</v>
      </c>
      <c r="AX736" s="7" t="s">
        <v>4960</v>
      </c>
      <c r="AY736" s="7" t="s">
        <v>75</v>
      </c>
      <c r="AZ736" s="7" t="s">
        <v>107</v>
      </c>
      <c r="BA736" s="7" t="s">
        <v>76</v>
      </c>
      <c r="BB736" s="7" t="s">
        <v>13171</v>
      </c>
      <c r="BC736" s="7"/>
      <c r="BD736" s="7"/>
      <c r="BE736" s="7"/>
      <c r="BF736" s="7"/>
      <c r="BG736" s="7"/>
      <c r="BH736" s="7"/>
      <c r="BI736" s="7"/>
    </row>
    <row r="737" customFormat="false" ht="14.25" hidden="false" customHeight="true" outlineLevel="0" collapsed="false">
      <c r="A737" s="7" t="s">
        <v>13172</v>
      </c>
      <c r="B737" s="7" t="s">
        <v>13173</v>
      </c>
      <c r="C737" s="7" t="s">
        <v>13174</v>
      </c>
      <c r="D737" s="7" t="s">
        <v>13175</v>
      </c>
      <c r="E737" s="7" t="n">
        <v>2019</v>
      </c>
      <c r="F737" s="8" t="s">
        <v>13176</v>
      </c>
      <c r="G737" s="6" t="s">
        <v>149</v>
      </c>
      <c r="H737" s="7"/>
      <c r="I737" s="7"/>
      <c r="J737" s="7"/>
      <c r="K737" s="7"/>
      <c r="L737" s="7"/>
      <c r="M737" s="7"/>
      <c r="N737" s="7"/>
      <c r="O737" s="7"/>
      <c r="P737" s="7" t="s">
        <v>61</v>
      </c>
      <c r="Q737" s="7" t="s">
        <v>62</v>
      </c>
      <c r="R737" s="7" t="s">
        <v>1897</v>
      </c>
      <c r="S737" s="7" t="n">
        <v>14</v>
      </c>
      <c r="T737" s="7" t="s">
        <v>1898</v>
      </c>
      <c r="U737" s="7" t="n">
        <v>2</v>
      </c>
      <c r="V737" s="7" t="n">
        <v>771</v>
      </c>
      <c r="W737" s="7" t="n">
        <v>183</v>
      </c>
      <c r="X737" s="7" t="n">
        <v>194</v>
      </c>
      <c r="Y737" s="7" t="n">
        <v>11</v>
      </c>
      <c r="Z737" s="7" t="s">
        <v>13177</v>
      </c>
      <c r="AA737" s="9" t="s">
        <v>13178</v>
      </c>
      <c r="AB737" s="7" t="s">
        <v>13179</v>
      </c>
      <c r="AC737" s="7" t="s">
        <v>13180</v>
      </c>
      <c r="AD737" s="7" t="s">
        <v>13181</v>
      </c>
      <c r="AE737" s="7" t="s">
        <v>13182</v>
      </c>
      <c r="AF737" s="7"/>
      <c r="AG737" s="7"/>
      <c r="AH737" s="7"/>
      <c r="AI737" s="7"/>
      <c r="AJ737" s="10" t="s">
        <v>13183</v>
      </c>
      <c r="AK737" s="7" t="s">
        <v>13184</v>
      </c>
      <c r="AL737" s="7" t="s">
        <v>13185</v>
      </c>
      <c r="AM737" s="7" t="s">
        <v>13186</v>
      </c>
      <c r="AN737" s="7"/>
      <c r="AO737" s="7"/>
      <c r="AP737" s="7"/>
      <c r="AQ737" s="7"/>
      <c r="AR737" s="7"/>
      <c r="AS737" s="7"/>
      <c r="AT737" s="7" t="n">
        <v>18271987</v>
      </c>
      <c r="AU737" s="7"/>
      <c r="AV737" s="7"/>
      <c r="AW737" s="7" t="n">
        <v>31724367</v>
      </c>
      <c r="AX737" s="7" t="s">
        <v>1897</v>
      </c>
      <c r="AY737" s="7" t="s">
        <v>75</v>
      </c>
      <c r="AZ737" s="7" t="s">
        <v>127</v>
      </c>
      <c r="BA737" s="7" t="s">
        <v>76</v>
      </c>
      <c r="BB737" s="7" t="s">
        <v>13187</v>
      </c>
      <c r="BC737" s="7"/>
      <c r="BD737" s="7"/>
      <c r="BE737" s="7"/>
      <c r="BF737" s="7"/>
      <c r="BG737" s="7"/>
      <c r="BH737" s="7"/>
      <c r="BI737" s="7"/>
    </row>
    <row r="738" customFormat="false" ht="14.25" hidden="false" customHeight="true" outlineLevel="0" collapsed="false">
      <c r="A738" s="7" t="s">
        <v>13188</v>
      </c>
      <c r="B738" s="7" t="s">
        <v>13189</v>
      </c>
      <c r="C738" s="7" t="s">
        <v>13190</v>
      </c>
      <c r="D738" s="7" t="s">
        <v>13191</v>
      </c>
      <c r="E738" s="7" t="n">
        <v>2019</v>
      </c>
      <c r="F738" s="8" t="s">
        <v>13192</v>
      </c>
      <c r="G738" s="6" t="s">
        <v>393</v>
      </c>
      <c r="H738" s="7"/>
      <c r="I738" s="7"/>
      <c r="J738" s="7"/>
      <c r="K738" s="7"/>
      <c r="L738" s="7"/>
      <c r="M738" s="7"/>
      <c r="N738" s="7"/>
      <c r="O738" s="7"/>
      <c r="P738" s="7" t="s">
        <v>61</v>
      </c>
      <c r="Q738" s="7" t="s">
        <v>62</v>
      </c>
      <c r="R738" s="7" t="s">
        <v>13193</v>
      </c>
      <c r="S738" s="7" t="n">
        <v>184</v>
      </c>
      <c r="T738" s="7" t="s">
        <v>395</v>
      </c>
      <c r="U738" s="23" t="n">
        <v>45910</v>
      </c>
      <c r="V738" s="7"/>
      <c r="W738" s="7" t="s">
        <v>13194</v>
      </c>
      <c r="X738" s="7" t="s">
        <v>13195</v>
      </c>
      <c r="Y738" s="7" t="n">
        <v>6</v>
      </c>
      <c r="Z738" s="7" t="s">
        <v>13196</v>
      </c>
      <c r="AA738" s="9" t="s">
        <v>13197</v>
      </c>
      <c r="AB738" s="7" t="s">
        <v>13198</v>
      </c>
      <c r="AC738" s="7" t="s">
        <v>13199</v>
      </c>
      <c r="AD738" s="7" t="s">
        <v>13200</v>
      </c>
      <c r="AE738" s="7" t="s">
        <v>13201</v>
      </c>
      <c r="AF738" s="7"/>
      <c r="AG738" s="7" t="s">
        <v>13202</v>
      </c>
      <c r="AH738" s="7"/>
      <c r="AI738" s="7"/>
      <c r="AJ738" s="10"/>
      <c r="AK738" s="7"/>
      <c r="AL738" s="7" t="s">
        <v>13203</v>
      </c>
      <c r="AM738" s="7"/>
      <c r="AN738" s="7"/>
      <c r="AO738" s="7"/>
      <c r="AP738" s="7"/>
      <c r="AQ738" s="7"/>
      <c r="AR738" s="7"/>
      <c r="AS738" s="7"/>
      <c r="AT738" s="7" t="n">
        <v>264075</v>
      </c>
      <c r="AU738" s="7"/>
      <c r="AV738" s="7" t="s">
        <v>13204</v>
      </c>
      <c r="AW738" s="7" t="n">
        <v>31004174</v>
      </c>
      <c r="AX738" s="7" t="s">
        <v>13205</v>
      </c>
      <c r="AY738" s="7" t="s">
        <v>75</v>
      </c>
      <c r="AZ738" s="7" t="s">
        <v>7961</v>
      </c>
      <c r="BA738" s="7" t="s">
        <v>76</v>
      </c>
      <c r="BB738" s="7" t="s">
        <v>13206</v>
      </c>
      <c r="BC738" s="7"/>
      <c r="BD738" s="7"/>
      <c r="BE738" s="7"/>
      <c r="BF738" s="7"/>
      <c r="BG738" s="7"/>
      <c r="BH738" s="7"/>
      <c r="BI738" s="7"/>
    </row>
    <row r="739" customFormat="false" ht="14.25" hidden="false" customHeight="true" outlineLevel="0" collapsed="false">
      <c r="A739" s="7" t="s">
        <v>13207</v>
      </c>
      <c r="B739" s="7" t="s">
        <v>13208</v>
      </c>
      <c r="C739" s="7" t="s">
        <v>13209</v>
      </c>
      <c r="D739" s="7" t="s">
        <v>13210</v>
      </c>
      <c r="E739" s="7" t="n">
        <v>2019</v>
      </c>
      <c r="F739" s="8" t="s">
        <v>13211</v>
      </c>
      <c r="G739" s="6" t="s">
        <v>134</v>
      </c>
      <c r="H739" s="7"/>
      <c r="I739" s="7"/>
      <c r="J739" s="7"/>
      <c r="K739" s="7"/>
      <c r="L739" s="7"/>
      <c r="M739" s="7"/>
      <c r="N739" s="7"/>
      <c r="O739" s="7"/>
      <c r="P739" s="7" t="s">
        <v>61</v>
      </c>
      <c r="Q739" s="7" t="s">
        <v>62</v>
      </c>
      <c r="R739" s="7" t="s">
        <v>13212</v>
      </c>
      <c r="S739" s="7" t="n">
        <v>61</v>
      </c>
      <c r="T739" s="7" t="s">
        <v>1195</v>
      </c>
      <c r="U739" s="7"/>
      <c r="V739" s="7"/>
      <c r="W739" s="7" t="n">
        <v>55</v>
      </c>
      <c r="X739" s="7" t="n">
        <v>60</v>
      </c>
      <c r="Y739" s="7" t="n">
        <v>5</v>
      </c>
      <c r="Z739" s="7" t="s">
        <v>13213</v>
      </c>
      <c r="AA739" s="9" t="s">
        <v>13214</v>
      </c>
      <c r="AB739" s="7" t="s">
        <v>13215</v>
      </c>
      <c r="AC739" s="7" t="s">
        <v>13216</v>
      </c>
      <c r="AD739" s="7" t="s">
        <v>13217</v>
      </c>
      <c r="AE739" s="7" t="s">
        <v>13218</v>
      </c>
      <c r="AF739" s="7"/>
      <c r="AG739" s="7"/>
      <c r="AH739" s="7"/>
      <c r="AI739" s="7"/>
      <c r="AJ739" s="10" t="s">
        <v>13219</v>
      </c>
      <c r="AK739" s="7" t="s">
        <v>13220</v>
      </c>
      <c r="AL739" s="7" t="s">
        <v>13221</v>
      </c>
      <c r="AM739" s="7" t="s">
        <v>13222</v>
      </c>
      <c r="AN739" s="7"/>
      <c r="AO739" s="7"/>
      <c r="AP739" s="7"/>
      <c r="AQ739" s="7"/>
      <c r="AR739" s="7"/>
      <c r="AS739" s="7"/>
      <c r="AT739" s="7" t="n">
        <v>10451056</v>
      </c>
      <c r="AU739" s="7"/>
      <c r="AV739" s="7" t="s">
        <v>13223</v>
      </c>
      <c r="AW739" s="7" t="n">
        <v>31277902</v>
      </c>
      <c r="AX739" s="7" t="s">
        <v>13212</v>
      </c>
      <c r="AY739" s="7" t="s">
        <v>75</v>
      </c>
      <c r="AZ739" s="7" t="s">
        <v>2509</v>
      </c>
      <c r="BA739" s="7" t="s">
        <v>76</v>
      </c>
      <c r="BB739" s="7" t="s">
        <v>13224</v>
      </c>
      <c r="BC739" s="7"/>
      <c r="BD739" s="7"/>
      <c r="BE739" s="7"/>
      <c r="BF739" s="7"/>
      <c r="BG739" s="7"/>
      <c r="BH739" s="7"/>
      <c r="BI739" s="7"/>
    </row>
    <row r="740" customFormat="false" ht="14.25" hidden="false" customHeight="true" outlineLevel="0" collapsed="false">
      <c r="A740" s="7" t="s">
        <v>13225</v>
      </c>
      <c r="B740" s="7" t="s">
        <v>13226</v>
      </c>
      <c r="C740" s="7" t="s">
        <v>13227</v>
      </c>
      <c r="D740" s="7" t="s">
        <v>13228</v>
      </c>
      <c r="E740" s="7" t="n">
        <v>2019</v>
      </c>
      <c r="F740" s="8" t="s">
        <v>13229</v>
      </c>
      <c r="G740" s="6" t="s">
        <v>134</v>
      </c>
      <c r="H740" s="7"/>
      <c r="I740" s="7"/>
      <c r="J740" s="7"/>
      <c r="K740" s="7"/>
      <c r="L740" s="7"/>
      <c r="M740" s="7"/>
      <c r="N740" s="7"/>
      <c r="O740" s="7"/>
      <c r="P740" s="7" t="s">
        <v>255</v>
      </c>
      <c r="Q740" s="7" t="s">
        <v>62</v>
      </c>
      <c r="R740" s="7" t="s">
        <v>13230</v>
      </c>
      <c r="S740" s="7"/>
      <c r="T740" s="7" t="s">
        <v>10004</v>
      </c>
      <c r="U740" s="7"/>
      <c r="V740" s="7"/>
      <c r="W740" s="7" t="n">
        <v>109</v>
      </c>
      <c r="X740" s="7" t="n">
        <v>127</v>
      </c>
      <c r="Y740" s="7" t="n">
        <v>18</v>
      </c>
      <c r="Z740" s="7" t="s">
        <v>13231</v>
      </c>
      <c r="AA740" s="9" t="s">
        <v>13232</v>
      </c>
      <c r="AB740" s="7" t="s">
        <v>13233</v>
      </c>
      <c r="AC740" s="7" t="s">
        <v>13234</v>
      </c>
      <c r="AD740" s="7" t="s">
        <v>13235</v>
      </c>
      <c r="AE740" s="7"/>
      <c r="AF740" s="7"/>
      <c r="AG740" s="7"/>
      <c r="AH740" s="7"/>
      <c r="AI740" s="7"/>
      <c r="AJ740" s="10"/>
      <c r="AK740" s="7"/>
      <c r="AL740" s="7" t="s">
        <v>13236</v>
      </c>
      <c r="AM740" s="7"/>
      <c r="AN740" s="7"/>
      <c r="AO740" s="7"/>
      <c r="AP740" s="7"/>
      <c r="AQ740" s="7"/>
      <c r="AR740" s="7"/>
      <c r="AS740" s="7"/>
      <c r="AT740" s="7"/>
      <c r="AU740" s="7" t="s">
        <v>13237</v>
      </c>
      <c r="AV740" s="7"/>
      <c r="AW740" s="7"/>
      <c r="AX740" s="7" t="s">
        <v>13230</v>
      </c>
      <c r="AY740" s="7" t="s">
        <v>75</v>
      </c>
      <c r="AZ740" s="7"/>
      <c r="BA740" s="7" t="s">
        <v>76</v>
      </c>
      <c r="BB740" s="7" t="s">
        <v>13238</v>
      </c>
      <c r="BC740" s="7"/>
      <c r="BD740" s="7"/>
      <c r="BE740" s="7"/>
      <c r="BF740" s="7"/>
      <c r="BG740" s="7"/>
      <c r="BH740" s="7"/>
      <c r="BI740" s="7"/>
    </row>
    <row r="741" customFormat="false" ht="14.25" hidden="false" customHeight="true" outlineLevel="0" collapsed="false">
      <c r="A741" s="7" t="s">
        <v>13239</v>
      </c>
      <c r="B741" s="7" t="s">
        <v>13240</v>
      </c>
      <c r="C741" s="7" t="s">
        <v>13241</v>
      </c>
      <c r="D741" s="7" t="s">
        <v>13242</v>
      </c>
      <c r="E741" s="7" t="n">
        <v>2019</v>
      </c>
      <c r="F741" s="8" t="s">
        <v>13243</v>
      </c>
      <c r="G741" s="6" t="s">
        <v>134</v>
      </c>
      <c r="H741" s="7"/>
      <c r="I741" s="7"/>
      <c r="J741" s="7"/>
      <c r="K741" s="7"/>
      <c r="L741" s="7"/>
      <c r="M741" s="7"/>
      <c r="N741" s="7"/>
      <c r="O741" s="7"/>
      <c r="P741" s="7" t="s">
        <v>255</v>
      </c>
      <c r="Q741" s="7" t="s">
        <v>62</v>
      </c>
      <c r="R741" s="7" t="s">
        <v>5183</v>
      </c>
      <c r="S741" s="7" t="n">
        <v>30</v>
      </c>
      <c r="T741" s="7" t="s">
        <v>13244</v>
      </c>
      <c r="U741" s="7"/>
      <c r="V741" s="7"/>
      <c r="W741" s="7" t="n">
        <v>41</v>
      </c>
      <c r="X741" s="7" t="n">
        <v>49</v>
      </c>
      <c r="Y741" s="7" t="n">
        <v>8</v>
      </c>
      <c r="Z741" s="7" t="s">
        <v>13245</v>
      </c>
      <c r="AA741" s="9" t="s">
        <v>13246</v>
      </c>
      <c r="AB741" s="7" t="s">
        <v>13247</v>
      </c>
      <c r="AC741" s="7" t="s">
        <v>13248</v>
      </c>
      <c r="AD741" s="7" t="s">
        <v>13249</v>
      </c>
      <c r="AE741" s="7"/>
      <c r="AF741" s="7"/>
      <c r="AG741" s="7"/>
      <c r="AH741" s="7"/>
      <c r="AI741" s="7"/>
      <c r="AJ741" s="10"/>
      <c r="AK741" s="7"/>
      <c r="AL741" s="7" t="s">
        <v>13250</v>
      </c>
      <c r="AM741" s="7" t="s">
        <v>13251</v>
      </c>
      <c r="AN741" s="7"/>
      <c r="AO741" s="7"/>
      <c r="AP741" s="7"/>
      <c r="AQ741" s="7"/>
      <c r="AR741" s="7"/>
      <c r="AS741" s="7"/>
      <c r="AT741" s="7" t="n">
        <v>22129391</v>
      </c>
      <c r="AU741" s="7"/>
      <c r="AV741" s="7"/>
      <c r="AW741" s="7"/>
      <c r="AX741" s="7" t="s">
        <v>5192</v>
      </c>
      <c r="AY741" s="7" t="s">
        <v>75</v>
      </c>
      <c r="AZ741" s="7"/>
      <c r="BA741" s="7" t="s">
        <v>76</v>
      </c>
      <c r="BB741" s="7" t="s">
        <v>13252</v>
      </c>
      <c r="BC741" s="7"/>
      <c r="BD741" s="7"/>
      <c r="BE741" s="7"/>
      <c r="BF741" s="7"/>
      <c r="BG741" s="7"/>
      <c r="BH741" s="7"/>
      <c r="BI741" s="7"/>
    </row>
    <row r="742" customFormat="false" ht="14.25" hidden="false" customHeight="true" outlineLevel="0" collapsed="false">
      <c r="A742" s="7" t="s">
        <v>13253</v>
      </c>
      <c r="B742" s="7" t="s">
        <v>13254</v>
      </c>
      <c r="C742" s="7" t="n">
        <v>57350001200</v>
      </c>
      <c r="D742" s="7" t="s">
        <v>13255</v>
      </c>
      <c r="E742" s="7" t="n">
        <v>2019</v>
      </c>
      <c r="F742" s="8" t="s">
        <v>13256</v>
      </c>
      <c r="G742" s="6" t="s">
        <v>134</v>
      </c>
      <c r="H742" s="7"/>
      <c r="I742" s="7"/>
      <c r="J742" s="7"/>
      <c r="K742" s="7"/>
      <c r="L742" s="7"/>
      <c r="M742" s="7"/>
      <c r="N742" s="7"/>
      <c r="O742" s="7"/>
      <c r="P742" s="7" t="s">
        <v>304</v>
      </c>
      <c r="Q742" s="7" t="s">
        <v>62</v>
      </c>
      <c r="R742" s="7" t="s">
        <v>13257</v>
      </c>
      <c r="S742" s="7"/>
      <c r="T742" s="7" t="s">
        <v>187</v>
      </c>
      <c r="U742" s="7"/>
      <c r="V742" s="7" t="n">
        <v>8734354</v>
      </c>
      <c r="W742" s="7" t="n">
        <v>150</v>
      </c>
      <c r="X742" s="7" t="n">
        <v>156</v>
      </c>
      <c r="Y742" s="7" t="n">
        <v>6</v>
      </c>
      <c r="Z742" s="7" t="s">
        <v>13258</v>
      </c>
      <c r="AA742" s="9" t="s">
        <v>13259</v>
      </c>
      <c r="AB742" s="7" t="s">
        <v>13260</v>
      </c>
      <c r="AC742" s="7" t="s">
        <v>13261</v>
      </c>
      <c r="AD742" s="7" t="s">
        <v>13262</v>
      </c>
      <c r="AE742" s="7" t="s">
        <v>13263</v>
      </c>
      <c r="AF742" s="7"/>
      <c r="AG742" s="7"/>
      <c r="AH742" s="7"/>
      <c r="AI742" s="7"/>
      <c r="AJ742" s="10"/>
      <c r="AK742" s="7"/>
      <c r="AL742" s="7" t="s">
        <v>13264</v>
      </c>
      <c r="AM742" s="7" t="s">
        <v>13265</v>
      </c>
      <c r="AN742" s="7" t="s">
        <v>13266</v>
      </c>
      <c r="AO742" s="7"/>
      <c r="AP742" s="7" t="s">
        <v>13267</v>
      </c>
      <c r="AQ742" s="7" t="s">
        <v>13268</v>
      </c>
      <c r="AR742" s="7" t="s">
        <v>13269</v>
      </c>
      <c r="AS742" s="7" t="n">
        <v>148711</v>
      </c>
      <c r="AT742" s="7"/>
      <c r="AU742" s="7" t="s">
        <v>13270</v>
      </c>
      <c r="AV742" s="7"/>
      <c r="AW742" s="7"/>
      <c r="AX742" s="7" t="s">
        <v>13271</v>
      </c>
      <c r="AY742" s="7" t="s">
        <v>75</v>
      </c>
      <c r="AZ742" s="7"/>
      <c r="BA742" s="7" t="s">
        <v>76</v>
      </c>
      <c r="BB742" s="7" t="s">
        <v>13272</v>
      </c>
      <c r="BC742" s="7"/>
      <c r="BD742" s="7"/>
      <c r="BE742" s="7"/>
      <c r="BF742" s="7"/>
      <c r="BG742" s="7"/>
      <c r="BH742" s="7"/>
      <c r="BI742" s="7"/>
    </row>
    <row r="743" customFormat="false" ht="14.25" hidden="false" customHeight="true" outlineLevel="0" collapsed="false">
      <c r="A743" s="7" t="s">
        <v>13273</v>
      </c>
      <c r="B743" s="7" t="s">
        <v>13274</v>
      </c>
      <c r="C743" s="7" t="s">
        <v>13275</v>
      </c>
      <c r="D743" s="7" t="s">
        <v>13276</v>
      </c>
      <c r="E743" s="7" t="n">
        <v>2019</v>
      </c>
      <c r="F743" s="8" t="s">
        <v>13277</v>
      </c>
      <c r="G743" s="6" t="s">
        <v>134</v>
      </c>
      <c r="H743" s="7"/>
      <c r="I743" s="7"/>
      <c r="J743" s="7"/>
      <c r="K743" s="7"/>
      <c r="L743" s="7"/>
      <c r="M743" s="7"/>
      <c r="N743" s="7"/>
      <c r="O743" s="7"/>
      <c r="P743" s="7" t="s">
        <v>304</v>
      </c>
      <c r="Q743" s="7" t="s">
        <v>62</v>
      </c>
      <c r="R743" s="7" t="s">
        <v>13278</v>
      </c>
      <c r="S743" s="7"/>
      <c r="T743" s="7" t="s">
        <v>187</v>
      </c>
      <c r="U743" s="7"/>
      <c r="V743" s="7" t="n">
        <v>9037029</v>
      </c>
      <c r="W743" s="7"/>
      <c r="X743" s="7"/>
      <c r="Y743" s="7"/>
      <c r="Z743" s="7" t="s">
        <v>13279</v>
      </c>
      <c r="AA743" s="9" t="s">
        <v>13280</v>
      </c>
      <c r="AB743" s="7" t="s">
        <v>13281</v>
      </c>
      <c r="AC743" s="7" t="s">
        <v>13282</v>
      </c>
      <c r="AD743" s="7" t="s">
        <v>13283</v>
      </c>
      <c r="AE743" s="7" t="s">
        <v>13284</v>
      </c>
      <c r="AF743" s="7"/>
      <c r="AG743" s="7"/>
      <c r="AH743" s="7"/>
      <c r="AI743" s="7"/>
      <c r="AJ743" s="10"/>
      <c r="AK743" s="7"/>
      <c r="AL743" s="7" t="s">
        <v>13285</v>
      </c>
      <c r="AM743" s="7"/>
      <c r="AN743" s="7"/>
      <c r="AO743" s="7" t="s">
        <v>13286</v>
      </c>
      <c r="AP743" s="7" t="s">
        <v>13287</v>
      </c>
      <c r="AQ743" s="7" t="s">
        <v>13288</v>
      </c>
      <c r="AR743" s="7" t="s">
        <v>11884</v>
      </c>
      <c r="AS743" s="7" t="n">
        <v>158633</v>
      </c>
      <c r="AT743" s="7"/>
      <c r="AU743" s="7" t="s">
        <v>13289</v>
      </c>
      <c r="AV743" s="7"/>
      <c r="AW743" s="7"/>
      <c r="AX743" s="7" t="s">
        <v>13290</v>
      </c>
      <c r="AY743" s="7" t="s">
        <v>75</v>
      </c>
      <c r="AZ743" s="7"/>
      <c r="BA743" s="7" t="s">
        <v>76</v>
      </c>
      <c r="BB743" s="7" t="s">
        <v>13291</v>
      </c>
      <c r="BC743" s="7"/>
      <c r="BD743" s="7"/>
      <c r="BE743" s="7"/>
      <c r="BF743" s="7"/>
      <c r="BG743" s="7"/>
      <c r="BH743" s="7"/>
      <c r="BI743" s="7"/>
    </row>
    <row r="744" customFormat="false" ht="14.25" hidden="false" customHeight="true" outlineLevel="0" collapsed="false">
      <c r="A744" s="7" t="s">
        <v>13292</v>
      </c>
      <c r="B744" s="7" t="s">
        <v>13293</v>
      </c>
      <c r="C744" s="7" t="s">
        <v>13294</v>
      </c>
      <c r="D744" s="7" t="s">
        <v>13295</v>
      </c>
      <c r="E744" s="7" t="n">
        <v>2019</v>
      </c>
      <c r="F744" s="8" t="s">
        <v>13296</v>
      </c>
      <c r="G744" s="6" t="s">
        <v>134</v>
      </c>
      <c r="H744" s="7"/>
      <c r="I744" s="7"/>
      <c r="J744" s="7"/>
      <c r="K744" s="7"/>
      <c r="L744" s="7"/>
      <c r="M744" s="7"/>
      <c r="N744" s="7"/>
      <c r="O744" s="7"/>
      <c r="P744" s="7" t="s">
        <v>304</v>
      </c>
      <c r="Q744" s="7" t="s">
        <v>62</v>
      </c>
      <c r="R744" s="7" t="s">
        <v>13297</v>
      </c>
      <c r="S744" s="7"/>
      <c r="T744" s="7" t="s">
        <v>187</v>
      </c>
      <c r="U744" s="7"/>
      <c r="V744" s="7" t="n">
        <v>8626669</v>
      </c>
      <c r="W744" s="7" t="n">
        <v>7</v>
      </c>
      <c r="X744" s="7" t="n">
        <v>12</v>
      </c>
      <c r="Y744" s="7" t="n">
        <v>5</v>
      </c>
      <c r="Z744" s="7" t="s">
        <v>13298</v>
      </c>
      <c r="AA744" s="9" t="s">
        <v>13299</v>
      </c>
      <c r="AB744" s="7" t="s">
        <v>13300</v>
      </c>
      <c r="AC744" s="7" t="s">
        <v>13301</v>
      </c>
      <c r="AD744" s="7" t="s">
        <v>13302</v>
      </c>
      <c r="AE744" s="7" t="s">
        <v>13303</v>
      </c>
      <c r="AF744" s="7"/>
      <c r="AG744" s="7"/>
      <c r="AH744" s="7"/>
      <c r="AI744" s="7"/>
      <c r="AJ744" s="10"/>
      <c r="AK744" s="7"/>
      <c r="AL744" s="7" t="s">
        <v>13304</v>
      </c>
      <c r="AM744" s="7"/>
      <c r="AN744" s="7"/>
      <c r="AO744" s="7" t="s">
        <v>13305</v>
      </c>
      <c r="AP744" s="7" t="s">
        <v>13306</v>
      </c>
      <c r="AQ744" s="7" t="s">
        <v>13307</v>
      </c>
      <c r="AR744" s="7" t="s">
        <v>12150</v>
      </c>
      <c r="AS744" s="7" t="n">
        <v>144644</v>
      </c>
      <c r="AT744" s="7"/>
      <c r="AU744" s="7" t="s">
        <v>13308</v>
      </c>
      <c r="AV744" s="7"/>
      <c r="AW744" s="7"/>
      <c r="AX744" s="7" t="s">
        <v>13309</v>
      </c>
      <c r="AY744" s="7" t="s">
        <v>75</v>
      </c>
      <c r="AZ744" s="7"/>
      <c r="BA744" s="7" t="s">
        <v>76</v>
      </c>
      <c r="BB744" s="7" t="s">
        <v>13310</v>
      </c>
      <c r="BC744" s="7"/>
      <c r="BD744" s="7"/>
      <c r="BE744" s="7"/>
      <c r="BF744" s="7"/>
      <c r="BG744" s="7"/>
      <c r="BH744" s="7"/>
      <c r="BI744" s="7"/>
    </row>
    <row r="745" customFormat="false" ht="14.25" hidden="false" customHeight="true" outlineLevel="0" collapsed="false">
      <c r="A745" s="7" t="s">
        <v>13311</v>
      </c>
      <c r="B745" s="7" t="s">
        <v>13312</v>
      </c>
      <c r="C745" s="7" t="s">
        <v>13313</v>
      </c>
      <c r="D745" s="7" t="s">
        <v>13314</v>
      </c>
      <c r="E745" s="7" t="n">
        <v>2019</v>
      </c>
      <c r="F745" s="8" t="s">
        <v>13315</v>
      </c>
      <c r="G745" s="6" t="s">
        <v>134</v>
      </c>
      <c r="H745" s="7"/>
      <c r="I745" s="7"/>
      <c r="J745" s="7"/>
      <c r="K745" s="7"/>
      <c r="L745" s="7"/>
      <c r="M745" s="7"/>
      <c r="N745" s="7"/>
      <c r="O745" s="7"/>
      <c r="P745" s="7" t="s">
        <v>304</v>
      </c>
      <c r="Q745" s="7" t="s">
        <v>62</v>
      </c>
      <c r="R745" s="7" t="s">
        <v>305</v>
      </c>
      <c r="S745" s="7" t="n">
        <v>1026</v>
      </c>
      <c r="T745" s="7" t="s">
        <v>13103</v>
      </c>
      <c r="U745" s="7"/>
      <c r="V745" s="7"/>
      <c r="W745" s="7" t="n">
        <v>46</v>
      </c>
      <c r="X745" s="7" t="n">
        <v>56</v>
      </c>
      <c r="Y745" s="7" t="n">
        <v>10</v>
      </c>
      <c r="Z745" s="7" t="s">
        <v>13316</v>
      </c>
      <c r="AA745" s="9" t="s">
        <v>13317</v>
      </c>
      <c r="AB745" s="7" t="s">
        <v>13318</v>
      </c>
      <c r="AC745" s="7" t="s">
        <v>13319</v>
      </c>
      <c r="AD745" s="7" t="s">
        <v>13320</v>
      </c>
      <c r="AE745" s="7" t="s">
        <v>13321</v>
      </c>
      <c r="AF745" s="7"/>
      <c r="AG745" s="7"/>
      <c r="AH745" s="7"/>
      <c r="AI745" s="7"/>
      <c r="AJ745" s="10"/>
      <c r="AK745" s="7"/>
      <c r="AL745" s="7" t="s">
        <v>13322</v>
      </c>
      <c r="AM745" s="7" t="s">
        <v>13323</v>
      </c>
      <c r="AN745" s="7" t="s">
        <v>13324</v>
      </c>
      <c r="AO745" s="7"/>
      <c r="AP745" s="7" t="s">
        <v>13325</v>
      </c>
      <c r="AQ745" s="7" t="s">
        <v>13326</v>
      </c>
      <c r="AR745" s="7" t="s">
        <v>13327</v>
      </c>
      <c r="AS745" s="7" t="n">
        <v>229399</v>
      </c>
      <c r="AT745" s="7" t="n">
        <v>18650929</v>
      </c>
      <c r="AU745" s="7" t="s">
        <v>13328</v>
      </c>
      <c r="AV745" s="7"/>
      <c r="AW745" s="7"/>
      <c r="AX745" s="7" t="s">
        <v>321</v>
      </c>
      <c r="AY745" s="7" t="s">
        <v>75</v>
      </c>
      <c r="AZ745" s="7"/>
      <c r="BA745" s="7" t="s">
        <v>76</v>
      </c>
      <c r="BB745" s="7" t="s">
        <v>13329</v>
      </c>
      <c r="BC745" s="7"/>
      <c r="BD745" s="7"/>
      <c r="BE745" s="7"/>
      <c r="BF745" s="7"/>
      <c r="BG745" s="7"/>
      <c r="BH745" s="7"/>
      <c r="BI745" s="7"/>
    </row>
    <row r="746" customFormat="false" ht="14.25" hidden="false" customHeight="true" outlineLevel="0" collapsed="false">
      <c r="A746" s="7" t="s">
        <v>13330</v>
      </c>
      <c r="B746" s="7" t="s">
        <v>13331</v>
      </c>
      <c r="C746" s="7" t="s">
        <v>13332</v>
      </c>
      <c r="D746" s="7" t="s">
        <v>13333</v>
      </c>
      <c r="E746" s="7" t="n">
        <v>2019</v>
      </c>
      <c r="F746" s="8" t="s">
        <v>13334</v>
      </c>
      <c r="G746" s="6" t="s">
        <v>1686</v>
      </c>
      <c r="H746" s="7"/>
      <c r="I746" s="7"/>
      <c r="J746" s="7"/>
      <c r="K746" s="7"/>
      <c r="L746" s="7"/>
      <c r="M746" s="7"/>
      <c r="N746" s="7"/>
      <c r="O746" s="7"/>
      <c r="P746" s="7" t="s">
        <v>304</v>
      </c>
      <c r="Q746" s="7" t="s">
        <v>62</v>
      </c>
      <c r="R746" s="7" t="s">
        <v>13335</v>
      </c>
      <c r="S746" s="7"/>
      <c r="T746" s="7" t="s">
        <v>187</v>
      </c>
      <c r="U746" s="7"/>
      <c r="V746" s="7" t="n">
        <v>9035166</v>
      </c>
      <c r="W746" s="7"/>
      <c r="X746" s="7"/>
      <c r="Y746" s="7"/>
      <c r="Z746" s="7" t="s">
        <v>13336</v>
      </c>
      <c r="AA746" s="9" t="s">
        <v>13337</v>
      </c>
      <c r="AB746" s="7" t="s">
        <v>13338</v>
      </c>
      <c r="AC746" s="7" t="s">
        <v>13339</v>
      </c>
      <c r="AD746" s="7" t="s">
        <v>13340</v>
      </c>
      <c r="AE746" s="7" t="s">
        <v>13341</v>
      </c>
      <c r="AF746" s="7"/>
      <c r="AG746" s="7"/>
      <c r="AH746" s="7"/>
      <c r="AI746" s="7"/>
      <c r="AJ746" s="10"/>
      <c r="AK746" s="7"/>
      <c r="AL746" s="7" t="s">
        <v>13342</v>
      </c>
      <c r="AM746" s="7"/>
      <c r="AN746" s="7"/>
      <c r="AO746" s="7"/>
      <c r="AP746" s="7" t="s">
        <v>13343</v>
      </c>
      <c r="AQ746" s="7" t="s">
        <v>13344</v>
      </c>
      <c r="AR746" s="7" t="s">
        <v>13345</v>
      </c>
      <c r="AS746" s="7" t="n">
        <v>158565</v>
      </c>
      <c r="AT746" s="7"/>
      <c r="AU746" s="7" t="s">
        <v>13346</v>
      </c>
      <c r="AV746" s="7"/>
      <c r="AW746" s="7"/>
      <c r="AX746" s="7" t="s">
        <v>13347</v>
      </c>
      <c r="AY746" s="7" t="s">
        <v>75</v>
      </c>
      <c r="AZ746" s="7"/>
      <c r="BA746" s="7" t="s">
        <v>76</v>
      </c>
      <c r="BB746" s="7" t="s">
        <v>13348</v>
      </c>
      <c r="BC746" s="7"/>
      <c r="BD746" s="7"/>
      <c r="BE746" s="7"/>
      <c r="BF746" s="7"/>
      <c r="BG746" s="7"/>
      <c r="BH746" s="7"/>
      <c r="BI746" s="7"/>
    </row>
    <row r="747" customFormat="false" ht="14.25" hidden="false" customHeight="true" outlineLevel="0" collapsed="false">
      <c r="A747" s="7" t="s">
        <v>13349</v>
      </c>
      <c r="B747" s="7" t="s">
        <v>13350</v>
      </c>
      <c r="C747" s="7" t="s">
        <v>13351</v>
      </c>
      <c r="D747" s="7" t="s">
        <v>13352</v>
      </c>
      <c r="E747" s="7" t="n">
        <v>2019</v>
      </c>
      <c r="F747" s="8" t="s">
        <v>13353</v>
      </c>
      <c r="G747" s="6" t="s">
        <v>3714</v>
      </c>
      <c r="H747" s="7"/>
      <c r="I747" s="7"/>
      <c r="J747" s="7"/>
      <c r="K747" s="7"/>
      <c r="L747" s="7"/>
      <c r="M747" s="7"/>
      <c r="N747" s="7"/>
      <c r="O747" s="7"/>
      <c r="P747" s="7" t="s">
        <v>304</v>
      </c>
      <c r="Q747" s="7" t="s">
        <v>62</v>
      </c>
      <c r="R747" s="7" t="s">
        <v>13354</v>
      </c>
      <c r="S747" s="7"/>
      <c r="T747" s="7" t="s">
        <v>187</v>
      </c>
      <c r="U747" s="7"/>
      <c r="V747" s="7" t="n">
        <v>9024438</v>
      </c>
      <c r="W747" s="7"/>
      <c r="X747" s="7"/>
      <c r="Y747" s="7"/>
      <c r="Z747" s="7" t="s">
        <v>13355</v>
      </c>
      <c r="AA747" s="9" t="s">
        <v>13356</v>
      </c>
      <c r="AB747" s="7" t="s">
        <v>13357</v>
      </c>
      <c r="AC747" s="7" t="s">
        <v>13358</v>
      </c>
      <c r="AD747" s="7" t="s">
        <v>13359</v>
      </c>
      <c r="AE747" s="7" t="s">
        <v>13360</v>
      </c>
      <c r="AF747" s="7"/>
      <c r="AG747" s="7"/>
      <c r="AH747" s="7"/>
      <c r="AI747" s="7"/>
      <c r="AJ747" s="10" t="s">
        <v>13361</v>
      </c>
      <c r="AK747" s="7" t="s">
        <v>13362</v>
      </c>
      <c r="AL747" s="7" t="s">
        <v>13363</v>
      </c>
      <c r="AM747" s="7"/>
      <c r="AN747" s="7"/>
      <c r="AO747" s="7" t="s">
        <v>13364</v>
      </c>
      <c r="AP747" s="7" t="s">
        <v>13365</v>
      </c>
      <c r="AQ747" s="7" t="s">
        <v>13366</v>
      </c>
      <c r="AR747" s="7" t="s">
        <v>10683</v>
      </c>
      <c r="AS747" s="7" t="n">
        <v>158371</v>
      </c>
      <c r="AT747" s="7"/>
      <c r="AU747" s="7" t="s">
        <v>13367</v>
      </c>
      <c r="AV747" s="7"/>
      <c r="AW747" s="7"/>
      <c r="AX747" s="7" t="s">
        <v>13368</v>
      </c>
      <c r="AY747" s="7" t="s">
        <v>75</v>
      </c>
      <c r="AZ747" s="7" t="s">
        <v>409</v>
      </c>
      <c r="BA747" s="7" t="s">
        <v>76</v>
      </c>
      <c r="BB747" s="7" t="s">
        <v>13369</v>
      </c>
      <c r="BC747" s="7"/>
      <c r="BD747" s="7"/>
      <c r="BE747" s="7"/>
      <c r="BF747" s="7"/>
      <c r="BG747" s="7"/>
      <c r="BH747" s="7"/>
      <c r="BI747" s="7"/>
    </row>
    <row r="748" customFormat="false" ht="14.25" hidden="false" customHeight="true" outlineLevel="0" collapsed="false">
      <c r="A748" s="7" t="s">
        <v>13370</v>
      </c>
      <c r="B748" s="7" t="s">
        <v>13371</v>
      </c>
      <c r="C748" s="7" t="s">
        <v>13372</v>
      </c>
      <c r="D748" s="7" t="s">
        <v>13373</v>
      </c>
      <c r="E748" s="7" t="n">
        <v>2019</v>
      </c>
      <c r="F748" s="8" t="s">
        <v>13374</v>
      </c>
      <c r="G748" s="6" t="s">
        <v>134</v>
      </c>
      <c r="H748" s="7"/>
      <c r="I748" s="7"/>
      <c r="J748" s="7"/>
      <c r="K748" s="7"/>
      <c r="L748" s="7"/>
      <c r="M748" s="7"/>
      <c r="N748" s="7"/>
      <c r="O748" s="7"/>
      <c r="P748" s="7" t="s">
        <v>304</v>
      </c>
      <c r="Q748" s="7" t="s">
        <v>62</v>
      </c>
      <c r="R748" s="7" t="s">
        <v>13375</v>
      </c>
      <c r="S748" s="7"/>
      <c r="T748" s="7" t="s">
        <v>187</v>
      </c>
      <c r="U748" s="7"/>
      <c r="V748" s="7" t="n">
        <v>8705968</v>
      </c>
      <c r="W748" s="7"/>
      <c r="X748" s="7"/>
      <c r="Y748" s="7"/>
      <c r="Z748" s="7" t="s">
        <v>13376</v>
      </c>
      <c r="AA748" s="9" t="s">
        <v>13377</v>
      </c>
      <c r="AB748" s="7" t="s">
        <v>13378</v>
      </c>
      <c r="AC748" s="7" t="s">
        <v>13379</v>
      </c>
      <c r="AD748" s="7" t="s">
        <v>13380</v>
      </c>
      <c r="AE748" s="7" t="s">
        <v>13381</v>
      </c>
      <c r="AF748" s="7"/>
      <c r="AG748" s="7"/>
      <c r="AH748" s="7"/>
      <c r="AI748" s="7"/>
      <c r="AJ748" s="10"/>
      <c r="AK748" s="7"/>
      <c r="AL748" s="7" t="s">
        <v>13382</v>
      </c>
      <c r="AM748" s="7"/>
      <c r="AN748" s="7"/>
      <c r="AO748" s="7" t="s">
        <v>13383</v>
      </c>
      <c r="AP748" s="7" t="s">
        <v>13384</v>
      </c>
      <c r="AQ748" s="7" t="s">
        <v>13385</v>
      </c>
      <c r="AR748" s="7" t="s">
        <v>13386</v>
      </c>
      <c r="AS748" s="7" t="n">
        <v>147860</v>
      </c>
      <c r="AT748" s="7"/>
      <c r="AU748" s="7" t="s">
        <v>13387</v>
      </c>
      <c r="AV748" s="7"/>
      <c r="AW748" s="7"/>
      <c r="AX748" s="7" t="s">
        <v>13388</v>
      </c>
      <c r="AY748" s="7" t="s">
        <v>75</v>
      </c>
      <c r="AZ748" s="7"/>
      <c r="BA748" s="7" t="s">
        <v>76</v>
      </c>
      <c r="BB748" s="7" t="s">
        <v>13389</v>
      </c>
      <c r="BC748" s="7"/>
      <c r="BD748" s="7"/>
      <c r="BE748" s="7"/>
      <c r="BF748" s="7"/>
      <c r="BG748" s="7"/>
      <c r="BH748" s="7"/>
      <c r="BI748" s="7"/>
    </row>
    <row r="749" customFormat="false" ht="14.25" hidden="false" customHeight="true" outlineLevel="0" collapsed="false">
      <c r="A749" s="7" t="s">
        <v>13390</v>
      </c>
      <c r="B749" s="7" t="s">
        <v>13391</v>
      </c>
      <c r="C749" s="7" t="s">
        <v>13392</v>
      </c>
      <c r="D749" s="7" t="s">
        <v>13393</v>
      </c>
      <c r="E749" s="7" t="n">
        <v>2019</v>
      </c>
      <c r="F749" s="8" t="s">
        <v>13394</v>
      </c>
      <c r="G749" s="6" t="s">
        <v>134</v>
      </c>
      <c r="H749" s="7"/>
      <c r="I749" s="7"/>
      <c r="J749" s="7"/>
      <c r="K749" s="7"/>
      <c r="L749" s="7"/>
      <c r="M749" s="7"/>
      <c r="N749" s="7"/>
      <c r="O749" s="7"/>
      <c r="P749" s="7" t="s">
        <v>304</v>
      </c>
      <c r="Q749" s="7" t="s">
        <v>62</v>
      </c>
      <c r="R749" s="7" t="s">
        <v>10148</v>
      </c>
      <c r="S749" s="7" t="n">
        <v>870</v>
      </c>
      <c r="T749" s="7" t="s">
        <v>13103</v>
      </c>
      <c r="U749" s="7"/>
      <c r="V749" s="7"/>
      <c r="W749" s="7" t="n">
        <v>1</v>
      </c>
      <c r="X749" s="7" t="n">
        <v>9</v>
      </c>
      <c r="Y749" s="7" t="n">
        <v>8</v>
      </c>
      <c r="Z749" s="7" t="s">
        <v>13395</v>
      </c>
      <c r="AA749" s="9" t="s">
        <v>13396</v>
      </c>
      <c r="AB749" s="7" t="s">
        <v>13397</v>
      </c>
      <c r="AC749" s="7" t="s">
        <v>13398</v>
      </c>
      <c r="AD749" s="7" t="s">
        <v>13399</v>
      </c>
      <c r="AE749" s="7" t="s">
        <v>13400</v>
      </c>
      <c r="AF749" s="7"/>
      <c r="AG749" s="7"/>
      <c r="AH749" s="7"/>
      <c r="AI749" s="7"/>
      <c r="AJ749" s="10"/>
      <c r="AK749" s="7"/>
      <c r="AL749" s="7" t="s">
        <v>13401</v>
      </c>
      <c r="AM749" s="7" t="s">
        <v>13402</v>
      </c>
      <c r="AN749" s="7" t="s">
        <v>13403</v>
      </c>
      <c r="AO749" s="7"/>
      <c r="AP749" s="7" t="s">
        <v>13404</v>
      </c>
      <c r="AQ749" s="7" t="s">
        <v>13405</v>
      </c>
      <c r="AR749" s="7" t="s">
        <v>13406</v>
      </c>
      <c r="AS749" s="7" t="n">
        <v>221629</v>
      </c>
      <c r="AT749" s="7" t="n">
        <v>21945357</v>
      </c>
      <c r="AU749" s="7" t="s">
        <v>13407</v>
      </c>
      <c r="AV749" s="7"/>
      <c r="AW749" s="7"/>
      <c r="AX749" s="7" t="s">
        <v>10162</v>
      </c>
      <c r="AY749" s="7" t="s">
        <v>75</v>
      </c>
      <c r="AZ749" s="7"/>
      <c r="BA749" s="7" t="s">
        <v>76</v>
      </c>
      <c r="BB749" s="7" t="s">
        <v>13408</v>
      </c>
      <c r="BC749" s="7"/>
      <c r="BD749" s="7"/>
      <c r="BE749" s="7"/>
      <c r="BF749" s="7"/>
      <c r="BG749" s="7"/>
      <c r="BH749" s="7"/>
      <c r="BI749" s="7"/>
    </row>
    <row r="750" customFormat="false" ht="14.25" hidden="false" customHeight="true" outlineLevel="0" collapsed="false">
      <c r="A750" s="7" t="s">
        <v>13409</v>
      </c>
      <c r="B750" s="7" t="s">
        <v>13410</v>
      </c>
      <c r="C750" s="7" t="s">
        <v>13411</v>
      </c>
      <c r="D750" s="7" t="s">
        <v>13412</v>
      </c>
      <c r="E750" s="7" t="n">
        <v>2019</v>
      </c>
      <c r="F750" s="8" t="s">
        <v>13413</v>
      </c>
      <c r="G750" s="6" t="s">
        <v>134</v>
      </c>
      <c r="H750" s="7"/>
      <c r="I750" s="7"/>
      <c r="J750" s="7"/>
      <c r="K750" s="7"/>
      <c r="L750" s="7"/>
      <c r="M750" s="7"/>
      <c r="N750" s="7"/>
      <c r="O750" s="7"/>
      <c r="P750" s="7" t="s">
        <v>304</v>
      </c>
      <c r="Q750" s="7" t="s">
        <v>62</v>
      </c>
      <c r="R750" s="7" t="s">
        <v>5757</v>
      </c>
      <c r="S750" s="7" t="n">
        <v>1175</v>
      </c>
      <c r="T750" s="7" t="s">
        <v>12382</v>
      </c>
      <c r="U750" s="7" t="n">
        <v>1</v>
      </c>
      <c r="V750" s="7" t="n">
        <v>12065</v>
      </c>
      <c r="W750" s="7"/>
      <c r="X750" s="7"/>
      <c r="Y750" s="7"/>
      <c r="Z750" s="7" t="s">
        <v>13414</v>
      </c>
      <c r="AA750" s="9" t="s">
        <v>13415</v>
      </c>
      <c r="AB750" s="7" t="s">
        <v>13416</v>
      </c>
      <c r="AC750" s="7" t="s">
        <v>13417</v>
      </c>
      <c r="AD750" s="7"/>
      <c r="AE750" s="7" t="s">
        <v>13418</v>
      </c>
      <c r="AF750" s="7"/>
      <c r="AG750" s="7"/>
      <c r="AH750" s="7"/>
      <c r="AI750" s="7"/>
      <c r="AJ750" s="10"/>
      <c r="AK750" s="7"/>
      <c r="AL750" s="7" t="s">
        <v>13419</v>
      </c>
      <c r="AM750" s="7"/>
      <c r="AN750" s="7"/>
      <c r="AO750" s="7"/>
      <c r="AP750" s="7" t="s">
        <v>13420</v>
      </c>
      <c r="AQ750" s="7" t="s">
        <v>13421</v>
      </c>
      <c r="AR750" s="7" t="s">
        <v>319</v>
      </c>
      <c r="AS750" s="7" t="n">
        <v>148653</v>
      </c>
      <c r="AT750" s="7" t="n">
        <v>17426588</v>
      </c>
      <c r="AU750" s="7"/>
      <c r="AV750" s="7"/>
      <c r="AW750" s="7"/>
      <c r="AX750" s="7" t="s">
        <v>5771</v>
      </c>
      <c r="AY750" s="7" t="s">
        <v>75</v>
      </c>
      <c r="AZ750" s="7" t="s">
        <v>127</v>
      </c>
      <c r="BA750" s="7" t="s">
        <v>76</v>
      </c>
      <c r="BB750" s="7" t="s">
        <v>13422</v>
      </c>
      <c r="BC750" s="7"/>
      <c r="BD750" s="7"/>
      <c r="BE750" s="7"/>
      <c r="BF750" s="7"/>
      <c r="BG750" s="7"/>
      <c r="BH750" s="7"/>
      <c r="BI750" s="7"/>
    </row>
    <row r="751" customFormat="false" ht="14.25" hidden="false" customHeight="true" outlineLevel="0" collapsed="false">
      <c r="A751" s="7" t="s">
        <v>13423</v>
      </c>
      <c r="B751" s="7" t="s">
        <v>13424</v>
      </c>
      <c r="C751" s="7" t="n">
        <v>37071615400</v>
      </c>
      <c r="D751" s="7" t="s">
        <v>13425</v>
      </c>
      <c r="E751" s="7" t="n">
        <v>2019</v>
      </c>
      <c r="F751" s="8" t="s">
        <v>13426</v>
      </c>
      <c r="G751" s="6" t="s">
        <v>3714</v>
      </c>
      <c r="H751" s="7"/>
      <c r="I751" s="7"/>
      <c r="J751" s="7"/>
      <c r="K751" s="7"/>
      <c r="L751" s="7"/>
      <c r="M751" s="7"/>
      <c r="N751" s="7"/>
      <c r="O751" s="7"/>
      <c r="P751" s="7" t="s">
        <v>304</v>
      </c>
      <c r="Q751" s="7" t="s">
        <v>62</v>
      </c>
      <c r="R751" s="7" t="s">
        <v>3364</v>
      </c>
      <c r="S751" s="7"/>
      <c r="T751" s="7" t="s">
        <v>3365</v>
      </c>
      <c r="U751" s="7"/>
      <c r="V751" s="7"/>
      <c r="W751" s="7" t="n">
        <v>144</v>
      </c>
      <c r="X751" s="7" t="n">
        <v>150</v>
      </c>
      <c r="Y751" s="7" t="n">
        <v>6</v>
      </c>
      <c r="Z751" s="7" t="s">
        <v>13427</v>
      </c>
      <c r="AA751" s="9" t="s">
        <v>13428</v>
      </c>
      <c r="AB751" s="7" t="s">
        <v>13429</v>
      </c>
      <c r="AC751" s="7" t="s">
        <v>13430</v>
      </c>
      <c r="AD751" s="7" t="s">
        <v>13431</v>
      </c>
      <c r="AE751" s="7" t="s">
        <v>13432</v>
      </c>
      <c r="AF751" s="7"/>
      <c r="AG751" s="7"/>
      <c r="AH751" s="7"/>
      <c r="AI751" s="7"/>
      <c r="AJ751" s="10" t="s">
        <v>13433</v>
      </c>
      <c r="AK751" s="7" t="s">
        <v>13434</v>
      </c>
      <c r="AL751" s="7" t="s">
        <v>13435</v>
      </c>
      <c r="AM751" s="7" t="s">
        <v>13436</v>
      </c>
      <c r="AN751" s="7"/>
      <c r="AO751" s="7" t="s">
        <v>13437</v>
      </c>
      <c r="AP751" s="7" t="s">
        <v>13438</v>
      </c>
      <c r="AQ751" s="7" t="s">
        <v>13439</v>
      </c>
      <c r="AR751" s="7" t="s">
        <v>13440</v>
      </c>
      <c r="AS751" s="7" t="n">
        <v>162394</v>
      </c>
      <c r="AT751" s="7"/>
      <c r="AU751" s="7" t="s">
        <v>13441</v>
      </c>
      <c r="AV751" s="7"/>
      <c r="AW751" s="7"/>
      <c r="AX751" s="7" t="s">
        <v>3380</v>
      </c>
      <c r="AY751" s="7" t="s">
        <v>75</v>
      </c>
      <c r="AZ751" s="7"/>
      <c r="BA751" s="7" t="s">
        <v>76</v>
      </c>
      <c r="BB751" s="7" t="s">
        <v>13442</v>
      </c>
      <c r="BC751" s="7"/>
      <c r="BD751" s="7"/>
      <c r="BE751" s="7"/>
      <c r="BF751" s="7"/>
      <c r="BG751" s="7"/>
      <c r="BH751" s="7"/>
      <c r="BI751" s="7"/>
    </row>
    <row r="752" customFormat="false" ht="14.25" hidden="false" customHeight="true" outlineLevel="0" collapsed="false">
      <c r="A752" s="7" t="s">
        <v>13443</v>
      </c>
      <c r="B752" s="7" t="s">
        <v>13444</v>
      </c>
      <c r="C752" s="7" t="s">
        <v>13445</v>
      </c>
      <c r="D752" s="7" t="s">
        <v>13446</v>
      </c>
      <c r="E752" s="7" t="n">
        <v>2019</v>
      </c>
      <c r="F752" s="8" t="s">
        <v>13447</v>
      </c>
      <c r="G752" s="6" t="s">
        <v>134</v>
      </c>
      <c r="H752" s="7"/>
      <c r="I752" s="7"/>
      <c r="J752" s="7"/>
      <c r="K752" s="7"/>
      <c r="L752" s="7"/>
      <c r="M752" s="7"/>
      <c r="N752" s="7"/>
      <c r="O752" s="7"/>
      <c r="P752" s="7" t="s">
        <v>304</v>
      </c>
      <c r="Q752" s="7" t="s">
        <v>62</v>
      </c>
      <c r="R752" s="7" t="s">
        <v>13448</v>
      </c>
      <c r="S752" s="7"/>
      <c r="T752" s="7" t="s">
        <v>187</v>
      </c>
      <c r="U752" s="7"/>
      <c r="V752" s="7" t="n">
        <v>9069724</v>
      </c>
      <c r="W752" s="7"/>
      <c r="X752" s="7"/>
      <c r="Y752" s="7"/>
      <c r="Z752" s="7" t="s">
        <v>13449</v>
      </c>
      <c r="AA752" s="9" t="s">
        <v>13450</v>
      </c>
      <c r="AB752" s="7" t="s">
        <v>13451</v>
      </c>
      <c r="AC752" s="7" t="s">
        <v>13452</v>
      </c>
      <c r="AD752" s="7" t="s">
        <v>13453</v>
      </c>
      <c r="AE752" s="7" t="s">
        <v>13454</v>
      </c>
      <c r="AF752" s="7"/>
      <c r="AG752" s="7"/>
      <c r="AH752" s="7"/>
      <c r="AI752" s="7"/>
      <c r="AJ752" s="10"/>
      <c r="AK752" s="7"/>
      <c r="AL752" s="7" t="s">
        <v>13455</v>
      </c>
      <c r="AM752" s="7"/>
      <c r="AN752" s="7"/>
      <c r="AO752" s="7"/>
      <c r="AP752" s="7" t="s">
        <v>13448</v>
      </c>
      <c r="AQ752" s="7" t="s">
        <v>13456</v>
      </c>
      <c r="AR752" s="7" t="s">
        <v>3868</v>
      </c>
      <c r="AS752" s="7" t="n">
        <v>159430</v>
      </c>
      <c r="AT752" s="7"/>
      <c r="AU752" s="7" t="s">
        <v>13457</v>
      </c>
      <c r="AV752" s="7"/>
      <c r="AW752" s="7"/>
      <c r="AX752" s="7" t="s">
        <v>13458</v>
      </c>
      <c r="AY752" s="7" t="s">
        <v>75</v>
      </c>
      <c r="AZ752" s="7"/>
      <c r="BA752" s="7" t="s">
        <v>76</v>
      </c>
      <c r="BB752" s="7" t="s">
        <v>13459</v>
      </c>
      <c r="BC752" s="7"/>
      <c r="BD752" s="7"/>
      <c r="BE752" s="7"/>
      <c r="BF752" s="7"/>
      <c r="BG752" s="7"/>
      <c r="BH752" s="7"/>
      <c r="BI752" s="7"/>
    </row>
    <row r="753" customFormat="false" ht="14.25" hidden="false" customHeight="true" outlineLevel="0" collapsed="false">
      <c r="A753" s="7" t="s">
        <v>13460</v>
      </c>
      <c r="B753" s="7" t="s">
        <v>13461</v>
      </c>
      <c r="C753" s="7" t="s">
        <v>13462</v>
      </c>
      <c r="D753" s="7" t="s">
        <v>13463</v>
      </c>
      <c r="E753" s="7" t="n">
        <v>2019</v>
      </c>
      <c r="F753" s="8" t="s">
        <v>13464</v>
      </c>
      <c r="G753" s="6" t="s">
        <v>149</v>
      </c>
      <c r="H753" s="7"/>
      <c r="I753" s="7"/>
      <c r="J753" s="7"/>
      <c r="K753" s="7"/>
      <c r="L753" s="7"/>
      <c r="M753" s="7"/>
      <c r="N753" s="7"/>
      <c r="O753" s="7"/>
      <c r="P753" s="7" t="s">
        <v>304</v>
      </c>
      <c r="Q753" s="7" t="s">
        <v>62</v>
      </c>
      <c r="R753" s="7" t="s">
        <v>13465</v>
      </c>
      <c r="S753" s="7"/>
      <c r="T753" s="7" t="s">
        <v>13466</v>
      </c>
      <c r="U753" s="7"/>
      <c r="V753" s="7"/>
      <c r="W753" s="7" t="n">
        <v>6074</v>
      </c>
      <c r="X753" s="7" t="n">
        <v>6083</v>
      </c>
      <c r="Y753" s="7" t="n">
        <v>9</v>
      </c>
      <c r="Z753" s="7" t="s">
        <v>13467</v>
      </c>
      <c r="AA753" s="9" t="s">
        <v>13468</v>
      </c>
      <c r="AB753" s="7" t="s">
        <v>13469</v>
      </c>
      <c r="AC753" s="7" t="s">
        <v>13470</v>
      </c>
      <c r="AD753" s="7" t="s">
        <v>13471</v>
      </c>
      <c r="AE753" s="7"/>
      <c r="AF753" s="7"/>
      <c r="AG753" s="7"/>
      <c r="AH753" s="7"/>
      <c r="AI753" s="7"/>
      <c r="AJ753" s="10"/>
      <c r="AK753" s="7"/>
      <c r="AL753" s="7" t="s">
        <v>13472</v>
      </c>
      <c r="AM753" s="7" t="s">
        <v>13473</v>
      </c>
      <c r="AN753" s="7" t="s">
        <v>13474</v>
      </c>
      <c r="AO753" s="7"/>
      <c r="AP753" s="7" t="s">
        <v>13475</v>
      </c>
      <c r="AQ753" s="7" t="s">
        <v>13476</v>
      </c>
      <c r="AR753" s="7" t="s">
        <v>13477</v>
      </c>
      <c r="AS753" s="7" t="n">
        <v>297619</v>
      </c>
      <c r="AT753" s="7" t="n">
        <v>25217119</v>
      </c>
      <c r="AU753" s="7"/>
      <c r="AV753" s="7"/>
      <c r="AW753" s="7"/>
      <c r="AX753" s="7" t="s">
        <v>13478</v>
      </c>
      <c r="AY753" s="7" t="s">
        <v>75</v>
      </c>
      <c r="AZ753" s="7" t="s">
        <v>4371</v>
      </c>
      <c r="BA753" s="7" t="s">
        <v>76</v>
      </c>
      <c r="BB753" s="7" t="s">
        <v>13479</v>
      </c>
      <c r="BC753" s="7"/>
      <c r="BD753" s="7"/>
      <c r="BE753" s="7"/>
      <c r="BF753" s="7"/>
      <c r="BG753" s="7"/>
      <c r="BH753" s="7"/>
      <c r="BI753" s="7"/>
    </row>
    <row r="754" customFormat="false" ht="14.25" hidden="false" customHeight="true" outlineLevel="0" collapsed="false">
      <c r="A754" s="7" t="s">
        <v>13480</v>
      </c>
      <c r="B754" s="7" t="s">
        <v>13481</v>
      </c>
      <c r="C754" s="7" t="s">
        <v>13482</v>
      </c>
      <c r="D754" s="7" t="s">
        <v>13483</v>
      </c>
      <c r="E754" s="7" t="n">
        <v>2019</v>
      </c>
      <c r="F754" s="8" t="s">
        <v>13484</v>
      </c>
      <c r="G754" s="6" t="s">
        <v>134</v>
      </c>
      <c r="H754" s="7"/>
      <c r="I754" s="7"/>
      <c r="J754" s="7"/>
      <c r="K754" s="7"/>
      <c r="L754" s="7"/>
      <c r="M754" s="7"/>
      <c r="N754" s="7"/>
      <c r="O754" s="7"/>
      <c r="P754" s="7" t="s">
        <v>304</v>
      </c>
      <c r="Q754" s="7" t="s">
        <v>62</v>
      </c>
      <c r="R754" s="7" t="s">
        <v>13485</v>
      </c>
      <c r="S754" s="7"/>
      <c r="T754" s="7" t="s">
        <v>187</v>
      </c>
      <c r="U754" s="7"/>
      <c r="V754" s="7" t="n">
        <v>8869103</v>
      </c>
      <c r="W754" s="7"/>
      <c r="X754" s="7"/>
      <c r="Y754" s="7"/>
      <c r="Z754" s="7" t="s">
        <v>13486</v>
      </c>
      <c r="AA754" s="9" t="s">
        <v>13487</v>
      </c>
      <c r="AB754" s="7" t="s">
        <v>13488</v>
      </c>
      <c r="AC754" s="7" t="s">
        <v>13489</v>
      </c>
      <c r="AD754" s="7" t="s">
        <v>13490</v>
      </c>
      <c r="AE754" s="7" t="s">
        <v>13491</v>
      </c>
      <c r="AF754" s="7"/>
      <c r="AG754" s="7"/>
      <c r="AH754" s="7"/>
      <c r="AI754" s="7"/>
      <c r="AJ754" s="10"/>
      <c r="AK754" s="7"/>
      <c r="AL754" s="7" t="s">
        <v>13492</v>
      </c>
      <c r="AM754" s="7"/>
      <c r="AN754" s="7"/>
      <c r="AO754" s="7"/>
      <c r="AP754" s="7" t="s">
        <v>13493</v>
      </c>
      <c r="AQ754" s="7" t="s">
        <v>13494</v>
      </c>
      <c r="AR754" s="7" t="s">
        <v>13495</v>
      </c>
      <c r="AS754" s="7" t="n">
        <v>152845</v>
      </c>
      <c r="AT754" s="7"/>
      <c r="AU754" s="7" t="s">
        <v>13496</v>
      </c>
      <c r="AV754" s="7"/>
      <c r="AW754" s="7"/>
      <c r="AX754" s="7" t="s">
        <v>13497</v>
      </c>
      <c r="AY754" s="7" t="s">
        <v>75</v>
      </c>
      <c r="AZ754" s="7"/>
      <c r="BA754" s="7" t="s">
        <v>76</v>
      </c>
      <c r="BB754" s="7" t="s">
        <v>13498</v>
      </c>
      <c r="BC754" s="7"/>
      <c r="BD754" s="7"/>
      <c r="BE754" s="7"/>
      <c r="BF754" s="7"/>
      <c r="BG754" s="7"/>
      <c r="BH754" s="7"/>
      <c r="BI754" s="7"/>
    </row>
    <row r="755" customFormat="false" ht="14.25" hidden="false" customHeight="true" outlineLevel="0" collapsed="false">
      <c r="A755" s="7" t="s">
        <v>13499</v>
      </c>
      <c r="B755" s="7" t="s">
        <v>13500</v>
      </c>
      <c r="C755" s="7" t="s">
        <v>13501</v>
      </c>
      <c r="D755" s="7" t="s">
        <v>13502</v>
      </c>
      <c r="E755" s="7" t="n">
        <v>2019</v>
      </c>
      <c r="F755" s="8" t="s">
        <v>13503</v>
      </c>
      <c r="G755" s="6" t="s">
        <v>134</v>
      </c>
      <c r="H755" s="7"/>
      <c r="I755" s="7"/>
      <c r="J755" s="7"/>
      <c r="K755" s="7"/>
      <c r="L755" s="7"/>
      <c r="M755" s="7"/>
      <c r="N755" s="7"/>
      <c r="O755" s="7"/>
      <c r="P755" s="7" t="s">
        <v>304</v>
      </c>
      <c r="Q755" s="7" t="s">
        <v>62</v>
      </c>
      <c r="R755" s="7" t="s">
        <v>305</v>
      </c>
      <c r="S755" s="7" t="s">
        <v>13504</v>
      </c>
      <c r="T755" s="7" t="s">
        <v>586</v>
      </c>
      <c r="U755" s="7"/>
      <c r="V755" s="7"/>
      <c r="W755" s="7" t="n">
        <v>466</v>
      </c>
      <c r="X755" s="7" t="n">
        <v>486</v>
      </c>
      <c r="Y755" s="7" t="n">
        <v>20</v>
      </c>
      <c r="Z755" s="7" t="s">
        <v>13505</v>
      </c>
      <c r="AA755" s="9" t="s">
        <v>13506</v>
      </c>
      <c r="AB755" s="7" t="s">
        <v>13507</v>
      </c>
      <c r="AC755" s="7" t="s">
        <v>13508</v>
      </c>
      <c r="AD755" s="7" t="s">
        <v>13509</v>
      </c>
      <c r="AE755" s="7" t="s">
        <v>13510</v>
      </c>
      <c r="AF755" s="7"/>
      <c r="AG755" s="7"/>
      <c r="AH755" s="7"/>
      <c r="AI755" s="7"/>
      <c r="AJ755" s="10" t="s">
        <v>13511</v>
      </c>
      <c r="AK755" s="7" t="s">
        <v>13512</v>
      </c>
      <c r="AL755" s="7" t="s">
        <v>13513</v>
      </c>
      <c r="AM755" s="7" t="s">
        <v>13514</v>
      </c>
      <c r="AN755" s="7" t="s">
        <v>13515</v>
      </c>
      <c r="AO755" s="7"/>
      <c r="AP755" s="7" t="s">
        <v>13516</v>
      </c>
      <c r="AQ755" s="7" t="s">
        <v>13517</v>
      </c>
      <c r="AR755" s="7" t="s">
        <v>13518</v>
      </c>
      <c r="AS755" s="7" t="n">
        <v>235039</v>
      </c>
      <c r="AT755" s="7" t="n">
        <v>18650929</v>
      </c>
      <c r="AU755" s="7" t="s">
        <v>13519</v>
      </c>
      <c r="AV755" s="7"/>
      <c r="AW755" s="7"/>
      <c r="AX755" s="7" t="s">
        <v>321</v>
      </c>
      <c r="AY755" s="7" t="s">
        <v>75</v>
      </c>
      <c r="AZ755" s="7"/>
      <c r="BA755" s="7" t="s">
        <v>76</v>
      </c>
      <c r="BB755" s="7" t="s">
        <v>13520</v>
      </c>
      <c r="BC755" s="7"/>
      <c r="BD755" s="7"/>
      <c r="BE755" s="7"/>
      <c r="BF755" s="7"/>
      <c r="BG755" s="7"/>
      <c r="BH755" s="7"/>
      <c r="BI755" s="7"/>
    </row>
    <row r="756" customFormat="false" ht="14.25" hidden="false" customHeight="true" outlineLevel="0" collapsed="false">
      <c r="A756" s="7" t="s">
        <v>13521</v>
      </c>
      <c r="B756" s="7" t="s">
        <v>13522</v>
      </c>
      <c r="C756" s="7" t="s">
        <v>13523</v>
      </c>
      <c r="D756" s="7" t="s">
        <v>13524</v>
      </c>
      <c r="E756" s="7" t="n">
        <v>2019</v>
      </c>
      <c r="F756" s="8" t="s">
        <v>13525</v>
      </c>
      <c r="G756" s="6" t="s">
        <v>134</v>
      </c>
      <c r="H756" s="7"/>
      <c r="I756" s="7"/>
      <c r="J756" s="7"/>
      <c r="K756" s="7"/>
      <c r="L756" s="7"/>
      <c r="M756" s="7"/>
      <c r="N756" s="7"/>
      <c r="O756" s="7"/>
      <c r="P756" s="7" t="s">
        <v>304</v>
      </c>
      <c r="Q756" s="7" t="s">
        <v>62</v>
      </c>
      <c r="R756" s="7" t="s">
        <v>3364</v>
      </c>
      <c r="S756" s="7"/>
      <c r="T756" s="7" t="s">
        <v>3365</v>
      </c>
      <c r="U756" s="7"/>
      <c r="V756" s="7"/>
      <c r="W756" s="7" t="n">
        <v>228</v>
      </c>
      <c r="X756" s="7" t="n">
        <v>232</v>
      </c>
      <c r="Y756" s="7" t="n">
        <v>4</v>
      </c>
      <c r="Z756" s="7" t="s">
        <v>13526</v>
      </c>
      <c r="AA756" s="9" t="s">
        <v>13527</v>
      </c>
      <c r="AB756" s="7" t="s">
        <v>13528</v>
      </c>
      <c r="AC756" s="7" t="s">
        <v>13529</v>
      </c>
      <c r="AD756" s="7" t="s">
        <v>13530</v>
      </c>
      <c r="AE756" s="7" t="s">
        <v>13531</v>
      </c>
      <c r="AF756" s="7"/>
      <c r="AG756" s="7"/>
      <c r="AH756" s="7"/>
      <c r="AI756" s="7"/>
      <c r="AJ756" s="10" t="s">
        <v>13532</v>
      </c>
      <c r="AK756" s="7" t="s">
        <v>13533</v>
      </c>
      <c r="AL756" s="7" t="s">
        <v>13534</v>
      </c>
      <c r="AM756" s="7" t="s">
        <v>13535</v>
      </c>
      <c r="AN756" s="7"/>
      <c r="AO756" s="7"/>
      <c r="AP756" s="7" t="s">
        <v>13536</v>
      </c>
      <c r="AQ756" s="7" t="s">
        <v>13537</v>
      </c>
      <c r="AR756" s="7" t="s">
        <v>13538</v>
      </c>
      <c r="AS756" s="7" t="n">
        <v>155747</v>
      </c>
      <c r="AT756" s="7"/>
      <c r="AU756" s="7" t="s">
        <v>13539</v>
      </c>
      <c r="AV756" s="7"/>
      <c r="AW756" s="7"/>
      <c r="AX756" s="7" t="s">
        <v>3380</v>
      </c>
      <c r="AY756" s="7" t="s">
        <v>75</v>
      </c>
      <c r="AZ756" s="7"/>
      <c r="BA756" s="7" t="s">
        <v>76</v>
      </c>
      <c r="BB756" s="7" t="s">
        <v>13540</v>
      </c>
      <c r="BC756" s="7"/>
      <c r="BD756" s="7"/>
      <c r="BE756" s="7"/>
      <c r="BF756" s="7"/>
      <c r="BG756" s="7"/>
      <c r="BH756" s="7"/>
      <c r="BI756" s="7"/>
    </row>
    <row r="757" customFormat="false" ht="14.25" hidden="false" customHeight="true" outlineLevel="0" collapsed="false">
      <c r="A757" s="7" t="s">
        <v>13541</v>
      </c>
      <c r="B757" s="7" t="s">
        <v>13542</v>
      </c>
      <c r="C757" s="7" t="s">
        <v>13543</v>
      </c>
      <c r="D757" s="7" t="s">
        <v>13544</v>
      </c>
      <c r="E757" s="7" t="n">
        <v>2019</v>
      </c>
      <c r="F757" s="8" t="s">
        <v>13545</v>
      </c>
      <c r="G757" s="6" t="s">
        <v>1686</v>
      </c>
      <c r="H757" s="7"/>
      <c r="I757" s="7"/>
      <c r="J757" s="7"/>
      <c r="K757" s="7"/>
      <c r="L757" s="7"/>
      <c r="M757" s="7"/>
      <c r="N757" s="7"/>
      <c r="O757" s="7"/>
      <c r="P757" s="7" t="s">
        <v>304</v>
      </c>
      <c r="Q757" s="7" t="s">
        <v>62</v>
      </c>
      <c r="R757" s="7" t="s">
        <v>13546</v>
      </c>
      <c r="S757" s="7"/>
      <c r="T757" s="7" t="s">
        <v>329</v>
      </c>
      <c r="U757" s="7"/>
      <c r="V757" s="7"/>
      <c r="W757" s="7" t="n">
        <v>569</v>
      </c>
      <c r="X757" s="7" t="n">
        <v>572</v>
      </c>
      <c r="Y757" s="7" t="n">
        <v>3</v>
      </c>
      <c r="Z757" s="7"/>
      <c r="AA757" s="9" t="s">
        <v>13547</v>
      </c>
      <c r="AB757" s="7" t="s">
        <v>13548</v>
      </c>
      <c r="AC757" s="7" t="s">
        <v>13549</v>
      </c>
      <c r="AD757" s="7"/>
      <c r="AE757" s="7" t="s">
        <v>13550</v>
      </c>
      <c r="AF757" s="7"/>
      <c r="AG757" s="7"/>
      <c r="AH757" s="7"/>
      <c r="AI757" s="7"/>
      <c r="AJ757" s="10" t="s">
        <v>13551</v>
      </c>
      <c r="AK757" s="7" t="s">
        <v>13552</v>
      </c>
      <c r="AL757" s="7" t="s">
        <v>13553</v>
      </c>
      <c r="AM757" s="7"/>
      <c r="AN757" s="7" t="s">
        <v>13554</v>
      </c>
      <c r="AO757" s="7"/>
      <c r="AP757" s="7" t="s">
        <v>13555</v>
      </c>
      <c r="AQ757" s="7" t="s">
        <v>13556</v>
      </c>
      <c r="AR757" s="7" t="s">
        <v>13557</v>
      </c>
      <c r="AS757" s="7" t="n">
        <v>244379</v>
      </c>
      <c r="AT757" s="7"/>
      <c r="AU757" s="7" t="s">
        <v>13558</v>
      </c>
      <c r="AV757" s="7"/>
      <c r="AW757" s="7"/>
      <c r="AX757" s="7" t="s">
        <v>13559</v>
      </c>
      <c r="AY757" s="7" t="s">
        <v>75</v>
      </c>
      <c r="AZ757" s="7"/>
      <c r="BA757" s="7" t="s">
        <v>76</v>
      </c>
      <c r="BB757" s="7" t="s">
        <v>13560</v>
      </c>
      <c r="BC757" s="7"/>
      <c r="BD757" s="7"/>
      <c r="BE757" s="7"/>
      <c r="BF757" s="7"/>
      <c r="BG757" s="7"/>
      <c r="BH757" s="7"/>
      <c r="BI757" s="7"/>
    </row>
    <row r="758" customFormat="false" ht="14.25" hidden="false" customHeight="true" outlineLevel="0" collapsed="false">
      <c r="A758" s="7" t="s">
        <v>13561</v>
      </c>
      <c r="B758" s="7" t="s">
        <v>13562</v>
      </c>
      <c r="C758" s="7" t="s">
        <v>13563</v>
      </c>
      <c r="D758" s="7" t="s">
        <v>13564</v>
      </c>
      <c r="E758" s="7" t="n">
        <v>2019</v>
      </c>
      <c r="F758" s="8" t="s">
        <v>13565</v>
      </c>
      <c r="G758" s="6" t="s">
        <v>134</v>
      </c>
      <c r="H758" s="7"/>
      <c r="I758" s="7"/>
      <c r="J758" s="7"/>
      <c r="K758" s="7"/>
      <c r="L758" s="7"/>
      <c r="M758" s="7"/>
      <c r="N758" s="7"/>
      <c r="O758" s="7"/>
      <c r="P758" s="7" t="s">
        <v>304</v>
      </c>
      <c r="Q758" s="7" t="s">
        <v>62</v>
      </c>
      <c r="R758" s="7" t="s">
        <v>13566</v>
      </c>
      <c r="S758" s="7"/>
      <c r="T758" s="7" t="s">
        <v>187</v>
      </c>
      <c r="U758" s="7"/>
      <c r="V758" s="7" t="n">
        <v>9018770</v>
      </c>
      <c r="W758" s="7" t="n">
        <v>333</v>
      </c>
      <c r="X758" s="7" t="n">
        <v>336</v>
      </c>
      <c r="Y758" s="7" t="n">
        <v>3</v>
      </c>
      <c r="Z758" s="7" t="s">
        <v>13567</v>
      </c>
      <c r="AA758" s="9" t="s">
        <v>13568</v>
      </c>
      <c r="AB758" s="7" t="s">
        <v>13569</v>
      </c>
      <c r="AC758" s="7" t="s">
        <v>13570</v>
      </c>
      <c r="AD758" s="7" t="s">
        <v>13571</v>
      </c>
      <c r="AE758" s="7" t="s">
        <v>13572</v>
      </c>
      <c r="AF758" s="7"/>
      <c r="AG758" s="7"/>
      <c r="AH758" s="7"/>
      <c r="AI758" s="7"/>
      <c r="AJ758" s="10" t="s">
        <v>13573</v>
      </c>
      <c r="AK758" s="7" t="s">
        <v>13574</v>
      </c>
      <c r="AL758" s="7" t="s">
        <v>13575</v>
      </c>
      <c r="AM758" s="7"/>
      <c r="AN758" s="7"/>
      <c r="AO758" s="7" t="s">
        <v>13576</v>
      </c>
      <c r="AP758" s="7" t="s">
        <v>13577</v>
      </c>
      <c r="AQ758" s="7" t="s">
        <v>13578</v>
      </c>
      <c r="AR758" s="7" t="s">
        <v>13579</v>
      </c>
      <c r="AS758" s="7" t="n">
        <v>158210</v>
      </c>
      <c r="AT758" s="7"/>
      <c r="AU758" s="7" t="s">
        <v>13580</v>
      </c>
      <c r="AV758" s="7"/>
      <c r="AW758" s="7"/>
      <c r="AX758" s="7" t="s">
        <v>13581</v>
      </c>
      <c r="AY758" s="7" t="s">
        <v>75</v>
      </c>
      <c r="AZ758" s="7"/>
      <c r="BA758" s="7" t="s">
        <v>76</v>
      </c>
      <c r="BB758" s="7" t="s">
        <v>13582</v>
      </c>
      <c r="BC758" s="7"/>
      <c r="BD758" s="7"/>
      <c r="BE758" s="7"/>
      <c r="BF758" s="7"/>
      <c r="BG758" s="7"/>
      <c r="BH758" s="7"/>
      <c r="BI758" s="7"/>
    </row>
    <row r="759" customFormat="false" ht="14.25" hidden="false" customHeight="true" outlineLevel="0" collapsed="false">
      <c r="A759" s="7" t="s">
        <v>13583</v>
      </c>
      <c r="B759" s="7" t="s">
        <v>13584</v>
      </c>
      <c r="C759" s="7" t="s">
        <v>13585</v>
      </c>
      <c r="D759" s="7" t="s">
        <v>13586</v>
      </c>
      <c r="E759" s="7" t="n">
        <v>2019</v>
      </c>
      <c r="F759" s="8" t="s">
        <v>13587</v>
      </c>
      <c r="G759" s="6" t="s">
        <v>134</v>
      </c>
      <c r="H759" s="7"/>
      <c r="I759" s="7"/>
      <c r="J759" s="7"/>
      <c r="K759" s="7"/>
      <c r="L759" s="7"/>
      <c r="M759" s="7"/>
      <c r="N759" s="7"/>
      <c r="O759" s="7"/>
      <c r="P759" s="7" t="s">
        <v>304</v>
      </c>
      <c r="Q759" s="7" t="s">
        <v>62</v>
      </c>
      <c r="R759" s="7" t="s">
        <v>13588</v>
      </c>
      <c r="S759" s="7"/>
      <c r="T759" s="7" t="s">
        <v>187</v>
      </c>
      <c r="U759" s="7"/>
      <c r="V759" s="7" t="n">
        <v>9001959</v>
      </c>
      <c r="W759" s="7" t="n">
        <v>82</v>
      </c>
      <c r="X759" s="7" t="n">
        <v>86</v>
      </c>
      <c r="Y759" s="7" t="n">
        <v>4</v>
      </c>
      <c r="Z759" s="7" t="s">
        <v>13589</v>
      </c>
      <c r="AA759" s="9" t="s">
        <v>13590</v>
      </c>
      <c r="AB759" s="7" t="s">
        <v>13591</v>
      </c>
      <c r="AC759" s="7" t="s">
        <v>13592</v>
      </c>
      <c r="AD759" s="7" t="s">
        <v>13593</v>
      </c>
      <c r="AE759" s="7" t="s">
        <v>13594</v>
      </c>
      <c r="AF759" s="7"/>
      <c r="AG759" s="7"/>
      <c r="AH759" s="7"/>
      <c r="AI759" s="7"/>
      <c r="AJ759" s="10"/>
      <c r="AK759" s="7"/>
      <c r="AL759" s="7" t="s">
        <v>13595</v>
      </c>
      <c r="AM759" s="7"/>
      <c r="AN759" s="7" t="s">
        <v>13596</v>
      </c>
      <c r="AO759" s="7"/>
      <c r="AP759" s="7" t="s">
        <v>13597</v>
      </c>
      <c r="AQ759" s="7" t="s">
        <v>13598</v>
      </c>
      <c r="AR759" s="7" t="s">
        <v>13599</v>
      </c>
      <c r="AS759" s="7" t="n">
        <v>157950</v>
      </c>
      <c r="AT759" s="7"/>
      <c r="AU759" s="7" t="s">
        <v>13600</v>
      </c>
      <c r="AV759" s="7"/>
      <c r="AW759" s="7"/>
      <c r="AX759" s="7" t="s">
        <v>13601</v>
      </c>
      <c r="AY759" s="7" t="s">
        <v>75</v>
      </c>
      <c r="AZ759" s="7"/>
      <c r="BA759" s="7" t="s">
        <v>76</v>
      </c>
      <c r="BB759" s="7" t="s">
        <v>13602</v>
      </c>
      <c r="BC759" s="7"/>
      <c r="BD759" s="7"/>
      <c r="BE759" s="7"/>
      <c r="BF759" s="7"/>
      <c r="BG759" s="7"/>
      <c r="BH759" s="7"/>
      <c r="BI759" s="7"/>
    </row>
    <row r="760" customFormat="false" ht="14.25" hidden="false" customHeight="true" outlineLevel="0" collapsed="false">
      <c r="A760" s="7" t="s">
        <v>13603</v>
      </c>
      <c r="B760" s="7" t="s">
        <v>13604</v>
      </c>
      <c r="C760" s="7" t="s">
        <v>13605</v>
      </c>
      <c r="D760" s="7" t="s">
        <v>13606</v>
      </c>
      <c r="E760" s="7" t="n">
        <v>2019</v>
      </c>
      <c r="F760" s="8" t="s">
        <v>13607</v>
      </c>
      <c r="G760" s="6" t="s">
        <v>134</v>
      </c>
      <c r="H760" s="7"/>
      <c r="I760" s="7"/>
      <c r="J760" s="7"/>
      <c r="K760" s="7"/>
      <c r="L760" s="7"/>
      <c r="M760" s="7"/>
      <c r="N760" s="7"/>
      <c r="O760" s="7"/>
      <c r="P760" s="7" t="s">
        <v>304</v>
      </c>
      <c r="Q760" s="7" t="s">
        <v>62</v>
      </c>
      <c r="R760" s="7" t="s">
        <v>305</v>
      </c>
      <c r="S760" s="7" t="n">
        <v>1075</v>
      </c>
      <c r="T760" s="7" t="s">
        <v>586</v>
      </c>
      <c r="U760" s="7"/>
      <c r="V760" s="7"/>
      <c r="W760" s="7" t="n">
        <v>20</v>
      </c>
      <c r="X760" s="7" t="n">
        <v>28</v>
      </c>
      <c r="Y760" s="7" t="n">
        <v>8</v>
      </c>
      <c r="Z760" s="7" t="s">
        <v>13608</v>
      </c>
      <c r="AA760" s="9" t="s">
        <v>13609</v>
      </c>
      <c r="AB760" s="7" t="s">
        <v>13610</v>
      </c>
      <c r="AC760" s="7" t="s">
        <v>13611</v>
      </c>
      <c r="AD760" s="7" t="s">
        <v>13612</v>
      </c>
      <c r="AE760" s="7" t="s">
        <v>13613</v>
      </c>
      <c r="AF760" s="7"/>
      <c r="AG760" s="7"/>
      <c r="AH760" s="7"/>
      <c r="AI760" s="7"/>
      <c r="AJ760" s="10"/>
      <c r="AK760" s="7"/>
      <c r="AL760" s="7" t="s">
        <v>13614</v>
      </c>
      <c r="AM760" s="7" t="s">
        <v>13615</v>
      </c>
      <c r="AN760" s="7" t="s">
        <v>13616</v>
      </c>
      <c r="AO760" s="7"/>
      <c r="AP760" s="7" t="s">
        <v>13617</v>
      </c>
      <c r="AQ760" s="7" t="s">
        <v>13618</v>
      </c>
      <c r="AR760" s="7" t="s">
        <v>13619</v>
      </c>
      <c r="AS760" s="7" t="n">
        <v>232179</v>
      </c>
      <c r="AT760" s="7" t="n">
        <v>18650929</v>
      </c>
      <c r="AU760" s="7" t="s">
        <v>13620</v>
      </c>
      <c r="AV760" s="7"/>
      <c r="AW760" s="7"/>
      <c r="AX760" s="7" t="s">
        <v>321</v>
      </c>
      <c r="AY760" s="7" t="s">
        <v>75</v>
      </c>
      <c r="AZ760" s="7"/>
      <c r="BA760" s="7" t="s">
        <v>76</v>
      </c>
      <c r="BB760" s="7" t="s">
        <v>13621</v>
      </c>
      <c r="BC760" s="7"/>
      <c r="BD760" s="7"/>
      <c r="BE760" s="7"/>
      <c r="BF760" s="7"/>
      <c r="BG760" s="7"/>
      <c r="BH760" s="7"/>
      <c r="BI760" s="7"/>
    </row>
    <row r="761" customFormat="false" ht="14.25" hidden="false" customHeight="true" outlineLevel="0" collapsed="false">
      <c r="A761" s="7" t="s">
        <v>13622</v>
      </c>
      <c r="B761" s="7" t="s">
        <v>13623</v>
      </c>
      <c r="C761" s="7" t="s">
        <v>13624</v>
      </c>
      <c r="D761" s="7" t="s">
        <v>13625</v>
      </c>
      <c r="E761" s="7" t="n">
        <v>2019</v>
      </c>
      <c r="F761" s="8" t="s">
        <v>13626</v>
      </c>
      <c r="G761" s="6" t="s">
        <v>134</v>
      </c>
      <c r="H761" s="7"/>
      <c r="I761" s="7"/>
      <c r="J761" s="7"/>
      <c r="K761" s="7"/>
      <c r="L761" s="7"/>
      <c r="M761" s="7"/>
      <c r="N761" s="7"/>
      <c r="O761" s="7"/>
      <c r="P761" s="7" t="s">
        <v>304</v>
      </c>
      <c r="Q761" s="7" t="s">
        <v>62</v>
      </c>
      <c r="R761" s="7" t="s">
        <v>13627</v>
      </c>
      <c r="S761" s="7"/>
      <c r="T761" s="7" t="s">
        <v>187</v>
      </c>
      <c r="U761" s="7"/>
      <c r="V761" s="7" t="n">
        <v>8969046</v>
      </c>
      <c r="W761" s="7" t="n">
        <v>292</v>
      </c>
      <c r="X761" s="7" t="n">
        <v>297</v>
      </c>
      <c r="Y761" s="7" t="n">
        <v>5</v>
      </c>
      <c r="Z761" s="7" t="s">
        <v>13628</v>
      </c>
      <c r="AA761" s="9" t="s">
        <v>13629</v>
      </c>
      <c r="AB761" s="7" t="s">
        <v>13630</v>
      </c>
      <c r="AC761" s="7" t="s">
        <v>13631</v>
      </c>
      <c r="AD761" s="7" t="s">
        <v>13632</v>
      </c>
      <c r="AE761" s="7" t="s">
        <v>13633</v>
      </c>
      <c r="AF761" s="7"/>
      <c r="AG761" s="7"/>
      <c r="AH761" s="7"/>
      <c r="AI761" s="7"/>
      <c r="AJ761" s="10"/>
      <c r="AK761" s="7"/>
      <c r="AL761" s="7" t="s">
        <v>13634</v>
      </c>
      <c r="AM761" s="7"/>
      <c r="AN761" s="7"/>
      <c r="AO761" s="7"/>
      <c r="AP761" s="7" t="s">
        <v>13635</v>
      </c>
      <c r="AQ761" s="7" t="s">
        <v>13636</v>
      </c>
      <c r="AR761" s="7" t="s">
        <v>2457</v>
      </c>
      <c r="AS761" s="7" t="n">
        <v>157203</v>
      </c>
      <c r="AT761" s="7"/>
      <c r="AU761" s="7" t="s">
        <v>13637</v>
      </c>
      <c r="AV761" s="7"/>
      <c r="AW761" s="7"/>
      <c r="AX761" s="7" t="s">
        <v>13638</v>
      </c>
      <c r="AY761" s="7" t="s">
        <v>75</v>
      </c>
      <c r="AZ761" s="7"/>
      <c r="BA761" s="7" t="s">
        <v>76</v>
      </c>
      <c r="BB761" s="7" t="s">
        <v>13639</v>
      </c>
      <c r="BC761" s="7"/>
      <c r="BD761" s="7"/>
      <c r="BE761" s="7"/>
      <c r="BF761" s="7"/>
      <c r="BG761" s="7"/>
      <c r="BH761" s="7"/>
      <c r="BI761" s="7"/>
    </row>
    <row r="762" customFormat="false" ht="14.25" hidden="false" customHeight="true" outlineLevel="0" collapsed="false">
      <c r="A762" s="7" t="s">
        <v>13640</v>
      </c>
      <c r="B762" s="7" t="s">
        <v>13641</v>
      </c>
      <c r="C762" s="7" t="s">
        <v>13642</v>
      </c>
      <c r="D762" s="7" t="s">
        <v>13643</v>
      </c>
      <c r="E762" s="7" t="n">
        <v>2019</v>
      </c>
      <c r="F762" s="8" t="s">
        <v>13644</v>
      </c>
      <c r="G762" s="6" t="s">
        <v>134</v>
      </c>
      <c r="H762" s="7"/>
      <c r="I762" s="7"/>
      <c r="J762" s="7"/>
      <c r="K762" s="7"/>
      <c r="L762" s="7"/>
      <c r="M762" s="7"/>
      <c r="N762" s="7"/>
      <c r="O762" s="7"/>
      <c r="P762" s="7" t="s">
        <v>304</v>
      </c>
      <c r="Q762" s="7" t="s">
        <v>62</v>
      </c>
      <c r="R762" s="7" t="s">
        <v>13645</v>
      </c>
      <c r="S762" s="7"/>
      <c r="T762" s="7" t="s">
        <v>187</v>
      </c>
      <c r="U762" s="7"/>
      <c r="V762" s="7" t="n">
        <v>9063179</v>
      </c>
      <c r="W762" s="7" t="n">
        <v>68</v>
      </c>
      <c r="X762" s="7" t="n">
        <v>72</v>
      </c>
      <c r="Y762" s="7" t="n">
        <v>4</v>
      </c>
      <c r="Z762" s="7" t="s">
        <v>13646</v>
      </c>
      <c r="AA762" s="9" t="s">
        <v>13647</v>
      </c>
      <c r="AB762" s="7" t="s">
        <v>13648</v>
      </c>
      <c r="AC762" s="7" t="s">
        <v>13649</v>
      </c>
      <c r="AD762" s="7" t="s">
        <v>13650</v>
      </c>
      <c r="AE762" s="7" t="s">
        <v>13651</v>
      </c>
      <c r="AF762" s="7"/>
      <c r="AG762" s="7"/>
      <c r="AH762" s="7"/>
      <c r="AI762" s="7"/>
      <c r="AJ762" s="10"/>
      <c r="AK762" s="7"/>
      <c r="AL762" s="7" t="s">
        <v>13652</v>
      </c>
      <c r="AM762" s="7"/>
      <c r="AN762" s="7"/>
      <c r="AO762" s="7"/>
      <c r="AP762" s="7" t="s">
        <v>13653</v>
      </c>
      <c r="AQ762" s="7" t="s">
        <v>13654</v>
      </c>
      <c r="AR762" s="7" t="s">
        <v>363</v>
      </c>
      <c r="AS762" s="7" t="n">
        <v>159230</v>
      </c>
      <c r="AT762" s="7"/>
      <c r="AU762" s="7" t="s">
        <v>13655</v>
      </c>
      <c r="AV762" s="7"/>
      <c r="AW762" s="7"/>
      <c r="AX762" s="7" t="s">
        <v>13656</v>
      </c>
      <c r="AY762" s="7" t="s">
        <v>75</v>
      </c>
      <c r="AZ762" s="7"/>
      <c r="BA762" s="7" t="s">
        <v>76</v>
      </c>
      <c r="BB762" s="7" t="s">
        <v>13657</v>
      </c>
      <c r="BC762" s="7"/>
      <c r="BD762" s="7"/>
      <c r="BE762" s="7"/>
      <c r="BF762" s="7"/>
      <c r="BG762" s="7"/>
      <c r="BH762" s="7"/>
      <c r="BI762" s="7"/>
    </row>
    <row r="763" customFormat="false" ht="14.25" hidden="false" customHeight="true" outlineLevel="0" collapsed="false">
      <c r="A763" s="7" t="s">
        <v>13658</v>
      </c>
      <c r="B763" s="7" t="s">
        <v>13659</v>
      </c>
      <c r="C763" s="7" t="n">
        <v>57210596088</v>
      </c>
      <c r="D763" s="7" t="s">
        <v>13660</v>
      </c>
      <c r="E763" s="7" t="n">
        <v>2019</v>
      </c>
      <c r="F763" s="8" t="s">
        <v>13661</v>
      </c>
      <c r="G763" s="6" t="s">
        <v>134</v>
      </c>
      <c r="H763" s="7"/>
      <c r="I763" s="7"/>
      <c r="J763" s="7"/>
      <c r="K763" s="7"/>
      <c r="L763" s="7"/>
      <c r="M763" s="7"/>
      <c r="N763" s="7"/>
      <c r="O763" s="7"/>
      <c r="P763" s="7" t="s">
        <v>304</v>
      </c>
      <c r="Q763" s="7" t="s">
        <v>62</v>
      </c>
      <c r="R763" s="7" t="s">
        <v>13662</v>
      </c>
      <c r="S763" s="7"/>
      <c r="T763" s="7" t="s">
        <v>187</v>
      </c>
      <c r="U763" s="7"/>
      <c r="V763" s="7" t="n">
        <v>9117446</v>
      </c>
      <c r="W763" s="7"/>
      <c r="X763" s="7"/>
      <c r="Y763" s="7"/>
      <c r="Z763" s="7" t="s">
        <v>13663</v>
      </c>
      <c r="AA763" s="9" t="s">
        <v>13664</v>
      </c>
      <c r="AB763" s="7" t="s">
        <v>13665</v>
      </c>
      <c r="AC763" s="7" t="s">
        <v>13666</v>
      </c>
      <c r="AD763" s="7" t="s">
        <v>13667</v>
      </c>
      <c r="AE763" s="7" t="s">
        <v>13668</v>
      </c>
      <c r="AF763" s="7"/>
      <c r="AG763" s="7"/>
      <c r="AH763" s="7"/>
      <c r="AI763" s="7"/>
      <c r="AJ763" s="10"/>
      <c r="AK763" s="7"/>
      <c r="AL763" s="7" t="s">
        <v>13669</v>
      </c>
      <c r="AM763" s="7" t="s">
        <v>13670</v>
      </c>
      <c r="AN763" s="7"/>
      <c r="AO763" s="7"/>
      <c r="AP763" s="7" t="s">
        <v>13671</v>
      </c>
      <c r="AQ763" s="7" t="s">
        <v>13672</v>
      </c>
      <c r="AR763" s="7" t="s">
        <v>6146</v>
      </c>
      <c r="AS763" s="7" t="n">
        <v>161181</v>
      </c>
      <c r="AT763" s="7"/>
      <c r="AU763" s="7" t="s">
        <v>13673</v>
      </c>
      <c r="AV763" s="7"/>
      <c r="AW763" s="7"/>
      <c r="AX763" s="7" t="s">
        <v>13674</v>
      </c>
      <c r="AY763" s="7" t="s">
        <v>75</v>
      </c>
      <c r="AZ763" s="7"/>
      <c r="BA763" s="7" t="s">
        <v>76</v>
      </c>
      <c r="BB763" s="7" t="s">
        <v>13675</v>
      </c>
      <c r="BC763" s="7"/>
      <c r="BD763" s="7"/>
      <c r="BE763" s="7"/>
      <c r="BF763" s="7"/>
      <c r="BG763" s="7"/>
      <c r="BH763" s="7"/>
      <c r="BI763" s="7"/>
    </row>
    <row r="764" customFormat="false" ht="14.25" hidden="false" customHeight="true" outlineLevel="0" collapsed="false">
      <c r="A764" s="7" t="s">
        <v>13676</v>
      </c>
      <c r="B764" s="7" t="s">
        <v>13677</v>
      </c>
      <c r="C764" s="7" t="s">
        <v>13678</v>
      </c>
      <c r="D764" s="7" t="s">
        <v>13679</v>
      </c>
      <c r="E764" s="7" t="n">
        <v>2019</v>
      </c>
      <c r="F764" s="8" t="s">
        <v>13680</v>
      </c>
      <c r="G764" s="6" t="s">
        <v>149</v>
      </c>
      <c r="H764" s="7"/>
      <c r="I764" s="7"/>
      <c r="J764" s="7"/>
      <c r="K764" s="7"/>
      <c r="L764" s="7"/>
      <c r="M764" s="7"/>
      <c r="N764" s="7"/>
      <c r="O764" s="7"/>
      <c r="P764" s="7" t="s">
        <v>304</v>
      </c>
      <c r="Q764" s="7" t="s">
        <v>62</v>
      </c>
      <c r="R764" s="7" t="s">
        <v>2751</v>
      </c>
      <c r="S764" s="7" t="s">
        <v>13681</v>
      </c>
      <c r="T764" s="7" t="s">
        <v>586</v>
      </c>
      <c r="U764" s="7"/>
      <c r="V764" s="7"/>
      <c r="W764" s="7" t="n">
        <v>239</v>
      </c>
      <c r="X764" s="7" t="n">
        <v>246</v>
      </c>
      <c r="Y764" s="7" t="n">
        <v>7</v>
      </c>
      <c r="Z764" s="7" t="s">
        <v>13682</v>
      </c>
      <c r="AA764" s="9" t="s">
        <v>13683</v>
      </c>
      <c r="AB764" s="7" t="s">
        <v>13684</v>
      </c>
      <c r="AC764" s="7" t="s">
        <v>13685</v>
      </c>
      <c r="AD764" s="7" t="s">
        <v>13686</v>
      </c>
      <c r="AE764" s="7" t="s">
        <v>13687</v>
      </c>
      <c r="AF764" s="7"/>
      <c r="AG764" s="7"/>
      <c r="AH764" s="7"/>
      <c r="AI764" s="7"/>
      <c r="AJ764" s="10"/>
      <c r="AK764" s="7"/>
      <c r="AL764" s="7" t="s">
        <v>13688</v>
      </c>
      <c r="AM764" s="7" t="s">
        <v>13689</v>
      </c>
      <c r="AN764" s="7" t="s">
        <v>13690</v>
      </c>
      <c r="AO764" s="7"/>
      <c r="AP764" s="7" t="s">
        <v>13691</v>
      </c>
      <c r="AQ764" s="7" t="s">
        <v>13692</v>
      </c>
      <c r="AR764" s="7" t="s">
        <v>13693</v>
      </c>
      <c r="AS764" s="7" t="n">
        <v>232429</v>
      </c>
      <c r="AT764" s="7" t="n">
        <v>3029743</v>
      </c>
      <c r="AU764" s="7" t="s">
        <v>13694</v>
      </c>
      <c r="AV764" s="7"/>
      <c r="AW764" s="7"/>
      <c r="AX764" s="7" t="s">
        <v>2766</v>
      </c>
      <c r="AY764" s="7" t="s">
        <v>75</v>
      </c>
      <c r="AZ764" s="7"/>
      <c r="BA764" s="7" t="s">
        <v>76</v>
      </c>
      <c r="BB764" s="7" t="s">
        <v>13695</v>
      </c>
      <c r="BC764" s="7"/>
      <c r="BD764" s="7"/>
      <c r="BE764" s="7"/>
      <c r="BF764" s="7"/>
      <c r="BG764" s="7"/>
      <c r="BH764" s="7"/>
      <c r="BI764" s="7"/>
    </row>
    <row r="765" customFormat="false" ht="14.25" hidden="false" customHeight="true" outlineLevel="0" collapsed="false">
      <c r="A765" s="7" t="s">
        <v>13696</v>
      </c>
      <c r="B765" s="7" t="s">
        <v>13697</v>
      </c>
      <c r="C765" s="7" t="s">
        <v>13698</v>
      </c>
      <c r="D765" s="7" t="s">
        <v>13699</v>
      </c>
      <c r="E765" s="7" t="n">
        <v>2019</v>
      </c>
      <c r="F765" s="8" t="s">
        <v>13700</v>
      </c>
      <c r="G765" s="6" t="s">
        <v>3714</v>
      </c>
      <c r="H765" s="7"/>
      <c r="I765" s="7"/>
      <c r="J765" s="7"/>
      <c r="K765" s="7"/>
      <c r="L765" s="7"/>
      <c r="M765" s="7"/>
      <c r="N765" s="7"/>
      <c r="O765" s="7"/>
      <c r="P765" s="7" t="s">
        <v>304</v>
      </c>
      <c r="Q765" s="7" t="s">
        <v>62</v>
      </c>
      <c r="R765" s="7" t="s">
        <v>13701</v>
      </c>
      <c r="S765" s="7"/>
      <c r="T765" s="7" t="s">
        <v>10226</v>
      </c>
      <c r="U765" s="7"/>
      <c r="V765" s="7"/>
      <c r="W765" s="7" t="n">
        <v>621</v>
      </c>
      <c r="X765" s="7" t="n">
        <v>624</v>
      </c>
      <c r="Y765" s="7" t="n">
        <v>3</v>
      </c>
      <c r="Z765" s="7" t="s">
        <v>13702</v>
      </c>
      <c r="AA765" s="9" t="s">
        <v>13703</v>
      </c>
      <c r="AB765" s="7" t="s">
        <v>13704</v>
      </c>
      <c r="AC765" s="7" t="s">
        <v>13705</v>
      </c>
      <c r="AD765" s="7" t="s">
        <v>13706</v>
      </c>
      <c r="AE765" s="7" t="s">
        <v>13707</v>
      </c>
      <c r="AF765" s="7"/>
      <c r="AG765" s="7"/>
      <c r="AH765" s="7"/>
      <c r="AI765" s="7"/>
      <c r="AJ765" s="10"/>
      <c r="AK765" s="7"/>
      <c r="AL765" s="7" t="s">
        <v>13708</v>
      </c>
      <c r="AM765" s="7"/>
      <c r="AN765" s="7" t="s">
        <v>13709</v>
      </c>
      <c r="AO765" s="7" t="s">
        <v>13710</v>
      </c>
      <c r="AP765" s="7" t="s">
        <v>13711</v>
      </c>
      <c r="AQ765" s="7" t="s">
        <v>13712</v>
      </c>
      <c r="AR765" s="7" t="s">
        <v>13713</v>
      </c>
      <c r="AS765" s="7" t="n">
        <v>156744</v>
      </c>
      <c r="AT765" s="7"/>
      <c r="AU765" s="7" t="s">
        <v>13714</v>
      </c>
      <c r="AV765" s="7"/>
      <c r="AW765" s="7"/>
      <c r="AX765" s="7" t="s">
        <v>13715</v>
      </c>
      <c r="AY765" s="7" t="s">
        <v>75</v>
      </c>
      <c r="AZ765" s="7" t="s">
        <v>409</v>
      </c>
      <c r="BA765" s="7" t="s">
        <v>76</v>
      </c>
      <c r="BB765" s="7" t="s">
        <v>13716</v>
      </c>
      <c r="BC765" s="7"/>
      <c r="BD765" s="7"/>
      <c r="BE765" s="7"/>
      <c r="BF765" s="7"/>
      <c r="BG765" s="7"/>
      <c r="BH765" s="7"/>
      <c r="BI765" s="7"/>
    </row>
    <row r="766" customFormat="false" ht="14.25" hidden="false" customHeight="true" outlineLevel="0" collapsed="false">
      <c r="A766" s="7" t="s">
        <v>13717</v>
      </c>
      <c r="B766" s="7" t="s">
        <v>13718</v>
      </c>
      <c r="C766" s="7" t="s">
        <v>13719</v>
      </c>
      <c r="D766" s="7" t="s">
        <v>13720</v>
      </c>
      <c r="E766" s="7" t="n">
        <v>2019</v>
      </c>
      <c r="F766" s="8" t="s">
        <v>13721</v>
      </c>
      <c r="G766" s="6" t="s">
        <v>134</v>
      </c>
      <c r="H766" s="7"/>
      <c r="I766" s="7"/>
      <c r="J766" s="7"/>
      <c r="K766" s="7"/>
      <c r="L766" s="7"/>
      <c r="M766" s="7"/>
      <c r="N766" s="7"/>
      <c r="O766" s="7"/>
      <c r="P766" s="7" t="s">
        <v>304</v>
      </c>
      <c r="Q766" s="7" t="s">
        <v>62</v>
      </c>
      <c r="R766" s="7" t="s">
        <v>10318</v>
      </c>
      <c r="S766" s="12" t="n">
        <v>43739</v>
      </c>
      <c r="T766" s="7" t="s">
        <v>187</v>
      </c>
      <c r="U766" s="7"/>
      <c r="V766" s="7" t="n">
        <v>9174565</v>
      </c>
      <c r="W766" s="7"/>
      <c r="X766" s="7"/>
      <c r="Y766" s="7"/>
      <c r="Z766" s="7" t="s">
        <v>13722</v>
      </c>
      <c r="AA766" s="9" t="s">
        <v>13723</v>
      </c>
      <c r="AB766" s="7" t="s">
        <v>13724</v>
      </c>
      <c r="AC766" s="7" t="s">
        <v>13725</v>
      </c>
      <c r="AD766" s="7" t="s">
        <v>13726</v>
      </c>
      <c r="AE766" s="7" t="s">
        <v>13727</v>
      </c>
      <c r="AF766" s="7"/>
      <c r="AG766" s="7"/>
      <c r="AH766" s="7"/>
      <c r="AI766" s="7"/>
      <c r="AJ766" s="10" t="s">
        <v>11721</v>
      </c>
      <c r="AK766" s="7" t="s">
        <v>13728</v>
      </c>
      <c r="AL766" s="7" t="s">
        <v>13729</v>
      </c>
      <c r="AM766" s="7" t="s">
        <v>13730</v>
      </c>
      <c r="AN766" s="7"/>
      <c r="AO766" s="7"/>
      <c r="AP766" s="7" t="s">
        <v>13731</v>
      </c>
      <c r="AQ766" s="7" t="s">
        <v>13732</v>
      </c>
      <c r="AR766" s="7" t="s">
        <v>10330</v>
      </c>
      <c r="AS766" s="7" t="n">
        <v>162656</v>
      </c>
      <c r="AT766" s="7" t="n">
        <v>21642516</v>
      </c>
      <c r="AU766" s="7" t="s">
        <v>13733</v>
      </c>
      <c r="AV766" s="7"/>
      <c r="AW766" s="7"/>
      <c r="AX766" s="7" t="s">
        <v>10332</v>
      </c>
      <c r="AY766" s="7" t="s">
        <v>75</v>
      </c>
      <c r="AZ766" s="7"/>
      <c r="BA766" s="7" t="s">
        <v>76</v>
      </c>
      <c r="BB766" s="7" t="s">
        <v>13734</v>
      </c>
      <c r="BC766" s="7"/>
      <c r="BD766" s="7"/>
      <c r="BE766" s="7"/>
      <c r="BF766" s="7"/>
      <c r="BG766" s="7"/>
      <c r="BH766" s="7"/>
      <c r="BI766" s="7"/>
    </row>
    <row r="767" customFormat="false" ht="14.25" hidden="false" customHeight="true" outlineLevel="0" collapsed="false">
      <c r="A767" s="7" t="s">
        <v>13735</v>
      </c>
      <c r="B767" s="7" t="s">
        <v>13736</v>
      </c>
      <c r="C767" s="7" t="s">
        <v>13737</v>
      </c>
      <c r="D767" s="7" t="s">
        <v>13738</v>
      </c>
      <c r="E767" s="7" t="n">
        <v>2019</v>
      </c>
      <c r="F767" s="8" t="s">
        <v>13739</v>
      </c>
      <c r="G767" s="6" t="s">
        <v>134</v>
      </c>
      <c r="H767" s="7"/>
      <c r="I767" s="7"/>
      <c r="J767" s="7"/>
      <c r="K767" s="7"/>
      <c r="L767" s="7"/>
      <c r="M767" s="7"/>
      <c r="N767" s="7"/>
      <c r="O767" s="7"/>
      <c r="P767" s="7" t="s">
        <v>304</v>
      </c>
      <c r="Q767" s="7" t="s">
        <v>62</v>
      </c>
      <c r="R767" s="7" t="s">
        <v>5757</v>
      </c>
      <c r="S767" s="7" t="n">
        <v>1372</v>
      </c>
      <c r="T767" s="7" t="s">
        <v>12382</v>
      </c>
      <c r="U767" s="7" t="n">
        <v>1</v>
      </c>
      <c r="V767" s="7" t="n">
        <v>12064</v>
      </c>
      <c r="W767" s="7"/>
      <c r="X767" s="7"/>
      <c r="Y767" s="7"/>
      <c r="Z767" s="7" t="s">
        <v>13740</v>
      </c>
      <c r="AA767" s="9" t="s">
        <v>13741</v>
      </c>
      <c r="AB767" s="7" t="s">
        <v>13742</v>
      </c>
      <c r="AC767" s="7" t="s">
        <v>13743</v>
      </c>
      <c r="AD767" s="7"/>
      <c r="AE767" s="7" t="s">
        <v>13744</v>
      </c>
      <c r="AF767" s="7"/>
      <c r="AG767" s="7"/>
      <c r="AH767" s="7"/>
      <c r="AI767" s="7"/>
      <c r="AJ767" s="10" t="s">
        <v>13745</v>
      </c>
      <c r="AK767" s="7" t="s">
        <v>13746</v>
      </c>
      <c r="AL767" s="7" t="s">
        <v>13747</v>
      </c>
      <c r="AM767" s="7"/>
      <c r="AN767" s="7" t="s">
        <v>13748</v>
      </c>
      <c r="AO767" s="7" t="s">
        <v>13749</v>
      </c>
      <c r="AP767" s="7" t="s">
        <v>13750</v>
      </c>
      <c r="AQ767" s="7" t="s">
        <v>13751</v>
      </c>
      <c r="AR767" s="7" t="s">
        <v>13752</v>
      </c>
      <c r="AS767" s="7" t="n">
        <v>155531</v>
      </c>
      <c r="AT767" s="7" t="n">
        <v>17426588</v>
      </c>
      <c r="AU767" s="7"/>
      <c r="AV767" s="7"/>
      <c r="AW767" s="7"/>
      <c r="AX767" s="7" t="s">
        <v>5771</v>
      </c>
      <c r="AY767" s="7" t="s">
        <v>75</v>
      </c>
      <c r="AZ767" s="7" t="s">
        <v>127</v>
      </c>
      <c r="BA767" s="7" t="s">
        <v>76</v>
      </c>
      <c r="BB767" s="7" t="s">
        <v>13753</v>
      </c>
      <c r="BC767" s="7"/>
      <c r="BD767" s="7"/>
      <c r="BE767" s="7"/>
      <c r="BF767" s="7"/>
      <c r="BG767" s="7"/>
      <c r="BH767" s="7"/>
      <c r="BI767" s="7"/>
    </row>
    <row r="768" customFormat="false" ht="14.25" hidden="false" customHeight="true" outlineLevel="0" collapsed="false">
      <c r="A768" s="7" t="s">
        <v>13754</v>
      </c>
      <c r="B768" s="7" t="s">
        <v>13755</v>
      </c>
      <c r="C768" s="7" t="s">
        <v>13756</v>
      </c>
      <c r="D768" s="7" t="s">
        <v>13757</v>
      </c>
      <c r="E768" s="7" t="n">
        <v>2019</v>
      </c>
      <c r="F768" s="8" t="s">
        <v>13758</v>
      </c>
      <c r="G768" s="6" t="s">
        <v>349</v>
      </c>
      <c r="H768" s="7"/>
      <c r="I768" s="7"/>
      <c r="J768" s="7"/>
      <c r="K768" s="7"/>
      <c r="L768" s="7"/>
      <c r="M768" s="7"/>
      <c r="N768" s="7"/>
      <c r="O768" s="7"/>
      <c r="P768" s="7" t="s">
        <v>304</v>
      </c>
      <c r="Q768" s="7" t="s">
        <v>62</v>
      </c>
      <c r="R768" s="7" t="s">
        <v>13759</v>
      </c>
      <c r="S768" s="12" t="n">
        <v>43709</v>
      </c>
      <c r="T768" s="7" t="s">
        <v>187</v>
      </c>
      <c r="U768" s="7"/>
      <c r="V768" s="7" t="n">
        <v>9133937</v>
      </c>
      <c r="W768" s="7"/>
      <c r="X768" s="7"/>
      <c r="Y768" s="7"/>
      <c r="Z768" s="7" t="s">
        <v>13760</v>
      </c>
      <c r="AA768" s="9" t="s">
        <v>13761</v>
      </c>
      <c r="AB768" s="7" t="s">
        <v>13762</v>
      </c>
      <c r="AC768" s="7" t="s">
        <v>13763</v>
      </c>
      <c r="AD768" s="7" t="s">
        <v>13764</v>
      </c>
      <c r="AE768" s="7" t="s">
        <v>13765</v>
      </c>
      <c r="AF768" s="7"/>
      <c r="AG768" s="7"/>
      <c r="AH768" s="7"/>
      <c r="AI768" s="7"/>
      <c r="AJ768" s="10"/>
      <c r="AK768" s="7"/>
      <c r="AL768" s="7" t="s">
        <v>13766</v>
      </c>
      <c r="AM768" s="7"/>
      <c r="AN768" s="7"/>
      <c r="AO768" s="7"/>
      <c r="AP768" s="7" t="s">
        <v>13767</v>
      </c>
      <c r="AQ768" s="7" t="s">
        <v>13768</v>
      </c>
      <c r="AR768" s="7" t="s">
        <v>13769</v>
      </c>
      <c r="AS768" s="7" t="n">
        <v>161700</v>
      </c>
      <c r="AT768" s="7" t="n">
        <v>21530025</v>
      </c>
      <c r="AU768" s="7" t="s">
        <v>13770</v>
      </c>
      <c r="AV768" s="7"/>
      <c r="AW768" s="7"/>
      <c r="AX768" s="7" t="s">
        <v>13771</v>
      </c>
      <c r="AY768" s="7" t="s">
        <v>75</v>
      </c>
      <c r="AZ768" s="7"/>
      <c r="BA768" s="7" t="s">
        <v>76</v>
      </c>
      <c r="BB768" s="7" t="s">
        <v>13772</v>
      </c>
      <c r="BC768" s="7"/>
      <c r="BD768" s="7"/>
      <c r="BE768" s="7"/>
      <c r="BF768" s="7"/>
      <c r="BG768" s="7"/>
      <c r="BH768" s="7"/>
      <c r="BI768" s="7"/>
    </row>
    <row r="769" customFormat="false" ht="14.25" hidden="false" customHeight="true" outlineLevel="0" collapsed="false">
      <c r="A769" s="7" t="s">
        <v>13717</v>
      </c>
      <c r="B769" s="7" t="s">
        <v>13718</v>
      </c>
      <c r="C769" s="7" t="s">
        <v>13719</v>
      </c>
      <c r="D769" s="7" t="s">
        <v>13773</v>
      </c>
      <c r="E769" s="7" t="n">
        <v>2019</v>
      </c>
      <c r="F769" s="8" t="s">
        <v>13774</v>
      </c>
      <c r="G769" s="6" t="s">
        <v>134</v>
      </c>
      <c r="H769" s="7"/>
      <c r="I769" s="7"/>
      <c r="J769" s="7"/>
      <c r="K769" s="7"/>
      <c r="L769" s="7"/>
      <c r="M769" s="7"/>
      <c r="N769" s="7"/>
      <c r="O769" s="7"/>
      <c r="P769" s="7" t="s">
        <v>304</v>
      </c>
      <c r="Q769" s="7" t="s">
        <v>62</v>
      </c>
      <c r="R769" s="7" t="s">
        <v>2751</v>
      </c>
      <c r="S769" s="7" t="s">
        <v>13775</v>
      </c>
      <c r="T769" s="7" t="s">
        <v>586</v>
      </c>
      <c r="U769" s="7"/>
      <c r="V769" s="7"/>
      <c r="W769" s="7" t="n">
        <v>73</v>
      </c>
      <c r="X769" s="7" t="n">
        <v>80</v>
      </c>
      <c r="Y769" s="7" t="n">
        <v>7</v>
      </c>
      <c r="Z769" s="7" t="s">
        <v>13776</v>
      </c>
      <c r="AA769" s="9" t="s">
        <v>13777</v>
      </c>
      <c r="AB769" s="7" t="s">
        <v>13778</v>
      </c>
      <c r="AC769" s="7" t="s">
        <v>13779</v>
      </c>
      <c r="AD769" s="7" t="s">
        <v>13780</v>
      </c>
      <c r="AE769" s="7" t="s">
        <v>13781</v>
      </c>
      <c r="AF769" s="7"/>
      <c r="AG769" s="7"/>
      <c r="AH769" s="7"/>
      <c r="AI769" s="7"/>
      <c r="AJ769" s="10" t="s">
        <v>13782</v>
      </c>
      <c r="AK769" s="7" t="s">
        <v>13783</v>
      </c>
      <c r="AL769" s="7" t="s">
        <v>13784</v>
      </c>
      <c r="AM769" s="7" t="s">
        <v>13785</v>
      </c>
      <c r="AN769" s="7" t="s">
        <v>13786</v>
      </c>
      <c r="AO769" s="7"/>
      <c r="AP769" s="7" t="s">
        <v>13787</v>
      </c>
      <c r="AQ769" s="7" t="s">
        <v>13788</v>
      </c>
      <c r="AR769" s="7" t="s">
        <v>13579</v>
      </c>
      <c r="AS769" s="7" t="n">
        <v>232979</v>
      </c>
      <c r="AT769" s="7" t="n">
        <v>3029743</v>
      </c>
      <c r="AU769" s="7" t="s">
        <v>13789</v>
      </c>
      <c r="AV769" s="7"/>
      <c r="AW769" s="7"/>
      <c r="AX769" s="7" t="s">
        <v>2766</v>
      </c>
      <c r="AY769" s="7" t="s">
        <v>75</v>
      </c>
      <c r="AZ769" s="7"/>
      <c r="BA769" s="7" t="s">
        <v>76</v>
      </c>
      <c r="BB769" s="7" t="s">
        <v>13790</v>
      </c>
      <c r="BC769" s="7"/>
      <c r="BD769" s="7"/>
      <c r="BE769" s="7"/>
      <c r="BF769" s="7"/>
      <c r="BG769" s="7"/>
      <c r="BH769" s="7"/>
      <c r="BI769" s="7"/>
    </row>
    <row r="770" customFormat="false" ht="14.25" hidden="false" customHeight="true" outlineLevel="0" collapsed="false">
      <c r="A770" s="7" t="s">
        <v>13791</v>
      </c>
      <c r="B770" s="7" t="s">
        <v>13792</v>
      </c>
      <c r="C770" s="7" t="s">
        <v>13793</v>
      </c>
      <c r="D770" s="7" t="s">
        <v>13794</v>
      </c>
      <c r="E770" s="7" t="n">
        <v>2019</v>
      </c>
      <c r="F770" s="8" t="s">
        <v>13795</v>
      </c>
      <c r="G770" s="6" t="s">
        <v>134</v>
      </c>
      <c r="H770" s="7"/>
      <c r="I770" s="7"/>
      <c r="J770" s="7"/>
      <c r="K770" s="7"/>
      <c r="L770" s="7"/>
      <c r="M770" s="7"/>
      <c r="N770" s="7"/>
      <c r="O770" s="7"/>
      <c r="P770" s="7" t="s">
        <v>304</v>
      </c>
      <c r="Q770" s="7" t="s">
        <v>62</v>
      </c>
      <c r="R770" s="7" t="s">
        <v>2751</v>
      </c>
      <c r="S770" s="7" t="s">
        <v>13796</v>
      </c>
      <c r="T770" s="7" t="s">
        <v>586</v>
      </c>
      <c r="U770" s="7"/>
      <c r="V770" s="7"/>
      <c r="W770" s="7" t="n">
        <v>398</v>
      </c>
      <c r="X770" s="7" t="n">
        <v>408</v>
      </c>
      <c r="Y770" s="7" t="n">
        <v>10</v>
      </c>
      <c r="Z770" s="7" t="s">
        <v>13797</v>
      </c>
      <c r="AA770" s="9" t="s">
        <v>13798</v>
      </c>
      <c r="AB770" s="7" t="s">
        <v>13799</v>
      </c>
      <c r="AC770" s="7" t="s">
        <v>13800</v>
      </c>
      <c r="AD770" s="7" t="s">
        <v>13801</v>
      </c>
      <c r="AE770" s="7" t="s">
        <v>13802</v>
      </c>
      <c r="AF770" s="7"/>
      <c r="AG770" s="7"/>
      <c r="AH770" s="7"/>
      <c r="AI770" s="7"/>
      <c r="AJ770" s="10" t="s">
        <v>13803</v>
      </c>
      <c r="AK770" s="7" t="s">
        <v>13804</v>
      </c>
      <c r="AL770" s="7" t="s">
        <v>13805</v>
      </c>
      <c r="AM770" s="7" t="s">
        <v>13806</v>
      </c>
      <c r="AN770" s="7" t="s">
        <v>13690</v>
      </c>
      <c r="AO770" s="7"/>
      <c r="AP770" s="7" t="s">
        <v>13691</v>
      </c>
      <c r="AQ770" s="7" t="s">
        <v>13692</v>
      </c>
      <c r="AR770" s="7" t="s">
        <v>13693</v>
      </c>
      <c r="AS770" s="7" t="n">
        <v>232429</v>
      </c>
      <c r="AT770" s="7" t="n">
        <v>3029743</v>
      </c>
      <c r="AU770" s="7" t="s">
        <v>13807</v>
      </c>
      <c r="AV770" s="7"/>
      <c r="AW770" s="7"/>
      <c r="AX770" s="7" t="s">
        <v>2766</v>
      </c>
      <c r="AY770" s="7" t="s">
        <v>75</v>
      </c>
      <c r="AZ770" s="7"/>
      <c r="BA770" s="7" t="s">
        <v>76</v>
      </c>
      <c r="BB770" s="7" t="s">
        <v>13808</v>
      </c>
      <c r="BC770" s="7"/>
      <c r="BD770" s="7"/>
      <c r="BE770" s="7"/>
      <c r="BF770" s="7"/>
      <c r="BG770" s="7"/>
      <c r="BH770" s="7"/>
      <c r="BI770" s="7"/>
    </row>
    <row r="771" customFormat="false" ht="14.25" hidden="false" customHeight="true" outlineLevel="0" collapsed="false">
      <c r="A771" s="7" t="s">
        <v>13809</v>
      </c>
      <c r="B771" s="7" t="s">
        <v>13810</v>
      </c>
      <c r="C771" s="7" t="s">
        <v>13811</v>
      </c>
      <c r="D771" s="7" t="s">
        <v>13812</v>
      </c>
      <c r="E771" s="7" t="n">
        <v>2019</v>
      </c>
      <c r="F771" s="8" t="s">
        <v>13813</v>
      </c>
      <c r="G771" s="6" t="s">
        <v>134</v>
      </c>
      <c r="H771" s="7"/>
      <c r="I771" s="7"/>
      <c r="J771" s="7"/>
      <c r="K771" s="7"/>
      <c r="L771" s="7"/>
      <c r="M771" s="7"/>
      <c r="N771" s="7"/>
      <c r="O771" s="7"/>
      <c r="P771" s="7" t="s">
        <v>304</v>
      </c>
      <c r="Q771" s="7" t="s">
        <v>62</v>
      </c>
      <c r="R771" s="7" t="s">
        <v>5996</v>
      </c>
      <c r="S771" s="7" t="n">
        <v>2540</v>
      </c>
      <c r="T771" s="7" t="s">
        <v>5997</v>
      </c>
      <c r="U771" s="7"/>
      <c r="V771" s="7"/>
      <c r="W771" s="7" t="n">
        <v>161</v>
      </c>
      <c r="X771" s="7" t="n">
        <v>172</v>
      </c>
      <c r="Y771" s="7" t="n">
        <v>11</v>
      </c>
      <c r="Z771" s="7"/>
      <c r="AA771" s="9" t="s">
        <v>13814</v>
      </c>
      <c r="AB771" s="7" t="s">
        <v>13815</v>
      </c>
      <c r="AC771" s="7" t="s">
        <v>13816</v>
      </c>
      <c r="AD771" s="7" t="s">
        <v>13817</v>
      </c>
      <c r="AE771" s="7" t="s">
        <v>13818</v>
      </c>
      <c r="AF771" s="7"/>
      <c r="AG771" s="7"/>
      <c r="AH771" s="7"/>
      <c r="AI771" s="7"/>
      <c r="AJ771" s="10"/>
      <c r="AK771" s="7"/>
      <c r="AL771" s="7" t="s">
        <v>13819</v>
      </c>
      <c r="AM771" s="7"/>
      <c r="AN771" s="7" t="s">
        <v>13820</v>
      </c>
      <c r="AO771" s="7"/>
      <c r="AP771" s="7" t="s">
        <v>13821</v>
      </c>
      <c r="AQ771" s="7" t="s">
        <v>13822</v>
      </c>
      <c r="AR771" s="7" t="s">
        <v>13823</v>
      </c>
      <c r="AS771" s="7" t="n">
        <v>156890</v>
      </c>
      <c r="AT771" s="7" t="n">
        <v>16130073</v>
      </c>
      <c r="AU771" s="7"/>
      <c r="AV771" s="7"/>
      <c r="AW771" s="7"/>
      <c r="AX771" s="7" t="s">
        <v>6011</v>
      </c>
      <c r="AY771" s="7" t="s">
        <v>75</v>
      </c>
      <c r="AZ771" s="7"/>
      <c r="BA771" s="7" t="s">
        <v>76</v>
      </c>
      <c r="BB771" s="7" t="s">
        <v>13824</v>
      </c>
      <c r="BC771" s="7"/>
      <c r="BD771" s="7"/>
      <c r="BE771" s="7"/>
      <c r="BF771" s="7"/>
      <c r="BG771" s="7"/>
      <c r="BH771" s="7"/>
      <c r="BI771" s="7"/>
    </row>
    <row r="772" customFormat="false" ht="14.25" hidden="false" customHeight="true" outlineLevel="0" collapsed="false">
      <c r="A772" s="7" t="s">
        <v>13825</v>
      </c>
      <c r="B772" s="7" t="s">
        <v>13826</v>
      </c>
      <c r="C772" s="7" t="s">
        <v>13827</v>
      </c>
      <c r="D772" s="7" t="s">
        <v>13828</v>
      </c>
      <c r="E772" s="7" t="n">
        <v>2019</v>
      </c>
      <c r="F772" s="8" t="s">
        <v>13829</v>
      </c>
      <c r="G772" s="6" t="s">
        <v>134</v>
      </c>
      <c r="H772" s="7"/>
      <c r="I772" s="7"/>
      <c r="J772" s="7"/>
      <c r="K772" s="7"/>
      <c r="L772" s="7"/>
      <c r="M772" s="7"/>
      <c r="N772" s="7"/>
      <c r="O772" s="7"/>
      <c r="P772" s="7" t="s">
        <v>304</v>
      </c>
      <c r="Q772" s="7" t="s">
        <v>62</v>
      </c>
      <c r="R772" s="7" t="s">
        <v>13830</v>
      </c>
      <c r="S772" s="7"/>
      <c r="T772" s="7" t="s">
        <v>187</v>
      </c>
      <c r="U772" s="7"/>
      <c r="V772" s="7" t="n">
        <v>8697909</v>
      </c>
      <c r="W772" s="7" t="n">
        <v>945</v>
      </c>
      <c r="X772" s="7" t="n">
        <v>949</v>
      </c>
      <c r="Y772" s="7" t="n">
        <v>4</v>
      </c>
      <c r="Z772" s="7" t="s">
        <v>13831</v>
      </c>
      <c r="AA772" s="9" t="s">
        <v>13832</v>
      </c>
      <c r="AB772" s="7" t="s">
        <v>13833</v>
      </c>
      <c r="AC772" s="7" t="s">
        <v>13834</v>
      </c>
      <c r="AD772" s="7" t="s">
        <v>13835</v>
      </c>
      <c r="AE772" s="7" t="s">
        <v>13836</v>
      </c>
      <c r="AF772" s="7"/>
      <c r="AG772" s="7"/>
      <c r="AH772" s="7"/>
      <c r="AI772" s="7"/>
      <c r="AJ772" s="10"/>
      <c r="AK772" s="7"/>
      <c r="AL772" s="7" t="s">
        <v>13837</v>
      </c>
      <c r="AM772" s="7"/>
      <c r="AN772" s="7"/>
      <c r="AO772" s="7"/>
      <c r="AP772" s="7" t="s">
        <v>13838</v>
      </c>
      <c r="AQ772" s="7" t="s">
        <v>13839</v>
      </c>
      <c r="AR772" s="7" t="s">
        <v>13840</v>
      </c>
      <c r="AS772" s="7" t="n">
        <v>147623</v>
      </c>
      <c r="AT772" s="7"/>
      <c r="AU772" s="7" t="s">
        <v>13841</v>
      </c>
      <c r="AV772" s="7"/>
      <c r="AW772" s="7"/>
      <c r="AX772" s="7" t="s">
        <v>13842</v>
      </c>
      <c r="AY772" s="7" t="s">
        <v>75</v>
      </c>
      <c r="AZ772" s="7"/>
      <c r="BA772" s="7" t="s">
        <v>76</v>
      </c>
      <c r="BB772" s="7" t="s">
        <v>13843</v>
      </c>
      <c r="BC772" s="7"/>
      <c r="BD772" s="7"/>
      <c r="BE772" s="7"/>
      <c r="BF772" s="7"/>
      <c r="BG772" s="7"/>
      <c r="BH772" s="7"/>
      <c r="BI772" s="7"/>
    </row>
    <row r="773" customFormat="false" ht="14.25" hidden="false" customHeight="true" outlineLevel="0" collapsed="false">
      <c r="A773" s="7" t="s">
        <v>13844</v>
      </c>
      <c r="B773" s="7" t="s">
        <v>13845</v>
      </c>
      <c r="C773" s="7" t="s">
        <v>13846</v>
      </c>
      <c r="D773" s="7" t="s">
        <v>13847</v>
      </c>
      <c r="E773" s="7" t="n">
        <v>2019</v>
      </c>
      <c r="F773" s="8" t="s">
        <v>13848</v>
      </c>
      <c r="G773" s="6" t="s">
        <v>134</v>
      </c>
      <c r="H773" s="7"/>
      <c r="I773" s="7"/>
      <c r="J773" s="7"/>
      <c r="K773" s="7"/>
      <c r="L773" s="7"/>
      <c r="M773" s="7"/>
      <c r="N773" s="7"/>
      <c r="O773" s="7"/>
      <c r="P773" s="7" t="s">
        <v>304</v>
      </c>
      <c r="Q773" s="7" t="s">
        <v>62</v>
      </c>
      <c r="R773" s="7" t="s">
        <v>13849</v>
      </c>
      <c r="S773" s="7"/>
      <c r="T773" s="7" t="s">
        <v>187</v>
      </c>
      <c r="U773" s="7"/>
      <c r="V773" s="7" t="n">
        <v>8674364</v>
      </c>
      <c r="W773" s="7"/>
      <c r="X773" s="7"/>
      <c r="Y773" s="7"/>
      <c r="Z773" s="7" t="s">
        <v>13850</v>
      </c>
      <c r="AA773" s="9" t="s">
        <v>13851</v>
      </c>
      <c r="AB773" s="7" t="s">
        <v>13852</v>
      </c>
      <c r="AC773" s="7" t="s">
        <v>13853</v>
      </c>
      <c r="AD773" s="7" t="s">
        <v>13854</v>
      </c>
      <c r="AE773" s="7" t="s">
        <v>13855</v>
      </c>
      <c r="AF773" s="7"/>
      <c r="AG773" s="7"/>
      <c r="AH773" s="7"/>
      <c r="AI773" s="7"/>
      <c r="AJ773" s="10"/>
      <c r="AK773" s="7"/>
      <c r="AL773" s="7" t="s">
        <v>13856</v>
      </c>
      <c r="AM773" s="7"/>
      <c r="AN773" s="7"/>
      <c r="AO773" s="7"/>
      <c r="AP773" s="7" t="s">
        <v>13857</v>
      </c>
      <c r="AQ773" s="7" t="s">
        <v>13858</v>
      </c>
      <c r="AR773" s="7" t="s">
        <v>13859</v>
      </c>
      <c r="AS773" s="7" t="n">
        <v>146692</v>
      </c>
      <c r="AT773" s="7"/>
      <c r="AU773" s="7" t="s">
        <v>13860</v>
      </c>
      <c r="AV773" s="7"/>
      <c r="AW773" s="7"/>
      <c r="AX773" s="7" t="s">
        <v>13861</v>
      </c>
      <c r="AY773" s="7" t="s">
        <v>75</v>
      </c>
      <c r="AZ773" s="7"/>
      <c r="BA773" s="7" t="s">
        <v>76</v>
      </c>
      <c r="BB773" s="7" t="s">
        <v>13862</v>
      </c>
      <c r="BC773" s="7"/>
      <c r="BD773" s="7"/>
      <c r="BE773" s="7"/>
      <c r="BF773" s="7"/>
      <c r="BG773" s="7"/>
      <c r="BH773" s="7"/>
      <c r="BI773" s="7"/>
    </row>
    <row r="774" customFormat="false" ht="14.25" hidden="false" customHeight="true" outlineLevel="0" collapsed="false">
      <c r="A774" s="7" t="s">
        <v>13863</v>
      </c>
      <c r="B774" s="7" t="s">
        <v>13864</v>
      </c>
      <c r="C774" s="7" t="s">
        <v>13865</v>
      </c>
      <c r="D774" s="7" t="s">
        <v>13866</v>
      </c>
      <c r="E774" s="7" t="n">
        <v>2019</v>
      </c>
      <c r="F774" s="8" t="s">
        <v>13867</v>
      </c>
      <c r="G774" s="6" t="s">
        <v>134</v>
      </c>
      <c r="H774" s="7"/>
      <c r="I774" s="7"/>
      <c r="J774" s="7"/>
      <c r="K774" s="7"/>
      <c r="L774" s="7"/>
      <c r="M774" s="7"/>
      <c r="N774" s="7"/>
      <c r="O774" s="7"/>
      <c r="P774" s="7" t="s">
        <v>304</v>
      </c>
      <c r="Q774" s="7" t="s">
        <v>62</v>
      </c>
      <c r="R774" s="7" t="s">
        <v>13868</v>
      </c>
      <c r="S774" s="12" t="n">
        <v>43586</v>
      </c>
      <c r="T774" s="7"/>
      <c r="U774" s="7"/>
      <c r="V774" s="7" t="n">
        <v>8826860</v>
      </c>
      <c r="W774" s="7"/>
      <c r="X774" s="7"/>
      <c r="Y774" s="7"/>
      <c r="Z774" s="7" t="s">
        <v>13869</v>
      </c>
      <c r="AA774" s="9" t="s">
        <v>13870</v>
      </c>
      <c r="AB774" s="7" t="s">
        <v>13871</v>
      </c>
      <c r="AC774" s="7" t="s">
        <v>13872</v>
      </c>
      <c r="AD774" s="7" t="s">
        <v>13873</v>
      </c>
      <c r="AE774" s="7" t="s">
        <v>13874</v>
      </c>
      <c r="AF774" s="7"/>
      <c r="AG774" s="7"/>
      <c r="AH774" s="7"/>
      <c r="AI774" s="7"/>
      <c r="AJ774" s="10"/>
      <c r="AK774" s="7"/>
      <c r="AL774" s="7" t="s">
        <v>13875</v>
      </c>
      <c r="AM774" s="7"/>
      <c r="AN774" s="7"/>
      <c r="AO774" s="7" t="s">
        <v>13876</v>
      </c>
      <c r="AP774" s="7" t="s">
        <v>13877</v>
      </c>
      <c r="AQ774" s="7" t="s">
        <v>13878</v>
      </c>
      <c r="AR774" s="7" t="s">
        <v>13879</v>
      </c>
      <c r="AS774" s="7" t="n">
        <v>151873</v>
      </c>
      <c r="AT774" s="7"/>
      <c r="AU774" s="7" t="s">
        <v>13880</v>
      </c>
      <c r="AV774" s="7"/>
      <c r="AW774" s="7"/>
      <c r="AX774" s="7" t="s">
        <v>13881</v>
      </c>
      <c r="AY774" s="7" t="s">
        <v>75</v>
      </c>
      <c r="AZ774" s="7"/>
      <c r="BA774" s="7" t="s">
        <v>76</v>
      </c>
      <c r="BB774" s="7" t="s">
        <v>13882</v>
      </c>
      <c r="BC774" s="7"/>
      <c r="BD774" s="7"/>
      <c r="BE774" s="7"/>
      <c r="BF774" s="7"/>
      <c r="BG774" s="7"/>
      <c r="BH774" s="7"/>
      <c r="BI774" s="7"/>
    </row>
    <row r="775" customFormat="false" ht="14.25" hidden="false" customHeight="true" outlineLevel="0" collapsed="false">
      <c r="A775" s="7" t="s">
        <v>13883</v>
      </c>
      <c r="B775" s="7" t="s">
        <v>13884</v>
      </c>
      <c r="C775" s="7" t="s">
        <v>13885</v>
      </c>
      <c r="D775" s="7" t="s">
        <v>13886</v>
      </c>
      <c r="E775" s="7" t="n">
        <v>2019</v>
      </c>
      <c r="F775" s="8" t="s">
        <v>13887</v>
      </c>
      <c r="G775" s="6" t="s">
        <v>134</v>
      </c>
      <c r="H775" s="7"/>
      <c r="I775" s="7"/>
      <c r="J775" s="7"/>
      <c r="K775" s="7"/>
      <c r="L775" s="7"/>
      <c r="M775" s="7"/>
      <c r="N775" s="7"/>
      <c r="O775" s="7"/>
      <c r="P775" s="7" t="s">
        <v>304</v>
      </c>
      <c r="Q775" s="7" t="s">
        <v>62</v>
      </c>
      <c r="R775" s="7" t="s">
        <v>13888</v>
      </c>
      <c r="S775" s="7"/>
      <c r="T775" s="7" t="s">
        <v>13889</v>
      </c>
      <c r="U775" s="7"/>
      <c r="V775" s="7"/>
      <c r="W775" s="7" t="n">
        <v>1501</v>
      </c>
      <c r="X775" s="7" t="n">
        <v>1518</v>
      </c>
      <c r="Y775" s="7" t="n">
        <v>17</v>
      </c>
      <c r="Z775" s="7"/>
      <c r="AA775" s="9" t="s">
        <v>13890</v>
      </c>
      <c r="AB775" s="7" t="s">
        <v>13891</v>
      </c>
      <c r="AC775" s="7" t="s">
        <v>13892</v>
      </c>
      <c r="AD775" s="7"/>
      <c r="AE775" s="7" t="s">
        <v>13893</v>
      </c>
      <c r="AF775" s="7"/>
      <c r="AG775" s="7"/>
      <c r="AH775" s="7"/>
      <c r="AI775" s="7"/>
      <c r="AJ775" s="10"/>
      <c r="AK775" s="7"/>
      <c r="AL775" s="7" t="s">
        <v>13894</v>
      </c>
      <c r="AM775" s="7"/>
      <c r="AN775" s="7"/>
      <c r="AO775" s="7" t="s">
        <v>13895</v>
      </c>
      <c r="AP775" s="7" t="s">
        <v>13896</v>
      </c>
      <c r="AQ775" s="7" t="s">
        <v>13897</v>
      </c>
      <c r="AR775" s="7" t="s">
        <v>6947</v>
      </c>
      <c r="AS775" s="7" t="n">
        <v>155143</v>
      </c>
      <c r="AT775" s="7"/>
      <c r="AU775" s="7" t="s">
        <v>13898</v>
      </c>
      <c r="AV775" s="7"/>
      <c r="AW775" s="7"/>
      <c r="AX775" s="7" t="s">
        <v>13899</v>
      </c>
      <c r="AY775" s="7" t="s">
        <v>75</v>
      </c>
      <c r="AZ775" s="7"/>
      <c r="BA775" s="7" t="s">
        <v>76</v>
      </c>
      <c r="BB775" s="7" t="s">
        <v>13900</v>
      </c>
      <c r="BC775" s="7"/>
      <c r="BD775" s="7"/>
      <c r="BE775" s="7"/>
      <c r="BF775" s="7"/>
      <c r="BG775" s="7"/>
      <c r="BH775" s="7"/>
      <c r="BI775" s="7"/>
    </row>
    <row r="776" customFormat="false" ht="14.25" hidden="false" customHeight="true" outlineLevel="0" collapsed="false">
      <c r="A776" s="7" t="s">
        <v>13901</v>
      </c>
      <c r="B776" s="7" t="s">
        <v>13902</v>
      </c>
      <c r="C776" s="7" t="s">
        <v>13903</v>
      </c>
      <c r="D776" s="7" t="s">
        <v>13904</v>
      </c>
      <c r="E776" s="7" t="n">
        <v>2019</v>
      </c>
      <c r="F776" s="8" t="s">
        <v>13905</v>
      </c>
      <c r="G776" s="6" t="s">
        <v>149</v>
      </c>
      <c r="H776" s="7"/>
      <c r="I776" s="7"/>
      <c r="J776" s="7"/>
      <c r="K776" s="7"/>
      <c r="L776" s="7"/>
      <c r="M776" s="7"/>
      <c r="N776" s="7"/>
      <c r="O776" s="7"/>
      <c r="P776" s="7" t="s">
        <v>304</v>
      </c>
      <c r="Q776" s="7" t="s">
        <v>62</v>
      </c>
      <c r="R776" s="7" t="s">
        <v>3364</v>
      </c>
      <c r="S776" s="7"/>
      <c r="T776" s="7" t="s">
        <v>3365</v>
      </c>
      <c r="U776" s="7"/>
      <c r="V776" s="7"/>
      <c r="W776" s="7" t="n">
        <v>101</v>
      </c>
      <c r="X776" s="7" t="n">
        <v>110</v>
      </c>
      <c r="Y776" s="7" t="n">
        <v>9</v>
      </c>
      <c r="Z776" s="7" t="s">
        <v>13906</v>
      </c>
      <c r="AA776" s="9" t="s">
        <v>13907</v>
      </c>
      <c r="AB776" s="7" t="s">
        <v>13908</v>
      </c>
      <c r="AC776" s="7" t="s">
        <v>13909</v>
      </c>
      <c r="AD776" s="7" t="s">
        <v>13910</v>
      </c>
      <c r="AE776" s="7" t="s">
        <v>13911</v>
      </c>
      <c r="AF776" s="7"/>
      <c r="AG776" s="7"/>
      <c r="AH776" s="7"/>
      <c r="AI776" s="7"/>
      <c r="AJ776" s="10"/>
      <c r="AK776" s="7"/>
      <c r="AL776" s="7" t="s">
        <v>13912</v>
      </c>
      <c r="AM776" s="7"/>
      <c r="AN776" s="7"/>
      <c r="AO776" s="7" t="s">
        <v>13913</v>
      </c>
      <c r="AP776" s="7" t="s">
        <v>13914</v>
      </c>
      <c r="AQ776" s="7" t="s">
        <v>13915</v>
      </c>
      <c r="AR776" s="7" t="s">
        <v>13916</v>
      </c>
      <c r="AS776" s="7" t="n">
        <v>155372</v>
      </c>
      <c r="AT776" s="7"/>
      <c r="AU776" s="7" t="s">
        <v>13917</v>
      </c>
      <c r="AV776" s="7"/>
      <c r="AW776" s="7"/>
      <c r="AX776" s="7" t="s">
        <v>3380</v>
      </c>
      <c r="AY776" s="7" t="s">
        <v>75</v>
      </c>
      <c r="AZ776" s="7"/>
      <c r="BA776" s="7" t="s">
        <v>76</v>
      </c>
      <c r="BB776" s="7" t="s">
        <v>13918</v>
      </c>
      <c r="BC776" s="7"/>
      <c r="BD776" s="7"/>
      <c r="BE776" s="7"/>
      <c r="BF776" s="7"/>
      <c r="BG776" s="7"/>
      <c r="BH776" s="7"/>
      <c r="BI776" s="7"/>
    </row>
    <row r="777" customFormat="false" ht="14.25" hidden="false" customHeight="true" outlineLevel="0" collapsed="false">
      <c r="A777" s="7" t="s">
        <v>13919</v>
      </c>
      <c r="B777" s="7" t="s">
        <v>13920</v>
      </c>
      <c r="C777" s="7" t="s">
        <v>13921</v>
      </c>
      <c r="D777" s="7" t="s">
        <v>13922</v>
      </c>
      <c r="E777" s="7" t="n">
        <v>2018</v>
      </c>
      <c r="F777" s="8" t="s">
        <v>13923</v>
      </c>
      <c r="G777" s="6" t="s">
        <v>134</v>
      </c>
      <c r="H777" s="7"/>
      <c r="I777" s="7"/>
      <c r="J777" s="7"/>
      <c r="K777" s="7"/>
      <c r="L777" s="7"/>
      <c r="M777" s="7"/>
      <c r="N777" s="7"/>
      <c r="O777" s="7"/>
      <c r="P777" s="7" t="s">
        <v>61</v>
      </c>
      <c r="Q777" s="7" t="s">
        <v>62</v>
      </c>
      <c r="R777" s="7" t="s">
        <v>13924</v>
      </c>
      <c r="S777" s="7" t="n">
        <v>10</v>
      </c>
      <c r="T777" s="7" t="s">
        <v>13925</v>
      </c>
      <c r="U777" s="7"/>
      <c r="V777" s="7"/>
      <c r="W777" s="7" t="n">
        <v>552</v>
      </c>
      <c r="X777" s="7" t="n">
        <v>561</v>
      </c>
      <c r="Y777" s="7" t="n">
        <v>9</v>
      </c>
      <c r="Z777" s="7"/>
      <c r="AA777" s="9" t="s">
        <v>13926</v>
      </c>
      <c r="AB777" s="7" t="s">
        <v>13927</v>
      </c>
      <c r="AC777" s="7" t="s">
        <v>13928</v>
      </c>
      <c r="AD777" s="7" t="s">
        <v>13929</v>
      </c>
      <c r="AE777" s="7"/>
      <c r="AF777" s="7"/>
      <c r="AG777" s="7"/>
      <c r="AH777" s="7"/>
      <c r="AI777" s="7"/>
      <c r="AJ777" s="10"/>
      <c r="AK777" s="7"/>
      <c r="AL777" s="7" t="s">
        <v>13930</v>
      </c>
      <c r="AM777" s="7"/>
      <c r="AN777" s="7"/>
      <c r="AO777" s="7"/>
      <c r="AP777" s="7"/>
      <c r="AQ777" s="7"/>
      <c r="AR777" s="7"/>
      <c r="AS777" s="7"/>
      <c r="AT777" s="7" t="s">
        <v>13931</v>
      </c>
      <c r="AU777" s="7"/>
      <c r="AV777" s="7"/>
      <c r="AW777" s="7"/>
      <c r="AX777" s="7" t="s">
        <v>13932</v>
      </c>
      <c r="AY777" s="7" t="s">
        <v>75</v>
      </c>
      <c r="AZ777" s="7"/>
      <c r="BA777" s="7" t="s">
        <v>76</v>
      </c>
      <c r="BB777" s="7" t="s">
        <v>13933</v>
      </c>
      <c r="BC777" s="7"/>
      <c r="BD777" s="7"/>
      <c r="BE777" s="7"/>
      <c r="BF777" s="7"/>
      <c r="BG777" s="7"/>
      <c r="BH777" s="7"/>
      <c r="BI777" s="7"/>
    </row>
    <row r="778" customFormat="false" ht="14.25" hidden="false" customHeight="true" outlineLevel="0" collapsed="false">
      <c r="A778" s="7" t="s">
        <v>13934</v>
      </c>
      <c r="B778" s="7" t="s">
        <v>13935</v>
      </c>
      <c r="C778" s="7" t="s">
        <v>13936</v>
      </c>
      <c r="D778" s="7" t="s">
        <v>13937</v>
      </c>
      <c r="E778" s="7" t="n">
        <v>2018</v>
      </c>
      <c r="F778" s="8" t="s">
        <v>13938</v>
      </c>
      <c r="G778" s="6" t="s">
        <v>290</v>
      </c>
      <c r="H778" s="7"/>
      <c r="I778" s="7"/>
      <c r="J778" s="7"/>
      <c r="K778" s="7"/>
      <c r="L778" s="7"/>
      <c r="M778" s="7"/>
      <c r="N778" s="7"/>
      <c r="O778" s="7"/>
      <c r="P778" s="7" t="s">
        <v>61</v>
      </c>
      <c r="Q778" s="7" t="s">
        <v>62</v>
      </c>
      <c r="R778" s="7" t="s">
        <v>902</v>
      </c>
      <c r="S778" s="7" t="n">
        <v>17</v>
      </c>
      <c r="T778" s="7" t="s">
        <v>11626</v>
      </c>
      <c r="U778" s="7" t="n">
        <v>1</v>
      </c>
      <c r="V778" s="7" t="n">
        <v>160</v>
      </c>
      <c r="W778" s="7"/>
      <c r="X778" s="7"/>
      <c r="Y778" s="7"/>
      <c r="Z778" s="7" t="s">
        <v>13939</v>
      </c>
      <c r="AA778" s="9" t="s">
        <v>13940</v>
      </c>
      <c r="AB778" s="7" t="s">
        <v>13941</v>
      </c>
      <c r="AC778" s="7" t="s">
        <v>13942</v>
      </c>
      <c r="AD778" s="7" t="s">
        <v>13943</v>
      </c>
      <c r="AE778" s="7" t="s">
        <v>13944</v>
      </c>
      <c r="AF778" s="7"/>
      <c r="AG778" s="7" t="s">
        <v>13945</v>
      </c>
      <c r="AH778" s="7"/>
      <c r="AI778" s="7"/>
      <c r="AJ778" s="10" t="s">
        <v>13946</v>
      </c>
      <c r="AK778" s="7" t="s">
        <v>13947</v>
      </c>
      <c r="AL778" s="7" t="s">
        <v>13948</v>
      </c>
      <c r="AM778" s="7" t="s">
        <v>13949</v>
      </c>
      <c r="AN778" s="7"/>
      <c r="AO778" s="7"/>
      <c r="AP778" s="7"/>
      <c r="AQ778" s="7"/>
      <c r="AR778" s="7"/>
      <c r="AS778" s="7"/>
      <c r="AT778" s="7" t="n">
        <v>14752875</v>
      </c>
      <c r="AU778" s="7"/>
      <c r="AV778" s="7"/>
      <c r="AW778" s="7" t="n">
        <v>29642892</v>
      </c>
      <c r="AX778" s="7" t="s">
        <v>914</v>
      </c>
      <c r="AY778" s="7" t="s">
        <v>75</v>
      </c>
      <c r="AZ778" s="7" t="s">
        <v>107</v>
      </c>
      <c r="BA778" s="7" t="s">
        <v>76</v>
      </c>
      <c r="BB778" s="7" t="s">
        <v>13950</v>
      </c>
      <c r="BC778" s="7"/>
      <c r="BD778" s="7"/>
      <c r="BE778" s="7"/>
      <c r="BF778" s="7"/>
      <c r="BG778" s="7"/>
      <c r="BH778" s="7"/>
      <c r="BI778" s="7"/>
    </row>
    <row r="779" customFormat="false" ht="14.25" hidden="false" customHeight="true" outlineLevel="0" collapsed="false">
      <c r="A779" s="7" t="s">
        <v>13951</v>
      </c>
      <c r="B779" s="7" t="s">
        <v>13952</v>
      </c>
      <c r="C779" s="7" t="s">
        <v>13953</v>
      </c>
      <c r="D779" s="7" t="s">
        <v>13954</v>
      </c>
      <c r="E779" s="7" t="n">
        <v>2018</v>
      </c>
      <c r="F779" s="8" t="s">
        <v>13955</v>
      </c>
      <c r="G779" s="6" t="s">
        <v>134</v>
      </c>
      <c r="H779" s="7"/>
      <c r="I779" s="7"/>
      <c r="J779" s="7"/>
      <c r="K779" s="7"/>
      <c r="L779" s="7"/>
      <c r="M779" s="7"/>
      <c r="N779" s="7"/>
      <c r="O779" s="7"/>
      <c r="P779" s="7" t="s">
        <v>61</v>
      </c>
      <c r="Q779" s="7" t="s">
        <v>62</v>
      </c>
      <c r="R779" s="7" t="s">
        <v>13956</v>
      </c>
      <c r="S779" s="7" t="n">
        <v>187</v>
      </c>
      <c r="T779" s="7" t="s">
        <v>202</v>
      </c>
      <c r="U779" s="7"/>
      <c r="V779" s="7"/>
      <c r="W779" s="7" t="n">
        <v>321</v>
      </c>
      <c r="X779" s="7" t="n">
        <v>329</v>
      </c>
      <c r="Y779" s="7" t="n">
        <v>8</v>
      </c>
      <c r="Z779" s="7" t="s">
        <v>13957</v>
      </c>
      <c r="AA779" s="9" t="s">
        <v>13958</v>
      </c>
      <c r="AB779" s="7" t="s">
        <v>13959</v>
      </c>
      <c r="AC779" s="7" t="s">
        <v>13960</v>
      </c>
      <c r="AD779" s="7" t="s">
        <v>13961</v>
      </c>
      <c r="AE779" s="7" t="s">
        <v>13962</v>
      </c>
      <c r="AF779" s="7"/>
      <c r="AG779" s="7" t="s">
        <v>13963</v>
      </c>
      <c r="AH779" s="7"/>
      <c r="AI779" s="7"/>
      <c r="AJ779" s="10"/>
      <c r="AK779" s="7"/>
      <c r="AL779" s="7" t="s">
        <v>13964</v>
      </c>
      <c r="AM779" s="7" t="s">
        <v>13965</v>
      </c>
      <c r="AN779" s="7"/>
      <c r="AO779" s="7"/>
      <c r="AP779" s="7"/>
      <c r="AQ779" s="7"/>
      <c r="AR779" s="7"/>
      <c r="AS779" s="7"/>
      <c r="AT779" s="7" t="n">
        <v>399140</v>
      </c>
      <c r="AU779" s="7"/>
      <c r="AV779" s="7" t="s">
        <v>13966</v>
      </c>
      <c r="AW779" s="7" t="n">
        <v>29853054</v>
      </c>
      <c r="AX779" s="7" t="s">
        <v>13956</v>
      </c>
      <c r="AY779" s="7" t="s">
        <v>75</v>
      </c>
      <c r="AZ779" s="7"/>
      <c r="BA779" s="7" t="s">
        <v>76</v>
      </c>
      <c r="BB779" s="7" t="s">
        <v>13967</v>
      </c>
      <c r="BC779" s="7"/>
      <c r="BD779" s="7"/>
      <c r="BE779" s="7"/>
      <c r="BF779" s="7"/>
      <c r="BG779" s="7"/>
      <c r="BH779" s="7"/>
      <c r="BI779" s="7"/>
    </row>
    <row r="780" customFormat="false" ht="14.25" hidden="false" customHeight="true" outlineLevel="0" collapsed="false">
      <c r="A780" s="7" t="s">
        <v>13968</v>
      </c>
      <c r="B780" s="7" t="s">
        <v>13969</v>
      </c>
      <c r="C780" s="7" t="s">
        <v>13970</v>
      </c>
      <c r="D780" s="7" t="s">
        <v>13971</v>
      </c>
      <c r="E780" s="7" t="n">
        <v>2018</v>
      </c>
      <c r="F780" s="8" t="s">
        <v>13972</v>
      </c>
      <c r="G780" s="6" t="s">
        <v>134</v>
      </c>
      <c r="H780" s="7"/>
      <c r="I780" s="7"/>
      <c r="J780" s="7"/>
      <c r="K780" s="7"/>
      <c r="L780" s="7"/>
      <c r="M780" s="7"/>
      <c r="N780" s="7"/>
      <c r="O780" s="7"/>
      <c r="P780" s="7" t="s">
        <v>61</v>
      </c>
      <c r="Q780" s="7" t="s">
        <v>62</v>
      </c>
      <c r="R780" s="7" t="s">
        <v>13973</v>
      </c>
      <c r="S780" s="7" t="n">
        <v>148</v>
      </c>
      <c r="T780" s="7" t="s">
        <v>395</v>
      </c>
      <c r="U780" s="7" t="n">
        <v>3</v>
      </c>
      <c r="V780" s="7"/>
      <c r="W780" s="7" t="n">
        <v>427</v>
      </c>
      <c r="X780" s="7" t="n">
        <v>436</v>
      </c>
      <c r="Y780" s="7" t="n">
        <v>9</v>
      </c>
      <c r="Z780" s="7" t="s">
        <v>13974</v>
      </c>
      <c r="AA780" s="9" t="s">
        <v>13975</v>
      </c>
      <c r="AB780" s="7" t="s">
        <v>13976</v>
      </c>
      <c r="AC780" s="7" t="s">
        <v>13977</v>
      </c>
      <c r="AD780" s="7" t="s">
        <v>13978</v>
      </c>
      <c r="AE780" s="7" t="s">
        <v>13979</v>
      </c>
      <c r="AF780" s="7"/>
      <c r="AG780" s="7" t="s">
        <v>13980</v>
      </c>
      <c r="AH780" s="7"/>
      <c r="AI780" s="7"/>
      <c r="AJ780" s="10" t="s">
        <v>13981</v>
      </c>
      <c r="AK780" s="7" t="s">
        <v>13982</v>
      </c>
      <c r="AL780" s="7" t="s">
        <v>13983</v>
      </c>
      <c r="AM780" s="7" t="s">
        <v>13984</v>
      </c>
      <c r="AN780" s="7"/>
      <c r="AO780" s="7"/>
      <c r="AP780" s="7"/>
      <c r="AQ780" s="7"/>
      <c r="AR780" s="7"/>
      <c r="AS780" s="7"/>
      <c r="AT780" s="7" t="n">
        <v>223166</v>
      </c>
      <c r="AU780" s="7"/>
      <c r="AV780" s="7" t="s">
        <v>13985</v>
      </c>
      <c r="AW780" s="7" t="n">
        <v>29546300</v>
      </c>
      <c r="AX780" s="7" t="s">
        <v>13986</v>
      </c>
      <c r="AY780" s="7" t="s">
        <v>75</v>
      </c>
      <c r="AZ780" s="7" t="s">
        <v>7961</v>
      </c>
      <c r="BA780" s="7" t="s">
        <v>76</v>
      </c>
      <c r="BB780" s="7" t="s">
        <v>13987</v>
      </c>
      <c r="BC780" s="7"/>
      <c r="BD780" s="7"/>
      <c r="BE780" s="7"/>
      <c r="BF780" s="7"/>
      <c r="BG780" s="7"/>
      <c r="BH780" s="7"/>
      <c r="BI780" s="7"/>
    </row>
    <row r="781" customFormat="false" ht="14.25" hidden="false" customHeight="true" outlineLevel="0" collapsed="false">
      <c r="A781" s="7" t="s">
        <v>13988</v>
      </c>
      <c r="B781" s="7" t="s">
        <v>13989</v>
      </c>
      <c r="C781" s="7" t="s">
        <v>13990</v>
      </c>
      <c r="D781" s="7" t="s">
        <v>13991</v>
      </c>
      <c r="E781" s="7" t="n">
        <v>2018</v>
      </c>
      <c r="F781" s="8" t="s">
        <v>13992</v>
      </c>
      <c r="G781" s="6" t="s">
        <v>3714</v>
      </c>
      <c r="H781" s="7"/>
      <c r="I781" s="7"/>
      <c r="J781" s="7"/>
      <c r="K781" s="7"/>
      <c r="L781" s="7"/>
      <c r="M781" s="7"/>
      <c r="N781" s="7"/>
      <c r="O781" s="7"/>
      <c r="P781" s="7" t="s">
        <v>61</v>
      </c>
      <c r="Q781" s="7" t="s">
        <v>62</v>
      </c>
      <c r="R781" s="7" t="s">
        <v>4047</v>
      </c>
      <c r="S781" s="7" t="n">
        <v>3</v>
      </c>
      <c r="T781" s="7" t="s">
        <v>4048</v>
      </c>
      <c r="U781" s="7" t="n">
        <v>1</v>
      </c>
      <c r="V781" s="7" t="n">
        <v>5</v>
      </c>
      <c r="W781" s="7"/>
      <c r="X781" s="7"/>
      <c r="Y781" s="7"/>
      <c r="Z781" s="7" t="s">
        <v>13993</v>
      </c>
      <c r="AA781" s="9" t="s">
        <v>13994</v>
      </c>
      <c r="AB781" s="7" t="s">
        <v>13995</v>
      </c>
      <c r="AC781" s="7" t="s">
        <v>13996</v>
      </c>
      <c r="AD781" s="7" t="s">
        <v>13997</v>
      </c>
      <c r="AE781" s="7" t="s">
        <v>13998</v>
      </c>
      <c r="AF781" s="7"/>
      <c r="AG781" s="7"/>
      <c r="AH781" s="7"/>
      <c r="AI781" s="7"/>
      <c r="AJ781" s="10" t="s">
        <v>13999</v>
      </c>
      <c r="AK781" s="7" t="s">
        <v>14000</v>
      </c>
      <c r="AL781" s="7" t="s">
        <v>14001</v>
      </c>
      <c r="AM781" s="7" t="s">
        <v>14002</v>
      </c>
      <c r="AN781" s="7"/>
      <c r="AO781" s="7"/>
      <c r="AP781" s="7"/>
      <c r="AQ781" s="7"/>
      <c r="AR781" s="7"/>
      <c r="AS781" s="7"/>
      <c r="AT781" s="7" t="n">
        <v>24146366</v>
      </c>
      <c r="AU781" s="7"/>
      <c r="AV781" s="7"/>
      <c r="AW781" s="7"/>
      <c r="AX781" s="7" t="s">
        <v>4059</v>
      </c>
      <c r="AY781" s="7" t="s">
        <v>75</v>
      </c>
      <c r="AZ781" s="7" t="s">
        <v>107</v>
      </c>
      <c r="BA781" s="7" t="s">
        <v>76</v>
      </c>
      <c r="BB781" s="7" t="s">
        <v>14003</v>
      </c>
      <c r="BC781" s="7"/>
      <c r="BD781" s="7"/>
      <c r="BE781" s="7"/>
      <c r="BF781" s="7"/>
      <c r="BG781" s="7"/>
      <c r="BH781" s="7"/>
      <c r="BI781" s="7"/>
    </row>
    <row r="782" customFormat="false" ht="14.25" hidden="false" customHeight="true" outlineLevel="0" collapsed="false">
      <c r="A782" s="7" t="s">
        <v>14004</v>
      </c>
      <c r="B782" s="7" t="s">
        <v>14005</v>
      </c>
      <c r="C782" s="7" t="s">
        <v>14006</v>
      </c>
      <c r="D782" s="7" t="s">
        <v>14007</v>
      </c>
      <c r="E782" s="7" t="n">
        <v>2018</v>
      </c>
      <c r="F782" s="8" t="s">
        <v>14008</v>
      </c>
      <c r="G782" s="6" t="s">
        <v>149</v>
      </c>
      <c r="H782" s="7"/>
      <c r="I782" s="7"/>
      <c r="J782" s="7"/>
      <c r="K782" s="7"/>
      <c r="L782" s="7"/>
      <c r="M782" s="7"/>
      <c r="N782" s="7"/>
      <c r="O782" s="7"/>
      <c r="P782" s="7" t="s">
        <v>61</v>
      </c>
      <c r="Q782" s="7" t="s">
        <v>62</v>
      </c>
      <c r="R782" s="7" t="s">
        <v>14009</v>
      </c>
      <c r="S782" s="7" t="n">
        <v>12</v>
      </c>
      <c r="T782" s="7" t="s">
        <v>10066</v>
      </c>
      <c r="U782" s="7" t="n">
        <v>2</v>
      </c>
      <c r="V782" s="7"/>
      <c r="W782" s="7" t="n">
        <v>231</v>
      </c>
      <c r="X782" s="7" t="n">
        <v>250</v>
      </c>
      <c r="Y782" s="7" t="n">
        <v>19</v>
      </c>
      <c r="Z782" s="7" t="s">
        <v>14010</v>
      </c>
      <c r="AA782" s="9" t="s">
        <v>14011</v>
      </c>
      <c r="AB782" s="7" t="s">
        <v>14012</v>
      </c>
      <c r="AC782" s="7" t="s">
        <v>14013</v>
      </c>
      <c r="AD782" s="7"/>
      <c r="AE782" s="7" t="s">
        <v>14014</v>
      </c>
      <c r="AF782" s="7"/>
      <c r="AG782" s="7"/>
      <c r="AH782" s="7"/>
      <c r="AI782" s="7"/>
      <c r="AJ782" s="10"/>
      <c r="AK782" s="7"/>
      <c r="AL782" s="7" t="s">
        <v>14015</v>
      </c>
      <c r="AM782" s="7" t="s">
        <v>14016</v>
      </c>
      <c r="AN782" s="7"/>
      <c r="AO782" s="7"/>
      <c r="AP782" s="7"/>
      <c r="AQ782" s="7"/>
      <c r="AR782" s="7"/>
      <c r="AS782" s="7"/>
      <c r="AT782" s="7" t="n">
        <v>18724981</v>
      </c>
      <c r="AU782" s="7"/>
      <c r="AV782" s="7"/>
      <c r="AW782" s="7"/>
      <c r="AX782" s="7" t="s">
        <v>14017</v>
      </c>
      <c r="AY782" s="7" t="s">
        <v>75</v>
      </c>
      <c r="AZ782" s="7"/>
      <c r="BA782" s="7" t="s">
        <v>76</v>
      </c>
      <c r="BB782" s="7" t="s">
        <v>14018</v>
      </c>
      <c r="BC782" s="7"/>
      <c r="BD782" s="7"/>
      <c r="BE782" s="7"/>
      <c r="BF782" s="7"/>
      <c r="BG782" s="7"/>
      <c r="BH782" s="7"/>
      <c r="BI782" s="7"/>
    </row>
    <row r="783" customFormat="false" ht="14.25" hidden="false" customHeight="true" outlineLevel="0" collapsed="false">
      <c r="A783" s="7" t="s">
        <v>14019</v>
      </c>
      <c r="B783" s="7" t="s">
        <v>14020</v>
      </c>
      <c r="C783" s="7" t="s">
        <v>14021</v>
      </c>
      <c r="D783" s="7" t="s">
        <v>14022</v>
      </c>
      <c r="E783" s="7" t="n">
        <v>2018</v>
      </c>
      <c r="F783" s="8" t="s">
        <v>14023</v>
      </c>
      <c r="G783" s="6" t="s">
        <v>349</v>
      </c>
      <c r="H783" s="7"/>
      <c r="I783" s="7"/>
      <c r="J783" s="7"/>
      <c r="K783" s="7"/>
      <c r="L783" s="7"/>
      <c r="M783" s="7"/>
      <c r="N783" s="7"/>
      <c r="O783" s="7"/>
      <c r="P783" s="7" t="s">
        <v>61</v>
      </c>
      <c r="Q783" s="7" t="s">
        <v>62</v>
      </c>
      <c r="R783" s="7" t="s">
        <v>7037</v>
      </c>
      <c r="S783" s="7" t="n">
        <v>19</v>
      </c>
      <c r="T783" s="7" t="s">
        <v>1086</v>
      </c>
      <c r="U783" s="7" t="n">
        <v>3</v>
      </c>
      <c r="V783" s="7"/>
      <c r="W783" s="7" t="n">
        <v>179</v>
      </c>
      <c r="X783" s="7" t="n">
        <v>185</v>
      </c>
      <c r="Y783" s="7" t="n">
        <v>6</v>
      </c>
      <c r="Z783" s="7" t="s">
        <v>14024</v>
      </c>
      <c r="AA783" s="9" t="s">
        <v>14025</v>
      </c>
      <c r="AB783" s="7" t="s">
        <v>14026</v>
      </c>
      <c r="AC783" s="7" t="s">
        <v>14027</v>
      </c>
      <c r="AD783" s="7" t="s">
        <v>14028</v>
      </c>
      <c r="AE783" s="7" t="s">
        <v>14029</v>
      </c>
      <c r="AF783" s="7"/>
      <c r="AG783" s="7" t="s">
        <v>14030</v>
      </c>
      <c r="AH783" s="7" t="s">
        <v>14031</v>
      </c>
      <c r="AI783" s="7" t="s">
        <v>14032</v>
      </c>
      <c r="AJ783" s="10" t="s">
        <v>14033</v>
      </c>
      <c r="AK783" s="7" t="s">
        <v>14034</v>
      </c>
      <c r="AL783" s="7" t="s">
        <v>14035</v>
      </c>
      <c r="AM783" s="7" t="s">
        <v>14036</v>
      </c>
      <c r="AN783" s="7"/>
      <c r="AO783" s="7"/>
      <c r="AP783" s="7"/>
      <c r="AQ783" s="7"/>
      <c r="AR783" s="7"/>
      <c r="AS783" s="7"/>
      <c r="AT783" s="7" t="n">
        <v>15297535</v>
      </c>
      <c r="AU783" s="7"/>
      <c r="AV783" s="7"/>
      <c r="AW783" s="7" t="n">
        <v>29206727</v>
      </c>
      <c r="AX783" s="7" t="s">
        <v>7051</v>
      </c>
      <c r="AY783" s="7" t="s">
        <v>75</v>
      </c>
      <c r="AZ783" s="7" t="s">
        <v>409</v>
      </c>
      <c r="BA783" s="7" t="s">
        <v>76</v>
      </c>
      <c r="BB783" s="7" t="s">
        <v>14037</v>
      </c>
      <c r="BC783" s="7"/>
      <c r="BD783" s="7"/>
      <c r="BE783" s="7"/>
      <c r="BF783" s="7"/>
      <c r="BG783" s="7"/>
      <c r="BH783" s="7"/>
      <c r="BI783" s="7"/>
    </row>
    <row r="784" customFormat="false" ht="14.25" hidden="false" customHeight="true" outlineLevel="0" collapsed="false">
      <c r="A784" s="7" t="s">
        <v>14038</v>
      </c>
      <c r="B784" s="7" t="s">
        <v>14039</v>
      </c>
      <c r="C784" s="7" t="s">
        <v>14040</v>
      </c>
      <c r="D784" s="7" t="s">
        <v>14041</v>
      </c>
      <c r="E784" s="7" t="n">
        <v>2018</v>
      </c>
      <c r="F784" s="25" t="s">
        <v>14042</v>
      </c>
      <c r="G784" s="6" t="s">
        <v>134</v>
      </c>
      <c r="H784" s="7"/>
      <c r="I784" s="7"/>
      <c r="J784" s="7"/>
      <c r="K784" s="7"/>
      <c r="L784" s="7"/>
      <c r="M784" s="7"/>
      <c r="N784" s="7"/>
      <c r="O784" s="7"/>
      <c r="P784" s="7" t="s">
        <v>61</v>
      </c>
      <c r="Q784" s="7" t="s">
        <v>62</v>
      </c>
      <c r="R784" s="7" t="s">
        <v>679</v>
      </c>
      <c r="S784" s="7" t="n">
        <v>12</v>
      </c>
      <c r="T784" s="7" t="s">
        <v>500</v>
      </c>
      <c r="U784" s="7" t="n">
        <v>5</v>
      </c>
      <c r="V784" s="7" t="s">
        <v>14043</v>
      </c>
      <c r="W784" s="7"/>
      <c r="X784" s="7"/>
      <c r="Y784" s="7"/>
      <c r="Z784" s="7" t="s">
        <v>14044</v>
      </c>
      <c r="AA784" s="9" t="s">
        <v>14045</v>
      </c>
      <c r="AB784" s="7" t="s">
        <v>14046</v>
      </c>
      <c r="AC784" s="7" t="s">
        <v>14047</v>
      </c>
      <c r="AD784" s="7"/>
      <c r="AE784" s="7" t="s">
        <v>14048</v>
      </c>
      <c r="AF784" s="7"/>
      <c r="AG784" s="7" t="s">
        <v>14049</v>
      </c>
      <c r="AH784" s="7"/>
      <c r="AI784" s="7"/>
      <c r="AJ784" s="10" t="s">
        <v>14050</v>
      </c>
      <c r="AK784" s="7" t="s">
        <v>14051</v>
      </c>
      <c r="AL784" s="7" t="s">
        <v>14052</v>
      </c>
      <c r="AM784" s="7" t="s">
        <v>14053</v>
      </c>
      <c r="AN784" s="7"/>
      <c r="AO784" s="7"/>
      <c r="AP784" s="7"/>
      <c r="AQ784" s="7"/>
      <c r="AR784" s="7"/>
      <c r="AS784" s="7"/>
      <c r="AT784" s="7" t="n">
        <v>19352727</v>
      </c>
      <c r="AU784" s="7"/>
      <c r="AV784" s="7"/>
      <c r="AW784" s="7" t="n">
        <v>29758030</v>
      </c>
      <c r="AX784" s="7" t="s">
        <v>689</v>
      </c>
      <c r="AY784" s="7" t="s">
        <v>75</v>
      </c>
      <c r="AZ784" s="7" t="s">
        <v>107</v>
      </c>
      <c r="BA784" s="7" t="s">
        <v>76</v>
      </c>
      <c r="BB784" s="7" t="s">
        <v>14054</v>
      </c>
      <c r="BC784" s="7"/>
      <c r="BD784" s="7"/>
      <c r="BE784" s="7"/>
      <c r="BF784" s="7"/>
      <c r="BG784" s="7"/>
      <c r="BH784" s="7"/>
      <c r="BI784" s="7"/>
    </row>
    <row r="785" customFormat="false" ht="14.25" hidden="false" customHeight="true" outlineLevel="0" collapsed="false">
      <c r="A785" s="7" t="s">
        <v>14055</v>
      </c>
      <c r="B785" s="7" t="s">
        <v>14056</v>
      </c>
      <c r="C785" s="7" t="s">
        <v>14057</v>
      </c>
      <c r="D785" s="7" t="s">
        <v>14058</v>
      </c>
      <c r="E785" s="7" t="n">
        <v>2018</v>
      </c>
      <c r="F785" s="8" t="s">
        <v>14059</v>
      </c>
      <c r="G785" s="6" t="s">
        <v>134</v>
      </c>
      <c r="H785" s="7"/>
      <c r="I785" s="7"/>
      <c r="J785" s="7"/>
      <c r="K785" s="7"/>
      <c r="L785" s="7"/>
      <c r="M785" s="7"/>
      <c r="N785" s="7"/>
      <c r="O785" s="7"/>
      <c r="P785" s="7" t="s">
        <v>61</v>
      </c>
      <c r="Q785" s="7" t="s">
        <v>62</v>
      </c>
      <c r="R785" s="7" t="s">
        <v>7341</v>
      </c>
      <c r="S785" s="7" t="n">
        <v>6</v>
      </c>
      <c r="T785" s="7" t="s">
        <v>8233</v>
      </c>
      <c r="U785" s="7" t="n">
        <v>1</v>
      </c>
      <c r="V785" s="7" t="n">
        <v>7</v>
      </c>
      <c r="W785" s="7"/>
      <c r="X785" s="7"/>
      <c r="Y785" s="7"/>
      <c r="Z785" s="7" t="s">
        <v>14060</v>
      </c>
      <c r="AA785" s="9" t="s">
        <v>14061</v>
      </c>
      <c r="AB785" s="7" t="s">
        <v>14062</v>
      </c>
      <c r="AC785" s="7" t="s">
        <v>14063</v>
      </c>
      <c r="AD785" s="7" t="s">
        <v>14064</v>
      </c>
      <c r="AE785" s="7" t="s">
        <v>14065</v>
      </c>
      <c r="AF785" s="7"/>
      <c r="AG785" s="7"/>
      <c r="AH785" s="7"/>
      <c r="AI785" s="7"/>
      <c r="AJ785" s="10"/>
      <c r="AK785" s="7"/>
      <c r="AL785" s="7" t="s">
        <v>14066</v>
      </c>
      <c r="AM785" s="7" t="s">
        <v>14067</v>
      </c>
      <c r="AN785" s="7"/>
      <c r="AO785" s="7"/>
      <c r="AP785" s="7"/>
      <c r="AQ785" s="7"/>
      <c r="AR785" s="7"/>
      <c r="AS785" s="7"/>
      <c r="AT785" s="7" t="n">
        <v>20472501</v>
      </c>
      <c r="AU785" s="7"/>
      <c r="AV785" s="7"/>
      <c r="AW785" s="7"/>
      <c r="AX785" s="7" t="s">
        <v>7352</v>
      </c>
      <c r="AY785" s="7" t="s">
        <v>75</v>
      </c>
      <c r="AZ785" s="7" t="s">
        <v>409</v>
      </c>
      <c r="BA785" s="7" t="s">
        <v>76</v>
      </c>
      <c r="BB785" s="7" t="s">
        <v>14068</v>
      </c>
      <c r="BC785" s="7"/>
      <c r="BD785" s="7"/>
      <c r="BE785" s="7"/>
      <c r="BF785" s="7"/>
      <c r="BG785" s="7"/>
      <c r="BH785" s="7"/>
      <c r="BI785" s="7"/>
    </row>
    <row r="786" customFormat="false" ht="14.25" hidden="false" customHeight="true" outlineLevel="0" collapsed="false">
      <c r="A786" s="7" t="s">
        <v>14069</v>
      </c>
      <c r="B786" s="7" t="s">
        <v>14070</v>
      </c>
      <c r="C786" s="7" t="s">
        <v>14071</v>
      </c>
      <c r="D786" s="7" t="s">
        <v>14072</v>
      </c>
      <c r="E786" s="7" t="n">
        <v>2018</v>
      </c>
      <c r="F786" s="8" t="s">
        <v>14073</v>
      </c>
      <c r="G786" s="6" t="s">
        <v>349</v>
      </c>
      <c r="H786" s="7"/>
      <c r="I786" s="7"/>
      <c r="J786" s="7"/>
      <c r="K786" s="7"/>
      <c r="L786" s="7"/>
      <c r="M786" s="7"/>
      <c r="N786" s="7"/>
      <c r="O786" s="7"/>
      <c r="P786" s="7" t="s">
        <v>61</v>
      </c>
      <c r="Q786" s="7" t="s">
        <v>62</v>
      </c>
      <c r="R786" s="7" t="s">
        <v>679</v>
      </c>
      <c r="S786" s="7" t="n">
        <v>12</v>
      </c>
      <c r="T786" s="7" t="s">
        <v>500</v>
      </c>
      <c r="U786" s="7" t="n">
        <v>2</v>
      </c>
      <c r="V786" s="7" t="s">
        <v>14074</v>
      </c>
      <c r="W786" s="7"/>
      <c r="X786" s="7"/>
      <c r="Y786" s="7"/>
      <c r="Z786" s="7" t="s">
        <v>14075</v>
      </c>
      <c r="AA786" s="9" t="s">
        <v>14076</v>
      </c>
      <c r="AB786" s="7" t="s">
        <v>14077</v>
      </c>
      <c r="AC786" s="7" t="s">
        <v>14078</v>
      </c>
      <c r="AD786" s="7"/>
      <c r="AE786" s="7" t="s">
        <v>14079</v>
      </c>
      <c r="AF786" s="7"/>
      <c r="AG786" s="7" t="s">
        <v>4938</v>
      </c>
      <c r="AH786" s="7"/>
      <c r="AI786" s="7"/>
      <c r="AJ786" s="10" t="s">
        <v>14080</v>
      </c>
      <c r="AK786" s="7" t="s">
        <v>14081</v>
      </c>
      <c r="AL786" s="7" t="s">
        <v>14082</v>
      </c>
      <c r="AM786" s="7" t="s">
        <v>14083</v>
      </c>
      <c r="AN786" s="7"/>
      <c r="AO786" s="7"/>
      <c r="AP786" s="7"/>
      <c r="AQ786" s="7"/>
      <c r="AR786" s="7"/>
      <c r="AS786" s="7"/>
      <c r="AT786" s="7" t="n">
        <v>19352727</v>
      </c>
      <c r="AU786" s="7"/>
      <c r="AV786" s="7"/>
      <c r="AW786" s="7" t="n">
        <v>29447165</v>
      </c>
      <c r="AX786" s="7" t="s">
        <v>689</v>
      </c>
      <c r="AY786" s="7" t="s">
        <v>75</v>
      </c>
      <c r="AZ786" s="7" t="s">
        <v>107</v>
      </c>
      <c r="BA786" s="7" t="s">
        <v>76</v>
      </c>
      <c r="BB786" s="7" t="s">
        <v>14084</v>
      </c>
      <c r="BC786" s="7"/>
      <c r="BD786" s="7"/>
      <c r="BE786" s="7"/>
      <c r="BF786" s="7"/>
      <c r="BG786" s="7"/>
      <c r="BH786" s="7"/>
      <c r="BI786" s="7"/>
    </row>
    <row r="787" customFormat="false" ht="14.25" hidden="false" customHeight="true" outlineLevel="0" collapsed="false">
      <c r="A787" s="7" t="s">
        <v>14085</v>
      </c>
      <c r="B787" s="7" t="s">
        <v>14086</v>
      </c>
      <c r="C787" s="7" t="s">
        <v>14087</v>
      </c>
      <c r="D787" s="7" t="s">
        <v>14088</v>
      </c>
      <c r="E787" s="7" t="n">
        <v>2018</v>
      </c>
      <c r="F787" s="8" t="s">
        <v>14089</v>
      </c>
      <c r="G787" s="6" t="s">
        <v>134</v>
      </c>
      <c r="H787" s="7"/>
      <c r="I787" s="7"/>
      <c r="J787" s="7"/>
      <c r="K787" s="7"/>
      <c r="L787" s="7"/>
      <c r="M787" s="7"/>
      <c r="N787" s="7"/>
      <c r="O787" s="7"/>
      <c r="P787" s="7" t="s">
        <v>61</v>
      </c>
      <c r="Q787" s="7" t="s">
        <v>62</v>
      </c>
      <c r="R787" s="7" t="s">
        <v>14090</v>
      </c>
      <c r="S787" s="7" t="n">
        <v>29</v>
      </c>
      <c r="T787" s="7" t="s">
        <v>14091</v>
      </c>
      <c r="U787" s="7" t="n">
        <v>18</v>
      </c>
      <c r="V787" s="7"/>
      <c r="W787" s="7" t="n">
        <v>3464</v>
      </c>
      <c r="X787" s="7" t="n">
        <v>3468</v>
      </c>
      <c r="Y787" s="7" t="n">
        <v>4</v>
      </c>
      <c r="Z787" s="7" t="s">
        <v>14092</v>
      </c>
      <c r="AA787" s="9" t="s">
        <v>14093</v>
      </c>
      <c r="AB787" s="7" t="s">
        <v>14094</v>
      </c>
      <c r="AC787" s="7" t="s">
        <v>14095</v>
      </c>
      <c r="AD787" s="7" t="s">
        <v>14096</v>
      </c>
      <c r="AE787" s="7" t="s">
        <v>14097</v>
      </c>
      <c r="AF787" s="7"/>
      <c r="AG787" s="7"/>
      <c r="AH787" s="7"/>
      <c r="AI787" s="7"/>
      <c r="AJ787" s="10"/>
      <c r="AK787" s="7"/>
      <c r="AL787" s="7" t="s">
        <v>14098</v>
      </c>
      <c r="AM787" s="7"/>
      <c r="AN787" s="7"/>
      <c r="AO787" s="7"/>
      <c r="AP787" s="7"/>
      <c r="AQ787" s="7"/>
      <c r="AR787" s="7"/>
      <c r="AS787" s="7"/>
      <c r="AT787" s="7" t="s">
        <v>14099</v>
      </c>
      <c r="AU787" s="7"/>
      <c r="AV787" s="7" t="s">
        <v>14100</v>
      </c>
      <c r="AW787" s="7"/>
      <c r="AX787" s="7" t="s">
        <v>14101</v>
      </c>
      <c r="AY787" s="7" t="s">
        <v>75</v>
      </c>
      <c r="AZ787" s="7" t="s">
        <v>4371</v>
      </c>
      <c r="BA787" s="7" t="s">
        <v>76</v>
      </c>
      <c r="BB787" s="7" t="s">
        <v>14102</v>
      </c>
      <c r="BC787" s="7"/>
      <c r="BD787" s="7"/>
      <c r="BE787" s="7"/>
      <c r="BF787" s="7"/>
      <c r="BG787" s="7"/>
      <c r="BH787" s="7"/>
      <c r="BI787" s="7"/>
    </row>
    <row r="788" customFormat="false" ht="14.25" hidden="false" customHeight="true" outlineLevel="0" collapsed="false">
      <c r="A788" s="7" t="s">
        <v>14103</v>
      </c>
      <c r="B788" s="7" t="s">
        <v>14104</v>
      </c>
      <c r="C788" s="7" t="s">
        <v>14105</v>
      </c>
      <c r="D788" s="7" t="s">
        <v>14106</v>
      </c>
      <c r="E788" s="7" t="n">
        <v>2018</v>
      </c>
      <c r="F788" s="8" t="s">
        <v>14107</v>
      </c>
      <c r="G788" s="6" t="s">
        <v>134</v>
      </c>
      <c r="H788" s="7"/>
      <c r="I788" s="7"/>
      <c r="J788" s="7"/>
      <c r="K788" s="7"/>
      <c r="L788" s="7"/>
      <c r="M788" s="7"/>
      <c r="N788" s="7"/>
      <c r="O788" s="7"/>
      <c r="P788" s="7" t="s">
        <v>61</v>
      </c>
      <c r="Q788" s="7" t="s">
        <v>62</v>
      </c>
      <c r="R788" s="7" t="s">
        <v>14108</v>
      </c>
      <c r="S788" s="7" t="n">
        <v>11</v>
      </c>
      <c r="T788" s="7" t="s">
        <v>14109</v>
      </c>
      <c r="U788" s="7" t="n">
        <v>3</v>
      </c>
      <c r="V788" s="7" t="s">
        <v>14110</v>
      </c>
      <c r="W788" s="7"/>
      <c r="X788" s="7"/>
      <c r="Y788" s="7"/>
      <c r="Z788" s="7" t="s">
        <v>14111</v>
      </c>
      <c r="AA788" s="9" t="s">
        <v>14112</v>
      </c>
      <c r="AB788" s="7" t="s">
        <v>14113</v>
      </c>
      <c r="AC788" s="7" t="s">
        <v>14114</v>
      </c>
      <c r="AD788" s="7" t="s">
        <v>14115</v>
      </c>
      <c r="AE788" s="7" t="s">
        <v>14116</v>
      </c>
      <c r="AF788" s="7"/>
      <c r="AG788" s="7"/>
      <c r="AH788" s="7"/>
      <c r="AI788" s="7"/>
      <c r="AJ788" s="10"/>
      <c r="AK788" s="7"/>
      <c r="AL788" s="7" t="s">
        <v>14117</v>
      </c>
      <c r="AM788" s="7" t="s">
        <v>14118</v>
      </c>
      <c r="AN788" s="7"/>
      <c r="AO788" s="7"/>
      <c r="AP788" s="7"/>
      <c r="AQ788" s="7"/>
      <c r="AR788" s="7"/>
      <c r="AS788" s="7"/>
      <c r="AT788" s="7" t="s">
        <v>14119</v>
      </c>
      <c r="AU788" s="7"/>
      <c r="AV788" s="7"/>
      <c r="AW788" s="7" t="n">
        <v>28851134</v>
      </c>
      <c r="AX788" s="7" t="s">
        <v>14120</v>
      </c>
      <c r="AY788" s="7" t="s">
        <v>75</v>
      </c>
      <c r="AZ788" s="7"/>
      <c r="BA788" s="7" t="s">
        <v>76</v>
      </c>
      <c r="BB788" s="7" t="s">
        <v>14121</v>
      </c>
      <c r="BC788" s="7"/>
      <c r="BD788" s="7"/>
      <c r="BE788" s="7"/>
      <c r="BF788" s="7"/>
      <c r="BG788" s="7"/>
      <c r="BH788" s="7"/>
      <c r="BI788" s="7"/>
    </row>
    <row r="789" customFormat="false" ht="14.25" hidden="false" customHeight="true" outlineLevel="0" collapsed="false">
      <c r="A789" s="7" t="s">
        <v>14122</v>
      </c>
      <c r="B789" s="7" t="s">
        <v>14123</v>
      </c>
      <c r="C789" s="7" t="s">
        <v>14124</v>
      </c>
      <c r="D789" s="7" t="s">
        <v>14125</v>
      </c>
      <c r="E789" s="7" t="n">
        <v>2018</v>
      </c>
      <c r="F789" s="8" t="s">
        <v>14126</v>
      </c>
      <c r="G789" s="6" t="s">
        <v>134</v>
      </c>
      <c r="H789" s="7"/>
      <c r="I789" s="7"/>
      <c r="J789" s="7"/>
      <c r="K789" s="7"/>
      <c r="L789" s="7"/>
      <c r="M789" s="7"/>
      <c r="N789" s="7"/>
      <c r="O789" s="7"/>
      <c r="P789" s="7" t="s">
        <v>61</v>
      </c>
      <c r="Q789" s="7" t="s">
        <v>62</v>
      </c>
      <c r="R789" s="7" t="s">
        <v>9924</v>
      </c>
      <c r="S789" s="7" t="n">
        <v>11</v>
      </c>
      <c r="T789" s="7" t="s">
        <v>9924</v>
      </c>
      <c r="U789" s="7" t="n">
        <v>10</v>
      </c>
      <c r="V789" s="7"/>
      <c r="W789" s="7" t="n">
        <v>4401</v>
      </c>
      <c r="X789" s="7" t="n">
        <v>4406</v>
      </c>
      <c r="Y789" s="7" t="n">
        <v>5</v>
      </c>
      <c r="Z789" s="7" t="s">
        <v>14127</v>
      </c>
      <c r="AA789" s="9" t="s">
        <v>14128</v>
      </c>
      <c r="AB789" s="7" t="s">
        <v>14129</v>
      </c>
      <c r="AC789" s="7" t="s">
        <v>14130</v>
      </c>
      <c r="AD789" s="7" t="s">
        <v>14131</v>
      </c>
      <c r="AE789" s="7" t="s">
        <v>14132</v>
      </c>
      <c r="AF789" s="7"/>
      <c r="AG789" s="7"/>
      <c r="AH789" s="7"/>
      <c r="AI789" s="7"/>
      <c r="AJ789" s="10"/>
      <c r="AK789" s="7"/>
      <c r="AL789" s="7" t="s">
        <v>14133</v>
      </c>
      <c r="AM789" s="7" t="s">
        <v>14134</v>
      </c>
      <c r="AN789" s="7"/>
      <c r="AO789" s="7"/>
      <c r="AP789" s="7"/>
      <c r="AQ789" s="7"/>
      <c r="AR789" s="7"/>
      <c r="AS789" s="7"/>
      <c r="AT789" s="7" t="n">
        <v>9743618</v>
      </c>
      <c r="AU789" s="7"/>
      <c r="AV789" s="7"/>
      <c r="AW789" s="7"/>
      <c r="AX789" s="7" t="s">
        <v>9936</v>
      </c>
      <c r="AY789" s="7" t="s">
        <v>75</v>
      </c>
      <c r="AZ789" s="7"/>
      <c r="BA789" s="7" t="s">
        <v>76</v>
      </c>
      <c r="BB789" s="7" t="s">
        <v>14135</v>
      </c>
      <c r="BC789" s="7"/>
      <c r="BD789" s="7"/>
      <c r="BE789" s="7"/>
      <c r="BF789" s="7"/>
      <c r="BG789" s="7"/>
      <c r="BH789" s="7"/>
      <c r="BI789" s="7"/>
    </row>
    <row r="790" customFormat="false" ht="14.25" hidden="false" customHeight="true" outlineLevel="0" collapsed="false">
      <c r="A790" s="7" t="s">
        <v>14136</v>
      </c>
      <c r="B790" s="7" t="s">
        <v>14137</v>
      </c>
      <c r="C790" s="7" t="s">
        <v>14138</v>
      </c>
      <c r="D790" s="7" t="s">
        <v>14139</v>
      </c>
      <c r="E790" s="7" t="n">
        <v>2018</v>
      </c>
      <c r="F790" s="8" t="s">
        <v>14140</v>
      </c>
      <c r="G790" s="6" t="s">
        <v>134</v>
      </c>
      <c r="H790" s="7"/>
      <c r="I790" s="7"/>
      <c r="J790" s="7"/>
      <c r="K790" s="7"/>
      <c r="L790" s="7"/>
      <c r="M790" s="7"/>
      <c r="N790" s="7"/>
      <c r="O790" s="7"/>
      <c r="P790" s="7" t="s">
        <v>61</v>
      </c>
      <c r="Q790" s="7" t="s">
        <v>62</v>
      </c>
      <c r="R790" s="7" t="s">
        <v>14141</v>
      </c>
      <c r="S790" s="7" t="n">
        <v>42</v>
      </c>
      <c r="T790" s="7" t="s">
        <v>14142</v>
      </c>
      <c r="U790" s="7" t="n">
        <v>6</v>
      </c>
      <c r="V790" s="7" t="n">
        <v>110</v>
      </c>
      <c r="W790" s="7"/>
      <c r="X790" s="7"/>
      <c r="Y790" s="7"/>
      <c r="Z790" s="7" t="s">
        <v>14143</v>
      </c>
      <c r="AA790" s="9" t="s">
        <v>14144</v>
      </c>
      <c r="AB790" s="7" t="s">
        <v>14145</v>
      </c>
      <c r="AC790" s="7" t="s">
        <v>14146</v>
      </c>
      <c r="AD790" s="7" t="s">
        <v>14147</v>
      </c>
      <c r="AE790" s="7" t="s">
        <v>14148</v>
      </c>
      <c r="AF790" s="7"/>
      <c r="AG790" s="7"/>
      <c r="AH790" s="7"/>
      <c r="AI790" s="7"/>
      <c r="AJ790" s="10"/>
      <c r="AK790" s="7"/>
      <c r="AL790" s="7" t="s">
        <v>14149</v>
      </c>
      <c r="AM790" s="7" t="s">
        <v>14150</v>
      </c>
      <c r="AN790" s="7"/>
      <c r="AO790" s="7"/>
      <c r="AP790" s="7"/>
      <c r="AQ790" s="7"/>
      <c r="AR790" s="7"/>
      <c r="AS790" s="7"/>
      <c r="AT790" s="7" t="n">
        <v>1485598</v>
      </c>
      <c r="AU790" s="7"/>
      <c r="AV790" s="7" t="s">
        <v>14151</v>
      </c>
      <c r="AW790" s="7" t="n">
        <v>29721616</v>
      </c>
      <c r="AX790" s="7" t="s">
        <v>14152</v>
      </c>
      <c r="AY790" s="7" t="s">
        <v>75</v>
      </c>
      <c r="AZ790" s="7"/>
      <c r="BA790" s="7" t="s">
        <v>76</v>
      </c>
      <c r="BB790" s="7" t="s">
        <v>14153</v>
      </c>
      <c r="BC790" s="7"/>
      <c r="BD790" s="7"/>
      <c r="BE790" s="7"/>
      <c r="BF790" s="7"/>
      <c r="BG790" s="7"/>
      <c r="BH790" s="7"/>
      <c r="BI790" s="7"/>
    </row>
    <row r="791" customFormat="false" ht="14.25" hidden="false" customHeight="true" outlineLevel="0" collapsed="false">
      <c r="A791" s="7" t="s">
        <v>14154</v>
      </c>
      <c r="B791" s="7" t="s">
        <v>14155</v>
      </c>
      <c r="C791" s="7" t="s">
        <v>14156</v>
      </c>
      <c r="D791" s="7" t="s">
        <v>14157</v>
      </c>
      <c r="E791" s="7" t="n">
        <v>2018</v>
      </c>
      <c r="F791" s="8" t="s">
        <v>14158</v>
      </c>
      <c r="G791" s="6" t="s">
        <v>134</v>
      </c>
      <c r="H791" s="7"/>
      <c r="I791" s="7"/>
      <c r="J791" s="7"/>
      <c r="K791" s="7"/>
      <c r="L791" s="7"/>
      <c r="M791" s="7"/>
      <c r="N791" s="7"/>
      <c r="O791" s="7"/>
      <c r="P791" s="7" t="s">
        <v>61</v>
      </c>
      <c r="Q791" s="7" t="s">
        <v>62</v>
      </c>
      <c r="R791" s="7" t="s">
        <v>14159</v>
      </c>
      <c r="S791" s="7" t="n">
        <v>24</v>
      </c>
      <c r="T791" s="7" t="s">
        <v>202</v>
      </c>
      <c r="U791" s="7" t="n">
        <v>6</v>
      </c>
      <c r="V791" s="7"/>
      <c r="W791" s="7" t="n">
        <v>653</v>
      </c>
      <c r="X791" s="7" t="n">
        <v>657</v>
      </c>
      <c r="Y791" s="7" t="n">
        <v>4</v>
      </c>
      <c r="Z791" s="7" t="s">
        <v>14160</v>
      </c>
      <c r="AA791" s="9" t="s">
        <v>14161</v>
      </c>
      <c r="AB791" s="7" t="s">
        <v>14162</v>
      </c>
      <c r="AC791" s="7" t="s">
        <v>14163</v>
      </c>
      <c r="AD791" s="7" t="s">
        <v>14164</v>
      </c>
      <c r="AE791" s="7" t="s">
        <v>14165</v>
      </c>
      <c r="AF791" s="7"/>
      <c r="AG791" s="7" t="s">
        <v>14166</v>
      </c>
      <c r="AH791" s="7" t="s">
        <v>14167</v>
      </c>
      <c r="AI791" s="7"/>
      <c r="AJ791" s="10" t="s">
        <v>14168</v>
      </c>
      <c r="AK791" s="7" t="s">
        <v>14169</v>
      </c>
      <c r="AL791" s="7" t="s">
        <v>14170</v>
      </c>
      <c r="AM791" s="7" t="s">
        <v>14171</v>
      </c>
      <c r="AN791" s="7"/>
      <c r="AO791" s="7"/>
      <c r="AP791" s="7"/>
      <c r="AQ791" s="7"/>
      <c r="AR791" s="7"/>
      <c r="AS791" s="7"/>
      <c r="AT791" s="7" t="s">
        <v>14172</v>
      </c>
      <c r="AU791" s="7"/>
      <c r="AV791" s="7" t="s">
        <v>14173</v>
      </c>
      <c r="AW791" s="7" t="n">
        <v>29107122</v>
      </c>
      <c r="AX791" s="7" t="s">
        <v>14174</v>
      </c>
      <c r="AY791" s="7" t="s">
        <v>75</v>
      </c>
      <c r="AZ791" s="7" t="s">
        <v>4371</v>
      </c>
      <c r="BA791" s="7" t="s">
        <v>76</v>
      </c>
      <c r="BB791" s="7" t="s">
        <v>14175</v>
      </c>
      <c r="BC791" s="7"/>
      <c r="BD791" s="7"/>
      <c r="BE791" s="7"/>
      <c r="BF791" s="7"/>
      <c r="BG791" s="7"/>
      <c r="BH791" s="7"/>
      <c r="BI791" s="7"/>
    </row>
    <row r="792" customFormat="false" ht="14.25" hidden="false" customHeight="true" outlineLevel="0" collapsed="false">
      <c r="A792" s="7" t="s">
        <v>14176</v>
      </c>
      <c r="B792" s="7" t="s">
        <v>14177</v>
      </c>
      <c r="C792" s="7" t="s">
        <v>14178</v>
      </c>
      <c r="D792" s="7" t="s">
        <v>14179</v>
      </c>
      <c r="E792" s="7" t="n">
        <v>2018</v>
      </c>
      <c r="F792" s="8" t="s">
        <v>14180</v>
      </c>
      <c r="G792" s="6" t="s">
        <v>134</v>
      </c>
      <c r="H792" s="7"/>
      <c r="I792" s="7"/>
      <c r="J792" s="7"/>
      <c r="K792" s="7"/>
      <c r="L792" s="7"/>
      <c r="M792" s="7"/>
      <c r="N792" s="7"/>
      <c r="O792" s="7"/>
      <c r="P792" s="7" t="s">
        <v>61</v>
      </c>
      <c r="Q792" s="7" t="s">
        <v>62</v>
      </c>
      <c r="R792" s="7" t="s">
        <v>7341</v>
      </c>
      <c r="S792" s="7" t="n">
        <v>6</v>
      </c>
      <c r="T792" s="7" t="s">
        <v>8233</v>
      </c>
      <c r="U792" s="7" t="n">
        <v>1</v>
      </c>
      <c r="V792" s="7" t="n">
        <v>21</v>
      </c>
      <c r="W792" s="7"/>
      <c r="X792" s="7"/>
      <c r="Y792" s="7"/>
      <c r="Z792" s="7" t="s">
        <v>14181</v>
      </c>
      <c r="AA792" s="9" t="s">
        <v>14182</v>
      </c>
      <c r="AB792" s="7" t="s">
        <v>14183</v>
      </c>
      <c r="AC792" s="7" t="s">
        <v>14184</v>
      </c>
      <c r="AD792" s="7" t="s">
        <v>14185</v>
      </c>
      <c r="AE792" s="7" t="s">
        <v>14186</v>
      </c>
      <c r="AF792" s="7"/>
      <c r="AG792" s="7"/>
      <c r="AH792" s="7"/>
      <c r="AI792" s="7"/>
      <c r="AJ792" s="10"/>
      <c r="AK792" s="7"/>
      <c r="AL792" s="7" t="s">
        <v>14187</v>
      </c>
      <c r="AM792" s="7" t="s">
        <v>14188</v>
      </c>
      <c r="AN792" s="7"/>
      <c r="AO792" s="7"/>
      <c r="AP792" s="7"/>
      <c r="AQ792" s="7"/>
      <c r="AR792" s="7"/>
      <c r="AS792" s="7"/>
      <c r="AT792" s="7" t="n">
        <v>20472501</v>
      </c>
      <c r="AU792" s="7"/>
      <c r="AV792" s="7"/>
      <c r="AW792" s="7"/>
      <c r="AX792" s="7" t="s">
        <v>7352</v>
      </c>
      <c r="AY792" s="7" t="s">
        <v>75</v>
      </c>
      <c r="AZ792" s="7" t="s">
        <v>7961</v>
      </c>
      <c r="BA792" s="7" t="s">
        <v>76</v>
      </c>
      <c r="BB792" s="7" t="s">
        <v>14189</v>
      </c>
      <c r="BC792" s="7"/>
      <c r="BD792" s="7"/>
      <c r="BE792" s="7"/>
      <c r="BF792" s="7"/>
      <c r="BG792" s="7"/>
      <c r="BH792" s="7"/>
      <c r="BI792" s="7"/>
    </row>
    <row r="793" customFormat="false" ht="14.25" hidden="false" customHeight="true" outlineLevel="0" collapsed="false">
      <c r="A793" s="7" t="s">
        <v>14190</v>
      </c>
      <c r="B793" s="7" t="s">
        <v>14191</v>
      </c>
      <c r="C793" s="7" t="s">
        <v>14192</v>
      </c>
      <c r="D793" s="7" t="s">
        <v>14193</v>
      </c>
      <c r="E793" s="7" t="n">
        <v>2018</v>
      </c>
      <c r="F793" s="8" t="s">
        <v>14194</v>
      </c>
      <c r="G793" s="6" t="s">
        <v>134</v>
      </c>
      <c r="H793" s="7"/>
      <c r="I793" s="7"/>
      <c r="J793" s="7"/>
      <c r="K793" s="7"/>
      <c r="L793" s="7"/>
      <c r="M793" s="7"/>
      <c r="N793" s="7"/>
      <c r="O793" s="7"/>
      <c r="P793" s="7" t="s">
        <v>61</v>
      </c>
      <c r="Q793" s="7" t="s">
        <v>62</v>
      </c>
      <c r="R793" s="7" t="s">
        <v>447</v>
      </c>
      <c r="S793" s="7" t="n">
        <v>29</v>
      </c>
      <c r="T793" s="7" t="s">
        <v>14195</v>
      </c>
      <c r="U793" s="7" t="n">
        <v>8</v>
      </c>
      <c r="V793" s="7"/>
      <c r="W793" s="7" t="n">
        <v>217</v>
      </c>
      <c r="X793" s="7" t="n">
        <v>235</v>
      </c>
      <c r="Y793" s="7" t="n">
        <v>18</v>
      </c>
      <c r="Z793" s="7" t="s">
        <v>14196</v>
      </c>
      <c r="AA793" s="9" t="s">
        <v>14197</v>
      </c>
      <c r="AB793" s="7" t="s">
        <v>14198</v>
      </c>
      <c r="AC793" s="7" t="s">
        <v>14199</v>
      </c>
      <c r="AD793" s="7" t="s">
        <v>14200</v>
      </c>
      <c r="AE793" s="7" t="s">
        <v>14201</v>
      </c>
      <c r="AF793" s="7"/>
      <c r="AG793" s="7"/>
      <c r="AH793" s="7"/>
      <c r="AI793" s="7"/>
      <c r="AJ793" s="10" t="s">
        <v>14202</v>
      </c>
      <c r="AK793" s="7" t="s">
        <v>14203</v>
      </c>
      <c r="AL793" s="7" t="s">
        <v>14204</v>
      </c>
      <c r="AM793" s="7" t="s">
        <v>14205</v>
      </c>
      <c r="AN793" s="7"/>
      <c r="AO793" s="7"/>
      <c r="AP793" s="7"/>
      <c r="AQ793" s="7"/>
      <c r="AR793" s="7"/>
      <c r="AS793" s="7"/>
      <c r="AT793" s="7" t="n">
        <v>9410643</v>
      </c>
      <c r="AU793" s="7"/>
      <c r="AV793" s="7"/>
      <c r="AW793" s="7"/>
      <c r="AX793" s="7" t="s">
        <v>458</v>
      </c>
      <c r="AY793" s="7" t="s">
        <v>75</v>
      </c>
      <c r="AZ793" s="7"/>
      <c r="BA793" s="7" t="s">
        <v>76</v>
      </c>
      <c r="BB793" s="7" t="s">
        <v>14206</v>
      </c>
      <c r="BC793" s="7"/>
      <c r="BD793" s="7"/>
      <c r="BE793" s="7"/>
      <c r="BF793" s="7"/>
      <c r="BG793" s="7"/>
      <c r="BH793" s="7"/>
      <c r="BI793" s="7"/>
    </row>
    <row r="794" customFormat="false" ht="14.25" hidden="false" customHeight="true" outlineLevel="0" collapsed="false">
      <c r="A794" s="7" t="s">
        <v>14207</v>
      </c>
      <c r="B794" s="7" t="s">
        <v>14208</v>
      </c>
      <c r="C794" s="7" t="s">
        <v>14209</v>
      </c>
      <c r="D794" s="7" t="s">
        <v>14210</v>
      </c>
      <c r="E794" s="7" t="n">
        <v>2018</v>
      </c>
      <c r="F794" s="8" t="s">
        <v>14211</v>
      </c>
      <c r="G794" s="6" t="s">
        <v>134</v>
      </c>
      <c r="H794" s="7"/>
      <c r="I794" s="7"/>
      <c r="J794" s="7"/>
      <c r="K794" s="7"/>
      <c r="L794" s="7"/>
      <c r="M794" s="7"/>
      <c r="N794" s="7"/>
      <c r="O794" s="7"/>
      <c r="P794" s="7" t="s">
        <v>61</v>
      </c>
      <c r="Q794" s="7" t="s">
        <v>62</v>
      </c>
      <c r="R794" s="7" t="s">
        <v>14212</v>
      </c>
      <c r="S794" s="7" t="n">
        <v>81</v>
      </c>
      <c r="T794" s="7" t="s">
        <v>14213</v>
      </c>
      <c r="U794" s="7" t="n">
        <v>3</v>
      </c>
      <c r="V794" s="7"/>
      <c r="W794" s="7" t="n">
        <v>338</v>
      </c>
      <c r="X794" s="7" t="n">
        <v>347</v>
      </c>
      <c r="Y794" s="7" t="n">
        <v>9</v>
      </c>
      <c r="Z794" s="7" t="s">
        <v>14214</v>
      </c>
      <c r="AA794" s="9" t="s">
        <v>14215</v>
      </c>
      <c r="AB794" s="7" t="s">
        <v>14216</v>
      </c>
      <c r="AC794" s="7" t="s">
        <v>14217</v>
      </c>
      <c r="AD794" s="7" t="s">
        <v>14218</v>
      </c>
      <c r="AE794" s="7" t="s">
        <v>14219</v>
      </c>
      <c r="AF794" s="7"/>
      <c r="AG794" s="7" t="s">
        <v>14220</v>
      </c>
      <c r="AH794" s="7"/>
      <c r="AI794" s="7"/>
      <c r="AJ794" s="10"/>
      <c r="AK794" s="7"/>
      <c r="AL794" s="7" t="s">
        <v>14221</v>
      </c>
      <c r="AM794" s="7" t="s">
        <v>14222</v>
      </c>
      <c r="AN794" s="7"/>
      <c r="AO794" s="7"/>
      <c r="AP794" s="7"/>
      <c r="AQ794" s="7"/>
      <c r="AR794" s="7"/>
      <c r="AS794" s="7"/>
      <c r="AT794" s="7" t="s">
        <v>14223</v>
      </c>
      <c r="AU794" s="7"/>
      <c r="AV794" s="7" t="s">
        <v>14224</v>
      </c>
      <c r="AW794" s="7" t="n">
        <v>29318713</v>
      </c>
      <c r="AX794" s="7" t="s">
        <v>14225</v>
      </c>
      <c r="AY794" s="7" t="s">
        <v>75</v>
      </c>
      <c r="AZ794" s="7"/>
      <c r="BA794" s="7" t="s">
        <v>76</v>
      </c>
      <c r="BB794" s="7" t="s">
        <v>14226</v>
      </c>
      <c r="BC794" s="7"/>
      <c r="BD794" s="7"/>
      <c r="BE794" s="7"/>
      <c r="BF794" s="7"/>
      <c r="BG794" s="7"/>
      <c r="BH794" s="7"/>
      <c r="BI794" s="7"/>
    </row>
    <row r="795" customFormat="false" ht="14.25" hidden="false" customHeight="true" outlineLevel="0" collapsed="false">
      <c r="A795" s="7" t="s">
        <v>14227</v>
      </c>
      <c r="B795" s="7" t="s">
        <v>14228</v>
      </c>
      <c r="C795" s="7" t="s">
        <v>14229</v>
      </c>
      <c r="D795" s="7" t="s">
        <v>14230</v>
      </c>
      <c r="E795" s="7" t="n">
        <v>2018</v>
      </c>
      <c r="F795" s="8" t="s">
        <v>14231</v>
      </c>
      <c r="G795" s="6" t="s">
        <v>14232</v>
      </c>
      <c r="H795" s="7"/>
      <c r="I795" s="7"/>
      <c r="J795" s="7"/>
      <c r="K795" s="7"/>
      <c r="L795" s="7"/>
      <c r="M795" s="7"/>
      <c r="N795" s="7"/>
      <c r="O795" s="7"/>
      <c r="P795" s="7" t="s">
        <v>61</v>
      </c>
      <c r="Q795" s="7" t="s">
        <v>62</v>
      </c>
      <c r="R795" s="7" t="s">
        <v>2040</v>
      </c>
      <c r="S795" s="7" t="n">
        <v>17</v>
      </c>
      <c r="T795" s="7" t="s">
        <v>11626</v>
      </c>
      <c r="U795" s="7" t="n">
        <v>1</v>
      </c>
      <c r="V795" s="7" t="n">
        <v>8</v>
      </c>
      <c r="W795" s="7"/>
      <c r="X795" s="7"/>
      <c r="Y795" s="7"/>
      <c r="Z795" s="7" t="s">
        <v>14233</v>
      </c>
      <c r="AA795" s="9" t="s">
        <v>14234</v>
      </c>
      <c r="AB795" s="7" t="s">
        <v>14235</v>
      </c>
      <c r="AC795" s="7" t="s">
        <v>14236</v>
      </c>
      <c r="AD795" s="7" t="s">
        <v>14237</v>
      </c>
      <c r="AE795" s="7" t="s">
        <v>14238</v>
      </c>
      <c r="AF795" s="7"/>
      <c r="AG795" s="7"/>
      <c r="AH795" s="7"/>
      <c r="AI795" s="7"/>
      <c r="AJ795" s="10" t="s">
        <v>14239</v>
      </c>
      <c r="AK795" s="7" t="s">
        <v>14240</v>
      </c>
      <c r="AL795" s="7" t="s">
        <v>14241</v>
      </c>
      <c r="AM795" s="7" t="s">
        <v>14242</v>
      </c>
      <c r="AN795" s="7"/>
      <c r="AO795" s="7"/>
      <c r="AP795" s="7"/>
      <c r="AQ795" s="7"/>
      <c r="AR795" s="7"/>
      <c r="AS795" s="7"/>
      <c r="AT795" s="7" t="s">
        <v>2051</v>
      </c>
      <c r="AU795" s="7"/>
      <c r="AV795" s="7"/>
      <c r="AW795" s="7" t="n">
        <v>29558944</v>
      </c>
      <c r="AX795" s="7" t="s">
        <v>2052</v>
      </c>
      <c r="AY795" s="7" t="s">
        <v>75</v>
      </c>
      <c r="AZ795" s="7" t="s">
        <v>107</v>
      </c>
      <c r="BA795" s="7" t="s">
        <v>76</v>
      </c>
      <c r="BB795" s="7" t="s">
        <v>14243</v>
      </c>
      <c r="BC795" s="7"/>
      <c r="BD795" s="7"/>
      <c r="BE795" s="7"/>
      <c r="BF795" s="7"/>
      <c r="BG795" s="7"/>
      <c r="BH795" s="7"/>
      <c r="BI795" s="7"/>
    </row>
    <row r="796" customFormat="false" ht="14.25" hidden="false" customHeight="true" outlineLevel="0" collapsed="false">
      <c r="A796" s="7" t="s">
        <v>14244</v>
      </c>
      <c r="B796" s="7" t="s">
        <v>14245</v>
      </c>
      <c r="C796" s="7" t="s">
        <v>14246</v>
      </c>
      <c r="D796" s="7" t="s">
        <v>14247</v>
      </c>
      <c r="E796" s="7" t="n">
        <v>2018</v>
      </c>
      <c r="F796" s="8" t="s">
        <v>14248</v>
      </c>
      <c r="G796" s="6" t="s">
        <v>1686</v>
      </c>
      <c r="H796" s="7"/>
      <c r="I796" s="7"/>
      <c r="J796" s="7"/>
      <c r="K796" s="7"/>
      <c r="L796" s="7"/>
      <c r="M796" s="7"/>
      <c r="N796" s="7"/>
      <c r="O796" s="7"/>
      <c r="P796" s="7" t="s">
        <v>61</v>
      </c>
      <c r="Q796" s="7" t="s">
        <v>62</v>
      </c>
      <c r="R796" s="7" t="s">
        <v>4047</v>
      </c>
      <c r="S796" s="7" t="n">
        <v>3</v>
      </c>
      <c r="T796" s="7" t="s">
        <v>9272</v>
      </c>
      <c r="U796" s="7" t="n">
        <v>4</v>
      </c>
      <c r="V796" s="7" t="n">
        <v>105</v>
      </c>
      <c r="W796" s="7"/>
      <c r="X796" s="7"/>
      <c r="Y796" s="7"/>
      <c r="Z796" s="7" t="s">
        <v>14249</v>
      </c>
      <c r="AA796" s="9" t="s">
        <v>14250</v>
      </c>
      <c r="AB796" s="7" t="s">
        <v>14251</v>
      </c>
      <c r="AC796" s="7" t="s">
        <v>14252</v>
      </c>
      <c r="AD796" s="7" t="s">
        <v>14253</v>
      </c>
      <c r="AE796" s="7"/>
      <c r="AF796" s="7"/>
      <c r="AG796" s="7"/>
      <c r="AH796" s="7"/>
      <c r="AI796" s="7"/>
      <c r="AJ796" s="10" t="s">
        <v>14254</v>
      </c>
      <c r="AK796" s="7" t="s">
        <v>14255</v>
      </c>
      <c r="AL796" s="7" t="s">
        <v>14256</v>
      </c>
      <c r="AM796" s="7" t="s">
        <v>14257</v>
      </c>
      <c r="AN796" s="7"/>
      <c r="AO796" s="7"/>
      <c r="AP796" s="7"/>
      <c r="AQ796" s="7"/>
      <c r="AR796" s="7"/>
      <c r="AS796" s="7"/>
      <c r="AT796" s="7" t="n">
        <v>24146366</v>
      </c>
      <c r="AU796" s="7"/>
      <c r="AV796" s="7"/>
      <c r="AW796" s="7"/>
      <c r="AX796" s="7" t="s">
        <v>4059</v>
      </c>
      <c r="AY796" s="7" t="s">
        <v>75</v>
      </c>
      <c r="AZ796" s="7" t="s">
        <v>107</v>
      </c>
      <c r="BA796" s="7" t="s">
        <v>76</v>
      </c>
      <c r="BB796" s="7" t="s">
        <v>14258</v>
      </c>
      <c r="BC796" s="7"/>
      <c r="BD796" s="7"/>
      <c r="BE796" s="7"/>
      <c r="BF796" s="7"/>
      <c r="BG796" s="7"/>
      <c r="BH796" s="7"/>
      <c r="BI796" s="7"/>
    </row>
    <row r="797" customFormat="false" ht="14.25" hidden="false" customHeight="true" outlineLevel="0" collapsed="false">
      <c r="A797" s="7" t="s">
        <v>14259</v>
      </c>
      <c r="B797" s="7" t="s">
        <v>14260</v>
      </c>
      <c r="C797" s="7" t="s">
        <v>14261</v>
      </c>
      <c r="D797" s="7" t="s">
        <v>14262</v>
      </c>
      <c r="E797" s="7" t="n">
        <v>2018</v>
      </c>
      <c r="F797" s="8" t="s">
        <v>14263</v>
      </c>
      <c r="G797" s="6" t="s">
        <v>1686</v>
      </c>
      <c r="H797" s="7"/>
      <c r="I797" s="7"/>
      <c r="J797" s="7"/>
      <c r="K797" s="7"/>
      <c r="L797" s="7"/>
      <c r="M797" s="7"/>
      <c r="N797" s="7"/>
      <c r="O797" s="7"/>
      <c r="P797" s="7" t="s">
        <v>61</v>
      </c>
      <c r="Q797" s="7" t="s">
        <v>62</v>
      </c>
      <c r="R797" s="7" t="s">
        <v>12836</v>
      </c>
      <c r="S797" s="7" t="n">
        <v>9</v>
      </c>
      <c r="T797" s="7" t="s">
        <v>12837</v>
      </c>
      <c r="U797" s="7" t="n">
        <v>1</v>
      </c>
      <c r="V797" s="7"/>
      <c r="W797" s="7" t="n">
        <v>243</v>
      </c>
      <c r="X797" s="7" t="n">
        <v>248</v>
      </c>
      <c r="Y797" s="7" t="n">
        <v>5</v>
      </c>
      <c r="Z797" s="7" t="s">
        <v>14264</v>
      </c>
      <c r="AA797" s="9" t="s">
        <v>14265</v>
      </c>
      <c r="AB797" s="7" t="s">
        <v>14266</v>
      </c>
      <c r="AC797" s="7" t="s">
        <v>14267</v>
      </c>
      <c r="AD797" s="7" t="s">
        <v>14268</v>
      </c>
      <c r="AE797" s="7" t="s">
        <v>14269</v>
      </c>
      <c r="AF797" s="7"/>
      <c r="AG797" s="7" t="s">
        <v>1558</v>
      </c>
      <c r="AH797" s="7"/>
      <c r="AI797" s="7"/>
      <c r="AJ797" s="10"/>
      <c r="AK797" s="7"/>
      <c r="AL797" s="7" t="s">
        <v>14270</v>
      </c>
      <c r="AM797" s="7" t="s">
        <v>14271</v>
      </c>
      <c r="AN797" s="7"/>
      <c r="AO797" s="7"/>
      <c r="AP797" s="7"/>
      <c r="AQ797" s="7"/>
      <c r="AR797" s="7"/>
      <c r="AS797" s="7"/>
      <c r="AT797" s="7" t="n">
        <v>9760245</v>
      </c>
      <c r="AU797" s="7"/>
      <c r="AV797" s="7"/>
      <c r="AW797" s="7"/>
      <c r="AX797" s="7" t="s">
        <v>12845</v>
      </c>
      <c r="AY797" s="7" t="s">
        <v>75</v>
      </c>
      <c r="AZ797" s="7"/>
      <c r="BA797" s="7" t="s">
        <v>76</v>
      </c>
      <c r="BB797" s="7" t="s">
        <v>14272</v>
      </c>
      <c r="BC797" s="7"/>
      <c r="BD797" s="7"/>
      <c r="BE797" s="7"/>
      <c r="BF797" s="7"/>
      <c r="BG797" s="7"/>
      <c r="BH797" s="7"/>
      <c r="BI797" s="7"/>
    </row>
    <row r="798" customFormat="false" ht="14.25" hidden="false" customHeight="true" outlineLevel="0" collapsed="false">
      <c r="A798" s="7" t="s">
        <v>14273</v>
      </c>
      <c r="B798" s="7" t="s">
        <v>14274</v>
      </c>
      <c r="C798" s="7" t="s">
        <v>14275</v>
      </c>
      <c r="D798" s="7" t="s">
        <v>14276</v>
      </c>
      <c r="E798" s="7" t="n">
        <v>2018</v>
      </c>
      <c r="F798" s="8" t="s">
        <v>14277</v>
      </c>
      <c r="G798" s="6" t="s">
        <v>134</v>
      </c>
      <c r="H798" s="7"/>
      <c r="I798" s="7"/>
      <c r="J798" s="7"/>
      <c r="K798" s="7"/>
      <c r="L798" s="7"/>
      <c r="M798" s="7"/>
      <c r="N798" s="7"/>
      <c r="O798" s="7"/>
      <c r="P798" s="7" t="s">
        <v>61</v>
      </c>
      <c r="Q798" s="7" t="s">
        <v>62</v>
      </c>
      <c r="R798" s="7" t="s">
        <v>14278</v>
      </c>
      <c r="S798" s="7" t="n">
        <v>5</v>
      </c>
      <c r="T798" s="7" t="s">
        <v>3163</v>
      </c>
      <c r="U798" s="7" t="n">
        <v>4</v>
      </c>
      <c r="V798" s="7" t="n">
        <v>44506</v>
      </c>
      <c r="W798" s="7"/>
      <c r="X798" s="7"/>
      <c r="Y798" s="7"/>
      <c r="Z798" s="7" t="s">
        <v>14279</v>
      </c>
      <c r="AA798" s="9" t="s">
        <v>14280</v>
      </c>
      <c r="AB798" s="7" t="s">
        <v>14281</v>
      </c>
      <c r="AC798" s="7" t="s">
        <v>14282</v>
      </c>
      <c r="AD798" s="7" t="s">
        <v>14283</v>
      </c>
      <c r="AE798" s="7" t="s">
        <v>14284</v>
      </c>
      <c r="AF798" s="7"/>
      <c r="AG798" s="7"/>
      <c r="AH798" s="7"/>
      <c r="AI798" s="7"/>
      <c r="AJ798" s="10"/>
      <c r="AK798" s="7"/>
      <c r="AL798" s="7" t="s">
        <v>14285</v>
      </c>
      <c r="AM798" s="7" t="s">
        <v>14286</v>
      </c>
      <c r="AN798" s="7"/>
      <c r="AO798" s="7"/>
      <c r="AP798" s="7"/>
      <c r="AQ798" s="7"/>
      <c r="AR798" s="7"/>
      <c r="AS798" s="7"/>
      <c r="AT798" s="7" t="n">
        <v>23294302</v>
      </c>
      <c r="AU798" s="7"/>
      <c r="AV798" s="7"/>
      <c r="AW798" s="7"/>
      <c r="AX798" s="7" t="s">
        <v>14287</v>
      </c>
      <c r="AY798" s="7" t="s">
        <v>75</v>
      </c>
      <c r="AZ798" s="7" t="s">
        <v>636</v>
      </c>
      <c r="BA798" s="7" t="s">
        <v>76</v>
      </c>
      <c r="BB798" s="7" t="s">
        <v>14288</v>
      </c>
      <c r="BC798" s="7"/>
      <c r="BD798" s="7"/>
      <c r="BE798" s="7"/>
      <c r="BF798" s="7"/>
      <c r="BG798" s="7"/>
      <c r="BH798" s="7"/>
      <c r="BI798" s="7"/>
    </row>
    <row r="799" customFormat="false" ht="14.25" hidden="false" customHeight="true" outlineLevel="0" collapsed="false">
      <c r="A799" s="7" t="s">
        <v>14289</v>
      </c>
      <c r="B799" s="7" t="s">
        <v>14290</v>
      </c>
      <c r="C799" s="7" t="s">
        <v>14291</v>
      </c>
      <c r="D799" s="7" t="s">
        <v>14292</v>
      </c>
      <c r="E799" s="7" t="n">
        <v>2018</v>
      </c>
      <c r="F799" s="8" t="s">
        <v>14293</v>
      </c>
      <c r="G799" s="6" t="s">
        <v>1230</v>
      </c>
      <c r="H799" s="7"/>
      <c r="I799" s="7"/>
      <c r="J799" s="7"/>
      <c r="K799" s="7"/>
      <c r="L799" s="7"/>
      <c r="M799" s="7"/>
      <c r="N799" s="7"/>
      <c r="O799" s="7"/>
      <c r="P799" s="7" t="s">
        <v>61</v>
      </c>
      <c r="Q799" s="7" t="s">
        <v>62</v>
      </c>
      <c r="R799" s="7" t="s">
        <v>14294</v>
      </c>
      <c r="S799" s="7" t="n">
        <v>5</v>
      </c>
      <c r="T799" s="7" t="s">
        <v>4763</v>
      </c>
      <c r="U799" s="7" t="s">
        <v>14295</v>
      </c>
      <c r="V799" s="7" t="n">
        <v>84</v>
      </c>
      <c r="W799" s="7"/>
      <c r="X799" s="7"/>
      <c r="Y799" s="7"/>
      <c r="Z799" s="7" t="s">
        <v>14296</v>
      </c>
      <c r="AA799" s="9" t="s">
        <v>14297</v>
      </c>
      <c r="AB799" s="7" t="s">
        <v>14298</v>
      </c>
      <c r="AC799" s="7" t="s">
        <v>14299</v>
      </c>
      <c r="AD799" s="7" t="s">
        <v>14300</v>
      </c>
      <c r="AE799" s="7" t="s">
        <v>14301</v>
      </c>
      <c r="AF799" s="7"/>
      <c r="AG799" s="7"/>
      <c r="AH799" s="7"/>
      <c r="AI799" s="7"/>
      <c r="AJ799" s="10"/>
      <c r="AK799" s="7"/>
      <c r="AL799" s="7" t="s">
        <v>14302</v>
      </c>
      <c r="AM799" s="7" t="s">
        <v>14303</v>
      </c>
      <c r="AN799" s="7"/>
      <c r="AO799" s="7"/>
      <c r="AP799" s="7"/>
      <c r="AQ799" s="7"/>
      <c r="AR799" s="7"/>
      <c r="AS799" s="7"/>
      <c r="AT799" s="7" t="n">
        <v>22964185</v>
      </c>
      <c r="AU799" s="7"/>
      <c r="AV799" s="7"/>
      <c r="AW799" s="7"/>
      <c r="AX799" s="7" t="s">
        <v>14304</v>
      </c>
      <c r="AY799" s="7" t="s">
        <v>75</v>
      </c>
      <c r="AZ799" s="7" t="s">
        <v>107</v>
      </c>
      <c r="BA799" s="7" t="s">
        <v>76</v>
      </c>
      <c r="BB799" s="7" t="s">
        <v>14305</v>
      </c>
      <c r="BC799" s="7"/>
      <c r="BD799" s="7"/>
      <c r="BE799" s="7"/>
      <c r="BF799" s="7"/>
      <c r="BG799" s="7"/>
      <c r="BH799" s="7"/>
      <c r="BI799" s="7"/>
    </row>
    <row r="800" customFormat="false" ht="14.25" hidden="false" customHeight="true" outlineLevel="0" collapsed="false">
      <c r="A800" s="7" t="s">
        <v>14306</v>
      </c>
      <c r="B800" s="7" t="s">
        <v>14307</v>
      </c>
      <c r="C800" s="7" t="s">
        <v>14308</v>
      </c>
      <c r="D800" s="7" t="s">
        <v>14309</v>
      </c>
      <c r="E800" s="7" t="n">
        <v>2018</v>
      </c>
      <c r="F800" s="8" t="s">
        <v>14310</v>
      </c>
      <c r="G800" s="6" t="s">
        <v>349</v>
      </c>
      <c r="H800" s="7"/>
      <c r="I800" s="7"/>
      <c r="J800" s="7"/>
      <c r="K800" s="7"/>
      <c r="L800" s="7"/>
      <c r="M800" s="7"/>
      <c r="N800" s="7"/>
      <c r="O800" s="7"/>
      <c r="P800" s="7" t="s">
        <v>61</v>
      </c>
      <c r="Q800" s="7" t="s">
        <v>62</v>
      </c>
      <c r="R800" s="7" t="s">
        <v>14311</v>
      </c>
      <c r="S800" s="7" t="n">
        <v>9</v>
      </c>
      <c r="T800" s="7" t="s">
        <v>14312</v>
      </c>
      <c r="U800" s="7" t="n">
        <v>1</v>
      </c>
      <c r="V800" s="7" t="n">
        <v>53</v>
      </c>
      <c r="W800" s="7"/>
      <c r="X800" s="7"/>
      <c r="Y800" s="7"/>
      <c r="Z800" s="7" t="s">
        <v>14313</v>
      </c>
      <c r="AA800" s="9" t="s">
        <v>14314</v>
      </c>
      <c r="AB800" s="7" t="s">
        <v>14315</v>
      </c>
      <c r="AC800" s="7" t="s">
        <v>14316</v>
      </c>
      <c r="AD800" s="7" t="s">
        <v>14317</v>
      </c>
      <c r="AE800" s="7" t="s">
        <v>14318</v>
      </c>
      <c r="AF800" s="7"/>
      <c r="AG800" s="7"/>
      <c r="AH800" s="7"/>
      <c r="AI800" s="7"/>
      <c r="AJ800" s="10"/>
      <c r="AK800" s="7"/>
      <c r="AL800" s="7" t="s">
        <v>14319</v>
      </c>
      <c r="AM800" s="7" t="s">
        <v>14320</v>
      </c>
      <c r="AN800" s="7"/>
      <c r="AO800" s="7"/>
      <c r="AP800" s="7"/>
      <c r="AQ800" s="7"/>
      <c r="AR800" s="7"/>
      <c r="AS800" s="7"/>
      <c r="AT800" s="7" t="n">
        <v>21527806</v>
      </c>
      <c r="AU800" s="7"/>
      <c r="AV800" s="7"/>
      <c r="AW800" s="7"/>
      <c r="AX800" s="7" t="s">
        <v>14321</v>
      </c>
      <c r="AY800" s="7" t="s">
        <v>75</v>
      </c>
      <c r="AZ800" s="7" t="s">
        <v>636</v>
      </c>
      <c r="BA800" s="7" t="s">
        <v>76</v>
      </c>
      <c r="BB800" s="7" t="s">
        <v>14322</v>
      </c>
      <c r="BC800" s="7"/>
      <c r="BD800" s="7"/>
      <c r="BE800" s="7"/>
      <c r="BF800" s="7"/>
      <c r="BG800" s="7"/>
      <c r="BH800" s="7"/>
      <c r="BI800" s="7"/>
    </row>
    <row r="801" customFormat="false" ht="14.25" hidden="false" customHeight="true" outlineLevel="0" collapsed="false">
      <c r="A801" s="7" t="s">
        <v>14323</v>
      </c>
      <c r="B801" s="7" t="s">
        <v>14324</v>
      </c>
      <c r="C801" s="7" t="s">
        <v>14325</v>
      </c>
      <c r="D801" s="7" t="s">
        <v>14326</v>
      </c>
      <c r="E801" s="7" t="n">
        <v>2018</v>
      </c>
      <c r="F801" s="8" t="s">
        <v>14327</v>
      </c>
      <c r="G801" s="6" t="s">
        <v>349</v>
      </c>
      <c r="H801" s="7"/>
      <c r="I801" s="7"/>
      <c r="J801" s="7"/>
      <c r="K801" s="7"/>
      <c r="L801" s="7"/>
      <c r="M801" s="7"/>
      <c r="N801" s="7"/>
      <c r="O801" s="7"/>
      <c r="P801" s="7" t="s">
        <v>61</v>
      </c>
      <c r="Q801" s="7" t="s">
        <v>62</v>
      </c>
      <c r="R801" s="7" t="s">
        <v>14328</v>
      </c>
      <c r="S801" s="7" t="n">
        <v>5</v>
      </c>
      <c r="T801" s="7" t="s">
        <v>586</v>
      </c>
      <c r="U801" s="7" t="n">
        <v>1</v>
      </c>
      <c r="V801" s="7" t="n">
        <v>8</v>
      </c>
      <c r="W801" s="7"/>
      <c r="X801" s="7"/>
      <c r="Y801" s="7"/>
      <c r="Z801" s="7" t="s">
        <v>14329</v>
      </c>
      <c r="AA801" s="9" t="s">
        <v>14330</v>
      </c>
      <c r="AB801" s="7" t="s">
        <v>14331</v>
      </c>
      <c r="AC801" s="7" t="s">
        <v>14332</v>
      </c>
      <c r="AD801" s="7" t="s">
        <v>14333</v>
      </c>
      <c r="AE801" s="7"/>
      <c r="AF801" s="7"/>
      <c r="AG801" s="7"/>
      <c r="AH801" s="7"/>
      <c r="AI801" s="7"/>
      <c r="AJ801" s="10" t="s">
        <v>14334</v>
      </c>
      <c r="AK801" s="7" t="s">
        <v>14335</v>
      </c>
      <c r="AL801" s="7" t="s">
        <v>14336</v>
      </c>
      <c r="AM801" s="7" t="s">
        <v>14337</v>
      </c>
      <c r="AN801" s="7"/>
      <c r="AO801" s="7"/>
      <c r="AP801" s="7"/>
      <c r="AQ801" s="7"/>
      <c r="AR801" s="7"/>
      <c r="AS801" s="7"/>
      <c r="AT801" s="7" t="n">
        <v>21955832</v>
      </c>
      <c r="AU801" s="7"/>
      <c r="AV801" s="7"/>
      <c r="AW801" s="7"/>
      <c r="AX801" s="7" t="s">
        <v>14338</v>
      </c>
      <c r="AY801" s="7" t="s">
        <v>75</v>
      </c>
      <c r="AZ801" s="7" t="s">
        <v>636</v>
      </c>
      <c r="BA801" s="7" t="s">
        <v>76</v>
      </c>
      <c r="BB801" s="7" t="s">
        <v>14339</v>
      </c>
      <c r="BC801" s="7"/>
      <c r="BD801" s="7"/>
      <c r="BE801" s="7"/>
      <c r="BF801" s="7"/>
      <c r="BG801" s="7"/>
      <c r="BH801" s="7"/>
      <c r="BI801" s="7"/>
    </row>
    <row r="802" customFormat="false" ht="14.25" hidden="false" customHeight="true" outlineLevel="0" collapsed="false">
      <c r="A802" s="7" t="s">
        <v>14340</v>
      </c>
      <c r="B802" s="7" t="s">
        <v>14341</v>
      </c>
      <c r="C802" s="7" t="s">
        <v>14342</v>
      </c>
      <c r="D802" s="7" t="s">
        <v>14343</v>
      </c>
      <c r="E802" s="7" t="n">
        <v>2018</v>
      </c>
      <c r="F802" s="8" t="s">
        <v>14344</v>
      </c>
      <c r="G802" s="6" t="s">
        <v>349</v>
      </c>
      <c r="H802" s="7"/>
      <c r="I802" s="7"/>
      <c r="J802" s="7"/>
      <c r="K802" s="7"/>
      <c r="L802" s="7"/>
      <c r="M802" s="7"/>
      <c r="N802" s="7"/>
      <c r="O802" s="7"/>
      <c r="P802" s="7" t="s">
        <v>61</v>
      </c>
      <c r="Q802" s="7" t="s">
        <v>62</v>
      </c>
      <c r="R802" s="7" t="s">
        <v>14345</v>
      </c>
      <c r="S802" s="7" t="n">
        <v>13</v>
      </c>
      <c r="T802" s="7" t="s">
        <v>626</v>
      </c>
      <c r="U802" s="7" t="n">
        <v>4</v>
      </c>
      <c r="V802" s="7"/>
      <c r="W802" s="7" t="n">
        <v>416</v>
      </c>
      <c r="X802" s="7" t="n">
        <v>422</v>
      </c>
      <c r="Y802" s="7" t="n">
        <v>6</v>
      </c>
      <c r="Z802" s="7" t="s">
        <v>14346</v>
      </c>
      <c r="AA802" s="9" t="s">
        <v>14347</v>
      </c>
      <c r="AB802" s="7" t="s">
        <v>14348</v>
      </c>
      <c r="AC802" s="7" t="s">
        <v>14349</v>
      </c>
      <c r="AD802" s="7" t="s">
        <v>14350</v>
      </c>
      <c r="AE802" s="7" t="s">
        <v>14351</v>
      </c>
      <c r="AF802" s="7"/>
      <c r="AG802" s="7" t="s">
        <v>14352</v>
      </c>
      <c r="AH802" s="7"/>
      <c r="AI802" s="7"/>
      <c r="AJ802" s="10"/>
      <c r="AK802" s="7"/>
      <c r="AL802" s="7" t="s">
        <v>14353</v>
      </c>
      <c r="AM802" s="7" t="s">
        <v>14354</v>
      </c>
      <c r="AN802" s="7"/>
      <c r="AO802" s="7"/>
      <c r="AP802" s="7"/>
      <c r="AQ802" s="7"/>
      <c r="AR802" s="7"/>
      <c r="AS802" s="7"/>
      <c r="AT802" s="7" t="n">
        <v>18171745</v>
      </c>
      <c r="AU802" s="7"/>
      <c r="AV802" s="7"/>
      <c r="AW802" s="7"/>
      <c r="AX802" s="7" t="s">
        <v>14355</v>
      </c>
      <c r="AY802" s="7" t="s">
        <v>75</v>
      </c>
      <c r="AZ802" s="7" t="s">
        <v>409</v>
      </c>
      <c r="BA802" s="7" t="s">
        <v>76</v>
      </c>
      <c r="BB802" s="7" t="s">
        <v>14356</v>
      </c>
      <c r="BC802" s="7"/>
      <c r="BD802" s="7"/>
      <c r="BE802" s="7"/>
      <c r="BF802" s="7"/>
      <c r="BG802" s="7"/>
      <c r="BH802" s="7"/>
      <c r="BI802" s="7"/>
    </row>
    <row r="803" customFormat="false" ht="14.25" hidden="false" customHeight="true" outlineLevel="0" collapsed="false">
      <c r="A803" s="7" t="s">
        <v>14357</v>
      </c>
      <c r="B803" s="7" t="s">
        <v>14358</v>
      </c>
      <c r="C803" s="7" t="s">
        <v>14359</v>
      </c>
      <c r="D803" s="7" t="s">
        <v>14360</v>
      </c>
      <c r="E803" s="7" t="n">
        <v>2018</v>
      </c>
      <c r="F803" s="8" t="s">
        <v>14361</v>
      </c>
      <c r="G803" s="6" t="s">
        <v>134</v>
      </c>
      <c r="H803" s="7"/>
      <c r="I803" s="7"/>
      <c r="J803" s="7"/>
      <c r="K803" s="7"/>
      <c r="L803" s="7"/>
      <c r="M803" s="7"/>
      <c r="N803" s="7"/>
      <c r="O803" s="7"/>
      <c r="P803" s="7" t="s">
        <v>61</v>
      </c>
      <c r="Q803" s="7" t="s">
        <v>62</v>
      </c>
      <c r="R803" s="7" t="s">
        <v>14362</v>
      </c>
      <c r="S803" s="7" t="n">
        <v>143</v>
      </c>
      <c r="T803" s="7" t="s">
        <v>7874</v>
      </c>
      <c r="U803" s="7" t="n">
        <v>18</v>
      </c>
      <c r="V803" s="7"/>
      <c r="W803" s="7" t="n">
        <v>4379</v>
      </c>
      <c r="X803" s="7" t="n">
        <v>4386</v>
      </c>
      <c r="Y803" s="7" t="n">
        <v>7</v>
      </c>
      <c r="Z803" s="7" t="s">
        <v>14363</v>
      </c>
      <c r="AA803" s="9" t="s">
        <v>14364</v>
      </c>
      <c r="AB803" s="7" t="s">
        <v>14365</v>
      </c>
      <c r="AC803" s="7" t="s">
        <v>14366</v>
      </c>
      <c r="AD803" s="7"/>
      <c r="AE803" s="7" t="s">
        <v>14367</v>
      </c>
      <c r="AF803" s="7"/>
      <c r="AG803" s="7" t="s">
        <v>14368</v>
      </c>
      <c r="AH803" s="7"/>
      <c r="AI803" s="7"/>
      <c r="AJ803" s="10" t="s">
        <v>14369</v>
      </c>
      <c r="AK803" s="7" t="s">
        <v>14370</v>
      </c>
      <c r="AL803" s="7" t="s">
        <v>14371</v>
      </c>
      <c r="AM803" s="7" t="s">
        <v>14372</v>
      </c>
      <c r="AN803" s="7"/>
      <c r="AO803" s="7"/>
      <c r="AP803" s="7"/>
      <c r="AQ803" s="7"/>
      <c r="AR803" s="7"/>
      <c r="AS803" s="7"/>
      <c r="AT803" s="7" t="n">
        <v>32654</v>
      </c>
      <c r="AU803" s="7"/>
      <c r="AV803" s="7" t="s">
        <v>14373</v>
      </c>
      <c r="AW803" s="7" t="n">
        <v>30123917</v>
      </c>
      <c r="AX803" s="7" t="s">
        <v>14362</v>
      </c>
      <c r="AY803" s="7" t="s">
        <v>75</v>
      </c>
      <c r="AZ803" s="7"/>
      <c r="BA803" s="7" t="s">
        <v>76</v>
      </c>
      <c r="BB803" s="7" t="s">
        <v>14374</v>
      </c>
      <c r="BC803" s="7"/>
      <c r="BD803" s="7"/>
      <c r="BE803" s="7"/>
      <c r="BF803" s="7"/>
      <c r="BG803" s="7"/>
      <c r="BH803" s="7"/>
      <c r="BI803" s="7"/>
    </row>
    <row r="804" customFormat="false" ht="14.25" hidden="false" customHeight="true" outlineLevel="0" collapsed="false">
      <c r="A804" s="18"/>
      <c r="B804" s="18"/>
      <c r="C804" s="18"/>
      <c r="D804" s="18"/>
      <c r="E804" s="18"/>
      <c r="F804" s="19" t="s">
        <v>14375</v>
      </c>
      <c r="G804" s="20"/>
      <c r="H804" s="18"/>
      <c r="I804" s="18"/>
      <c r="J804" s="18"/>
      <c r="K804" s="18"/>
      <c r="L804" s="18"/>
      <c r="M804" s="18"/>
      <c r="N804" s="18"/>
      <c r="O804" s="18"/>
      <c r="P804" s="18"/>
      <c r="Q804" s="18"/>
      <c r="R804" s="18"/>
      <c r="S804" s="18"/>
      <c r="T804" s="18"/>
      <c r="U804" s="18"/>
      <c r="V804" s="18"/>
      <c r="W804" s="18"/>
      <c r="X804" s="18"/>
      <c r="Y804" s="18"/>
      <c r="Z804" s="18"/>
      <c r="AA804" s="20"/>
      <c r="AB804" s="18"/>
      <c r="AC804" s="18"/>
      <c r="AD804" s="18"/>
      <c r="AE804" s="18"/>
      <c r="AF804" s="18"/>
      <c r="AG804" s="18"/>
      <c r="AH804" s="18"/>
      <c r="AI804" s="18"/>
      <c r="AJ804" s="21"/>
      <c r="AK804" s="18"/>
      <c r="AL804" s="18"/>
      <c r="AM804" s="18"/>
      <c r="AN804" s="18"/>
      <c r="AO804" s="18"/>
      <c r="AP804" s="18"/>
      <c r="AQ804" s="18"/>
      <c r="AR804" s="18"/>
      <c r="AS804" s="18"/>
      <c r="AT804" s="18"/>
      <c r="AU804" s="18"/>
      <c r="AV804" s="18"/>
      <c r="AW804" s="18"/>
      <c r="AX804" s="18"/>
      <c r="AY804" s="18"/>
      <c r="AZ804" s="18"/>
      <c r="BA804" s="18"/>
      <c r="BB804" s="18"/>
      <c r="BC804" s="18"/>
      <c r="BD804" s="18"/>
      <c r="BE804" s="18"/>
      <c r="BF804" s="18"/>
      <c r="BG804" s="18"/>
      <c r="BH804" s="18"/>
      <c r="BI804" s="18"/>
    </row>
    <row r="805" customFormat="false" ht="14.25" hidden="false" customHeight="true" outlineLevel="0" collapsed="false">
      <c r="A805" s="7" t="s">
        <v>14376</v>
      </c>
      <c r="B805" s="7" t="s">
        <v>14377</v>
      </c>
      <c r="C805" s="7" t="s">
        <v>14378</v>
      </c>
      <c r="D805" s="7" t="s">
        <v>14379</v>
      </c>
      <c r="E805" s="7" t="n">
        <v>2018</v>
      </c>
      <c r="F805" s="8" t="s">
        <v>14380</v>
      </c>
      <c r="G805" s="6" t="s">
        <v>149</v>
      </c>
      <c r="H805" s="7"/>
      <c r="I805" s="7"/>
      <c r="J805" s="7"/>
      <c r="K805" s="7"/>
      <c r="L805" s="7"/>
      <c r="M805" s="7"/>
      <c r="N805" s="7"/>
      <c r="O805" s="7"/>
      <c r="P805" s="7" t="s">
        <v>61</v>
      </c>
      <c r="Q805" s="7" t="s">
        <v>62</v>
      </c>
      <c r="R805" s="7" t="s">
        <v>114</v>
      </c>
      <c r="S805" s="7" t="n">
        <v>15</v>
      </c>
      <c r="T805" s="7" t="s">
        <v>4048</v>
      </c>
      <c r="U805" s="7" t="n">
        <v>8</v>
      </c>
      <c r="V805" s="7" t="n">
        <v>1596</v>
      </c>
      <c r="W805" s="7"/>
      <c r="X805" s="7"/>
      <c r="Y805" s="7"/>
      <c r="Z805" s="6" t="s">
        <v>14381</v>
      </c>
      <c r="AA805" s="9" t="s">
        <v>14382</v>
      </c>
      <c r="AB805" s="7" t="s">
        <v>14383</v>
      </c>
      <c r="AC805" s="7" t="s">
        <v>14384</v>
      </c>
      <c r="AD805" s="7" t="s">
        <v>14385</v>
      </c>
      <c r="AE805" s="7" t="s">
        <v>14386</v>
      </c>
      <c r="AF805" s="7"/>
      <c r="AG805" s="7"/>
      <c r="AH805" s="7"/>
      <c r="AI805" s="7"/>
      <c r="AJ805" s="10" t="s">
        <v>14387</v>
      </c>
      <c r="AK805" s="7" t="s">
        <v>14388</v>
      </c>
      <c r="AL805" s="7" t="s">
        <v>14389</v>
      </c>
      <c r="AM805" s="7" t="s">
        <v>14390</v>
      </c>
      <c r="AN805" s="7"/>
      <c r="AO805" s="7"/>
      <c r="AP805" s="7"/>
      <c r="AQ805" s="7"/>
      <c r="AR805" s="7"/>
      <c r="AS805" s="7"/>
      <c r="AT805" s="7" t="n">
        <v>16617827</v>
      </c>
      <c r="AU805" s="7"/>
      <c r="AV805" s="7"/>
      <c r="AW805" s="7" t="n">
        <v>30060525</v>
      </c>
      <c r="AX805" s="7" t="s">
        <v>126</v>
      </c>
      <c r="AY805" s="7" t="s">
        <v>75</v>
      </c>
      <c r="AZ805" s="7" t="s">
        <v>107</v>
      </c>
      <c r="BA805" s="7" t="s">
        <v>76</v>
      </c>
      <c r="BB805" s="7" t="s">
        <v>14391</v>
      </c>
      <c r="BC805" s="7"/>
      <c r="BD805" s="7"/>
      <c r="BE805" s="7"/>
      <c r="BF805" s="7"/>
      <c r="BG805" s="7"/>
      <c r="BH805" s="7"/>
      <c r="BI805" s="7"/>
    </row>
    <row r="806" customFormat="false" ht="14.25" hidden="false" customHeight="true" outlineLevel="0" collapsed="false">
      <c r="A806" s="7" t="s">
        <v>14392</v>
      </c>
      <c r="B806" s="7" t="s">
        <v>14393</v>
      </c>
      <c r="C806" s="7" t="s">
        <v>14394</v>
      </c>
      <c r="D806" s="7" t="s">
        <v>14395</v>
      </c>
      <c r="E806" s="7" t="n">
        <v>2018</v>
      </c>
      <c r="F806" s="8" t="s">
        <v>14396</v>
      </c>
      <c r="G806" s="6" t="s">
        <v>290</v>
      </c>
      <c r="H806" s="7"/>
      <c r="I806" s="7"/>
      <c r="J806" s="7"/>
      <c r="K806" s="7"/>
      <c r="L806" s="7"/>
      <c r="M806" s="7"/>
      <c r="N806" s="7"/>
      <c r="O806" s="7"/>
      <c r="P806" s="7" t="s">
        <v>61</v>
      </c>
      <c r="Q806" s="7" t="s">
        <v>62</v>
      </c>
      <c r="R806" s="7" t="s">
        <v>14397</v>
      </c>
      <c r="S806" s="7" t="n">
        <v>17</v>
      </c>
      <c r="T806" s="7" t="s">
        <v>14398</v>
      </c>
      <c r="U806" s="7" t="n">
        <v>3</v>
      </c>
      <c r="V806" s="7" t="n">
        <v>1850012</v>
      </c>
      <c r="W806" s="7"/>
      <c r="X806" s="7"/>
      <c r="Y806" s="7"/>
      <c r="Z806" s="7" t="s">
        <v>14399</v>
      </c>
      <c r="AA806" s="9" t="s">
        <v>14400</v>
      </c>
      <c r="AB806" s="7" t="s">
        <v>14401</v>
      </c>
      <c r="AC806" s="7" t="s">
        <v>14402</v>
      </c>
      <c r="AD806" s="7" t="s">
        <v>14403</v>
      </c>
      <c r="AE806" s="7" t="s">
        <v>14404</v>
      </c>
      <c r="AF806" s="7"/>
      <c r="AG806" s="7"/>
      <c r="AH806" s="7"/>
      <c r="AI806" s="7"/>
      <c r="AJ806" s="10"/>
      <c r="AK806" s="7"/>
      <c r="AL806" s="7" t="s">
        <v>14405</v>
      </c>
      <c r="AM806" s="7" t="s">
        <v>14406</v>
      </c>
      <c r="AN806" s="7"/>
      <c r="AO806" s="7"/>
      <c r="AP806" s="7"/>
      <c r="AQ806" s="7"/>
      <c r="AR806" s="7"/>
      <c r="AS806" s="7"/>
      <c r="AT806" s="7" t="n">
        <v>14690268</v>
      </c>
      <c r="AU806" s="7"/>
      <c r="AV806" s="7"/>
      <c r="AW806" s="7"/>
      <c r="AX806" s="7" t="s">
        <v>14407</v>
      </c>
      <c r="AY806" s="7" t="s">
        <v>75</v>
      </c>
      <c r="AZ806" s="7"/>
      <c r="BA806" s="7" t="s">
        <v>76</v>
      </c>
      <c r="BB806" s="7" t="s">
        <v>14408</v>
      </c>
      <c r="BC806" s="7"/>
      <c r="BD806" s="7"/>
      <c r="BE806" s="7"/>
      <c r="BF806" s="7"/>
      <c r="BG806" s="7"/>
      <c r="BH806" s="7"/>
      <c r="BI806" s="7"/>
    </row>
    <row r="807" customFormat="false" ht="14.25" hidden="false" customHeight="true" outlineLevel="0" collapsed="false">
      <c r="A807" s="7" t="s">
        <v>14409</v>
      </c>
      <c r="B807" s="7" t="s">
        <v>14410</v>
      </c>
      <c r="C807" s="7" t="s">
        <v>14411</v>
      </c>
      <c r="D807" s="7" t="s">
        <v>14412</v>
      </c>
      <c r="E807" s="7" t="n">
        <v>2018</v>
      </c>
      <c r="F807" s="8" t="s">
        <v>14413</v>
      </c>
      <c r="G807" s="6" t="s">
        <v>1686</v>
      </c>
      <c r="H807" s="7"/>
      <c r="I807" s="7"/>
      <c r="J807" s="7"/>
      <c r="K807" s="7"/>
      <c r="L807" s="7"/>
      <c r="M807" s="7"/>
      <c r="N807" s="7"/>
      <c r="O807" s="7"/>
      <c r="P807" s="7" t="s">
        <v>61</v>
      </c>
      <c r="Q807" s="7" t="s">
        <v>62</v>
      </c>
      <c r="R807" s="7" t="s">
        <v>14414</v>
      </c>
      <c r="S807" s="7" t="n">
        <v>39</v>
      </c>
      <c r="T807" s="7" t="s">
        <v>14415</v>
      </c>
      <c r="U807" s="7" t="n">
        <v>2</v>
      </c>
      <c r="V807" s="7"/>
      <c r="W807" s="7" t="n">
        <v>154</v>
      </c>
      <c r="X807" s="7" t="n">
        <v>160</v>
      </c>
      <c r="Y807" s="7" t="n">
        <v>6</v>
      </c>
      <c r="Z807" s="7" t="s">
        <v>14416</v>
      </c>
      <c r="AA807" s="9" t="s">
        <v>14417</v>
      </c>
      <c r="AB807" s="7" t="s">
        <v>14418</v>
      </c>
      <c r="AC807" s="7" t="s">
        <v>14419</v>
      </c>
      <c r="AD807" s="7" t="s">
        <v>14420</v>
      </c>
      <c r="AE807" s="7" t="s">
        <v>14421</v>
      </c>
      <c r="AF807" s="7"/>
      <c r="AG807" s="7" t="s">
        <v>14422</v>
      </c>
      <c r="AH807" s="7"/>
      <c r="AI807" s="7"/>
      <c r="AJ807" s="10" t="s">
        <v>14423</v>
      </c>
      <c r="AK807" s="7" t="s">
        <v>14424</v>
      </c>
      <c r="AL807" s="7" t="s">
        <v>14425</v>
      </c>
      <c r="AM807" s="7" t="s">
        <v>14426</v>
      </c>
      <c r="AN807" s="7"/>
      <c r="AO807" s="7"/>
      <c r="AP807" s="7"/>
      <c r="AQ807" s="7"/>
      <c r="AR807" s="7"/>
      <c r="AS807" s="7"/>
      <c r="AT807" s="7" t="n">
        <v>11174145</v>
      </c>
      <c r="AU807" s="7"/>
      <c r="AV807" s="7"/>
      <c r="AW807" s="7"/>
      <c r="AX807" s="7" t="s">
        <v>14427</v>
      </c>
      <c r="AY807" s="7" t="s">
        <v>75</v>
      </c>
      <c r="AZ807" s="7"/>
      <c r="BA807" s="7" t="s">
        <v>76</v>
      </c>
      <c r="BB807" s="7" t="s">
        <v>14428</v>
      </c>
      <c r="BC807" s="7"/>
      <c r="BD807" s="7"/>
      <c r="BE807" s="7"/>
      <c r="BF807" s="7"/>
      <c r="BG807" s="7"/>
      <c r="BH807" s="7"/>
      <c r="BI807" s="7"/>
    </row>
    <row r="808" customFormat="false" ht="14.25" hidden="false" customHeight="true" outlineLevel="0" collapsed="false">
      <c r="A808" s="7" t="s">
        <v>14429</v>
      </c>
      <c r="B808" s="7" t="s">
        <v>14430</v>
      </c>
      <c r="C808" s="7" t="s">
        <v>14431</v>
      </c>
      <c r="D808" s="7" t="s">
        <v>14432</v>
      </c>
      <c r="E808" s="7" t="n">
        <v>2018</v>
      </c>
      <c r="F808" s="8" t="s">
        <v>14433</v>
      </c>
      <c r="G808" s="6" t="s">
        <v>290</v>
      </c>
      <c r="H808" s="7"/>
      <c r="I808" s="7"/>
      <c r="J808" s="7"/>
      <c r="K808" s="7"/>
      <c r="L808" s="7"/>
      <c r="M808" s="7"/>
      <c r="N808" s="7"/>
      <c r="O808" s="7"/>
      <c r="P808" s="7" t="s">
        <v>61</v>
      </c>
      <c r="Q808" s="7" t="s">
        <v>62</v>
      </c>
      <c r="R808" s="7" t="s">
        <v>14434</v>
      </c>
      <c r="S808" s="7" t="n">
        <v>34</v>
      </c>
      <c r="T808" s="7" t="s">
        <v>13244</v>
      </c>
      <c r="U808" s="7" t="n">
        <v>4</v>
      </c>
      <c r="V808" s="7"/>
      <c r="W808" s="7" t="n">
        <v>553</v>
      </c>
      <c r="X808" s="7" t="n">
        <v>560</v>
      </c>
      <c r="Y808" s="7" t="n">
        <v>7</v>
      </c>
      <c r="Z808" s="7" t="s">
        <v>14435</v>
      </c>
      <c r="AA808" s="9" t="s">
        <v>14436</v>
      </c>
      <c r="AB808" s="7" t="s">
        <v>14437</v>
      </c>
      <c r="AC808" s="7" t="s">
        <v>14438</v>
      </c>
      <c r="AD808" s="7" t="s">
        <v>14439</v>
      </c>
      <c r="AE808" s="7" t="s">
        <v>14440</v>
      </c>
      <c r="AF808" s="7"/>
      <c r="AG808" s="7"/>
      <c r="AH808" s="7"/>
      <c r="AI808" s="7"/>
      <c r="AJ808" s="10"/>
      <c r="AK808" s="7"/>
      <c r="AL808" s="7" t="s">
        <v>14441</v>
      </c>
      <c r="AM808" s="7" t="s">
        <v>14442</v>
      </c>
      <c r="AN808" s="7"/>
      <c r="AO808" s="7"/>
      <c r="AP808" s="7"/>
      <c r="AQ808" s="7"/>
      <c r="AR808" s="7"/>
      <c r="AS808" s="7"/>
      <c r="AT808" s="7" t="n">
        <v>15695794</v>
      </c>
      <c r="AU808" s="7"/>
      <c r="AV808" s="7" t="s">
        <v>14443</v>
      </c>
      <c r="AW808" s="7" t="n">
        <v>29098525</v>
      </c>
      <c r="AX808" s="7" t="s">
        <v>14444</v>
      </c>
      <c r="AY808" s="7" t="s">
        <v>75</v>
      </c>
      <c r="AZ808" s="7"/>
      <c r="BA808" s="7" t="s">
        <v>76</v>
      </c>
      <c r="BB808" s="7" t="s">
        <v>14445</v>
      </c>
      <c r="BC808" s="7"/>
      <c r="BD808" s="7"/>
      <c r="BE808" s="7"/>
      <c r="BF808" s="7"/>
      <c r="BG808" s="7"/>
      <c r="BH808" s="7"/>
      <c r="BI808" s="7"/>
    </row>
    <row r="809" customFormat="false" ht="14.25" hidden="false" customHeight="true" outlineLevel="0" collapsed="false">
      <c r="A809" s="7" t="s">
        <v>14446</v>
      </c>
      <c r="B809" s="7" t="s">
        <v>14447</v>
      </c>
      <c r="C809" s="7" t="s">
        <v>14448</v>
      </c>
      <c r="D809" s="7" t="s">
        <v>14449</v>
      </c>
      <c r="E809" s="7" t="n">
        <v>2018</v>
      </c>
      <c r="F809" s="8" t="s">
        <v>14450</v>
      </c>
      <c r="G809" s="6" t="s">
        <v>349</v>
      </c>
      <c r="H809" s="7"/>
      <c r="I809" s="7"/>
      <c r="J809" s="7"/>
      <c r="K809" s="7"/>
      <c r="L809" s="7"/>
      <c r="M809" s="7"/>
      <c r="N809" s="7"/>
      <c r="O809" s="7"/>
      <c r="P809" s="7" t="s">
        <v>61</v>
      </c>
      <c r="Q809" s="7" t="s">
        <v>62</v>
      </c>
      <c r="R809" s="7" t="s">
        <v>14451</v>
      </c>
      <c r="S809" s="7" t="n">
        <v>10</v>
      </c>
      <c r="T809" s="7" t="s">
        <v>14452</v>
      </c>
      <c r="U809" s="7" t="n">
        <v>8</v>
      </c>
      <c r="V809" s="7"/>
      <c r="W809" s="7" t="n">
        <v>5030</v>
      </c>
      <c r="X809" s="7" t="n">
        <v>5038</v>
      </c>
      <c r="Y809" s="7" t="n">
        <v>8</v>
      </c>
      <c r="Z809" s="7" t="s">
        <v>14453</v>
      </c>
      <c r="AA809" s="9" t="s">
        <v>14454</v>
      </c>
      <c r="AB809" s="7" t="s">
        <v>14455</v>
      </c>
      <c r="AC809" s="7" t="s">
        <v>14456</v>
      </c>
      <c r="AD809" s="7" t="s">
        <v>14457</v>
      </c>
      <c r="AE809" s="7" t="s">
        <v>14458</v>
      </c>
      <c r="AF809" s="7"/>
      <c r="AG809" s="7" t="s">
        <v>14459</v>
      </c>
      <c r="AH809" s="7"/>
      <c r="AI809" s="7"/>
      <c r="AJ809" s="10"/>
      <c r="AK809" s="7"/>
      <c r="AL809" s="7" t="s">
        <v>14460</v>
      </c>
      <c r="AM809" s="7" t="s">
        <v>14461</v>
      </c>
      <c r="AN809" s="7"/>
      <c r="AO809" s="7"/>
      <c r="AP809" s="7"/>
      <c r="AQ809" s="7"/>
      <c r="AR809" s="7"/>
      <c r="AS809" s="7"/>
      <c r="AT809" s="7" t="n">
        <v>20721439</v>
      </c>
      <c r="AU809" s="7"/>
      <c r="AV809" s="7"/>
      <c r="AW809" s="7"/>
      <c r="AX809" s="7" t="s">
        <v>14462</v>
      </c>
      <c r="AY809" s="7" t="s">
        <v>75</v>
      </c>
      <c r="AZ809" s="7" t="s">
        <v>636</v>
      </c>
      <c r="BA809" s="7" t="s">
        <v>76</v>
      </c>
      <c r="BB809" s="7" t="s">
        <v>14463</v>
      </c>
      <c r="BC809" s="7"/>
      <c r="BD809" s="7"/>
      <c r="BE809" s="7"/>
      <c r="BF809" s="7"/>
      <c r="BG809" s="7"/>
      <c r="BH809" s="7"/>
      <c r="BI809" s="7"/>
    </row>
    <row r="810" customFormat="false" ht="14.25" hidden="false" customHeight="true" outlineLevel="0" collapsed="false">
      <c r="A810" s="7" t="s">
        <v>14464</v>
      </c>
      <c r="B810" s="7" t="s">
        <v>14465</v>
      </c>
      <c r="C810" s="7" t="s">
        <v>14466</v>
      </c>
      <c r="D810" s="7" t="s">
        <v>14467</v>
      </c>
      <c r="E810" s="7" t="n">
        <v>2018</v>
      </c>
      <c r="F810" s="8" t="s">
        <v>14468</v>
      </c>
      <c r="G810" s="6" t="s">
        <v>134</v>
      </c>
      <c r="H810" s="7"/>
      <c r="I810" s="7"/>
      <c r="J810" s="7"/>
      <c r="K810" s="7"/>
      <c r="L810" s="7"/>
      <c r="M810" s="7"/>
      <c r="N810" s="7"/>
      <c r="O810" s="7"/>
      <c r="P810" s="7" t="s">
        <v>61</v>
      </c>
      <c r="Q810" s="7" t="s">
        <v>62</v>
      </c>
      <c r="R810" s="7" t="s">
        <v>14469</v>
      </c>
      <c r="S810" s="7" t="n">
        <v>97</v>
      </c>
      <c r="T810" s="7" t="s">
        <v>64</v>
      </c>
      <c r="U810" s="7"/>
      <c r="V810" s="7"/>
      <c r="W810" s="7" t="n">
        <v>1</v>
      </c>
      <c r="X810" s="7" t="n">
        <v>10</v>
      </c>
      <c r="Y810" s="7" t="n">
        <v>9</v>
      </c>
      <c r="Z810" s="7" t="s">
        <v>14470</v>
      </c>
      <c r="AA810" s="9" t="s">
        <v>14471</v>
      </c>
      <c r="AB810" s="7" t="s">
        <v>14472</v>
      </c>
      <c r="AC810" s="7" t="s">
        <v>14473</v>
      </c>
      <c r="AD810" s="7" t="s">
        <v>14474</v>
      </c>
      <c r="AE810" s="7" t="s">
        <v>14475</v>
      </c>
      <c r="AF810" s="7"/>
      <c r="AG810" s="7"/>
      <c r="AH810" s="7"/>
      <c r="AI810" s="7"/>
      <c r="AJ810" s="10"/>
      <c r="AK810" s="7"/>
      <c r="AL810" s="7" t="s">
        <v>14476</v>
      </c>
      <c r="AM810" s="7" t="s">
        <v>14477</v>
      </c>
      <c r="AN810" s="7"/>
      <c r="AO810" s="7"/>
      <c r="AP810" s="7"/>
      <c r="AQ810" s="7"/>
      <c r="AR810" s="7"/>
      <c r="AS810" s="7"/>
      <c r="AT810" s="7" t="n">
        <v>8936080</v>
      </c>
      <c r="AU810" s="7"/>
      <c r="AV810" s="7" t="s">
        <v>14478</v>
      </c>
      <c r="AW810" s="7" t="n">
        <v>29031082</v>
      </c>
      <c r="AX810" s="7" t="s">
        <v>14479</v>
      </c>
      <c r="AY810" s="7" t="s">
        <v>75</v>
      </c>
      <c r="AZ810" s="7" t="s">
        <v>409</v>
      </c>
      <c r="BA810" s="7" t="s">
        <v>76</v>
      </c>
      <c r="BB810" s="7" t="s">
        <v>14480</v>
      </c>
      <c r="BC810" s="7"/>
      <c r="BD810" s="7"/>
      <c r="BE810" s="7"/>
      <c r="BF810" s="7"/>
      <c r="BG810" s="7"/>
      <c r="BH810" s="7"/>
      <c r="BI810" s="7"/>
    </row>
    <row r="811" customFormat="false" ht="14.25" hidden="false" customHeight="true" outlineLevel="0" collapsed="false">
      <c r="A811" s="7" t="s">
        <v>14481</v>
      </c>
      <c r="B811" s="7" t="s">
        <v>14482</v>
      </c>
      <c r="C811" s="7" t="s">
        <v>14483</v>
      </c>
      <c r="D811" s="7" t="s">
        <v>14484</v>
      </c>
      <c r="E811" s="7" t="n">
        <v>2018</v>
      </c>
      <c r="F811" s="8" t="s">
        <v>14485</v>
      </c>
      <c r="G811" s="6" t="s">
        <v>393</v>
      </c>
      <c r="H811" s="7"/>
      <c r="I811" s="7"/>
      <c r="J811" s="7"/>
      <c r="K811" s="7"/>
      <c r="L811" s="7"/>
      <c r="M811" s="7"/>
      <c r="N811" s="7"/>
      <c r="O811" s="7"/>
      <c r="P811" s="7" t="s">
        <v>61</v>
      </c>
      <c r="Q811" s="7" t="s">
        <v>62</v>
      </c>
      <c r="R811" s="7" t="s">
        <v>603</v>
      </c>
      <c r="S811" s="7" t="n">
        <v>98</v>
      </c>
      <c r="T811" s="7" t="s">
        <v>604</v>
      </c>
      <c r="U811" s="7" t="n">
        <v>4</v>
      </c>
      <c r="V811" s="7"/>
      <c r="W811" s="7" t="n">
        <v>1152</v>
      </c>
      <c r="X811" s="7" t="n">
        <v>1158</v>
      </c>
      <c r="Y811" s="7" t="n">
        <v>6</v>
      </c>
      <c r="Z811" s="7" t="s">
        <v>14486</v>
      </c>
      <c r="AA811" s="9" t="s">
        <v>14487</v>
      </c>
      <c r="AB811" s="7" t="s">
        <v>14488</v>
      </c>
      <c r="AC811" s="7" t="s">
        <v>14489</v>
      </c>
      <c r="AD811" s="7"/>
      <c r="AE811" s="7" t="s">
        <v>14490</v>
      </c>
      <c r="AF811" s="7"/>
      <c r="AG811" s="7" t="s">
        <v>14491</v>
      </c>
      <c r="AH811" s="7"/>
      <c r="AI811" s="7"/>
      <c r="AJ811" s="10" t="s">
        <v>14492</v>
      </c>
      <c r="AK811" s="7" t="s">
        <v>14493</v>
      </c>
      <c r="AL811" s="7" t="s">
        <v>14494</v>
      </c>
      <c r="AM811" s="7" t="s">
        <v>14495</v>
      </c>
      <c r="AN811" s="7"/>
      <c r="AO811" s="7"/>
      <c r="AP811" s="7"/>
      <c r="AQ811" s="7"/>
      <c r="AR811" s="7"/>
      <c r="AS811" s="7"/>
      <c r="AT811" s="7" t="n">
        <v>29637</v>
      </c>
      <c r="AU811" s="7"/>
      <c r="AV811" s="7" t="s">
        <v>616</v>
      </c>
      <c r="AW811" s="7" t="n">
        <v>29436337</v>
      </c>
      <c r="AX811" s="7" t="s">
        <v>617</v>
      </c>
      <c r="AY811" s="7" t="s">
        <v>75</v>
      </c>
      <c r="AZ811" s="7" t="s">
        <v>636</v>
      </c>
      <c r="BA811" s="7" t="s">
        <v>76</v>
      </c>
      <c r="BB811" s="7" t="s">
        <v>14496</v>
      </c>
      <c r="BC811" s="7"/>
      <c r="BD811" s="7"/>
      <c r="BE811" s="7"/>
      <c r="BF811" s="7"/>
      <c r="BG811" s="7"/>
      <c r="BH811" s="7"/>
      <c r="BI811" s="7"/>
    </row>
    <row r="812" customFormat="false" ht="14.25" hidden="false" customHeight="true" outlineLevel="0" collapsed="false">
      <c r="A812" s="7" t="s">
        <v>14497</v>
      </c>
      <c r="B812" s="7" t="s">
        <v>14498</v>
      </c>
      <c r="C812" s="7" t="s">
        <v>14499</v>
      </c>
      <c r="D812" s="7" t="s">
        <v>14500</v>
      </c>
      <c r="E812" s="7" t="n">
        <v>2018</v>
      </c>
      <c r="F812" s="8" t="s">
        <v>14501</v>
      </c>
      <c r="G812" s="6" t="s">
        <v>134</v>
      </c>
      <c r="H812" s="7"/>
      <c r="I812" s="7"/>
      <c r="J812" s="7"/>
      <c r="K812" s="7"/>
      <c r="L812" s="7"/>
      <c r="M812" s="7"/>
      <c r="N812" s="7"/>
      <c r="O812" s="7"/>
      <c r="P812" s="7" t="s">
        <v>61</v>
      </c>
      <c r="Q812" s="7" t="s">
        <v>62</v>
      </c>
      <c r="R812" s="7" t="s">
        <v>603</v>
      </c>
      <c r="S812" s="7" t="n">
        <v>98</v>
      </c>
      <c r="T812" s="7" t="s">
        <v>604</v>
      </c>
      <c r="U812" s="7" t="n">
        <v>3</v>
      </c>
      <c r="V812" s="7"/>
      <c r="W812" s="7" t="n">
        <v>772</v>
      </c>
      <c r="X812" s="7" t="n">
        <v>775</v>
      </c>
      <c r="Y812" s="7" t="n">
        <v>3</v>
      </c>
      <c r="Z812" s="7" t="s">
        <v>14502</v>
      </c>
      <c r="AA812" s="9" t="s">
        <v>14503</v>
      </c>
      <c r="AB812" s="7" t="s">
        <v>14504</v>
      </c>
      <c r="AC812" s="7" t="s">
        <v>14505</v>
      </c>
      <c r="AD812" s="7"/>
      <c r="AE812" s="7" t="s">
        <v>14506</v>
      </c>
      <c r="AF812" s="7"/>
      <c r="AG812" s="7"/>
      <c r="AH812" s="7"/>
      <c r="AI812" s="7"/>
      <c r="AJ812" s="10" t="s">
        <v>14507</v>
      </c>
      <c r="AK812" s="7" t="s">
        <v>14508</v>
      </c>
      <c r="AL812" s="7" t="s">
        <v>14509</v>
      </c>
      <c r="AM812" s="7"/>
      <c r="AN812" s="7"/>
      <c r="AO812" s="7"/>
      <c r="AP812" s="7"/>
      <c r="AQ812" s="7"/>
      <c r="AR812" s="7"/>
      <c r="AS812" s="7"/>
      <c r="AT812" s="7" t="n">
        <v>29637</v>
      </c>
      <c r="AU812" s="7"/>
      <c r="AV812" s="7" t="s">
        <v>616</v>
      </c>
      <c r="AW812" s="7" t="n">
        <v>29260647</v>
      </c>
      <c r="AX812" s="7" t="s">
        <v>617</v>
      </c>
      <c r="AY812" s="7" t="s">
        <v>75</v>
      </c>
      <c r="AZ812" s="7" t="s">
        <v>7961</v>
      </c>
      <c r="BA812" s="7" t="s">
        <v>76</v>
      </c>
      <c r="BB812" s="7" t="s">
        <v>14510</v>
      </c>
      <c r="BC812" s="7"/>
      <c r="BD812" s="7"/>
      <c r="BE812" s="7"/>
      <c r="BF812" s="7"/>
      <c r="BG812" s="7"/>
      <c r="BH812" s="7"/>
      <c r="BI812" s="7"/>
    </row>
    <row r="813" customFormat="false" ht="14.25" hidden="false" customHeight="true" outlineLevel="0" collapsed="false">
      <c r="A813" s="7" t="s">
        <v>14511</v>
      </c>
      <c r="B813" s="7" t="s">
        <v>14512</v>
      </c>
      <c r="C813" s="7" t="s">
        <v>14513</v>
      </c>
      <c r="D813" s="7" t="s">
        <v>14514</v>
      </c>
      <c r="E813" s="7" t="n">
        <v>2018</v>
      </c>
      <c r="F813" s="8" t="s">
        <v>14515</v>
      </c>
      <c r="G813" s="6" t="s">
        <v>349</v>
      </c>
      <c r="H813" s="7"/>
      <c r="I813" s="7"/>
      <c r="J813" s="7"/>
      <c r="K813" s="7"/>
      <c r="L813" s="7"/>
      <c r="M813" s="7"/>
      <c r="N813" s="7"/>
      <c r="O813" s="7"/>
      <c r="P813" s="7" t="s">
        <v>61</v>
      </c>
      <c r="Q813" s="7" t="s">
        <v>62</v>
      </c>
      <c r="R813" s="7" t="s">
        <v>14516</v>
      </c>
      <c r="S813" s="7" t="n">
        <v>166</v>
      </c>
      <c r="T813" s="7" t="s">
        <v>14213</v>
      </c>
      <c r="U813" s="7" t="n">
        <v>4</v>
      </c>
      <c r="V813" s="7"/>
      <c r="W813" s="7" t="n">
        <v>952</v>
      </c>
      <c r="X813" s="7" t="n">
        <v>959</v>
      </c>
      <c r="Y813" s="7" t="n">
        <v>7</v>
      </c>
      <c r="Z813" s="7" t="s">
        <v>14517</v>
      </c>
      <c r="AA813" s="9" t="s">
        <v>14518</v>
      </c>
      <c r="AB813" s="7" t="s">
        <v>14519</v>
      </c>
      <c r="AC813" s="7" t="s">
        <v>14520</v>
      </c>
      <c r="AD813" s="7" t="s">
        <v>14521</v>
      </c>
      <c r="AE813" s="7" t="s">
        <v>14522</v>
      </c>
      <c r="AF813" s="7"/>
      <c r="AG813" s="7"/>
      <c r="AH813" s="7"/>
      <c r="AI813" s="7"/>
      <c r="AJ813" s="10" t="s">
        <v>14523</v>
      </c>
      <c r="AK813" s="7" t="s">
        <v>14524</v>
      </c>
      <c r="AL813" s="7" t="s">
        <v>14525</v>
      </c>
      <c r="AM813" s="7" t="s">
        <v>14526</v>
      </c>
      <c r="AN813" s="7"/>
      <c r="AO813" s="7"/>
      <c r="AP813" s="7"/>
      <c r="AQ813" s="7"/>
      <c r="AR813" s="7"/>
      <c r="AS813" s="7"/>
      <c r="AT813" s="7" t="n">
        <v>29483</v>
      </c>
      <c r="AU813" s="7"/>
      <c r="AV813" s="7" t="s">
        <v>14527</v>
      </c>
      <c r="AW813" s="7" t="n">
        <v>29664990</v>
      </c>
      <c r="AX813" s="7" t="s">
        <v>14528</v>
      </c>
      <c r="AY813" s="7" t="s">
        <v>75</v>
      </c>
      <c r="AZ813" s="7" t="s">
        <v>409</v>
      </c>
      <c r="BA813" s="7" t="s">
        <v>76</v>
      </c>
      <c r="BB813" s="7" t="s">
        <v>14529</v>
      </c>
      <c r="BC813" s="7"/>
      <c r="BD813" s="7"/>
      <c r="BE813" s="7"/>
      <c r="BF813" s="7"/>
      <c r="BG813" s="7"/>
      <c r="BH813" s="7"/>
      <c r="BI813" s="7"/>
    </row>
    <row r="814" customFormat="false" ht="14.25" hidden="false" customHeight="true" outlineLevel="0" collapsed="false">
      <c r="A814" s="7" t="s">
        <v>14530</v>
      </c>
      <c r="B814" s="7" t="s">
        <v>14531</v>
      </c>
      <c r="C814" s="7" t="s">
        <v>14532</v>
      </c>
      <c r="D814" s="7" t="s">
        <v>14533</v>
      </c>
      <c r="E814" s="7" t="n">
        <v>2018</v>
      </c>
      <c r="F814" s="8" t="s">
        <v>14534</v>
      </c>
      <c r="G814" s="6" t="s">
        <v>3714</v>
      </c>
      <c r="H814" s="7"/>
      <c r="I814" s="7"/>
      <c r="J814" s="7"/>
      <c r="K814" s="7"/>
      <c r="L814" s="7"/>
      <c r="M814" s="7"/>
      <c r="N814" s="7"/>
      <c r="O814" s="7"/>
      <c r="P814" s="7" t="s">
        <v>61</v>
      </c>
      <c r="Q814" s="7" t="s">
        <v>62</v>
      </c>
      <c r="R814" s="7" t="s">
        <v>956</v>
      </c>
      <c r="S814" s="7" t="n">
        <v>84</v>
      </c>
      <c r="T814" s="7" t="s">
        <v>202</v>
      </c>
      <c r="U814" s="7"/>
      <c r="V814" s="7"/>
      <c r="W814" s="7" t="n">
        <v>127</v>
      </c>
      <c r="X814" s="7" t="n">
        <v>138</v>
      </c>
      <c r="Y814" s="7" t="n">
        <v>11</v>
      </c>
      <c r="Z814" s="7" t="s">
        <v>14535</v>
      </c>
      <c r="AA814" s="9" t="s">
        <v>14536</v>
      </c>
      <c r="AB814" s="7" t="s">
        <v>14537</v>
      </c>
      <c r="AC814" s="7" t="s">
        <v>14538</v>
      </c>
      <c r="AD814" s="7" t="s">
        <v>14539</v>
      </c>
      <c r="AE814" s="7" t="s">
        <v>14540</v>
      </c>
      <c r="AF814" s="7"/>
      <c r="AG814" s="7"/>
      <c r="AH814" s="7"/>
      <c r="AI814" s="7"/>
      <c r="AJ814" s="10" t="s">
        <v>14541</v>
      </c>
      <c r="AK814" s="7" t="s">
        <v>14542</v>
      </c>
      <c r="AL814" s="7" t="s">
        <v>14543</v>
      </c>
      <c r="AM814" s="7" t="s">
        <v>14544</v>
      </c>
      <c r="AN814" s="7"/>
      <c r="AO814" s="7"/>
      <c r="AP814" s="7"/>
      <c r="AQ814" s="7"/>
      <c r="AR814" s="7"/>
      <c r="AS814" s="7"/>
      <c r="AT814" s="7" t="n">
        <v>9333657</v>
      </c>
      <c r="AU814" s="7"/>
      <c r="AV814" s="7" t="s">
        <v>965</v>
      </c>
      <c r="AW814" s="7" t="n">
        <v>29241658</v>
      </c>
      <c r="AX814" s="7" t="s">
        <v>966</v>
      </c>
      <c r="AY814" s="7" t="s">
        <v>75</v>
      </c>
      <c r="AZ814" s="7"/>
      <c r="BA814" s="7" t="s">
        <v>76</v>
      </c>
      <c r="BB814" s="7" t="s">
        <v>14545</v>
      </c>
      <c r="BC814" s="7"/>
      <c r="BD814" s="7"/>
      <c r="BE814" s="7"/>
      <c r="BF814" s="7"/>
      <c r="BG814" s="7"/>
      <c r="BH814" s="7"/>
      <c r="BI814" s="7"/>
    </row>
    <row r="815" customFormat="false" ht="14.25" hidden="false" customHeight="true" outlineLevel="0" collapsed="false">
      <c r="A815" s="7" t="s">
        <v>14546</v>
      </c>
      <c r="B815" s="7" t="s">
        <v>14547</v>
      </c>
      <c r="C815" s="7" t="s">
        <v>14548</v>
      </c>
      <c r="D815" s="7" t="s">
        <v>14549</v>
      </c>
      <c r="E815" s="7" t="n">
        <v>2018</v>
      </c>
      <c r="F815" s="8" t="s">
        <v>14550</v>
      </c>
      <c r="G815" s="6" t="s">
        <v>134</v>
      </c>
      <c r="H815" s="7"/>
      <c r="I815" s="7"/>
      <c r="J815" s="7"/>
      <c r="K815" s="7"/>
      <c r="L815" s="7"/>
      <c r="M815" s="7"/>
      <c r="N815" s="7"/>
      <c r="O815" s="7"/>
      <c r="P815" s="7" t="s">
        <v>61</v>
      </c>
      <c r="Q815" s="7" t="s">
        <v>62</v>
      </c>
      <c r="R815" s="7" t="s">
        <v>14551</v>
      </c>
      <c r="S815" s="7" t="n">
        <v>13</v>
      </c>
      <c r="T815" s="7" t="s">
        <v>2112</v>
      </c>
      <c r="U815" s="7" t="n">
        <v>3</v>
      </c>
      <c r="V815" s="7"/>
      <c r="W815" s="7" t="n">
        <v>1</v>
      </c>
      <c r="X815" s="7" t="n">
        <v>19</v>
      </c>
      <c r="Y815" s="7" t="n">
        <v>18</v>
      </c>
      <c r="Z815" s="7" t="s">
        <v>14552</v>
      </c>
      <c r="AA815" s="9" t="s">
        <v>14553</v>
      </c>
      <c r="AB815" s="7" t="s">
        <v>14554</v>
      </c>
      <c r="AC815" s="7" t="s">
        <v>14555</v>
      </c>
      <c r="AD815" s="7" t="s">
        <v>14556</v>
      </c>
      <c r="AE815" s="7" t="s">
        <v>14557</v>
      </c>
      <c r="AF815" s="7"/>
      <c r="AG815" s="7"/>
      <c r="AH815" s="7"/>
      <c r="AI815" s="7"/>
      <c r="AJ815" s="10"/>
      <c r="AK815" s="7"/>
      <c r="AL815" s="7" t="s">
        <v>14558</v>
      </c>
      <c r="AM815" s="7"/>
      <c r="AN815" s="7"/>
      <c r="AO815" s="7"/>
      <c r="AP815" s="7"/>
      <c r="AQ815" s="7"/>
      <c r="AR815" s="7"/>
      <c r="AS815" s="7"/>
      <c r="AT815" s="7" t="n">
        <v>15553396</v>
      </c>
      <c r="AU815" s="7"/>
      <c r="AV815" s="7"/>
      <c r="AW815" s="7"/>
      <c r="AX815" s="7" t="s">
        <v>14559</v>
      </c>
      <c r="AY815" s="7" t="s">
        <v>75</v>
      </c>
      <c r="AZ815" s="7"/>
      <c r="BA815" s="7" t="s">
        <v>76</v>
      </c>
      <c r="BB815" s="7" t="s">
        <v>14560</v>
      </c>
      <c r="BC815" s="7"/>
      <c r="BD815" s="7"/>
      <c r="BE815" s="7"/>
      <c r="BF815" s="7"/>
      <c r="BG815" s="7"/>
      <c r="BH815" s="7"/>
      <c r="BI815" s="7"/>
    </row>
    <row r="816" customFormat="false" ht="14.25" hidden="false" customHeight="true" outlineLevel="0" collapsed="false">
      <c r="A816" s="7" t="s">
        <v>14561</v>
      </c>
      <c r="B816" s="7" t="s">
        <v>14562</v>
      </c>
      <c r="C816" s="7" t="s">
        <v>14563</v>
      </c>
      <c r="D816" s="7" t="s">
        <v>14564</v>
      </c>
      <c r="E816" s="7" t="n">
        <v>2018</v>
      </c>
      <c r="F816" s="8" t="s">
        <v>14565</v>
      </c>
      <c r="G816" s="6" t="s">
        <v>349</v>
      </c>
      <c r="H816" s="7"/>
      <c r="I816" s="7"/>
      <c r="J816" s="7"/>
      <c r="K816" s="7"/>
      <c r="L816" s="7"/>
      <c r="M816" s="7"/>
      <c r="N816" s="7"/>
      <c r="O816" s="7"/>
      <c r="P816" s="7" t="s">
        <v>61</v>
      </c>
      <c r="Q816" s="7" t="s">
        <v>62</v>
      </c>
      <c r="R816" s="7" t="s">
        <v>603</v>
      </c>
      <c r="S816" s="7" t="n">
        <v>99</v>
      </c>
      <c r="T816" s="7" t="s">
        <v>604</v>
      </c>
      <c r="U816" s="7" t="n">
        <v>1</v>
      </c>
      <c r="V816" s="7"/>
      <c r="W816" s="7" t="n">
        <v>73</v>
      </c>
      <c r="X816" s="7" t="n">
        <v>83</v>
      </c>
      <c r="Y816" s="7" t="n">
        <v>10</v>
      </c>
      <c r="Z816" s="7" t="s">
        <v>14566</v>
      </c>
      <c r="AA816" s="9" t="s">
        <v>14567</v>
      </c>
      <c r="AB816" s="7" t="s">
        <v>14568</v>
      </c>
      <c r="AC816" s="7" t="s">
        <v>14569</v>
      </c>
      <c r="AD816" s="7"/>
      <c r="AE816" s="7" t="s">
        <v>14570</v>
      </c>
      <c r="AF816" s="7"/>
      <c r="AG816" s="7" t="s">
        <v>14571</v>
      </c>
      <c r="AH816" s="7"/>
      <c r="AI816" s="7"/>
      <c r="AJ816" s="10" t="s">
        <v>14572</v>
      </c>
      <c r="AK816" s="7" t="s">
        <v>14573</v>
      </c>
      <c r="AL816" s="7" t="s">
        <v>14574</v>
      </c>
      <c r="AM816" s="7" t="s">
        <v>14575</v>
      </c>
      <c r="AN816" s="7"/>
      <c r="AO816" s="7"/>
      <c r="AP816" s="7"/>
      <c r="AQ816" s="7"/>
      <c r="AR816" s="7"/>
      <c r="AS816" s="7"/>
      <c r="AT816" s="7" t="n">
        <v>29637</v>
      </c>
      <c r="AU816" s="7"/>
      <c r="AV816" s="7" t="s">
        <v>616</v>
      </c>
      <c r="AW816" s="7" t="n">
        <v>29741155</v>
      </c>
      <c r="AX816" s="7" t="s">
        <v>617</v>
      </c>
      <c r="AY816" s="7" t="s">
        <v>75</v>
      </c>
      <c r="AZ816" s="7" t="s">
        <v>7961</v>
      </c>
      <c r="BA816" s="7" t="s">
        <v>76</v>
      </c>
      <c r="BB816" s="7" t="s">
        <v>14576</v>
      </c>
      <c r="BC816" s="7"/>
      <c r="BD816" s="7"/>
      <c r="BE816" s="7"/>
      <c r="BF816" s="7"/>
      <c r="BG816" s="7"/>
      <c r="BH816" s="7"/>
      <c r="BI816" s="7"/>
    </row>
    <row r="817" customFormat="false" ht="14.25" hidden="false" customHeight="true" outlineLevel="0" collapsed="false">
      <c r="A817" s="7" t="s">
        <v>14577</v>
      </c>
      <c r="B817" s="7" t="s">
        <v>14578</v>
      </c>
      <c r="C817" s="7" t="s">
        <v>14579</v>
      </c>
      <c r="D817" s="7" t="s">
        <v>14580</v>
      </c>
      <c r="E817" s="7" t="n">
        <v>2018</v>
      </c>
      <c r="F817" s="8" t="s">
        <v>14581</v>
      </c>
      <c r="G817" s="6" t="s">
        <v>3714</v>
      </c>
      <c r="H817" s="7"/>
      <c r="I817" s="7"/>
      <c r="J817" s="7"/>
      <c r="K817" s="7"/>
      <c r="L817" s="7"/>
      <c r="M817" s="7"/>
      <c r="N817" s="7"/>
      <c r="O817" s="7"/>
      <c r="P817" s="7" t="s">
        <v>61</v>
      </c>
      <c r="Q817" s="7" t="s">
        <v>62</v>
      </c>
      <c r="R817" s="7" t="s">
        <v>7283</v>
      </c>
      <c r="S817" s="7" t="n">
        <v>81</v>
      </c>
      <c r="T817" s="7" t="s">
        <v>7284</v>
      </c>
      <c r="U817" s="7"/>
      <c r="V817" s="7"/>
      <c r="W817" s="7" t="n">
        <v>16</v>
      </c>
      <c r="X817" s="7" t="n">
        <v>30</v>
      </c>
      <c r="Y817" s="7" t="n">
        <v>14</v>
      </c>
      <c r="Z817" s="7" t="s">
        <v>14582</v>
      </c>
      <c r="AA817" s="9" t="s">
        <v>14583</v>
      </c>
      <c r="AB817" s="7" t="s">
        <v>14584</v>
      </c>
      <c r="AC817" s="7" t="s">
        <v>14585</v>
      </c>
      <c r="AD817" s="7" t="s">
        <v>14586</v>
      </c>
      <c r="AE817" s="7" t="s">
        <v>14587</v>
      </c>
      <c r="AF817" s="7"/>
      <c r="AG817" s="7"/>
      <c r="AH817" s="7"/>
      <c r="AI817" s="7"/>
      <c r="AJ817" s="10" t="s">
        <v>14588</v>
      </c>
      <c r="AK817" s="7" t="s">
        <v>14589</v>
      </c>
      <c r="AL817" s="7" t="s">
        <v>14590</v>
      </c>
      <c r="AM817" s="7" t="s">
        <v>14591</v>
      </c>
      <c r="AN817" s="7"/>
      <c r="AO817" s="7"/>
      <c r="AP817" s="7"/>
      <c r="AQ817" s="7"/>
      <c r="AR817" s="7"/>
      <c r="AS817" s="7"/>
      <c r="AT817" s="7" t="n">
        <v>15320464</v>
      </c>
      <c r="AU817" s="7"/>
      <c r="AV817" s="7" t="s">
        <v>7295</v>
      </c>
      <c r="AW817" s="7" t="n">
        <v>29496631</v>
      </c>
      <c r="AX817" s="7" t="s">
        <v>7296</v>
      </c>
      <c r="AY817" s="7" t="s">
        <v>75</v>
      </c>
      <c r="AZ817" s="7" t="s">
        <v>7961</v>
      </c>
      <c r="BA817" s="7" t="s">
        <v>76</v>
      </c>
      <c r="BB817" s="7" t="s">
        <v>14592</v>
      </c>
      <c r="BC817" s="7"/>
      <c r="BD817" s="7"/>
      <c r="BE817" s="7"/>
      <c r="BF817" s="7"/>
      <c r="BG817" s="7"/>
      <c r="BH817" s="7"/>
      <c r="BI817" s="7"/>
    </row>
    <row r="818" customFormat="false" ht="14.25" hidden="false" customHeight="true" outlineLevel="0" collapsed="false">
      <c r="A818" s="7" t="s">
        <v>14593</v>
      </c>
      <c r="B818" s="7" t="s">
        <v>14594</v>
      </c>
      <c r="C818" s="7" t="s">
        <v>14595</v>
      </c>
      <c r="D818" s="7" t="s">
        <v>14596</v>
      </c>
      <c r="E818" s="7" t="n">
        <v>2018</v>
      </c>
      <c r="F818" s="8" t="s">
        <v>14597</v>
      </c>
      <c r="G818" s="6" t="s">
        <v>149</v>
      </c>
      <c r="H818" s="7"/>
      <c r="I818" s="7"/>
      <c r="J818" s="7"/>
      <c r="K818" s="7"/>
      <c r="L818" s="7"/>
      <c r="M818" s="7"/>
      <c r="N818" s="7"/>
      <c r="O818" s="7"/>
      <c r="P818" s="7" t="s">
        <v>61</v>
      </c>
      <c r="Q818" s="7" t="s">
        <v>62</v>
      </c>
      <c r="R818" s="7" t="s">
        <v>993</v>
      </c>
      <c r="S818" s="7" t="n">
        <v>13</v>
      </c>
      <c r="T818" s="7" t="s">
        <v>500</v>
      </c>
      <c r="U818" s="7" t="n">
        <v>11</v>
      </c>
      <c r="V818" s="7" t="s">
        <v>14598</v>
      </c>
      <c r="W818" s="7"/>
      <c r="X818" s="7"/>
      <c r="Y818" s="7"/>
      <c r="Z818" s="7" t="s">
        <v>14599</v>
      </c>
      <c r="AA818" s="9" t="s">
        <v>14600</v>
      </c>
      <c r="AB818" s="7" t="s">
        <v>14601</v>
      </c>
      <c r="AC818" s="7" t="s">
        <v>14602</v>
      </c>
      <c r="AD818" s="7"/>
      <c r="AE818" s="7" t="s">
        <v>14603</v>
      </c>
      <c r="AF818" s="7"/>
      <c r="AG818" s="7"/>
      <c r="AH818" s="7"/>
      <c r="AI818" s="7"/>
      <c r="AJ818" s="10" t="s">
        <v>14604</v>
      </c>
      <c r="AK818" s="7"/>
      <c r="AL818" s="7" t="s">
        <v>14605</v>
      </c>
      <c r="AM818" s="7"/>
      <c r="AN818" s="7"/>
      <c r="AO818" s="7"/>
      <c r="AP818" s="7"/>
      <c r="AQ818" s="7"/>
      <c r="AR818" s="7"/>
      <c r="AS818" s="7"/>
      <c r="AT818" s="7" t="n">
        <v>19326203</v>
      </c>
      <c r="AU818" s="7"/>
      <c r="AV818" s="7" t="s">
        <v>1007</v>
      </c>
      <c r="AW818" s="7" t="n">
        <v>30403733</v>
      </c>
      <c r="AX818" s="7" t="s">
        <v>993</v>
      </c>
      <c r="AY818" s="7" t="s">
        <v>75</v>
      </c>
      <c r="AZ818" s="7" t="s">
        <v>107</v>
      </c>
      <c r="BA818" s="7" t="s">
        <v>76</v>
      </c>
      <c r="BB818" s="7" t="s">
        <v>14606</v>
      </c>
      <c r="BC818" s="7"/>
      <c r="BD818" s="7"/>
      <c r="BE818" s="7"/>
      <c r="BF818" s="7"/>
      <c r="BG818" s="7"/>
      <c r="BH818" s="7"/>
      <c r="BI818" s="7"/>
    </row>
    <row r="819" customFormat="false" ht="14.25" hidden="false" customHeight="true" outlineLevel="0" collapsed="false">
      <c r="A819" s="7" t="s">
        <v>14607</v>
      </c>
      <c r="B819" s="7" t="s">
        <v>14608</v>
      </c>
      <c r="C819" s="7" t="s">
        <v>14609</v>
      </c>
      <c r="D819" s="7" t="s">
        <v>14610</v>
      </c>
      <c r="E819" s="7" t="n">
        <v>2018</v>
      </c>
      <c r="F819" s="8" t="s">
        <v>14611</v>
      </c>
      <c r="G819" s="6" t="s">
        <v>134</v>
      </c>
      <c r="H819" s="7"/>
      <c r="I819" s="7"/>
      <c r="J819" s="7"/>
      <c r="K819" s="7"/>
      <c r="L819" s="7"/>
      <c r="M819" s="7"/>
      <c r="N819" s="7"/>
      <c r="O819" s="7"/>
      <c r="P819" s="7" t="s">
        <v>61</v>
      </c>
      <c r="Q819" s="7" t="s">
        <v>62</v>
      </c>
      <c r="R819" s="7" t="s">
        <v>14278</v>
      </c>
      <c r="S819" s="7" t="n">
        <v>5</v>
      </c>
      <c r="T819" s="7" t="s">
        <v>3163</v>
      </c>
      <c r="U819" s="7" t="n">
        <v>3</v>
      </c>
      <c r="V819" s="7" t="n">
        <v>34501</v>
      </c>
      <c r="W819" s="7"/>
      <c r="X819" s="7"/>
      <c r="Y819" s="7"/>
      <c r="Z819" s="7" t="s">
        <v>14612</v>
      </c>
      <c r="AA819" s="9" t="s">
        <v>14613</v>
      </c>
      <c r="AB819" s="7" t="s">
        <v>14614</v>
      </c>
      <c r="AC819" s="7" t="s">
        <v>14615</v>
      </c>
      <c r="AD819" s="7" t="s">
        <v>14616</v>
      </c>
      <c r="AE819" s="7" t="s">
        <v>14617</v>
      </c>
      <c r="AF819" s="7"/>
      <c r="AG819" s="7"/>
      <c r="AH819" s="7"/>
      <c r="AI819" s="7"/>
      <c r="AJ819" s="10" t="s">
        <v>14618</v>
      </c>
      <c r="AK819" s="7" t="s">
        <v>14619</v>
      </c>
      <c r="AL819" s="7" t="s">
        <v>14620</v>
      </c>
      <c r="AM819" s="7" t="s">
        <v>14621</v>
      </c>
      <c r="AN819" s="7"/>
      <c r="AO819" s="7"/>
      <c r="AP819" s="7"/>
      <c r="AQ819" s="7"/>
      <c r="AR819" s="7"/>
      <c r="AS819" s="7"/>
      <c r="AT819" s="7" t="n">
        <v>23294302</v>
      </c>
      <c r="AU819" s="7"/>
      <c r="AV819" s="7"/>
      <c r="AW819" s="7"/>
      <c r="AX819" s="7" t="s">
        <v>14287</v>
      </c>
      <c r="AY819" s="7" t="s">
        <v>75</v>
      </c>
      <c r="AZ819" s="7" t="s">
        <v>409</v>
      </c>
      <c r="BA819" s="7" t="s">
        <v>76</v>
      </c>
      <c r="BB819" s="7" t="s">
        <v>14622</v>
      </c>
      <c r="BC819" s="7"/>
      <c r="BD819" s="7"/>
      <c r="BE819" s="7"/>
      <c r="BF819" s="7"/>
      <c r="BG819" s="7"/>
      <c r="BH819" s="7"/>
      <c r="BI819" s="7"/>
    </row>
    <row r="820" customFormat="false" ht="14.25" hidden="false" customHeight="true" outlineLevel="0" collapsed="false">
      <c r="A820" s="7" t="s">
        <v>14623</v>
      </c>
      <c r="B820" s="7" t="s">
        <v>14624</v>
      </c>
      <c r="C820" s="7" t="s">
        <v>14625</v>
      </c>
      <c r="D820" s="7" t="s">
        <v>14626</v>
      </c>
      <c r="E820" s="7" t="n">
        <v>2018</v>
      </c>
      <c r="F820" s="8" t="s">
        <v>14627</v>
      </c>
      <c r="G820" s="6" t="s">
        <v>134</v>
      </c>
      <c r="H820" s="7"/>
      <c r="I820" s="7"/>
      <c r="J820" s="7"/>
      <c r="K820" s="7"/>
      <c r="L820" s="7"/>
      <c r="M820" s="7"/>
      <c r="N820" s="7"/>
      <c r="O820" s="7"/>
      <c r="P820" s="7" t="s">
        <v>61</v>
      </c>
      <c r="Q820" s="7" t="s">
        <v>62</v>
      </c>
      <c r="R820" s="7" t="s">
        <v>1913</v>
      </c>
      <c r="S820" s="7" t="n">
        <v>182</v>
      </c>
      <c r="T820" s="7" t="s">
        <v>202</v>
      </c>
      <c r="U820" s="7"/>
      <c r="V820" s="7"/>
      <c r="W820" s="7" t="n">
        <v>161</v>
      </c>
      <c r="X820" s="7" t="n">
        <v>165</v>
      </c>
      <c r="Y820" s="7" t="n">
        <v>4</v>
      </c>
      <c r="Z820" s="7" t="s">
        <v>14628</v>
      </c>
      <c r="AA820" s="9" t="s">
        <v>14629</v>
      </c>
      <c r="AB820" s="7" t="s">
        <v>14630</v>
      </c>
      <c r="AC820" s="7" t="s">
        <v>14631</v>
      </c>
      <c r="AD820" s="7" t="s">
        <v>14632</v>
      </c>
      <c r="AE820" s="7" t="s">
        <v>14633</v>
      </c>
      <c r="AF820" s="7"/>
      <c r="AG820" s="7" t="s">
        <v>14634</v>
      </c>
      <c r="AH820" s="7"/>
      <c r="AI820" s="7"/>
      <c r="AJ820" s="10" t="s">
        <v>14635</v>
      </c>
      <c r="AK820" s="7" t="s">
        <v>14636</v>
      </c>
      <c r="AL820" s="7" t="s">
        <v>14637</v>
      </c>
      <c r="AM820" s="7" t="s">
        <v>14638</v>
      </c>
      <c r="AN820" s="7"/>
      <c r="AO820" s="7"/>
      <c r="AP820" s="7"/>
      <c r="AQ820" s="7"/>
      <c r="AR820" s="7"/>
      <c r="AS820" s="7"/>
      <c r="AT820" s="7" t="s">
        <v>1924</v>
      </c>
      <c r="AU820" s="7"/>
      <c r="AV820" s="7" t="s">
        <v>1925</v>
      </c>
      <c r="AW820" s="7" t="n">
        <v>29486172</v>
      </c>
      <c r="AX820" s="7" t="s">
        <v>1926</v>
      </c>
      <c r="AY820" s="7" t="s">
        <v>75</v>
      </c>
      <c r="AZ820" s="7"/>
      <c r="BA820" s="7" t="s">
        <v>76</v>
      </c>
      <c r="BB820" s="7" t="s">
        <v>14639</v>
      </c>
      <c r="BC820" s="7"/>
      <c r="BD820" s="7"/>
      <c r="BE820" s="7"/>
      <c r="BF820" s="7"/>
      <c r="BG820" s="7"/>
      <c r="BH820" s="7"/>
      <c r="BI820" s="7"/>
    </row>
    <row r="821" customFormat="false" ht="14.25" hidden="false" customHeight="true" outlineLevel="0" collapsed="false">
      <c r="A821" s="7" t="s">
        <v>14640</v>
      </c>
      <c r="B821" s="7" t="s">
        <v>14641</v>
      </c>
      <c r="C821" s="7" t="s">
        <v>14642</v>
      </c>
      <c r="D821" s="7" t="s">
        <v>14643</v>
      </c>
      <c r="E821" s="7" t="n">
        <v>2018</v>
      </c>
      <c r="F821" s="8" t="s">
        <v>14644</v>
      </c>
      <c r="G821" s="6" t="s">
        <v>3714</v>
      </c>
      <c r="H821" s="7"/>
      <c r="I821" s="7"/>
      <c r="J821" s="7"/>
      <c r="K821" s="7"/>
      <c r="L821" s="7"/>
      <c r="M821" s="7"/>
      <c r="N821" s="7"/>
      <c r="O821" s="7"/>
      <c r="P821" s="7" t="s">
        <v>255</v>
      </c>
      <c r="Q821" s="7" t="s">
        <v>62</v>
      </c>
      <c r="R821" s="7" t="s">
        <v>10148</v>
      </c>
      <c r="S821" s="7" t="n">
        <v>645</v>
      </c>
      <c r="T821" s="7" t="s">
        <v>13103</v>
      </c>
      <c r="U821" s="7"/>
      <c r="V821" s="7"/>
      <c r="W821" s="7" t="n">
        <v>385</v>
      </c>
      <c r="X821" s="7" t="n">
        <v>393</v>
      </c>
      <c r="Y821" s="7" t="n">
        <v>8</v>
      </c>
      <c r="Z821" s="7" t="s">
        <v>14645</v>
      </c>
      <c r="AA821" s="9" t="s">
        <v>14646</v>
      </c>
      <c r="AB821" s="7" t="s">
        <v>14647</v>
      </c>
      <c r="AC821" s="7" t="s">
        <v>14648</v>
      </c>
      <c r="AD821" s="7" t="s">
        <v>14649</v>
      </c>
      <c r="AE821" s="7" t="s">
        <v>14650</v>
      </c>
      <c r="AF821" s="7"/>
      <c r="AG821" s="7"/>
      <c r="AH821" s="7"/>
      <c r="AI821" s="7"/>
      <c r="AJ821" s="10"/>
      <c r="AK821" s="7"/>
      <c r="AL821" s="7" t="s">
        <v>14651</v>
      </c>
      <c r="AM821" s="7" t="s">
        <v>14652</v>
      </c>
      <c r="AN821" s="7"/>
      <c r="AO821" s="7"/>
      <c r="AP821" s="7"/>
      <c r="AQ821" s="7"/>
      <c r="AR821" s="7"/>
      <c r="AS821" s="7"/>
      <c r="AT821" s="7" t="n">
        <v>21945357</v>
      </c>
      <c r="AU821" s="7"/>
      <c r="AV821" s="7"/>
      <c r="AW821" s="7"/>
      <c r="AX821" s="7" t="s">
        <v>10162</v>
      </c>
      <c r="AY821" s="7" t="s">
        <v>75</v>
      </c>
      <c r="AZ821" s="7"/>
      <c r="BA821" s="7" t="s">
        <v>76</v>
      </c>
      <c r="BB821" s="7" t="s">
        <v>14653</v>
      </c>
      <c r="BC821" s="7"/>
      <c r="BD821" s="7"/>
      <c r="BE821" s="7"/>
      <c r="BF821" s="7"/>
      <c r="BG821" s="7"/>
      <c r="BH821" s="7"/>
      <c r="BI821" s="7"/>
    </row>
    <row r="822" customFormat="false" ht="14.25" hidden="false" customHeight="true" outlineLevel="0" collapsed="false">
      <c r="A822" s="7" t="s">
        <v>14654</v>
      </c>
      <c r="B822" s="7" t="s">
        <v>14655</v>
      </c>
      <c r="C822" s="7" t="s">
        <v>14656</v>
      </c>
      <c r="D822" s="7" t="s">
        <v>14657</v>
      </c>
      <c r="E822" s="7" t="n">
        <v>2018</v>
      </c>
      <c r="F822" s="8" t="s">
        <v>14658</v>
      </c>
      <c r="G822" s="6" t="s">
        <v>134</v>
      </c>
      <c r="H822" s="7"/>
      <c r="I822" s="7"/>
      <c r="J822" s="7"/>
      <c r="K822" s="7"/>
      <c r="L822" s="7"/>
      <c r="M822" s="7"/>
      <c r="N822" s="7"/>
      <c r="O822" s="7"/>
      <c r="P822" s="7" t="s">
        <v>304</v>
      </c>
      <c r="Q822" s="7" t="s">
        <v>62</v>
      </c>
      <c r="R822" s="7" t="s">
        <v>14659</v>
      </c>
      <c r="S822" s="7"/>
      <c r="T822" s="7" t="s">
        <v>187</v>
      </c>
      <c r="U822" s="7"/>
      <c r="V822" s="7" t="n">
        <v>8417347</v>
      </c>
      <c r="W822" s="7"/>
      <c r="X822" s="7"/>
      <c r="Y822" s="7"/>
      <c r="Z822" s="7"/>
      <c r="AA822" s="9" t="s">
        <v>14660</v>
      </c>
      <c r="AB822" s="7" t="s">
        <v>14661</v>
      </c>
      <c r="AC822" s="7" t="s">
        <v>14662</v>
      </c>
      <c r="AD822" s="7" t="s">
        <v>14663</v>
      </c>
      <c r="AE822" s="7" t="s">
        <v>14664</v>
      </c>
      <c r="AF822" s="7"/>
      <c r="AG822" s="7"/>
      <c r="AH822" s="7"/>
      <c r="AI822" s="7"/>
      <c r="AJ822" s="10"/>
      <c r="AK822" s="7"/>
      <c r="AL822" s="7" t="s">
        <v>14665</v>
      </c>
      <c r="AM822" s="7"/>
      <c r="AN822" s="7"/>
      <c r="AO822" s="7"/>
      <c r="AP822" s="7" t="s">
        <v>14659</v>
      </c>
      <c r="AQ822" s="7" t="s">
        <v>14666</v>
      </c>
      <c r="AR822" s="7" t="s">
        <v>14667</v>
      </c>
      <c r="AS822" s="7" t="n">
        <v>138126</v>
      </c>
      <c r="AT822" s="7"/>
      <c r="AU822" s="7" t="s">
        <v>14668</v>
      </c>
      <c r="AV822" s="7"/>
      <c r="AW822" s="7"/>
      <c r="AX822" s="7" t="s">
        <v>14669</v>
      </c>
      <c r="AY822" s="7" t="s">
        <v>75</v>
      </c>
      <c r="AZ822" s="7"/>
      <c r="BA822" s="7" t="s">
        <v>76</v>
      </c>
      <c r="BB822" s="7" t="s">
        <v>14670</v>
      </c>
      <c r="BC822" s="7"/>
      <c r="BD822" s="7"/>
      <c r="BE822" s="7"/>
      <c r="BF822" s="7"/>
      <c r="BG822" s="7"/>
      <c r="BH822" s="7"/>
      <c r="BI822" s="7"/>
    </row>
    <row r="823" customFormat="false" ht="14.25" hidden="false" customHeight="true" outlineLevel="0" collapsed="false">
      <c r="A823" s="7" t="s">
        <v>14671</v>
      </c>
      <c r="B823" s="7" t="s">
        <v>14672</v>
      </c>
      <c r="C823" s="7" t="s">
        <v>14673</v>
      </c>
      <c r="D823" s="7" t="s">
        <v>14674</v>
      </c>
      <c r="E823" s="7" t="n">
        <v>2018</v>
      </c>
      <c r="F823" s="8" t="s">
        <v>14675</v>
      </c>
      <c r="G823" s="6" t="s">
        <v>134</v>
      </c>
      <c r="H823" s="7"/>
      <c r="I823" s="7"/>
      <c r="J823" s="7"/>
      <c r="K823" s="7"/>
      <c r="L823" s="7"/>
      <c r="M823" s="7"/>
      <c r="N823" s="7"/>
      <c r="O823" s="7"/>
      <c r="P823" s="7" t="s">
        <v>304</v>
      </c>
      <c r="Q823" s="7" t="s">
        <v>62</v>
      </c>
      <c r="R823" s="7" t="s">
        <v>2751</v>
      </c>
      <c r="S823" s="7" t="s">
        <v>14676</v>
      </c>
      <c r="T823" s="7" t="s">
        <v>13103</v>
      </c>
      <c r="U823" s="7"/>
      <c r="V823" s="7"/>
      <c r="W823" s="7" t="n">
        <v>472</v>
      </c>
      <c r="X823" s="7" t="n">
        <v>481</v>
      </c>
      <c r="Y823" s="7" t="n">
        <v>9</v>
      </c>
      <c r="Z823" s="7" t="s">
        <v>14677</v>
      </c>
      <c r="AA823" s="9" t="s">
        <v>14678</v>
      </c>
      <c r="AB823" s="7" t="s">
        <v>14679</v>
      </c>
      <c r="AC823" s="7" t="s">
        <v>14680</v>
      </c>
      <c r="AD823" s="7"/>
      <c r="AE823" s="7" t="s">
        <v>14681</v>
      </c>
      <c r="AF823" s="7"/>
      <c r="AG823" s="7"/>
      <c r="AH823" s="7"/>
      <c r="AI823" s="7"/>
      <c r="AJ823" s="10"/>
      <c r="AK823" s="7"/>
      <c r="AL823" s="7" t="s">
        <v>14682</v>
      </c>
      <c r="AM823" s="7" t="s">
        <v>14683</v>
      </c>
      <c r="AN823" s="7" t="s">
        <v>14684</v>
      </c>
      <c r="AO823" s="7" t="s">
        <v>14685</v>
      </c>
      <c r="AP823" s="7" t="s">
        <v>14686</v>
      </c>
      <c r="AQ823" s="7" t="s">
        <v>14687</v>
      </c>
      <c r="AR823" s="7" t="s">
        <v>14688</v>
      </c>
      <c r="AS823" s="7" t="n">
        <v>211449</v>
      </c>
      <c r="AT823" s="7" t="n">
        <v>3029743</v>
      </c>
      <c r="AU823" s="7" t="s">
        <v>14689</v>
      </c>
      <c r="AV823" s="7"/>
      <c r="AW823" s="7"/>
      <c r="AX823" s="7" t="s">
        <v>2766</v>
      </c>
      <c r="AY823" s="7" t="s">
        <v>75</v>
      </c>
      <c r="AZ823" s="7"/>
      <c r="BA823" s="7" t="s">
        <v>76</v>
      </c>
      <c r="BB823" s="7" t="s">
        <v>14690</v>
      </c>
      <c r="BC823" s="7"/>
      <c r="BD823" s="7"/>
      <c r="BE823" s="7"/>
      <c r="BF823" s="7"/>
      <c r="BG823" s="7"/>
      <c r="BH823" s="7"/>
      <c r="BI823" s="7"/>
    </row>
    <row r="824" customFormat="false" ht="14.25" hidden="false" customHeight="true" outlineLevel="0" collapsed="false">
      <c r="A824" s="7" t="s">
        <v>14691</v>
      </c>
      <c r="B824" s="7" t="s">
        <v>14692</v>
      </c>
      <c r="C824" s="7" t="s">
        <v>14693</v>
      </c>
      <c r="D824" s="7" t="s">
        <v>14694</v>
      </c>
      <c r="E824" s="7" t="n">
        <v>2018</v>
      </c>
      <c r="F824" s="8" t="s">
        <v>14695</v>
      </c>
      <c r="G824" s="6" t="s">
        <v>134</v>
      </c>
      <c r="H824" s="7"/>
      <c r="I824" s="7"/>
      <c r="J824" s="7"/>
      <c r="K824" s="7"/>
      <c r="L824" s="7"/>
      <c r="M824" s="7"/>
      <c r="N824" s="7"/>
      <c r="O824" s="7"/>
      <c r="P824" s="7" t="s">
        <v>304</v>
      </c>
      <c r="Q824" s="7" t="s">
        <v>62</v>
      </c>
      <c r="R824" s="7" t="s">
        <v>14696</v>
      </c>
      <c r="S824" s="7"/>
      <c r="T824" s="7" t="s">
        <v>187</v>
      </c>
      <c r="U824" s="7"/>
      <c r="V824" s="7" t="n">
        <v>8864475</v>
      </c>
      <c r="W824" s="7" t="n">
        <v>332</v>
      </c>
      <c r="X824" s="7" t="n">
        <v>337</v>
      </c>
      <c r="Y824" s="7" t="n">
        <v>5</v>
      </c>
      <c r="Z824" s="7" t="s">
        <v>14697</v>
      </c>
      <c r="AA824" s="9" t="s">
        <v>14698</v>
      </c>
      <c r="AB824" s="7" t="s">
        <v>14699</v>
      </c>
      <c r="AC824" s="7" t="s">
        <v>14700</v>
      </c>
      <c r="AD824" s="7" t="s">
        <v>14701</v>
      </c>
      <c r="AE824" s="7" t="s">
        <v>14702</v>
      </c>
      <c r="AF824" s="7"/>
      <c r="AG824" s="7"/>
      <c r="AH824" s="7"/>
      <c r="AI824" s="7"/>
      <c r="AJ824" s="10"/>
      <c r="AK824" s="7"/>
      <c r="AL824" s="7" t="s">
        <v>14703</v>
      </c>
      <c r="AM824" s="7"/>
      <c r="AN824" s="7"/>
      <c r="AO824" s="7"/>
      <c r="AP824" s="7" t="s">
        <v>14696</v>
      </c>
      <c r="AQ824" s="7" t="s">
        <v>14704</v>
      </c>
      <c r="AR824" s="7" t="s">
        <v>2976</v>
      </c>
      <c r="AS824" s="7" t="n">
        <v>152781</v>
      </c>
      <c r="AT824" s="7"/>
      <c r="AU824" s="7" t="s">
        <v>14705</v>
      </c>
      <c r="AV824" s="7"/>
      <c r="AW824" s="7"/>
      <c r="AX824" s="7" t="s">
        <v>14706</v>
      </c>
      <c r="AY824" s="7" t="s">
        <v>75</v>
      </c>
      <c r="AZ824" s="7"/>
      <c r="BA824" s="7" t="s">
        <v>76</v>
      </c>
      <c r="BB824" s="7" t="s">
        <v>14707</v>
      </c>
      <c r="BC824" s="7"/>
      <c r="BD824" s="7"/>
      <c r="BE824" s="7"/>
      <c r="BF824" s="7"/>
      <c r="BG824" s="7"/>
      <c r="BH824" s="7"/>
      <c r="BI824" s="7"/>
    </row>
    <row r="825" customFormat="false" ht="14.25" hidden="false" customHeight="true" outlineLevel="0" collapsed="false">
      <c r="A825" s="7" t="s">
        <v>14708</v>
      </c>
      <c r="B825" s="7" t="s">
        <v>14709</v>
      </c>
      <c r="C825" s="7" t="s">
        <v>14710</v>
      </c>
      <c r="D825" s="7" t="s">
        <v>14711</v>
      </c>
      <c r="E825" s="7" t="n">
        <v>2018</v>
      </c>
      <c r="F825" s="8" t="s">
        <v>14712</v>
      </c>
      <c r="G825" s="6" t="s">
        <v>134</v>
      </c>
      <c r="H825" s="7"/>
      <c r="I825" s="7"/>
      <c r="J825" s="7"/>
      <c r="K825" s="7"/>
      <c r="L825" s="7"/>
      <c r="M825" s="7"/>
      <c r="N825" s="7"/>
      <c r="O825" s="7"/>
      <c r="P825" s="7" t="s">
        <v>304</v>
      </c>
      <c r="Q825" s="7" t="s">
        <v>62</v>
      </c>
      <c r="R825" s="7" t="s">
        <v>2751</v>
      </c>
      <c r="S825" s="7" t="s">
        <v>14713</v>
      </c>
      <c r="T825" s="7" t="s">
        <v>13103</v>
      </c>
      <c r="U825" s="7"/>
      <c r="V825" s="7"/>
      <c r="W825" s="7" t="n">
        <v>127</v>
      </c>
      <c r="X825" s="7" t="n">
        <v>137</v>
      </c>
      <c r="Y825" s="7" t="n">
        <v>10</v>
      </c>
      <c r="Z825" s="7" t="s">
        <v>14714</v>
      </c>
      <c r="AA825" s="9" t="s">
        <v>14715</v>
      </c>
      <c r="AB825" s="7" t="s">
        <v>14716</v>
      </c>
      <c r="AC825" s="7" t="s">
        <v>14717</v>
      </c>
      <c r="AD825" s="7" t="s">
        <v>14718</v>
      </c>
      <c r="AE825" s="7" t="s">
        <v>14719</v>
      </c>
      <c r="AF825" s="7"/>
      <c r="AG825" s="7"/>
      <c r="AH825" s="7"/>
      <c r="AI825" s="7"/>
      <c r="AJ825" s="10"/>
      <c r="AK825" s="7"/>
      <c r="AL825" s="7" t="s">
        <v>14720</v>
      </c>
      <c r="AM825" s="7" t="s">
        <v>14721</v>
      </c>
      <c r="AN825" s="7" t="s">
        <v>14722</v>
      </c>
      <c r="AO825" s="7"/>
      <c r="AP825" s="7" t="s">
        <v>14723</v>
      </c>
      <c r="AQ825" s="7" t="s">
        <v>14724</v>
      </c>
      <c r="AR825" s="7" t="s">
        <v>14725</v>
      </c>
      <c r="AS825" s="7" t="n">
        <v>222199</v>
      </c>
      <c r="AT825" s="7" t="n">
        <v>3029743</v>
      </c>
      <c r="AU825" s="7" t="s">
        <v>14726</v>
      </c>
      <c r="AV825" s="7"/>
      <c r="AW825" s="7"/>
      <c r="AX825" s="7" t="s">
        <v>2766</v>
      </c>
      <c r="AY825" s="7" t="s">
        <v>75</v>
      </c>
      <c r="AZ825" s="7"/>
      <c r="BA825" s="7" t="s">
        <v>76</v>
      </c>
      <c r="BB825" s="7" t="s">
        <v>14727</v>
      </c>
      <c r="BC825" s="7"/>
      <c r="BD825" s="7"/>
      <c r="BE825" s="7"/>
      <c r="BF825" s="7"/>
      <c r="BG825" s="7"/>
      <c r="BH825" s="7"/>
      <c r="BI825" s="7"/>
    </row>
    <row r="826" customFormat="false" ht="14.25" hidden="false" customHeight="true" outlineLevel="0" collapsed="false">
      <c r="A826" s="7" t="s">
        <v>14728</v>
      </c>
      <c r="B826" s="7" t="s">
        <v>14729</v>
      </c>
      <c r="C826" s="7" t="s">
        <v>14730</v>
      </c>
      <c r="D826" s="7" t="s">
        <v>14731</v>
      </c>
      <c r="E826" s="7" t="n">
        <v>2018</v>
      </c>
      <c r="F826" s="8" t="s">
        <v>14732</v>
      </c>
      <c r="G826" s="6" t="s">
        <v>3714</v>
      </c>
      <c r="H826" s="7"/>
      <c r="I826" s="7"/>
      <c r="J826" s="7"/>
      <c r="K826" s="7"/>
      <c r="L826" s="7"/>
      <c r="M826" s="7"/>
      <c r="N826" s="7"/>
      <c r="O826" s="7"/>
      <c r="P826" s="7" t="s">
        <v>304</v>
      </c>
      <c r="Q826" s="7" t="s">
        <v>62</v>
      </c>
      <c r="R826" s="7" t="s">
        <v>14733</v>
      </c>
      <c r="S826" s="7"/>
      <c r="T826" s="7" t="s">
        <v>187</v>
      </c>
      <c r="U826" s="7"/>
      <c r="V826" s="7" t="n">
        <v>8441095</v>
      </c>
      <c r="W826" s="7" t="n">
        <v>271</v>
      </c>
      <c r="X826" s="7" t="n">
        <v>274</v>
      </c>
      <c r="Y826" s="7" t="n">
        <v>3</v>
      </c>
      <c r="Z826" s="7" t="s">
        <v>14734</v>
      </c>
      <c r="AA826" s="9" t="s">
        <v>14735</v>
      </c>
      <c r="AB826" s="7" t="s">
        <v>14736</v>
      </c>
      <c r="AC826" s="7" t="s">
        <v>14737</v>
      </c>
      <c r="AD826" s="7" t="s">
        <v>14738</v>
      </c>
      <c r="AE826" s="7" t="s">
        <v>14739</v>
      </c>
      <c r="AF826" s="7"/>
      <c r="AG826" s="7"/>
      <c r="AH826" s="7"/>
      <c r="AI826" s="7"/>
      <c r="AJ826" s="10"/>
      <c r="AK826" s="7"/>
      <c r="AL826" s="7" t="s">
        <v>14740</v>
      </c>
      <c r="AM826" s="7"/>
      <c r="AN826" s="7" t="s">
        <v>14741</v>
      </c>
      <c r="AO826" s="7" t="s">
        <v>14742</v>
      </c>
      <c r="AP826" s="7" t="s">
        <v>14743</v>
      </c>
      <c r="AQ826" s="7" t="s">
        <v>14744</v>
      </c>
      <c r="AR826" s="7" t="s">
        <v>14745</v>
      </c>
      <c r="AS826" s="7" t="n">
        <v>138966</v>
      </c>
      <c r="AT826" s="7"/>
      <c r="AU826" s="7" t="s">
        <v>14746</v>
      </c>
      <c r="AV826" s="7"/>
      <c r="AW826" s="7"/>
      <c r="AX826" s="7" t="s">
        <v>14747</v>
      </c>
      <c r="AY826" s="7" t="s">
        <v>75</v>
      </c>
      <c r="AZ826" s="7"/>
      <c r="BA826" s="7" t="s">
        <v>76</v>
      </c>
      <c r="BB826" s="7" t="s">
        <v>14748</v>
      </c>
      <c r="BC826" s="7"/>
      <c r="BD826" s="7"/>
      <c r="BE826" s="7"/>
      <c r="BF826" s="7"/>
      <c r="BG826" s="7"/>
      <c r="BH826" s="7"/>
      <c r="BI826" s="7"/>
    </row>
    <row r="827" customFormat="false" ht="14.25" hidden="false" customHeight="true" outlineLevel="0" collapsed="false">
      <c r="A827" s="7" t="s">
        <v>14749</v>
      </c>
      <c r="B827" s="7" t="s">
        <v>14750</v>
      </c>
      <c r="C827" s="7" t="s">
        <v>14751</v>
      </c>
      <c r="D827" s="7" t="s">
        <v>14752</v>
      </c>
      <c r="E827" s="7" t="n">
        <v>2018</v>
      </c>
      <c r="F827" s="8" t="s">
        <v>14753</v>
      </c>
      <c r="G827" s="6" t="s">
        <v>134</v>
      </c>
      <c r="H827" s="7"/>
      <c r="I827" s="7"/>
      <c r="J827" s="7"/>
      <c r="K827" s="7"/>
      <c r="L827" s="7"/>
      <c r="M827" s="7"/>
      <c r="N827" s="7"/>
      <c r="O827" s="7"/>
      <c r="P827" s="7" t="s">
        <v>304</v>
      </c>
      <c r="Q827" s="7" t="s">
        <v>62</v>
      </c>
      <c r="R827" s="7" t="s">
        <v>2751</v>
      </c>
      <c r="S827" s="7" t="s">
        <v>14754</v>
      </c>
      <c r="T827" s="7" t="s">
        <v>13103</v>
      </c>
      <c r="U827" s="7"/>
      <c r="V827" s="7"/>
      <c r="W827" s="7" t="n">
        <v>181</v>
      </c>
      <c r="X827" s="7" t="n">
        <v>192</v>
      </c>
      <c r="Y827" s="7" t="n">
        <v>11</v>
      </c>
      <c r="Z827" s="7" t="s">
        <v>14755</v>
      </c>
      <c r="AA827" s="9" t="s">
        <v>14756</v>
      </c>
      <c r="AB827" s="7" t="s">
        <v>14757</v>
      </c>
      <c r="AC827" s="7" t="s">
        <v>14758</v>
      </c>
      <c r="AD827" s="7" t="s">
        <v>14759</v>
      </c>
      <c r="AE827" s="7" t="s">
        <v>14760</v>
      </c>
      <c r="AF827" s="7"/>
      <c r="AG827" s="7"/>
      <c r="AH827" s="7"/>
      <c r="AI827" s="7"/>
      <c r="AJ827" s="10"/>
      <c r="AK827" s="7"/>
      <c r="AL827" s="7" t="s">
        <v>14761</v>
      </c>
      <c r="AM827" s="7" t="s">
        <v>14762</v>
      </c>
      <c r="AN827" s="7" t="s">
        <v>14763</v>
      </c>
      <c r="AO827" s="7"/>
      <c r="AP827" s="7" t="s">
        <v>14764</v>
      </c>
      <c r="AQ827" s="7" t="s">
        <v>14765</v>
      </c>
      <c r="AR827" s="7" t="s">
        <v>14766</v>
      </c>
      <c r="AS827" s="7" t="n">
        <v>220789</v>
      </c>
      <c r="AT827" s="7" t="n">
        <v>3029743</v>
      </c>
      <c r="AU827" s="7" t="s">
        <v>14767</v>
      </c>
      <c r="AV827" s="7"/>
      <c r="AW827" s="7"/>
      <c r="AX827" s="7" t="s">
        <v>2766</v>
      </c>
      <c r="AY827" s="7" t="s">
        <v>75</v>
      </c>
      <c r="AZ827" s="7"/>
      <c r="BA827" s="7" t="s">
        <v>76</v>
      </c>
      <c r="BB827" s="7" t="s">
        <v>14768</v>
      </c>
      <c r="BC827" s="7"/>
      <c r="BD827" s="7"/>
      <c r="BE827" s="7"/>
      <c r="BF827" s="7"/>
      <c r="BG827" s="7"/>
      <c r="BH827" s="7"/>
      <c r="BI827" s="7"/>
    </row>
    <row r="828" customFormat="false" ht="14.25" hidden="false" customHeight="true" outlineLevel="0" collapsed="false">
      <c r="A828" s="7" t="s">
        <v>14769</v>
      </c>
      <c r="B828" s="7" t="s">
        <v>14770</v>
      </c>
      <c r="C828" s="7" t="s">
        <v>14771</v>
      </c>
      <c r="D828" s="7" t="s">
        <v>14772</v>
      </c>
      <c r="E828" s="7" t="n">
        <v>2018</v>
      </c>
      <c r="F828" s="8" t="s">
        <v>14773</v>
      </c>
      <c r="G828" s="6" t="s">
        <v>3714</v>
      </c>
      <c r="H828" s="7"/>
      <c r="I828" s="7"/>
      <c r="J828" s="7"/>
      <c r="K828" s="7"/>
      <c r="L828" s="7"/>
      <c r="M828" s="7"/>
      <c r="N828" s="7"/>
      <c r="O828" s="7"/>
      <c r="P828" s="7" t="s">
        <v>304</v>
      </c>
      <c r="Q828" s="7" t="s">
        <v>62</v>
      </c>
      <c r="R828" s="7" t="s">
        <v>14774</v>
      </c>
      <c r="S828" s="7"/>
      <c r="T828" s="7" t="s">
        <v>187</v>
      </c>
      <c r="U828" s="7"/>
      <c r="V828" s="7" t="n">
        <v>8776790</v>
      </c>
      <c r="W828" s="7"/>
      <c r="X828" s="7"/>
      <c r="Y828" s="7"/>
      <c r="Z828" s="7" t="s">
        <v>14775</v>
      </c>
      <c r="AA828" s="9" t="s">
        <v>14776</v>
      </c>
      <c r="AB828" s="7" t="s">
        <v>14777</v>
      </c>
      <c r="AC828" s="7" t="s">
        <v>14778</v>
      </c>
      <c r="AD828" s="7" t="s">
        <v>14779</v>
      </c>
      <c r="AE828" s="7" t="s">
        <v>14780</v>
      </c>
      <c r="AF828" s="7"/>
      <c r="AG828" s="7"/>
      <c r="AH828" s="7"/>
      <c r="AI828" s="7"/>
      <c r="AJ828" s="10" t="s">
        <v>14781</v>
      </c>
      <c r="AK828" s="7" t="s">
        <v>14782</v>
      </c>
      <c r="AL828" s="7" t="s">
        <v>14783</v>
      </c>
      <c r="AM828" s="7"/>
      <c r="AN828" s="7"/>
      <c r="AO828" s="7" t="s">
        <v>14784</v>
      </c>
      <c r="AP828" s="7" t="s">
        <v>14785</v>
      </c>
      <c r="AQ828" s="7" t="s">
        <v>14786</v>
      </c>
      <c r="AR828" s="7" t="s">
        <v>14787</v>
      </c>
      <c r="AS828" s="7" t="n">
        <v>150105</v>
      </c>
      <c r="AT828" s="7"/>
      <c r="AU828" s="7" t="s">
        <v>14788</v>
      </c>
      <c r="AV828" s="7"/>
      <c r="AW828" s="7"/>
      <c r="AX828" s="7" t="s">
        <v>14789</v>
      </c>
      <c r="AY828" s="7" t="s">
        <v>75</v>
      </c>
      <c r="AZ828" s="7"/>
      <c r="BA828" s="7" t="s">
        <v>76</v>
      </c>
      <c r="BB828" s="7" t="s">
        <v>14790</v>
      </c>
      <c r="BC828" s="7"/>
      <c r="BD828" s="7"/>
      <c r="BE828" s="7"/>
      <c r="BF828" s="7"/>
      <c r="BG828" s="7"/>
      <c r="BH828" s="7"/>
      <c r="BI828" s="7"/>
    </row>
    <row r="829" customFormat="false" ht="14.25" hidden="false" customHeight="true" outlineLevel="0" collapsed="false">
      <c r="A829" s="7" t="s">
        <v>14791</v>
      </c>
      <c r="B829" s="7" t="s">
        <v>14792</v>
      </c>
      <c r="C829" s="7" t="s">
        <v>14793</v>
      </c>
      <c r="D829" s="7" t="s">
        <v>14794</v>
      </c>
      <c r="E829" s="7" t="n">
        <v>2018</v>
      </c>
      <c r="F829" s="8" t="s">
        <v>14795</v>
      </c>
      <c r="G829" s="6" t="s">
        <v>134</v>
      </c>
      <c r="H829" s="7"/>
      <c r="I829" s="7"/>
      <c r="J829" s="7"/>
      <c r="K829" s="7"/>
      <c r="L829" s="7"/>
      <c r="M829" s="7"/>
      <c r="N829" s="7"/>
      <c r="O829" s="7"/>
      <c r="P829" s="7" t="s">
        <v>304</v>
      </c>
      <c r="Q829" s="7" t="s">
        <v>62</v>
      </c>
      <c r="R829" s="7" t="s">
        <v>3364</v>
      </c>
      <c r="S829" s="7"/>
      <c r="T829" s="7" t="s">
        <v>3365</v>
      </c>
      <c r="U829" s="7"/>
      <c r="V829" s="7" t="s">
        <v>14796</v>
      </c>
      <c r="W829" s="7"/>
      <c r="X829" s="7"/>
      <c r="Y829" s="7"/>
      <c r="Z829" s="7" t="s">
        <v>14797</v>
      </c>
      <c r="AA829" s="9" t="s">
        <v>14798</v>
      </c>
      <c r="AB829" s="7" t="s">
        <v>14799</v>
      </c>
      <c r="AC829" s="7" t="s">
        <v>14800</v>
      </c>
      <c r="AD829" s="7" t="s">
        <v>14801</v>
      </c>
      <c r="AE829" s="7" t="s">
        <v>14802</v>
      </c>
      <c r="AF829" s="7"/>
      <c r="AG829" s="7"/>
      <c r="AH829" s="7"/>
      <c r="AI829" s="7"/>
      <c r="AJ829" s="10" t="s">
        <v>14803</v>
      </c>
      <c r="AK829" s="7" t="s">
        <v>14804</v>
      </c>
      <c r="AL829" s="7" t="s">
        <v>14805</v>
      </c>
      <c r="AM829" s="7"/>
      <c r="AN829" s="7"/>
      <c r="AO829" s="7" t="s">
        <v>14806</v>
      </c>
      <c r="AP829" s="7" t="s">
        <v>14807</v>
      </c>
      <c r="AQ829" s="7" t="s">
        <v>14808</v>
      </c>
      <c r="AR829" s="7" t="s">
        <v>14809</v>
      </c>
      <c r="AS829" s="7" t="n">
        <v>147082</v>
      </c>
      <c r="AT829" s="7"/>
      <c r="AU829" s="7" t="s">
        <v>14810</v>
      </c>
      <c r="AV829" s="7"/>
      <c r="AW829" s="7"/>
      <c r="AX829" s="7" t="s">
        <v>3380</v>
      </c>
      <c r="AY829" s="7" t="s">
        <v>75</v>
      </c>
      <c r="AZ829" s="7"/>
      <c r="BA829" s="7" t="s">
        <v>76</v>
      </c>
      <c r="BB829" s="7" t="s">
        <v>14811</v>
      </c>
      <c r="BC829" s="7"/>
      <c r="BD829" s="7"/>
      <c r="BE829" s="7"/>
      <c r="BF829" s="7"/>
      <c r="BG829" s="7"/>
      <c r="BH829" s="7"/>
      <c r="BI829" s="7"/>
    </row>
    <row r="830" customFormat="false" ht="14.25" hidden="false" customHeight="true" outlineLevel="0" collapsed="false">
      <c r="A830" s="7" t="s">
        <v>14812</v>
      </c>
      <c r="B830" s="7" t="s">
        <v>14813</v>
      </c>
      <c r="C830" s="7" t="s">
        <v>14814</v>
      </c>
      <c r="D830" s="7" t="s">
        <v>14815</v>
      </c>
      <c r="E830" s="7" t="n">
        <v>2018</v>
      </c>
      <c r="F830" s="8" t="s">
        <v>14816</v>
      </c>
      <c r="G830" s="6" t="s">
        <v>3714</v>
      </c>
      <c r="H830" s="7"/>
      <c r="I830" s="7"/>
      <c r="J830" s="7"/>
      <c r="K830" s="7"/>
      <c r="L830" s="7"/>
      <c r="M830" s="7"/>
      <c r="N830" s="7"/>
      <c r="O830" s="7"/>
      <c r="P830" s="7" t="s">
        <v>304</v>
      </c>
      <c r="Q830" s="7" t="s">
        <v>62</v>
      </c>
      <c r="R830" s="7" t="s">
        <v>14817</v>
      </c>
      <c r="S830" s="7" t="n">
        <v>309</v>
      </c>
      <c r="T830" s="7" t="s">
        <v>2494</v>
      </c>
      <c r="U830" s="7"/>
      <c r="V830" s="7"/>
      <c r="W830" s="7" t="n">
        <v>465</v>
      </c>
      <c r="X830" s="7" t="n">
        <v>472</v>
      </c>
      <c r="Y830" s="7" t="n">
        <v>7</v>
      </c>
      <c r="Z830" s="7" t="s">
        <v>14818</v>
      </c>
      <c r="AA830" s="9" t="s">
        <v>14819</v>
      </c>
      <c r="AB830" s="7" t="s">
        <v>14820</v>
      </c>
      <c r="AC830" s="7" t="s">
        <v>14821</v>
      </c>
      <c r="AD830" s="7" t="s">
        <v>14822</v>
      </c>
      <c r="AE830" s="7" t="s">
        <v>14823</v>
      </c>
      <c r="AF830" s="7"/>
      <c r="AG830" s="7"/>
      <c r="AH830" s="7"/>
      <c r="AI830" s="7"/>
      <c r="AJ830" s="10" t="s">
        <v>14824</v>
      </c>
      <c r="AK830" s="7" t="s">
        <v>14825</v>
      </c>
      <c r="AL830" s="7" t="s">
        <v>14826</v>
      </c>
      <c r="AM830" s="7" t="s">
        <v>14827</v>
      </c>
      <c r="AN830" s="7" t="s">
        <v>14828</v>
      </c>
      <c r="AO830" s="7"/>
      <c r="AP830" s="7" t="s">
        <v>14829</v>
      </c>
      <c r="AQ830" s="7" t="s">
        <v>14830</v>
      </c>
      <c r="AR830" s="7" t="s">
        <v>10683</v>
      </c>
      <c r="AS830" s="7" t="n">
        <v>142244</v>
      </c>
      <c r="AT830" s="7" t="n">
        <v>9226389</v>
      </c>
      <c r="AU830" s="7" t="s">
        <v>14831</v>
      </c>
      <c r="AV830" s="7"/>
      <c r="AW830" s="7"/>
      <c r="AX830" s="7" t="s">
        <v>14832</v>
      </c>
      <c r="AY830" s="7" t="s">
        <v>75</v>
      </c>
      <c r="AZ830" s="7"/>
      <c r="BA830" s="7" t="s">
        <v>76</v>
      </c>
      <c r="BB830" s="7" t="s">
        <v>14833</v>
      </c>
      <c r="BC830" s="7"/>
      <c r="BD830" s="7"/>
      <c r="BE830" s="7"/>
      <c r="BF830" s="7"/>
      <c r="BG830" s="7"/>
      <c r="BH830" s="7"/>
      <c r="BI830" s="7"/>
    </row>
    <row r="831" customFormat="false" ht="14.25" hidden="false" customHeight="true" outlineLevel="0" collapsed="false">
      <c r="A831" s="7" t="s">
        <v>14834</v>
      </c>
      <c r="B831" s="7" t="s">
        <v>14835</v>
      </c>
      <c r="C831" s="7" t="s">
        <v>14836</v>
      </c>
      <c r="D831" s="7" t="s">
        <v>14837</v>
      </c>
      <c r="E831" s="7" t="n">
        <v>2018</v>
      </c>
      <c r="F831" s="8" t="s">
        <v>14838</v>
      </c>
      <c r="G831" s="6" t="s">
        <v>1686</v>
      </c>
      <c r="H831" s="7"/>
      <c r="I831" s="7"/>
      <c r="J831" s="7"/>
      <c r="K831" s="7"/>
      <c r="L831" s="7"/>
      <c r="M831" s="7"/>
      <c r="N831" s="7"/>
      <c r="O831" s="7"/>
      <c r="P831" s="7" t="s">
        <v>304</v>
      </c>
      <c r="Q831" s="7" t="s">
        <v>62</v>
      </c>
      <c r="R831" s="7" t="s">
        <v>14839</v>
      </c>
      <c r="S831" s="12" t="n">
        <v>43160</v>
      </c>
      <c r="T831" s="7" t="s">
        <v>14840</v>
      </c>
      <c r="U831" s="7"/>
      <c r="V831" s="7"/>
      <c r="W831" s="7"/>
      <c r="X831" s="7"/>
      <c r="Y831" s="7"/>
      <c r="Z831" s="7"/>
      <c r="AA831" s="9" t="s">
        <v>14841</v>
      </c>
      <c r="AB831" s="7" t="s">
        <v>14842</v>
      </c>
      <c r="AC831" s="7" t="s">
        <v>14843</v>
      </c>
      <c r="AD831" s="7" t="s">
        <v>14844</v>
      </c>
      <c r="AE831" s="7" t="s">
        <v>14845</v>
      </c>
      <c r="AF831" s="7"/>
      <c r="AG831" s="7"/>
      <c r="AH831" s="7"/>
      <c r="AI831" s="7"/>
      <c r="AJ831" s="10" t="s">
        <v>14846</v>
      </c>
      <c r="AK831" s="7" t="s">
        <v>14847</v>
      </c>
      <c r="AL831" s="7" t="s">
        <v>14848</v>
      </c>
      <c r="AM831" s="7"/>
      <c r="AN831" s="7" t="s">
        <v>14849</v>
      </c>
      <c r="AO831" s="7" t="s">
        <v>14850</v>
      </c>
      <c r="AP831" s="7" t="s">
        <v>14851</v>
      </c>
      <c r="AQ831" s="7" t="s">
        <v>14687</v>
      </c>
      <c r="AR831" s="7" t="s">
        <v>3256</v>
      </c>
      <c r="AS831" s="7" t="n">
        <v>135052</v>
      </c>
      <c r="AT831" s="7"/>
      <c r="AU831" s="7" t="s">
        <v>14852</v>
      </c>
      <c r="AV831" s="7"/>
      <c r="AW831" s="7"/>
      <c r="AX831" s="7" t="s">
        <v>14853</v>
      </c>
      <c r="AY831" s="7" t="s">
        <v>75</v>
      </c>
      <c r="AZ831" s="7"/>
      <c r="BA831" s="7" t="s">
        <v>76</v>
      </c>
      <c r="BB831" s="7" t="s">
        <v>14854</v>
      </c>
      <c r="BC831" s="7"/>
      <c r="BD831" s="7"/>
      <c r="BE831" s="7"/>
      <c r="BF831" s="7"/>
      <c r="BG831" s="7"/>
      <c r="BH831" s="7"/>
      <c r="BI831" s="7"/>
    </row>
    <row r="832" customFormat="false" ht="14.25" hidden="false" customHeight="true" outlineLevel="0" collapsed="false">
      <c r="A832" s="7" t="s">
        <v>14855</v>
      </c>
      <c r="B832" s="7" t="s">
        <v>14856</v>
      </c>
      <c r="C832" s="7" t="s">
        <v>14857</v>
      </c>
      <c r="D832" s="7" t="s">
        <v>14858</v>
      </c>
      <c r="E832" s="7" t="n">
        <v>2018</v>
      </c>
      <c r="F832" s="8" t="s">
        <v>14859</v>
      </c>
      <c r="G832" s="6" t="s">
        <v>134</v>
      </c>
      <c r="H832" s="7"/>
      <c r="I832" s="7"/>
      <c r="J832" s="7"/>
      <c r="K832" s="7"/>
      <c r="L832" s="7"/>
      <c r="M832" s="7"/>
      <c r="N832" s="7"/>
      <c r="O832" s="7"/>
      <c r="P832" s="7" t="s">
        <v>304</v>
      </c>
      <c r="Q832" s="7" t="s">
        <v>62</v>
      </c>
      <c r="R832" s="7" t="s">
        <v>2794</v>
      </c>
      <c r="S832" s="7" t="n">
        <v>244</v>
      </c>
      <c r="T832" s="7" t="s">
        <v>13103</v>
      </c>
      <c r="U832" s="7"/>
      <c r="V832" s="7"/>
      <c r="W832" s="7" t="n">
        <v>24</v>
      </c>
      <c r="X832" s="7" t="n">
        <v>33</v>
      </c>
      <c r="Y832" s="7" t="n">
        <v>9</v>
      </c>
      <c r="Z832" s="7" t="s">
        <v>14860</v>
      </c>
      <c r="AA832" s="9" t="s">
        <v>14861</v>
      </c>
      <c r="AB832" s="7" t="s">
        <v>14862</v>
      </c>
      <c r="AC832" s="7" t="s">
        <v>14863</v>
      </c>
      <c r="AD832" s="7" t="s">
        <v>14864</v>
      </c>
      <c r="AE832" s="7" t="s">
        <v>14865</v>
      </c>
      <c r="AF832" s="7"/>
      <c r="AG832" s="7"/>
      <c r="AH832" s="7"/>
      <c r="AI832" s="7"/>
      <c r="AJ832" s="10"/>
      <c r="AK832" s="7"/>
      <c r="AL832" s="7" t="s">
        <v>14866</v>
      </c>
      <c r="AM832" s="7" t="s">
        <v>14867</v>
      </c>
      <c r="AN832" s="7" t="s">
        <v>14868</v>
      </c>
      <c r="AO832" s="7"/>
      <c r="AP832" s="7" t="s">
        <v>14869</v>
      </c>
      <c r="AQ832" s="7" t="s">
        <v>14870</v>
      </c>
      <c r="AR832" s="7" t="s">
        <v>13327</v>
      </c>
      <c r="AS832" s="7" t="n">
        <v>215779</v>
      </c>
      <c r="AT832" s="7" t="n">
        <v>18678211</v>
      </c>
      <c r="AU832" s="7" t="s">
        <v>14871</v>
      </c>
      <c r="AV832" s="7"/>
      <c r="AW832" s="7"/>
      <c r="AX832" s="7" t="s">
        <v>2811</v>
      </c>
      <c r="AY832" s="7" t="s">
        <v>75</v>
      </c>
      <c r="AZ832" s="7"/>
      <c r="BA832" s="7" t="s">
        <v>76</v>
      </c>
      <c r="BB832" s="7" t="s">
        <v>14872</v>
      </c>
      <c r="BC832" s="7"/>
      <c r="BD832" s="7"/>
      <c r="BE832" s="7"/>
      <c r="BF832" s="7"/>
      <c r="BG832" s="7"/>
      <c r="BH832" s="7"/>
      <c r="BI832" s="7"/>
    </row>
    <row r="833" customFormat="false" ht="14.25" hidden="false" customHeight="true" outlineLevel="0" collapsed="false">
      <c r="A833" s="7" t="s">
        <v>14873</v>
      </c>
      <c r="B833" s="7" t="s">
        <v>14874</v>
      </c>
      <c r="C833" s="7" t="s">
        <v>14875</v>
      </c>
      <c r="D833" s="7" t="s">
        <v>14876</v>
      </c>
      <c r="E833" s="7" t="n">
        <v>2018</v>
      </c>
      <c r="F833" s="8" t="s">
        <v>14877</v>
      </c>
      <c r="G833" s="6" t="s">
        <v>134</v>
      </c>
      <c r="H833" s="7"/>
      <c r="I833" s="7"/>
      <c r="J833" s="7"/>
      <c r="K833" s="7"/>
      <c r="L833" s="7"/>
      <c r="M833" s="7"/>
      <c r="N833" s="7"/>
      <c r="O833" s="7"/>
      <c r="P833" s="7" t="s">
        <v>304</v>
      </c>
      <c r="Q833" s="7" t="s">
        <v>62</v>
      </c>
      <c r="R833" s="7" t="s">
        <v>14878</v>
      </c>
      <c r="S833" s="7"/>
      <c r="T833" s="7" t="s">
        <v>187</v>
      </c>
      <c r="U833" s="7"/>
      <c r="V833" s="7" t="n">
        <v>8566549</v>
      </c>
      <c r="W833" s="7" t="n">
        <v>298</v>
      </c>
      <c r="X833" s="7" t="n">
        <v>302</v>
      </c>
      <c r="Y833" s="7" t="n">
        <v>4</v>
      </c>
      <c r="Z833" s="7" t="s">
        <v>14879</v>
      </c>
      <c r="AA833" s="9" t="s">
        <v>14880</v>
      </c>
      <c r="AB833" s="7" t="s">
        <v>14881</v>
      </c>
      <c r="AC833" s="7" t="s">
        <v>14882</v>
      </c>
      <c r="AD833" s="7" t="s">
        <v>14883</v>
      </c>
      <c r="AE833" s="7" t="s">
        <v>14884</v>
      </c>
      <c r="AF833" s="7"/>
      <c r="AG833" s="7"/>
      <c r="AH833" s="7"/>
      <c r="AI833" s="7"/>
      <c r="AJ833" s="10"/>
      <c r="AK833" s="7"/>
      <c r="AL833" s="7" t="s">
        <v>14885</v>
      </c>
      <c r="AM833" s="7"/>
      <c r="AN833" s="7"/>
      <c r="AO833" s="7"/>
      <c r="AP833" s="7" t="s">
        <v>14886</v>
      </c>
      <c r="AQ833" s="7" t="s">
        <v>14887</v>
      </c>
      <c r="AR833" s="7" t="s">
        <v>8507</v>
      </c>
      <c r="AS833" s="7" t="n">
        <v>143560</v>
      </c>
      <c r="AT833" s="7"/>
      <c r="AU833" s="7" t="s">
        <v>14888</v>
      </c>
      <c r="AV833" s="7"/>
      <c r="AW833" s="7"/>
      <c r="AX833" s="7" t="s">
        <v>14889</v>
      </c>
      <c r="AY833" s="7" t="s">
        <v>75</v>
      </c>
      <c r="AZ833" s="7"/>
      <c r="BA833" s="7" t="s">
        <v>76</v>
      </c>
      <c r="BB833" s="7" t="s">
        <v>14890</v>
      </c>
      <c r="BC833" s="7"/>
      <c r="BD833" s="7"/>
      <c r="BE833" s="7"/>
      <c r="BF833" s="7"/>
      <c r="BG833" s="7"/>
      <c r="BH833" s="7"/>
      <c r="BI833" s="7"/>
    </row>
    <row r="834" customFormat="false" ht="14.25" hidden="false" customHeight="true" outlineLevel="0" collapsed="false">
      <c r="A834" s="7" t="s">
        <v>14891</v>
      </c>
      <c r="B834" s="7" t="s">
        <v>14892</v>
      </c>
      <c r="C834" s="7" t="s">
        <v>14893</v>
      </c>
      <c r="D834" s="7" t="s">
        <v>14894</v>
      </c>
      <c r="E834" s="7" t="n">
        <v>2018</v>
      </c>
      <c r="F834" s="8" t="s">
        <v>14895</v>
      </c>
      <c r="G834" s="6" t="s">
        <v>1686</v>
      </c>
      <c r="H834" s="7"/>
      <c r="I834" s="7"/>
      <c r="J834" s="7"/>
      <c r="K834" s="7"/>
      <c r="L834" s="7"/>
      <c r="M834" s="7"/>
      <c r="N834" s="7"/>
      <c r="O834" s="7"/>
      <c r="P834" s="7" t="s">
        <v>304</v>
      </c>
      <c r="Q834" s="7" t="s">
        <v>62</v>
      </c>
      <c r="R834" s="7" t="s">
        <v>14896</v>
      </c>
      <c r="S834" s="7"/>
      <c r="T834" s="7" t="s">
        <v>14897</v>
      </c>
      <c r="U834" s="7"/>
      <c r="V834" s="7"/>
      <c r="W834" s="7" t="n">
        <v>7735</v>
      </c>
      <c r="X834" s="7" t="n">
        <v>7740</v>
      </c>
      <c r="Y834" s="7" t="n">
        <v>5</v>
      </c>
      <c r="Z834" s="7"/>
      <c r="AA834" s="9" t="s">
        <v>14898</v>
      </c>
      <c r="AB834" s="7" t="s">
        <v>14899</v>
      </c>
      <c r="AC834" s="7" t="s">
        <v>14900</v>
      </c>
      <c r="AD834" s="7"/>
      <c r="AE834" s="7" t="s">
        <v>14901</v>
      </c>
      <c r="AF834" s="7"/>
      <c r="AG834" s="7"/>
      <c r="AH834" s="7"/>
      <c r="AI834" s="7"/>
      <c r="AJ834" s="10"/>
      <c r="AK834" s="7"/>
      <c r="AL834" s="7" t="s">
        <v>14902</v>
      </c>
      <c r="AM834" s="7"/>
      <c r="AN834" s="7"/>
      <c r="AO834" s="7" t="s">
        <v>14903</v>
      </c>
      <c r="AP834" s="7" t="s">
        <v>14896</v>
      </c>
      <c r="AQ834" s="7" t="s">
        <v>14904</v>
      </c>
      <c r="AR834" s="7" t="s">
        <v>9039</v>
      </c>
      <c r="AS834" s="7" t="n">
        <v>143510</v>
      </c>
      <c r="AT834" s="7"/>
      <c r="AU834" s="7" t="s">
        <v>14905</v>
      </c>
      <c r="AV834" s="7"/>
      <c r="AW834" s="7"/>
      <c r="AX834" s="7" t="s">
        <v>14906</v>
      </c>
      <c r="AY834" s="7" t="s">
        <v>75</v>
      </c>
      <c r="AZ834" s="7"/>
      <c r="BA834" s="7" t="s">
        <v>76</v>
      </c>
      <c r="BB834" s="7" t="s">
        <v>14907</v>
      </c>
      <c r="BC834" s="7"/>
      <c r="BD834" s="7"/>
      <c r="BE834" s="7"/>
      <c r="BF834" s="7"/>
      <c r="BG834" s="7"/>
      <c r="BH834" s="7"/>
      <c r="BI834" s="7"/>
    </row>
    <row r="835" customFormat="false" ht="14.25" hidden="false" customHeight="true" outlineLevel="0" collapsed="false">
      <c r="A835" s="7" t="s">
        <v>14908</v>
      </c>
      <c r="B835" s="7" t="s">
        <v>14909</v>
      </c>
      <c r="C835" s="7" t="s">
        <v>14910</v>
      </c>
      <c r="D835" s="7" t="s">
        <v>14911</v>
      </c>
      <c r="E835" s="7" t="n">
        <v>2018</v>
      </c>
      <c r="F835" s="8" t="s">
        <v>14912</v>
      </c>
      <c r="G835" s="6" t="s">
        <v>134</v>
      </c>
      <c r="H835" s="7"/>
      <c r="I835" s="7"/>
      <c r="J835" s="7"/>
      <c r="K835" s="7"/>
      <c r="L835" s="7"/>
      <c r="M835" s="7"/>
      <c r="N835" s="7"/>
      <c r="O835" s="7"/>
      <c r="P835" s="7" t="s">
        <v>304</v>
      </c>
      <c r="Q835" s="7" t="s">
        <v>62</v>
      </c>
      <c r="R835" s="7" t="s">
        <v>10148</v>
      </c>
      <c r="S835" s="7" t="n">
        <v>712</v>
      </c>
      <c r="T835" s="7" t="s">
        <v>13103</v>
      </c>
      <c r="U835" s="7"/>
      <c r="V835" s="7"/>
      <c r="W835" s="7" t="n">
        <v>221</v>
      </c>
      <c r="X835" s="7" t="n">
        <v>234</v>
      </c>
      <c r="Y835" s="7" t="n">
        <v>13</v>
      </c>
      <c r="Z835" s="7" t="s">
        <v>14913</v>
      </c>
      <c r="AA835" s="9" t="s">
        <v>14914</v>
      </c>
      <c r="AB835" s="7" t="s">
        <v>14915</v>
      </c>
      <c r="AC835" s="7" t="s">
        <v>14916</v>
      </c>
      <c r="AD835" s="7" t="s">
        <v>14917</v>
      </c>
      <c r="AE835" s="7" t="s">
        <v>14918</v>
      </c>
      <c r="AF835" s="7"/>
      <c r="AG835" s="7"/>
      <c r="AH835" s="7"/>
      <c r="AI835" s="7"/>
      <c r="AJ835" s="10"/>
      <c r="AK835" s="7"/>
      <c r="AL835" s="7" t="s">
        <v>14919</v>
      </c>
      <c r="AM835" s="7" t="s">
        <v>14920</v>
      </c>
      <c r="AN835" s="7" t="s">
        <v>14921</v>
      </c>
      <c r="AO835" s="7"/>
      <c r="AP835" s="7" t="s">
        <v>14922</v>
      </c>
      <c r="AQ835" s="7" t="s">
        <v>14870</v>
      </c>
      <c r="AR835" s="7" t="s">
        <v>5277</v>
      </c>
      <c r="AS835" s="7" t="n">
        <v>216579</v>
      </c>
      <c r="AT835" s="7" t="n">
        <v>21945357</v>
      </c>
      <c r="AU835" s="7" t="s">
        <v>14923</v>
      </c>
      <c r="AV835" s="7"/>
      <c r="AW835" s="7"/>
      <c r="AX835" s="7" t="s">
        <v>10162</v>
      </c>
      <c r="AY835" s="7" t="s">
        <v>75</v>
      </c>
      <c r="AZ835" s="7"/>
      <c r="BA835" s="7" t="s">
        <v>76</v>
      </c>
      <c r="BB835" s="7" t="s">
        <v>14924</v>
      </c>
      <c r="BC835" s="7"/>
      <c r="BD835" s="7"/>
      <c r="BE835" s="7"/>
      <c r="BF835" s="7"/>
      <c r="BG835" s="7"/>
      <c r="BH835" s="7"/>
      <c r="BI835" s="7"/>
    </row>
    <row r="836" customFormat="false" ht="14.25" hidden="false" customHeight="true" outlineLevel="0" collapsed="false">
      <c r="A836" s="7" t="s">
        <v>14925</v>
      </c>
      <c r="B836" s="7" t="s">
        <v>14926</v>
      </c>
      <c r="C836" s="7" t="s">
        <v>14927</v>
      </c>
      <c r="D836" s="7" t="s">
        <v>14928</v>
      </c>
      <c r="E836" s="7" t="n">
        <v>2017</v>
      </c>
      <c r="F836" s="8" t="s">
        <v>14929</v>
      </c>
      <c r="G836" s="6" t="s">
        <v>134</v>
      </c>
      <c r="H836" s="7"/>
      <c r="I836" s="7"/>
      <c r="J836" s="7"/>
      <c r="K836" s="7"/>
      <c r="L836" s="7"/>
      <c r="M836" s="7"/>
      <c r="N836" s="7"/>
      <c r="O836" s="7"/>
      <c r="P836" s="7" t="s">
        <v>61</v>
      </c>
      <c r="Q836" s="7" t="s">
        <v>62</v>
      </c>
      <c r="R836" s="7" t="s">
        <v>14930</v>
      </c>
      <c r="S836" s="7" t="n">
        <v>20</v>
      </c>
      <c r="T836" s="7" t="s">
        <v>14142</v>
      </c>
      <c r="U836" s="7" t="n">
        <v>2</v>
      </c>
      <c r="V836" s="7"/>
      <c r="W836" s="7" t="n">
        <v>355</v>
      </c>
      <c r="X836" s="7" t="n">
        <v>362</v>
      </c>
      <c r="Y836" s="7" t="n">
        <v>7</v>
      </c>
      <c r="Z836" s="7" t="s">
        <v>14931</v>
      </c>
      <c r="AA836" s="9" t="s">
        <v>14932</v>
      </c>
      <c r="AB836" s="7" t="s">
        <v>14933</v>
      </c>
      <c r="AC836" s="7" t="s">
        <v>14934</v>
      </c>
      <c r="AD836" s="7" t="s">
        <v>14935</v>
      </c>
      <c r="AE836" s="7" t="s">
        <v>14936</v>
      </c>
      <c r="AF836" s="7"/>
      <c r="AG836" s="7"/>
      <c r="AH836" s="7"/>
      <c r="AI836" s="7"/>
      <c r="AJ836" s="10"/>
      <c r="AK836" s="7"/>
      <c r="AL836" s="7" t="s">
        <v>14937</v>
      </c>
      <c r="AM836" s="7" t="s">
        <v>14938</v>
      </c>
      <c r="AN836" s="7"/>
      <c r="AO836" s="7"/>
      <c r="AP836" s="7"/>
      <c r="AQ836" s="7"/>
      <c r="AR836" s="7"/>
      <c r="AS836" s="7"/>
      <c r="AT836" s="7" t="n">
        <v>13812416</v>
      </c>
      <c r="AU836" s="7"/>
      <c r="AV836" s="7" t="s">
        <v>14939</v>
      </c>
      <c r="AW836" s="7"/>
      <c r="AX836" s="7" t="s">
        <v>14940</v>
      </c>
      <c r="AY836" s="7" t="s">
        <v>75</v>
      </c>
      <c r="AZ836" s="7"/>
      <c r="BA836" s="7" t="s">
        <v>76</v>
      </c>
      <c r="BB836" s="7" t="s">
        <v>14941</v>
      </c>
      <c r="BC836" s="7"/>
      <c r="BD836" s="7"/>
      <c r="BE836" s="7"/>
      <c r="BF836" s="7"/>
      <c r="BG836" s="7"/>
      <c r="BH836" s="7"/>
      <c r="BI836" s="7"/>
    </row>
    <row r="837" customFormat="false" ht="14.25" hidden="false" customHeight="true" outlineLevel="0" collapsed="false">
      <c r="A837" s="7" t="s">
        <v>14942</v>
      </c>
      <c r="B837" s="7" t="s">
        <v>14943</v>
      </c>
      <c r="C837" s="7" t="s">
        <v>14944</v>
      </c>
      <c r="D837" s="7" t="s">
        <v>14945</v>
      </c>
      <c r="E837" s="7" t="n">
        <v>2017</v>
      </c>
      <c r="F837" s="8" t="s">
        <v>14946</v>
      </c>
      <c r="G837" s="6" t="s">
        <v>290</v>
      </c>
      <c r="H837" s="7"/>
      <c r="I837" s="7"/>
      <c r="J837" s="7"/>
      <c r="K837" s="7"/>
      <c r="L837" s="7"/>
      <c r="M837" s="7"/>
      <c r="N837" s="7"/>
      <c r="O837" s="7"/>
      <c r="P837" s="7" t="s">
        <v>61</v>
      </c>
      <c r="Q837" s="7" t="s">
        <v>62</v>
      </c>
      <c r="R837" s="7" t="s">
        <v>14947</v>
      </c>
      <c r="S837" s="7" t="n">
        <v>435</v>
      </c>
      <c r="T837" s="7" t="s">
        <v>1195</v>
      </c>
      <c r="U837" s="7"/>
      <c r="V837" s="7"/>
      <c r="W837" s="7" t="n">
        <v>116</v>
      </c>
      <c r="X837" s="7" t="n">
        <v>124</v>
      </c>
      <c r="Y837" s="7" t="n">
        <v>8</v>
      </c>
      <c r="Z837" s="7" t="s">
        <v>14948</v>
      </c>
      <c r="AA837" s="9" t="s">
        <v>14949</v>
      </c>
      <c r="AB837" s="7" t="s">
        <v>14950</v>
      </c>
      <c r="AC837" s="7" t="s">
        <v>14951</v>
      </c>
      <c r="AD837" s="7" t="s">
        <v>14952</v>
      </c>
      <c r="AE837" s="7" t="s">
        <v>14953</v>
      </c>
      <c r="AF837" s="7"/>
      <c r="AG837" s="7" t="s">
        <v>14954</v>
      </c>
      <c r="AH837" s="7"/>
      <c r="AI837" s="7"/>
      <c r="AJ837" s="10"/>
      <c r="AK837" s="7"/>
      <c r="AL837" s="7" t="s">
        <v>14955</v>
      </c>
      <c r="AM837" s="7" t="s">
        <v>14956</v>
      </c>
      <c r="AN837" s="7"/>
      <c r="AO837" s="7"/>
      <c r="AP837" s="7"/>
      <c r="AQ837" s="7"/>
      <c r="AR837" s="7"/>
      <c r="AS837" s="7"/>
      <c r="AT837" s="7" t="n">
        <v>225193</v>
      </c>
      <c r="AU837" s="7"/>
      <c r="AV837" s="7" t="s">
        <v>14957</v>
      </c>
      <c r="AW837" s="7" t="n">
        <v>28927812</v>
      </c>
      <c r="AX837" s="7" t="s">
        <v>14958</v>
      </c>
      <c r="AY837" s="7" t="s">
        <v>75</v>
      </c>
      <c r="AZ837" s="7"/>
      <c r="BA837" s="7" t="s">
        <v>76</v>
      </c>
      <c r="BB837" s="7" t="s">
        <v>14959</v>
      </c>
      <c r="BC837" s="7"/>
      <c r="BD837" s="7"/>
      <c r="BE837" s="7"/>
      <c r="BF837" s="7"/>
      <c r="BG837" s="7"/>
      <c r="BH837" s="7"/>
      <c r="BI837" s="7"/>
    </row>
    <row r="838" customFormat="false" ht="14.25" hidden="false" customHeight="true" outlineLevel="0" collapsed="false">
      <c r="A838" s="7" t="s">
        <v>14960</v>
      </c>
      <c r="B838" s="7" t="s">
        <v>14961</v>
      </c>
      <c r="C838" s="7" t="s">
        <v>14962</v>
      </c>
      <c r="D838" s="7" t="s">
        <v>14963</v>
      </c>
      <c r="E838" s="7" t="n">
        <v>2017</v>
      </c>
      <c r="F838" s="8" t="s">
        <v>14964</v>
      </c>
      <c r="G838" s="6" t="s">
        <v>134</v>
      </c>
      <c r="H838" s="7"/>
      <c r="I838" s="7"/>
      <c r="J838" s="7"/>
      <c r="K838" s="7"/>
      <c r="L838" s="7"/>
      <c r="M838" s="7"/>
      <c r="N838" s="7"/>
      <c r="O838" s="7"/>
      <c r="P838" s="7" t="s">
        <v>61</v>
      </c>
      <c r="Q838" s="7" t="s">
        <v>62</v>
      </c>
      <c r="R838" s="7" t="s">
        <v>14965</v>
      </c>
      <c r="S838" s="7" t="n">
        <v>17</v>
      </c>
      <c r="T838" s="7" t="s">
        <v>14966</v>
      </c>
      <c r="U838" s="7" t="n">
        <v>3</v>
      </c>
      <c r="V838" s="7"/>
      <c r="W838" s="7" t="n">
        <v>64</v>
      </c>
      <c r="X838" s="7" t="n">
        <v>71</v>
      </c>
      <c r="Y838" s="7" t="n">
        <v>7</v>
      </c>
      <c r="Z838" s="7"/>
      <c r="AA838" s="9" t="s">
        <v>14967</v>
      </c>
      <c r="AB838" s="7" t="s">
        <v>14968</v>
      </c>
      <c r="AC838" s="7" t="s">
        <v>14969</v>
      </c>
      <c r="AD838" s="7" t="s">
        <v>14970</v>
      </c>
      <c r="AE838" s="7"/>
      <c r="AF838" s="7"/>
      <c r="AG838" s="7"/>
      <c r="AH838" s="7"/>
      <c r="AI838" s="7"/>
      <c r="AJ838" s="10"/>
      <c r="AK838" s="7"/>
      <c r="AL838" s="7" t="s">
        <v>14971</v>
      </c>
      <c r="AM838" s="7"/>
      <c r="AN838" s="7"/>
      <c r="AO838" s="7"/>
      <c r="AP838" s="7"/>
      <c r="AQ838" s="7"/>
      <c r="AR838" s="7"/>
      <c r="AS838" s="7"/>
      <c r="AT838" s="7" t="n">
        <v>22272771</v>
      </c>
      <c r="AU838" s="7"/>
      <c r="AV838" s="7"/>
      <c r="AW838" s="7"/>
      <c r="AX838" s="7" t="s">
        <v>14972</v>
      </c>
      <c r="AY838" s="7" t="s">
        <v>75</v>
      </c>
      <c r="AZ838" s="7"/>
      <c r="BA838" s="7" t="s">
        <v>76</v>
      </c>
      <c r="BB838" s="7" t="s">
        <v>14973</v>
      </c>
      <c r="BC838" s="7"/>
      <c r="BD838" s="7"/>
      <c r="BE838" s="7"/>
      <c r="BF838" s="7"/>
      <c r="BG838" s="7"/>
      <c r="BH838" s="7"/>
      <c r="BI838" s="7"/>
    </row>
    <row r="839" customFormat="false" ht="14.25" hidden="false" customHeight="true" outlineLevel="0" collapsed="false">
      <c r="A839" s="7" t="s">
        <v>14974</v>
      </c>
      <c r="B839" s="7" t="s">
        <v>14975</v>
      </c>
      <c r="C839" s="7" t="s">
        <v>14910</v>
      </c>
      <c r="D839" s="7" t="s">
        <v>14976</v>
      </c>
      <c r="E839" s="7" t="n">
        <v>2017</v>
      </c>
      <c r="F839" s="8" t="s">
        <v>14977</v>
      </c>
      <c r="G839" s="6" t="s">
        <v>134</v>
      </c>
      <c r="H839" s="7"/>
      <c r="I839" s="7"/>
      <c r="J839" s="7"/>
      <c r="K839" s="7"/>
      <c r="L839" s="7"/>
      <c r="M839" s="7"/>
      <c r="N839" s="7"/>
      <c r="O839" s="7"/>
      <c r="P839" s="7" t="s">
        <v>61</v>
      </c>
      <c r="Q839" s="7" t="s">
        <v>62</v>
      </c>
      <c r="R839" s="7" t="s">
        <v>14978</v>
      </c>
      <c r="S839" s="7" t="n">
        <v>12</v>
      </c>
      <c r="T839" s="7" t="s">
        <v>14979</v>
      </c>
      <c r="U839" s="7" t="n">
        <v>24</v>
      </c>
      <c r="V839" s="7"/>
      <c r="W839" s="7" t="n">
        <v>15923</v>
      </c>
      <c r="X839" s="7" t="n">
        <v>15934</v>
      </c>
      <c r="Y839" s="7" t="n">
        <v>11</v>
      </c>
      <c r="Z839" s="7"/>
      <c r="AA839" s="9" t="s">
        <v>14980</v>
      </c>
      <c r="AB839" s="7" t="s">
        <v>14981</v>
      </c>
      <c r="AC839" s="7" t="s">
        <v>14982</v>
      </c>
      <c r="AD839" s="7" t="s">
        <v>14983</v>
      </c>
      <c r="AE839" s="7"/>
      <c r="AF839" s="7"/>
      <c r="AG839" s="7"/>
      <c r="AH839" s="7"/>
      <c r="AI839" s="7"/>
      <c r="AJ839" s="10"/>
      <c r="AK839" s="7"/>
      <c r="AL839" s="7" t="s">
        <v>14984</v>
      </c>
      <c r="AM839" s="7"/>
      <c r="AN839" s="7"/>
      <c r="AO839" s="7"/>
      <c r="AP839" s="7"/>
      <c r="AQ839" s="7"/>
      <c r="AR839" s="7"/>
      <c r="AS839" s="7"/>
      <c r="AT839" s="7" t="n">
        <v>9734562</v>
      </c>
      <c r="AU839" s="7"/>
      <c r="AV839" s="7"/>
      <c r="AW839" s="7"/>
      <c r="AX839" s="7" t="s">
        <v>14985</v>
      </c>
      <c r="AY839" s="7" t="s">
        <v>75</v>
      </c>
      <c r="AZ839" s="7"/>
      <c r="BA839" s="7" t="s">
        <v>76</v>
      </c>
      <c r="BB839" s="7" t="s">
        <v>14986</v>
      </c>
      <c r="BC839" s="7"/>
      <c r="BD839" s="7"/>
      <c r="BE839" s="7"/>
      <c r="BF839" s="7"/>
      <c r="BG839" s="7"/>
      <c r="BH839" s="7"/>
      <c r="BI839" s="7"/>
    </row>
    <row r="840" customFormat="false" ht="14.25" hidden="false" customHeight="true" outlineLevel="0" collapsed="false">
      <c r="A840" s="7" t="s">
        <v>14987</v>
      </c>
      <c r="B840" s="7" t="s">
        <v>14988</v>
      </c>
      <c r="C840" s="7" t="s">
        <v>14989</v>
      </c>
      <c r="D840" s="7" t="s">
        <v>14990</v>
      </c>
      <c r="E840" s="7" t="n">
        <v>2017</v>
      </c>
      <c r="F840" s="8" t="s">
        <v>14991</v>
      </c>
      <c r="G840" s="6" t="s">
        <v>134</v>
      </c>
      <c r="H840" s="7"/>
      <c r="I840" s="7"/>
      <c r="J840" s="7"/>
      <c r="K840" s="7"/>
      <c r="L840" s="7"/>
      <c r="M840" s="7"/>
      <c r="N840" s="7"/>
      <c r="O840" s="7"/>
      <c r="P840" s="7" t="s">
        <v>61</v>
      </c>
      <c r="Q840" s="7" t="s">
        <v>62</v>
      </c>
      <c r="R840" s="7" t="s">
        <v>14992</v>
      </c>
      <c r="S840" s="7" t="n">
        <v>9</v>
      </c>
      <c r="T840" s="7" t="s">
        <v>7874</v>
      </c>
      <c r="U840" s="7" t="n">
        <v>41</v>
      </c>
      <c r="V840" s="7"/>
      <c r="W840" s="7" t="n">
        <v>5943</v>
      </c>
      <c r="X840" s="7" t="n">
        <v>5951</v>
      </c>
      <c r="Y840" s="7" t="n">
        <v>8</v>
      </c>
      <c r="Z840" s="7" t="s">
        <v>14993</v>
      </c>
      <c r="AA840" s="9" t="s">
        <v>14994</v>
      </c>
      <c r="AB840" s="7" t="s">
        <v>14995</v>
      </c>
      <c r="AC840" s="7" t="s">
        <v>14996</v>
      </c>
      <c r="AD840" s="7"/>
      <c r="AE840" s="7" t="s">
        <v>14997</v>
      </c>
      <c r="AF840" s="7"/>
      <c r="AG840" s="7"/>
      <c r="AH840" s="7"/>
      <c r="AI840" s="7"/>
      <c r="AJ840" s="10" t="s">
        <v>14998</v>
      </c>
      <c r="AK840" s="7" t="s">
        <v>14999</v>
      </c>
      <c r="AL840" s="7" t="s">
        <v>15000</v>
      </c>
      <c r="AM840" s="7" t="s">
        <v>15001</v>
      </c>
      <c r="AN840" s="7"/>
      <c r="AO840" s="7"/>
      <c r="AP840" s="7"/>
      <c r="AQ840" s="7"/>
      <c r="AR840" s="7"/>
      <c r="AS840" s="7"/>
      <c r="AT840" s="7" t="n">
        <v>17599660</v>
      </c>
      <c r="AU840" s="7"/>
      <c r="AV840" s="7"/>
      <c r="AW840" s="7"/>
      <c r="AX840" s="7" t="s">
        <v>15002</v>
      </c>
      <c r="AY840" s="7" t="s">
        <v>75</v>
      </c>
      <c r="AZ840" s="7"/>
      <c r="BA840" s="7" t="s">
        <v>76</v>
      </c>
      <c r="BB840" s="7" t="s">
        <v>15003</v>
      </c>
      <c r="BC840" s="7"/>
      <c r="BD840" s="7"/>
      <c r="BE840" s="7"/>
      <c r="BF840" s="7"/>
      <c r="BG840" s="7"/>
      <c r="BH840" s="7"/>
      <c r="BI840" s="7"/>
    </row>
    <row r="841" customFormat="false" ht="14.25" hidden="false" customHeight="true" outlineLevel="0" collapsed="false">
      <c r="A841" s="7" t="s">
        <v>15004</v>
      </c>
      <c r="B841" s="7" t="s">
        <v>15005</v>
      </c>
      <c r="C841" s="7" t="s">
        <v>15006</v>
      </c>
      <c r="D841" s="7" t="s">
        <v>15007</v>
      </c>
      <c r="E841" s="7" t="n">
        <v>2017</v>
      </c>
      <c r="F841" s="8" t="s">
        <v>15008</v>
      </c>
      <c r="G841" s="6" t="s">
        <v>349</v>
      </c>
      <c r="H841" s="7"/>
      <c r="I841" s="7"/>
      <c r="J841" s="7"/>
      <c r="K841" s="7"/>
      <c r="L841" s="7"/>
      <c r="M841" s="7"/>
      <c r="N841" s="7"/>
      <c r="O841" s="7"/>
      <c r="P841" s="7" t="s">
        <v>61</v>
      </c>
      <c r="Q841" s="7" t="s">
        <v>62</v>
      </c>
      <c r="R841" s="7" t="s">
        <v>499</v>
      </c>
      <c r="S841" s="7" t="n">
        <v>13</v>
      </c>
      <c r="T841" s="7" t="s">
        <v>500</v>
      </c>
      <c r="U841" s="7" t="n">
        <v>10</v>
      </c>
      <c r="V841" s="7" t="s">
        <v>15009</v>
      </c>
      <c r="W841" s="7"/>
      <c r="X841" s="7"/>
      <c r="Y841" s="7"/>
      <c r="Z841" s="7" t="s">
        <v>15010</v>
      </c>
      <c r="AA841" s="9" t="s">
        <v>15011</v>
      </c>
      <c r="AB841" s="7" t="s">
        <v>15012</v>
      </c>
      <c r="AC841" s="7" t="s">
        <v>15013</v>
      </c>
      <c r="AD841" s="7"/>
      <c r="AE841" s="7" t="s">
        <v>15014</v>
      </c>
      <c r="AF841" s="7"/>
      <c r="AG841" s="7" t="s">
        <v>15015</v>
      </c>
      <c r="AH841" s="7"/>
      <c r="AI841" s="7"/>
      <c r="AJ841" s="10" t="s">
        <v>15016</v>
      </c>
      <c r="AK841" s="7"/>
      <c r="AL841" s="7" t="s">
        <v>15017</v>
      </c>
      <c r="AM841" s="7" t="s">
        <v>15018</v>
      </c>
      <c r="AN841" s="7"/>
      <c r="AO841" s="7"/>
      <c r="AP841" s="7"/>
      <c r="AQ841" s="7"/>
      <c r="AR841" s="7"/>
      <c r="AS841" s="7"/>
      <c r="AT841" s="7" t="s">
        <v>510</v>
      </c>
      <c r="AU841" s="7"/>
      <c r="AV841" s="7"/>
      <c r="AW841" s="7" t="n">
        <v>29065113</v>
      </c>
      <c r="AX841" s="7" t="s">
        <v>511</v>
      </c>
      <c r="AY841" s="7" t="s">
        <v>75</v>
      </c>
      <c r="AZ841" s="7" t="s">
        <v>107</v>
      </c>
      <c r="BA841" s="7" t="s">
        <v>76</v>
      </c>
      <c r="BB841" s="7" t="s">
        <v>15019</v>
      </c>
      <c r="BC841" s="7"/>
      <c r="BD841" s="7"/>
      <c r="BE841" s="7"/>
      <c r="BF841" s="7"/>
      <c r="BG841" s="7"/>
      <c r="BH841" s="7"/>
      <c r="BI841" s="7"/>
    </row>
    <row r="842" customFormat="false" ht="14.25" hidden="false" customHeight="true" outlineLevel="0" collapsed="false">
      <c r="A842" s="7" t="s">
        <v>15020</v>
      </c>
      <c r="B842" s="7" t="s">
        <v>15021</v>
      </c>
      <c r="C842" s="7" t="s">
        <v>15022</v>
      </c>
      <c r="D842" s="7" t="s">
        <v>15023</v>
      </c>
      <c r="E842" s="7" t="n">
        <v>2017</v>
      </c>
      <c r="F842" s="8" t="s">
        <v>15024</v>
      </c>
      <c r="G842" s="6" t="s">
        <v>134</v>
      </c>
      <c r="H842" s="7"/>
      <c r="I842" s="7"/>
      <c r="J842" s="7"/>
      <c r="K842" s="7"/>
      <c r="L842" s="7"/>
      <c r="M842" s="7"/>
      <c r="N842" s="7"/>
      <c r="O842" s="7"/>
      <c r="P842" s="7" t="s">
        <v>61</v>
      </c>
      <c r="Q842" s="7" t="s">
        <v>62</v>
      </c>
      <c r="R842" s="7" t="s">
        <v>518</v>
      </c>
      <c r="S842" s="7" t="n">
        <v>95</v>
      </c>
      <c r="T842" s="7" t="s">
        <v>15025</v>
      </c>
      <c r="U842" s="7" t="n">
        <v>3</v>
      </c>
      <c r="V842" s="7"/>
      <c r="W842" s="7" t="n">
        <v>700</v>
      </c>
      <c r="X842" s="7" t="n">
        <v>710</v>
      </c>
      <c r="Y842" s="7" t="n">
        <v>10</v>
      </c>
      <c r="Z842" s="7"/>
      <c r="AA842" s="9" t="s">
        <v>15026</v>
      </c>
      <c r="AB842" s="7" t="s">
        <v>15027</v>
      </c>
      <c r="AC842" s="7" t="s">
        <v>15028</v>
      </c>
      <c r="AD842" s="7" t="s">
        <v>15029</v>
      </c>
      <c r="AE842" s="7"/>
      <c r="AF842" s="7"/>
      <c r="AG842" s="7"/>
      <c r="AH842" s="7"/>
      <c r="AI842" s="7"/>
      <c r="AJ842" s="10"/>
      <c r="AK842" s="7"/>
      <c r="AL842" s="7" t="s">
        <v>15030</v>
      </c>
      <c r="AM842" s="7"/>
      <c r="AN842" s="7"/>
      <c r="AO842" s="7"/>
      <c r="AP842" s="7"/>
      <c r="AQ842" s="7"/>
      <c r="AR842" s="7"/>
      <c r="AS842" s="7"/>
      <c r="AT842" s="7" t="n">
        <v>19928645</v>
      </c>
      <c r="AU842" s="7"/>
      <c r="AV842" s="7"/>
      <c r="AW842" s="7"/>
      <c r="AX842" s="7" t="s">
        <v>525</v>
      </c>
      <c r="AY842" s="7" t="s">
        <v>75</v>
      </c>
      <c r="AZ842" s="7"/>
      <c r="BA842" s="7" t="s">
        <v>76</v>
      </c>
      <c r="BB842" s="7" t="s">
        <v>15031</v>
      </c>
      <c r="BC842" s="7"/>
      <c r="BD842" s="7"/>
      <c r="BE842" s="7"/>
      <c r="BF842" s="7"/>
      <c r="BG842" s="7"/>
      <c r="BH842" s="7"/>
      <c r="BI842" s="7"/>
    </row>
    <row r="843" customFormat="false" ht="14.25" hidden="false" customHeight="true" outlineLevel="0" collapsed="false">
      <c r="A843" s="7" t="s">
        <v>15032</v>
      </c>
      <c r="B843" s="7" t="s">
        <v>15033</v>
      </c>
      <c r="C843" s="7" t="s">
        <v>15034</v>
      </c>
      <c r="D843" s="7" t="s">
        <v>15035</v>
      </c>
      <c r="E843" s="7" t="n">
        <v>2017</v>
      </c>
      <c r="F843" s="8" t="s">
        <v>15036</v>
      </c>
      <c r="G843" s="6" t="s">
        <v>134</v>
      </c>
      <c r="H843" s="7"/>
      <c r="I843" s="7"/>
      <c r="J843" s="7"/>
      <c r="K843" s="7"/>
      <c r="L843" s="7"/>
      <c r="M843" s="7"/>
      <c r="N843" s="7"/>
      <c r="O843" s="7"/>
      <c r="P843" s="7" t="s">
        <v>61</v>
      </c>
      <c r="Q843" s="7" t="s">
        <v>62</v>
      </c>
      <c r="R843" s="7" t="s">
        <v>15037</v>
      </c>
      <c r="S843" s="7" t="n">
        <v>22</v>
      </c>
      <c r="T843" s="7" t="s">
        <v>12890</v>
      </c>
      <c r="U843" s="7" t="n">
        <v>5</v>
      </c>
      <c r="V843" s="7"/>
      <c r="W843" s="7" t="n">
        <v>594</v>
      </c>
      <c r="X843" s="7" t="n">
        <v>603</v>
      </c>
      <c r="Y843" s="7" t="n">
        <v>9</v>
      </c>
      <c r="Z843" s="7" t="s">
        <v>15038</v>
      </c>
      <c r="AA843" s="9" t="s">
        <v>15039</v>
      </c>
      <c r="AB843" s="7" t="s">
        <v>15040</v>
      </c>
      <c r="AC843" s="7" t="s">
        <v>15041</v>
      </c>
      <c r="AD843" s="7" t="s">
        <v>15042</v>
      </c>
      <c r="AE843" s="7" t="s">
        <v>15043</v>
      </c>
      <c r="AF843" s="7"/>
      <c r="AG843" s="7" t="s">
        <v>15044</v>
      </c>
      <c r="AH843" s="7"/>
      <c r="AI843" s="7"/>
      <c r="AJ843" s="10" t="s">
        <v>15045</v>
      </c>
      <c r="AK843" s="7" t="s">
        <v>15046</v>
      </c>
      <c r="AL843" s="7" t="s">
        <v>15047</v>
      </c>
      <c r="AM843" s="7" t="s">
        <v>15048</v>
      </c>
      <c r="AN843" s="7"/>
      <c r="AO843" s="7"/>
      <c r="AP843" s="7"/>
      <c r="AQ843" s="7"/>
      <c r="AR843" s="7"/>
      <c r="AS843" s="7"/>
      <c r="AT843" s="7" t="n">
        <v>13602276</v>
      </c>
      <c r="AU843" s="7"/>
      <c r="AV843" s="7" t="s">
        <v>15049</v>
      </c>
      <c r="AW843" s="7" t="n">
        <v>28214373</v>
      </c>
      <c r="AX843" s="7" t="s">
        <v>15050</v>
      </c>
      <c r="AY843" s="7" t="s">
        <v>75</v>
      </c>
      <c r="AZ843" s="7" t="s">
        <v>4371</v>
      </c>
      <c r="BA843" s="7" t="s">
        <v>76</v>
      </c>
      <c r="BB843" s="7" t="s">
        <v>15051</v>
      </c>
      <c r="BC843" s="7"/>
      <c r="BD843" s="7"/>
      <c r="BE843" s="7"/>
      <c r="BF843" s="7"/>
      <c r="BG843" s="7"/>
      <c r="BH843" s="7"/>
      <c r="BI843" s="7"/>
    </row>
    <row r="844" customFormat="false" ht="14.25" hidden="false" customHeight="true" outlineLevel="0" collapsed="false">
      <c r="A844" s="7" t="s">
        <v>15052</v>
      </c>
      <c r="B844" s="7" t="s">
        <v>15053</v>
      </c>
      <c r="C844" s="7" t="s">
        <v>15054</v>
      </c>
      <c r="D844" s="7" t="s">
        <v>15055</v>
      </c>
      <c r="E844" s="7" t="n">
        <v>2017</v>
      </c>
      <c r="F844" s="8" t="s">
        <v>15056</v>
      </c>
      <c r="G844" s="6" t="s">
        <v>134</v>
      </c>
      <c r="H844" s="7"/>
      <c r="I844" s="7"/>
      <c r="J844" s="7"/>
      <c r="K844" s="7"/>
      <c r="L844" s="7"/>
      <c r="M844" s="7"/>
      <c r="N844" s="7"/>
      <c r="O844" s="7"/>
      <c r="P844" s="7" t="s">
        <v>61</v>
      </c>
      <c r="Q844" s="7" t="s">
        <v>62</v>
      </c>
      <c r="R844" s="7" t="s">
        <v>15057</v>
      </c>
      <c r="S844" s="7" t="n">
        <v>7</v>
      </c>
      <c r="T844" s="7" t="s">
        <v>15058</v>
      </c>
      <c r="U844" s="7" t="n">
        <v>4</v>
      </c>
      <c r="V844" s="7"/>
      <c r="W844" s="7" t="n">
        <v>211</v>
      </c>
      <c r="X844" s="7" t="n">
        <v>219</v>
      </c>
      <c r="Y844" s="7" t="n">
        <v>8</v>
      </c>
      <c r="Z844" s="7" t="s">
        <v>15059</v>
      </c>
      <c r="AA844" s="9" t="s">
        <v>15060</v>
      </c>
      <c r="AB844" s="7" t="s">
        <v>15061</v>
      </c>
      <c r="AC844" s="7" t="s">
        <v>15062</v>
      </c>
      <c r="AD844" s="7" t="s">
        <v>15063</v>
      </c>
      <c r="AE844" s="7" t="s">
        <v>15064</v>
      </c>
      <c r="AF844" s="7"/>
      <c r="AG844" s="7" t="s">
        <v>15065</v>
      </c>
      <c r="AH844" s="7"/>
      <c r="AI844" s="7"/>
      <c r="AJ844" s="10"/>
      <c r="AK844" s="7"/>
      <c r="AL844" s="7" t="s">
        <v>15066</v>
      </c>
      <c r="AM844" s="7" t="s">
        <v>15067</v>
      </c>
      <c r="AN844" s="7"/>
      <c r="AO844" s="7"/>
      <c r="AP844" s="7"/>
      <c r="AQ844" s="7"/>
      <c r="AR844" s="7"/>
      <c r="AS844" s="7"/>
      <c r="AT844" s="7" t="n">
        <v>22221808</v>
      </c>
      <c r="AU844" s="7"/>
      <c r="AV844" s="7"/>
      <c r="AW844" s="7"/>
      <c r="AX844" s="7" t="s">
        <v>15068</v>
      </c>
      <c r="AY844" s="7" t="s">
        <v>75</v>
      </c>
      <c r="AZ844" s="7" t="s">
        <v>4371</v>
      </c>
      <c r="BA844" s="7" t="s">
        <v>76</v>
      </c>
      <c r="BB844" s="7" t="s">
        <v>15069</v>
      </c>
      <c r="BC844" s="7"/>
      <c r="BD844" s="7"/>
      <c r="BE844" s="7"/>
      <c r="BF844" s="7"/>
      <c r="BG844" s="7"/>
      <c r="BH844" s="7"/>
      <c r="BI844" s="7"/>
    </row>
    <row r="845" customFormat="false" ht="14.25" hidden="false" customHeight="true" outlineLevel="0" collapsed="false">
      <c r="A845" s="7" t="s">
        <v>15070</v>
      </c>
      <c r="B845" s="7" t="s">
        <v>15071</v>
      </c>
      <c r="C845" s="7" t="s">
        <v>15072</v>
      </c>
      <c r="D845" s="7" t="s">
        <v>15073</v>
      </c>
      <c r="E845" s="7" t="n">
        <v>2017</v>
      </c>
      <c r="F845" s="8" t="s">
        <v>15074</v>
      </c>
      <c r="G845" s="6" t="s">
        <v>134</v>
      </c>
      <c r="H845" s="7"/>
      <c r="I845" s="7"/>
      <c r="J845" s="7"/>
      <c r="K845" s="7"/>
      <c r="L845" s="7"/>
      <c r="M845" s="7"/>
      <c r="N845" s="7"/>
      <c r="O845" s="7"/>
      <c r="P845" s="7" t="s">
        <v>61</v>
      </c>
      <c r="Q845" s="7" t="s">
        <v>62</v>
      </c>
      <c r="R845" s="7" t="s">
        <v>15075</v>
      </c>
      <c r="S845" s="7" t="n">
        <v>18</v>
      </c>
      <c r="T845" s="7" t="s">
        <v>15076</v>
      </c>
      <c r="U845" s="7" t="n">
        <v>5</v>
      </c>
      <c r="V845" s="7"/>
      <c r="W845" s="7" t="n">
        <v>393</v>
      </c>
      <c r="X845" s="7" t="n">
        <v>401</v>
      </c>
      <c r="Y845" s="7" t="n">
        <v>8</v>
      </c>
      <c r="Z845" s="7" t="s">
        <v>15077</v>
      </c>
      <c r="AA845" s="9" t="s">
        <v>15078</v>
      </c>
      <c r="AB845" s="7" t="s">
        <v>15079</v>
      </c>
      <c r="AC845" s="7" t="s">
        <v>15080</v>
      </c>
      <c r="AD845" s="7" t="s">
        <v>15081</v>
      </c>
      <c r="AE845" s="7" t="s">
        <v>15082</v>
      </c>
      <c r="AF845" s="7"/>
      <c r="AG845" s="7" t="s">
        <v>8024</v>
      </c>
      <c r="AH845" s="7"/>
      <c r="AI845" s="7"/>
      <c r="AJ845" s="10"/>
      <c r="AK845" s="7"/>
      <c r="AL845" s="7" t="s">
        <v>15083</v>
      </c>
      <c r="AM845" s="7" t="s">
        <v>15084</v>
      </c>
      <c r="AN845" s="7"/>
      <c r="AO845" s="7"/>
      <c r="AP845" s="7"/>
      <c r="AQ845" s="7"/>
      <c r="AR845" s="7"/>
      <c r="AS845" s="7"/>
      <c r="AT845" s="7" t="n">
        <v>16731581</v>
      </c>
      <c r="AU845" s="7"/>
      <c r="AV845" s="7"/>
      <c r="AW845" s="7" t="n">
        <v>28471111</v>
      </c>
      <c r="AX845" s="7" t="s">
        <v>15085</v>
      </c>
      <c r="AY845" s="7" t="s">
        <v>75</v>
      </c>
      <c r="AZ845" s="7" t="s">
        <v>409</v>
      </c>
      <c r="BA845" s="7" t="s">
        <v>76</v>
      </c>
      <c r="BB845" s="7" t="s">
        <v>15086</v>
      </c>
      <c r="BC845" s="7"/>
      <c r="BD845" s="7"/>
      <c r="BE845" s="7"/>
      <c r="BF845" s="7"/>
      <c r="BG845" s="7"/>
      <c r="BH845" s="7"/>
      <c r="BI845" s="7"/>
    </row>
    <row r="846" customFormat="false" ht="14.25" hidden="false" customHeight="true" outlineLevel="0" collapsed="false">
      <c r="A846" s="7" t="s">
        <v>15087</v>
      </c>
      <c r="B846" s="7" t="s">
        <v>15088</v>
      </c>
      <c r="C846" s="7" t="s">
        <v>15089</v>
      </c>
      <c r="D846" s="7" t="s">
        <v>15090</v>
      </c>
      <c r="E846" s="7" t="n">
        <v>2017</v>
      </c>
      <c r="F846" s="8" t="s">
        <v>15091</v>
      </c>
      <c r="G846" s="6" t="s">
        <v>349</v>
      </c>
      <c r="H846" s="7"/>
      <c r="I846" s="7"/>
      <c r="J846" s="7"/>
      <c r="K846" s="7"/>
      <c r="L846" s="7"/>
      <c r="M846" s="7"/>
      <c r="N846" s="7"/>
      <c r="O846" s="7"/>
      <c r="P846" s="7" t="s">
        <v>61</v>
      </c>
      <c r="Q846" s="7" t="s">
        <v>62</v>
      </c>
      <c r="R846" s="7" t="s">
        <v>15057</v>
      </c>
      <c r="S846" s="7" t="n">
        <v>7</v>
      </c>
      <c r="T846" s="7" t="s">
        <v>15058</v>
      </c>
      <c r="U846" s="7" t="n">
        <v>5</v>
      </c>
      <c r="V846" s="7"/>
      <c r="W846" s="7" t="n">
        <v>266</v>
      </c>
      <c r="X846" s="7" t="n">
        <v>269</v>
      </c>
      <c r="Y846" s="7" t="n">
        <v>3</v>
      </c>
      <c r="Z846" s="7" t="s">
        <v>15092</v>
      </c>
      <c r="AA846" s="9" t="s">
        <v>15093</v>
      </c>
      <c r="AB846" s="7" t="s">
        <v>15094</v>
      </c>
      <c r="AC846" s="7" t="s">
        <v>15095</v>
      </c>
      <c r="AD846" s="7" t="s">
        <v>15096</v>
      </c>
      <c r="AE846" s="7" t="s">
        <v>15097</v>
      </c>
      <c r="AF846" s="7"/>
      <c r="AG846" s="7"/>
      <c r="AH846" s="7"/>
      <c r="AI846" s="7"/>
      <c r="AJ846" s="10"/>
      <c r="AK846" s="7"/>
      <c r="AL846" s="7" t="s">
        <v>15098</v>
      </c>
      <c r="AM846" s="7" t="s">
        <v>15099</v>
      </c>
      <c r="AN846" s="7"/>
      <c r="AO846" s="7"/>
      <c r="AP846" s="7"/>
      <c r="AQ846" s="7"/>
      <c r="AR846" s="7"/>
      <c r="AS846" s="7"/>
      <c r="AT846" s="7" t="n">
        <v>22221808</v>
      </c>
      <c r="AU846" s="7"/>
      <c r="AV846" s="7"/>
      <c r="AW846" s="7"/>
      <c r="AX846" s="7" t="s">
        <v>15068</v>
      </c>
      <c r="AY846" s="7" t="s">
        <v>75</v>
      </c>
      <c r="AZ846" s="7" t="s">
        <v>4371</v>
      </c>
      <c r="BA846" s="7" t="s">
        <v>76</v>
      </c>
      <c r="BB846" s="7" t="s">
        <v>15100</v>
      </c>
      <c r="BC846" s="7"/>
      <c r="BD846" s="7"/>
      <c r="BE846" s="7"/>
      <c r="BF846" s="7"/>
      <c r="BG846" s="7"/>
      <c r="BH846" s="7"/>
      <c r="BI846" s="7"/>
    </row>
    <row r="847" customFormat="false" ht="14.25" hidden="false" customHeight="true" outlineLevel="0" collapsed="false">
      <c r="A847" s="7" t="s">
        <v>15101</v>
      </c>
      <c r="B847" s="7" t="s">
        <v>15102</v>
      </c>
      <c r="C847" s="7" t="s">
        <v>15103</v>
      </c>
      <c r="D847" s="7" t="s">
        <v>15104</v>
      </c>
      <c r="E847" s="7" t="n">
        <v>2017</v>
      </c>
      <c r="F847" s="8" t="s">
        <v>15105</v>
      </c>
      <c r="G847" s="6" t="s">
        <v>349</v>
      </c>
      <c r="H847" s="7"/>
      <c r="I847" s="7"/>
      <c r="J847" s="7"/>
      <c r="K847" s="7"/>
      <c r="L847" s="7"/>
      <c r="M847" s="7"/>
      <c r="N847" s="7"/>
      <c r="O847" s="7"/>
      <c r="P847" s="7" t="s">
        <v>61</v>
      </c>
      <c r="Q847" s="7" t="s">
        <v>62</v>
      </c>
      <c r="R847" s="7" t="s">
        <v>9604</v>
      </c>
      <c r="S847" s="7" t="n">
        <v>108</v>
      </c>
      <c r="T847" s="7" t="s">
        <v>9604</v>
      </c>
      <c r="U847" s="7" t="n">
        <v>3</v>
      </c>
      <c r="V847" s="7"/>
      <c r="W847" s="7" t="n">
        <v>246</v>
      </c>
      <c r="X847" s="7" t="n">
        <v>254</v>
      </c>
      <c r="Y847" s="7" t="n">
        <v>8</v>
      </c>
      <c r="Z847" s="7" t="s">
        <v>15106</v>
      </c>
      <c r="AA847" s="9" t="s">
        <v>15107</v>
      </c>
      <c r="AB847" s="7" t="s">
        <v>15108</v>
      </c>
      <c r="AC847" s="7" t="s">
        <v>15109</v>
      </c>
      <c r="AD847" s="7" t="s">
        <v>15110</v>
      </c>
      <c r="AE847" s="7" t="s">
        <v>15111</v>
      </c>
      <c r="AF847" s="7"/>
      <c r="AG847" s="7" t="s">
        <v>15112</v>
      </c>
      <c r="AH847" s="7"/>
      <c r="AI847" s="7"/>
      <c r="AJ847" s="10"/>
      <c r="AK847" s="7"/>
      <c r="AL847" s="7" t="s">
        <v>15113</v>
      </c>
      <c r="AM847" s="7" t="s">
        <v>15114</v>
      </c>
      <c r="AN847" s="7"/>
      <c r="AO847" s="7"/>
      <c r="AP847" s="7"/>
      <c r="AQ847" s="7"/>
      <c r="AR847" s="7"/>
      <c r="AS847" s="7"/>
      <c r="AT847" s="7" t="s">
        <v>9616</v>
      </c>
      <c r="AU847" s="7"/>
      <c r="AV847" s="7" t="s">
        <v>9617</v>
      </c>
      <c r="AW847" s="7" t="n">
        <v>28443956</v>
      </c>
      <c r="AX847" s="7" t="s">
        <v>9618</v>
      </c>
      <c r="AY847" s="7" t="s">
        <v>75</v>
      </c>
      <c r="AZ847" s="7" t="s">
        <v>107</v>
      </c>
      <c r="BA847" s="7" t="s">
        <v>76</v>
      </c>
      <c r="BB847" s="7" t="s">
        <v>15115</v>
      </c>
      <c r="BC847" s="7"/>
      <c r="BD847" s="7"/>
      <c r="BE847" s="7"/>
      <c r="BF847" s="7"/>
      <c r="BG847" s="7"/>
      <c r="BH847" s="7"/>
      <c r="BI847" s="7"/>
    </row>
    <row r="848" customFormat="false" ht="14.25" hidden="false" customHeight="true" outlineLevel="0" collapsed="false">
      <c r="A848" s="7" t="s">
        <v>14546</v>
      </c>
      <c r="B848" s="7" t="s">
        <v>14547</v>
      </c>
      <c r="C848" s="7" t="s">
        <v>14548</v>
      </c>
      <c r="D848" s="7" t="s">
        <v>15116</v>
      </c>
      <c r="E848" s="7" t="n">
        <v>2017</v>
      </c>
      <c r="F848" s="8" t="s">
        <v>15117</v>
      </c>
      <c r="G848" s="6" t="s">
        <v>134</v>
      </c>
      <c r="H848" s="7"/>
      <c r="I848" s="7"/>
      <c r="J848" s="7"/>
      <c r="K848" s="7"/>
      <c r="L848" s="7"/>
      <c r="M848" s="7"/>
      <c r="N848" s="7"/>
      <c r="O848" s="7"/>
      <c r="P848" s="7" t="s">
        <v>61</v>
      </c>
      <c r="Q848" s="7" t="s">
        <v>62</v>
      </c>
      <c r="R848" s="7" t="s">
        <v>15118</v>
      </c>
      <c r="S848" s="7" t="n">
        <v>4</v>
      </c>
      <c r="T848" s="7" t="s">
        <v>64</v>
      </c>
      <c r="U848" s="23" t="n">
        <v>45661</v>
      </c>
      <c r="V848" s="7"/>
      <c r="W848" s="7" t="n">
        <v>1</v>
      </c>
      <c r="X848" s="7" t="n">
        <v>8</v>
      </c>
      <c r="Y848" s="7" t="n">
        <v>7</v>
      </c>
      <c r="Z848" s="7" t="s">
        <v>15119</v>
      </c>
      <c r="AA848" s="9" t="s">
        <v>15120</v>
      </c>
      <c r="AB848" s="7" t="s">
        <v>15121</v>
      </c>
      <c r="AC848" s="7" t="s">
        <v>15122</v>
      </c>
      <c r="AD848" s="7" t="s">
        <v>15123</v>
      </c>
      <c r="AE848" s="7" t="s">
        <v>15124</v>
      </c>
      <c r="AF848" s="7"/>
      <c r="AG848" s="7"/>
      <c r="AH848" s="7"/>
      <c r="AI848" s="7"/>
      <c r="AJ848" s="10"/>
      <c r="AK848" s="7"/>
      <c r="AL848" s="7" t="s">
        <v>15125</v>
      </c>
      <c r="AM848" s="7" t="s">
        <v>15126</v>
      </c>
      <c r="AN848" s="7"/>
      <c r="AO848" s="7"/>
      <c r="AP848" s="7"/>
      <c r="AQ848" s="7"/>
      <c r="AR848" s="7"/>
      <c r="AS848" s="7"/>
      <c r="AT848" s="7" t="n">
        <v>23075023</v>
      </c>
      <c r="AU848" s="7"/>
      <c r="AV848" s="7"/>
      <c r="AW848" s="7"/>
      <c r="AX848" s="7" t="s">
        <v>15127</v>
      </c>
      <c r="AY848" s="7" t="s">
        <v>75</v>
      </c>
      <c r="AZ848" s="7"/>
      <c r="BA848" s="7" t="s">
        <v>76</v>
      </c>
      <c r="BB848" s="7" t="s">
        <v>15128</v>
      </c>
      <c r="BC848" s="7"/>
      <c r="BD848" s="7"/>
      <c r="BE848" s="7"/>
      <c r="BF848" s="7"/>
      <c r="BG848" s="7"/>
      <c r="BH848" s="7"/>
      <c r="BI848" s="7"/>
    </row>
    <row r="849" customFormat="false" ht="14.25" hidden="false" customHeight="true" outlineLevel="0" collapsed="false">
      <c r="A849" s="7" t="s">
        <v>15129</v>
      </c>
      <c r="B849" s="7" t="s">
        <v>15130</v>
      </c>
      <c r="C849" s="7" t="s">
        <v>15131</v>
      </c>
      <c r="D849" s="7" t="s">
        <v>15132</v>
      </c>
      <c r="E849" s="7" t="n">
        <v>2017</v>
      </c>
      <c r="F849" s="8" t="s">
        <v>15133</v>
      </c>
      <c r="G849" s="6" t="s">
        <v>149</v>
      </c>
      <c r="H849" s="7"/>
      <c r="I849" s="7"/>
      <c r="J849" s="7"/>
      <c r="K849" s="7"/>
      <c r="L849" s="7"/>
      <c r="M849" s="7"/>
      <c r="N849" s="7"/>
      <c r="O849" s="7"/>
      <c r="P849" s="7" t="s">
        <v>61</v>
      </c>
      <c r="Q849" s="7" t="s">
        <v>62</v>
      </c>
      <c r="R849" s="7" t="s">
        <v>15037</v>
      </c>
      <c r="S849" s="7" t="n">
        <v>22</v>
      </c>
      <c r="T849" s="7" t="s">
        <v>12890</v>
      </c>
      <c r="U849" s="7" t="n">
        <v>2</v>
      </c>
      <c r="V849" s="7"/>
      <c r="W849" s="7" t="n">
        <v>133</v>
      </c>
      <c r="X849" s="7" t="n">
        <v>138</v>
      </c>
      <c r="Y849" s="7" t="n">
        <v>5</v>
      </c>
      <c r="Z849" s="7" t="s">
        <v>15134</v>
      </c>
      <c r="AA849" s="9" t="s">
        <v>15135</v>
      </c>
      <c r="AB849" s="7" t="s">
        <v>15136</v>
      </c>
      <c r="AC849" s="7" t="s">
        <v>15137</v>
      </c>
      <c r="AD849" s="7" t="s">
        <v>15138</v>
      </c>
      <c r="AE849" s="7" t="s">
        <v>15139</v>
      </c>
      <c r="AF849" s="7"/>
      <c r="AG849" s="7" t="s">
        <v>15140</v>
      </c>
      <c r="AH849" s="7"/>
      <c r="AI849" s="7"/>
      <c r="AJ849" s="10"/>
      <c r="AK849" s="7"/>
      <c r="AL849" s="7" t="s">
        <v>15141</v>
      </c>
      <c r="AM849" s="7" t="s">
        <v>15142</v>
      </c>
      <c r="AN849" s="7"/>
      <c r="AO849" s="7"/>
      <c r="AP849" s="7"/>
      <c r="AQ849" s="7"/>
      <c r="AR849" s="7"/>
      <c r="AS849" s="7"/>
      <c r="AT849" s="7" t="n">
        <v>13602276</v>
      </c>
      <c r="AU849" s="7"/>
      <c r="AV849" s="7" t="s">
        <v>15049</v>
      </c>
      <c r="AW849" s="7" t="n">
        <v>27862676</v>
      </c>
      <c r="AX849" s="7" t="s">
        <v>15050</v>
      </c>
      <c r="AY849" s="7" t="s">
        <v>75</v>
      </c>
      <c r="AZ849" s="7" t="s">
        <v>4371</v>
      </c>
      <c r="BA849" s="7" t="s">
        <v>76</v>
      </c>
      <c r="BB849" s="7" t="s">
        <v>15143</v>
      </c>
      <c r="BC849" s="7"/>
      <c r="BD849" s="7"/>
      <c r="BE849" s="7"/>
      <c r="BF849" s="7"/>
      <c r="BG849" s="7"/>
      <c r="BH849" s="7"/>
      <c r="BI849" s="7"/>
    </row>
    <row r="850" customFormat="false" ht="14.25" hidden="false" customHeight="true" outlineLevel="0" collapsed="false">
      <c r="A850" s="7" t="s">
        <v>15144</v>
      </c>
      <c r="B850" s="7" t="s">
        <v>15145</v>
      </c>
      <c r="C850" s="7" t="s">
        <v>15146</v>
      </c>
      <c r="D850" s="7" t="s">
        <v>15147</v>
      </c>
      <c r="E850" s="7" t="n">
        <v>2017</v>
      </c>
      <c r="F850" s="8" t="s">
        <v>15148</v>
      </c>
      <c r="G850" s="6" t="s">
        <v>134</v>
      </c>
      <c r="H850" s="7"/>
      <c r="I850" s="7"/>
      <c r="J850" s="7"/>
      <c r="K850" s="7"/>
      <c r="L850" s="7"/>
      <c r="M850" s="7"/>
      <c r="N850" s="7"/>
      <c r="O850" s="7"/>
      <c r="P850" s="7" t="s">
        <v>61</v>
      </c>
      <c r="Q850" s="7" t="s">
        <v>62</v>
      </c>
      <c r="R850" s="7" t="s">
        <v>15149</v>
      </c>
      <c r="S850" s="7" t="n">
        <v>89</v>
      </c>
      <c r="T850" s="7" t="s">
        <v>533</v>
      </c>
      <c r="U850" s="7" t="n">
        <v>10</v>
      </c>
      <c r="V850" s="7"/>
      <c r="W850" s="7" t="n">
        <v>5285</v>
      </c>
      <c r="X850" s="7" t="n">
        <v>5293</v>
      </c>
      <c r="Y850" s="7" t="n">
        <v>8</v>
      </c>
      <c r="Z850" s="7" t="s">
        <v>15150</v>
      </c>
      <c r="AA850" s="9" t="s">
        <v>15151</v>
      </c>
      <c r="AB850" s="7" t="s">
        <v>15152</v>
      </c>
      <c r="AC850" s="7" t="s">
        <v>15153</v>
      </c>
      <c r="AD850" s="7"/>
      <c r="AE850" s="7" t="s">
        <v>15154</v>
      </c>
      <c r="AF850" s="7"/>
      <c r="AG850" s="7"/>
      <c r="AH850" s="7"/>
      <c r="AI850" s="7"/>
      <c r="AJ850" s="10" t="s">
        <v>15155</v>
      </c>
      <c r="AK850" s="7" t="s">
        <v>15156</v>
      </c>
      <c r="AL850" s="7" t="s">
        <v>15157</v>
      </c>
      <c r="AM850" s="7" t="s">
        <v>15158</v>
      </c>
      <c r="AN850" s="7"/>
      <c r="AO850" s="7"/>
      <c r="AP850" s="7"/>
      <c r="AQ850" s="7"/>
      <c r="AR850" s="7"/>
      <c r="AS850" s="7"/>
      <c r="AT850" s="7" t="n">
        <v>32700</v>
      </c>
      <c r="AU850" s="7"/>
      <c r="AV850" s="7" t="s">
        <v>15159</v>
      </c>
      <c r="AW850" s="7" t="n">
        <v>28332822</v>
      </c>
      <c r="AX850" s="7" t="s">
        <v>15160</v>
      </c>
      <c r="AY850" s="7" t="s">
        <v>75</v>
      </c>
      <c r="AZ850" s="7" t="s">
        <v>4371</v>
      </c>
      <c r="BA850" s="7" t="s">
        <v>76</v>
      </c>
      <c r="BB850" s="7" t="s">
        <v>15161</v>
      </c>
      <c r="BC850" s="7"/>
      <c r="BD850" s="7"/>
      <c r="BE850" s="7"/>
      <c r="BF850" s="7"/>
      <c r="BG850" s="7"/>
      <c r="BH850" s="7"/>
      <c r="BI850" s="7"/>
    </row>
    <row r="851" customFormat="false" ht="14.25" hidden="false" customHeight="true" outlineLevel="0" collapsed="false">
      <c r="A851" s="7" t="s">
        <v>15162</v>
      </c>
      <c r="B851" s="7" t="s">
        <v>15163</v>
      </c>
      <c r="C851" s="7" t="s">
        <v>15164</v>
      </c>
      <c r="D851" s="7" t="s">
        <v>15165</v>
      </c>
      <c r="E851" s="7" t="n">
        <v>2017</v>
      </c>
      <c r="F851" s="8" t="s">
        <v>15166</v>
      </c>
      <c r="G851" s="6" t="s">
        <v>1686</v>
      </c>
      <c r="H851" s="7"/>
      <c r="I851" s="7"/>
      <c r="J851" s="7"/>
      <c r="K851" s="7"/>
      <c r="L851" s="7"/>
      <c r="M851" s="7"/>
      <c r="N851" s="7"/>
      <c r="O851" s="7"/>
      <c r="P851" s="7" t="s">
        <v>61</v>
      </c>
      <c r="Q851" s="7" t="s">
        <v>62</v>
      </c>
      <c r="R851" s="7" t="s">
        <v>532</v>
      </c>
      <c r="S851" s="7" t="n">
        <v>57</v>
      </c>
      <c r="T851" s="7" t="s">
        <v>533</v>
      </c>
      <c r="U851" s="7" t="n">
        <v>3</v>
      </c>
      <c r="V851" s="7"/>
      <c r="W851" s="7" t="n">
        <v>445</v>
      </c>
      <c r="X851" s="7" t="n">
        <v>453</v>
      </c>
      <c r="Y851" s="7" t="n">
        <v>8</v>
      </c>
      <c r="Z851" s="7" t="s">
        <v>15167</v>
      </c>
      <c r="AA851" s="9" t="s">
        <v>15168</v>
      </c>
      <c r="AB851" s="7" t="s">
        <v>15169</v>
      </c>
      <c r="AC851" s="7" t="s">
        <v>15170</v>
      </c>
      <c r="AD851" s="7"/>
      <c r="AE851" s="7" t="s">
        <v>15171</v>
      </c>
      <c r="AF851" s="7"/>
      <c r="AG851" s="7" t="s">
        <v>4529</v>
      </c>
      <c r="AH851" s="7"/>
      <c r="AI851" s="7"/>
      <c r="AJ851" s="10"/>
      <c r="AK851" s="7"/>
      <c r="AL851" s="7" t="s">
        <v>15172</v>
      </c>
      <c r="AM851" s="7" t="s">
        <v>15173</v>
      </c>
      <c r="AN851" s="7"/>
      <c r="AO851" s="7"/>
      <c r="AP851" s="7"/>
      <c r="AQ851" s="7"/>
      <c r="AR851" s="7"/>
      <c r="AS851" s="7"/>
      <c r="AT851" s="7" t="n">
        <v>15499596</v>
      </c>
      <c r="AU851" s="7"/>
      <c r="AV851" s="7" t="s">
        <v>544</v>
      </c>
      <c r="AW851" s="7" t="n">
        <v>28257198</v>
      </c>
      <c r="AX851" s="7" t="s">
        <v>545</v>
      </c>
      <c r="AY851" s="7" t="s">
        <v>75</v>
      </c>
      <c r="AZ851" s="7"/>
      <c r="BA851" s="7" t="s">
        <v>76</v>
      </c>
      <c r="BB851" s="7" t="s">
        <v>15174</v>
      </c>
      <c r="BC851" s="7"/>
      <c r="BD851" s="7"/>
      <c r="BE851" s="7"/>
      <c r="BF851" s="7"/>
      <c r="BG851" s="7"/>
      <c r="BH851" s="7"/>
      <c r="BI851" s="7"/>
    </row>
    <row r="852" customFormat="false" ht="14.25" hidden="false" customHeight="true" outlineLevel="0" collapsed="false">
      <c r="A852" s="7" t="s">
        <v>15175</v>
      </c>
      <c r="B852" s="7" t="s">
        <v>15176</v>
      </c>
      <c r="C852" s="7" t="s">
        <v>15177</v>
      </c>
      <c r="D852" s="7" t="s">
        <v>15178</v>
      </c>
      <c r="E852" s="7" t="n">
        <v>2017</v>
      </c>
      <c r="F852" s="8" t="s">
        <v>15179</v>
      </c>
      <c r="G852" s="6" t="s">
        <v>1686</v>
      </c>
      <c r="H852" s="7"/>
      <c r="I852" s="7"/>
      <c r="J852" s="7"/>
      <c r="K852" s="7"/>
      <c r="L852" s="7"/>
      <c r="M852" s="7"/>
      <c r="N852" s="7"/>
      <c r="O852" s="7"/>
      <c r="P852" s="7" t="s">
        <v>61</v>
      </c>
      <c r="Q852" s="7" t="s">
        <v>62</v>
      </c>
      <c r="R852" s="7" t="s">
        <v>679</v>
      </c>
      <c r="S852" s="7" t="n">
        <v>11</v>
      </c>
      <c r="T852" s="7" t="s">
        <v>500</v>
      </c>
      <c r="U852" s="7" t="n">
        <v>9</v>
      </c>
      <c r="V852" s="7" t="s">
        <v>15180</v>
      </c>
      <c r="W852" s="7"/>
      <c r="X852" s="7"/>
      <c r="Y852" s="7"/>
      <c r="Z852" s="7" t="s">
        <v>15181</v>
      </c>
      <c r="AA852" s="9" t="s">
        <v>15182</v>
      </c>
      <c r="AB852" s="7" t="s">
        <v>15183</v>
      </c>
      <c r="AC852" s="7" t="s">
        <v>15184</v>
      </c>
      <c r="AD852" s="7"/>
      <c r="AE852" s="7" t="s">
        <v>15185</v>
      </c>
      <c r="AF852" s="7"/>
      <c r="AG852" s="7"/>
      <c r="AH852" s="7"/>
      <c r="AI852" s="7"/>
      <c r="AJ852" s="10"/>
      <c r="AK852" s="7"/>
      <c r="AL852" s="7" t="s">
        <v>15186</v>
      </c>
      <c r="AM852" s="7" t="s">
        <v>15187</v>
      </c>
      <c r="AN852" s="7"/>
      <c r="AO852" s="7"/>
      <c r="AP852" s="7"/>
      <c r="AQ852" s="7"/>
      <c r="AR852" s="7"/>
      <c r="AS852" s="7"/>
      <c r="AT852" s="7" t="n">
        <v>19352727</v>
      </c>
      <c r="AU852" s="7"/>
      <c r="AV852" s="7"/>
      <c r="AW852" s="7" t="n">
        <v>28873400</v>
      </c>
      <c r="AX852" s="7" t="s">
        <v>689</v>
      </c>
      <c r="AY852" s="7" t="s">
        <v>75</v>
      </c>
      <c r="AZ852" s="7" t="s">
        <v>107</v>
      </c>
      <c r="BA852" s="7" t="s">
        <v>76</v>
      </c>
      <c r="BB852" s="7" t="s">
        <v>15188</v>
      </c>
      <c r="BC852" s="7"/>
      <c r="BD852" s="7"/>
      <c r="BE852" s="7"/>
      <c r="BF852" s="7"/>
      <c r="BG852" s="7"/>
      <c r="BH852" s="7"/>
      <c r="BI852" s="7"/>
    </row>
    <row r="853" customFormat="false" ht="14.25" hidden="false" customHeight="true" outlineLevel="0" collapsed="false">
      <c r="A853" s="7" t="s">
        <v>15189</v>
      </c>
      <c r="B853" s="7" t="s">
        <v>15190</v>
      </c>
      <c r="C853" s="7" t="s">
        <v>15191</v>
      </c>
      <c r="D853" s="7" t="s">
        <v>15192</v>
      </c>
      <c r="E853" s="7" t="n">
        <v>2017</v>
      </c>
      <c r="F853" s="8" t="s">
        <v>15193</v>
      </c>
      <c r="G853" s="6" t="s">
        <v>134</v>
      </c>
      <c r="H853" s="7"/>
      <c r="I853" s="7"/>
      <c r="J853" s="7"/>
      <c r="K853" s="7"/>
      <c r="L853" s="7"/>
      <c r="M853" s="7"/>
      <c r="N853" s="7"/>
      <c r="O853" s="7"/>
      <c r="P853" s="7" t="s">
        <v>61</v>
      </c>
      <c r="Q853" s="7" t="s">
        <v>62</v>
      </c>
      <c r="R853" s="7" t="s">
        <v>15194</v>
      </c>
      <c r="S853" s="7" t="n">
        <v>6</v>
      </c>
      <c r="T853" s="7" t="s">
        <v>7687</v>
      </c>
      <c r="U853" s="7" t="n">
        <v>4</v>
      </c>
      <c r="V853" s="7" t="s">
        <v>15195</v>
      </c>
      <c r="W853" s="7"/>
      <c r="X853" s="7"/>
      <c r="Y853" s="7"/>
      <c r="Z853" s="7" t="s">
        <v>15196</v>
      </c>
      <c r="AA853" s="9" t="s">
        <v>15197</v>
      </c>
      <c r="AB853" s="7" t="s">
        <v>15198</v>
      </c>
      <c r="AC853" s="7" t="s">
        <v>15199</v>
      </c>
      <c r="AD853" s="7" t="s">
        <v>15200</v>
      </c>
      <c r="AE853" s="7"/>
      <c r="AF853" s="7"/>
      <c r="AG853" s="7"/>
      <c r="AH853" s="7"/>
      <c r="AI853" s="7"/>
      <c r="AJ853" s="10"/>
      <c r="AK853" s="7"/>
      <c r="AL853" s="7" t="s">
        <v>15201</v>
      </c>
      <c r="AM853" s="7" t="s">
        <v>15202</v>
      </c>
      <c r="AN853" s="7"/>
      <c r="AO853" s="7"/>
      <c r="AP853" s="7"/>
      <c r="AQ853" s="7"/>
      <c r="AR853" s="7"/>
      <c r="AS853" s="7"/>
      <c r="AT853" s="7" t="n">
        <v>19290748</v>
      </c>
      <c r="AU853" s="7"/>
      <c r="AV853" s="7"/>
      <c r="AW853" s="7"/>
      <c r="AX853" s="7" t="s">
        <v>15203</v>
      </c>
      <c r="AY853" s="7" t="s">
        <v>75</v>
      </c>
      <c r="AZ853" s="7" t="s">
        <v>107</v>
      </c>
      <c r="BA853" s="7" t="s">
        <v>76</v>
      </c>
      <c r="BB853" s="7" t="s">
        <v>15204</v>
      </c>
      <c r="BC853" s="7"/>
      <c r="BD853" s="7"/>
      <c r="BE853" s="7"/>
      <c r="BF853" s="7"/>
      <c r="BG853" s="7"/>
      <c r="BH853" s="7"/>
      <c r="BI853" s="7"/>
    </row>
    <row r="854" customFormat="false" ht="14.25" hidden="false" customHeight="true" outlineLevel="0" collapsed="false">
      <c r="A854" s="7" t="s">
        <v>15205</v>
      </c>
      <c r="B854" s="7" t="s">
        <v>15206</v>
      </c>
      <c r="C854" s="7" t="s">
        <v>15207</v>
      </c>
      <c r="D854" s="7" t="s">
        <v>15208</v>
      </c>
      <c r="E854" s="7" t="n">
        <v>2017</v>
      </c>
      <c r="F854" s="8" t="s">
        <v>15209</v>
      </c>
      <c r="G854" s="6" t="s">
        <v>3714</v>
      </c>
      <c r="H854" s="7"/>
      <c r="I854" s="7"/>
      <c r="J854" s="7"/>
      <c r="K854" s="7"/>
      <c r="L854" s="7"/>
      <c r="M854" s="7"/>
      <c r="N854" s="7"/>
      <c r="O854" s="7"/>
      <c r="P854" s="7" t="s">
        <v>61</v>
      </c>
      <c r="Q854" s="7" t="s">
        <v>62</v>
      </c>
      <c r="R854" s="7" t="s">
        <v>15210</v>
      </c>
      <c r="S854" s="7" t="n">
        <v>7</v>
      </c>
      <c r="T854" s="7" t="s">
        <v>9272</v>
      </c>
      <c r="U854" s="7" t="n">
        <v>8</v>
      </c>
      <c r="V854" s="7" t="n">
        <v>836</v>
      </c>
      <c r="W854" s="7"/>
      <c r="X854" s="7"/>
      <c r="Y854" s="7"/>
      <c r="Z854" s="7" t="s">
        <v>15211</v>
      </c>
      <c r="AA854" s="9" t="s">
        <v>15212</v>
      </c>
      <c r="AB854" s="7" t="s">
        <v>15213</v>
      </c>
      <c r="AC854" s="7" t="s">
        <v>15214</v>
      </c>
      <c r="AD854" s="7" t="s">
        <v>15215</v>
      </c>
      <c r="AE854" s="7"/>
      <c r="AF854" s="7"/>
      <c r="AG854" s="7"/>
      <c r="AH854" s="7"/>
      <c r="AI854" s="7"/>
      <c r="AJ854" s="10" t="s">
        <v>15216</v>
      </c>
      <c r="AK854" s="7" t="s">
        <v>15217</v>
      </c>
      <c r="AL854" s="7" t="s">
        <v>15218</v>
      </c>
      <c r="AM854" s="7" t="s">
        <v>15219</v>
      </c>
      <c r="AN854" s="7"/>
      <c r="AO854" s="7"/>
      <c r="AP854" s="7"/>
      <c r="AQ854" s="7"/>
      <c r="AR854" s="7"/>
      <c r="AS854" s="7"/>
      <c r="AT854" s="7" t="n">
        <v>20763417</v>
      </c>
      <c r="AU854" s="7"/>
      <c r="AV854" s="7"/>
      <c r="AW854" s="7"/>
      <c r="AX854" s="7" t="s">
        <v>15220</v>
      </c>
      <c r="AY854" s="7" t="s">
        <v>75</v>
      </c>
      <c r="AZ854" s="7" t="s">
        <v>107</v>
      </c>
      <c r="BA854" s="7" t="s">
        <v>76</v>
      </c>
      <c r="BB854" s="7" t="s">
        <v>15221</v>
      </c>
      <c r="BC854" s="7"/>
      <c r="BD854" s="7"/>
      <c r="BE854" s="7"/>
      <c r="BF854" s="7"/>
      <c r="BG854" s="7"/>
      <c r="BH854" s="7"/>
      <c r="BI854" s="7"/>
    </row>
    <row r="855" customFormat="false" ht="14.25" hidden="false" customHeight="true" outlineLevel="0" collapsed="false">
      <c r="A855" s="7" t="s">
        <v>15222</v>
      </c>
      <c r="B855" s="7" t="s">
        <v>15223</v>
      </c>
      <c r="C855" s="7" t="s">
        <v>15224</v>
      </c>
      <c r="D855" s="7" t="s">
        <v>15225</v>
      </c>
      <c r="E855" s="7" t="n">
        <v>2017</v>
      </c>
      <c r="F855" s="8" t="s">
        <v>15226</v>
      </c>
      <c r="G855" s="6" t="s">
        <v>290</v>
      </c>
      <c r="H855" s="7"/>
      <c r="I855" s="7"/>
      <c r="J855" s="7"/>
      <c r="K855" s="7"/>
      <c r="L855" s="7"/>
      <c r="M855" s="7"/>
      <c r="N855" s="7"/>
      <c r="O855" s="7"/>
      <c r="P855" s="7" t="s">
        <v>61</v>
      </c>
      <c r="Q855" s="7" t="s">
        <v>62</v>
      </c>
      <c r="R855" s="7" t="s">
        <v>15227</v>
      </c>
      <c r="S855" s="7" t="n">
        <v>30</v>
      </c>
      <c r="T855" s="7" t="s">
        <v>15228</v>
      </c>
      <c r="U855" s="7"/>
      <c r="V855" s="7"/>
      <c r="W855" s="7" t="n">
        <v>67</v>
      </c>
      <c r="X855" s="7" t="n">
        <v>73</v>
      </c>
      <c r="Y855" s="7" t="n">
        <v>6</v>
      </c>
      <c r="Z855" s="7" t="s">
        <v>15229</v>
      </c>
      <c r="AA855" s="9" t="s">
        <v>15230</v>
      </c>
      <c r="AB855" s="7" t="s">
        <v>15231</v>
      </c>
      <c r="AC855" s="7" t="s">
        <v>15232</v>
      </c>
      <c r="AD855" s="7" t="s">
        <v>15233</v>
      </c>
      <c r="AE855" s="7" t="s">
        <v>15234</v>
      </c>
      <c r="AF855" s="7"/>
      <c r="AG855" s="7" t="s">
        <v>15235</v>
      </c>
      <c r="AH855" s="7"/>
      <c r="AI855" s="7"/>
      <c r="AJ855" s="10"/>
      <c r="AK855" s="7"/>
      <c r="AL855" s="7" t="s">
        <v>15236</v>
      </c>
      <c r="AM855" s="7" t="s">
        <v>15237</v>
      </c>
      <c r="AN855" s="7"/>
      <c r="AO855" s="7"/>
      <c r="AP855" s="7"/>
      <c r="AQ855" s="7"/>
      <c r="AR855" s="7"/>
      <c r="AS855" s="7"/>
      <c r="AT855" s="7" t="n">
        <v>9447113</v>
      </c>
      <c r="AU855" s="7"/>
      <c r="AV855" s="7" t="s">
        <v>15238</v>
      </c>
      <c r="AW855" s="7" t="n">
        <v>28545671</v>
      </c>
      <c r="AX855" s="7" t="s">
        <v>15227</v>
      </c>
      <c r="AY855" s="7" t="s">
        <v>75</v>
      </c>
      <c r="AZ855" s="7"/>
      <c r="BA855" s="7" t="s">
        <v>76</v>
      </c>
      <c r="BB855" s="7" t="s">
        <v>15239</v>
      </c>
      <c r="BC855" s="7"/>
      <c r="BD855" s="7"/>
      <c r="BE855" s="7"/>
      <c r="BF855" s="7"/>
      <c r="BG855" s="7"/>
      <c r="BH855" s="7"/>
      <c r="BI855" s="7"/>
    </row>
    <row r="856" customFormat="false" ht="14.25" hidden="false" customHeight="true" outlineLevel="0" collapsed="false">
      <c r="A856" s="7" t="s">
        <v>15240</v>
      </c>
      <c r="B856" s="7" t="s">
        <v>15241</v>
      </c>
      <c r="C856" s="7" t="s">
        <v>15242</v>
      </c>
      <c r="D856" s="7" t="s">
        <v>15243</v>
      </c>
      <c r="E856" s="7" t="n">
        <v>2017</v>
      </c>
      <c r="F856" s="8" t="s">
        <v>15244</v>
      </c>
      <c r="G856" s="6" t="s">
        <v>1686</v>
      </c>
      <c r="H856" s="7"/>
      <c r="I856" s="7"/>
      <c r="J856" s="7"/>
      <c r="K856" s="7"/>
      <c r="L856" s="7"/>
      <c r="M856" s="7"/>
      <c r="N856" s="7"/>
      <c r="O856" s="7"/>
      <c r="P856" s="7" t="s">
        <v>61</v>
      </c>
      <c r="Q856" s="7" t="s">
        <v>62</v>
      </c>
      <c r="R856" s="7" t="s">
        <v>15245</v>
      </c>
      <c r="S856" s="7" t="n">
        <v>2017</v>
      </c>
      <c r="T856" s="7" t="s">
        <v>9643</v>
      </c>
      <c r="U856" s="7"/>
      <c r="V856" s="7"/>
      <c r="W856" s="7" t="n">
        <v>820</v>
      </c>
      <c r="X856" s="7" t="n">
        <v>829</v>
      </c>
      <c r="Y856" s="7" t="n">
        <v>9</v>
      </c>
      <c r="Z856" s="7"/>
      <c r="AA856" s="9" t="s">
        <v>15246</v>
      </c>
      <c r="AB856" s="7" t="s">
        <v>15247</v>
      </c>
      <c r="AC856" s="7" t="s">
        <v>15248</v>
      </c>
      <c r="AD856" s="7"/>
      <c r="AE856" s="7" t="s">
        <v>15249</v>
      </c>
      <c r="AF856" s="7"/>
      <c r="AG856" s="7"/>
      <c r="AH856" s="7"/>
      <c r="AI856" s="7"/>
      <c r="AJ856" s="10"/>
      <c r="AK856" s="7"/>
      <c r="AL856" s="7"/>
      <c r="AM856" s="7"/>
      <c r="AN856" s="7"/>
      <c r="AO856" s="7"/>
      <c r="AP856" s="7"/>
      <c r="AQ856" s="7"/>
      <c r="AR856" s="7"/>
      <c r="AS856" s="7"/>
      <c r="AT856" s="7" t="s">
        <v>15250</v>
      </c>
      <c r="AU856" s="7"/>
      <c r="AV856" s="7"/>
      <c r="AW856" s="7" t="n">
        <v>29854148</v>
      </c>
      <c r="AX856" s="7" t="s">
        <v>15251</v>
      </c>
      <c r="AY856" s="7" t="s">
        <v>75</v>
      </c>
      <c r="AZ856" s="7"/>
      <c r="BA856" s="7" t="s">
        <v>76</v>
      </c>
      <c r="BB856" s="7" t="s">
        <v>15252</v>
      </c>
      <c r="BC856" s="7"/>
      <c r="BD856" s="7"/>
      <c r="BE856" s="7"/>
      <c r="BF856" s="7"/>
      <c r="BG856" s="7"/>
      <c r="BH856" s="7"/>
      <c r="BI856" s="7"/>
    </row>
    <row r="857" customFormat="false" ht="14.25" hidden="false" customHeight="true" outlineLevel="0" collapsed="false">
      <c r="A857" s="7" t="s">
        <v>15253</v>
      </c>
      <c r="B857" s="7" t="s">
        <v>15254</v>
      </c>
      <c r="C857" s="7" t="s">
        <v>15255</v>
      </c>
      <c r="D857" s="7" t="s">
        <v>15256</v>
      </c>
      <c r="E857" s="7" t="n">
        <v>2017</v>
      </c>
      <c r="F857" s="8" t="s">
        <v>15257</v>
      </c>
      <c r="G857" s="6" t="s">
        <v>1686</v>
      </c>
      <c r="H857" s="7"/>
      <c r="I857" s="7"/>
      <c r="J857" s="7"/>
      <c r="K857" s="7"/>
      <c r="L857" s="7"/>
      <c r="M857" s="7"/>
      <c r="N857" s="7"/>
      <c r="O857" s="7"/>
      <c r="P857" s="7" t="s">
        <v>61</v>
      </c>
      <c r="Q857" s="7" t="s">
        <v>62</v>
      </c>
      <c r="R857" s="7" t="s">
        <v>7686</v>
      </c>
      <c r="S857" s="7" t="n">
        <v>3</v>
      </c>
      <c r="T857" s="7" t="s">
        <v>7687</v>
      </c>
      <c r="U857" s="7" t="n">
        <v>2</v>
      </c>
      <c r="V857" s="7" t="s">
        <v>15258</v>
      </c>
      <c r="W857" s="7"/>
      <c r="X857" s="7"/>
      <c r="Y857" s="7"/>
      <c r="Z857" s="7" t="s">
        <v>15259</v>
      </c>
      <c r="AA857" s="9" t="s">
        <v>15260</v>
      </c>
      <c r="AB857" s="7" t="s">
        <v>15261</v>
      </c>
      <c r="AC857" s="7" t="s">
        <v>15262</v>
      </c>
      <c r="AD857" s="7" t="s">
        <v>15263</v>
      </c>
      <c r="AE857" s="7"/>
      <c r="AF857" s="7"/>
      <c r="AG857" s="7"/>
      <c r="AH857" s="7"/>
      <c r="AI857" s="7"/>
      <c r="AJ857" s="10" t="s">
        <v>15264</v>
      </c>
      <c r="AK857" s="7" t="s">
        <v>15265</v>
      </c>
      <c r="AL857" s="7" t="s">
        <v>15266</v>
      </c>
      <c r="AM857" s="7" t="s">
        <v>15267</v>
      </c>
      <c r="AN857" s="7"/>
      <c r="AO857" s="7"/>
      <c r="AP857" s="7"/>
      <c r="AQ857" s="7"/>
      <c r="AR857" s="7"/>
      <c r="AS857" s="7"/>
      <c r="AT857" s="7" t="n">
        <v>23692960</v>
      </c>
      <c r="AU857" s="7"/>
      <c r="AV857" s="7"/>
      <c r="AW857" s="7"/>
      <c r="AX857" s="7" t="s">
        <v>7699</v>
      </c>
      <c r="AY857" s="7" t="s">
        <v>75</v>
      </c>
      <c r="AZ857" s="7" t="s">
        <v>107</v>
      </c>
      <c r="BA857" s="7" t="s">
        <v>76</v>
      </c>
      <c r="BB857" s="7" t="s">
        <v>15268</v>
      </c>
      <c r="BC857" s="7"/>
      <c r="BD857" s="7"/>
      <c r="BE857" s="7"/>
      <c r="BF857" s="7"/>
      <c r="BG857" s="7"/>
      <c r="BH857" s="7"/>
      <c r="BI857" s="7"/>
    </row>
    <row r="858" customFormat="false" ht="14.25" hidden="false" customHeight="true" outlineLevel="0" collapsed="false">
      <c r="A858" s="7" t="s">
        <v>15269</v>
      </c>
      <c r="B858" s="7" t="s">
        <v>15270</v>
      </c>
      <c r="C858" s="7" t="s">
        <v>15271</v>
      </c>
      <c r="D858" s="7" t="s">
        <v>15272</v>
      </c>
      <c r="E858" s="7" t="n">
        <v>2017</v>
      </c>
      <c r="F858" s="8" t="s">
        <v>15273</v>
      </c>
      <c r="G858" s="6" t="s">
        <v>134</v>
      </c>
      <c r="H858" s="7"/>
      <c r="I858" s="7"/>
      <c r="J858" s="7"/>
      <c r="K858" s="7"/>
      <c r="L858" s="7"/>
      <c r="M858" s="7"/>
      <c r="N858" s="7"/>
      <c r="O858" s="7"/>
      <c r="P858" s="7" t="s">
        <v>304</v>
      </c>
      <c r="Q858" s="7" t="s">
        <v>62</v>
      </c>
      <c r="R858" s="7" t="s">
        <v>10148</v>
      </c>
      <c r="S858" s="7" t="n">
        <v>553</v>
      </c>
      <c r="T858" s="7" t="s">
        <v>13103</v>
      </c>
      <c r="U858" s="7"/>
      <c r="V858" s="7"/>
      <c r="W858" s="7" t="n">
        <v>721</v>
      </c>
      <c r="X858" s="7" t="n">
        <v>728</v>
      </c>
      <c r="Y858" s="7" t="n">
        <v>7</v>
      </c>
      <c r="Z858" s="7" t="s">
        <v>15274</v>
      </c>
      <c r="AA858" s="9" t="s">
        <v>15275</v>
      </c>
      <c r="AB858" s="7" t="s">
        <v>15276</v>
      </c>
      <c r="AC858" s="7" t="s">
        <v>15277</v>
      </c>
      <c r="AD858" s="7" t="s">
        <v>15278</v>
      </c>
      <c r="AE858" s="7" t="s">
        <v>15279</v>
      </c>
      <c r="AF858" s="7"/>
      <c r="AG858" s="7"/>
      <c r="AH858" s="7"/>
      <c r="AI858" s="7"/>
      <c r="AJ858" s="10"/>
      <c r="AK858" s="7"/>
      <c r="AL858" s="7" t="s">
        <v>15280</v>
      </c>
      <c r="AM858" s="7" t="s">
        <v>15281</v>
      </c>
      <c r="AN858" s="7" t="s">
        <v>15282</v>
      </c>
      <c r="AO858" s="7"/>
      <c r="AP858" s="7" t="s">
        <v>15283</v>
      </c>
      <c r="AQ858" s="7" t="s">
        <v>15284</v>
      </c>
      <c r="AR858" s="7" t="s">
        <v>15285</v>
      </c>
      <c r="AS858" s="7" t="n">
        <v>192399</v>
      </c>
      <c r="AT858" s="7" t="n">
        <v>21945357</v>
      </c>
      <c r="AU858" s="7" t="s">
        <v>15286</v>
      </c>
      <c r="AV858" s="7"/>
      <c r="AW858" s="7"/>
      <c r="AX858" s="7" t="s">
        <v>10162</v>
      </c>
      <c r="AY858" s="7" t="s">
        <v>75</v>
      </c>
      <c r="AZ858" s="7"/>
      <c r="BA858" s="7" t="s">
        <v>76</v>
      </c>
      <c r="BB858" s="7" t="s">
        <v>15287</v>
      </c>
      <c r="BC858" s="7"/>
      <c r="BD858" s="7"/>
      <c r="BE858" s="7"/>
      <c r="BF858" s="7"/>
      <c r="BG858" s="7"/>
      <c r="BH858" s="7"/>
      <c r="BI858" s="7"/>
    </row>
    <row r="859" customFormat="false" ht="14.25" hidden="false" customHeight="true" outlineLevel="0" collapsed="false">
      <c r="A859" s="7" t="s">
        <v>15288</v>
      </c>
      <c r="B859" s="7" t="s">
        <v>15289</v>
      </c>
      <c r="C859" s="7" t="s">
        <v>15290</v>
      </c>
      <c r="D859" s="7" t="s">
        <v>15291</v>
      </c>
      <c r="E859" s="7" t="n">
        <v>2017</v>
      </c>
      <c r="F859" s="8" t="s">
        <v>15292</v>
      </c>
      <c r="G859" s="6" t="s">
        <v>134</v>
      </c>
      <c r="H859" s="7"/>
      <c r="I859" s="7"/>
      <c r="J859" s="7"/>
      <c r="K859" s="7"/>
      <c r="L859" s="7"/>
      <c r="M859" s="7"/>
      <c r="N859" s="7"/>
      <c r="O859" s="7"/>
      <c r="P859" s="7" t="s">
        <v>304</v>
      </c>
      <c r="Q859" s="7" t="s">
        <v>62</v>
      </c>
      <c r="R859" s="7" t="s">
        <v>15293</v>
      </c>
      <c r="S859" s="12" t="n">
        <v>43101</v>
      </c>
      <c r="T859" s="7" t="s">
        <v>187</v>
      </c>
      <c r="U859" s="7"/>
      <c r="V859" s="7"/>
      <c r="W859" s="7" t="n">
        <v>412</v>
      </c>
      <c r="X859" s="7" t="n">
        <v>415</v>
      </c>
      <c r="Y859" s="7" t="n">
        <v>3</v>
      </c>
      <c r="Z859" s="7" t="s">
        <v>15294</v>
      </c>
      <c r="AA859" s="9" t="s">
        <v>15295</v>
      </c>
      <c r="AB859" s="7" t="s">
        <v>15296</v>
      </c>
      <c r="AC859" s="7" t="s">
        <v>15297</v>
      </c>
      <c r="AD859" s="7" t="s">
        <v>15298</v>
      </c>
      <c r="AE859" s="7" t="s">
        <v>15299</v>
      </c>
      <c r="AF859" s="7"/>
      <c r="AG859" s="7"/>
      <c r="AH859" s="7"/>
      <c r="AI859" s="7"/>
      <c r="AJ859" s="10"/>
      <c r="AK859" s="7"/>
      <c r="AL859" s="7" t="s">
        <v>15300</v>
      </c>
      <c r="AM859" s="7"/>
      <c r="AN859" s="7"/>
      <c r="AO859" s="7"/>
      <c r="AP859" s="7" t="s">
        <v>15301</v>
      </c>
      <c r="AQ859" s="7" t="s">
        <v>15302</v>
      </c>
      <c r="AR859" s="7" t="s">
        <v>2604</v>
      </c>
      <c r="AS859" s="7" t="n">
        <v>134567</v>
      </c>
      <c r="AT859" s="7"/>
      <c r="AU859" s="7" t="s">
        <v>15303</v>
      </c>
      <c r="AV859" s="7"/>
      <c r="AW859" s="7"/>
      <c r="AX859" s="7" t="s">
        <v>15304</v>
      </c>
      <c r="AY859" s="7" t="s">
        <v>75</v>
      </c>
      <c r="AZ859" s="7"/>
      <c r="BA859" s="7" t="s">
        <v>76</v>
      </c>
      <c r="BB859" s="7" t="s">
        <v>15305</v>
      </c>
      <c r="BC859" s="7"/>
      <c r="BD859" s="7"/>
      <c r="BE859" s="7"/>
      <c r="BF859" s="7"/>
      <c r="BG859" s="7"/>
      <c r="BH859" s="7"/>
      <c r="BI859" s="7"/>
    </row>
    <row r="860" customFormat="false" ht="14.25" hidden="false" customHeight="true" outlineLevel="0" collapsed="false">
      <c r="A860" s="7" t="s">
        <v>15306</v>
      </c>
      <c r="B860" s="7" t="s">
        <v>15307</v>
      </c>
      <c r="C860" s="7" t="s">
        <v>15308</v>
      </c>
      <c r="D860" s="7" t="s">
        <v>15309</v>
      </c>
      <c r="E860" s="7" t="n">
        <v>2017</v>
      </c>
      <c r="F860" s="8" t="s">
        <v>15310</v>
      </c>
      <c r="G860" s="6" t="s">
        <v>134</v>
      </c>
      <c r="H860" s="7"/>
      <c r="I860" s="7"/>
      <c r="J860" s="7"/>
      <c r="K860" s="7"/>
      <c r="L860" s="7"/>
      <c r="M860" s="7"/>
      <c r="N860" s="7"/>
      <c r="O860" s="7"/>
      <c r="P860" s="7" t="s">
        <v>304</v>
      </c>
      <c r="Q860" s="7" t="s">
        <v>62</v>
      </c>
      <c r="R860" s="7" t="s">
        <v>12036</v>
      </c>
      <c r="S860" s="7" t="n">
        <v>10140</v>
      </c>
      <c r="T860" s="7" t="s">
        <v>3163</v>
      </c>
      <c r="U860" s="7"/>
      <c r="V860" s="7" t="s">
        <v>15311</v>
      </c>
      <c r="W860" s="7"/>
      <c r="X860" s="7"/>
      <c r="Y860" s="7"/>
      <c r="Z860" s="7" t="s">
        <v>15312</v>
      </c>
      <c r="AA860" s="9" t="s">
        <v>15313</v>
      </c>
      <c r="AB860" s="7" t="s">
        <v>15314</v>
      </c>
      <c r="AC860" s="7" t="s">
        <v>15315</v>
      </c>
      <c r="AD860" s="7" t="s">
        <v>15316</v>
      </c>
      <c r="AE860" s="7" t="s">
        <v>15317</v>
      </c>
      <c r="AF860" s="7"/>
      <c r="AG860" s="7"/>
      <c r="AH860" s="7"/>
      <c r="AI860" s="7"/>
      <c r="AJ860" s="10"/>
      <c r="AK860" s="7"/>
      <c r="AL860" s="7" t="s">
        <v>15318</v>
      </c>
      <c r="AM860" s="7"/>
      <c r="AN860" s="7" t="s">
        <v>15319</v>
      </c>
      <c r="AO860" s="7" t="s">
        <v>15320</v>
      </c>
      <c r="AP860" s="7" t="s">
        <v>15321</v>
      </c>
      <c r="AQ860" s="7" t="s">
        <v>15322</v>
      </c>
      <c r="AR860" s="7" t="s">
        <v>6987</v>
      </c>
      <c r="AS860" s="7" t="n">
        <v>127981</v>
      </c>
      <c r="AT860" s="7" t="n">
        <v>16057422</v>
      </c>
      <c r="AU860" s="7" t="s">
        <v>15323</v>
      </c>
      <c r="AV860" s="7"/>
      <c r="AW860" s="7"/>
      <c r="AX860" s="7" t="s">
        <v>12052</v>
      </c>
      <c r="AY860" s="7" t="s">
        <v>75</v>
      </c>
      <c r="AZ860" s="7"/>
      <c r="BA860" s="7" t="s">
        <v>76</v>
      </c>
      <c r="BB860" s="7" t="s">
        <v>15324</v>
      </c>
      <c r="BC860" s="7"/>
      <c r="BD860" s="7"/>
      <c r="BE860" s="7"/>
      <c r="BF860" s="7"/>
      <c r="BG860" s="7"/>
      <c r="BH860" s="7"/>
      <c r="BI860" s="7"/>
    </row>
    <row r="861" customFormat="false" ht="14.25" hidden="false" customHeight="true" outlineLevel="0" collapsed="false">
      <c r="A861" s="7" t="s">
        <v>15325</v>
      </c>
      <c r="B861" s="7" t="s">
        <v>15326</v>
      </c>
      <c r="C861" s="7" t="s">
        <v>15327</v>
      </c>
      <c r="D861" s="7" t="s">
        <v>15328</v>
      </c>
      <c r="E861" s="7" t="n">
        <v>2017</v>
      </c>
      <c r="F861" s="8" t="s">
        <v>15329</v>
      </c>
      <c r="G861" s="6" t="s">
        <v>134</v>
      </c>
      <c r="H861" s="7"/>
      <c r="I861" s="7"/>
      <c r="J861" s="7"/>
      <c r="K861" s="7"/>
      <c r="L861" s="7"/>
      <c r="M861" s="7"/>
      <c r="N861" s="7"/>
      <c r="O861" s="7"/>
      <c r="P861" s="7" t="s">
        <v>304</v>
      </c>
      <c r="Q861" s="7" t="s">
        <v>62</v>
      </c>
      <c r="R861" s="7" t="s">
        <v>15330</v>
      </c>
      <c r="S861" s="7"/>
      <c r="T861" s="7" t="s">
        <v>187</v>
      </c>
      <c r="U861" s="7"/>
      <c r="V861" s="7" t="n">
        <v>7822567</v>
      </c>
      <c r="W861" s="7" t="n">
        <v>493</v>
      </c>
      <c r="X861" s="7" t="n">
        <v>496</v>
      </c>
      <c r="Y861" s="7" t="n">
        <v>3</v>
      </c>
      <c r="Z861" s="7" t="s">
        <v>15331</v>
      </c>
      <c r="AA861" s="9" t="s">
        <v>15332</v>
      </c>
      <c r="AB861" s="7" t="s">
        <v>15333</v>
      </c>
      <c r="AC861" s="7" t="s">
        <v>15334</v>
      </c>
      <c r="AD861" s="7" t="s">
        <v>15335</v>
      </c>
      <c r="AE861" s="7" t="s">
        <v>15336</v>
      </c>
      <c r="AF861" s="7"/>
      <c r="AG861" s="7"/>
      <c r="AH861" s="7"/>
      <c r="AI861" s="7"/>
      <c r="AJ861" s="10" t="s">
        <v>15337</v>
      </c>
      <c r="AK861" s="7" t="s">
        <v>15338</v>
      </c>
      <c r="AL861" s="7" t="s">
        <v>15339</v>
      </c>
      <c r="AM861" s="7" t="s">
        <v>15340</v>
      </c>
      <c r="AN861" s="7" t="s">
        <v>15341</v>
      </c>
      <c r="AO861" s="7" t="s">
        <v>15342</v>
      </c>
      <c r="AP861" s="7" t="s">
        <v>15343</v>
      </c>
      <c r="AQ861" s="7" t="s">
        <v>15344</v>
      </c>
      <c r="AR861" s="7" t="s">
        <v>13579</v>
      </c>
      <c r="AS861" s="7" t="n">
        <v>125905</v>
      </c>
      <c r="AT861" s="7"/>
      <c r="AU861" s="7" t="s">
        <v>15345</v>
      </c>
      <c r="AV861" s="7"/>
      <c r="AW861" s="7"/>
      <c r="AX861" s="7" t="s">
        <v>2225</v>
      </c>
      <c r="AY861" s="7" t="s">
        <v>75</v>
      </c>
      <c r="AZ861" s="7"/>
      <c r="BA861" s="7" t="s">
        <v>76</v>
      </c>
      <c r="BB861" s="7" t="s">
        <v>15346</v>
      </c>
      <c r="BC861" s="7"/>
      <c r="BD861" s="7"/>
      <c r="BE861" s="7"/>
      <c r="BF861" s="7"/>
      <c r="BG861" s="7"/>
      <c r="BH861" s="7"/>
      <c r="BI861" s="7"/>
    </row>
    <row r="862" customFormat="false" ht="14.25" hidden="false" customHeight="true" outlineLevel="0" collapsed="false">
      <c r="A862" s="7" t="s">
        <v>15347</v>
      </c>
      <c r="B862" s="7" t="s">
        <v>15348</v>
      </c>
      <c r="C862" s="7" t="s">
        <v>15349</v>
      </c>
      <c r="D862" s="7" t="s">
        <v>15350</v>
      </c>
      <c r="E862" s="7" t="n">
        <v>2017</v>
      </c>
      <c r="F862" s="8" t="s">
        <v>15351</v>
      </c>
      <c r="G862" s="6" t="s">
        <v>134</v>
      </c>
      <c r="H862" s="7"/>
      <c r="I862" s="7"/>
      <c r="J862" s="7"/>
      <c r="K862" s="7"/>
      <c r="L862" s="7"/>
      <c r="M862" s="7"/>
      <c r="N862" s="7"/>
      <c r="O862" s="7"/>
      <c r="P862" s="7" t="s">
        <v>304</v>
      </c>
      <c r="Q862" s="7" t="s">
        <v>62</v>
      </c>
      <c r="R862" s="7" t="s">
        <v>15352</v>
      </c>
      <c r="S862" s="7"/>
      <c r="T862" s="7" t="s">
        <v>187</v>
      </c>
      <c r="U862" s="7"/>
      <c r="V862" s="7" t="n">
        <v>8050013</v>
      </c>
      <c r="W862" s="7" t="n">
        <v>561</v>
      </c>
      <c r="X862" s="7" t="n">
        <v>565</v>
      </c>
      <c r="Y862" s="7" t="n">
        <v>4</v>
      </c>
      <c r="Z862" s="7" t="s">
        <v>15353</v>
      </c>
      <c r="AA862" s="9" t="s">
        <v>15354</v>
      </c>
      <c r="AB862" s="7" t="s">
        <v>15355</v>
      </c>
      <c r="AC862" s="7" t="s">
        <v>15356</v>
      </c>
      <c r="AD862" s="7"/>
      <c r="AE862" s="7" t="s">
        <v>15357</v>
      </c>
      <c r="AF862" s="7"/>
      <c r="AG862" s="7"/>
      <c r="AH862" s="7"/>
      <c r="AI862" s="7"/>
      <c r="AJ862" s="10"/>
      <c r="AK862" s="7"/>
      <c r="AL862" s="7" t="s">
        <v>15358</v>
      </c>
      <c r="AM862" s="7"/>
      <c r="AN862" s="7"/>
      <c r="AO862" s="7"/>
      <c r="AP862" s="7" t="s">
        <v>15359</v>
      </c>
      <c r="AQ862" s="7" t="s">
        <v>15360</v>
      </c>
      <c r="AR862" s="7" t="s">
        <v>3378</v>
      </c>
      <c r="AS862" s="7" t="n">
        <v>130933</v>
      </c>
      <c r="AT862" s="7"/>
      <c r="AU862" s="7" t="s">
        <v>15361</v>
      </c>
      <c r="AV862" s="7"/>
      <c r="AW862" s="7"/>
      <c r="AX862" s="7" t="s">
        <v>15362</v>
      </c>
      <c r="AY862" s="7" t="s">
        <v>75</v>
      </c>
      <c r="AZ862" s="7"/>
      <c r="BA862" s="7" t="s">
        <v>76</v>
      </c>
      <c r="BB862" s="7" t="s">
        <v>15363</v>
      </c>
      <c r="BC862" s="7"/>
      <c r="BD862" s="7"/>
      <c r="BE862" s="7"/>
      <c r="BF862" s="7"/>
      <c r="BG862" s="7"/>
      <c r="BH862" s="7"/>
      <c r="BI862" s="7"/>
    </row>
    <row r="863" customFormat="false" ht="14.25" hidden="false" customHeight="true" outlineLevel="0" collapsed="false">
      <c r="A863" s="7" t="s">
        <v>15364</v>
      </c>
      <c r="B863" s="7" t="s">
        <v>15365</v>
      </c>
      <c r="C863" s="7" t="s">
        <v>15366</v>
      </c>
      <c r="D863" s="7" t="s">
        <v>15367</v>
      </c>
      <c r="E863" s="7" t="n">
        <v>2017</v>
      </c>
      <c r="F863" s="8" t="s">
        <v>15368</v>
      </c>
      <c r="G863" s="6" t="s">
        <v>134</v>
      </c>
      <c r="H863" s="7"/>
      <c r="I863" s="7"/>
      <c r="J863" s="7"/>
      <c r="K863" s="7"/>
      <c r="L863" s="7"/>
      <c r="M863" s="7"/>
      <c r="N863" s="7"/>
      <c r="O863" s="7"/>
      <c r="P863" s="7" t="s">
        <v>304</v>
      </c>
      <c r="Q863" s="7" t="s">
        <v>62</v>
      </c>
      <c r="R863" s="7" t="s">
        <v>15369</v>
      </c>
      <c r="S863" s="12" t="n">
        <v>43101</v>
      </c>
      <c r="T863" s="7" t="s">
        <v>187</v>
      </c>
      <c r="U863" s="7"/>
      <c r="V863" s="7"/>
      <c r="W863" s="7" t="n">
        <v>116</v>
      </c>
      <c r="X863" s="7" t="n">
        <v>125</v>
      </c>
      <c r="Y863" s="7" t="n">
        <v>9</v>
      </c>
      <c r="Z863" s="7" t="s">
        <v>15370</v>
      </c>
      <c r="AA863" s="9" t="s">
        <v>15371</v>
      </c>
      <c r="AB863" s="7" t="s">
        <v>15372</v>
      </c>
      <c r="AC863" s="7" t="s">
        <v>15373</v>
      </c>
      <c r="AD863" s="7"/>
      <c r="AE863" s="7" t="s">
        <v>15374</v>
      </c>
      <c r="AF863" s="7"/>
      <c r="AG863" s="7"/>
      <c r="AH863" s="7"/>
      <c r="AI863" s="7"/>
      <c r="AJ863" s="10"/>
      <c r="AK863" s="7"/>
      <c r="AL863" s="7" t="s">
        <v>15375</v>
      </c>
      <c r="AM863" s="7"/>
      <c r="AN863" s="7"/>
      <c r="AO863" s="7"/>
      <c r="AP863" s="7" t="s">
        <v>15376</v>
      </c>
      <c r="AQ863" s="7" t="s">
        <v>15377</v>
      </c>
      <c r="AR863" s="7" t="s">
        <v>15378</v>
      </c>
      <c r="AS863" s="7" t="n">
        <v>134301</v>
      </c>
      <c r="AT863" s="7"/>
      <c r="AU863" s="7" t="s">
        <v>15379</v>
      </c>
      <c r="AV863" s="7"/>
      <c r="AW863" s="7"/>
      <c r="AX863" s="7" t="s">
        <v>15380</v>
      </c>
      <c r="AY863" s="7" t="s">
        <v>75</v>
      </c>
      <c r="AZ863" s="7"/>
      <c r="BA863" s="7" t="s">
        <v>76</v>
      </c>
      <c r="BB863" s="7" t="s">
        <v>15381</v>
      </c>
      <c r="BC863" s="7"/>
      <c r="BD863" s="7"/>
      <c r="BE863" s="7"/>
      <c r="BF863" s="7"/>
      <c r="BG863" s="7"/>
      <c r="BH863" s="7"/>
      <c r="BI863" s="7"/>
    </row>
    <row r="864" customFormat="false" ht="14.25" hidden="false" customHeight="true" outlineLevel="0" collapsed="false">
      <c r="A864" s="7" t="s">
        <v>15382</v>
      </c>
      <c r="B864" s="7" t="s">
        <v>15383</v>
      </c>
      <c r="C864" s="7" t="s">
        <v>15384</v>
      </c>
      <c r="D864" s="7" t="s">
        <v>15385</v>
      </c>
      <c r="E864" s="7" t="n">
        <v>2017</v>
      </c>
      <c r="F864" s="8" t="s">
        <v>15386</v>
      </c>
      <c r="G864" s="6" t="s">
        <v>149</v>
      </c>
      <c r="H864" s="7"/>
      <c r="I864" s="7"/>
      <c r="J864" s="7"/>
      <c r="K864" s="7"/>
      <c r="L864" s="7"/>
      <c r="M864" s="7"/>
      <c r="N864" s="7"/>
      <c r="O864" s="7"/>
      <c r="P864" s="7" t="s">
        <v>304</v>
      </c>
      <c r="Q864" s="7" t="s">
        <v>62</v>
      </c>
      <c r="R864" s="7" t="s">
        <v>15387</v>
      </c>
      <c r="S864" s="7"/>
      <c r="T864" s="7" t="s">
        <v>187</v>
      </c>
      <c r="U864" s="7"/>
      <c r="V864" s="7" t="n">
        <v>7849891</v>
      </c>
      <c r="W864" s="7"/>
      <c r="X864" s="7"/>
      <c r="Y864" s="7"/>
      <c r="Z864" s="7" t="s">
        <v>15388</v>
      </c>
      <c r="AA864" s="9" t="s">
        <v>15389</v>
      </c>
      <c r="AB864" s="7" t="s">
        <v>15390</v>
      </c>
      <c r="AC864" s="7" t="s">
        <v>15391</v>
      </c>
      <c r="AD864" s="7"/>
      <c r="AE864" s="7" t="s">
        <v>15392</v>
      </c>
      <c r="AF864" s="7"/>
      <c r="AG864" s="7"/>
      <c r="AH864" s="7"/>
      <c r="AI864" s="7"/>
      <c r="AJ864" s="10"/>
      <c r="AK864" s="7"/>
      <c r="AL864" s="7" t="s">
        <v>15393</v>
      </c>
      <c r="AM864" s="7"/>
      <c r="AN864" s="7"/>
      <c r="AO864" s="7" t="s">
        <v>15394</v>
      </c>
      <c r="AP864" s="7" t="s">
        <v>15387</v>
      </c>
      <c r="AQ864" s="7" t="s">
        <v>15395</v>
      </c>
      <c r="AR864" s="7" t="s">
        <v>3200</v>
      </c>
      <c r="AS864" s="7" t="n">
        <v>126460</v>
      </c>
      <c r="AT864" s="7"/>
      <c r="AU864" s="7" t="s">
        <v>15396</v>
      </c>
      <c r="AV864" s="7"/>
      <c r="AW864" s="7"/>
      <c r="AX864" s="7" t="s">
        <v>15397</v>
      </c>
      <c r="AY864" s="7" t="s">
        <v>75</v>
      </c>
      <c r="AZ864" s="7"/>
      <c r="BA864" s="7" t="s">
        <v>76</v>
      </c>
      <c r="BB864" s="7" t="s">
        <v>15398</v>
      </c>
      <c r="BC864" s="7"/>
      <c r="BD864" s="7"/>
      <c r="BE864" s="7"/>
      <c r="BF864" s="7"/>
      <c r="BG864" s="7"/>
      <c r="BH864" s="7"/>
      <c r="BI864" s="7"/>
    </row>
    <row r="865" customFormat="false" ht="14.25" hidden="false" customHeight="true" outlineLevel="0" collapsed="false">
      <c r="A865" s="7" t="s">
        <v>15399</v>
      </c>
      <c r="B865" s="7" t="s">
        <v>15400</v>
      </c>
      <c r="C865" s="7" t="s">
        <v>15401</v>
      </c>
      <c r="D865" s="7" t="s">
        <v>15402</v>
      </c>
      <c r="E865" s="7" t="n">
        <v>2017</v>
      </c>
      <c r="F865" s="8" t="s">
        <v>15403</v>
      </c>
      <c r="G865" s="6" t="s">
        <v>134</v>
      </c>
      <c r="H865" s="7"/>
      <c r="I865" s="7"/>
      <c r="J865" s="7"/>
      <c r="K865" s="7"/>
      <c r="L865" s="7"/>
      <c r="M865" s="7"/>
      <c r="N865" s="7"/>
      <c r="O865" s="7"/>
      <c r="P865" s="7" t="s">
        <v>304</v>
      </c>
      <c r="Q865" s="7" t="s">
        <v>62</v>
      </c>
      <c r="R865" s="7" t="s">
        <v>10318</v>
      </c>
      <c r="S865" s="12" t="n">
        <v>43009</v>
      </c>
      <c r="T865" s="7" t="s">
        <v>187</v>
      </c>
      <c r="U865" s="7"/>
      <c r="V865" s="7" t="n">
        <v>8457970</v>
      </c>
      <c r="W865" s="7"/>
      <c r="X865" s="7"/>
      <c r="Y865" s="7"/>
      <c r="Z865" s="7" t="s">
        <v>15404</v>
      </c>
      <c r="AA865" s="9" t="s">
        <v>15405</v>
      </c>
      <c r="AB865" s="7" t="s">
        <v>15406</v>
      </c>
      <c r="AC865" s="7" t="s">
        <v>15407</v>
      </c>
      <c r="AD865" s="7"/>
      <c r="AE865" s="7" t="s">
        <v>15408</v>
      </c>
      <c r="AF865" s="7"/>
      <c r="AG865" s="7"/>
      <c r="AH865" s="7"/>
      <c r="AI865" s="7"/>
      <c r="AJ865" s="10" t="s">
        <v>11721</v>
      </c>
      <c r="AK865" s="7" t="s">
        <v>15409</v>
      </c>
      <c r="AL865" s="7" t="s">
        <v>15410</v>
      </c>
      <c r="AM865" s="7" t="s">
        <v>15411</v>
      </c>
      <c r="AN865" s="7"/>
      <c r="AO865" s="7"/>
      <c r="AP865" s="7" t="s">
        <v>15412</v>
      </c>
      <c r="AQ865" s="7" t="s">
        <v>15413</v>
      </c>
      <c r="AR865" s="7" t="s">
        <v>10330</v>
      </c>
      <c r="AS865" s="7" t="n">
        <v>139520</v>
      </c>
      <c r="AT865" s="7" t="n">
        <v>21642516</v>
      </c>
      <c r="AU865" s="7" t="s">
        <v>15414</v>
      </c>
      <c r="AV865" s="7"/>
      <c r="AW865" s="7"/>
      <c r="AX865" s="7" t="s">
        <v>10332</v>
      </c>
      <c r="AY865" s="7" t="s">
        <v>75</v>
      </c>
      <c r="AZ865" s="7"/>
      <c r="BA865" s="7" t="s">
        <v>76</v>
      </c>
      <c r="BB865" s="7" t="s">
        <v>15415</v>
      </c>
      <c r="BC865" s="7"/>
      <c r="BD865" s="7"/>
      <c r="BE865" s="7"/>
      <c r="BF865" s="7"/>
      <c r="BG865" s="7"/>
      <c r="BH865" s="7"/>
      <c r="BI865" s="7"/>
    </row>
    <row r="866" customFormat="false" ht="14.25" hidden="false" customHeight="true" outlineLevel="0" collapsed="false">
      <c r="A866" s="7" t="s">
        <v>15416</v>
      </c>
      <c r="B866" s="7" t="s">
        <v>15417</v>
      </c>
      <c r="C866" s="7" t="s">
        <v>15418</v>
      </c>
      <c r="D866" s="7" t="s">
        <v>15419</v>
      </c>
      <c r="E866" s="7" t="n">
        <v>2017</v>
      </c>
      <c r="F866" s="8" t="s">
        <v>15420</v>
      </c>
      <c r="G866" s="6" t="s">
        <v>134</v>
      </c>
      <c r="H866" s="7"/>
      <c r="I866" s="7"/>
      <c r="J866" s="7"/>
      <c r="K866" s="7"/>
      <c r="L866" s="7"/>
      <c r="M866" s="7"/>
      <c r="N866" s="7"/>
      <c r="O866" s="7"/>
      <c r="P866" s="7" t="s">
        <v>304</v>
      </c>
      <c r="Q866" s="7" t="s">
        <v>62</v>
      </c>
      <c r="R866" s="7" t="s">
        <v>15421</v>
      </c>
      <c r="S866" s="7"/>
      <c r="T866" s="7" t="s">
        <v>187</v>
      </c>
      <c r="U866" s="7"/>
      <c r="V866" s="7" t="n">
        <v>7867644</v>
      </c>
      <c r="W866" s="7"/>
      <c r="X866" s="7"/>
      <c r="Y866" s="7"/>
      <c r="Z866" s="7" t="s">
        <v>15422</v>
      </c>
      <c r="AA866" s="9" t="s">
        <v>15423</v>
      </c>
      <c r="AB866" s="7" t="s">
        <v>15424</v>
      </c>
      <c r="AC866" s="7" t="s">
        <v>15425</v>
      </c>
      <c r="AD866" s="7" t="s">
        <v>15426</v>
      </c>
      <c r="AE866" s="7" t="s">
        <v>15427</v>
      </c>
      <c r="AF866" s="7"/>
      <c r="AG866" s="7"/>
      <c r="AH866" s="7"/>
      <c r="AI866" s="7"/>
      <c r="AJ866" s="10"/>
      <c r="AK866" s="7"/>
      <c r="AL866" s="7" t="s">
        <v>15428</v>
      </c>
      <c r="AM866" s="7"/>
      <c r="AN866" s="7" t="s">
        <v>15429</v>
      </c>
      <c r="AO866" s="7"/>
      <c r="AP866" s="7" t="s">
        <v>15430</v>
      </c>
      <c r="AQ866" s="7" t="s">
        <v>15431</v>
      </c>
      <c r="AR866" s="7" t="s">
        <v>15432</v>
      </c>
      <c r="AS866" s="7" t="n">
        <v>126713</v>
      </c>
      <c r="AT866" s="7"/>
      <c r="AU866" s="7" t="s">
        <v>15433</v>
      </c>
      <c r="AV866" s="7"/>
      <c r="AW866" s="7"/>
      <c r="AX866" s="7" t="s">
        <v>15434</v>
      </c>
      <c r="AY866" s="7" t="s">
        <v>75</v>
      </c>
      <c r="AZ866" s="7"/>
      <c r="BA866" s="7" t="s">
        <v>76</v>
      </c>
      <c r="BB866" s="7" t="s">
        <v>15435</v>
      </c>
      <c r="BC866" s="7"/>
      <c r="BD866" s="7"/>
      <c r="BE866" s="7"/>
      <c r="BF866" s="7"/>
      <c r="BG866" s="7"/>
      <c r="BH866" s="7"/>
      <c r="BI866" s="7"/>
    </row>
    <row r="867" customFormat="false" ht="14.25" hidden="false" customHeight="true" outlineLevel="0" collapsed="false">
      <c r="A867" s="7" t="s">
        <v>15436</v>
      </c>
      <c r="B867" s="7" t="s">
        <v>15437</v>
      </c>
      <c r="C867" s="7" t="s">
        <v>15438</v>
      </c>
      <c r="D867" s="7" t="s">
        <v>15439</v>
      </c>
      <c r="E867" s="7" t="n">
        <v>2017</v>
      </c>
      <c r="F867" s="8" t="s">
        <v>15440</v>
      </c>
      <c r="G867" s="6" t="s">
        <v>134</v>
      </c>
      <c r="H867" s="7"/>
      <c r="I867" s="7"/>
      <c r="J867" s="7"/>
      <c r="K867" s="7"/>
      <c r="L867" s="7"/>
      <c r="M867" s="7"/>
      <c r="N867" s="7"/>
      <c r="O867" s="7"/>
      <c r="P867" s="7" t="s">
        <v>304</v>
      </c>
      <c r="Q867" s="7" t="s">
        <v>62</v>
      </c>
      <c r="R867" s="7" t="s">
        <v>15441</v>
      </c>
      <c r="S867" s="12" t="n">
        <v>42736</v>
      </c>
      <c r="T867" s="7" t="s">
        <v>187</v>
      </c>
      <c r="U867" s="7"/>
      <c r="V867" s="7"/>
      <c r="W867" s="7" t="n">
        <v>451</v>
      </c>
      <c r="X867" s="7" t="n">
        <v>456</v>
      </c>
      <c r="Y867" s="7" t="n">
        <v>5</v>
      </c>
      <c r="Z867" s="7" t="s">
        <v>15442</v>
      </c>
      <c r="AA867" s="9" t="s">
        <v>15443</v>
      </c>
      <c r="AB867" s="7" t="s">
        <v>15444</v>
      </c>
      <c r="AC867" s="7" t="s">
        <v>15445</v>
      </c>
      <c r="AD867" s="7" t="s">
        <v>15446</v>
      </c>
      <c r="AE867" s="7" t="s">
        <v>15447</v>
      </c>
      <c r="AF867" s="7"/>
      <c r="AG867" s="7"/>
      <c r="AH867" s="7"/>
      <c r="AI867" s="7"/>
      <c r="AJ867" s="10"/>
      <c r="AK867" s="7"/>
      <c r="AL867" s="7" t="s">
        <v>15448</v>
      </c>
      <c r="AM867" s="7"/>
      <c r="AN867" s="7" t="s">
        <v>15449</v>
      </c>
      <c r="AO867" s="7" t="s">
        <v>15450</v>
      </c>
      <c r="AP867" s="7" t="s">
        <v>15441</v>
      </c>
      <c r="AQ867" s="7" t="s">
        <v>15451</v>
      </c>
      <c r="AR867" s="7" t="s">
        <v>15452</v>
      </c>
      <c r="AS867" s="7" t="n">
        <v>134073</v>
      </c>
      <c r="AT867" s="7"/>
      <c r="AU867" s="7" t="s">
        <v>15453</v>
      </c>
      <c r="AV867" s="7"/>
      <c r="AW867" s="7"/>
      <c r="AX867" s="7" t="s">
        <v>15454</v>
      </c>
      <c r="AY867" s="7" t="s">
        <v>75</v>
      </c>
      <c r="AZ867" s="7"/>
      <c r="BA867" s="7" t="s">
        <v>76</v>
      </c>
      <c r="BB867" s="7" t="s">
        <v>15455</v>
      </c>
      <c r="BC867" s="7"/>
      <c r="BD867" s="7"/>
      <c r="BE867" s="7"/>
      <c r="BF867" s="7"/>
      <c r="BG867" s="7"/>
      <c r="BH867" s="7"/>
      <c r="BI867" s="7"/>
    </row>
    <row r="868" customFormat="false" ht="14.25" hidden="false" customHeight="true" outlineLevel="0" collapsed="false">
      <c r="A868" s="7" t="s">
        <v>15456</v>
      </c>
      <c r="B868" s="7" t="s">
        <v>15457</v>
      </c>
      <c r="C868" s="7" t="s">
        <v>15458</v>
      </c>
      <c r="D868" s="7" t="s">
        <v>15459</v>
      </c>
      <c r="E868" s="7" t="n">
        <v>2017</v>
      </c>
      <c r="F868" s="8" t="s">
        <v>15460</v>
      </c>
      <c r="G868" s="6" t="s">
        <v>134</v>
      </c>
      <c r="H868" s="7"/>
      <c r="I868" s="7"/>
      <c r="J868" s="7"/>
      <c r="K868" s="7"/>
      <c r="L868" s="7"/>
      <c r="M868" s="7"/>
      <c r="N868" s="7"/>
      <c r="O868" s="7"/>
      <c r="P868" s="7" t="s">
        <v>304</v>
      </c>
      <c r="Q868" s="7" t="s">
        <v>62</v>
      </c>
      <c r="R868" s="7" t="s">
        <v>15461</v>
      </c>
      <c r="S868" s="7"/>
      <c r="T868" s="7" t="s">
        <v>187</v>
      </c>
      <c r="U868" s="7"/>
      <c r="V868" s="7" t="n">
        <v>7897215</v>
      </c>
      <c r="W868" s="7" t="n">
        <v>101</v>
      </c>
      <c r="X868" s="7" t="n">
        <v>104</v>
      </c>
      <c r="Y868" s="7" t="n">
        <v>3</v>
      </c>
      <c r="Z868" s="7" t="s">
        <v>15462</v>
      </c>
      <c r="AA868" s="9" t="s">
        <v>15463</v>
      </c>
      <c r="AB868" s="7" t="s">
        <v>15464</v>
      </c>
      <c r="AC868" s="7" t="s">
        <v>15465</v>
      </c>
      <c r="AD868" s="7"/>
      <c r="AE868" s="7" t="s">
        <v>15466</v>
      </c>
      <c r="AF868" s="7"/>
      <c r="AG868" s="7"/>
      <c r="AH868" s="7"/>
      <c r="AI868" s="7"/>
      <c r="AJ868" s="10"/>
      <c r="AK868" s="7"/>
      <c r="AL868" s="7" t="s">
        <v>15467</v>
      </c>
      <c r="AM868" s="7"/>
      <c r="AN868" s="7"/>
      <c r="AO868" s="7" t="s">
        <v>15468</v>
      </c>
      <c r="AP868" s="7" t="s">
        <v>15469</v>
      </c>
      <c r="AQ868" s="7" t="s">
        <v>15470</v>
      </c>
      <c r="AR868" s="7" t="s">
        <v>6987</v>
      </c>
      <c r="AS868" s="7" t="n">
        <v>127365</v>
      </c>
      <c r="AT868" s="7"/>
      <c r="AU868" s="7" t="s">
        <v>15471</v>
      </c>
      <c r="AV868" s="7"/>
      <c r="AW868" s="7"/>
      <c r="AX868" s="7" t="s">
        <v>15472</v>
      </c>
      <c r="AY868" s="7" t="s">
        <v>75</v>
      </c>
      <c r="AZ868" s="7"/>
      <c r="BA868" s="7" t="s">
        <v>76</v>
      </c>
      <c r="BB868" s="7" t="s">
        <v>15473</v>
      </c>
      <c r="BC868" s="7"/>
      <c r="BD868" s="7"/>
      <c r="BE868" s="7"/>
      <c r="BF868" s="7"/>
      <c r="BG868" s="7"/>
      <c r="BH868" s="7"/>
      <c r="BI868" s="7"/>
    </row>
    <row r="869" customFormat="false" ht="14.25" hidden="false" customHeight="true" outlineLevel="0" collapsed="false">
      <c r="A869" s="7" t="s">
        <v>15474</v>
      </c>
      <c r="B869" s="7" t="s">
        <v>15475</v>
      </c>
      <c r="C869" s="7" t="s">
        <v>15476</v>
      </c>
      <c r="D869" s="7" t="s">
        <v>15477</v>
      </c>
      <c r="E869" s="7" t="n">
        <v>2017</v>
      </c>
      <c r="F869" s="8" t="s">
        <v>15478</v>
      </c>
      <c r="G869" s="6" t="s">
        <v>149</v>
      </c>
      <c r="H869" s="7"/>
      <c r="I869" s="7"/>
      <c r="J869" s="7"/>
      <c r="K869" s="7"/>
      <c r="L869" s="7"/>
      <c r="M869" s="7"/>
      <c r="N869" s="7"/>
      <c r="O869" s="7"/>
      <c r="P869" s="7" t="s">
        <v>304</v>
      </c>
      <c r="Q869" s="7" t="s">
        <v>62</v>
      </c>
      <c r="R869" s="7" t="s">
        <v>305</v>
      </c>
      <c r="S869" s="7" t="n">
        <v>735</v>
      </c>
      <c r="T869" s="7" t="s">
        <v>13103</v>
      </c>
      <c r="U869" s="7"/>
      <c r="V869" s="7"/>
      <c r="W869" s="7" t="n">
        <v>472</v>
      </c>
      <c r="X869" s="7" t="n">
        <v>484</v>
      </c>
      <c r="Y869" s="7" t="n">
        <v>12</v>
      </c>
      <c r="Z869" s="7" t="s">
        <v>15479</v>
      </c>
      <c r="AA869" s="9" t="s">
        <v>15480</v>
      </c>
      <c r="AB869" s="7" t="s">
        <v>15481</v>
      </c>
      <c r="AC869" s="7" t="s">
        <v>15482</v>
      </c>
      <c r="AD869" s="7" t="s">
        <v>15483</v>
      </c>
      <c r="AE869" s="7" t="s">
        <v>15484</v>
      </c>
      <c r="AF869" s="7"/>
      <c r="AG869" s="7"/>
      <c r="AH869" s="7"/>
      <c r="AI869" s="7"/>
      <c r="AJ869" s="10" t="s">
        <v>15485</v>
      </c>
      <c r="AK869" s="7" t="s">
        <v>15486</v>
      </c>
      <c r="AL869" s="7" t="s">
        <v>15487</v>
      </c>
      <c r="AM869" s="7" t="s">
        <v>15488</v>
      </c>
      <c r="AN869" s="7" t="s">
        <v>15489</v>
      </c>
      <c r="AO869" s="7"/>
      <c r="AP869" s="7" t="s">
        <v>15490</v>
      </c>
      <c r="AQ869" s="7" t="s">
        <v>15491</v>
      </c>
      <c r="AR869" s="7" t="s">
        <v>15492</v>
      </c>
      <c r="AS869" s="7" t="n">
        <v>196549</v>
      </c>
      <c r="AT869" s="7" t="n">
        <v>18650929</v>
      </c>
      <c r="AU869" s="7" t="s">
        <v>15493</v>
      </c>
      <c r="AV869" s="7"/>
      <c r="AW869" s="7"/>
      <c r="AX869" s="7" t="s">
        <v>321</v>
      </c>
      <c r="AY869" s="7" t="s">
        <v>75</v>
      </c>
      <c r="AZ869" s="7"/>
      <c r="BA869" s="7" t="s">
        <v>76</v>
      </c>
      <c r="BB869" s="7" t="s">
        <v>15494</v>
      </c>
      <c r="BC869" s="7"/>
      <c r="BD869" s="7"/>
      <c r="BE869" s="7"/>
      <c r="BF869" s="7"/>
      <c r="BG869" s="7"/>
      <c r="BH869" s="7"/>
      <c r="BI869" s="7"/>
    </row>
    <row r="870" customFormat="false" ht="14.25" hidden="false" customHeight="true" outlineLevel="0" collapsed="false">
      <c r="A870" s="7" t="s">
        <v>15495</v>
      </c>
      <c r="B870" s="7" t="s">
        <v>15496</v>
      </c>
      <c r="C870" s="7" t="s">
        <v>15497</v>
      </c>
      <c r="D870" s="7" t="s">
        <v>15498</v>
      </c>
      <c r="E870" s="7" t="n">
        <v>2017</v>
      </c>
      <c r="F870" s="8" t="s">
        <v>15499</v>
      </c>
      <c r="G870" s="6" t="s">
        <v>134</v>
      </c>
      <c r="H870" s="7"/>
      <c r="I870" s="7"/>
      <c r="J870" s="7"/>
      <c r="K870" s="7"/>
      <c r="L870" s="7"/>
      <c r="M870" s="7"/>
      <c r="N870" s="7"/>
      <c r="O870" s="7"/>
      <c r="P870" s="7" t="s">
        <v>304</v>
      </c>
      <c r="Q870" s="7" t="s">
        <v>62</v>
      </c>
      <c r="R870" s="7" t="s">
        <v>15500</v>
      </c>
      <c r="S870" s="7"/>
      <c r="T870" s="7" t="s">
        <v>187</v>
      </c>
      <c r="U870" s="7"/>
      <c r="V870" s="7" t="n">
        <v>7906393</v>
      </c>
      <c r="W870" s="7"/>
      <c r="X870" s="7"/>
      <c r="Y870" s="7"/>
      <c r="Z870" s="7" t="s">
        <v>15501</v>
      </c>
      <c r="AA870" s="9" t="s">
        <v>15502</v>
      </c>
      <c r="AB870" s="7" t="s">
        <v>15503</v>
      </c>
      <c r="AC870" s="7" t="s">
        <v>15504</v>
      </c>
      <c r="AD870" s="7"/>
      <c r="AE870" s="7" t="s">
        <v>15505</v>
      </c>
      <c r="AF870" s="7"/>
      <c r="AG870" s="7"/>
      <c r="AH870" s="7"/>
      <c r="AI870" s="7"/>
      <c r="AJ870" s="10"/>
      <c r="AK870" s="7"/>
      <c r="AL870" s="7" t="s">
        <v>15506</v>
      </c>
      <c r="AM870" s="7"/>
      <c r="AN870" s="7"/>
      <c r="AO870" s="7"/>
      <c r="AP870" s="7" t="s">
        <v>15500</v>
      </c>
      <c r="AQ870" s="7" t="s">
        <v>15507</v>
      </c>
      <c r="AR870" s="7" t="s">
        <v>15508</v>
      </c>
      <c r="AS870" s="7" t="n">
        <v>127430</v>
      </c>
      <c r="AT870" s="7"/>
      <c r="AU870" s="7" t="s">
        <v>15509</v>
      </c>
      <c r="AV870" s="7"/>
      <c r="AW870" s="7"/>
      <c r="AX870" s="7" t="s">
        <v>15510</v>
      </c>
      <c r="AY870" s="7" t="s">
        <v>75</v>
      </c>
      <c r="AZ870" s="7"/>
      <c r="BA870" s="7" t="s">
        <v>76</v>
      </c>
      <c r="BB870" s="7" t="s">
        <v>15511</v>
      </c>
      <c r="BC870" s="7"/>
      <c r="BD870" s="7"/>
      <c r="BE870" s="7"/>
      <c r="BF870" s="7"/>
      <c r="BG870" s="7"/>
      <c r="BH870" s="7"/>
      <c r="BI870" s="7"/>
    </row>
    <row r="871" customFormat="false" ht="14.25" hidden="false" customHeight="true" outlineLevel="0" collapsed="false">
      <c r="A871" s="7" t="s">
        <v>15512</v>
      </c>
      <c r="B871" s="7" t="s">
        <v>15513</v>
      </c>
      <c r="C871" s="7" t="s">
        <v>14673</v>
      </c>
      <c r="D871" s="7" t="s">
        <v>15514</v>
      </c>
      <c r="E871" s="7" t="n">
        <v>2017</v>
      </c>
      <c r="F871" s="8" t="s">
        <v>15515</v>
      </c>
      <c r="G871" s="6" t="s">
        <v>134</v>
      </c>
      <c r="H871" s="7"/>
      <c r="I871" s="7"/>
      <c r="J871" s="7"/>
      <c r="K871" s="7"/>
      <c r="L871" s="7"/>
      <c r="M871" s="7"/>
      <c r="N871" s="7"/>
      <c r="O871" s="7"/>
      <c r="P871" s="7" t="s">
        <v>304</v>
      </c>
      <c r="Q871" s="7" t="s">
        <v>62</v>
      </c>
      <c r="R871" s="7" t="s">
        <v>15516</v>
      </c>
      <c r="S871" s="7"/>
      <c r="T871" s="7" t="s">
        <v>187</v>
      </c>
      <c r="U871" s="7"/>
      <c r="V871" s="7" t="n">
        <v>8010566</v>
      </c>
      <c r="W871" s="7" t="n">
        <v>1</v>
      </c>
      <c r="X871" s="7" t="n">
        <v>6</v>
      </c>
      <c r="Y871" s="7" t="n">
        <v>5</v>
      </c>
      <c r="Z871" s="7" t="s">
        <v>15517</v>
      </c>
      <c r="AA871" s="9" t="s">
        <v>15518</v>
      </c>
      <c r="AB871" s="7" t="s">
        <v>14679</v>
      </c>
      <c r="AC871" s="7" t="s">
        <v>15519</v>
      </c>
      <c r="AD871" s="7" t="s">
        <v>15520</v>
      </c>
      <c r="AE871" s="7" t="s">
        <v>15521</v>
      </c>
      <c r="AF871" s="7"/>
      <c r="AG871" s="7"/>
      <c r="AH871" s="7"/>
      <c r="AI871" s="7"/>
      <c r="AJ871" s="10"/>
      <c r="AK871" s="7"/>
      <c r="AL871" s="7" t="s">
        <v>15522</v>
      </c>
      <c r="AM871" s="7"/>
      <c r="AN871" s="7"/>
      <c r="AO871" s="7"/>
      <c r="AP871" s="7" t="s">
        <v>15523</v>
      </c>
      <c r="AQ871" s="7" t="s">
        <v>15524</v>
      </c>
      <c r="AR871" s="7" t="s">
        <v>15525</v>
      </c>
      <c r="AS871" s="7" t="n">
        <v>130063</v>
      </c>
      <c r="AT871" s="7"/>
      <c r="AU871" s="7" t="s">
        <v>15526</v>
      </c>
      <c r="AV871" s="7"/>
      <c r="AW871" s="7"/>
      <c r="AX871" s="7" t="s">
        <v>15527</v>
      </c>
      <c r="AY871" s="7" t="s">
        <v>75</v>
      </c>
      <c r="AZ871" s="7"/>
      <c r="BA871" s="7" t="s">
        <v>76</v>
      </c>
      <c r="BB871" s="7" t="s">
        <v>15528</v>
      </c>
      <c r="BC871" s="7"/>
      <c r="BD871" s="7"/>
      <c r="BE871" s="7"/>
      <c r="BF871" s="7"/>
      <c r="BG871" s="7"/>
      <c r="BH871" s="7"/>
      <c r="BI871" s="7"/>
    </row>
    <row r="872" customFormat="false" ht="14.25" hidden="false" customHeight="true" outlineLevel="0" collapsed="false">
      <c r="A872" s="7" t="s">
        <v>15529</v>
      </c>
      <c r="B872" s="7" t="s">
        <v>15530</v>
      </c>
      <c r="C872" s="7" t="s">
        <v>15531</v>
      </c>
      <c r="D872" s="7" t="s">
        <v>15532</v>
      </c>
      <c r="E872" s="7" t="n">
        <v>2017</v>
      </c>
      <c r="F872" s="8" t="s">
        <v>15533</v>
      </c>
      <c r="G872" s="6" t="s">
        <v>134</v>
      </c>
      <c r="H872" s="7"/>
      <c r="I872" s="7"/>
      <c r="J872" s="7"/>
      <c r="K872" s="7"/>
      <c r="L872" s="7"/>
      <c r="M872" s="7"/>
      <c r="N872" s="7"/>
      <c r="O872" s="7"/>
      <c r="P872" s="7" t="s">
        <v>304</v>
      </c>
      <c r="Q872" s="7" t="s">
        <v>62</v>
      </c>
      <c r="R872" s="7" t="s">
        <v>15534</v>
      </c>
      <c r="S872" s="7" t="n">
        <v>1</v>
      </c>
      <c r="T872" s="7" t="s">
        <v>187</v>
      </c>
      <c r="U872" s="7"/>
      <c r="V872" s="7"/>
      <c r="W872" s="7" t="n">
        <v>246</v>
      </c>
      <c r="X872" s="7" t="n">
        <v>250</v>
      </c>
      <c r="Y872" s="7" t="n">
        <v>4</v>
      </c>
      <c r="Z872" s="7" t="s">
        <v>15535</v>
      </c>
      <c r="AA872" s="9" t="s">
        <v>15536</v>
      </c>
      <c r="AB872" s="7" t="s">
        <v>15537</v>
      </c>
      <c r="AC872" s="7" t="s">
        <v>15538</v>
      </c>
      <c r="AD872" s="7" t="s">
        <v>15539</v>
      </c>
      <c r="AE872" s="7" t="s">
        <v>15540</v>
      </c>
      <c r="AF872" s="7"/>
      <c r="AG872" s="7"/>
      <c r="AH872" s="7"/>
      <c r="AI872" s="7"/>
      <c r="AJ872" s="10"/>
      <c r="AK872" s="7"/>
      <c r="AL872" s="7" t="s">
        <v>15541</v>
      </c>
      <c r="AM872" s="7"/>
      <c r="AN872" s="7"/>
      <c r="AO872" s="7"/>
      <c r="AP872" s="7" t="s">
        <v>15542</v>
      </c>
      <c r="AQ872" s="7" t="s">
        <v>15543</v>
      </c>
      <c r="AR872" s="7" t="s">
        <v>15544</v>
      </c>
      <c r="AS872" s="7" t="n">
        <v>132451</v>
      </c>
      <c r="AT872" s="7"/>
      <c r="AU872" s="7" t="s">
        <v>15545</v>
      </c>
      <c r="AV872" s="7"/>
      <c r="AW872" s="7"/>
      <c r="AX872" s="7" t="s">
        <v>15546</v>
      </c>
      <c r="AY872" s="7" t="s">
        <v>75</v>
      </c>
      <c r="AZ872" s="7"/>
      <c r="BA872" s="7" t="s">
        <v>76</v>
      </c>
      <c r="BB872" s="7" t="s">
        <v>15547</v>
      </c>
      <c r="BC872" s="7"/>
      <c r="BD872" s="7"/>
      <c r="BE872" s="7"/>
      <c r="BF872" s="7"/>
      <c r="BG872" s="7"/>
      <c r="BH872" s="7"/>
      <c r="BI872" s="7"/>
    </row>
    <row r="873" customFormat="false" ht="14.25" hidden="false" customHeight="true" outlineLevel="0" collapsed="false">
      <c r="A873" s="7" t="s">
        <v>15548</v>
      </c>
      <c r="B873" s="7" t="s">
        <v>15549</v>
      </c>
      <c r="C873" s="7" t="s">
        <v>15550</v>
      </c>
      <c r="D873" s="7" t="s">
        <v>15551</v>
      </c>
      <c r="E873" s="7" t="n">
        <v>2017</v>
      </c>
      <c r="F873" s="8" t="s">
        <v>15552</v>
      </c>
      <c r="G873" s="6" t="s">
        <v>134</v>
      </c>
      <c r="H873" s="7"/>
      <c r="I873" s="7"/>
      <c r="J873" s="7"/>
      <c r="K873" s="7"/>
      <c r="L873" s="7"/>
      <c r="M873" s="7"/>
      <c r="N873" s="7"/>
      <c r="O873" s="7"/>
      <c r="P873" s="7" t="s">
        <v>304</v>
      </c>
      <c r="Q873" s="7" t="s">
        <v>62</v>
      </c>
      <c r="R873" s="7" t="s">
        <v>10545</v>
      </c>
      <c r="S873" s="7"/>
      <c r="T873" s="7" t="s">
        <v>187</v>
      </c>
      <c r="U873" s="7"/>
      <c r="V873" s="7" t="n">
        <v>8037457</v>
      </c>
      <c r="W873" s="7" t="n">
        <v>2875</v>
      </c>
      <c r="X873" s="7" t="n">
        <v>2878</v>
      </c>
      <c r="Y873" s="7" t="n">
        <v>3</v>
      </c>
      <c r="Z873" s="7" t="s">
        <v>15553</v>
      </c>
      <c r="AA873" s="9" t="s">
        <v>15554</v>
      </c>
      <c r="AB873" s="7"/>
      <c r="AC873" s="7"/>
      <c r="AD873" s="7"/>
      <c r="AE873" s="7" t="s">
        <v>15555</v>
      </c>
      <c r="AF873" s="7"/>
      <c r="AG873" s="7"/>
      <c r="AH873" s="7"/>
      <c r="AI873" s="7"/>
      <c r="AJ873" s="10" t="s">
        <v>15556</v>
      </c>
      <c r="AK873" s="7" t="s">
        <v>15557</v>
      </c>
      <c r="AL873" s="7" t="s">
        <v>15558</v>
      </c>
      <c r="AM873" s="7"/>
      <c r="AN873" s="7"/>
      <c r="AO873" s="7"/>
      <c r="AP873" s="7" t="s">
        <v>15559</v>
      </c>
      <c r="AQ873" s="7" t="s">
        <v>15560</v>
      </c>
      <c r="AR873" s="7" t="s">
        <v>11177</v>
      </c>
      <c r="AS873" s="7" t="n">
        <v>130871</v>
      </c>
      <c r="AT873" s="7" t="s">
        <v>10555</v>
      </c>
      <c r="AU873" s="7" t="s">
        <v>15561</v>
      </c>
      <c r="AV873" s="7"/>
      <c r="AW873" s="7" t="n">
        <v>29060498</v>
      </c>
      <c r="AX873" s="7" t="s">
        <v>10557</v>
      </c>
      <c r="AY873" s="7" t="s">
        <v>75</v>
      </c>
      <c r="AZ873" s="7"/>
      <c r="BA873" s="7" t="s">
        <v>76</v>
      </c>
      <c r="BB873" s="7" t="s">
        <v>15562</v>
      </c>
      <c r="BC873" s="7"/>
      <c r="BD873" s="7"/>
      <c r="BE873" s="7"/>
      <c r="BF873" s="7"/>
      <c r="BG873" s="7"/>
      <c r="BH873" s="7"/>
      <c r="BI873" s="7"/>
    </row>
    <row r="874" customFormat="false" ht="14.25" hidden="false" customHeight="true" outlineLevel="0" collapsed="false">
      <c r="A874" s="7" t="s">
        <v>15563</v>
      </c>
      <c r="B874" s="7" t="s">
        <v>15564</v>
      </c>
      <c r="C874" s="7" t="s">
        <v>15565</v>
      </c>
      <c r="D874" s="7" t="s">
        <v>15566</v>
      </c>
      <c r="E874" s="7" t="n">
        <v>2017</v>
      </c>
      <c r="F874" s="8" t="s">
        <v>15567</v>
      </c>
      <c r="G874" s="6" t="s">
        <v>134</v>
      </c>
      <c r="H874" s="7"/>
      <c r="I874" s="7"/>
      <c r="J874" s="7"/>
      <c r="K874" s="7"/>
      <c r="L874" s="7"/>
      <c r="M874" s="7"/>
      <c r="N874" s="7"/>
      <c r="O874" s="7"/>
      <c r="P874" s="7" t="s">
        <v>304</v>
      </c>
      <c r="Q874" s="7" t="s">
        <v>62</v>
      </c>
      <c r="R874" s="7" t="s">
        <v>2751</v>
      </c>
      <c r="S874" s="7" t="s">
        <v>15568</v>
      </c>
      <c r="T874" s="7" t="s">
        <v>13103</v>
      </c>
      <c r="U874" s="7"/>
      <c r="V874" s="7"/>
      <c r="W874" s="7" t="n">
        <v>424</v>
      </c>
      <c r="X874" s="7" t="n">
        <v>433</v>
      </c>
      <c r="Y874" s="7" t="n">
        <v>9</v>
      </c>
      <c r="Z874" s="7" t="s">
        <v>15569</v>
      </c>
      <c r="AA874" s="9" t="s">
        <v>15570</v>
      </c>
      <c r="AB874" s="7" t="s">
        <v>15571</v>
      </c>
      <c r="AC874" s="7" t="s">
        <v>15572</v>
      </c>
      <c r="AD874" s="7" t="s">
        <v>15573</v>
      </c>
      <c r="AE874" s="7" t="s">
        <v>15574</v>
      </c>
      <c r="AF874" s="7"/>
      <c r="AG874" s="7"/>
      <c r="AH874" s="7"/>
      <c r="AI874" s="7"/>
      <c r="AJ874" s="10" t="s">
        <v>15575</v>
      </c>
      <c r="AK874" s="7" t="s">
        <v>15576</v>
      </c>
      <c r="AL874" s="7" t="s">
        <v>15577</v>
      </c>
      <c r="AM874" s="7" t="s">
        <v>15578</v>
      </c>
      <c r="AN874" s="7" t="s">
        <v>15579</v>
      </c>
      <c r="AO874" s="7" t="s">
        <v>15580</v>
      </c>
      <c r="AP874" s="7" t="s">
        <v>15581</v>
      </c>
      <c r="AQ874" s="7" t="s">
        <v>15582</v>
      </c>
      <c r="AR874" s="7" t="s">
        <v>15583</v>
      </c>
      <c r="AS874" s="7" t="n">
        <v>190369</v>
      </c>
      <c r="AT874" s="7" t="n">
        <v>3029743</v>
      </c>
      <c r="AU874" s="7" t="s">
        <v>15584</v>
      </c>
      <c r="AV874" s="7"/>
      <c r="AW874" s="7"/>
      <c r="AX874" s="7" t="s">
        <v>2766</v>
      </c>
      <c r="AY874" s="7" t="s">
        <v>75</v>
      </c>
      <c r="AZ874" s="7"/>
      <c r="BA874" s="7" t="s">
        <v>76</v>
      </c>
      <c r="BB874" s="7" t="s">
        <v>15585</v>
      </c>
      <c r="BC874" s="7"/>
      <c r="BD874" s="7"/>
      <c r="BE874" s="7"/>
      <c r="BF874" s="7"/>
      <c r="BG874" s="7"/>
      <c r="BH874" s="7"/>
      <c r="BI874" s="7"/>
    </row>
    <row r="875" customFormat="false" ht="14.25" hidden="false" customHeight="true" outlineLevel="0" collapsed="false">
      <c r="A875" s="7" t="s">
        <v>15586</v>
      </c>
      <c r="B875" s="7" t="s">
        <v>15587</v>
      </c>
      <c r="C875" s="7" t="s">
        <v>15588</v>
      </c>
      <c r="D875" s="7" t="s">
        <v>15589</v>
      </c>
      <c r="E875" s="7" t="n">
        <v>2016</v>
      </c>
      <c r="F875" s="8" t="s">
        <v>15590</v>
      </c>
      <c r="G875" s="6" t="s">
        <v>134</v>
      </c>
      <c r="H875" s="7"/>
      <c r="I875" s="7"/>
      <c r="J875" s="7"/>
      <c r="K875" s="7"/>
      <c r="L875" s="7"/>
      <c r="M875" s="7"/>
      <c r="N875" s="7"/>
      <c r="O875" s="7"/>
      <c r="P875" s="7" t="s">
        <v>61</v>
      </c>
      <c r="Q875" s="7" t="s">
        <v>62</v>
      </c>
      <c r="R875" s="7" t="s">
        <v>679</v>
      </c>
      <c r="S875" s="7" t="n">
        <v>10</v>
      </c>
      <c r="T875" s="7" t="s">
        <v>500</v>
      </c>
      <c r="U875" s="7" t="n">
        <v>6</v>
      </c>
      <c r="V875" s="7" t="s">
        <v>15591</v>
      </c>
      <c r="W875" s="7"/>
      <c r="X875" s="7"/>
      <c r="Y875" s="7"/>
      <c r="Z875" s="7" t="s">
        <v>15592</v>
      </c>
      <c r="AA875" s="9" t="s">
        <v>15593</v>
      </c>
      <c r="AB875" s="7" t="s">
        <v>15594</v>
      </c>
      <c r="AC875" s="7" t="s">
        <v>15595</v>
      </c>
      <c r="AD875" s="7"/>
      <c r="AE875" s="7" t="s">
        <v>15596</v>
      </c>
      <c r="AF875" s="7"/>
      <c r="AG875" s="7" t="s">
        <v>15597</v>
      </c>
      <c r="AH875" s="7"/>
      <c r="AI875" s="7"/>
      <c r="AJ875" s="10"/>
      <c r="AK875" s="7"/>
      <c r="AL875" s="7" t="s">
        <v>15598</v>
      </c>
      <c r="AM875" s="7" t="s">
        <v>15599</v>
      </c>
      <c r="AN875" s="7"/>
      <c r="AO875" s="7"/>
      <c r="AP875" s="7"/>
      <c r="AQ875" s="7"/>
      <c r="AR875" s="7"/>
      <c r="AS875" s="7"/>
      <c r="AT875" s="7" t="n">
        <v>19352727</v>
      </c>
      <c r="AU875" s="7"/>
      <c r="AV875" s="7"/>
      <c r="AW875" s="7" t="n">
        <v>27348755</v>
      </c>
      <c r="AX875" s="7" t="s">
        <v>689</v>
      </c>
      <c r="AY875" s="7" t="s">
        <v>75</v>
      </c>
      <c r="AZ875" s="7" t="s">
        <v>107</v>
      </c>
      <c r="BA875" s="7" t="s">
        <v>76</v>
      </c>
      <c r="BB875" s="7" t="s">
        <v>15600</v>
      </c>
      <c r="BC875" s="7"/>
      <c r="BD875" s="7"/>
      <c r="BE875" s="7"/>
      <c r="BF875" s="7"/>
      <c r="BG875" s="7"/>
      <c r="BH875" s="7"/>
      <c r="BI875" s="7"/>
    </row>
    <row r="876" customFormat="false" ht="14.25" hidden="false" customHeight="true" outlineLevel="0" collapsed="false">
      <c r="A876" s="7" t="s">
        <v>15601</v>
      </c>
      <c r="B876" s="7" t="s">
        <v>15602</v>
      </c>
      <c r="C876" s="7" t="s">
        <v>15603</v>
      </c>
      <c r="D876" s="7" t="s">
        <v>15604</v>
      </c>
      <c r="E876" s="7" t="n">
        <v>2016</v>
      </c>
      <c r="F876" s="8" t="s">
        <v>15605</v>
      </c>
      <c r="G876" s="6" t="s">
        <v>393</v>
      </c>
      <c r="H876" s="7"/>
      <c r="I876" s="7"/>
      <c r="J876" s="7"/>
      <c r="K876" s="7"/>
      <c r="L876" s="7"/>
      <c r="M876" s="7"/>
      <c r="N876" s="7"/>
      <c r="O876" s="7"/>
      <c r="P876" s="7" t="s">
        <v>61</v>
      </c>
      <c r="Q876" s="7" t="s">
        <v>62</v>
      </c>
      <c r="R876" s="7" t="s">
        <v>679</v>
      </c>
      <c r="S876" s="7" t="n">
        <v>10</v>
      </c>
      <c r="T876" s="7" t="s">
        <v>500</v>
      </c>
      <c r="U876" s="7" t="n">
        <v>1</v>
      </c>
      <c r="V876" s="7" t="s">
        <v>15606</v>
      </c>
      <c r="W876" s="7"/>
      <c r="X876" s="7"/>
      <c r="Y876" s="7"/>
      <c r="Z876" s="7" t="s">
        <v>15607</v>
      </c>
      <c r="AA876" s="9" t="s">
        <v>15608</v>
      </c>
      <c r="AB876" s="7" t="s">
        <v>15609</v>
      </c>
      <c r="AC876" s="7" t="s">
        <v>15610</v>
      </c>
      <c r="AD876" s="7"/>
      <c r="AE876" s="7" t="s">
        <v>15611</v>
      </c>
      <c r="AF876" s="7"/>
      <c r="AG876" s="7" t="s">
        <v>15612</v>
      </c>
      <c r="AH876" s="7"/>
      <c r="AI876" s="7"/>
      <c r="AJ876" s="10"/>
      <c r="AK876" s="7"/>
      <c r="AL876" s="7" t="s">
        <v>15613</v>
      </c>
      <c r="AM876" s="7" t="s">
        <v>15614</v>
      </c>
      <c r="AN876" s="7"/>
      <c r="AO876" s="7"/>
      <c r="AP876" s="7"/>
      <c r="AQ876" s="7"/>
      <c r="AR876" s="7"/>
      <c r="AS876" s="7"/>
      <c r="AT876" s="7" t="n">
        <v>19352727</v>
      </c>
      <c r="AU876" s="7"/>
      <c r="AV876" s="7"/>
      <c r="AW876" s="7" t="n">
        <v>26735519</v>
      </c>
      <c r="AX876" s="7" t="s">
        <v>689</v>
      </c>
      <c r="AY876" s="7" t="s">
        <v>75</v>
      </c>
      <c r="AZ876" s="7" t="s">
        <v>107</v>
      </c>
      <c r="BA876" s="7" t="s">
        <v>76</v>
      </c>
      <c r="BB876" s="7" t="s">
        <v>15615</v>
      </c>
      <c r="BC876" s="7"/>
      <c r="BD876" s="7"/>
      <c r="BE876" s="7"/>
      <c r="BF876" s="7"/>
      <c r="BG876" s="7"/>
      <c r="BH876" s="7"/>
      <c r="BI876" s="7"/>
    </row>
    <row r="877" customFormat="false" ht="14.25" hidden="false" customHeight="true" outlineLevel="0" collapsed="false">
      <c r="A877" s="7" t="s">
        <v>15616</v>
      </c>
      <c r="B877" s="7" t="s">
        <v>15617</v>
      </c>
      <c r="C877" s="7" t="s">
        <v>15618</v>
      </c>
      <c r="D877" s="7" t="s">
        <v>15619</v>
      </c>
      <c r="E877" s="7" t="n">
        <v>2016</v>
      </c>
      <c r="F877" s="8" t="s">
        <v>15620</v>
      </c>
      <c r="G877" s="6" t="s">
        <v>149</v>
      </c>
      <c r="H877" s="7"/>
      <c r="I877" s="7"/>
      <c r="J877" s="7"/>
      <c r="K877" s="7"/>
      <c r="L877" s="7"/>
      <c r="M877" s="7"/>
      <c r="N877" s="7"/>
      <c r="O877" s="7"/>
      <c r="P877" s="7" t="s">
        <v>61</v>
      </c>
      <c r="Q877" s="7" t="s">
        <v>62</v>
      </c>
      <c r="R877" s="7" t="s">
        <v>801</v>
      </c>
      <c r="S877" s="7" t="n">
        <v>36</v>
      </c>
      <c r="T877" s="7" t="s">
        <v>202</v>
      </c>
      <c r="U877" s="7"/>
      <c r="V877" s="7"/>
      <c r="W877" s="7" t="n">
        <v>172</v>
      </c>
      <c r="X877" s="7" t="n">
        <v>180</v>
      </c>
      <c r="Y877" s="7" t="n">
        <v>8</v>
      </c>
      <c r="Z877" s="7" t="s">
        <v>15621</v>
      </c>
      <c r="AA877" s="9" t="s">
        <v>15622</v>
      </c>
      <c r="AB877" s="7" t="s">
        <v>15623</v>
      </c>
      <c r="AC877" s="7" t="s">
        <v>15624</v>
      </c>
      <c r="AD877" s="7" t="s">
        <v>15625</v>
      </c>
      <c r="AE877" s="7" t="s">
        <v>15626</v>
      </c>
      <c r="AF877" s="7"/>
      <c r="AG877" s="7"/>
      <c r="AH877" s="7"/>
      <c r="AI877" s="7"/>
      <c r="AJ877" s="10" t="s">
        <v>15627</v>
      </c>
      <c r="AK877" s="7" t="s">
        <v>15628</v>
      </c>
      <c r="AL877" s="7" t="s">
        <v>15629</v>
      </c>
      <c r="AM877" s="7"/>
      <c r="AN877" s="7"/>
      <c r="AO877" s="7"/>
      <c r="AP877" s="7"/>
      <c r="AQ877" s="7"/>
      <c r="AR877" s="7"/>
      <c r="AS877" s="7"/>
      <c r="AT877" s="7" t="n">
        <v>15749541</v>
      </c>
      <c r="AU877" s="7"/>
      <c r="AV877" s="7"/>
      <c r="AW877" s="7"/>
      <c r="AX877" s="7" t="s">
        <v>812</v>
      </c>
      <c r="AY877" s="7" t="s">
        <v>75</v>
      </c>
      <c r="AZ877" s="7" t="s">
        <v>2509</v>
      </c>
      <c r="BA877" s="7" t="s">
        <v>76</v>
      </c>
      <c r="BB877" s="7" t="s">
        <v>15630</v>
      </c>
      <c r="BC877" s="7"/>
      <c r="BD877" s="7"/>
      <c r="BE877" s="7"/>
      <c r="BF877" s="7"/>
      <c r="BG877" s="7"/>
      <c r="BH877" s="7"/>
      <c r="BI877" s="7"/>
    </row>
    <row r="878" customFormat="false" ht="14.25" hidden="false" customHeight="true" outlineLevel="0" collapsed="false">
      <c r="A878" s="7" t="s">
        <v>15631</v>
      </c>
      <c r="B878" s="7" t="s">
        <v>15632</v>
      </c>
      <c r="C878" s="7" t="s">
        <v>15633</v>
      </c>
      <c r="D878" s="7" t="s">
        <v>15634</v>
      </c>
      <c r="E878" s="7" t="n">
        <v>2016</v>
      </c>
      <c r="F878" s="8" t="s">
        <v>15635</v>
      </c>
      <c r="G878" s="6" t="s">
        <v>393</v>
      </c>
      <c r="H878" s="7"/>
      <c r="I878" s="7"/>
      <c r="J878" s="7"/>
      <c r="K878" s="7"/>
      <c r="L878" s="7"/>
      <c r="M878" s="7"/>
      <c r="N878" s="7"/>
      <c r="O878" s="7"/>
      <c r="P878" s="7" t="s">
        <v>61</v>
      </c>
      <c r="Q878" s="7" t="s">
        <v>62</v>
      </c>
      <c r="R878" s="7" t="s">
        <v>15636</v>
      </c>
      <c r="S878" s="7" t="n">
        <v>11</v>
      </c>
      <c r="T878" s="7" t="s">
        <v>218</v>
      </c>
      <c r="U878" s="7"/>
      <c r="V878" s="7"/>
      <c r="W878" s="7" t="n">
        <v>12</v>
      </c>
      <c r="X878" s="7" t="n">
        <v>16</v>
      </c>
      <c r="Y878" s="7" t="n">
        <v>4</v>
      </c>
      <c r="Z878" s="7" t="s">
        <v>15637</v>
      </c>
      <c r="AA878" s="9" t="s">
        <v>15638</v>
      </c>
      <c r="AB878" s="7" t="s">
        <v>15639</v>
      </c>
      <c r="AC878" s="7" t="s">
        <v>15640</v>
      </c>
      <c r="AD878" s="7" t="s">
        <v>15641</v>
      </c>
      <c r="AE878" s="7" t="s">
        <v>15642</v>
      </c>
      <c r="AF878" s="7"/>
      <c r="AG878" s="7" t="s">
        <v>15643</v>
      </c>
      <c r="AH878" s="7"/>
      <c r="AI878" s="7"/>
      <c r="AJ878" s="10" t="s">
        <v>15644</v>
      </c>
      <c r="AK878" s="7" t="s">
        <v>15645</v>
      </c>
      <c r="AL878" s="7" t="s">
        <v>15646</v>
      </c>
      <c r="AM878" s="7" t="s">
        <v>15647</v>
      </c>
      <c r="AN878" s="7"/>
      <c r="AO878" s="7"/>
      <c r="AP878" s="7"/>
      <c r="AQ878" s="7"/>
      <c r="AR878" s="7"/>
      <c r="AS878" s="7"/>
      <c r="AT878" s="7" t="n">
        <v>23529067</v>
      </c>
      <c r="AU878" s="7"/>
      <c r="AV878" s="7"/>
      <c r="AW878" s="7"/>
      <c r="AX878" s="7" t="s">
        <v>15648</v>
      </c>
      <c r="AY878" s="7" t="s">
        <v>75</v>
      </c>
      <c r="AZ878" s="7" t="s">
        <v>107</v>
      </c>
      <c r="BA878" s="7" t="s">
        <v>76</v>
      </c>
      <c r="BB878" s="7" t="s">
        <v>15649</v>
      </c>
      <c r="BC878" s="7"/>
      <c r="BD878" s="7"/>
      <c r="BE878" s="7"/>
      <c r="BF878" s="7"/>
      <c r="BG878" s="7"/>
      <c r="BH878" s="7"/>
      <c r="BI878" s="7"/>
    </row>
    <row r="879" customFormat="false" ht="14.25" hidden="false" customHeight="true" outlineLevel="0" collapsed="false">
      <c r="A879" s="7" t="s">
        <v>15650</v>
      </c>
      <c r="B879" s="7" t="s">
        <v>15651</v>
      </c>
      <c r="C879" s="7" t="s">
        <v>15652</v>
      </c>
      <c r="D879" s="7" t="s">
        <v>15653</v>
      </c>
      <c r="E879" s="7" t="n">
        <v>2016</v>
      </c>
      <c r="F879" s="8" t="s">
        <v>15654</v>
      </c>
      <c r="G879" s="6" t="s">
        <v>5868</v>
      </c>
      <c r="H879" s="7"/>
      <c r="I879" s="7"/>
      <c r="J879" s="7"/>
      <c r="K879" s="7"/>
      <c r="L879" s="7"/>
      <c r="M879" s="7"/>
      <c r="N879" s="7"/>
      <c r="O879" s="7"/>
      <c r="P879" s="7" t="s">
        <v>61</v>
      </c>
      <c r="Q879" s="7" t="s">
        <v>62</v>
      </c>
      <c r="R879" s="7" t="s">
        <v>15655</v>
      </c>
      <c r="S879" s="7" t="n">
        <v>13</v>
      </c>
      <c r="T879" s="7" t="s">
        <v>15656</v>
      </c>
      <c r="U879" s="7" t="n">
        <v>1</v>
      </c>
      <c r="V879" s="7"/>
      <c r="W879" s="7" t="n">
        <v>1</v>
      </c>
      <c r="X879" s="7" t="n">
        <v>8</v>
      </c>
      <c r="Y879" s="7" t="n">
        <v>7</v>
      </c>
      <c r="Z879" s="7"/>
      <c r="AA879" s="9" t="s">
        <v>15657</v>
      </c>
      <c r="AB879" s="7" t="s">
        <v>15658</v>
      </c>
      <c r="AC879" s="7" t="s">
        <v>15659</v>
      </c>
      <c r="AD879" s="7" t="s">
        <v>15660</v>
      </c>
      <c r="AE879" s="7" t="s">
        <v>15661</v>
      </c>
      <c r="AF879" s="7"/>
      <c r="AG879" s="7" t="s">
        <v>15662</v>
      </c>
      <c r="AH879" s="7"/>
      <c r="AI879" s="7"/>
      <c r="AJ879" s="10" t="s">
        <v>15663</v>
      </c>
      <c r="AK879" s="7" t="s">
        <v>15664</v>
      </c>
      <c r="AL879" s="7" t="s">
        <v>15665</v>
      </c>
      <c r="AM879" s="7" t="s">
        <v>15666</v>
      </c>
      <c r="AN879" s="7"/>
      <c r="AO879" s="7"/>
      <c r="AP879" s="7"/>
      <c r="AQ879" s="7"/>
      <c r="AR879" s="7"/>
      <c r="AS879" s="7"/>
      <c r="AT879" s="7" t="n">
        <v>17351383</v>
      </c>
      <c r="AU879" s="7"/>
      <c r="AV879" s="7"/>
      <c r="AW879" s="7" t="n">
        <v>27026041</v>
      </c>
      <c r="AX879" s="7" t="s">
        <v>15667</v>
      </c>
      <c r="AY879" s="7" t="s">
        <v>75</v>
      </c>
      <c r="AZ879" s="7"/>
      <c r="BA879" s="7" t="s">
        <v>76</v>
      </c>
      <c r="BB879" s="7" t="s">
        <v>15668</v>
      </c>
      <c r="BC879" s="7"/>
      <c r="BD879" s="7"/>
      <c r="BE879" s="7"/>
      <c r="BF879" s="7"/>
      <c r="BG879" s="7"/>
      <c r="BH879" s="7"/>
      <c r="BI879" s="7"/>
    </row>
    <row r="880" customFormat="false" ht="14.25" hidden="false" customHeight="true" outlineLevel="0" collapsed="false">
      <c r="A880" s="7" t="s">
        <v>15669</v>
      </c>
      <c r="B880" s="7" t="s">
        <v>15670</v>
      </c>
      <c r="C880" s="7" t="s">
        <v>15671</v>
      </c>
      <c r="D880" s="7" t="s">
        <v>15672</v>
      </c>
      <c r="E880" s="7" t="n">
        <v>2016</v>
      </c>
      <c r="F880" s="8" t="s">
        <v>15673</v>
      </c>
      <c r="G880" s="6" t="s">
        <v>1230</v>
      </c>
      <c r="H880" s="7"/>
      <c r="I880" s="7"/>
      <c r="J880" s="7"/>
      <c r="K880" s="7"/>
      <c r="L880" s="7"/>
      <c r="M880" s="7"/>
      <c r="N880" s="7"/>
      <c r="O880" s="7"/>
      <c r="P880" s="7" t="s">
        <v>61</v>
      </c>
      <c r="Q880" s="7" t="s">
        <v>62</v>
      </c>
      <c r="R880" s="7" t="s">
        <v>15674</v>
      </c>
      <c r="S880" s="7" t="n">
        <v>36</v>
      </c>
      <c r="T880" s="7" t="s">
        <v>12890</v>
      </c>
      <c r="U880" s="7" t="n">
        <v>1</v>
      </c>
      <c r="V880" s="7"/>
      <c r="W880" s="7" t="n">
        <v>145</v>
      </c>
      <c r="X880" s="7" t="n">
        <v>150</v>
      </c>
      <c r="Y880" s="7" t="n">
        <v>5</v>
      </c>
      <c r="Z880" s="7" t="s">
        <v>15675</v>
      </c>
      <c r="AA880" s="9" t="s">
        <v>15676</v>
      </c>
      <c r="AB880" s="7" t="s">
        <v>15677</v>
      </c>
      <c r="AC880" s="7" t="s">
        <v>15678</v>
      </c>
      <c r="AD880" s="7" t="s">
        <v>15679</v>
      </c>
      <c r="AE880" s="7" t="s">
        <v>15680</v>
      </c>
      <c r="AF880" s="7"/>
      <c r="AG880" s="7" t="s">
        <v>15681</v>
      </c>
      <c r="AH880" s="7"/>
      <c r="AI880" s="7"/>
      <c r="AJ880" s="10" t="s">
        <v>15682</v>
      </c>
      <c r="AK880" s="7" t="s">
        <v>15683</v>
      </c>
      <c r="AL880" s="7" t="s">
        <v>15684</v>
      </c>
      <c r="AM880" s="7" t="s">
        <v>15685</v>
      </c>
      <c r="AN880" s="7"/>
      <c r="AO880" s="7"/>
      <c r="AP880" s="7"/>
      <c r="AQ880" s="7"/>
      <c r="AR880" s="7"/>
      <c r="AS880" s="7"/>
      <c r="AT880" s="7" t="n">
        <v>14783223</v>
      </c>
      <c r="AU880" s="7"/>
      <c r="AV880" s="7" t="s">
        <v>15686</v>
      </c>
      <c r="AW880" s="7" t="n">
        <v>26058680</v>
      </c>
      <c r="AX880" s="7" t="s">
        <v>15687</v>
      </c>
      <c r="AY880" s="7" t="s">
        <v>75</v>
      </c>
      <c r="AZ880" s="7"/>
      <c r="BA880" s="7" t="s">
        <v>76</v>
      </c>
      <c r="BB880" s="7" t="s">
        <v>15688</v>
      </c>
      <c r="BC880" s="7"/>
      <c r="BD880" s="7"/>
      <c r="BE880" s="7"/>
      <c r="BF880" s="7"/>
      <c r="BG880" s="7"/>
      <c r="BH880" s="7"/>
      <c r="BI880" s="7"/>
    </row>
    <row r="881" customFormat="false" ht="14.25" hidden="false" customHeight="true" outlineLevel="0" collapsed="false">
      <c r="A881" s="7" t="s">
        <v>15689</v>
      </c>
      <c r="B881" s="7" t="s">
        <v>15690</v>
      </c>
      <c r="C881" s="7" t="s">
        <v>15691</v>
      </c>
      <c r="D881" s="7" t="s">
        <v>15692</v>
      </c>
      <c r="E881" s="7" t="n">
        <v>2016</v>
      </c>
      <c r="F881" s="8" t="s">
        <v>15693</v>
      </c>
      <c r="G881" s="6" t="s">
        <v>393</v>
      </c>
      <c r="H881" s="7"/>
      <c r="I881" s="7"/>
      <c r="J881" s="7"/>
      <c r="K881" s="7"/>
      <c r="L881" s="7"/>
      <c r="M881" s="7"/>
      <c r="N881" s="7"/>
      <c r="O881" s="7"/>
      <c r="P881" s="7" t="s">
        <v>61</v>
      </c>
      <c r="Q881" s="7" t="s">
        <v>62</v>
      </c>
      <c r="R881" s="7" t="s">
        <v>15694</v>
      </c>
      <c r="S881" s="7" t="n">
        <v>10</v>
      </c>
      <c r="T881" s="7" t="s">
        <v>15695</v>
      </c>
      <c r="U881" s="7" t="n">
        <v>1</v>
      </c>
      <c r="V881" s="7"/>
      <c r="W881" s="7" t="n">
        <v>49</v>
      </c>
      <c r="X881" s="7" t="n">
        <v>55</v>
      </c>
      <c r="Y881" s="7" t="n">
        <v>6</v>
      </c>
      <c r="Z881" s="7" t="s">
        <v>15696</v>
      </c>
      <c r="AA881" s="9" t="s">
        <v>15697</v>
      </c>
      <c r="AB881" s="7" t="s">
        <v>15698</v>
      </c>
      <c r="AC881" s="7" t="s">
        <v>15699</v>
      </c>
      <c r="AD881" s="7" t="s">
        <v>15700</v>
      </c>
      <c r="AE881" s="7" t="s">
        <v>15701</v>
      </c>
      <c r="AF881" s="7"/>
      <c r="AG881" s="7" t="s">
        <v>15702</v>
      </c>
      <c r="AH881" s="7"/>
      <c r="AI881" s="7"/>
      <c r="AJ881" s="10"/>
      <c r="AK881" s="7"/>
      <c r="AL881" s="7" t="s">
        <v>15703</v>
      </c>
      <c r="AM881" s="7" t="s">
        <v>15704</v>
      </c>
      <c r="AN881" s="7"/>
      <c r="AO881" s="7"/>
      <c r="AP881" s="7"/>
      <c r="AQ881" s="7"/>
      <c r="AR881" s="7"/>
      <c r="AS881" s="7"/>
      <c r="AT881" s="7" t="n">
        <v>18723128</v>
      </c>
      <c r="AU881" s="7"/>
      <c r="AV881" s="7"/>
      <c r="AW881" s="7" t="n">
        <v>26648057</v>
      </c>
      <c r="AX881" s="7" t="s">
        <v>15705</v>
      </c>
      <c r="AY881" s="7" t="s">
        <v>75</v>
      </c>
      <c r="AZ881" s="7"/>
      <c r="BA881" s="7" t="s">
        <v>76</v>
      </c>
      <c r="BB881" s="7" t="s">
        <v>15706</v>
      </c>
      <c r="BC881" s="7"/>
      <c r="BD881" s="7"/>
      <c r="BE881" s="7"/>
      <c r="BF881" s="7"/>
      <c r="BG881" s="7"/>
      <c r="BH881" s="7"/>
      <c r="BI881" s="7"/>
    </row>
    <row r="882" customFormat="false" ht="14.25" hidden="false" customHeight="true" outlineLevel="0" collapsed="false">
      <c r="A882" s="7" t="s">
        <v>15707</v>
      </c>
      <c r="B882" s="7" t="s">
        <v>15708</v>
      </c>
      <c r="C882" s="7" t="s">
        <v>15709</v>
      </c>
      <c r="D882" s="7" t="s">
        <v>15710</v>
      </c>
      <c r="E882" s="7" t="n">
        <v>2016</v>
      </c>
      <c r="F882" s="8" t="s">
        <v>15711</v>
      </c>
      <c r="G882" s="6" t="s">
        <v>1230</v>
      </c>
      <c r="H882" s="7"/>
      <c r="I882" s="7"/>
      <c r="J882" s="7"/>
      <c r="K882" s="7"/>
      <c r="L882" s="7"/>
      <c r="M882" s="7"/>
      <c r="N882" s="7"/>
      <c r="O882" s="7"/>
      <c r="P882" s="7" t="s">
        <v>61</v>
      </c>
      <c r="Q882" s="7" t="s">
        <v>62</v>
      </c>
      <c r="R882" s="7" t="s">
        <v>114</v>
      </c>
      <c r="S882" s="7" t="n">
        <v>13</v>
      </c>
      <c r="T882" s="7" t="s">
        <v>4048</v>
      </c>
      <c r="U882" s="7" t="n">
        <v>12</v>
      </c>
      <c r="V882" s="7" t="n">
        <v>1235</v>
      </c>
      <c r="W882" s="7"/>
      <c r="X882" s="7"/>
      <c r="Y882" s="7"/>
      <c r="Z882" s="7" t="s">
        <v>15712</v>
      </c>
      <c r="AA882" s="9" t="s">
        <v>15713</v>
      </c>
      <c r="AB882" s="7" t="s">
        <v>15714</v>
      </c>
      <c r="AC882" s="7" t="s">
        <v>15715</v>
      </c>
      <c r="AD882" s="7" t="s">
        <v>15716</v>
      </c>
      <c r="AE882" s="7" t="s">
        <v>15717</v>
      </c>
      <c r="AF882" s="7"/>
      <c r="AG882" s="7"/>
      <c r="AH882" s="7"/>
      <c r="AI882" s="7"/>
      <c r="AJ882" s="10"/>
      <c r="AK882" s="7"/>
      <c r="AL882" s="7" t="s">
        <v>15718</v>
      </c>
      <c r="AM882" s="7" t="s">
        <v>15719</v>
      </c>
      <c r="AN882" s="7"/>
      <c r="AO882" s="7"/>
      <c r="AP882" s="7"/>
      <c r="AQ882" s="7"/>
      <c r="AR882" s="7"/>
      <c r="AS882" s="7"/>
      <c r="AT882" s="7" t="n">
        <v>16617827</v>
      </c>
      <c r="AU882" s="7"/>
      <c r="AV882" s="7"/>
      <c r="AW882" s="7" t="n">
        <v>27983611</v>
      </c>
      <c r="AX882" s="7" t="s">
        <v>126</v>
      </c>
      <c r="AY882" s="7" t="s">
        <v>75</v>
      </c>
      <c r="AZ882" s="7" t="s">
        <v>107</v>
      </c>
      <c r="BA882" s="7" t="s">
        <v>76</v>
      </c>
      <c r="BB882" s="7" t="s">
        <v>15720</v>
      </c>
      <c r="BC882" s="7"/>
      <c r="BD882" s="7"/>
      <c r="BE882" s="7"/>
      <c r="BF882" s="7"/>
      <c r="BG882" s="7"/>
      <c r="BH882" s="7"/>
      <c r="BI882" s="7"/>
    </row>
    <row r="883" customFormat="false" ht="14.25" hidden="false" customHeight="true" outlineLevel="0" collapsed="false">
      <c r="A883" s="7" t="s">
        <v>15721</v>
      </c>
      <c r="B883" s="7" t="s">
        <v>15722</v>
      </c>
      <c r="C883" s="7" t="s">
        <v>15723</v>
      </c>
      <c r="D883" s="7" t="s">
        <v>15724</v>
      </c>
      <c r="E883" s="7" t="n">
        <v>2016</v>
      </c>
      <c r="F883" s="8" t="s">
        <v>15725</v>
      </c>
      <c r="G883" s="6" t="s">
        <v>290</v>
      </c>
      <c r="H883" s="7"/>
      <c r="I883" s="7"/>
      <c r="J883" s="7"/>
      <c r="K883" s="7"/>
      <c r="L883" s="7"/>
      <c r="M883" s="7"/>
      <c r="N883" s="7"/>
      <c r="O883" s="7"/>
      <c r="P883" s="7" t="s">
        <v>61</v>
      </c>
      <c r="Q883" s="7" t="s">
        <v>62</v>
      </c>
      <c r="R883" s="7" t="s">
        <v>15726</v>
      </c>
      <c r="S883" s="7" t="n">
        <v>31</v>
      </c>
      <c r="T883" s="7" t="s">
        <v>11384</v>
      </c>
      <c r="U883" s="7" t="n">
        <v>6</v>
      </c>
      <c r="V883" s="7"/>
      <c r="W883" s="7" t="n">
        <v>1428</v>
      </c>
      <c r="X883" s="7" t="n">
        <v>1442</v>
      </c>
      <c r="Y883" s="7" t="n">
        <v>14</v>
      </c>
      <c r="Z883" s="7" t="s">
        <v>15727</v>
      </c>
      <c r="AA883" s="9" t="s">
        <v>15728</v>
      </c>
      <c r="AB883" s="7" t="s">
        <v>15729</v>
      </c>
      <c r="AC883" s="7" t="s">
        <v>15730</v>
      </c>
      <c r="AD883" s="7" t="s">
        <v>15731</v>
      </c>
      <c r="AE883" s="7" t="s">
        <v>15732</v>
      </c>
      <c r="AF883" s="7"/>
      <c r="AG883" s="7" t="s">
        <v>15733</v>
      </c>
      <c r="AH883" s="7" t="s">
        <v>15734</v>
      </c>
      <c r="AI883" s="7"/>
      <c r="AJ883" s="10"/>
      <c r="AK883" s="7"/>
      <c r="AL883" s="7" t="s">
        <v>15735</v>
      </c>
      <c r="AM883" s="7" t="s">
        <v>15736</v>
      </c>
      <c r="AN883" s="7"/>
      <c r="AO883" s="7"/>
      <c r="AP883" s="7"/>
      <c r="AQ883" s="7"/>
      <c r="AR883" s="7"/>
      <c r="AS883" s="7"/>
      <c r="AT883" s="7" t="n">
        <v>14756366</v>
      </c>
      <c r="AU883" s="7"/>
      <c r="AV883" s="7" t="s">
        <v>15737</v>
      </c>
      <c r="AW883" s="7" t="n">
        <v>26887913</v>
      </c>
      <c r="AX883" s="7" t="s">
        <v>15738</v>
      </c>
      <c r="AY883" s="7" t="s">
        <v>75</v>
      </c>
      <c r="AZ883" s="7" t="s">
        <v>4371</v>
      </c>
      <c r="BA883" s="7" t="s">
        <v>76</v>
      </c>
      <c r="BB883" s="7" t="s">
        <v>15739</v>
      </c>
      <c r="BC883" s="7"/>
      <c r="BD883" s="7"/>
      <c r="BE883" s="7"/>
      <c r="BF883" s="7"/>
      <c r="BG883" s="7"/>
      <c r="BH883" s="7"/>
      <c r="BI883" s="7"/>
    </row>
    <row r="884" customFormat="false" ht="14.25" hidden="false" customHeight="true" outlineLevel="0" collapsed="false">
      <c r="A884" s="7" t="s">
        <v>15740</v>
      </c>
      <c r="B884" s="7" t="s">
        <v>15741</v>
      </c>
      <c r="C884" s="7" t="s">
        <v>15742</v>
      </c>
      <c r="D884" s="7" t="s">
        <v>15743</v>
      </c>
      <c r="E884" s="7" t="n">
        <v>2016</v>
      </c>
      <c r="F884" s="8" t="s">
        <v>15744</v>
      </c>
      <c r="G884" s="6" t="s">
        <v>349</v>
      </c>
      <c r="H884" s="7"/>
      <c r="I884" s="7"/>
      <c r="J884" s="7"/>
      <c r="K884" s="7"/>
      <c r="L884" s="7"/>
      <c r="M884" s="7"/>
      <c r="N884" s="7"/>
      <c r="O884" s="7"/>
      <c r="P884" s="7" t="s">
        <v>61</v>
      </c>
      <c r="Q884" s="7" t="s">
        <v>62</v>
      </c>
      <c r="R884" s="7" t="s">
        <v>15745</v>
      </c>
      <c r="S884" s="7" t="n">
        <v>16</v>
      </c>
      <c r="T884" s="7" t="s">
        <v>11626</v>
      </c>
      <c r="U884" s="7" t="n">
        <v>1</v>
      </c>
      <c r="V884" s="7" t="n">
        <v>100</v>
      </c>
      <c r="W884" s="7"/>
      <c r="X884" s="7"/>
      <c r="Y884" s="7"/>
      <c r="Z884" s="7" t="s">
        <v>15746</v>
      </c>
      <c r="AA884" s="9" t="s">
        <v>15747</v>
      </c>
      <c r="AB884" s="7" t="s">
        <v>15748</v>
      </c>
      <c r="AC884" s="7" t="s">
        <v>15749</v>
      </c>
      <c r="AD884" s="7" t="s">
        <v>15750</v>
      </c>
      <c r="AE884" s="7" t="s">
        <v>15751</v>
      </c>
      <c r="AF884" s="7"/>
      <c r="AG884" s="7"/>
      <c r="AH884" s="7"/>
      <c r="AI884" s="7"/>
      <c r="AJ884" s="10" t="s">
        <v>15752</v>
      </c>
      <c r="AK884" s="7" t="s">
        <v>15753</v>
      </c>
      <c r="AL884" s="7" t="s">
        <v>15754</v>
      </c>
      <c r="AM884" s="7" t="s">
        <v>15755</v>
      </c>
      <c r="AN884" s="7"/>
      <c r="AO884" s="7"/>
      <c r="AP884" s="7"/>
      <c r="AQ884" s="7"/>
      <c r="AR884" s="7"/>
      <c r="AS884" s="7"/>
      <c r="AT884" s="7" t="n">
        <v>14712288</v>
      </c>
      <c r="AU884" s="7"/>
      <c r="AV884" s="7"/>
      <c r="AW884" s="7" t="n">
        <v>27538955</v>
      </c>
      <c r="AX884" s="7" t="s">
        <v>15756</v>
      </c>
      <c r="AY884" s="7" t="s">
        <v>75</v>
      </c>
      <c r="AZ884" s="7" t="s">
        <v>107</v>
      </c>
      <c r="BA884" s="7" t="s">
        <v>76</v>
      </c>
      <c r="BB884" s="7" t="s">
        <v>15757</v>
      </c>
      <c r="BC884" s="7"/>
      <c r="BD884" s="7"/>
      <c r="BE884" s="7"/>
      <c r="BF884" s="7"/>
      <c r="BG884" s="7"/>
      <c r="BH884" s="7"/>
      <c r="BI884" s="7"/>
    </row>
    <row r="885" customFormat="false" ht="14.25" hidden="false" customHeight="true" outlineLevel="0" collapsed="false">
      <c r="A885" s="7" t="s">
        <v>15758</v>
      </c>
      <c r="B885" s="7" t="s">
        <v>15759</v>
      </c>
      <c r="C885" s="7" t="s">
        <v>15760</v>
      </c>
      <c r="D885" s="7" t="s">
        <v>15761</v>
      </c>
      <c r="E885" s="7" t="n">
        <v>2016</v>
      </c>
      <c r="F885" s="8" t="s">
        <v>15762</v>
      </c>
      <c r="G885" s="6" t="s">
        <v>1230</v>
      </c>
      <c r="H885" s="7"/>
      <c r="I885" s="7"/>
      <c r="J885" s="7"/>
      <c r="K885" s="7"/>
      <c r="L885" s="7"/>
      <c r="M885" s="7"/>
      <c r="N885" s="7"/>
      <c r="O885" s="7"/>
      <c r="P885" s="7" t="s">
        <v>61</v>
      </c>
      <c r="Q885" s="7" t="s">
        <v>62</v>
      </c>
      <c r="R885" s="7" t="s">
        <v>1287</v>
      </c>
      <c r="S885" s="7" t="n">
        <v>214</v>
      </c>
      <c r="T885" s="7" t="s">
        <v>395</v>
      </c>
      <c r="U885" s="7" t="n">
        <v>10</v>
      </c>
      <c r="V885" s="7"/>
      <c r="W885" s="7" t="n">
        <v>1557</v>
      </c>
      <c r="X885" s="7" t="n">
        <v>1564</v>
      </c>
      <c r="Y885" s="7" t="n">
        <v>7</v>
      </c>
      <c r="Z885" s="7" t="s">
        <v>15763</v>
      </c>
      <c r="AA885" s="9" t="s">
        <v>15764</v>
      </c>
      <c r="AB885" s="7" t="s">
        <v>15765</v>
      </c>
      <c r="AC885" s="7" t="s">
        <v>15766</v>
      </c>
      <c r="AD885" s="7" t="s">
        <v>15767</v>
      </c>
      <c r="AE885" s="7" t="s">
        <v>15768</v>
      </c>
      <c r="AF885" s="7"/>
      <c r="AG885" s="7" t="s">
        <v>15769</v>
      </c>
      <c r="AH885" s="7"/>
      <c r="AI885" s="7"/>
      <c r="AJ885" s="10" t="s">
        <v>15770</v>
      </c>
      <c r="AK885" s="7"/>
      <c r="AL885" s="7" t="s">
        <v>15771</v>
      </c>
      <c r="AM885" s="7" t="s">
        <v>15772</v>
      </c>
      <c r="AN885" s="7"/>
      <c r="AO885" s="7"/>
      <c r="AP885" s="7"/>
      <c r="AQ885" s="7"/>
      <c r="AR885" s="7"/>
      <c r="AS885" s="7"/>
      <c r="AT885" s="7" t="n">
        <v>221899</v>
      </c>
      <c r="AU885" s="7"/>
      <c r="AV885" s="7" t="s">
        <v>1303</v>
      </c>
      <c r="AW885" s="7" t="n">
        <v>27630198</v>
      </c>
      <c r="AX885" s="7" t="s">
        <v>1304</v>
      </c>
      <c r="AY885" s="7" t="s">
        <v>75</v>
      </c>
      <c r="AZ885" s="7" t="s">
        <v>7961</v>
      </c>
      <c r="BA885" s="7" t="s">
        <v>76</v>
      </c>
      <c r="BB885" s="7" t="s">
        <v>15773</v>
      </c>
      <c r="BC885" s="7"/>
      <c r="BD885" s="7"/>
      <c r="BE885" s="7"/>
      <c r="BF885" s="7"/>
      <c r="BG885" s="7"/>
      <c r="BH885" s="7"/>
      <c r="BI885" s="7"/>
    </row>
    <row r="886" customFormat="false" ht="14.25" hidden="false" customHeight="true" outlineLevel="0" collapsed="false">
      <c r="A886" s="7" t="s">
        <v>15774</v>
      </c>
      <c r="B886" s="7" t="s">
        <v>15775</v>
      </c>
      <c r="C886" s="7" t="s">
        <v>15776</v>
      </c>
      <c r="D886" s="7" t="s">
        <v>15777</v>
      </c>
      <c r="E886" s="7" t="n">
        <v>2016</v>
      </c>
      <c r="F886" s="8" t="s">
        <v>15778</v>
      </c>
      <c r="G886" s="6" t="s">
        <v>349</v>
      </c>
      <c r="H886" s="7"/>
      <c r="I886" s="7"/>
      <c r="J886" s="7"/>
      <c r="K886" s="7"/>
      <c r="L886" s="7"/>
      <c r="M886" s="7"/>
      <c r="N886" s="7"/>
      <c r="O886" s="7"/>
      <c r="P886" s="7" t="s">
        <v>61</v>
      </c>
      <c r="Q886" s="7" t="s">
        <v>62</v>
      </c>
      <c r="R886" s="7" t="s">
        <v>15779</v>
      </c>
      <c r="S886" s="7" t="n">
        <v>12</v>
      </c>
      <c r="T886" s="7" t="s">
        <v>15780</v>
      </c>
      <c r="U886" s="7" t="n">
        <v>6</v>
      </c>
      <c r="V886" s="7"/>
      <c r="W886" s="7" t="n">
        <v>300</v>
      </c>
      <c r="X886" s="7" t="n">
        <v>306</v>
      </c>
      <c r="Y886" s="7" t="n">
        <v>6</v>
      </c>
      <c r="Z886" s="7" t="s">
        <v>15781</v>
      </c>
      <c r="AA886" s="9" t="s">
        <v>15782</v>
      </c>
      <c r="AB886" s="7" t="s">
        <v>15783</v>
      </c>
      <c r="AC886" s="7" t="s">
        <v>15784</v>
      </c>
      <c r="AD886" s="7" t="s">
        <v>15785</v>
      </c>
      <c r="AE886" s="7"/>
      <c r="AF886" s="7"/>
      <c r="AG886" s="7"/>
      <c r="AH886" s="7"/>
      <c r="AI886" s="7"/>
      <c r="AJ886" s="10"/>
      <c r="AK886" s="7"/>
      <c r="AL886" s="7" t="s">
        <v>15786</v>
      </c>
      <c r="AM886" s="7" t="s">
        <v>15787</v>
      </c>
      <c r="AN886" s="7"/>
      <c r="AO886" s="7"/>
      <c r="AP886" s="7"/>
      <c r="AQ886" s="7"/>
      <c r="AR886" s="7"/>
      <c r="AS886" s="7"/>
      <c r="AT886" s="7" t="n">
        <v>15493636</v>
      </c>
      <c r="AU886" s="7"/>
      <c r="AV886" s="7"/>
      <c r="AW886" s="7"/>
      <c r="AX886" s="7" t="s">
        <v>15788</v>
      </c>
      <c r="AY886" s="7" t="s">
        <v>75</v>
      </c>
      <c r="AZ886" s="7" t="s">
        <v>2509</v>
      </c>
      <c r="BA886" s="7" t="s">
        <v>76</v>
      </c>
      <c r="BB886" s="7" t="s">
        <v>15789</v>
      </c>
      <c r="BC886" s="7"/>
      <c r="BD886" s="7"/>
      <c r="BE886" s="7"/>
      <c r="BF886" s="7"/>
      <c r="BG886" s="7"/>
      <c r="BH886" s="7"/>
      <c r="BI886" s="7"/>
    </row>
    <row r="887" customFormat="false" ht="14.25" hidden="false" customHeight="true" outlineLevel="0" collapsed="false">
      <c r="A887" s="7" t="s">
        <v>15790</v>
      </c>
      <c r="B887" s="7" t="s">
        <v>15791</v>
      </c>
      <c r="C887" s="7" t="s">
        <v>15792</v>
      </c>
      <c r="D887" s="7" t="s">
        <v>15793</v>
      </c>
      <c r="E887" s="7" t="n">
        <v>2016</v>
      </c>
      <c r="F887" s="8" t="s">
        <v>15794</v>
      </c>
      <c r="G887" s="6" t="s">
        <v>393</v>
      </c>
      <c r="H887" s="7"/>
      <c r="I887" s="7"/>
      <c r="J887" s="7"/>
      <c r="K887" s="7"/>
      <c r="L887" s="7"/>
      <c r="M887" s="7"/>
      <c r="N887" s="7"/>
      <c r="O887" s="7"/>
      <c r="P887" s="7" t="s">
        <v>61</v>
      </c>
      <c r="Q887" s="7" t="s">
        <v>62</v>
      </c>
      <c r="R887" s="7" t="s">
        <v>15795</v>
      </c>
      <c r="S887" s="7" t="n">
        <v>16</v>
      </c>
      <c r="T887" s="7" t="s">
        <v>15796</v>
      </c>
      <c r="U887" s="7" t="n">
        <v>10</v>
      </c>
      <c r="V887" s="7"/>
      <c r="W887" s="7" t="n">
        <v>1134</v>
      </c>
      <c r="X887" s="7" t="n">
        <v>1144</v>
      </c>
      <c r="Y887" s="7" t="n">
        <v>10</v>
      </c>
      <c r="Z887" s="7" t="s">
        <v>15797</v>
      </c>
      <c r="AA887" s="9" t="s">
        <v>15798</v>
      </c>
      <c r="AB887" s="7" t="s">
        <v>15799</v>
      </c>
      <c r="AC887" s="7" t="s">
        <v>15800</v>
      </c>
      <c r="AD887" s="7"/>
      <c r="AE887" s="7" t="s">
        <v>15801</v>
      </c>
      <c r="AF887" s="7"/>
      <c r="AG887" s="7" t="s">
        <v>15802</v>
      </c>
      <c r="AH887" s="7" t="s">
        <v>15803</v>
      </c>
      <c r="AI887" s="7" t="s">
        <v>15804</v>
      </c>
      <c r="AJ887" s="10" t="s">
        <v>15805</v>
      </c>
      <c r="AK887" s="7" t="s">
        <v>15806</v>
      </c>
      <c r="AL887" s="7" t="s">
        <v>15807</v>
      </c>
      <c r="AM887" s="7" t="s">
        <v>15808</v>
      </c>
      <c r="AN887" s="7"/>
      <c r="AO887" s="7"/>
      <c r="AP887" s="7"/>
      <c r="AQ887" s="7"/>
      <c r="AR887" s="7"/>
      <c r="AS887" s="7"/>
      <c r="AT887" s="7" t="n">
        <v>14733099</v>
      </c>
      <c r="AU887" s="7"/>
      <c r="AV887" s="7" t="s">
        <v>15809</v>
      </c>
      <c r="AW887" s="7" t="n">
        <v>27394191</v>
      </c>
      <c r="AX887" s="7" t="s">
        <v>15810</v>
      </c>
      <c r="AY887" s="7" t="s">
        <v>75</v>
      </c>
      <c r="AZ887" s="7" t="s">
        <v>7961</v>
      </c>
      <c r="BA887" s="7" t="s">
        <v>76</v>
      </c>
      <c r="BB887" s="7" t="s">
        <v>15811</v>
      </c>
      <c r="BC887" s="7"/>
      <c r="BD887" s="7"/>
      <c r="BE887" s="7"/>
      <c r="BF887" s="7"/>
      <c r="BG887" s="7"/>
      <c r="BH887" s="7"/>
      <c r="BI887" s="7"/>
    </row>
    <row r="888" customFormat="false" ht="14.25" hidden="false" customHeight="true" outlineLevel="0" collapsed="false">
      <c r="A888" s="7" t="s">
        <v>15812</v>
      </c>
      <c r="B888" s="7" t="s">
        <v>15813</v>
      </c>
      <c r="C888" s="7" t="s">
        <v>15814</v>
      </c>
      <c r="D888" s="7" t="s">
        <v>15815</v>
      </c>
      <c r="E888" s="7" t="n">
        <v>2016</v>
      </c>
      <c r="F888" s="8" t="s">
        <v>15816</v>
      </c>
      <c r="G888" s="6" t="s">
        <v>1230</v>
      </c>
      <c r="H888" s="7"/>
      <c r="I888" s="7"/>
      <c r="J888" s="7"/>
      <c r="K888" s="7"/>
      <c r="L888" s="7"/>
      <c r="M888" s="7"/>
      <c r="N888" s="7"/>
      <c r="O888" s="7"/>
      <c r="P888" s="7" t="s">
        <v>61</v>
      </c>
      <c r="Q888" s="7" t="s">
        <v>62</v>
      </c>
      <c r="R888" s="7" t="s">
        <v>15817</v>
      </c>
      <c r="S888" s="7" t="n">
        <v>94</v>
      </c>
      <c r="T888" s="7" t="s">
        <v>15818</v>
      </c>
      <c r="U888" s="7" t="n">
        <v>1</v>
      </c>
      <c r="V888" s="7"/>
      <c r="W888" s="7" t="n">
        <v>37</v>
      </c>
      <c r="X888" s="7" t="n">
        <v>45</v>
      </c>
      <c r="Y888" s="7" t="n">
        <v>8</v>
      </c>
      <c r="Z888" s="7" t="s">
        <v>15819</v>
      </c>
      <c r="AA888" s="9" t="s">
        <v>15820</v>
      </c>
      <c r="AB888" s="7" t="s">
        <v>15821</v>
      </c>
      <c r="AC888" s="7" t="s">
        <v>15822</v>
      </c>
      <c r="AD888" s="7"/>
      <c r="AE888" s="7" t="s">
        <v>15823</v>
      </c>
      <c r="AF888" s="7"/>
      <c r="AG888" s="7" t="s">
        <v>15824</v>
      </c>
      <c r="AH888" s="7"/>
      <c r="AI888" s="7"/>
      <c r="AJ888" s="10"/>
      <c r="AK888" s="7"/>
      <c r="AL888" s="7" t="s">
        <v>15825</v>
      </c>
      <c r="AM888" s="7" t="s">
        <v>15826</v>
      </c>
      <c r="AN888" s="7"/>
      <c r="AO888" s="7"/>
      <c r="AP888" s="7"/>
      <c r="AQ888" s="7"/>
      <c r="AR888" s="7"/>
      <c r="AS888" s="7"/>
      <c r="AT888" s="7" t="n">
        <v>429686</v>
      </c>
      <c r="AU888" s="7"/>
      <c r="AV888" s="7" t="s">
        <v>15827</v>
      </c>
      <c r="AW888" s="7" t="n">
        <v>26769995</v>
      </c>
      <c r="AX888" s="7" t="s">
        <v>15828</v>
      </c>
      <c r="AY888" s="7" t="s">
        <v>75</v>
      </c>
      <c r="AZ888" s="7" t="s">
        <v>7961</v>
      </c>
      <c r="BA888" s="7" t="s">
        <v>76</v>
      </c>
      <c r="BB888" s="7" t="s">
        <v>15829</v>
      </c>
      <c r="BC888" s="7"/>
      <c r="BD888" s="7"/>
      <c r="BE888" s="7"/>
      <c r="BF888" s="7"/>
      <c r="BG888" s="7"/>
      <c r="BH888" s="7"/>
      <c r="BI888" s="7"/>
    </row>
    <row r="889" customFormat="false" ht="14.25" hidden="false" customHeight="true" outlineLevel="0" collapsed="false">
      <c r="A889" s="7" t="s">
        <v>15830</v>
      </c>
      <c r="B889" s="7" t="s">
        <v>15831</v>
      </c>
      <c r="C889" s="7" t="s">
        <v>15832</v>
      </c>
      <c r="D889" s="7" t="s">
        <v>15833</v>
      </c>
      <c r="E889" s="7" t="n">
        <v>2016</v>
      </c>
      <c r="F889" s="8" t="s">
        <v>15834</v>
      </c>
      <c r="G889" s="6" t="s">
        <v>393</v>
      </c>
      <c r="H889" s="7"/>
      <c r="I889" s="7"/>
      <c r="J889" s="7"/>
      <c r="K889" s="7"/>
      <c r="L889" s="7"/>
      <c r="M889" s="7"/>
      <c r="N889" s="7"/>
      <c r="O889" s="7"/>
      <c r="P889" s="7" t="s">
        <v>61</v>
      </c>
      <c r="Q889" s="7" t="s">
        <v>62</v>
      </c>
      <c r="R889" s="7" t="s">
        <v>15835</v>
      </c>
      <c r="S889" s="7" t="n">
        <v>46</v>
      </c>
      <c r="T889" s="7"/>
      <c r="U889" s="7" t="n">
        <v>3</v>
      </c>
      <c r="V889" s="7"/>
      <c r="W889" s="7" t="n">
        <v>693</v>
      </c>
      <c r="X889" s="7" t="n">
        <v>716</v>
      </c>
      <c r="Y889" s="7" t="n">
        <v>23</v>
      </c>
      <c r="Z889" s="7" t="s">
        <v>15836</v>
      </c>
      <c r="AA889" s="9" t="s">
        <v>15837</v>
      </c>
      <c r="AB889" s="7"/>
      <c r="AC889" s="7"/>
      <c r="AD889" s="7"/>
      <c r="AE889" s="7" t="s">
        <v>15838</v>
      </c>
      <c r="AF889" s="7"/>
      <c r="AG889" s="7" t="s">
        <v>15839</v>
      </c>
      <c r="AH889" s="7"/>
      <c r="AI889" s="7"/>
      <c r="AJ889" s="10"/>
      <c r="AK889" s="7"/>
      <c r="AL889" s="7"/>
      <c r="AM889" s="7"/>
      <c r="AN889" s="7"/>
      <c r="AO889" s="7"/>
      <c r="AP889" s="7"/>
      <c r="AQ889" s="7"/>
      <c r="AR889" s="7"/>
      <c r="AS889" s="7"/>
      <c r="AT889" s="7" t="n">
        <v>11100583</v>
      </c>
      <c r="AU889" s="7"/>
      <c r="AV889" s="7"/>
      <c r="AW889" s="7" t="n">
        <v>30230766</v>
      </c>
      <c r="AX889" s="7" t="s">
        <v>15840</v>
      </c>
      <c r="AY889" s="7" t="s">
        <v>75</v>
      </c>
      <c r="AZ889" s="7"/>
      <c r="BA889" s="7" t="s">
        <v>76</v>
      </c>
      <c r="BB889" s="7" t="s">
        <v>15841</v>
      </c>
      <c r="BC889" s="7"/>
      <c r="BD889" s="7"/>
      <c r="BE889" s="7"/>
      <c r="BF889" s="7"/>
      <c r="BG889" s="7"/>
      <c r="BH889" s="7"/>
      <c r="BI889" s="7"/>
    </row>
    <row r="890" customFormat="false" ht="14.25" hidden="false" customHeight="true" outlineLevel="0" collapsed="false">
      <c r="A890" s="7" t="s">
        <v>15842</v>
      </c>
      <c r="B890" s="7" t="s">
        <v>15843</v>
      </c>
      <c r="C890" s="7" t="s">
        <v>15844</v>
      </c>
      <c r="D890" s="7" t="s">
        <v>15845</v>
      </c>
      <c r="E890" s="7" t="n">
        <v>2016</v>
      </c>
      <c r="F890" s="8" t="s">
        <v>15846</v>
      </c>
      <c r="G890" s="6" t="s">
        <v>290</v>
      </c>
      <c r="H890" s="7"/>
      <c r="I890" s="7"/>
      <c r="J890" s="7"/>
      <c r="K890" s="7"/>
      <c r="L890" s="7"/>
      <c r="M890" s="7"/>
      <c r="N890" s="7"/>
      <c r="O890" s="7"/>
      <c r="P890" s="7" t="s">
        <v>61</v>
      </c>
      <c r="Q890" s="7" t="s">
        <v>62</v>
      </c>
      <c r="R890" s="7" t="s">
        <v>15847</v>
      </c>
      <c r="S890" s="7" t="n">
        <v>16</v>
      </c>
      <c r="T890" s="7" t="s">
        <v>11626</v>
      </c>
      <c r="U890" s="7" t="n">
        <v>1</v>
      </c>
      <c r="V890" s="7" t="n">
        <v>195</v>
      </c>
      <c r="W890" s="7"/>
      <c r="X890" s="7"/>
      <c r="Y890" s="7"/>
      <c r="Z890" s="7" t="s">
        <v>15848</v>
      </c>
      <c r="AA890" s="9" t="s">
        <v>15849</v>
      </c>
      <c r="AB890" s="7" t="s">
        <v>15850</v>
      </c>
      <c r="AC890" s="7" t="s">
        <v>15851</v>
      </c>
      <c r="AD890" s="7" t="s">
        <v>15852</v>
      </c>
      <c r="AE890" s="7" t="s">
        <v>15853</v>
      </c>
      <c r="AF890" s="7"/>
      <c r="AG890" s="7" t="s">
        <v>15854</v>
      </c>
      <c r="AH890" s="7"/>
      <c r="AI890" s="7"/>
      <c r="AJ890" s="10"/>
      <c r="AK890" s="7"/>
      <c r="AL890" s="7" t="s">
        <v>15855</v>
      </c>
      <c r="AM890" s="7" t="s">
        <v>15856</v>
      </c>
      <c r="AN890" s="7"/>
      <c r="AO890" s="7"/>
      <c r="AP890" s="7"/>
      <c r="AQ890" s="7"/>
      <c r="AR890" s="7"/>
      <c r="AS890" s="7"/>
      <c r="AT890" s="7" t="n">
        <v>14726882</v>
      </c>
      <c r="AU890" s="7"/>
      <c r="AV890" s="7" t="s">
        <v>15857</v>
      </c>
      <c r="AW890" s="7" t="n">
        <v>27392030</v>
      </c>
      <c r="AX890" s="7" t="s">
        <v>15858</v>
      </c>
      <c r="AY890" s="7" t="s">
        <v>75</v>
      </c>
      <c r="AZ890" s="7" t="s">
        <v>107</v>
      </c>
      <c r="BA890" s="7" t="s">
        <v>76</v>
      </c>
      <c r="BB890" s="7" t="s">
        <v>15859</v>
      </c>
      <c r="BC890" s="7"/>
      <c r="BD890" s="7"/>
      <c r="BE890" s="7"/>
      <c r="BF890" s="7"/>
      <c r="BG890" s="7"/>
      <c r="BH890" s="7"/>
      <c r="BI890" s="7"/>
    </row>
    <row r="891" customFormat="false" ht="14.25" hidden="false" customHeight="true" outlineLevel="0" collapsed="false">
      <c r="A891" s="7" t="s">
        <v>15860</v>
      </c>
      <c r="B891" s="7" t="s">
        <v>15861</v>
      </c>
      <c r="C891" s="7" t="s">
        <v>15862</v>
      </c>
      <c r="D891" s="7" t="s">
        <v>15863</v>
      </c>
      <c r="E891" s="7" t="n">
        <v>2016</v>
      </c>
      <c r="F891" s="8" t="s">
        <v>15864</v>
      </c>
      <c r="G891" s="6" t="s">
        <v>1230</v>
      </c>
      <c r="H891" s="7"/>
      <c r="I891" s="7"/>
      <c r="J891" s="7"/>
      <c r="K891" s="7"/>
      <c r="L891" s="7"/>
      <c r="M891" s="7"/>
      <c r="N891" s="7"/>
      <c r="O891" s="7"/>
      <c r="P891" s="7" t="s">
        <v>61</v>
      </c>
      <c r="Q891" s="7" t="s">
        <v>62</v>
      </c>
      <c r="R891" s="7" t="s">
        <v>679</v>
      </c>
      <c r="S891" s="7" t="n">
        <v>10</v>
      </c>
      <c r="T891" s="7" t="s">
        <v>500</v>
      </c>
      <c r="U891" s="7" t="n">
        <v>2</v>
      </c>
      <c r="V891" s="7" t="s">
        <v>15865</v>
      </c>
      <c r="W891" s="7"/>
      <c r="X891" s="7"/>
      <c r="Y891" s="7"/>
      <c r="Z891" s="7" t="s">
        <v>15866</v>
      </c>
      <c r="AA891" s="9" t="s">
        <v>15867</v>
      </c>
      <c r="AB891" s="7" t="s">
        <v>15868</v>
      </c>
      <c r="AC891" s="7" t="s">
        <v>15869</v>
      </c>
      <c r="AD891" s="7"/>
      <c r="AE891" s="7" t="s">
        <v>15870</v>
      </c>
      <c r="AF891" s="7"/>
      <c r="AG891" s="7" t="s">
        <v>15871</v>
      </c>
      <c r="AH891" s="7"/>
      <c r="AI891" s="7"/>
      <c r="AJ891" s="10" t="s">
        <v>15872</v>
      </c>
      <c r="AK891" s="7"/>
      <c r="AL891" s="7" t="s">
        <v>15873</v>
      </c>
      <c r="AM891" s="7" t="s">
        <v>15874</v>
      </c>
      <c r="AN891" s="7"/>
      <c r="AO891" s="7"/>
      <c r="AP891" s="7"/>
      <c r="AQ891" s="7"/>
      <c r="AR891" s="7"/>
      <c r="AS891" s="7"/>
      <c r="AT891" s="7" t="n">
        <v>19352727</v>
      </c>
      <c r="AU891" s="7"/>
      <c r="AV891" s="7"/>
      <c r="AW891" s="7" t="n">
        <v>26919324</v>
      </c>
      <c r="AX891" s="7" t="s">
        <v>689</v>
      </c>
      <c r="AY891" s="7" t="s">
        <v>75</v>
      </c>
      <c r="AZ891" s="7" t="s">
        <v>107</v>
      </c>
      <c r="BA891" s="7" t="s">
        <v>76</v>
      </c>
      <c r="BB891" s="7" t="s">
        <v>15875</v>
      </c>
      <c r="BC891" s="7"/>
      <c r="BD891" s="7"/>
      <c r="BE891" s="7"/>
      <c r="BF891" s="7"/>
      <c r="BG891" s="7"/>
      <c r="BH891" s="7"/>
      <c r="BI891" s="7"/>
    </row>
    <row r="892" customFormat="false" ht="14.25" hidden="false" customHeight="true" outlineLevel="0" collapsed="false">
      <c r="A892" s="7" t="s">
        <v>15876</v>
      </c>
      <c r="B892" s="7" t="s">
        <v>15877</v>
      </c>
      <c r="C892" s="7" t="s">
        <v>15878</v>
      </c>
      <c r="D892" s="7" t="s">
        <v>15879</v>
      </c>
      <c r="E892" s="7" t="n">
        <v>2016</v>
      </c>
      <c r="F892" s="8" t="s">
        <v>15880</v>
      </c>
      <c r="G892" s="6" t="s">
        <v>393</v>
      </c>
      <c r="H892" s="7"/>
      <c r="I892" s="7"/>
      <c r="J892" s="7"/>
      <c r="K892" s="7"/>
      <c r="L892" s="7"/>
      <c r="M892" s="7"/>
      <c r="N892" s="7"/>
      <c r="O892" s="7"/>
      <c r="P892" s="7" t="s">
        <v>304</v>
      </c>
      <c r="Q892" s="7" t="s">
        <v>62</v>
      </c>
      <c r="R892" s="7" t="s">
        <v>15881</v>
      </c>
      <c r="S892" s="7"/>
      <c r="T892" s="7" t="s">
        <v>187</v>
      </c>
      <c r="U892" s="7"/>
      <c r="V892" s="7" t="n">
        <v>7843421</v>
      </c>
      <c r="W892" s="7" t="n">
        <v>91</v>
      </c>
      <c r="X892" s="7" t="n">
        <v>95</v>
      </c>
      <c r="Y892" s="7" t="n">
        <v>4</v>
      </c>
      <c r="Z892" s="7" t="s">
        <v>15882</v>
      </c>
      <c r="AA892" s="9" t="s">
        <v>15883</v>
      </c>
      <c r="AB892" s="7" t="s">
        <v>15884</v>
      </c>
      <c r="AC892" s="7" t="s">
        <v>15885</v>
      </c>
      <c r="AD892" s="7" t="s">
        <v>15886</v>
      </c>
      <c r="AE892" s="7" t="s">
        <v>15887</v>
      </c>
      <c r="AF892" s="7"/>
      <c r="AG892" s="7"/>
      <c r="AH892" s="7"/>
      <c r="AI892" s="7"/>
      <c r="AJ892" s="10"/>
      <c r="AK892" s="7"/>
      <c r="AL892" s="7" t="s">
        <v>15888</v>
      </c>
      <c r="AM892" s="7"/>
      <c r="AN892" s="7"/>
      <c r="AO892" s="7" t="s">
        <v>15889</v>
      </c>
      <c r="AP892" s="7" t="s">
        <v>15890</v>
      </c>
      <c r="AQ892" s="7" t="s">
        <v>15891</v>
      </c>
      <c r="AR892" s="7" t="s">
        <v>6146</v>
      </c>
      <c r="AS892" s="7" t="n">
        <v>126362</v>
      </c>
      <c r="AT892" s="7"/>
      <c r="AU892" s="7" t="s">
        <v>15892</v>
      </c>
      <c r="AV892" s="7"/>
      <c r="AW892" s="7"/>
      <c r="AX892" s="7" t="s">
        <v>15893</v>
      </c>
      <c r="AY892" s="7" t="s">
        <v>75</v>
      </c>
      <c r="AZ892" s="7"/>
      <c r="BA892" s="7" t="s">
        <v>76</v>
      </c>
      <c r="BB892" s="7" t="s">
        <v>15894</v>
      </c>
      <c r="BC892" s="7"/>
      <c r="BD892" s="7"/>
      <c r="BE892" s="7"/>
      <c r="BF892" s="7"/>
      <c r="BG892" s="7"/>
      <c r="BH892" s="7"/>
      <c r="BI892" s="7"/>
    </row>
    <row r="893" customFormat="false" ht="14.25" hidden="false" customHeight="true" outlineLevel="0" collapsed="false">
      <c r="A893" s="7" t="s">
        <v>15269</v>
      </c>
      <c r="B893" s="7" t="s">
        <v>15270</v>
      </c>
      <c r="C893" s="7" t="s">
        <v>15271</v>
      </c>
      <c r="D893" s="7" t="s">
        <v>15895</v>
      </c>
      <c r="E893" s="7" t="n">
        <v>2016</v>
      </c>
      <c r="F893" s="8" t="s">
        <v>15896</v>
      </c>
      <c r="G893" s="6" t="s">
        <v>393</v>
      </c>
      <c r="H893" s="7"/>
      <c r="I893" s="7"/>
      <c r="J893" s="7"/>
      <c r="K893" s="7"/>
      <c r="L893" s="7"/>
      <c r="M893" s="7"/>
      <c r="N893" s="7"/>
      <c r="O893" s="7"/>
      <c r="P893" s="7" t="s">
        <v>304</v>
      </c>
      <c r="Q893" s="7" t="s">
        <v>62</v>
      </c>
      <c r="R893" s="7" t="s">
        <v>15897</v>
      </c>
      <c r="S893" s="7"/>
      <c r="T893" s="7" t="s">
        <v>187</v>
      </c>
      <c r="U893" s="7"/>
      <c r="V893" s="7" t="n">
        <v>7522513</v>
      </c>
      <c r="W893" s="7"/>
      <c r="X893" s="7"/>
      <c r="Y893" s="7"/>
      <c r="Z893" s="7" t="s">
        <v>15898</v>
      </c>
      <c r="AA893" s="9" t="s">
        <v>15899</v>
      </c>
      <c r="AB893" s="7" t="s">
        <v>15276</v>
      </c>
      <c r="AC893" s="7" t="s">
        <v>15277</v>
      </c>
      <c r="AD893" s="7" t="s">
        <v>15900</v>
      </c>
      <c r="AE893" s="7" t="s">
        <v>15901</v>
      </c>
      <c r="AF893" s="7"/>
      <c r="AG893" s="7"/>
      <c r="AH893" s="7"/>
      <c r="AI893" s="7"/>
      <c r="AJ893" s="10"/>
      <c r="AK893" s="7"/>
      <c r="AL893" s="7" t="s">
        <v>15902</v>
      </c>
      <c r="AM893" s="7"/>
      <c r="AN893" s="7"/>
      <c r="AO893" s="7"/>
      <c r="AP893" s="7" t="s">
        <v>15903</v>
      </c>
      <c r="AQ893" s="7" t="s">
        <v>15904</v>
      </c>
      <c r="AR893" s="7" t="s">
        <v>15905</v>
      </c>
      <c r="AS893" s="7" t="n">
        <v>123015</v>
      </c>
      <c r="AT893" s="7"/>
      <c r="AU893" s="7" t="s">
        <v>15906</v>
      </c>
      <c r="AV893" s="7"/>
      <c r="AW893" s="7"/>
      <c r="AX893" s="7" t="s">
        <v>15907</v>
      </c>
      <c r="AY893" s="7" t="s">
        <v>75</v>
      </c>
      <c r="AZ893" s="7"/>
      <c r="BA893" s="7" t="s">
        <v>76</v>
      </c>
      <c r="BB893" s="7" t="s">
        <v>15908</v>
      </c>
      <c r="BC893" s="7"/>
      <c r="BD893" s="7"/>
      <c r="BE893" s="7"/>
      <c r="BF893" s="7"/>
      <c r="BG893" s="7"/>
      <c r="BH893" s="7"/>
      <c r="BI893" s="7"/>
    </row>
    <row r="894" customFormat="false" ht="14.25" hidden="false" customHeight="true" outlineLevel="0" collapsed="false">
      <c r="A894" s="7" t="s">
        <v>15909</v>
      </c>
      <c r="B894" s="7" t="s">
        <v>15910</v>
      </c>
      <c r="C894" s="7" t="s">
        <v>15911</v>
      </c>
      <c r="D894" s="7" t="s">
        <v>15912</v>
      </c>
      <c r="E894" s="7" t="n">
        <v>2016</v>
      </c>
      <c r="F894" s="8" t="s">
        <v>15913</v>
      </c>
      <c r="G894" s="6" t="s">
        <v>393</v>
      </c>
      <c r="H894" s="7"/>
      <c r="I894" s="7"/>
      <c r="J894" s="7"/>
      <c r="K894" s="7"/>
      <c r="L894" s="7"/>
      <c r="M894" s="7"/>
      <c r="N894" s="7"/>
      <c r="O894" s="7"/>
      <c r="P894" s="7" t="s">
        <v>304</v>
      </c>
      <c r="Q894" s="7" t="s">
        <v>62</v>
      </c>
      <c r="R894" s="7" t="s">
        <v>15914</v>
      </c>
      <c r="S894" s="12" t="n">
        <v>42370</v>
      </c>
      <c r="T894" s="7" t="s">
        <v>187</v>
      </c>
      <c r="U894" s="7"/>
      <c r="V894" s="7" t="n">
        <v>7556806</v>
      </c>
      <c r="W894" s="7" t="n">
        <v>69</v>
      </c>
      <c r="X894" s="7" t="n">
        <v>72</v>
      </c>
      <c r="Y894" s="7" t="n">
        <v>3</v>
      </c>
      <c r="Z894" s="7" t="s">
        <v>15915</v>
      </c>
      <c r="AA894" s="9" t="s">
        <v>15916</v>
      </c>
      <c r="AB894" s="7" t="s">
        <v>15917</v>
      </c>
      <c r="AC894" s="7" t="s">
        <v>15918</v>
      </c>
      <c r="AD894" s="7" t="s">
        <v>15919</v>
      </c>
      <c r="AE894" s="7" t="s">
        <v>15920</v>
      </c>
      <c r="AF894" s="7"/>
      <c r="AG894" s="7"/>
      <c r="AH894" s="7"/>
      <c r="AI894" s="7"/>
      <c r="AJ894" s="10"/>
      <c r="AK894" s="7"/>
      <c r="AL894" s="7" t="s">
        <v>15921</v>
      </c>
      <c r="AM894" s="7"/>
      <c r="AN894" s="7" t="s">
        <v>15922</v>
      </c>
      <c r="AO894" s="7"/>
      <c r="AP894" s="7" t="s">
        <v>15923</v>
      </c>
      <c r="AQ894" s="22" t="n">
        <v>42380</v>
      </c>
      <c r="AR894" s="7" t="s">
        <v>15924</v>
      </c>
      <c r="AS894" s="7" t="n">
        <v>123634</v>
      </c>
      <c r="AT894" s="7" t="n">
        <v>23755822</v>
      </c>
      <c r="AU894" s="7" t="n">
        <v>769557457</v>
      </c>
      <c r="AV894" s="7"/>
      <c r="AW894" s="7"/>
      <c r="AX894" s="7" t="s">
        <v>15925</v>
      </c>
      <c r="AY894" s="7" t="s">
        <v>75</v>
      </c>
      <c r="AZ894" s="7"/>
      <c r="BA894" s="7" t="s">
        <v>76</v>
      </c>
      <c r="BB894" s="7" t="s">
        <v>15926</v>
      </c>
      <c r="BC894" s="7"/>
      <c r="BD894" s="7"/>
      <c r="BE894" s="7"/>
      <c r="BF894" s="7"/>
      <c r="BG894" s="7"/>
      <c r="BH894" s="7"/>
      <c r="BI894" s="7"/>
    </row>
    <row r="895" customFormat="false" ht="14.25" hidden="false" customHeight="true" outlineLevel="0" collapsed="false">
      <c r="A895" s="7" t="s">
        <v>15927</v>
      </c>
      <c r="B895" s="7" t="s">
        <v>15928</v>
      </c>
      <c r="C895" s="7" t="s">
        <v>15929</v>
      </c>
      <c r="D895" s="7" t="s">
        <v>15930</v>
      </c>
      <c r="E895" s="7" t="n">
        <v>2016</v>
      </c>
      <c r="F895" s="8" t="s">
        <v>15931</v>
      </c>
      <c r="G895" s="6" t="s">
        <v>393</v>
      </c>
      <c r="H895" s="7"/>
      <c r="I895" s="7"/>
      <c r="J895" s="7"/>
      <c r="K895" s="7"/>
      <c r="L895" s="7"/>
      <c r="M895" s="7"/>
      <c r="N895" s="7"/>
      <c r="O895" s="7"/>
      <c r="P895" s="7" t="s">
        <v>304</v>
      </c>
      <c r="Q895" s="7" t="s">
        <v>62</v>
      </c>
      <c r="R895" s="7" t="s">
        <v>15932</v>
      </c>
      <c r="S895" s="7" t="n">
        <v>1</v>
      </c>
      <c r="T895" s="7" t="s">
        <v>2677</v>
      </c>
      <c r="U895" s="7"/>
      <c r="V895" s="7" t="n">
        <v>7860891</v>
      </c>
      <c r="W895" s="7" t="n">
        <v>141</v>
      </c>
      <c r="X895" s="7" t="n">
        <v>145</v>
      </c>
      <c r="Y895" s="7" t="n">
        <v>4</v>
      </c>
      <c r="Z895" s="7" t="s">
        <v>15933</v>
      </c>
      <c r="AA895" s="9" t="s">
        <v>15934</v>
      </c>
      <c r="AB895" s="7" t="s">
        <v>15935</v>
      </c>
      <c r="AC895" s="7" t="s">
        <v>15936</v>
      </c>
      <c r="AD895" s="7" t="s">
        <v>15937</v>
      </c>
      <c r="AE895" s="7" t="s">
        <v>15938</v>
      </c>
      <c r="AF895" s="7"/>
      <c r="AG895" s="7"/>
      <c r="AH895" s="7"/>
      <c r="AI895" s="7"/>
      <c r="AJ895" s="10"/>
      <c r="AK895" s="7"/>
      <c r="AL895" s="7" t="s">
        <v>15939</v>
      </c>
      <c r="AM895" s="7"/>
      <c r="AN895" s="7"/>
      <c r="AO895" s="7" t="s">
        <v>15940</v>
      </c>
      <c r="AP895" s="7" t="s">
        <v>15941</v>
      </c>
      <c r="AQ895" s="7" t="s">
        <v>15942</v>
      </c>
      <c r="AR895" s="7" t="s">
        <v>11177</v>
      </c>
      <c r="AS895" s="7" t="n">
        <v>126580</v>
      </c>
      <c r="AT895" s="7" t="s">
        <v>15943</v>
      </c>
      <c r="AU895" s="7" t="s">
        <v>15944</v>
      </c>
      <c r="AV895" s="7"/>
      <c r="AW895" s="7"/>
      <c r="AX895" s="7" t="s">
        <v>15945</v>
      </c>
      <c r="AY895" s="7" t="s">
        <v>75</v>
      </c>
      <c r="AZ895" s="7"/>
      <c r="BA895" s="7" t="s">
        <v>76</v>
      </c>
      <c r="BB895" s="7" t="s">
        <v>15946</v>
      </c>
      <c r="BC895" s="7"/>
      <c r="BD895" s="7"/>
      <c r="BE895" s="7"/>
      <c r="BF895" s="7"/>
      <c r="BG895" s="7"/>
      <c r="BH895" s="7"/>
      <c r="BI895" s="7"/>
    </row>
    <row r="896" customFormat="false" ht="14.25" hidden="false" customHeight="true" outlineLevel="0" collapsed="false">
      <c r="A896" s="7" t="s">
        <v>15947</v>
      </c>
      <c r="B896" s="7" t="s">
        <v>15948</v>
      </c>
      <c r="C896" s="7" t="s">
        <v>15949</v>
      </c>
      <c r="D896" s="7" t="s">
        <v>15950</v>
      </c>
      <c r="E896" s="7" t="n">
        <v>2015</v>
      </c>
      <c r="F896" s="8" t="s">
        <v>15951</v>
      </c>
      <c r="G896" s="6" t="s">
        <v>393</v>
      </c>
      <c r="H896" s="7"/>
      <c r="I896" s="7"/>
      <c r="J896" s="7"/>
      <c r="K896" s="7"/>
      <c r="L896" s="7"/>
      <c r="M896" s="7"/>
      <c r="N896" s="7"/>
      <c r="O896" s="7"/>
      <c r="P896" s="7" t="s">
        <v>61</v>
      </c>
      <c r="Q896" s="7" t="s">
        <v>62</v>
      </c>
      <c r="R896" s="7" t="s">
        <v>15952</v>
      </c>
      <c r="S896" s="7" t="n">
        <v>10</v>
      </c>
      <c r="T896" s="7" t="s">
        <v>11626</v>
      </c>
      <c r="U896" s="7" t="n">
        <v>1</v>
      </c>
      <c r="V896" s="7" t="n">
        <v>49</v>
      </c>
      <c r="W896" s="7"/>
      <c r="X896" s="7"/>
      <c r="Y896" s="7"/>
      <c r="Z896" s="7" t="s">
        <v>15953</v>
      </c>
      <c r="AA896" s="9" t="s">
        <v>15954</v>
      </c>
      <c r="AB896" s="7" t="s">
        <v>15955</v>
      </c>
      <c r="AC896" s="7" t="s">
        <v>15956</v>
      </c>
      <c r="AD896" s="7" t="s">
        <v>15957</v>
      </c>
      <c r="AE896" s="7" t="s">
        <v>15958</v>
      </c>
      <c r="AF896" s="7"/>
      <c r="AG896" s="7" t="s">
        <v>15959</v>
      </c>
      <c r="AH896" s="7"/>
      <c r="AI896" s="7"/>
      <c r="AJ896" s="10"/>
      <c r="AK896" s="7"/>
      <c r="AL896" s="7" t="s">
        <v>15960</v>
      </c>
      <c r="AM896" s="7" t="s">
        <v>15961</v>
      </c>
      <c r="AN896" s="7"/>
      <c r="AO896" s="7"/>
      <c r="AP896" s="7"/>
      <c r="AQ896" s="7"/>
      <c r="AR896" s="7"/>
      <c r="AS896" s="7"/>
      <c r="AT896" s="7" t="n">
        <v>17461596</v>
      </c>
      <c r="AU896" s="7"/>
      <c r="AV896" s="7"/>
      <c r="AW896" s="7" t="n">
        <v>25943348</v>
      </c>
      <c r="AX896" s="7" t="s">
        <v>15962</v>
      </c>
      <c r="AY896" s="7" t="s">
        <v>75</v>
      </c>
      <c r="AZ896" s="7" t="s">
        <v>107</v>
      </c>
      <c r="BA896" s="7" t="s">
        <v>76</v>
      </c>
      <c r="BB896" s="7" t="s">
        <v>15963</v>
      </c>
      <c r="BC896" s="7"/>
      <c r="BD896" s="7"/>
      <c r="BE896" s="7"/>
      <c r="BF896" s="7"/>
      <c r="BG896" s="7"/>
      <c r="BH896" s="7"/>
      <c r="BI896" s="7"/>
    </row>
    <row r="897" customFormat="false" ht="14.25" hidden="false" customHeight="true" outlineLevel="0" collapsed="false">
      <c r="A897" s="7" t="s">
        <v>15964</v>
      </c>
      <c r="B897" s="7" t="s">
        <v>15965</v>
      </c>
      <c r="C897" s="7" t="s">
        <v>15966</v>
      </c>
      <c r="D897" s="7" t="s">
        <v>15967</v>
      </c>
      <c r="E897" s="7" t="n">
        <v>2015</v>
      </c>
      <c r="F897" s="8" t="s">
        <v>15968</v>
      </c>
      <c r="G897" s="6" t="s">
        <v>1230</v>
      </c>
      <c r="H897" s="7"/>
      <c r="I897" s="7"/>
      <c r="J897" s="7"/>
      <c r="K897" s="7"/>
      <c r="L897" s="7"/>
      <c r="M897" s="7"/>
      <c r="N897" s="7"/>
      <c r="O897" s="7"/>
      <c r="P897" s="7" t="s">
        <v>61</v>
      </c>
      <c r="Q897" s="7" t="s">
        <v>62</v>
      </c>
      <c r="R897" s="7" t="s">
        <v>15969</v>
      </c>
      <c r="S897" s="7" t="n">
        <v>81</v>
      </c>
      <c r="T897" s="7" t="s">
        <v>15970</v>
      </c>
      <c r="U897" s="7" t="n">
        <v>5</v>
      </c>
      <c r="V897" s="7"/>
      <c r="W897" s="7" t="n">
        <v>533</v>
      </c>
      <c r="X897" s="7" t="n">
        <v>540</v>
      </c>
      <c r="Y897" s="7" t="n">
        <v>7</v>
      </c>
      <c r="Z897" s="7" t="s">
        <v>15971</v>
      </c>
      <c r="AA897" s="9" t="s">
        <v>15972</v>
      </c>
      <c r="AB897" s="7" t="s">
        <v>15973</v>
      </c>
      <c r="AC897" s="7" t="s">
        <v>15974</v>
      </c>
      <c r="AD897" s="7" t="s">
        <v>15975</v>
      </c>
      <c r="AE897" s="7" t="s">
        <v>15976</v>
      </c>
      <c r="AF897" s="7"/>
      <c r="AG897" s="7" t="s">
        <v>15977</v>
      </c>
      <c r="AH897" s="7"/>
      <c r="AI897" s="7"/>
      <c r="AJ897" s="10"/>
      <c r="AK897" s="7"/>
      <c r="AL897" s="7" t="s">
        <v>15978</v>
      </c>
      <c r="AM897" s="7" t="s">
        <v>15979</v>
      </c>
      <c r="AN897" s="7"/>
      <c r="AO897" s="7"/>
      <c r="AP897" s="7"/>
      <c r="AQ897" s="7"/>
      <c r="AR897" s="7"/>
      <c r="AS897" s="7"/>
      <c r="AT897" s="7" t="n">
        <v>18088694</v>
      </c>
      <c r="AU897" s="7"/>
      <c r="AV897" s="7"/>
      <c r="AW897" s="7" t="n">
        <v>26277588</v>
      </c>
      <c r="AX897" s="7" t="s">
        <v>15980</v>
      </c>
      <c r="AY897" s="7" t="s">
        <v>75</v>
      </c>
      <c r="AZ897" s="7" t="s">
        <v>107</v>
      </c>
      <c r="BA897" s="7" t="s">
        <v>76</v>
      </c>
      <c r="BB897" s="7" t="s">
        <v>15981</v>
      </c>
      <c r="BC897" s="7"/>
      <c r="BD897" s="7"/>
      <c r="BE897" s="7"/>
      <c r="BF897" s="7"/>
      <c r="BG897" s="7"/>
      <c r="BH897" s="7"/>
      <c r="BI897" s="7"/>
    </row>
    <row r="898" customFormat="false" ht="14.25" hidden="false" customHeight="true" outlineLevel="0" collapsed="false">
      <c r="A898" s="7" t="s">
        <v>15982</v>
      </c>
      <c r="B898" s="7" t="s">
        <v>15983</v>
      </c>
      <c r="C898" s="7" t="s">
        <v>15984</v>
      </c>
      <c r="D898" s="7" t="s">
        <v>15985</v>
      </c>
      <c r="E898" s="7" t="n">
        <v>2015</v>
      </c>
      <c r="F898" s="8" t="s">
        <v>15986</v>
      </c>
      <c r="G898" s="6" t="s">
        <v>393</v>
      </c>
      <c r="H898" s="7"/>
      <c r="I898" s="7"/>
      <c r="J898" s="7"/>
      <c r="K898" s="7"/>
      <c r="L898" s="7"/>
      <c r="M898" s="7"/>
      <c r="N898" s="7"/>
      <c r="O898" s="7"/>
      <c r="P898" s="7" t="s">
        <v>61</v>
      </c>
      <c r="Q898" s="7" t="s">
        <v>62</v>
      </c>
      <c r="R898" s="7" t="s">
        <v>15987</v>
      </c>
      <c r="S898" s="7" t="n">
        <v>13</v>
      </c>
      <c r="T898" s="7" t="s">
        <v>11626</v>
      </c>
      <c r="U898" s="7" t="n">
        <v>1</v>
      </c>
      <c r="V898" s="7" t="n">
        <v>236</v>
      </c>
      <c r="W898" s="7"/>
      <c r="X898" s="7"/>
      <c r="Y898" s="7"/>
      <c r="Z898" s="7" t="s">
        <v>15988</v>
      </c>
      <c r="AA898" s="9" t="s">
        <v>15989</v>
      </c>
      <c r="AB898" s="7" t="s">
        <v>15990</v>
      </c>
      <c r="AC898" s="7" t="s">
        <v>15991</v>
      </c>
      <c r="AD898" s="7" t="s">
        <v>15992</v>
      </c>
      <c r="AE898" s="7" t="s">
        <v>15993</v>
      </c>
      <c r="AF898" s="7"/>
      <c r="AG898" s="7" t="s">
        <v>15994</v>
      </c>
      <c r="AH898" s="7"/>
      <c r="AI898" s="7"/>
      <c r="AJ898" s="10" t="s">
        <v>15995</v>
      </c>
      <c r="AK898" s="7" t="s">
        <v>15996</v>
      </c>
      <c r="AL898" s="7" t="s">
        <v>15997</v>
      </c>
      <c r="AM898" s="7" t="s">
        <v>15998</v>
      </c>
      <c r="AN898" s="7"/>
      <c r="AO898" s="7"/>
      <c r="AP898" s="7"/>
      <c r="AQ898" s="7"/>
      <c r="AR898" s="7"/>
      <c r="AS898" s="7"/>
      <c r="AT898" s="7" t="n">
        <v>14795876</v>
      </c>
      <c r="AU898" s="7"/>
      <c r="AV898" s="7"/>
      <c r="AW898" s="7" t="n">
        <v>26187732</v>
      </c>
      <c r="AX898" s="7" t="s">
        <v>15999</v>
      </c>
      <c r="AY898" s="7" t="s">
        <v>75</v>
      </c>
      <c r="AZ898" s="7" t="s">
        <v>107</v>
      </c>
      <c r="BA898" s="7" t="s">
        <v>76</v>
      </c>
      <c r="BB898" s="7" t="s">
        <v>16000</v>
      </c>
      <c r="BC898" s="7"/>
      <c r="BD898" s="7"/>
      <c r="BE898" s="7"/>
      <c r="BF898" s="7"/>
      <c r="BG898" s="7"/>
      <c r="BH898" s="7"/>
      <c r="BI898" s="7"/>
    </row>
    <row r="899" customFormat="false" ht="14.25" hidden="false" customHeight="true" outlineLevel="0" collapsed="false">
      <c r="A899" s="7" t="s">
        <v>16001</v>
      </c>
      <c r="B899" s="7" t="s">
        <v>16002</v>
      </c>
      <c r="C899" s="7" t="s">
        <v>16003</v>
      </c>
      <c r="D899" s="7" t="s">
        <v>16004</v>
      </c>
      <c r="E899" s="7" t="n">
        <v>2015</v>
      </c>
      <c r="F899" s="8" t="s">
        <v>16005</v>
      </c>
      <c r="G899" s="6" t="s">
        <v>393</v>
      </c>
      <c r="H899" s="7"/>
      <c r="I899" s="7"/>
      <c r="J899" s="7"/>
      <c r="K899" s="7"/>
      <c r="L899" s="7"/>
      <c r="M899" s="7"/>
      <c r="N899" s="7"/>
      <c r="O899" s="7"/>
      <c r="P899" s="7" t="s">
        <v>61</v>
      </c>
      <c r="Q899" s="7" t="s">
        <v>62</v>
      </c>
      <c r="R899" s="7" t="s">
        <v>16006</v>
      </c>
      <c r="S899" s="7" t="n">
        <v>314</v>
      </c>
      <c r="T899" s="7" t="s">
        <v>16007</v>
      </c>
      <c r="U899" s="7" t="n">
        <v>23</v>
      </c>
      <c r="V899" s="7"/>
      <c r="W899" s="7" t="n">
        <v>2514</v>
      </c>
      <c r="X899" s="7" t="n">
        <v>2523</v>
      </c>
      <c r="Y899" s="7" t="n">
        <v>9</v>
      </c>
      <c r="Z899" s="7" t="s">
        <v>16008</v>
      </c>
      <c r="AA899" s="9" t="s">
        <v>16009</v>
      </c>
      <c r="AB899" s="7" t="s">
        <v>16010</v>
      </c>
      <c r="AC899" s="7" t="s">
        <v>16011</v>
      </c>
      <c r="AD899" s="7"/>
      <c r="AE899" s="7" t="s">
        <v>16012</v>
      </c>
      <c r="AF899" s="7"/>
      <c r="AG899" s="7" t="s">
        <v>16013</v>
      </c>
      <c r="AH899" s="7"/>
      <c r="AI899" s="7"/>
      <c r="AJ899" s="10" t="s">
        <v>16014</v>
      </c>
      <c r="AK899" s="7"/>
      <c r="AL899" s="7" t="s">
        <v>16015</v>
      </c>
      <c r="AM899" s="7" t="s">
        <v>16016</v>
      </c>
      <c r="AN899" s="7"/>
      <c r="AO899" s="7"/>
      <c r="AP899" s="7"/>
      <c r="AQ899" s="7"/>
      <c r="AR899" s="7"/>
      <c r="AS899" s="7"/>
      <c r="AT899" s="7" t="n">
        <v>987484</v>
      </c>
      <c r="AU899" s="7"/>
      <c r="AV899" s="7" t="s">
        <v>16017</v>
      </c>
      <c r="AW899" s="7" t="n">
        <v>26637812</v>
      </c>
      <c r="AX899" s="7" t="s">
        <v>16018</v>
      </c>
      <c r="AY899" s="7" t="s">
        <v>75</v>
      </c>
      <c r="AZ899" s="7" t="s">
        <v>4371</v>
      </c>
      <c r="BA899" s="7" t="s">
        <v>76</v>
      </c>
      <c r="BB899" s="7" t="s">
        <v>16019</v>
      </c>
      <c r="BC899" s="7"/>
      <c r="BD899" s="7"/>
      <c r="BE899" s="7"/>
      <c r="BF899" s="7"/>
      <c r="BG899" s="7"/>
      <c r="BH899" s="7"/>
      <c r="BI899" s="7"/>
    </row>
    <row r="900" customFormat="false" ht="14.25" hidden="false" customHeight="true" outlineLevel="0" collapsed="false">
      <c r="A900" s="7" t="s">
        <v>16020</v>
      </c>
      <c r="B900" s="7" t="s">
        <v>16021</v>
      </c>
      <c r="C900" s="7" t="s">
        <v>16022</v>
      </c>
      <c r="D900" s="7" t="s">
        <v>16023</v>
      </c>
      <c r="E900" s="7" t="n">
        <v>2015</v>
      </c>
      <c r="F900" s="8" t="s">
        <v>16024</v>
      </c>
      <c r="G900" s="6" t="s">
        <v>393</v>
      </c>
      <c r="H900" s="7"/>
      <c r="I900" s="7"/>
      <c r="J900" s="7"/>
      <c r="K900" s="7"/>
      <c r="L900" s="7"/>
      <c r="M900" s="7"/>
      <c r="N900" s="7"/>
      <c r="O900" s="7"/>
      <c r="P900" s="7" t="s">
        <v>61</v>
      </c>
      <c r="Q900" s="7" t="s">
        <v>62</v>
      </c>
      <c r="R900" s="7" t="s">
        <v>679</v>
      </c>
      <c r="S900" s="7" t="n">
        <v>9</v>
      </c>
      <c r="T900" s="7" t="s">
        <v>500</v>
      </c>
      <c r="U900" s="7" t="n">
        <v>2</v>
      </c>
      <c r="V900" s="7" t="s">
        <v>16025</v>
      </c>
      <c r="W900" s="7"/>
      <c r="X900" s="7"/>
      <c r="Y900" s="7" t="n">
        <v>16</v>
      </c>
      <c r="Z900" s="7" t="s">
        <v>16026</v>
      </c>
      <c r="AA900" s="9" t="s">
        <v>16027</v>
      </c>
      <c r="AB900" s="7" t="s">
        <v>16028</v>
      </c>
      <c r="AC900" s="7" t="s">
        <v>16029</v>
      </c>
      <c r="AD900" s="7"/>
      <c r="AE900" s="7" t="s">
        <v>16030</v>
      </c>
      <c r="AF900" s="7"/>
      <c r="AG900" s="7" t="s">
        <v>16031</v>
      </c>
      <c r="AH900" s="7" t="s">
        <v>16032</v>
      </c>
      <c r="AI900" s="7"/>
      <c r="AJ900" s="10"/>
      <c r="AK900" s="7"/>
      <c r="AL900" s="7" t="s">
        <v>16033</v>
      </c>
      <c r="AM900" s="7" t="s">
        <v>16034</v>
      </c>
      <c r="AN900" s="7"/>
      <c r="AO900" s="7"/>
      <c r="AP900" s="7"/>
      <c r="AQ900" s="7"/>
      <c r="AR900" s="7"/>
      <c r="AS900" s="7"/>
      <c r="AT900" s="7" t="n">
        <v>19352727</v>
      </c>
      <c r="AU900" s="7"/>
      <c r="AV900" s="7"/>
      <c r="AW900" s="7" t="n">
        <v>25723465</v>
      </c>
      <c r="AX900" s="7" t="s">
        <v>689</v>
      </c>
      <c r="AY900" s="7" t="s">
        <v>75</v>
      </c>
      <c r="AZ900" s="7" t="s">
        <v>107</v>
      </c>
      <c r="BA900" s="7" t="s">
        <v>76</v>
      </c>
      <c r="BB900" s="7" t="s">
        <v>16035</v>
      </c>
      <c r="BC900" s="7"/>
      <c r="BD900" s="7"/>
      <c r="BE900" s="7"/>
      <c r="BF900" s="7"/>
      <c r="BG900" s="7"/>
      <c r="BH900" s="7"/>
      <c r="BI900" s="7"/>
    </row>
    <row r="901" customFormat="false" ht="14.25" hidden="false" customHeight="true" outlineLevel="0" collapsed="false">
      <c r="A901" s="7" t="s">
        <v>16036</v>
      </c>
      <c r="B901" s="7" t="s">
        <v>16037</v>
      </c>
      <c r="C901" s="7" t="s">
        <v>16038</v>
      </c>
      <c r="D901" s="7" t="s">
        <v>16039</v>
      </c>
      <c r="E901" s="7" t="n">
        <v>2015</v>
      </c>
      <c r="F901" s="8" t="s">
        <v>16040</v>
      </c>
      <c r="G901" s="6" t="s">
        <v>393</v>
      </c>
      <c r="H901" s="7"/>
      <c r="I901" s="7"/>
      <c r="J901" s="7"/>
      <c r="K901" s="7"/>
      <c r="L901" s="7"/>
      <c r="M901" s="7"/>
      <c r="N901" s="7"/>
      <c r="O901" s="7"/>
      <c r="P901" s="7" t="s">
        <v>61</v>
      </c>
      <c r="Q901" s="7" t="s">
        <v>62</v>
      </c>
      <c r="R901" s="7" t="s">
        <v>16041</v>
      </c>
      <c r="S901" s="7" t="n">
        <v>56</v>
      </c>
      <c r="T901" s="7" t="s">
        <v>466</v>
      </c>
      <c r="U901" s="7" t="n">
        <v>6</v>
      </c>
      <c r="V901" s="7"/>
      <c r="W901" s="7" t="n">
        <v>556</v>
      </c>
      <c r="X901" s="7" t="n">
        <v>562</v>
      </c>
      <c r="Y901" s="7" t="n">
        <v>6</v>
      </c>
      <c r="Z901" s="7" t="s">
        <v>16042</v>
      </c>
      <c r="AA901" s="9" t="s">
        <v>16043</v>
      </c>
      <c r="AB901" s="7" t="s">
        <v>16044</v>
      </c>
      <c r="AC901" s="7" t="s">
        <v>16045</v>
      </c>
      <c r="AD901" s="7" t="s">
        <v>16046</v>
      </c>
      <c r="AE901" s="7" t="s">
        <v>16047</v>
      </c>
      <c r="AF901" s="7"/>
      <c r="AG901" s="7" t="s">
        <v>16048</v>
      </c>
      <c r="AH901" s="7" t="s">
        <v>16049</v>
      </c>
      <c r="AI901" s="7"/>
      <c r="AJ901" s="10"/>
      <c r="AK901" s="7"/>
      <c r="AL901" s="7" t="s">
        <v>16050</v>
      </c>
      <c r="AM901" s="7" t="s">
        <v>16051</v>
      </c>
      <c r="AN901" s="7"/>
      <c r="AO901" s="7"/>
      <c r="AP901" s="7"/>
      <c r="AQ901" s="7"/>
      <c r="AR901" s="7"/>
      <c r="AS901" s="7"/>
      <c r="AT901" s="7" t="n">
        <v>8936692</v>
      </c>
      <c r="AU901" s="7"/>
      <c r="AV901" s="7" t="s">
        <v>16052</v>
      </c>
      <c r="AW901" s="7" t="n">
        <v>25821123</v>
      </c>
      <c r="AX901" s="7" t="s">
        <v>16053</v>
      </c>
      <c r="AY901" s="7" t="s">
        <v>75</v>
      </c>
      <c r="AZ901" s="7"/>
      <c r="BA901" s="7" t="s">
        <v>76</v>
      </c>
      <c r="BB901" s="7" t="s">
        <v>16054</v>
      </c>
      <c r="BC901" s="7"/>
      <c r="BD901" s="7"/>
      <c r="BE901" s="7"/>
      <c r="BF901" s="7"/>
      <c r="BG901" s="7"/>
      <c r="BH901" s="7"/>
      <c r="BI901" s="7"/>
    </row>
    <row r="902" customFormat="false" ht="14.25" hidden="false" customHeight="true" outlineLevel="0" collapsed="false">
      <c r="A902" s="7" t="s">
        <v>16055</v>
      </c>
      <c r="B902" s="7" t="s">
        <v>16056</v>
      </c>
      <c r="C902" s="7" t="s">
        <v>16057</v>
      </c>
      <c r="D902" s="7" t="s">
        <v>16058</v>
      </c>
      <c r="E902" s="7" t="n">
        <v>2015</v>
      </c>
      <c r="F902" s="8" t="s">
        <v>16059</v>
      </c>
      <c r="G902" s="6" t="s">
        <v>1230</v>
      </c>
      <c r="H902" s="7"/>
      <c r="I902" s="7"/>
      <c r="J902" s="7"/>
      <c r="K902" s="7"/>
      <c r="L902" s="7"/>
      <c r="M902" s="7"/>
      <c r="N902" s="7"/>
      <c r="O902" s="7"/>
      <c r="P902" s="7" t="s">
        <v>61</v>
      </c>
      <c r="Q902" s="7" t="s">
        <v>62</v>
      </c>
      <c r="R902" s="7" t="s">
        <v>7484</v>
      </c>
      <c r="S902" s="7" t="n">
        <v>39</v>
      </c>
      <c r="T902" s="7" t="s">
        <v>16060</v>
      </c>
      <c r="U902" s="7" t="n">
        <v>4</v>
      </c>
      <c r="V902" s="7"/>
      <c r="W902" s="7" t="n">
        <v>613</v>
      </c>
      <c r="X902" s="7" t="n">
        <v>623</v>
      </c>
      <c r="Y902" s="7" t="n">
        <v>10</v>
      </c>
      <c r="Z902" s="7" t="s">
        <v>16061</v>
      </c>
      <c r="AA902" s="9" t="s">
        <v>16062</v>
      </c>
      <c r="AB902" s="7" t="s">
        <v>16063</v>
      </c>
      <c r="AC902" s="7" t="s">
        <v>16064</v>
      </c>
      <c r="AD902" s="7" t="s">
        <v>16065</v>
      </c>
      <c r="AE902" s="7" t="s">
        <v>16066</v>
      </c>
      <c r="AF902" s="7"/>
      <c r="AG902" s="7"/>
      <c r="AH902" s="7"/>
      <c r="AI902" s="7"/>
      <c r="AJ902" s="10"/>
      <c r="AK902" s="7"/>
      <c r="AL902" s="7" t="s">
        <v>16067</v>
      </c>
      <c r="AM902" s="7" t="s">
        <v>16068</v>
      </c>
      <c r="AN902" s="7"/>
      <c r="AO902" s="7"/>
      <c r="AP902" s="7"/>
      <c r="AQ902" s="7"/>
      <c r="AR902" s="7"/>
      <c r="AS902" s="7"/>
      <c r="AT902" s="7" t="n">
        <v>9717196</v>
      </c>
      <c r="AU902" s="7"/>
      <c r="AV902" s="7"/>
      <c r="AW902" s="7"/>
      <c r="AX902" s="7" t="s">
        <v>7493</v>
      </c>
      <c r="AY902" s="7" t="s">
        <v>75</v>
      </c>
      <c r="AZ902" s="7" t="s">
        <v>409</v>
      </c>
      <c r="BA902" s="7" t="s">
        <v>76</v>
      </c>
      <c r="BB902" s="7" t="s">
        <v>16069</v>
      </c>
      <c r="BC902" s="7"/>
      <c r="BD902" s="7"/>
      <c r="BE902" s="7"/>
      <c r="BF902" s="7"/>
      <c r="BG902" s="7"/>
      <c r="BH902" s="7"/>
      <c r="BI902" s="7"/>
    </row>
    <row r="903" customFormat="false" ht="14.25" hidden="false" customHeight="true" outlineLevel="0" collapsed="false">
      <c r="A903" s="7" t="s">
        <v>16070</v>
      </c>
      <c r="B903" s="7" t="s">
        <v>16071</v>
      </c>
      <c r="C903" s="7" t="s">
        <v>16072</v>
      </c>
      <c r="D903" s="7" t="s">
        <v>16073</v>
      </c>
      <c r="E903" s="7" t="n">
        <v>2015</v>
      </c>
      <c r="F903" s="8" t="s">
        <v>16074</v>
      </c>
      <c r="G903" s="6" t="s">
        <v>1230</v>
      </c>
      <c r="H903" s="7"/>
      <c r="I903" s="7"/>
      <c r="J903" s="7"/>
      <c r="K903" s="7"/>
      <c r="L903" s="7"/>
      <c r="M903" s="7"/>
      <c r="N903" s="7"/>
      <c r="O903" s="7"/>
      <c r="P903" s="7" t="s">
        <v>61</v>
      </c>
      <c r="Q903" s="7" t="s">
        <v>62</v>
      </c>
      <c r="R903" s="7" t="s">
        <v>679</v>
      </c>
      <c r="S903" s="7" t="n">
        <v>9</v>
      </c>
      <c r="T903" s="7" t="s">
        <v>500</v>
      </c>
      <c r="U903" s="7" t="n">
        <v>6</v>
      </c>
      <c r="V903" s="7" t="s">
        <v>16075</v>
      </c>
      <c r="W903" s="7"/>
      <c r="X903" s="7"/>
      <c r="Y903" s="7" t="n">
        <v>14</v>
      </c>
      <c r="Z903" s="7" t="s">
        <v>16076</v>
      </c>
      <c r="AA903" s="9" t="s">
        <v>16077</v>
      </c>
      <c r="AB903" s="7" t="s">
        <v>16078</v>
      </c>
      <c r="AC903" s="7" t="s">
        <v>16079</v>
      </c>
      <c r="AD903" s="7"/>
      <c r="AE903" s="7" t="s">
        <v>16080</v>
      </c>
      <c r="AF903" s="7"/>
      <c r="AG903" s="7" t="s">
        <v>16081</v>
      </c>
      <c r="AH903" s="7" t="s">
        <v>16082</v>
      </c>
      <c r="AI903" s="7"/>
      <c r="AJ903" s="10"/>
      <c r="AK903" s="7"/>
      <c r="AL903" s="7" t="s">
        <v>16083</v>
      </c>
      <c r="AM903" s="7"/>
      <c r="AN903" s="7"/>
      <c r="AO903" s="7"/>
      <c r="AP903" s="7"/>
      <c r="AQ903" s="7"/>
      <c r="AR903" s="7"/>
      <c r="AS903" s="7"/>
      <c r="AT903" s="7" t="n">
        <v>19352727</v>
      </c>
      <c r="AU903" s="7"/>
      <c r="AV903" s="7"/>
      <c r="AW903" s="7" t="n">
        <v>26042839</v>
      </c>
      <c r="AX903" s="7" t="s">
        <v>689</v>
      </c>
      <c r="AY903" s="7" t="s">
        <v>75</v>
      </c>
      <c r="AZ903" s="7" t="s">
        <v>107</v>
      </c>
      <c r="BA903" s="7" t="s">
        <v>76</v>
      </c>
      <c r="BB903" s="7" t="s">
        <v>16084</v>
      </c>
      <c r="BC903" s="7"/>
      <c r="BD903" s="7"/>
      <c r="BE903" s="7"/>
      <c r="BF903" s="7"/>
      <c r="BG903" s="7"/>
      <c r="BH903" s="7"/>
      <c r="BI903" s="7"/>
    </row>
    <row r="904" customFormat="false" ht="14.25" hidden="false" customHeight="true" outlineLevel="0" collapsed="false">
      <c r="A904" s="7" t="s">
        <v>16085</v>
      </c>
      <c r="B904" s="7" t="s">
        <v>16086</v>
      </c>
      <c r="C904" s="7" t="s">
        <v>16087</v>
      </c>
      <c r="D904" s="7" t="s">
        <v>16088</v>
      </c>
      <c r="E904" s="7" t="n">
        <v>2015</v>
      </c>
      <c r="F904" s="8" t="s">
        <v>16089</v>
      </c>
      <c r="G904" s="6" t="s">
        <v>290</v>
      </c>
      <c r="H904" s="7"/>
      <c r="I904" s="7"/>
      <c r="J904" s="7"/>
      <c r="K904" s="7"/>
      <c r="L904" s="7"/>
      <c r="M904" s="7"/>
      <c r="N904" s="7"/>
      <c r="O904" s="7"/>
      <c r="P904" s="7" t="s">
        <v>61</v>
      </c>
      <c r="Q904" s="7" t="s">
        <v>62</v>
      </c>
      <c r="R904" s="7" t="s">
        <v>16090</v>
      </c>
      <c r="S904" s="7" t="n">
        <v>8</v>
      </c>
      <c r="T904" s="7" t="s">
        <v>7248</v>
      </c>
      <c r="U904" s="7" t="n">
        <v>1</v>
      </c>
      <c r="V904" s="7"/>
      <c r="W904" s="7" t="n">
        <v>40</v>
      </c>
      <c r="X904" s="7" t="n">
        <v>53</v>
      </c>
      <c r="Y904" s="7" t="n">
        <v>13</v>
      </c>
      <c r="Z904" s="7" t="s">
        <v>16091</v>
      </c>
      <c r="AA904" s="9" t="s">
        <v>16092</v>
      </c>
      <c r="AB904" s="7" t="s">
        <v>16093</v>
      </c>
      <c r="AC904" s="7" t="s">
        <v>16094</v>
      </c>
      <c r="AD904" s="7" t="s">
        <v>16095</v>
      </c>
      <c r="AE904" s="7" t="s">
        <v>16096</v>
      </c>
      <c r="AF904" s="7"/>
      <c r="AG904" s="7" t="s">
        <v>16097</v>
      </c>
      <c r="AH904" s="7"/>
      <c r="AI904" s="7"/>
      <c r="AJ904" s="10" t="s">
        <v>16098</v>
      </c>
      <c r="AK904" s="7"/>
      <c r="AL904" s="7" t="s">
        <v>16099</v>
      </c>
      <c r="AM904" s="7" t="s">
        <v>16100</v>
      </c>
      <c r="AN904" s="7"/>
      <c r="AO904" s="7"/>
      <c r="AP904" s="7"/>
      <c r="AQ904" s="7"/>
      <c r="AR904" s="7"/>
      <c r="AS904" s="7"/>
      <c r="AT904" s="7" t="n">
        <v>17560756</v>
      </c>
      <c r="AU904" s="7"/>
      <c r="AV904" s="7"/>
      <c r="AW904" s="7" t="n">
        <v>25869318</v>
      </c>
      <c r="AX904" s="7" t="s">
        <v>16101</v>
      </c>
      <c r="AY904" s="7" t="s">
        <v>75</v>
      </c>
      <c r="AZ904" s="7"/>
      <c r="BA904" s="7" t="s">
        <v>76</v>
      </c>
      <c r="BB904" s="7" t="s">
        <v>16102</v>
      </c>
      <c r="BC904" s="7"/>
      <c r="BD904" s="7"/>
      <c r="BE904" s="7"/>
      <c r="BF904" s="7"/>
      <c r="BG904" s="7"/>
      <c r="BH904" s="7"/>
      <c r="BI904" s="7"/>
    </row>
    <row r="905" customFormat="false" ht="14.25" hidden="false" customHeight="true" outlineLevel="0" collapsed="false">
      <c r="A905" s="7" t="s">
        <v>16103</v>
      </c>
      <c r="B905" s="7" t="s">
        <v>16104</v>
      </c>
      <c r="C905" s="7" t="s">
        <v>16105</v>
      </c>
      <c r="D905" s="7" t="s">
        <v>16106</v>
      </c>
      <c r="E905" s="7" t="n">
        <v>2015</v>
      </c>
      <c r="F905" s="8" t="s">
        <v>16107</v>
      </c>
      <c r="G905" s="6" t="s">
        <v>393</v>
      </c>
      <c r="H905" s="7"/>
      <c r="I905" s="7"/>
      <c r="J905" s="7"/>
      <c r="K905" s="7"/>
      <c r="L905" s="7"/>
      <c r="M905" s="7"/>
      <c r="N905" s="7"/>
      <c r="O905" s="7"/>
      <c r="P905" s="7" t="s">
        <v>61</v>
      </c>
      <c r="Q905" s="7" t="s">
        <v>62</v>
      </c>
      <c r="R905" s="7" t="s">
        <v>679</v>
      </c>
      <c r="S905" s="7" t="n">
        <v>9</v>
      </c>
      <c r="T905" s="7" t="s">
        <v>500</v>
      </c>
      <c r="U905" s="7" t="n">
        <v>6</v>
      </c>
      <c r="V905" s="7" t="s">
        <v>16108</v>
      </c>
      <c r="W905" s="7"/>
      <c r="X905" s="7"/>
      <c r="Y905" s="7" t="n">
        <v>13</v>
      </c>
      <c r="Z905" s="7" t="s">
        <v>16109</v>
      </c>
      <c r="AA905" s="9" t="s">
        <v>16110</v>
      </c>
      <c r="AB905" s="7" t="s">
        <v>16111</v>
      </c>
      <c r="AC905" s="7" t="s">
        <v>16112</v>
      </c>
      <c r="AD905" s="7"/>
      <c r="AE905" s="7" t="s">
        <v>16113</v>
      </c>
      <c r="AF905" s="7"/>
      <c r="AG905" s="7" t="s">
        <v>16114</v>
      </c>
      <c r="AH905" s="7"/>
      <c r="AI905" s="7"/>
      <c r="AJ905" s="10"/>
      <c r="AK905" s="7"/>
      <c r="AL905" s="7" t="s">
        <v>16115</v>
      </c>
      <c r="AM905" s="7" t="s">
        <v>16116</v>
      </c>
      <c r="AN905" s="7"/>
      <c r="AO905" s="7"/>
      <c r="AP905" s="7"/>
      <c r="AQ905" s="7"/>
      <c r="AR905" s="7"/>
      <c r="AS905" s="7"/>
      <c r="AT905" s="7" t="n">
        <v>19352727</v>
      </c>
      <c r="AU905" s="7"/>
      <c r="AV905" s="7"/>
      <c r="AW905" s="7" t="n">
        <v>26090964</v>
      </c>
      <c r="AX905" s="7" t="s">
        <v>689</v>
      </c>
      <c r="AY905" s="7" t="s">
        <v>75</v>
      </c>
      <c r="AZ905" s="7" t="s">
        <v>107</v>
      </c>
      <c r="BA905" s="7" t="s">
        <v>76</v>
      </c>
      <c r="BB905" s="7" t="s">
        <v>16117</v>
      </c>
      <c r="BC905" s="7"/>
      <c r="BD905" s="7"/>
      <c r="BE905" s="7"/>
      <c r="BF905" s="7"/>
      <c r="BG905" s="7"/>
      <c r="BH905" s="7"/>
      <c r="BI905" s="7"/>
    </row>
    <row r="906" customFormat="false" ht="14.25" hidden="false" customHeight="true" outlineLevel="0" collapsed="false">
      <c r="A906" s="7" t="s">
        <v>16118</v>
      </c>
      <c r="B906" s="7" t="s">
        <v>16119</v>
      </c>
      <c r="C906" s="7" t="s">
        <v>16120</v>
      </c>
      <c r="D906" s="7" t="s">
        <v>16121</v>
      </c>
      <c r="E906" s="7" t="n">
        <v>2015</v>
      </c>
      <c r="F906" s="8" t="s">
        <v>16122</v>
      </c>
      <c r="G906" s="6" t="s">
        <v>393</v>
      </c>
      <c r="H906" s="7"/>
      <c r="I906" s="7"/>
      <c r="J906" s="7"/>
      <c r="K906" s="7"/>
      <c r="L906" s="7"/>
      <c r="M906" s="7"/>
      <c r="N906" s="7"/>
      <c r="O906" s="7"/>
      <c r="P906" s="7" t="s">
        <v>61</v>
      </c>
      <c r="Q906" s="7" t="s">
        <v>62</v>
      </c>
      <c r="R906" s="7" t="s">
        <v>16123</v>
      </c>
      <c r="S906" s="7" t="n">
        <v>13</v>
      </c>
      <c r="T906" s="7"/>
      <c r="U906" s="7" t="n">
        <v>9</v>
      </c>
      <c r="V906" s="7"/>
      <c r="W906" s="7" t="n">
        <v>1653</v>
      </c>
      <c r="X906" s="7" t="n">
        <v>1664</v>
      </c>
      <c r="Y906" s="7" t="n">
        <v>11</v>
      </c>
      <c r="Z906" s="7" t="s">
        <v>16124</v>
      </c>
      <c r="AA906" s="9" t="s">
        <v>16125</v>
      </c>
      <c r="AB906" s="7" t="s">
        <v>16126</v>
      </c>
      <c r="AC906" s="7" t="s">
        <v>16127</v>
      </c>
      <c r="AD906" s="7" t="s">
        <v>16128</v>
      </c>
      <c r="AE906" s="7" t="s">
        <v>16129</v>
      </c>
      <c r="AF906" s="7"/>
      <c r="AG906" s="7" t="s">
        <v>16130</v>
      </c>
      <c r="AH906" s="7"/>
      <c r="AI906" s="7"/>
      <c r="AJ906" s="10" t="s">
        <v>16131</v>
      </c>
      <c r="AK906" s="7"/>
      <c r="AL906" s="7" t="s">
        <v>16132</v>
      </c>
      <c r="AM906" s="7" t="s">
        <v>16133</v>
      </c>
      <c r="AN906" s="7"/>
      <c r="AO906" s="7"/>
      <c r="AP906" s="7"/>
      <c r="AQ906" s="7"/>
      <c r="AR906" s="7"/>
      <c r="AS906" s="7"/>
      <c r="AT906" s="7" t="n">
        <v>15387933</v>
      </c>
      <c r="AU906" s="7"/>
      <c r="AV906" s="7" t="s">
        <v>16134</v>
      </c>
      <c r="AW906" s="7" t="n">
        <v>26186686</v>
      </c>
      <c r="AX906" s="7" t="s">
        <v>16135</v>
      </c>
      <c r="AY906" s="7" t="s">
        <v>75</v>
      </c>
      <c r="AZ906" s="7" t="s">
        <v>636</v>
      </c>
      <c r="BA906" s="7" t="s">
        <v>76</v>
      </c>
      <c r="BB906" s="7" t="s">
        <v>16136</v>
      </c>
      <c r="BC906" s="7"/>
      <c r="BD906" s="7"/>
      <c r="BE906" s="7"/>
      <c r="BF906" s="7"/>
      <c r="BG906" s="7"/>
      <c r="BH906" s="7"/>
      <c r="BI906" s="7"/>
    </row>
    <row r="907" customFormat="false" ht="14.25" hidden="false" customHeight="true" outlineLevel="0" collapsed="false">
      <c r="A907" s="7" t="s">
        <v>16137</v>
      </c>
      <c r="B907" s="7" t="s">
        <v>16138</v>
      </c>
      <c r="C907" s="7" t="s">
        <v>16139</v>
      </c>
      <c r="D907" s="7" t="s">
        <v>16140</v>
      </c>
      <c r="E907" s="7" t="n">
        <v>2015</v>
      </c>
      <c r="F907" s="8" t="s">
        <v>16141</v>
      </c>
      <c r="G907" s="6" t="s">
        <v>393</v>
      </c>
      <c r="H907" s="7"/>
      <c r="I907" s="7"/>
      <c r="J907" s="7"/>
      <c r="K907" s="7"/>
      <c r="L907" s="7"/>
      <c r="M907" s="7"/>
      <c r="N907" s="7"/>
      <c r="O907" s="7"/>
      <c r="P907" s="7" t="s">
        <v>61</v>
      </c>
      <c r="Q907" s="7" t="s">
        <v>62</v>
      </c>
      <c r="R907" s="7" t="s">
        <v>9604</v>
      </c>
      <c r="S907" s="7" t="n">
        <v>105</v>
      </c>
      <c r="T907" s="7" t="s">
        <v>16142</v>
      </c>
      <c r="U907" s="7" t="n">
        <v>1</v>
      </c>
      <c r="V907" s="7"/>
      <c r="W907" s="7" t="n">
        <v>65</v>
      </c>
      <c r="X907" s="7" t="n">
        <v>70</v>
      </c>
      <c r="Y907" s="7" t="n">
        <v>5</v>
      </c>
      <c r="Z907" s="7" t="s">
        <v>16143</v>
      </c>
      <c r="AA907" s="9" t="s">
        <v>16144</v>
      </c>
      <c r="AB907" s="7" t="s">
        <v>16145</v>
      </c>
      <c r="AC907" s="7" t="s">
        <v>16146</v>
      </c>
      <c r="AD907" s="7" t="s">
        <v>16147</v>
      </c>
      <c r="AE907" s="7" t="s">
        <v>16148</v>
      </c>
      <c r="AF907" s="7"/>
      <c r="AG907" s="7" t="s">
        <v>16149</v>
      </c>
      <c r="AH907" s="7"/>
      <c r="AI907" s="7"/>
      <c r="AJ907" s="10"/>
      <c r="AK907" s="7"/>
      <c r="AL907" s="7" t="s">
        <v>16150</v>
      </c>
      <c r="AM907" s="7" t="s">
        <v>16151</v>
      </c>
      <c r="AN907" s="7"/>
      <c r="AO907" s="7"/>
      <c r="AP907" s="7"/>
      <c r="AQ907" s="7"/>
      <c r="AR907" s="7"/>
      <c r="AS907" s="7"/>
      <c r="AT907" s="7" t="s">
        <v>9616</v>
      </c>
      <c r="AU907" s="7"/>
      <c r="AV907" s="7" t="s">
        <v>9617</v>
      </c>
      <c r="AW907" s="7" t="n">
        <v>25993483</v>
      </c>
      <c r="AX907" s="7" t="s">
        <v>9618</v>
      </c>
      <c r="AY907" s="7" t="s">
        <v>75</v>
      </c>
      <c r="AZ907" s="7" t="s">
        <v>107</v>
      </c>
      <c r="BA907" s="7" t="s">
        <v>76</v>
      </c>
      <c r="BB907" s="7" t="s">
        <v>16152</v>
      </c>
      <c r="BC907" s="7"/>
      <c r="BD907" s="7"/>
      <c r="BE907" s="7"/>
      <c r="BF907" s="7"/>
      <c r="BG907" s="7"/>
      <c r="BH907" s="7"/>
      <c r="BI907" s="7"/>
    </row>
    <row r="908" customFormat="false" ht="14.25" hidden="false" customHeight="true" outlineLevel="0" collapsed="false">
      <c r="A908" s="7" t="s">
        <v>16153</v>
      </c>
      <c r="B908" s="7" t="s">
        <v>16154</v>
      </c>
      <c r="C908" s="7" t="s">
        <v>16155</v>
      </c>
      <c r="D908" s="7" t="s">
        <v>16156</v>
      </c>
      <c r="E908" s="7" t="n">
        <v>2015</v>
      </c>
      <c r="F908" s="8" t="s">
        <v>16157</v>
      </c>
      <c r="G908" s="6" t="s">
        <v>393</v>
      </c>
      <c r="H908" s="7"/>
      <c r="I908" s="7"/>
      <c r="J908" s="7"/>
      <c r="K908" s="7"/>
      <c r="L908" s="7"/>
      <c r="M908" s="7"/>
      <c r="N908" s="7"/>
      <c r="O908" s="7"/>
      <c r="P908" s="7" t="s">
        <v>61</v>
      </c>
      <c r="Q908" s="7" t="s">
        <v>62</v>
      </c>
      <c r="R908" s="7" t="s">
        <v>16158</v>
      </c>
      <c r="S908" s="7" t="n">
        <v>60</v>
      </c>
      <c r="T908" s="7" t="s">
        <v>16159</v>
      </c>
      <c r="U908" s="7" t="n">
        <v>4</v>
      </c>
      <c r="V908" s="7"/>
      <c r="W908" s="7" t="n">
        <v>735</v>
      </c>
      <c r="X908" s="7" t="n">
        <v>742</v>
      </c>
      <c r="Y908" s="7" t="n">
        <v>7</v>
      </c>
      <c r="Z908" s="7" t="s">
        <v>16160</v>
      </c>
      <c r="AA908" s="9" t="s">
        <v>16161</v>
      </c>
      <c r="AB908" s="7" t="s">
        <v>16162</v>
      </c>
      <c r="AC908" s="7" t="s">
        <v>16163</v>
      </c>
      <c r="AD908" s="7" t="s">
        <v>16164</v>
      </c>
      <c r="AE908" s="7" t="s">
        <v>16165</v>
      </c>
      <c r="AF908" s="7"/>
      <c r="AG908" s="7" t="s">
        <v>16166</v>
      </c>
      <c r="AH908" s="7"/>
      <c r="AI908" s="7"/>
      <c r="AJ908" s="10"/>
      <c r="AK908" s="7"/>
      <c r="AL908" s="7" t="s">
        <v>16167</v>
      </c>
      <c r="AM908" s="7"/>
      <c r="AN908" s="7"/>
      <c r="AO908" s="7"/>
      <c r="AP908" s="7"/>
      <c r="AQ908" s="7"/>
      <c r="AR908" s="7"/>
      <c r="AS908" s="7"/>
      <c r="AT908" s="7" t="n">
        <v>12302821</v>
      </c>
      <c r="AU908" s="7"/>
      <c r="AV908" s="7" t="s">
        <v>16168</v>
      </c>
      <c r="AW908" s="7" t="n">
        <v>26408599</v>
      </c>
      <c r="AX908" s="7" t="s">
        <v>16169</v>
      </c>
      <c r="AY908" s="7" t="s">
        <v>75</v>
      </c>
      <c r="AZ908" s="7"/>
      <c r="BA908" s="7" t="s">
        <v>76</v>
      </c>
      <c r="BB908" s="7" t="s">
        <v>16170</v>
      </c>
      <c r="BC908" s="7"/>
      <c r="BD908" s="7"/>
      <c r="BE908" s="7"/>
      <c r="BF908" s="7"/>
      <c r="BG908" s="7"/>
      <c r="BH908" s="7"/>
      <c r="BI908" s="7"/>
    </row>
    <row r="909" customFormat="false" ht="14.25" hidden="false" customHeight="true" outlineLevel="0" collapsed="false">
      <c r="A909" s="7" t="s">
        <v>16171</v>
      </c>
      <c r="B909" s="7" t="s">
        <v>16172</v>
      </c>
      <c r="C909" s="7" t="s">
        <v>16173</v>
      </c>
      <c r="D909" s="7" t="s">
        <v>16174</v>
      </c>
      <c r="E909" s="7" t="n">
        <v>2015</v>
      </c>
      <c r="F909" s="8" t="s">
        <v>16175</v>
      </c>
      <c r="G909" s="6" t="s">
        <v>290</v>
      </c>
      <c r="H909" s="7"/>
      <c r="I909" s="7"/>
      <c r="J909" s="7"/>
      <c r="K909" s="7"/>
      <c r="L909" s="7"/>
      <c r="M909" s="7"/>
      <c r="N909" s="7"/>
      <c r="O909" s="7"/>
      <c r="P909" s="7" t="s">
        <v>61</v>
      </c>
      <c r="Q909" s="7" t="s">
        <v>62</v>
      </c>
      <c r="R909" s="7" t="s">
        <v>16176</v>
      </c>
      <c r="S909" s="7" t="n">
        <v>16</v>
      </c>
      <c r="T909" s="7" t="s">
        <v>11626</v>
      </c>
      <c r="U909" s="7" t="n">
        <v>7</v>
      </c>
      <c r="V909" s="7" t="s">
        <v>16177</v>
      </c>
      <c r="W909" s="7"/>
      <c r="X909" s="7"/>
      <c r="Y909" s="7"/>
      <c r="Z909" s="7" t="s">
        <v>16178</v>
      </c>
      <c r="AA909" s="9" t="s">
        <v>16179</v>
      </c>
      <c r="AB909" s="7" t="s">
        <v>16180</v>
      </c>
      <c r="AC909" s="7" t="s">
        <v>16181</v>
      </c>
      <c r="AD909" s="7" t="s">
        <v>16182</v>
      </c>
      <c r="AE909" s="7" t="s">
        <v>16183</v>
      </c>
      <c r="AF909" s="7"/>
      <c r="AG909" s="7" t="s">
        <v>16184</v>
      </c>
      <c r="AH909" s="7"/>
      <c r="AI909" s="7"/>
      <c r="AJ909" s="10" t="s">
        <v>16185</v>
      </c>
      <c r="AK909" s="7" t="s">
        <v>16186</v>
      </c>
      <c r="AL909" s="7" t="s">
        <v>16187</v>
      </c>
      <c r="AM909" s="7" t="s">
        <v>16188</v>
      </c>
      <c r="AN909" s="7"/>
      <c r="AO909" s="7"/>
      <c r="AP909" s="7"/>
      <c r="AQ909" s="7"/>
      <c r="AR909" s="7"/>
      <c r="AS909" s="7"/>
      <c r="AT909" s="7" t="n">
        <v>14712164</v>
      </c>
      <c r="AU909" s="7"/>
      <c r="AV909" s="7" t="s">
        <v>16189</v>
      </c>
      <c r="AW909" s="7" t="n">
        <v>26099491</v>
      </c>
      <c r="AX909" s="7" t="s">
        <v>16176</v>
      </c>
      <c r="AY909" s="7" t="s">
        <v>75</v>
      </c>
      <c r="AZ909" s="7" t="s">
        <v>107</v>
      </c>
      <c r="BA909" s="7" t="s">
        <v>76</v>
      </c>
      <c r="BB909" s="7" t="s">
        <v>16190</v>
      </c>
      <c r="BC909" s="7"/>
      <c r="BD909" s="7"/>
      <c r="BE909" s="7"/>
      <c r="BF909" s="7"/>
      <c r="BG909" s="7"/>
      <c r="BH909" s="7"/>
      <c r="BI909" s="7"/>
    </row>
    <row r="910" customFormat="false" ht="14.25" hidden="false" customHeight="true" outlineLevel="0" collapsed="false">
      <c r="A910" s="7" t="s">
        <v>16191</v>
      </c>
      <c r="B910" s="7" t="s">
        <v>16192</v>
      </c>
      <c r="C910" s="7" t="s">
        <v>16193</v>
      </c>
      <c r="D910" s="7" t="s">
        <v>16194</v>
      </c>
      <c r="E910" s="7" t="n">
        <v>2015</v>
      </c>
      <c r="F910" s="8" t="s">
        <v>16195</v>
      </c>
      <c r="G910" s="6" t="s">
        <v>1230</v>
      </c>
      <c r="H910" s="7"/>
      <c r="I910" s="7"/>
      <c r="J910" s="7"/>
      <c r="K910" s="7"/>
      <c r="L910" s="7"/>
      <c r="M910" s="7"/>
      <c r="N910" s="7"/>
      <c r="O910" s="7"/>
      <c r="P910" s="7" t="s">
        <v>61</v>
      </c>
      <c r="Q910" s="7" t="s">
        <v>62</v>
      </c>
      <c r="R910" s="7" t="s">
        <v>16196</v>
      </c>
      <c r="S910" s="7" t="n">
        <v>14</v>
      </c>
      <c r="T910" s="7" t="s">
        <v>11626</v>
      </c>
      <c r="U910" s="7" t="n">
        <v>1</v>
      </c>
      <c r="V910" s="7" t="n">
        <v>10</v>
      </c>
      <c r="W910" s="7"/>
      <c r="X910" s="7"/>
      <c r="Y910" s="7"/>
      <c r="Z910" s="7" t="s">
        <v>16197</v>
      </c>
      <c r="AA910" s="9" t="s">
        <v>16198</v>
      </c>
      <c r="AB910" s="7" t="s">
        <v>16199</v>
      </c>
      <c r="AC910" s="7" t="s">
        <v>16200</v>
      </c>
      <c r="AD910" s="7" t="s">
        <v>16201</v>
      </c>
      <c r="AE910" s="7" t="s">
        <v>16202</v>
      </c>
      <c r="AF910" s="7"/>
      <c r="AG910" s="7" t="s">
        <v>16203</v>
      </c>
      <c r="AH910" s="7"/>
      <c r="AI910" s="7"/>
      <c r="AJ910" s="10"/>
      <c r="AK910" s="7"/>
      <c r="AL910" s="7" t="s">
        <v>16204</v>
      </c>
      <c r="AM910" s="7"/>
      <c r="AN910" s="7"/>
      <c r="AO910" s="7"/>
      <c r="AP910" s="7"/>
      <c r="AQ910" s="7"/>
      <c r="AR910" s="7"/>
      <c r="AS910" s="7"/>
      <c r="AT910" s="7" t="n">
        <v>14760711</v>
      </c>
      <c r="AU910" s="7"/>
      <c r="AV910" s="7" t="s">
        <v>16205</v>
      </c>
      <c r="AW910" s="7" t="n">
        <v>25857950</v>
      </c>
      <c r="AX910" s="7" t="s">
        <v>16206</v>
      </c>
      <c r="AY910" s="7" t="s">
        <v>75</v>
      </c>
      <c r="AZ910" s="7" t="s">
        <v>107</v>
      </c>
      <c r="BA910" s="7" t="s">
        <v>76</v>
      </c>
      <c r="BB910" s="7" t="s">
        <v>16207</v>
      </c>
      <c r="BC910" s="7"/>
      <c r="BD910" s="7"/>
      <c r="BE910" s="7"/>
      <c r="BF910" s="7"/>
      <c r="BG910" s="7"/>
      <c r="BH910" s="7"/>
      <c r="BI910" s="7"/>
    </row>
    <row r="911" customFormat="false" ht="14.25" hidden="false" customHeight="true" outlineLevel="0" collapsed="false">
      <c r="A911" s="7" t="s">
        <v>16208</v>
      </c>
      <c r="B911" s="7" t="s">
        <v>16209</v>
      </c>
      <c r="C911" s="7" t="s">
        <v>16210</v>
      </c>
      <c r="D911" s="7" t="s">
        <v>16211</v>
      </c>
      <c r="E911" s="7" t="n">
        <v>2015</v>
      </c>
      <c r="F911" s="8" t="s">
        <v>16212</v>
      </c>
      <c r="G911" s="6" t="s">
        <v>290</v>
      </c>
      <c r="H911" s="7"/>
      <c r="I911" s="7"/>
      <c r="J911" s="7"/>
      <c r="K911" s="7"/>
      <c r="L911" s="7"/>
      <c r="M911" s="7"/>
      <c r="N911" s="7"/>
      <c r="O911" s="7"/>
      <c r="P911" s="7" t="s">
        <v>61</v>
      </c>
      <c r="Q911" s="7" t="s">
        <v>62</v>
      </c>
      <c r="R911" s="7" t="s">
        <v>16213</v>
      </c>
      <c r="S911" s="7" t="n">
        <v>10</v>
      </c>
      <c r="T911" s="7" t="s">
        <v>16214</v>
      </c>
      <c r="U911" s="7" t="n">
        <v>5</v>
      </c>
      <c r="V911" s="7"/>
      <c r="W911" s="7" t="n">
        <v>509</v>
      </c>
      <c r="X911" s="7" t="n">
        <v>519</v>
      </c>
      <c r="Y911" s="7" t="n">
        <v>10</v>
      </c>
      <c r="Z911" s="7" t="s">
        <v>16215</v>
      </c>
      <c r="AA911" s="9" t="s">
        <v>16216</v>
      </c>
      <c r="AB911" s="7" t="s">
        <v>16217</v>
      </c>
      <c r="AC911" s="7" t="s">
        <v>16218</v>
      </c>
      <c r="AD911" s="7" t="s">
        <v>16219</v>
      </c>
      <c r="AE911" s="7" t="s">
        <v>16220</v>
      </c>
      <c r="AF911" s="7"/>
      <c r="AG911" s="7" t="s">
        <v>16221</v>
      </c>
      <c r="AH911" s="7"/>
      <c r="AI911" s="7"/>
      <c r="AJ911" s="10"/>
      <c r="AK911" s="7"/>
      <c r="AL911" s="7" t="s">
        <v>16222</v>
      </c>
      <c r="AM911" s="7" t="s">
        <v>16223</v>
      </c>
      <c r="AN911" s="7"/>
      <c r="AO911" s="7"/>
      <c r="AP911" s="7"/>
      <c r="AQ911" s="7"/>
      <c r="AR911" s="7"/>
      <c r="AS911" s="7"/>
      <c r="AT911" s="7" t="n">
        <v>15748936</v>
      </c>
      <c r="AU911" s="7"/>
      <c r="AV911" s="7"/>
      <c r="AW911" s="7"/>
      <c r="AX911" s="7" t="s">
        <v>16224</v>
      </c>
      <c r="AY911" s="7" t="s">
        <v>75</v>
      </c>
      <c r="AZ911" s="7"/>
      <c r="BA911" s="7" t="s">
        <v>76</v>
      </c>
      <c r="BB911" s="7" t="s">
        <v>16225</v>
      </c>
      <c r="BC911" s="7"/>
      <c r="BD911" s="7"/>
      <c r="BE911" s="7"/>
      <c r="BF911" s="7"/>
      <c r="BG911" s="7"/>
      <c r="BH911" s="7"/>
      <c r="BI911" s="7"/>
    </row>
    <row r="912" customFormat="false" ht="14.25" hidden="false" customHeight="true" outlineLevel="0" collapsed="false">
      <c r="A912" s="7" t="s">
        <v>16226</v>
      </c>
      <c r="B912" s="7" t="s">
        <v>16227</v>
      </c>
      <c r="C912" s="7" t="s">
        <v>16228</v>
      </c>
      <c r="D912" s="7" t="s">
        <v>16229</v>
      </c>
      <c r="E912" s="7" t="n">
        <v>2015</v>
      </c>
      <c r="F912" s="8" t="s">
        <v>16230</v>
      </c>
      <c r="G912" s="6" t="s">
        <v>1230</v>
      </c>
      <c r="H912" s="7"/>
      <c r="I912" s="7"/>
      <c r="J912" s="7"/>
      <c r="K912" s="7"/>
      <c r="L912" s="7"/>
      <c r="M912" s="7"/>
      <c r="N912" s="7"/>
      <c r="O912" s="7"/>
      <c r="P912" s="7" t="s">
        <v>61</v>
      </c>
      <c r="Q912" s="7" t="s">
        <v>62</v>
      </c>
      <c r="R912" s="7" t="s">
        <v>13973</v>
      </c>
      <c r="S912" s="7" t="n">
        <v>145</v>
      </c>
      <c r="T912" s="7" t="s">
        <v>16231</v>
      </c>
      <c r="U912" s="7" t="n">
        <v>1</v>
      </c>
      <c r="V912" s="7"/>
      <c r="W912" s="7" t="n">
        <v>121</v>
      </c>
      <c r="X912" s="7" t="n">
        <v>127</v>
      </c>
      <c r="Y912" s="7" t="n">
        <v>6</v>
      </c>
      <c r="Z912" s="7" t="s">
        <v>16232</v>
      </c>
      <c r="AA912" s="9" t="s">
        <v>16233</v>
      </c>
      <c r="AB912" s="7" t="s">
        <v>16234</v>
      </c>
      <c r="AC912" s="7" t="s">
        <v>16235</v>
      </c>
      <c r="AD912" s="7" t="s">
        <v>16236</v>
      </c>
      <c r="AE912" s="7" t="s">
        <v>16237</v>
      </c>
      <c r="AF912" s="7"/>
      <c r="AG912" s="7" t="s">
        <v>16238</v>
      </c>
      <c r="AH912" s="7"/>
      <c r="AI912" s="7"/>
      <c r="AJ912" s="10" t="s">
        <v>16239</v>
      </c>
      <c r="AK912" s="7"/>
      <c r="AL912" s="7" t="s">
        <v>16240</v>
      </c>
      <c r="AM912" s="7"/>
      <c r="AN912" s="7"/>
      <c r="AO912" s="7"/>
      <c r="AP912" s="7"/>
      <c r="AQ912" s="7"/>
      <c r="AR912" s="7"/>
      <c r="AS912" s="7"/>
      <c r="AT912" s="7" t="n">
        <v>223166</v>
      </c>
      <c r="AU912" s="7"/>
      <c r="AV912" s="7" t="s">
        <v>13985</v>
      </c>
      <c r="AW912" s="7" t="n">
        <v>25527666</v>
      </c>
      <c r="AX912" s="7" t="s">
        <v>13986</v>
      </c>
      <c r="AY912" s="7" t="s">
        <v>75</v>
      </c>
      <c r="AZ912" s="7" t="s">
        <v>7961</v>
      </c>
      <c r="BA912" s="7" t="s">
        <v>76</v>
      </c>
      <c r="BB912" s="7" t="s">
        <v>16241</v>
      </c>
      <c r="BC912" s="7"/>
      <c r="BD912" s="7"/>
      <c r="BE912" s="7"/>
      <c r="BF912" s="7"/>
      <c r="BG912" s="7"/>
      <c r="BH912" s="7"/>
      <c r="BI912" s="7"/>
    </row>
    <row r="913" customFormat="false" ht="14.25" hidden="false" customHeight="true" outlineLevel="0" collapsed="false">
      <c r="A913" s="7" t="s">
        <v>16242</v>
      </c>
      <c r="B913" s="7" t="s">
        <v>16243</v>
      </c>
      <c r="C913" s="7" t="s">
        <v>16244</v>
      </c>
      <c r="D913" s="7" t="s">
        <v>16245</v>
      </c>
      <c r="E913" s="7" t="n">
        <v>2015</v>
      </c>
      <c r="F913" s="8" t="s">
        <v>16246</v>
      </c>
      <c r="G913" s="6" t="s">
        <v>393</v>
      </c>
      <c r="H913" s="7"/>
      <c r="I913" s="7"/>
      <c r="J913" s="7"/>
      <c r="K913" s="7"/>
      <c r="L913" s="7"/>
      <c r="M913" s="7"/>
      <c r="N913" s="7"/>
      <c r="O913" s="7"/>
      <c r="P913" s="7" t="s">
        <v>304</v>
      </c>
      <c r="Q913" s="7" t="s">
        <v>62</v>
      </c>
      <c r="R913" s="7" t="s">
        <v>16247</v>
      </c>
      <c r="S913" s="7"/>
      <c r="T913" s="7" t="s">
        <v>187</v>
      </c>
      <c r="U913" s="7"/>
      <c r="V913" s="7" t="n">
        <v>7344002</v>
      </c>
      <c r="W913" s="7" t="n">
        <v>393</v>
      </c>
      <c r="X913" s="7" t="n">
        <v>399</v>
      </c>
      <c r="Y913" s="7" t="n">
        <v>6</v>
      </c>
      <c r="Z913" s="7" t="s">
        <v>16248</v>
      </c>
      <c r="AA913" s="9" t="s">
        <v>16249</v>
      </c>
      <c r="AB913" s="7" t="s">
        <v>16250</v>
      </c>
      <c r="AC913" s="7" t="s">
        <v>16251</v>
      </c>
      <c r="AD913" s="7" t="s">
        <v>16252</v>
      </c>
      <c r="AE913" s="7" t="s">
        <v>16253</v>
      </c>
      <c r="AF913" s="7"/>
      <c r="AG913" s="7"/>
      <c r="AH913" s="7"/>
      <c r="AI913" s="7"/>
      <c r="AJ913" s="10"/>
      <c r="AK913" s="7"/>
      <c r="AL913" s="7" t="s">
        <v>16254</v>
      </c>
      <c r="AM913" s="7"/>
      <c r="AN913" s="7"/>
      <c r="AO913" s="7" t="s">
        <v>16255</v>
      </c>
      <c r="AP913" s="7" t="s">
        <v>16256</v>
      </c>
      <c r="AQ913" s="7" t="s">
        <v>16257</v>
      </c>
      <c r="AR913" s="7" t="s">
        <v>16258</v>
      </c>
      <c r="AS913" s="7" t="n">
        <v>118402</v>
      </c>
      <c r="AT913" s="7"/>
      <c r="AU913" s="7" t="s">
        <v>16259</v>
      </c>
      <c r="AV913" s="7"/>
      <c r="AW913" s="7"/>
      <c r="AX913" s="7" t="s">
        <v>16260</v>
      </c>
      <c r="AY913" s="7" t="s">
        <v>75</v>
      </c>
      <c r="AZ913" s="7"/>
      <c r="BA913" s="7" t="s">
        <v>76</v>
      </c>
      <c r="BB913" s="7" t="s">
        <v>16261</v>
      </c>
      <c r="BC913" s="7"/>
      <c r="BD913" s="7"/>
      <c r="BE913" s="7"/>
      <c r="BF913" s="7"/>
      <c r="BG913" s="7"/>
      <c r="BH913" s="7"/>
      <c r="BI913" s="7"/>
    </row>
    <row r="914" customFormat="false" ht="14.25" hidden="false" customHeight="true" outlineLevel="0" collapsed="false">
      <c r="A914" s="7" t="s">
        <v>16262</v>
      </c>
      <c r="B914" s="7" t="s">
        <v>16263</v>
      </c>
      <c r="C914" s="7" t="s">
        <v>16264</v>
      </c>
      <c r="D914" s="7" t="s">
        <v>16265</v>
      </c>
      <c r="E914" s="7" t="n">
        <v>2015</v>
      </c>
      <c r="F914" s="8" t="s">
        <v>16266</v>
      </c>
      <c r="G914" s="6" t="s">
        <v>393</v>
      </c>
      <c r="H914" s="7"/>
      <c r="I914" s="7"/>
      <c r="J914" s="7"/>
      <c r="K914" s="7"/>
      <c r="L914" s="7"/>
      <c r="M914" s="7"/>
      <c r="N914" s="7"/>
      <c r="O914" s="7"/>
      <c r="P914" s="7" t="s">
        <v>304</v>
      </c>
      <c r="Q914" s="7" t="s">
        <v>62</v>
      </c>
      <c r="R914" s="7" t="s">
        <v>16247</v>
      </c>
      <c r="S914" s="7"/>
      <c r="T914" s="7" t="s">
        <v>187</v>
      </c>
      <c r="U914" s="7"/>
      <c r="V914" s="7" t="n">
        <v>7344000</v>
      </c>
      <c r="W914" s="7" t="n">
        <v>377</v>
      </c>
      <c r="X914" s="7" t="n">
        <v>384</v>
      </c>
      <c r="Y914" s="7" t="n">
        <v>7</v>
      </c>
      <c r="Z914" s="7" t="s">
        <v>16267</v>
      </c>
      <c r="AA914" s="9" t="s">
        <v>16268</v>
      </c>
      <c r="AB914" s="7" t="s">
        <v>16269</v>
      </c>
      <c r="AC914" s="7" t="s">
        <v>16270</v>
      </c>
      <c r="AD914" s="7" t="s">
        <v>16271</v>
      </c>
      <c r="AE914" s="7" t="s">
        <v>16272</v>
      </c>
      <c r="AF914" s="7"/>
      <c r="AG914" s="7"/>
      <c r="AH914" s="7"/>
      <c r="AI914" s="7"/>
      <c r="AJ914" s="10"/>
      <c r="AK914" s="7"/>
      <c r="AL914" s="7" t="s">
        <v>16273</v>
      </c>
      <c r="AM914" s="7"/>
      <c r="AN914" s="7"/>
      <c r="AO914" s="7" t="s">
        <v>16255</v>
      </c>
      <c r="AP914" s="7" t="s">
        <v>16256</v>
      </c>
      <c r="AQ914" s="7" t="s">
        <v>16257</v>
      </c>
      <c r="AR914" s="7" t="s">
        <v>16258</v>
      </c>
      <c r="AS914" s="7" t="n">
        <v>118402</v>
      </c>
      <c r="AT914" s="7"/>
      <c r="AU914" s="7" t="s">
        <v>16259</v>
      </c>
      <c r="AV914" s="7"/>
      <c r="AW914" s="7"/>
      <c r="AX914" s="7" t="s">
        <v>16260</v>
      </c>
      <c r="AY914" s="7" t="s">
        <v>75</v>
      </c>
      <c r="AZ914" s="7"/>
      <c r="BA914" s="7" t="s">
        <v>76</v>
      </c>
      <c r="BB914" s="7" t="s">
        <v>16274</v>
      </c>
      <c r="BC914" s="7"/>
      <c r="BD914" s="7"/>
      <c r="BE914" s="7"/>
      <c r="BF914" s="7"/>
      <c r="BG914" s="7"/>
      <c r="BH914" s="7"/>
      <c r="BI914" s="7"/>
    </row>
  </sheetData>
  <autoFilter ref="AJ1:AK914"/>
  <hyperlinks>
    <hyperlink ref="AA2" r:id="rId1" display="https://www.scopus.com/inward/record.uri?eid=2-s2.0-85212564580&amp;doi=10.1016%2fj.compbiomed.2024.109547&amp;partnerID=40&amp;md5=d6dd80812460785109f2568a363bd840"/>
    <hyperlink ref="AA3" r:id="rId2" display="https://www.scopus.com/inward/record.uri?eid=2-s2.0-85216015146&amp;doi=10.1016%2fj.compbiomed.2025.109704&amp;partnerID=40&amp;md5=aa4cbde137bb1833c54f232d1c7e79e0"/>
    <hyperlink ref="AA4" r:id="rId3" display="https://www.scopus.com/inward/record.uri?eid=2-s2.0-85216740526&amp;doi=10.47738%2fjads.v6i1.445&amp;partnerID=40&amp;md5=64e5b60a12da29c312c22a1801c4972e"/>
    <hyperlink ref="AA5" r:id="rId4" display="https://www.scopus.com/inward/record.uri?eid=2-s2.0-85215974669&amp;doi=10.3390%2fijerph22010047&amp;partnerID=40&amp;md5=555c779bad1c779d9642eaeb78ed6736"/>
    <hyperlink ref="AA6" r:id="rId5" display="https://www.scopus.com/inward/record.uri?eid=2-s2.0-85212537406&amp;doi=10.1016%2fj.compbiomed.2024.109593&amp;partnerID=40&amp;md5=429996f78d2a4e78d388c870de3e7779"/>
    <hyperlink ref="AA7" r:id="rId6" display="https://www.scopus.com/inward/record.uri?eid=2-s2.0-85208324910&amp;doi=10.1016%2fj.idm.2024.10.005&amp;partnerID=40&amp;md5=be2cff9b9eb2263ba6a23f350d2096fe"/>
    <hyperlink ref="AA8" r:id="rId7" display="https://www.scopus.com/inward/record.uri?eid=2-s2.0-85216609892&amp;doi=10.1016%2fj.compbiolchem.2025.108365&amp;partnerID=40&amp;md5=313236a923d8db621582b1a7e82a0254"/>
    <hyperlink ref="AA9" r:id="rId8" display="https://www.scopus.com/inward/record.uri?eid=2-s2.0-85217008047&amp;doi=10.1109%2fACCESS.2025.3537168&amp;partnerID=40&amp;md5=73e52740ea866acc08c71c1e04f9643b"/>
    <hyperlink ref="AA10" r:id="rId9" display="https://www.scopus.com/inward/record.uri?eid=2-s2.0-85216770548&amp;doi=10.1016%2fj.mex.2025.103198&amp;partnerID=40&amp;md5=616ae2073e642a5c37dd2a8210601d1c"/>
    <hyperlink ref="AA11" r:id="rId10" display="https://www.scopus.com/inward/record.uri?eid=2-s2.0-85206513035&amp;doi=10.1016%2fj.ijcard.2024.132636&amp;partnerID=40&amp;md5=94de8b8ab246ee3330acf8f0983a684e"/>
    <hyperlink ref="AA12" r:id="rId11" display="https://www.scopus.com/inward/record.uri?eid=2-s2.0-85216565754&amp;doi=10.62110%2fsciencein.jist.2025.v13.1055&amp;partnerID=40&amp;md5=77e58d5011d771dcabe9b80276b4b4a6"/>
    <hyperlink ref="AA13" r:id="rId12" display="https://www.scopus.com/inward/record.uri?eid=2-s2.0-85216768961&amp;doi=10.1007%2f978-3-031-72215-8_4&amp;partnerID=40&amp;md5=9fb4874a6a8780f173690cc81e0dc766"/>
    <hyperlink ref="AA14" r:id="rId13" display="https://www.scopus.com/inward/record.uri?eid=2-s2.0-85216826738&amp;doi=10.1201%2f9781003606635-24&amp;partnerID=40&amp;md5=7435845e428a449ab57cb0b2a06d7e09"/>
    <hyperlink ref="AA15" r:id="rId14" display="https://www.scopus.com/inward/record.uri?eid=2-s2.0-85216702360&amp;doi=10.1201%2f9781003487012-4&amp;partnerID=40&amp;md5=acaaba70619720328790648fea50f9a7"/>
    <hyperlink ref="AA16" r:id="rId15" display="https://www.scopus.com/inward/record.uri?eid=2-s2.0-85209561129&amp;doi=10.1007%2f978-981-97-9793-6_19&amp;partnerID=40&amp;md5=5a532f2a3adc174f919138f030774d1c"/>
    <hyperlink ref="AA17" r:id="rId16" display="https://www.scopus.com/inward/record.uri?eid=2-s2.0-85209224900&amp;doi=10.1201%2f9781003561651-49&amp;partnerID=40&amp;md5=575f762b2d704760eb4f7d082b1fc81d"/>
    <hyperlink ref="AA18" r:id="rId17" display="https://www.scopus.com/inward/record.uri?eid=2-s2.0-85207851845&amp;doi=10.1007%2f978-981-97-3937-0_41&amp;partnerID=40&amp;md5=9cdd3a752b25032dab90ac295768f316"/>
    <hyperlink ref="AA19" r:id="rId18" display="https://www.scopus.com/inward/record.uri?eid=2-s2.0-85208016847&amp;doi=10.1007%2f978-3-031-70906-7_28&amp;partnerID=40&amp;md5=45c835086c79e2470855892a0e0c3dda"/>
    <hyperlink ref="AA20" r:id="rId19" display="https://www.scopus.com/inward/record.uri?eid=2-s2.0-85196596893&amp;doi=10.1093%2fbiomtc%2fujae057&amp;partnerID=40&amp;md5=3e5cb1a6056cb6a5c5b7baa9e7edc56a"/>
    <hyperlink ref="AA21" r:id="rId20" display="https://www.scopus.com/inward/record.uri?eid=2-s2.0-85186253543&amp;doi=10.11591%2feei.v13i1.5485&amp;partnerID=40&amp;md5=5de24fc4191832cbb9921b4699e18edb"/>
    <hyperlink ref="AA22" r:id="rId21" display="https://www.scopus.com/inward/record.uri?eid=2-s2.0-85188424290&amp;doi=10.1109%2fACCESS.2024.3378575&amp;partnerID=40&amp;md5=df9c47e783e0c5a6509445543af8b711"/>
    <hyperlink ref="AA23" r:id="rId22" display="https://www.scopus.com/inward/record.uri?eid=2-s2.0-85200886209&amp;doi=10.1007%2fs00521-024-10219-w&amp;partnerID=40&amp;md5=282ae4ef1d81a8bd793ab074229d3660"/>
    <hyperlink ref="AA24" r:id="rId23" display="https://www.scopus.com/inward/record.uri?eid=2-s2.0-85213037753&amp;doi=10.1002%2flrh2.10478&amp;partnerID=40&amp;md5=af0d5da9dd43142ddd28ddfe34b3a13f"/>
    <hyperlink ref="AA25" r:id="rId24" display="https://www.scopus.com/inward/record.uri?eid=2-s2.0-85208467725&amp;doi=10.4103%2fjnsbm.JNSBM_15_2_23&amp;partnerID=40&amp;md5=f56e0214c0e3395cfbe5ef6e942bfa1a"/>
    <hyperlink ref="AA26" r:id="rId25" display="https://www.scopus.com/inward/record.uri?eid=2-s2.0-85200592819&amp;doi=10.1371%2fjournal.pcbi.1012327&amp;partnerID=40&amp;md5=aeaff8122177125a1055d6e0fe5d702e"/>
    <hyperlink ref="AA27" r:id="rId26" display="https://www.scopus.com/inward/record.uri?eid=2-s2.0-85186665389&amp;partnerID=40&amp;md5=35d0bc64fd6a948112a52c781007b510"/>
    <hyperlink ref="AA28" r:id="rId27" display="https://www.scopus.com/inward/record.uri?eid=2-s2.0-85181836810&amp;doi=10.1021%2facs.jcim.3c01410&amp;partnerID=40&amp;md5=fb2a46fc0d6bed85672170c71c75ebd7"/>
    <hyperlink ref="AA29" r:id="rId28" display="https://www.scopus.com/inward/record.uri?eid=2-s2.0-85215396895&amp;partnerID=40&amp;md5=513184694688e2076ca15161fa32665e"/>
    <hyperlink ref="AA30" r:id="rId29" display="https://www.scopus.com/inward/record.uri?eid=2-s2.0-85214095556&amp;doi=10.22354%2f24223794.1201&amp;partnerID=40&amp;md5=d455437fc1cc546004965cdf99ef2c0f"/>
    <hyperlink ref="AA31" r:id="rId30" display="https://www.scopus.com/inward/record.uri?eid=2-s2.0-85190757480&amp;doi=10.1007%2fs11042-024-19062-6&amp;partnerID=40&amp;md5=6541a78669dafc592017ea52d5cff7f2"/>
    <hyperlink ref="AA32" r:id="rId31" display="https://www.scopus.com/inward/record.uri?eid=2-s2.0-85208771777&amp;doi=10.4269%2fajtmh.24-0135&amp;partnerID=40&amp;md5=c8671630f07771e7a38c4df9c7886fc5"/>
    <hyperlink ref="AA33" r:id="rId32" display="https://www.scopus.com/inward/record.uri?eid=2-s2.0-85203098471&amp;doi=10.4103%2ftp.tp_66_23&amp;partnerID=40&amp;md5=b68a4778f47cb14a232c4c35f144f451"/>
    <hyperlink ref="AA34" r:id="rId33" display="https://www.scopus.com/inward/record.uri?eid=2-s2.0-85211123747&amp;doi=10.3934%2fmath.20241599&amp;partnerID=40&amp;md5=f4a6c4d9868f3ffd02b8c13c47a0bf69"/>
    <hyperlink ref="AA35" r:id="rId34" display="https://www.scopus.com/inward/record.uri?eid=2-s2.0-85188649701&amp;doi=10.4108%2feetpht.10.5439&amp;partnerID=40&amp;md5=d0e529a7ada839414bfaaa89bdf0570f"/>
    <hyperlink ref="AA36" r:id="rId35" display="https://www.scopus.com/inward/record.uri?eid=2-s2.0-85196920908&amp;doi=10.1371%2fjournal.pntd.0011811&amp;partnerID=40&amp;md5=1999e368af66dba51c507aa226797729"/>
    <hyperlink ref="AA37" r:id="rId36" display="https://www.scopus.com/inward/record.uri?eid=2-s2.0-85191899804&amp;doi=10.1371%2fjournal.pntd.0012089&amp;partnerID=40&amp;md5=d2736ee45655602ec6683d742d2da2e0"/>
    <hyperlink ref="AA38" r:id="rId37" display="https://www.scopus.com/inward/record.uri?eid=2-s2.0-85199963200&amp;doi=10.1016%2fj.heliyon.2024.e35276&amp;partnerID=40&amp;md5=838c9d7f2bf1d3341e39e5de9a8676a8"/>
    <hyperlink ref="AA39" r:id="rId38" display="https://www.scopus.com/inward/record.uri?eid=2-s2.0-85206999763&amp;doi=10.62527%2fjoiv.8.3.2154&amp;partnerID=40&amp;md5=a9bf0b0ea1742cdd958a8ee0be6d9811"/>
    <hyperlink ref="AA40" r:id="rId39" display="https://www.scopus.com/inward/record.uri?eid=2-s2.0-85196370559&amp;doi=10.1038%2fs41467-024-48335-9&amp;partnerID=40&amp;md5=45815f23a2a58e55a6f64716c6498c4d"/>
    <hyperlink ref="AA41" r:id="rId40" display="https://www.scopus.com/inward/record.uri?eid=2-s2.0-85186170897&amp;doi=10.18576%2famis%2f180113&amp;partnerID=40&amp;md5=7f4b909b5c435f3cde08983f9592e956"/>
    <hyperlink ref="AA42" r:id="rId41" display="https://www.scopus.com/inward/record.uri?eid=2-s2.0-85186924162&amp;doi=10.12785%2fijcds%2f150168&amp;partnerID=40&amp;md5=e26eef04874262251b7d3d7077994db1"/>
    <hyperlink ref="AA43" r:id="rId42" display="https://www.scopus.com/inward/record.uri?eid=2-s2.0-85184068430&amp;doi=10.1016%2fj.ecoinf.2024.102495&amp;partnerID=40&amp;md5=4b1bc9a888229073f8d9314c7ef3a521"/>
    <hyperlink ref="AA44" r:id="rId43" display="https://www.scopus.com/inward/record.uri?eid=2-s2.0-85191653611&amp;doi=10.4108%2feetpht.10.5551&amp;partnerID=40&amp;md5=0091c368e4d3005b4bf0fae56c0ee4bd"/>
    <hyperlink ref="AA45" r:id="rId44" display="https://www.scopus.com/inward/record.uri?eid=2-s2.0-85184617331&amp;doi=10.1016%2fj.heliyon.2024.e25773&amp;partnerID=40&amp;md5=7711bbbf7c8ab49a824f4a37f51cc178"/>
    <hyperlink ref="AA46" r:id="rId45" display="https://www.scopus.com/inward/record.uri?eid=2-s2.0-85188964829&amp;doi=10.3390%2fdiagnostics14060624&amp;partnerID=40&amp;md5=cefc04d3da6b0146774c5d458d476699"/>
    <hyperlink ref="AA47" r:id="rId46" display="https://www.scopus.com/inward/record.uri?eid=2-s2.0-85187805925&amp;doi=10.4108%2feetpht.10.5269&amp;partnerID=40&amp;md5=50aaef078d361df51f985b666f334032"/>
    <hyperlink ref="AA48" r:id="rId47" display="https://www.scopus.com/inward/record.uri?eid=2-s2.0-85208112711&amp;doi=10.1016%2fj.jim.2024.113769&amp;partnerID=40&amp;md5=00d4908a0656e41d4190a88f4e5c5f76"/>
    <hyperlink ref="AA49" r:id="rId48" display="https://www.scopus.com/inward/record.uri?eid=2-s2.0-85197194938&amp;doi=10.1186%2fs12936-024-05029-3&amp;partnerID=40&amp;md5=60ca698b21f148f7421322f483987fd0"/>
    <hyperlink ref="AA50" r:id="rId49" display="https://www.scopus.com/inward/record.uri?eid=2-s2.0-85192911294&amp;doi=10.1002%2fjmv.29666&amp;partnerID=40&amp;md5=fd70000338ab8e194195add257cfeecf"/>
    <hyperlink ref="AA51" r:id="rId50" display="https://www.scopus.com/inward/record.uri?eid=2-s2.0-85205064310&amp;doi=10.3390%2finformatics11030069&amp;partnerID=40&amp;md5=1676d990247f3ee9b7f8049f21f2657c"/>
    <hyperlink ref="AA52" r:id="rId51" display="https://www.scopus.com/inward/record.uri?eid=2-s2.0-85182400309&amp;doi=10.1016%2fj.artmed.2023.102753&amp;partnerID=40&amp;md5=58e7e42bbd0def526ddc00c63c22ec5f"/>
    <hyperlink ref="AA53" r:id="rId52" display="https://www.scopus.com/inward/record.uri?eid=2-s2.0-85198061552&amp;doi=10.12688%2ff1000research.149577.1&amp;partnerID=40&amp;md5=6f17aa997f4c76cb3e0e11336537a076"/>
    <hyperlink ref="AA54" r:id="rId53" display="https://www.scopus.com/inward/record.uri?eid=2-s2.0-85208378126&amp;doi=10.1371%2fjournal.pone.0310372&amp;partnerID=40&amp;md5=8996a606a75572b12d7c7c58ed0001e4"/>
    <hyperlink ref="AA55" r:id="rId54" display="https://www.scopus.com/inward/record.uri?eid=2-s2.0-85189929582&amp;doi=10.1016%2fj.compbiomed.2024.108146&amp;partnerID=40&amp;md5=8cdb271a4117bf34dd464bb63cbf8270"/>
    <hyperlink ref="AA56" r:id="rId55" display="https://www.scopus.com/inward/record.uri?eid=2-s2.0-85212515275&amp;doi=10.1186%2fs13071-024-06587-w&amp;partnerID=40&amp;md5=4fc5c502b29a53725cb00c8964cfbd48"/>
    <hyperlink ref="AA57" r:id="rId56" display="https://www.scopus.com/inward/record.uri?eid=2-s2.0-85192453138&amp;doi=10.11591%2fijaas.v13.i1.pp46-53&amp;partnerID=40&amp;md5=109b8c3a940571e89d18480c531b9f98"/>
    <hyperlink ref="AA58" r:id="rId57" display="https://www.scopus.com/inward/record.uri?eid=2-s2.0-85214305262&amp;doi=10.18517%2fijaseit.14.6.20691&amp;partnerID=40&amp;md5=e5fbd507ddb804985aeca6bb7bcc3da5"/>
    <hyperlink ref="AA59" r:id="rId58" display="https://www.scopus.com/inward/record.uri?eid=2-s2.0-85209150673&amp;doi=10.1097%2fDAD.0000000000002875&amp;partnerID=40&amp;md5=d816a1d140203dadcd0e144c53b8aec5"/>
    <hyperlink ref="AA60" r:id="rId59" display="https://www.scopus.com/inward/record.uri?eid=2-s2.0-85187207591&amp;doi=10.1093%2fg3journal%2fjkae008&amp;partnerID=40&amp;md5=57be9f07c71b08c2c2eb1edc80a3307f"/>
    <hyperlink ref="AA61" r:id="rId60" display="https://www.scopus.com/inward/record.uri?eid=2-s2.0-85195012560&amp;doi=10.1371%2fjournal.pone.0304789&amp;partnerID=40&amp;md5=3437d9fdc18431c820e955fa4b9d9aaf"/>
    <hyperlink ref="AA62" r:id="rId61" display="https://www.scopus.com/inward/record.uri?eid=2-s2.0-85206002891&amp;doi=10.1186%2fs13071-024-06510-3&amp;partnerID=40&amp;md5=1bf01b7476d4adda0b461558301893d5"/>
    <hyperlink ref="AA63" r:id="rId62" display="https://www.scopus.com/inward/record.uri?eid=2-s2.0-85195623826&amp;doi=10.3346%2fjkms.2024.39.e176&amp;partnerID=40&amp;md5=412b4ea552dad1565d40e1e746ef6907"/>
    <hyperlink ref="AA64" r:id="rId63" display="https://www.scopus.com/inward/record.uri?eid=2-s2.0-85186168419&amp;doi=10.1109%2fACCESS.2024.3364818&amp;partnerID=40&amp;md5=1d4e8f517ad17468de8e0507f61de97e"/>
    <hyperlink ref="AA65" r:id="rId64" display="https://www.scopus.com/inward/record.uri?eid=2-s2.0-85208182819&amp;doi=10.1016%2fj.sasc.2024.200160&amp;partnerID=40&amp;md5=605e80ce7978009dd8d76dfcd2390299"/>
    <hyperlink ref="AA66" r:id="rId65" display="https://www.scopus.com/inward/record.uri?eid=2-s2.0-85209902762&amp;doi=10.1371%2fjournal.pcbi.1012581&amp;partnerID=40&amp;md5=c943802a3321c2e407fb9412670f3038"/>
    <hyperlink ref="AA67" r:id="rId66" display="https://www.scopus.com/inward/record.uri?eid=2-s2.0-85211968289&amp;doi=10.1371%2fjournal.pone.0315327&amp;partnerID=40&amp;md5=1e7ebed92162893d0db6b38c56e9c0c1"/>
    <hyperlink ref="AA68" r:id="rId67" display="https://www.scopus.com/inward/record.uri?eid=2-s2.0-85189562203&amp;doi=10.2147%2fJBM.S453015&amp;partnerID=40&amp;md5=f5f9c116bf731ad3eb9567f5a48a5415"/>
    <hyperlink ref="AA69" r:id="rId68" display="https://www.scopus.com/inward/record.uri?eid=2-s2.0-85200024676&amp;doi=10.1007%2fs42979-024-03053-3&amp;partnerID=40&amp;md5=decc6273c2294a8ea23afc4fcb3899c3"/>
    <hyperlink ref="AA70" r:id="rId69" display="https://www.scopus.com/inward/record.uri?eid=2-s2.0-85201438414&amp;doi=10.1093%2finfdis%2fjiae041&amp;partnerID=40&amp;md5=82961e38e2a135c3ea2fb21abf33a227"/>
    <hyperlink ref="AA71" r:id="rId70" display="https://www.scopus.com/inward/record.uri?eid=2-s2.0-85181201258&amp;doi=10.32629%2fjai.v7i2.797&amp;partnerID=40&amp;md5=c3abbfdaa4e3e7cf522cd2611cbfc74e"/>
    <hyperlink ref="AA72" r:id="rId71" display="https://www.scopus.com/inward/record.uri?eid=2-s2.0-85190450918&amp;doi=10.3389%2ffimmu.2024.1368904&amp;partnerID=40&amp;md5=aad2106c9db78a707758b45708c3783a"/>
    <hyperlink ref="AA73" r:id="rId72" display="https://www.scopus.com/inward/record.uri?eid=2-s2.0-85211821653&amp;doi=10.2147%2fJIR.S491315&amp;partnerID=40&amp;md5=2fa3665621a5d4ce3c86a51f59a2f1b2"/>
    <hyperlink ref="AA74" r:id="rId73" display="https://www.scopus.com/inward/record.uri?eid=2-s2.0-85200392219&amp;doi=10.1111%2fjcmm.18511&amp;partnerID=40&amp;md5=3a5cd6e1c04619a77928bd0da2383ef1"/>
    <hyperlink ref="AA75" r:id="rId74" display="https://www.scopus.com/inward/record.uri?eid=2-s2.0-85214003679&amp;doi=10.1136%2fbmjgh-2024-015374&amp;partnerID=40&amp;md5=90bd8c57d3547d5ea335a26251835819"/>
    <hyperlink ref="AA76" r:id="rId75" display="https://www.scopus.com/inward/record.uri?eid=2-s2.0-85214508608&amp;doi=10.61186%2fijrr.22.4.109&amp;partnerID=40&amp;md5=fe023cfd6539979c6c9d9164bdea921e"/>
    <hyperlink ref="AA77" r:id="rId76" display="https://www.scopus.com/inward/record.uri?eid=2-s2.0-85192055431&amp;doi=10.1016%2fj.medntd.2024.100304&amp;partnerID=40&amp;md5=0d4470b1c4e7fd68a8380c943bf4c171"/>
    <hyperlink ref="AA78" r:id="rId77" display="https://www.scopus.com/inward/record.uri?eid=2-s2.0-85201697496&amp;partnerID=40&amp;md5=af7cb8a3d6a2551b9b6ede439ad1f450"/>
    <hyperlink ref="AA79" r:id="rId78" display="https://www.scopus.com/inward/record.uri?eid=2-s2.0-85205916087&amp;doi=10.1111%2fdom.15933&amp;partnerID=40&amp;md5=92e3de53f56043a3045d2ae890ed1df2"/>
    <hyperlink ref="AA80" r:id="rId79" display="https://www.scopus.com/inward/record.uri?eid=2-s2.0-85213545048&amp;doi=10.3390%2fantib13040087&amp;partnerID=40&amp;md5=f0070c022fce64622aed951c3d60be6f"/>
    <hyperlink ref="AA81" r:id="rId80" display="https://www.scopus.com/inward/record.uri?eid=2-s2.0-85209927190&amp;doi=10.1186%2fs13071-024-06577-y&amp;partnerID=40&amp;md5=9193b9ed7c8f147fcecac99e9e10ecc3"/>
    <hyperlink ref="AA82" r:id="rId81" display="https://www.scopus.com/inward/record.uri?eid=2-s2.0-85200837273&amp;doi=10.1007%2fs13337-024-00885-8&amp;partnerID=40&amp;md5=517917577046e7c8c962b2c53b62808e"/>
    <hyperlink ref="AA83" r:id="rId82" display="https://www.scopus.com/inward/record.uri?eid=2-s2.0-85194383917&amp;doi=10.2478%2famns-2024-1223&amp;partnerID=40&amp;md5=eeaf5687d6339670414b00a6c86a1366"/>
    <hyperlink ref="AA84" r:id="rId83" display="https://www.scopus.com/inward/record.uri?eid=2-s2.0-85186237930&amp;doi=10.2147%2fJBM.S442240&amp;partnerID=40&amp;md5=e7081afec7807fcd4e9d9ab1c30bfbe1"/>
    <hyperlink ref="AA85" r:id="rId84" display="https://www.scopus.com/inward/record.uri?eid=2-s2.0-85191017733&amp;doi=10.11591%2fijeecs.v34.i3.pp2078-2086&amp;partnerID=40&amp;md5=3953cd3ffe1b4fae5f4cdb34f5c614ab"/>
    <hyperlink ref="AA86" r:id="rId85" display="https://www.scopus.com/inward/record.uri?eid=2-s2.0-85199015343&amp;doi=10.1371%2fjournal.pntd.0012291&amp;partnerID=40&amp;md5=e8385191067e37ac9d9b585d4acfce0b"/>
    <hyperlink ref="AA87" r:id="rId86" display="https://www.scopus.com/inward/record.uri?eid=2-s2.0-85195695760&amp;doi=10.1016%2fj.compbiomed.2024.108707&amp;partnerID=40&amp;md5=71f3af58390062bd8d24444ee1c98874"/>
    <hyperlink ref="AA88" r:id="rId87" display="https://www.scopus.com/inward/record.uri?eid=2-s2.0-85188461604&amp;doi=10.7717%2fpeerj-cs.1744&amp;partnerID=40&amp;md5=ed79e5ea8b30cb24733013122f64c445"/>
    <hyperlink ref="AA89" r:id="rId88" display="https://www.scopus.com/inward/record.uri?eid=2-s2.0-85192481693&amp;doi=10.1016%2fj.xcrm.2024.101535&amp;partnerID=40&amp;md5=f203e1a9c5ef7bc225980704aee3ca3c"/>
    <hyperlink ref="AA90" r:id="rId89" display="https://www.scopus.com/inward/record.uri?eid=2-s2.0-85204958059&amp;doi=10.70135%2fseejph.vi.868&amp;partnerID=40&amp;md5=2f4d878ee46aa6189d42b71d38e619c6"/>
    <hyperlink ref="AA91" r:id="rId90" display="https://www.scopus.com/inward/record.uri?eid=2-s2.0-85203650314&amp;doi=10.1063%2f5.0229111&amp;partnerID=40&amp;md5=50baf63425cc9072ace4853cbbddc8eb"/>
    <hyperlink ref="AA92" r:id="rId91" display="https://www.scopus.com/inward/record.uri?eid=2-s2.0-85185278633&amp;doi=10.1142%2fS2047684124500027&amp;partnerID=40&amp;md5=6a9cca49338dbbaac07d73594fc5e4e2"/>
    <hyperlink ref="AA93" r:id="rId92" display="https://www.scopus.com/inward/record.uri?eid=2-s2.0-85207032570&amp;doi=10.3389%2ffncom.2024.1456771&amp;partnerID=40&amp;md5=c77abed3d2b8fb7ddb38d15e942a42ec"/>
    <hyperlink ref="AA94" r:id="rId93" display="https://www.scopus.com/inward/record.uri?eid=2-s2.0-85201241855&amp;doi=10.1038%2fs41598-024-68819-4&amp;partnerID=40&amp;md5=2deb12a09b4d6d1293bb80e857be295e"/>
    <hyperlink ref="AA95" r:id="rId94" display="https://www.scopus.com/inward/record.uri?eid=2-s2.0-85210433775&amp;doi=10.1111%2feva.70044&amp;partnerID=40&amp;md5=c162fab8d2a6baee2ddf3aad7bca4f3f"/>
    <hyperlink ref="AA96" r:id="rId95" display="https://www.scopus.com/inward/record.uri?eid=2-s2.0-85208141487&amp;doi=10.1016%2fj.ailsci.2024.100116&amp;partnerID=40&amp;md5=a9be8325ce1a317f0bd0211f860b9261"/>
    <hyperlink ref="AA97" r:id="rId96" display="https://www.scopus.com/inward/record.uri?eid=2-s2.0-85190830254&amp;doi=10.1016%2fS2542-5196%2824%2900082-2&amp;partnerID=40&amp;md5=e47559fe39439dcbbe365a30fe94cf78"/>
    <hyperlink ref="AA98" r:id="rId97" display="https://www.scopus.com/inward/record.uri?eid=2-s2.0-85210933641&amp;doi=10.1371%2fjournal.pone.0309702&amp;partnerID=40&amp;md5=52c2d39da7e91f8f62ce9dcc04e572e4"/>
    <hyperlink ref="AA99" r:id="rId98" display="https://www.scopus.com/inward/record.uri?eid=2-s2.0-85195314521&amp;doi=10.11591%2fijece.v14i4.pp4518-4530&amp;partnerID=40&amp;md5=a0d391ef85e013ed4d0e4bfa674e6e45"/>
    <hyperlink ref="AA100" r:id="rId99" display="https://www.scopus.com/inward/record.uri?eid=2-s2.0-85205000200&amp;doi=10.70135%2fseejph.vi.944&amp;partnerID=40&amp;md5=148fdba0c5c8d0c2fc46a1153267361c"/>
    <hyperlink ref="AA101" r:id="rId100" display="https://www.scopus.com/inward/record.uri?eid=2-s2.0-85213596325&amp;doi=10.1371%2fjournal.pntd.0012730&amp;partnerID=40&amp;md5=c75e2212b0a3f02bd926b4e87d2b2bdf"/>
    <hyperlink ref="AA102" r:id="rId101" display="https://www.scopus.com/inward/record.uri?eid=2-s2.0-85196123992&amp;doi=10.1186%2fs12936-024-05011-z&amp;partnerID=40&amp;md5=c8874128081848fbb3be0f559b206991"/>
    <hyperlink ref="AA103" r:id="rId102" display="https://www.scopus.com/inward/record.uri?eid=2-s2.0-85212431835&amp;doi=10.3389%2ffdgth.2024.1505483&amp;partnerID=40&amp;md5=60e1c47f5db35c93074f8d44fe7f67da"/>
    <hyperlink ref="AA104" r:id="rId103" display="https://www.scopus.com/inward/record.uri?eid=2-s2.0-85212688370&amp;doi=10.3389%2ffcvm.2024.1406662&amp;partnerID=40&amp;md5=ba93a2ad518eb899b925aa7188e6b488"/>
    <hyperlink ref="AA105" r:id="rId104" display="https://www.scopus.com/inward/record.uri?eid=2-s2.0-85194519768&amp;doi=10.4081%2fgh.2024.1279&amp;partnerID=40&amp;md5=954eba005dbab356edf234657594d7b8"/>
    <hyperlink ref="AA106" r:id="rId105" display="https://www.scopus.com/inward/record.uri?eid=2-s2.0-85193031980&amp;doi=10.1016%2fj.actatropica.2024.107225&amp;partnerID=40&amp;md5=d05e18a33ac476b239033261cd61c587"/>
    <hyperlink ref="AA107" r:id="rId106" display="https://www.scopus.com/inward/record.uri?eid=2-s2.0-85200438977&amp;doi=10.1371%2fjournal.pgph.0002224&amp;partnerID=40&amp;md5=073cb3f915540fbd20c3b002f37dd171"/>
    <hyperlink ref="AA108" r:id="rId107" display="https://www.scopus.com/inward/record.uri?eid=2-s2.0-85204365199&amp;doi=10.1371%2fjournal.pone.0308452&amp;partnerID=40&amp;md5=68c85e6c11aeac2ff3c2fdf129c27cb3"/>
    <hyperlink ref="AA109" r:id="rId108" display="https://www.scopus.com/inward/record.uri?eid=2-s2.0-85205792970&amp;doi=10.1186%2fs13071-024-06504-1&amp;partnerID=40&amp;md5=b9a710becc39ae8d1933bcaede32d1dc"/>
    <hyperlink ref="AA110" r:id="rId109" display="https://www.scopus.com/inward/record.uri?eid=2-s2.0-85184426203&amp;doi=10.1177%2f09622802231224638&amp;partnerID=40&amp;md5=9a76dc3ea25b0de42e6afddefa246343"/>
    <hyperlink ref="AA111" r:id="rId110" display="https://www.scopus.com/inward/record.uri?eid=2-s2.0-85188453586&amp;doi=10.3389%2ffmed.2024.1338598&amp;partnerID=40&amp;md5=5b3e50813729e4caebaf0c1f34cd95b7"/>
    <hyperlink ref="AA112" r:id="rId111" display="https://www.scopus.com/inward/record.uri?eid=2-s2.0-85193803022&amp;doi=10.7717%2fPEERJ.17045&amp;partnerID=40&amp;md5=f56125fe02b7303e9701061f82c79185"/>
    <hyperlink ref="AA113" r:id="rId112" display="https://www.scopus.com/inward/record.uri?eid=2-s2.0-85193676355&amp;doi=10.1186%2fs12942-024-00371-w&amp;partnerID=40&amp;md5=b28234edbdffdade98b373124186c970"/>
    <hyperlink ref="AA114" r:id="rId113" display="https://www.scopus.com/inward/record.uri?eid=2-s2.0-85182954087&amp;doi=10.1371%2fjournal.pntd.0011892&amp;partnerID=40&amp;md5=67ea0779c1acef80d7eeeda89a76ea85"/>
    <hyperlink ref="AA115" r:id="rId114" display="https://www.scopus.com/inward/record.uri?eid=2-s2.0-85197179427&amp;doi=10.1186%2fs12936-024-05020-y&amp;partnerID=40&amp;md5=8d49af29239f0a1b414f1557349fc074"/>
    <hyperlink ref="AA116" r:id="rId115" display="https://www.scopus.com/inward/record.uri?eid=2-s2.0-85205336534&amp;doi=10.1186%2fs12879-024-09892-y&amp;partnerID=40&amp;md5=99cd051d955e40a7cd41e8f1ea41e7e3"/>
    <hyperlink ref="AA117" r:id="rId116" display="https://www.scopus.com/inward/record.uri?eid=2-s2.0-85189798960&amp;doi=10.4018%2f979-8-3693-2238-3.ch009&amp;partnerID=40&amp;md5=aac275c6fcb394de4ed8075391b42d83"/>
    <hyperlink ref="AA118" r:id="rId117" display="https://www.scopus.com/inward/record.uri?eid=2-s2.0-85202749528&amp;doi=10.4018%2f979-8-3693-7462-7.ch010&amp;partnerID=40&amp;md5=8f23300287979241ea5a798abac6c9fe"/>
    <hyperlink ref="AA119" r:id="rId118" display="https://www.scopus.com/inward/record.uri?eid=2-s2.0-85204445705&amp;doi=10.1201%2f9781032667508-3&amp;partnerID=40&amp;md5=d34db086cfb1cc89cff1185ab0fbe5c5"/>
    <hyperlink ref="AA120" r:id="rId119" display="https://www.scopus.com/inward/record.uri?eid=2-s2.0-85192992401&amp;doi=10.1016%2fbs.pmbts.2024.02.005&amp;partnerID=40&amp;md5=728e1622e866ebf0be5c36f36e121712"/>
    <hyperlink ref="AA121" r:id="rId120" display="https://www.scopus.com/inward/record.uri?eid=2-s2.0-85191436930&amp;doi=10.1007%2f978-3-031-47942-7_33&amp;partnerID=40&amp;md5=c582ade8d50231077be6c90ab8c347cd"/>
    <hyperlink ref="AA122" r:id="rId121" display="https://www.scopus.com/inward/record.uri?eid=2-s2.0-85193580971&amp;doi=10.1109%2fINOCON60754.2024.10512173&amp;partnerID=40&amp;md5=c5b3ae2a0cc8f09fb4ec8abcf4526aab"/>
    <hyperlink ref="AA123" r:id="rId122" display="https://www.scopus.com/inward/record.uri?eid=2-s2.0-85217282987&amp;doi=10.1109%2fBIBM62325.2024.10822323&amp;partnerID=40&amp;md5=5e1c18afff71cb66753f72a96c0c848a"/>
    <hyperlink ref="AA124" r:id="rId123" display="https://www.scopus.com/inward/record.uri?eid=2-s2.0-85191535908&amp;doi=10.1109%2fICoSEIT60086.2024.10497463&amp;partnerID=40&amp;md5=aff5c7d44c3b18326e278b1f99fe3f83"/>
    <hyperlink ref="AA125" r:id="rId124" display="https://www.scopus.com/inward/record.uri?eid=2-s2.0-85203648310&amp;doi=10.31893%2fmultiscience.2024ss0602&amp;partnerID=40&amp;md5=166070a381e4d12dc2abf42ea1e23458"/>
    <hyperlink ref="AA126" r:id="rId125" display="https://www.scopus.com/inward/record.uri?eid=2-s2.0-85202980611&amp;doi=10.1109%2fSEB4SDG60871.2024.10629694&amp;partnerID=40&amp;md5=bd6eff5efa6ea43ba00146bdadce5a28"/>
    <hyperlink ref="AA127" r:id="rId126" display="https://www.scopus.com/inward/record.uri?eid=2-s2.0-85210598889&amp;doi=10.1109%2fiThings-GreenCom-CPSCom-SmartData-Cybermatics62450.2024.00060&amp;partnerID=40&amp;md5=72b82a7a013dd807d48d0e66d24a2ea4"/>
    <hyperlink ref="AA128" r:id="rId127" display="https://www.scopus.com/inward/record.uri?eid=2-s2.0-85201303667&amp;doi=10.1109%2fICKECS61492.2024.10617005&amp;partnerID=40&amp;md5=313546d1cb8822b2d52e0e5f18795201"/>
    <hyperlink ref="AA129" r:id="rId128" display="https://www.scopus.com/inward/record.uri?eid=2-s2.0-85202972911&amp;doi=10.1109%2fSEB4SDG60871.2024.10629733&amp;partnerID=40&amp;md5=c884313635dd4049317c1b2c53f7bd1a"/>
    <hyperlink ref="AA130" r:id="rId129" display="https://www.scopus.com/inward/record.uri?eid=2-s2.0-85216089018&amp;doi=10.1109%2fISITDI62380.2024.10796353&amp;partnerID=40&amp;md5=39e67b9fe5a329a4885b001254becdd4"/>
    <hyperlink ref="AA131" r:id="rId130" display="https://www.scopus.com/inward/record.uri?eid=2-s2.0-85207062594&amp;doi=10.1109%2fIVIT62102.2024.10692960&amp;partnerID=40&amp;md5=55484430b7e62692b7d2933eca3d2a0f"/>
    <hyperlink ref="AA132" r:id="rId131" display="https://www.scopus.com/inward/record.uri?eid=2-s2.0-85203601914&amp;doi=10.1109%2fITC-CSCC62988.2024.10628435&amp;partnerID=40&amp;md5=4e7d6f60f222f1aa8945c8e792c8edfa"/>
    <hyperlink ref="AA133" r:id="rId132" display="https://www.scopus.com/inward/record.uri?eid=2-s2.0-85207458858&amp;doi=10.1109%2fWCONF61366.2024.10692067&amp;partnerID=40&amp;md5=68bb5a209a31b405433628862a86a947"/>
    <hyperlink ref="AA134" r:id="rId133" display="https://www.scopus.com/inward/record.uri?eid=2-s2.0-85211165967&amp;doi=10.1109%2fICCCNT61001.2024.10724604&amp;partnerID=40&amp;md5=3b68d8d62ca43feed6aeb2ac341752c6"/>
    <hyperlink ref="AA135" r:id="rId134" display="https://www.scopus.com/inward/record.uri?eid=2-s2.0-85187781952&amp;doi=10.1007%2f978-981-99-7814-4_29&amp;partnerID=40&amp;md5=990d841717d1439c0104b291ea25e8d3"/>
    <hyperlink ref="AA136" r:id="rId135" display="https://www.scopus.com/inward/record.uri?eid=2-s2.0-85193564897&amp;doi=10.1109%2fINOCON60754.2024.10512161&amp;partnerID=40&amp;md5=dbaf4535987d6c9baa3264f9b1f70717"/>
    <hyperlink ref="AA137" r:id="rId136" display="https://www.scopus.com/inward/record.uri?eid=2-s2.0-85193626159&amp;doi=10.1109%2fINOCON60754.2024.10511323&amp;partnerID=40&amp;md5=a190fc2d7f8145b2d8f78cb063d26c42"/>
    <hyperlink ref="AA138" r:id="rId137" display="https://www.scopus.com/inward/record.uri?eid=2-s2.0-85183581536&amp;doi=10.3233%2fSHTI231091&amp;partnerID=40&amp;md5=16e1f1c4f0a78fef39871727ec38c0ed"/>
    <hyperlink ref="AA139" r:id="rId138" display="https://www.scopus.com/inward/record.uri?eid=2-s2.0-85191725008&amp;doi=10.1109%2fICICACS60521.2024.10498794&amp;partnerID=40&amp;md5=53446e7ee74cc1e17d6d69df840570f2"/>
    <hyperlink ref="AA140" r:id="rId139" display="https://www.scopus.com/inward/record.uri?eid=2-s2.0-85217260945&amp;doi=10.1109%2fDASA63652.2024.10836383&amp;partnerID=40&amp;md5=badaf272c443db14a8b948e0427d395f"/>
    <hyperlink ref="AA141" r:id="rId140" display="https://www.scopus.com/inward/record.uri?eid=2-s2.0-85208574132&amp;doi=10.1109%2fI-SMAC61858.2024.10714608&amp;partnerID=40&amp;md5=380ecbaf35833ddc74f27376f93016ca"/>
    <hyperlink ref="AA142" r:id="rId141" display="https://www.scopus.com/inward/record.uri?eid=2-s2.0-85197853721&amp;doi=10.1109%2fICSTEM61137.2024.10560969&amp;partnerID=40&amp;md5=16e2684ea3a02107047f6fc351d6f6aa"/>
    <hyperlink ref="AA143" r:id="rId142" display="https://www.scopus.com/inward/record.uri?eid=2-s2.0-85213356648&amp;doi=10.1109%2fICSSAS64001.2024.10760361&amp;partnerID=40&amp;md5=c228f38c566d9798792ce546a5e550a9"/>
    <hyperlink ref="AA144" r:id="rId143" display="https://www.scopus.com/inward/record.uri?eid=2-s2.0-85202634935&amp;doi=10.1007%2f978-981-97-4581-4_12&amp;partnerID=40&amp;md5=f547918f1276ce162542c2c33ad382f5"/>
    <hyperlink ref="AA145" r:id="rId144" display="https://www.scopus.com/inward/record.uri?eid=2-s2.0-85212083145&amp;doi=10.1109%2fTIACOMP64125.2024.00065&amp;partnerID=40&amp;md5=5322ec7bd5584c36ffa3c1ba891a6a1c"/>
    <hyperlink ref="AA146" r:id="rId145" display="https://www.scopus.com/inward/record.uri?eid=2-s2.0-85192992291&amp;doi=10.1109%2fASSIC60049.2024.10507970&amp;partnerID=40&amp;md5=949cab4e123c8c615d569cd5fb06b49b"/>
    <hyperlink ref="AA147" r:id="rId146" display="https://www.scopus.com/inward/record.uri?eid=2-s2.0-85216863711&amp;doi=10.1109%2fICIP51287.2024.10647834&amp;partnerID=40&amp;md5=241fb76ee67c40f3ac111ff56b3160d9"/>
    <hyperlink ref="AA148" r:id="rId147" display="https://www.scopus.com/inward/record.uri?eid=2-s2.0-85202963209&amp;doi=10.1109%2fSEB4SDG60871.2024.10630308&amp;partnerID=40&amp;md5=94cc8e735150330b54afd808e3fffb5e"/>
    <hyperlink ref="AA149" r:id="rId148" display="https://www.scopus.com/inward/record.uri?eid=2-s2.0-85196069664&amp;doi=10.1109%2fICICT60155.2024.10544901&amp;partnerID=40&amp;md5=d22a43ff1700d5a4afb25682c55d944e"/>
    <hyperlink ref="AA150" r:id="rId149" display="https://www.scopus.com/inward/record.uri?eid=2-s2.0-85215667362&amp;doi=10.1109%2fSSITCON62437.2024.10797182&amp;partnerID=40&amp;md5=57809e5b65d0b54e86fcad30779dabe3"/>
    <hyperlink ref="AA151" r:id="rId150" display="https://www.scopus.com/inward/record.uri?eid=2-s2.0-85192390964&amp;doi=10.1007%2f978-3-031-57963-9_2&amp;partnerID=40&amp;md5=e2c82b207b5b1d79f0631b804e9952f7"/>
    <hyperlink ref="AA152" r:id="rId151" display="https://www.scopus.com/inward/record.uri?eid=2-s2.0-85197873673&amp;doi=10.1109%2fICSSES62373.2024.10561382&amp;partnerID=40&amp;md5=1eb118a172b4417ada785286b9e97841"/>
    <hyperlink ref="AA153" r:id="rId152" display="https://www.scopus.com/inward/record.uri?eid=2-s2.0-85199793887&amp;doi=10.1007%2f978-3-031-60665-6_27&amp;partnerID=40&amp;md5=6d6c0fc0e95179079734b0beccd575cb"/>
    <hyperlink ref="AA154" r:id="rId153" display="https://www.scopus.com/inward/record.uri?eid=2-s2.0-85206927743&amp;doi=10.1109%2fOTCON60325.2024.10688374&amp;partnerID=40&amp;md5=b4f24a320d855bbd15546bc619c1b1f7"/>
    <hyperlink ref="AA155" r:id="rId154" display="https://www.scopus.com/inward/record.uri?eid=2-s2.0-85187800701&amp;doi=10.1007%2f978-981-99-7820-5_36&amp;partnerID=40&amp;md5=77c202a3f2cbe7ba5e34695bbb131672"/>
    <hyperlink ref="AA156" r:id="rId155" display="https://www.scopus.com/inward/record.uri?eid=2-s2.0-85201196508&amp;doi=10.1109%2fMetroLivEnv60384.2024.10615511&amp;partnerID=40&amp;md5=b17781336bba3308401e237dc3763ad2"/>
    <hyperlink ref="AA157" r:id="rId156" display="https://www.scopus.com/inward/record.uri?eid=2-s2.0-85210225427&amp;doi=10.1063%2f5.0232813&amp;partnerID=40&amp;md5=b62bfd0c6f08c511dacc74f585a852f3"/>
    <hyperlink ref="AA158" r:id="rId157" display="https://www.scopus.com/inward/record.uri?eid=2-s2.0-85180622001&amp;doi=10.1007%2f978-981-99-7622-5_19&amp;partnerID=40&amp;md5=ee767a13d5539c43980bc7964f276e90"/>
    <hyperlink ref="AA159" r:id="rId158" display="https://www.scopus.com/inward/record.uri?eid=2-s2.0-85216416893&amp;doi=10.1109%2fPEEIACON63629.2024.10800616&amp;partnerID=40&amp;md5=27da8204d69963ab7f0982e03f7b65b2"/>
    <hyperlink ref="AA160" r:id="rId159" display="https://www.scopus.com/inward/record.uri?eid=2-s2.0-85214673875&amp;doi=10.1109%2fICITACEE62763.2024.10762785&amp;partnerID=40&amp;md5=5481b8ce84925496e635de42eba95e49"/>
    <hyperlink ref="AA161" r:id="rId160" display="https://www.scopus.com/inward/record.uri?eid=2-s2.0-85207380418&amp;doi=10.1109%2fWCONF61366.2024.10692082&amp;partnerID=40&amp;md5=31185eafd1475a0722f4f78c129dd040"/>
    <hyperlink ref="AA162" r:id="rId161" display="https://www.scopus.com/inward/record.uri?eid=2-s2.0-85214685175&amp;doi=10.1109%2fEECSI63442.2024.10776138&amp;partnerID=40&amp;md5=3b388c6149fc244e6dbeb006516d51e0"/>
    <hyperlink ref="AA163" r:id="rId162" display="https://www.scopus.com/inward/record.uri?eid=2-s2.0-85200144303&amp;doi=10.1109%2fICDSIS61070.2024.10594018&amp;partnerID=40&amp;md5=a2fb5a0af12bf011600a063d76df3fc3"/>
    <hyperlink ref="AA164" r:id="rId163" display="https://www.scopus.com/inward/record.uri?eid=2-s2.0-85204764107&amp;doi=10.1109%2fICIPCN63822.2024.00081&amp;partnerID=40&amp;md5=66795109422d2ab22ed72f0208f20733"/>
    <hyperlink ref="AA165" r:id="rId164" display="https://www.scopus.com/inward/record.uri?eid=2-s2.0-85204072709&amp;doi=10.1109%2fCOMPSAC61105.2024.00203&amp;partnerID=40&amp;md5=5295cca0864cddce88a87be9d4ca8151"/>
    <hyperlink ref="AA166" r:id="rId165" display="https://www.scopus.com/inward/record.uri?eid=2-s2.0-85215527153&amp;doi=10.1109%2fCOMPAS60761.2024.10796965&amp;partnerID=40&amp;md5=f4e2a1a23a01f299e4f79b6712f1e681"/>
    <hyperlink ref="AA167" r:id="rId166" display="https://www.scopus.com/inward/record.uri?eid=2-s2.0-85213035804&amp;doi=10.1109%2fICCCNT61001.2024.10725616&amp;partnerID=40&amp;md5=8ebc2aa215b9537d564bfafcea215cf2"/>
    <hyperlink ref="AA168" r:id="rId167" display="https://www.scopus.com/inward/record.uri?eid=2-s2.0-85200994142&amp;doi=10.1109%2fINCET61516.2024.10593540&amp;partnerID=40&amp;md5=f2f5971cba96169577e03db09227f6ee"/>
    <hyperlink ref="AA169" r:id="rId168" display="https://www.scopus.com/inward/record.uri?eid=2-s2.0-85212526574&amp;doi=10.5194%2fisprs-archives-XLVIII-4-2024-431-2024&amp;partnerID=40&amp;md5=507bca84dfd842f35d4f7f33ee49383a"/>
    <hyperlink ref="AA170" r:id="rId169" display="https://www.scopus.com/inward/record.uri?eid=2-s2.0-85181533100&amp;doi=10.1007%2f978-981-99-6755-1_19&amp;partnerID=40&amp;md5=c015e044b87c62828caf4439888eda15"/>
    <hyperlink ref="AA171" r:id="rId170" display="https://www.scopus.com/inward/record.uri?eid=2-s2.0-85216583562&amp;doi=10.1109%2fICICEC62498.2024.10808865&amp;partnerID=40&amp;md5=6d53b1259d7672af273e246849087223"/>
    <hyperlink ref="AA172" r:id="rId171" display="https://www.scopus.com/inward/record.uri?eid=2-s2.0-85196528573&amp;doi=10.1117%2f12.3012771&amp;partnerID=40&amp;md5=3c5361680c231091d992957d1fb47797"/>
    <hyperlink ref="AA173" r:id="rId172" display="https://www.scopus.com/inward/record.uri?eid=2-s2.0-85203363945&amp;doi=10.1109%2fISBI56570.2024.10635899&amp;partnerID=40&amp;md5=9b5fc1f4db740133964ef9bc115326b4"/>
    <hyperlink ref="AA174" r:id="rId173" display="https://www.scopus.com/inward/record.uri?eid=2-s2.0-85216002869&amp;doi=10.1109%2fICECCME62383.2024.10796584&amp;partnerID=40&amp;md5=403495dbbf4dcb4bfa02c21509a23092"/>
    <hyperlink ref="AA175" r:id="rId174" display="https://www.scopus.com/inward/record.uri?eid=2-s2.0-85212710441&amp;doi=10.5194%2fisprs-archives-XLVIII-3-W3-2024-63-2024&amp;partnerID=40&amp;md5=06b5ec4127f48b8d74e8833f695a5adf"/>
    <hyperlink ref="AA176" r:id="rId175" display="https://www.scopus.com/inward/record.uri?eid=2-s2.0-85197343455&amp;doi=10.5194%2fisprs-archives-XLVIII-2-2024-387-2024&amp;partnerID=40&amp;md5=ebea03bc5b92669383413d6b5b5be8fa"/>
    <hyperlink ref="AA177" r:id="rId176" display="https://www.scopus.com/inward/record.uri?eid=2-s2.0-85200653804&amp;doi=10.1007%2f978-3-031-66955-2_14&amp;partnerID=40&amp;md5=b66bcbdae82a2cebd632ee15780ef48a"/>
    <hyperlink ref="AA178" r:id="rId177" display="https://www.scopus.com/inward/record.uri?eid=2-s2.0-85210264237&amp;doi=10.1109%2fASET60340.2024.10708757&amp;partnerID=40&amp;md5=3daab00874b4f2fef4ed37a1b118fff5"/>
    <hyperlink ref="AA179" r:id="rId178" display="https://www.scopus.com/inward/record.uri?eid=2-s2.0-85196734657&amp;doi=10.1109%2fIC3IoT60841.2024.10550234&amp;partnerID=40&amp;md5=56450030f1f3779e00828ae6978453c1"/>
    <hyperlink ref="AA180" r:id="rId179" display="https://www.scopus.com/inward/record.uri?eid=2-s2.0-85207069420&amp;doi=10.1109%2fICITRI62858.2024.10699220&amp;partnerID=40&amp;md5=158151beaf8a96ba4fbdda55a721e1bf"/>
    <hyperlink ref="AA181" r:id="rId180" display="https://www.scopus.com/inward/record.uri?eid=2-s2.0-85201155935&amp;doi=10.1109%2fSASI-ITE58663.2024.00030&amp;partnerID=40&amp;md5=215c72fb942b4dd251b61b2afcb17ad1"/>
    <hyperlink ref="AA182" r:id="rId181" display="https://www.scopus.com/inward/record.uri?eid=2-s2.0-85210847079&amp;doi=10.1145%2f3675888.3676092&amp;partnerID=40&amp;md5=7488a7963878995fc0982113d3d93f12"/>
    <hyperlink ref="AA183" r:id="rId182" display="https://www.scopus.com/inward/record.uri?eid=2-s2.0-85195237543&amp;doi=10.1109%2fICEEICT62016.2024.10534415&amp;partnerID=40&amp;md5=2ede01102a797937404f24771329e445"/>
    <hyperlink ref="AA184" r:id="rId183" display="https://www.scopus.com/inward/record.uri?eid=2-s2.0-85192258042&amp;doi=10.1109%2fICTAS59620.2024.10507142&amp;partnerID=40&amp;md5=2a76f2ac9cfca5edae2ccf6abdadd204"/>
    <hyperlink ref="AA185" r:id="rId184" display="https://www.scopus.com/inward/record.uri?eid=2-s2.0-85191247761&amp;doi=10.1109%2fICDT61202.2024.10489408&amp;partnerID=40&amp;md5=b9d2c4483ef4a339d4b75f6979ffe130"/>
    <hyperlink ref="AA186" r:id="rId185" display="https://www.scopus.com/inward/record.uri?eid=2-s2.0-85207407833&amp;doi=10.1109%2fNMITCON62075.2024.10699300&amp;partnerID=40&amp;md5=91377c3e6ea9352dd5800148b5fa61e8"/>
    <hyperlink ref="AA187" r:id="rId186" display="https://www.scopus.com/inward/record.uri?eid=2-s2.0-85211125559&amp;doi=10.1109%2fICCCNT61001.2024.10724659&amp;partnerID=40&amp;md5=a5587a3ee448a4d7aebf7be992869698"/>
    <hyperlink ref="AA188" r:id="rId187" display="https://www.scopus.com/inward/record.uri?eid=2-s2.0-85198991970&amp;doi=10.1117%2f12.3014636&amp;partnerID=40&amp;md5=95ae66eee029bdd8fea23e42b308cb8e"/>
    <hyperlink ref="AA189" r:id="rId188" display="https://www.scopus.com/inward/record.uri?eid=2-s2.0-85208615244&amp;doi=10.1109%2fICACCS60874.2024.10716951&amp;partnerID=40&amp;md5=2cc3c0bcecbb2aac6009470730a93320"/>
    <hyperlink ref="AA190" r:id="rId189" display="https://www.scopus.com/inward/record.uri?eid=2-s2.0-85193573883&amp;doi=10.1109%2fINOCON60754.2024.10511476&amp;partnerID=40&amp;md5=6c3c6790c695e89473228e9bee82ea98"/>
    <hyperlink ref="AA191" r:id="rId190" display="https://www.scopus.com/inward/record.uri?eid=2-s2.0-85196123738&amp;doi=10.1109%2fICICT60155.2024.10544705&amp;partnerID=40&amp;md5=a30f7594298798535f64ccf1c32363a4"/>
    <hyperlink ref="AA192" r:id="rId191" display="https://www.scopus.com/inward/record.uri?eid=2-s2.0-85201283001&amp;doi=10.1109%2fICKECS61492.2024.10616908&amp;partnerID=40&amp;md5=4c73939750cbccc7cf2a90b2189c5645"/>
    <hyperlink ref="AA193" r:id="rId192" display="https://www.scopus.com/inward/record.uri?eid=2-s2.0-85184284861&amp;doi=10.1007%2f978-981-99-7817-5_23&amp;partnerID=40&amp;md5=8df5a136dfb00ee30ccbd86892076b00"/>
    <hyperlink ref="AA194" r:id="rId193" display="https://www.scopus.com/inward/record.uri?eid=2-s2.0-85190575919&amp;doi=10.1109%2fAUTOCOM60220.2024.10486136&amp;partnerID=40&amp;md5=591d633c45b8ab432462a05eabae21b9"/>
    <hyperlink ref="AA195" r:id="rId194" display="https://www.scopus.com/inward/record.uri?eid=2-s2.0-85184131229&amp;doi=10.1007%2f978-3-031-51026-7_6&amp;partnerID=40&amp;md5=7e538c913e1150d619afeb7a070d977e"/>
    <hyperlink ref="AA196" r:id="rId195" display="https://www.scopus.com/inward/record.uri?eid=2-s2.0-85200964294&amp;doi=10.1109%2fINCET61516.2024.10593442&amp;partnerID=40&amp;md5=0c9e63679959808faaeeac3a9d637293"/>
    <hyperlink ref="AA197" r:id="rId196" display="https://www.scopus.com/inward/record.uri?eid=2-s2.0-85217265118&amp;doi=10.1109%2fICCSC62048.2024.10830422&amp;partnerID=40&amp;md5=88cd36f802ca46dffbc90ba75b04f375"/>
    <hyperlink ref="AA198" r:id="rId197" display="https://www.scopus.com/inward/record.uri?eid=2-s2.0-85180540501&amp;doi=10.1007%2f978-3-031-48774-3_22&amp;partnerID=40&amp;md5=8d52e7cfcf81a677e8bccdba730a7867"/>
    <hyperlink ref="AA199" r:id="rId198" display="https://www.scopus.com/inward/record.uri?eid=2-s2.0-85191702497&amp;doi=10.23919%2fINDIACom61295.2024.10499095&amp;partnerID=40&amp;md5=8cbaa733d99a06283251cfc26fba843f"/>
    <hyperlink ref="AA200" r:id="rId199" display="https://www.scopus.com/inward/record.uri?eid=2-s2.0-85200106839&amp;doi=10.1117%2f12.3017136&amp;partnerID=40&amp;md5=974ef431178d4ded4c37acf720e67906"/>
    <hyperlink ref="AA201" r:id="rId200" display="https://www.scopus.com/inward/record.uri?eid=2-s2.0-85216236614&amp;doi=10.2312%2fstag.20241338&amp;partnerID=40&amp;md5=52b44366a0db40ddd77fec77b841928c"/>
    <hyperlink ref="AA203" r:id="rId201" display="https://www.scopus.com/inward/record.uri?eid=2-s2.0-85216417385&amp;doi=10.1109%2fPEEIACON63629.2024.10800576&amp;partnerID=40&amp;md5=428fe39dad605f0bf179e10e3e4ce113"/>
    <hyperlink ref="AA204" r:id="rId202" display="https://www.scopus.com/inward/record.uri?eid=2-s2.0-85199609550&amp;doi=10.1007%2f978-3-031-63999-9_9&amp;partnerID=40&amp;md5=2f362b608c66dfbf3a4ee21e929ea010"/>
    <hyperlink ref="AA205" r:id="rId203" display="https://www.scopus.com/inward/record.uri?eid=2-s2.0-85190531939&amp;doi=10.1109%2fICETSIS61505.2024.10459646&amp;partnerID=40&amp;md5=035163d98b109ebebdb49f25120cb80b"/>
    <hyperlink ref="AA206" r:id="rId204" display="https://www.scopus.com/inward/record.uri?eid=2-s2.0-85208829258&amp;doi=10.1117%2f12.3037975&amp;partnerID=40&amp;md5=f734cb526c5dd2ea79782da12b500c07"/>
    <hyperlink ref="AA207" r:id="rId205" display="https://www.scopus.com/inward/record.uri?eid=2-s2.0-85207647839&amp;doi=10.1007%2f978-3-031-72083-3_40&amp;partnerID=40&amp;md5=3c3f66a76feebe52694b60847f8eb965"/>
    <hyperlink ref="AA208" r:id="rId206" display="https://www.scopus.com/inward/record.uri?eid=2-s2.0-85215304665&amp;doi=10.1109%2fSPICES62143.2024.10779897&amp;partnerID=40&amp;md5=06d74eaa885b489be567cac7f935fa5c"/>
    <hyperlink ref="AA209" r:id="rId207" display="https://www.scopus.com/inward/record.uri?eid=2-s2.0-85195177527&amp;doi=10.1109%2fADICS58448.2024.10533454&amp;partnerID=40&amp;md5=054303e411c3a3d0e3acc21577648a8c"/>
    <hyperlink ref="AA210" r:id="rId208" display="https://www.scopus.com/inward/record.uri?eid=2-s2.0-85191308984&amp;doi=10.5220%2f0012325500003660&amp;partnerID=40&amp;md5=6e016676022649a78c9eac4517b81b1e"/>
    <hyperlink ref="AA211" r:id="rId209" display="https://www.scopus.com/inward/record.uri?eid=2-s2.0-85213362574&amp;doi=10.5194%2fisprs-archives-XLVIII-3-2024-539-2024&amp;partnerID=40&amp;md5=1e170f5a40559c73a23c7962cec95f6e"/>
    <hyperlink ref="AA212" r:id="rId210" display="https://www.scopus.com/inward/record.uri?eid=2-s2.0-85214534153&amp;doi=10.1109%2fICTIIA61827.2024.10761789&amp;partnerID=40&amp;md5=8205aa779deba4a85658337d18067ae7"/>
    <hyperlink ref="AA213" r:id="rId211" display="https://www.scopus.com/inward/record.uri?eid=2-s2.0-85212474134&amp;doi=10.5194%2fisprs-archives-XLVIII-4-2024-397-2024&amp;partnerID=40&amp;md5=88dae55808b2b3e284cb246d1762b239"/>
    <hyperlink ref="AA214" r:id="rId212" display="https://www.scopus.com/inward/record.uri?eid=2-s2.0-85200403067&amp;doi=10.1063%2f5.0221423&amp;partnerID=40&amp;md5=d2e2c3a3b9bdacd0b4dbcc1731200487"/>
    <hyperlink ref="AA215" r:id="rId213" display="https://www.scopus.com/inward/record.uri?eid=2-s2.0-85195143518&amp;doi=10.1109%2fAIMLA59606.2024.10531528&amp;partnerID=40&amp;md5=fbe7cf56bc22ab5aeb3284c4ce282b52"/>
    <hyperlink ref="AA216" r:id="rId214" display="https://www.scopus.com/inward/record.uri?eid=2-s2.0-85216412317&amp;doi=10.1109%2fPEEIACON63629.2024.10800244&amp;partnerID=40&amp;md5=a20dbeeb28f1a625caed68ff37709d42"/>
    <hyperlink ref="AA217" r:id="rId215" display="https://www.scopus.com/inward/record.uri?eid=2-s2.0-85162130669&amp;doi=10.1002%2fpul2.12237&amp;partnerID=40&amp;md5=c7892eb68a3b2dff0eaaf9cffb6b36b9"/>
    <hyperlink ref="AA218" r:id="rId216" display="https://www.scopus.com/inward/record.uri?eid=2-s2.0-85149661713&amp;doi=10.3390%2fijerph20054130&amp;partnerID=40&amp;md5=ff03394f1ee689a6d79a2c4a3d5f7239"/>
    <hyperlink ref="AA219" r:id="rId217" display="https://www.scopus.com/inward/record.uri?eid=2-s2.0-85143118785&amp;doi=10.1016%2fj.sintl.2022.100209&amp;partnerID=40&amp;md5=098be0eb15c05e50f4b12f15c71ab3b0"/>
    <hyperlink ref="AA220" r:id="rId218" display="https://www.scopus.com/inward/record.uri?eid=2-s2.0-85146759399&amp;doi=10.3390%2ftropicalmed8010033&amp;partnerID=40&amp;md5=77ec4233d21e3b90fbf75cb6b3292476"/>
    <hyperlink ref="AA221" r:id="rId219" display="https://www.scopus.com/inward/record.uri?eid=2-s2.0-85175606028&amp;doi=10.1186%2fs12920-023-01711-8&amp;partnerID=40&amp;md5=7f34826fac2fec7fa254071c5a544b85"/>
    <hyperlink ref="AA222" r:id="rId220" display="https://www.scopus.com/inward/record.uri?eid=2-s2.0-85178045123&amp;doi=10.1016%2fj.dajour.2023.100352&amp;partnerID=40&amp;md5=dea5f89747761a95797e79912f4eb5c8"/>
    <hyperlink ref="AA223" r:id="rId221" display="https://www.scopus.com/inward/record.uri?eid=2-s2.0-85159602257&amp;doi=10.1016%2fj.lana.2023.100511&amp;partnerID=40&amp;md5=ed2d9d383ef0dd63879563b051ffd7f0"/>
    <hyperlink ref="AA224" r:id="rId222" display="https://www.scopus.com/inward/record.uri?eid=2-s2.0-85171807129&amp;doi=10.1371%2fjournal.pntd.0011613&amp;partnerID=40&amp;md5=b75b4bad9ab5e5ae18b721b8e5711cd6"/>
    <hyperlink ref="AA225" r:id="rId223" display="https://www.scopus.com/inward/record.uri?eid=2-s2.0-85175335771&amp;partnerID=40&amp;md5=703139190be43ab6b77d4d8d5db9a1d4"/>
    <hyperlink ref="AA226" r:id="rId224" display="https://www.scopus.com/inward/record.uri?eid=2-s2.0-85167790799&amp;doi=10.1109%2fJIOT.2023.3304526&amp;partnerID=40&amp;md5=ea4d365703c491b3f6a1e6ede98ea40c"/>
    <hyperlink ref="AA227" r:id="rId225" display="https://www.scopus.com/inward/record.uri?eid=2-s2.0-85159894999&amp;doi=10.1016%2fj.lanwpc.2023.100792&amp;partnerID=40&amp;md5=42e0182f3d4af5c314ca6ffc5f177701"/>
    <hyperlink ref="AA228" r:id="rId226" display="https://www.scopus.com/inward/record.uri?eid=2-s2.0-85160079201&amp;doi=10.1016%2fj.socscimed.2023.115949&amp;partnerID=40&amp;md5=8e03fc03da12d47c0669fd98cb373dfb"/>
    <hyperlink ref="AA229" r:id="rId227" display="https://www.scopus.com/inward/record.uri?eid=2-s2.0-85163762489&amp;doi=10.1038%2fs41598-023-37574-3&amp;partnerID=40&amp;md5=55edb6462cb3c54ff0d2abf98111d641"/>
    <hyperlink ref="AA230" r:id="rId228" display="https://www.scopus.com/inward/record.uri?eid=2-s2.0-85172163619&amp;doi=10.3390%2fchildren10091508&amp;partnerID=40&amp;md5=a170f754873cf8715984d0ca8779bd60"/>
    <hyperlink ref="AA231" r:id="rId229" display="https://www.scopus.com/inward/record.uri?eid=2-s2.0-85173439748&amp;doi=10.1093%2ftropej%2ffmad032&amp;partnerID=40&amp;md5=4ce4a2d4c574003d58e8c7e852ee3844"/>
    <hyperlink ref="AA232" r:id="rId230" display="https://www.scopus.com/inward/record.uri?eid=2-s2.0-85175231725&amp;doi=10.5334%2fcstp.616&amp;partnerID=40&amp;md5=9acd1f5619cbaa4e3225e403b0d620c0"/>
    <hyperlink ref="AA233" r:id="rId231" display="https://www.scopus.com/inward/record.uri?eid=2-s2.0-85162958910&amp;doi=10.30630%2fjoiv.7.2.1301&amp;partnerID=40&amp;md5=f92eba55c03db99b3fbfbb10f04d40aa"/>
    <hyperlink ref="AA234" r:id="rId232" display="https://www.scopus.com/inward/record.uri?eid=2-s2.0-85161830885&amp;doi=10.19153%2fcleiej.26.1.4&amp;partnerID=40&amp;md5=c30859f153a7157d7fd38c475a356051"/>
    <hyperlink ref="AA235" r:id="rId233" display="https://www.scopus.com/inward/record.uri?eid=2-s2.0-85173117681&amp;doi=10.1186%2fs12936-023-04713-0&amp;partnerID=40&amp;md5=55fa9fd7c4962291ad33046c702dc180"/>
    <hyperlink ref="AA236" r:id="rId234" display="https://www.scopus.com/inward/record.uri?eid=2-s2.0-85161705074&amp;doi=10.1016%2fj.puhe.2023.05.010&amp;partnerID=40&amp;md5=b7c806b7ab981cc711c93c619abdb9a8"/>
    <hyperlink ref="AA237" r:id="rId235" display="https://www.scopus.com/inward/record.uri?eid=2-s2.0-85179014853&amp;doi=10.1371%2fjournal.pone.0287702&amp;partnerID=40&amp;md5=42ae182a7cbaece57bbbb8c32c56ef97"/>
    <hyperlink ref="AA238" r:id="rId236" display="https://www.scopus.com/inward/record.uri?eid=2-s2.0-85170044755&amp;doi=10.19101%2fIJATEE.2023.10101218&amp;partnerID=40&amp;md5=cb38551a4cfe31f765492166ba8ffa58"/>
    <hyperlink ref="AA239" r:id="rId237" display="https://www.scopus.com/inward/record.uri?eid=2-s2.0-85173869069&amp;doi=10.3390%2felectronics12194144&amp;partnerID=40&amp;md5=2264183d35456269a0b44a61e709299e"/>
    <hyperlink ref="AA240" r:id="rId238" display="https://www.scopus.com/inward/record.uri?eid=2-s2.0-85195692107&amp;doi=10.1371%2fjournal.pgph.0001950&amp;partnerID=40&amp;md5=766e52b3fe5aac2b26462f189cfda196"/>
    <hyperlink ref="AA241" r:id="rId239" display="https://www.scopus.com/inward/record.uri?eid=2-s2.0-85161384036&amp;partnerID=40&amp;md5=45eedd122f92001247c6a188179c5803"/>
    <hyperlink ref="AA242" r:id="rId240" display="https://www.scopus.com/inward/record.uri?eid=2-s2.0-85134239714&amp;doi=10.1007%2fs41060-022-00344-x&amp;partnerID=40&amp;md5=fbc15dd735951dfc38e044dcc0179f56"/>
    <hyperlink ref="AA243" r:id="rId241" display="https://www.scopus.com/inward/record.uri?eid=2-s2.0-85153714354&amp;doi=10.3390%2ftropicalmed8040184&amp;partnerID=40&amp;md5=34f90149a355dcea964e6e353b2fbce3"/>
    <hyperlink ref="AA244" r:id="rId242" display="https://www.scopus.com/inward/record.uri?eid=2-s2.0-85179117180&amp;doi=10.59556%2fjapi.71.0379&amp;partnerID=40&amp;md5=576eba7f67f9d8acc5be9b457c98b763"/>
    <hyperlink ref="AA245" r:id="rId243" display="https://www.scopus.com/inward/record.uri?eid=2-s2.0-85161037433&amp;doi=10.1109%2fACCESS.2023.3280191&amp;partnerID=40&amp;md5=c19b2a4a42f0f33d3a839980c7273620"/>
    <hyperlink ref="AA246" r:id="rId244" display="https://www.scopus.com/inward/record.uri?eid=2-s2.0-85147023475&amp;doi=10.1186%2fs12917-023-03582-8&amp;partnerID=40&amp;md5=c7360b8153a1bd49983bc1179a6bba2a"/>
    <hyperlink ref="AA247" r:id="rId245" display="https://www.scopus.com/inward/record.uri?eid=2-s2.0-85146193409&amp;doi=10.4269%2fajtmh.22-0527&amp;partnerID=40&amp;md5=d79aec0009fe31d5fb87cae7a89d2170"/>
    <hyperlink ref="AA248" r:id="rId246" display="https://www.scopus.com/inward/record.uri?eid=2-s2.0-85162049436&amp;doi=10.1016%2fj.crmeth.2023.100516&amp;partnerID=40&amp;md5=ec19efbd0653dfe32f51c48af07e397f"/>
    <hyperlink ref="AA249" r:id="rId247" display="https://www.scopus.com/inward/record.uri?eid=2-s2.0-85167839627&amp;doi=10.1109%2fACCESS.2023.3303966&amp;partnerID=40&amp;md5=1c61e4caff242209fc073cfa8fac24ac"/>
    <hyperlink ref="AA250" r:id="rId248" display="https://www.scopus.com/inward/record.uri?eid=2-s2.0-85168777940&amp;doi=10.3390%2faudiolres13040048&amp;partnerID=40&amp;md5=eb3eb92cbe810efa4138ef9f4fb05063"/>
    <hyperlink ref="AA251" r:id="rId249" display="https://www.scopus.com/inward/record.uri?eid=2-s2.0-85180900866&amp;doi=10.3389%2ffphar.2023.1271618&amp;partnerID=40&amp;md5=6c196530b836d94ce0645cd389841ec6"/>
    <hyperlink ref="AA252" r:id="rId250" display="https://www.scopus.com/inward/record.uri?eid=2-s2.0-85180519737&amp;doi=10.1080%2f01969722.2023.2296254&amp;partnerID=40&amp;md5=294f5cda4256a3697830e40a605f4ccb"/>
    <hyperlink ref="AA253" r:id="rId251" display="https://www.scopus.com/inward/record.uri?eid=2-s2.0-85186448340&amp;doi=10.3390%2fASEC2023-15924&amp;partnerID=40&amp;md5=7978df8051bccf0240c2c03034b18601"/>
    <hyperlink ref="AA254" r:id="rId252" display="https://www.scopus.com/inward/record.uri?eid=2-s2.0-85176414247&amp;doi=10.1007%2fs13312-023-2982-6&amp;partnerID=40&amp;md5=0f67e5eef389796f5ccce2600eab265b"/>
    <hyperlink ref="AA255" r:id="rId253" display="https://www.scopus.com/inward/record.uri?eid=2-s2.0-85187100941&amp;doi=10.1183%2f2312508X.10001523&amp;partnerID=40&amp;md5=c866c82b94959a09a1335837437c9c35"/>
    <hyperlink ref="AA256" r:id="rId254" display="https://www.scopus.com/inward/record.uri?eid=2-s2.0-85168705871&amp;doi=10.3389%2ffimmu.2023.1243516&amp;partnerID=40&amp;md5=d1b0958f8a390fa34a8859bf8f8c38f8"/>
    <hyperlink ref="AA257" r:id="rId255" display="https://www.scopus.com/inward/record.uri?eid=2-s2.0-85179018170&amp;doi=10.1590%2f1519-6984.276872&amp;partnerID=40&amp;md5=93c585007bef094b80f9f97909403e15"/>
    <hyperlink ref="AA258" r:id="rId256" display="https://www.scopus.com/inward/record.uri?eid=2-s2.0-85176494943&amp;doi=10.4269%2fajtmh.23-0277&amp;partnerID=40&amp;md5=d69c9c7624bbb3fb87e796fca2bf0ea2"/>
    <hyperlink ref="AA259" r:id="rId257" display="https://www.scopus.com/inward/record.uri?eid=2-s2.0-85165312691&amp;doi=10.17762%2fijritcc.v11i5s.6647&amp;partnerID=40&amp;md5=dff521d9ccafd7a4564d8a0acdb592c9"/>
    <hyperlink ref="AA260" r:id="rId258" display="https://www.scopus.com/inward/record.uri?eid=2-s2.0-85160228149&amp;doi=10.55730%2f1300-0179.3127&amp;partnerID=40&amp;md5=af75d5207360d1c6740d1c2e0a2df866"/>
    <hyperlink ref="AA261" r:id="rId259" display="https://www.scopus.com/inward/record.uri?eid=2-s2.0-85195671660&amp;doi=10.1371%2fjournal.pgph.0001840&amp;partnerID=40&amp;md5=c844c31835d3e25c5f77a4cb2cb8e16c"/>
    <hyperlink ref="AA262" r:id="rId260" display="https://www.scopus.com/inward/record.uri?eid=2-s2.0-85149298523&amp;doi=10.3389%2ffimmu.2023.1071023&amp;partnerID=40&amp;md5=6aef4783281f8b6aba438b0d7b2a42c7"/>
    <hyperlink ref="AA263" r:id="rId261" display="https://www.scopus.com/inward/record.uri?eid=2-s2.0-85201864455&amp;doi=10.3390%2fecsa-10-16246&amp;partnerID=40&amp;md5=2920812af98c18fc08090861a8d5e18a"/>
    <hyperlink ref="AA264" r:id="rId262" display="https://www.scopus.com/inward/record.uri?eid=2-s2.0-85176459059&amp;doi=10.1186%2fs13071-023-06001-x&amp;partnerID=40&amp;md5=061d0ec4a06c9ff5ffbb8f84ecfd94c4"/>
    <hyperlink ref="AA265" r:id="rId263" display="https://www.scopus.com/inward/record.uri?eid=2-s2.0-85147234509&amp;doi=10.1093%2ftrstmh%2ftrac090&amp;partnerID=40&amp;md5=2e4deb61522db5078240eb03b025963a"/>
    <hyperlink ref="AA266" r:id="rId264" display="https://www.scopus.com/inward/record.uri?eid=2-s2.0-85174143428&amp;doi=10.26538%2ftjnpr%2fv7i9.33&amp;partnerID=40&amp;md5=0ac7ba49a29ee859ea42942dfbc314bf"/>
    <hyperlink ref="AA267" r:id="rId265" display="https://www.scopus.com/inward/record.uri?eid=2-s2.0-85148111154&amp;doi=10.3233%2fJIFS-221252&amp;partnerID=40&amp;md5=a916541cf745d1e5ca91d2dd423d79ac"/>
    <hyperlink ref="AA268" r:id="rId266" display="https://www.scopus.com/inward/record.uri?eid=2-s2.0-85178370050&amp;doi=10.3390%2fdiagnostics13223441&amp;partnerID=40&amp;md5=df939f466d2bec39ba132a1f90f65172"/>
    <hyperlink ref="AA269" r:id="rId267" display="https://www.scopus.com/inward/record.uri?eid=2-s2.0-85179915985&amp;doi=10.1186%2fs40794-023-00208-7&amp;partnerID=40&amp;md5=4dd9d31e2b1eb57ef201e6e106445346"/>
    <hyperlink ref="AA270" r:id="rId268" display="https://www.scopus.com/inward/record.uri?eid=2-s2.0-85174817433&amp;doi=10.1186%2fs13071-023-05952-5&amp;partnerID=40&amp;md5=18484da8e8eb4a0d3de7a9a2814c1ff0"/>
    <hyperlink ref="AA271" r:id="rId269" display="https://www.scopus.com/inward/record.uri?eid=2-s2.0-85167517458&amp;doi=10.3389%2ffmed.2023.1233220&amp;partnerID=40&amp;md5=cf5dd40ce73effd6dbed15d6ce40d4b7"/>
    <hyperlink ref="AA272" r:id="rId270" display="https://www.scopus.com/inward/record.uri?eid=2-s2.0-85149172045&amp;doi=10.1371%2fjournal.pntd.0011132&amp;partnerID=40&amp;md5=c237ef2a5637a36b9260ccab5155211a"/>
    <hyperlink ref="AA273" r:id="rId271" display="https://www.scopus.com/inward/record.uri?eid=2-s2.0-85147461219&amp;doi=10.1186%2fs40249-023-01060-9&amp;partnerID=40&amp;md5=c8eb6143b6fefd1279f884bd02a82ce1"/>
    <hyperlink ref="AA274" r:id="rId272" display="https://www.scopus.com/inward/record.uri?eid=2-s2.0-85163913638&amp;doi=10.1128%2fspectrum.05222-22&amp;partnerID=40&amp;md5=54d62ecb079978b0ec6136794e375b5f"/>
    <hyperlink ref="AA275" r:id="rId273" display="https://www.scopus.com/inward/record.uri?eid=2-s2.0-85136827718&amp;doi=10.1007%2fs15010-022-01906-8&amp;partnerID=40&amp;md5=7e63a1f903c1592d5c00ad299ef316b5"/>
    <hyperlink ref="AA276" r:id="rId274" display="https://www.scopus.com/inward/record.uri?eid=2-s2.0-85164040851&amp;doi=10.1371%2fjournal.pntd.0011423&amp;partnerID=40&amp;md5=bdb80a7cc810083bf836c776badc5845"/>
    <hyperlink ref="AA277" r:id="rId275" display="https://www.scopus.com/inward/record.uri?eid=2-s2.0-85179333996&amp;doi=10.3389%2ffvets.2023.1294049&amp;partnerID=40&amp;md5=4ee3894c93ee9c599805a18878443d92"/>
    <hyperlink ref="AA278" r:id="rId276" display="https://www.scopus.com/inward/record.uri?eid=2-s2.0-85195218575&amp;doi=10.1371%2fjournal.pgph.0002514&amp;partnerID=40&amp;md5=73d5b9dc31eae28dd7f6e842c15f0144"/>
    <hyperlink ref="AA279" r:id="rId277" display="https://www.scopus.com/inward/record.uri?eid=2-s2.0-85183434286&amp;doi=10.1016%2fj.mjafi.2023.10.007&amp;partnerID=40&amp;md5=8b08560f9344a9c387815e8cb28cfe34"/>
    <hyperlink ref="AA280" r:id="rId278" display="https://www.scopus.com/inward/record.uri?eid=2-s2.0-85149951595&amp;doi=10.1002%2fcpe.7597&amp;partnerID=40&amp;md5=3b3450ed9abe82921f47c8ec1560f8c2"/>
    <hyperlink ref="AA281" r:id="rId279" display="https://www.scopus.com/inward/record.uri?eid=2-s2.0-85178230208&amp;doi=10.1186%2fs12936-023-04795-w&amp;partnerID=40&amp;md5=15cde9abb6cb6803281544cd515d1d4f"/>
    <hyperlink ref="AA282" r:id="rId280" display="https://www.scopus.com/inward/record.uri?eid=2-s2.0-85171430343&amp;doi=10.18178%2fjoig.11.3.288-293&amp;partnerID=40&amp;md5=5ce854c69b8b508762d91f650b8ec0b9"/>
    <hyperlink ref="AA283" r:id="rId281" display="https://www.scopus.com/inward/record.uri?eid=2-s2.0-85180018205&amp;doi=10.1201%2f9781003393580-57&amp;partnerID=40&amp;md5=7e2b02db1da1a0912cf357b287633581"/>
    <hyperlink ref="AA284" r:id="rId282" display="https://www.scopus.com/inward/record.uri?eid=2-s2.0-85169027890&amp;doi=10.1007%2f978-3-031-36118-0_41&amp;partnerID=40&amp;md5=45889df0be107d6c4b4d008aaca04427"/>
    <hyperlink ref="AA285" r:id="rId283" display="https://www.scopus.com/inward/record.uri?eid=2-s2.0-85158118671&amp;doi=10.1007%2f978-981-99-0248-4_32&amp;partnerID=40&amp;md5=adbb9e830e505c237c32dbe9de0c6cec"/>
    <hyperlink ref="AA286" r:id="rId284" display="https://www.scopus.com/inward/record.uri?eid=2-s2.0-85140245365&amp;doi=10.1007%2f978-981-19-3035-5_13&amp;partnerID=40&amp;md5=3195717c813087f1cf3219505b35ccde"/>
    <hyperlink ref="AA287" r:id="rId285" display="https://www.scopus.com/inward/record.uri?eid=2-s2.0-85135067868&amp;doi=10.1007%2f978-981-19-0151-5_11&amp;partnerID=40&amp;md5=115bf46c1ce402a4c17960817978723d"/>
    <hyperlink ref="AA288" r:id="rId286" display="https://www.scopus.com/inward/record.uri?eid=2-s2.0-85183801852&amp;doi=10.4018%2f979-8-3693-1479-1.ch010&amp;partnerID=40&amp;md5=c3e065a3ccc695291d9293b4ae8892f3"/>
    <hyperlink ref="AA289" r:id="rId287" display="https://www.scopus.com/inward/record.uri?eid=2-s2.0-85150207463&amp;doi=10.1007%2f978-3-031-22456-0_14&amp;partnerID=40&amp;md5=2caa8ec1e2b26a5dbd71de6f887de88e"/>
    <hyperlink ref="AA290" r:id="rId288" display="https://www.scopus.com/inward/record.uri?eid=2-s2.0-85182729457&amp;doi=10.1109%2fTIPTEKNO59875.2023.10359193&amp;partnerID=40&amp;md5=2f799f50f2d23aa3fd7ef3c28af0acd4"/>
    <hyperlink ref="AA291" r:id="rId289" display="https://www.scopus.com/inward/record.uri?eid=2-s2.0-85193918564&amp;doi=10.1109%2fIEEECONF58110.2023.10520640&amp;partnerID=40&amp;md5=9993112d88900d904746211e9779e082"/>
    <hyperlink ref="AA292" r:id="rId290" display="https://www.scopus.com/inward/record.uri?eid=2-s2.0-85161386702&amp;doi=10.1063%2f5.0113581&amp;partnerID=40&amp;md5=5899b637afee19acb5d5b44094b838fa"/>
    <hyperlink ref="AA293" r:id="rId291" display="https://www.scopus.com/inward/record.uri?eid=2-s2.0-85182399458&amp;doi=10.1109%2fNAECON58068.2023.10365991&amp;partnerID=40&amp;md5=ee465b6d8e04dffcbe8e414e8d91c2d5"/>
    <hyperlink ref="AA294" r:id="rId292" display="https://www.scopus.com/inward/record.uri?eid=2-s2.0-85150682491&amp;doi=10.1109%2fICSSIT55814.2023.10061060&amp;partnerID=40&amp;md5=b7d36b5cafae84c70bfb5123aa9fb00b"/>
    <hyperlink ref="AA295" r:id="rId293" display="https://www.scopus.com/inward/record.uri?eid=2-s2.0-85163359197&amp;doi=10.1007%2f978-3-031-33545-7_1&amp;partnerID=40&amp;md5=2d906ad2104eb9d7340d87b0e850f746"/>
    <hyperlink ref="AA296" r:id="rId294" display="https://www.scopus.com/inward/record.uri?eid=2-s2.0-85179844245&amp;doi=10.1109%2fICCCNT56998.2023.10306840&amp;partnerID=40&amp;md5=44c81823ff66b3faa3e2acef8e1bf40a"/>
    <hyperlink ref="AA297" r:id="rId295" display="https://www.scopus.com/inward/record.uri?eid=2-s2.0-85181405299&amp;doi=10.1109%2fICSCC59169.2023.10335055&amp;partnerID=40&amp;md5=2baa894badb52c7d127cb7dc9b93fe3a"/>
    <hyperlink ref="AA298" r:id="rId296" display="https://www.scopus.com/inward/record.uri?eid=2-s2.0-85186698823&amp;doi=10.1109%2fICERCS57948.2023.10434247&amp;partnerID=40&amp;md5=45922b991a609ca4f44c937f205ae186"/>
    <hyperlink ref="AA299" r:id="rId297" display="https://www.scopus.com/inward/record.uri?eid=2-s2.0-85149949902&amp;doi=10.1007%2f978-981-19-9968-0_120&amp;partnerID=40&amp;md5=b2d0e06b52e8c084406aed84a2c0e68a"/>
    <hyperlink ref="AA300" r:id="rId298" display="https://www.scopus.com/inward/record.uri?eid=2-s2.0-85177208310&amp;doi=10.1007%2f978-3-031-47451-4_22&amp;partnerID=40&amp;md5=9fea2a4e81ab482ab008a66aa3ebe6e2"/>
    <hyperlink ref="AA301" r:id="rId299" display="https://www.scopus.com/inward/record.uri?eid=2-s2.0-85174414626&amp;partnerID=40&amp;md5=846dcc6c8651fdaf7507cd9dcd3f7e13"/>
    <hyperlink ref="AA302" r:id="rId300" display="https://www.scopus.com/inward/record.uri?eid=2-s2.0-85190542019&amp;doi=10.1109%2fICSES60034.2023.10465510&amp;partnerID=40&amp;md5=73e61cba9511b6c815eb8d20f755d738"/>
    <hyperlink ref="AA303" r:id="rId301" display="https://www.scopus.com/inward/record.uri?eid=2-s2.0-85175626683&amp;doi=10.1109%2fASIANCON58793.2023.10270637&amp;partnerID=40&amp;md5=0acdadd484fddc726ba71f86466043fd"/>
    <hyperlink ref="AA304" r:id="rId302" display="https://www.scopus.com/inward/record.uri?eid=2-s2.0-85151156562&amp;doi=10.1007%2f978-3-031-26254-8_25&amp;partnerID=40&amp;md5=48097843f37d540517e8007d06090518"/>
    <hyperlink ref="AA305" r:id="rId303" display="https://www.scopus.com/inward/record.uri?eid=2-s2.0-85161230933&amp;doi=10.1109%2fICOEI56765.2023.10126059&amp;partnerID=40&amp;md5=b27e46f9be024ec50ade4d7249b688be"/>
    <hyperlink ref="AA306" r:id="rId304" display="https://www.scopus.com/inward/record.uri?eid=2-s2.0-85181531993&amp;doi=10.1109%2fCSITSS60515.2023.10334096&amp;partnerID=40&amp;md5=7c4dea06add2139974c9474fbf8eefca"/>
    <hyperlink ref="AA307" r:id="rId305" display="https://www.scopus.com/inward/record.uri?eid=2-s2.0-85163340496&amp;doi=10.1007%2f978-981-99-1414-2_64&amp;partnerID=40&amp;md5=54804dacee8a52c388ee7b999d10882e"/>
    <hyperlink ref="AA308" r:id="rId306" display="https://www.scopus.com/inward/record.uri?eid=2-s2.0-85149651211&amp;doi=10.1007%2f978-981-19-7874-6_15&amp;partnerID=40&amp;md5=e8c930980c625066400edd6bd96d94f1"/>
    <hyperlink ref="AA309" r:id="rId307" display="https://www.scopus.com/inward/record.uri?eid=2-s2.0-85163447215&amp;doi=10.1109%2fICICT57646.2023.10134430&amp;partnerID=40&amp;md5=a5b3f4fab7364023a064ee6659574798"/>
    <hyperlink ref="AA310" r:id="rId308" display="https://www.scopus.com/inward/record.uri?eid=2-s2.0-85191493610&amp;doi=10.1109%2fICAIIHI57871.2023.10489504&amp;partnerID=40&amp;md5=106b94aeb3762e62553522301dc7cbe8"/>
    <hyperlink ref="AA311" r:id="rId309" display="https://www.scopus.com/inward/record.uri?eid=2-s2.0-85189941566&amp;doi=10.1109%2fIWAIIP58158.2023.10462761&amp;partnerID=40&amp;md5=a238c009c8752a7752ebced389981d34"/>
    <hyperlink ref="AA312" r:id="rId310" display="https://www.scopus.com/inward/record.uri?eid=2-s2.0-85181136248&amp;doi=10.1109%2fICSSAS57918.2023.10331758&amp;partnerID=40&amp;md5=046ca68612eaae2772c69e2c0cb6cecb"/>
    <hyperlink ref="AA313" r:id="rId311" display="https://www.scopus.com/inward/record.uri?eid=2-s2.0-85164976634&amp;doi=10.1007%2f978-3-031-36402-0_27&amp;partnerID=40&amp;md5=fbc0b996d8b3b0d7a0148e00ff01ae02"/>
    <hyperlink ref="AA314" r:id="rId312" display="https://www.scopus.com/inward/record.uri?eid=2-s2.0-85181404557&amp;doi=10.1109%2fICSCC59169.2023.10335049&amp;partnerID=40&amp;md5=24258fb4cea24cecaa79ec13531c2040"/>
    <hyperlink ref="AA315" r:id="rId313" display="https://www.scopus.com/inward/record.uri?eid=2-s2.0-85168307637&amp;doi=10.1109%2fICESC57686.2023.10193462&amp;partnerID=40&amp;md5=e6fd96c31a6d61897682017147b5b2c4"/>
    <hyperlink ref="AA316" r:id="rId314" display="https://www.scopus.com/inward/record.uri?eid=2-s2.0-85182319906&amp;doi=10.22489%2fCinC.2023.273&amp;partnerID=40&amp;md5=4d11eb4667291f6fe0eac52e0c375795"/>
    <hyperlink ref="AA317" r:id="rId315" display="https://www.scopus.com/inward/record.uri?eid=2-s2.0-85175656003&amp;doi=10.1109%2fICITACEE58587.2023.10276849&amp;partnerID=40&amp;md5=addb842410105119a349bd54f52bffce"/>
    <hyperlink ref="AA318" r:id="rId316" display="https://www.scopus.com/inward/record.uri?eid=2-s2.0-85182283954&amp;doi=10.1088%2f1742-6596%2f2622%2f1%2f012011&amp;partnerID=40&amp;md5=042613e255ba4957c84fff3a43c0f68f"/>
    <hyperlink ref="AA319" r:id="rId317" display="https://www.scopus.com/inward/record.uri?eid=2-s2.0-85173522638&amp;doi=10.1109%2fSIU59756.2023.10223735&amp;partnerID=40&amp;md5=437dcfbbf2ca085d582865eb62f97ab2"/>
    <hyperlink ref="AA320" r:id="rId318" display="https://www.scopus.com/inward/record.uri?eid=2-s2.0-85191435259&amp;doi=10.1109%2fICAIIHI57871.2023.10488938&amp;partnerID=40&amp;md5=b9a53acf2c8f3325bd8c6d727ec8cde4"/>
    <hyperlink ref="AA321" r:id="rId319" display="https://www.scopus.com/inward/record.uri?eid=2-s2.0-85144917616&amp;doi=10.1007%2f978-3-031-20859-1_27&amp;partnerID=40&amp;md5=089e4483af5826500795ecd2cd912851"/>
    <hyperlink ref="AA322" r:id="rId320" display="https://www.scopus.com/inward/record.uri?eid=2-s2.0-85194173072&amp;doi=10.1109%2fICCAMS60113.2023.10525750&amp;partnerID=40&amp;md5=713207c37813dc5aaa49a74e6ed81d2e"/>
    <hyperlink ref="AA323" r:id="rId321" display="https://www.scopus.com/inward/record.uri?eid=2-s2.0-85174541317&amp;doi=10.1109%2fAIC57670.2023.10263950&amp;partnerID=40&amp;md5=870f5e4acc1e7772bc26b4ad1aa41274"/>
    <hyperlink ref="AA324" r:id="rId322" display="https://www.scopus.com/inward/record.uri?eid=2-s2.0-85172214299&amp;doi=10.1007%2f978-3-031-37963-5_5&amp;partnerID=40&amp;md5=4136ed43993749b1ef13b807df180e96"/>
    <hyperlink ref="AA325" r:id="rId323" display="https://www.scopus.com/inward/record.uri?eid=2-s2.0-85176272204&amp;doi=10.1088%2f1742-6596%2f2571%2f1%2f012005&amp;partnerID=40&amp;md5=44c0fc7fa6c7d4a2ccbddf41afcf277d"/>
    <hyperlink ref="AA326" r:id="rId324" display="https://www.scopus.com/inward/record.uri?eid=2-s2.0-85175398236&amp;doi=10.1109%2fNMITCON58196.2023.10276279&amp;partnerID=40&amp;md5=020a088be1d31f9e10cab9fc2b5e6c4d"/>
    <hyperlink ref="AA327" r:id="rId325" display="https://www.scopus.com/inward/record.uri?eid=2-s2.0-85163602927&amp;doi=10.1109%2fICAAIC56838.2023.10140337&amp;partnerID=40&amp;md5=08ac0027beec163d4ab390c582859145"/>
    <hyperlink ref="AA328" r:id="rId326" display="https://www.scopus.com/inward/record.uri?eid=2-s2.0-85172011122&amp;doi=10.1007%2f978-3-031-36886-8_10&amp;partnerID=40&amp;md5=895ab33ea99ce4944221366aa95c78c8"/>
    <hyperlink ref="AA329" r:id="rId327" display="https://www.scopus.com/inward/record.uri?eid=2-s2.0-85191464440&amp;doi=10.1109%2fICAIIHI57871.2023.10489681&amp;partnerID=40&amp;md5=0dc3bcb448f21d39a27ceb12e87016c2"/>
    <hyperlink ref="AA330" r:id="rId328" display="https://www.scopus.com/inward/record.uri?eid=2-s2.0-85183315974&amp;doi=10.1109%2fCISP-BMEI60920.2023.10373282&amp;partnerID=40&amp;md5=d3df448b382593958d4806a678408573"/>
    <hyperlink ref="AA331" r:id="rId329" display="https://www.scopus.com/inward/record.uri?eid=2-s2.0-85171147296&amp;partnerID=40&amp;md5=a7160619d9d535319ff9b33704f88872"/>
    <hyperlink ref="AA332" r:id="rId330" display="https://www.scopus.com/inward/record.uri?eid=2-s2.0-85163280874&amp;doi=10.1007%2f978-981-99-0085-5_57&amp;partnerID=40&amp;md5=3a1247688bdc56f7ffc5f3a004a5865d"/>
    <hyperlink ref="AA333" r:id="rId331" display="https://www.scopus.com/inward/record.uri?eid=2-s2.0-85171789070&amp;doi=10.1109%2fIMSA58542.2023.10217455&amp;partnerID=40&amp;md5=5a9da1985b90e0c0636daf18b909eab3"/>
    <hyperlink ref="AA334" r:id="rId332" display="https://www.scopus.com/inward/record.uri?eid=2-s2.0-85183468079&amp;doi=10.1109%2fSIPAIM56729.2023.10373464&amp;partnerID=40&amp;md5=b72c81779e082a07f16e9b5999b1bff5"/>
    <hyperlink ref="AA335" r:id="rId333" display="https://www.scopus.com/inward/record.uri?eid=2-s2.0-85179891077&amp;doi=10.1109%2fICITEE59582.2023.10317719&amp;partnerID=40&amp;md5=7a15a0120755808f46d925e6cce45f93"/>
    <hyperlink ref="AA336" r:id="rId334" display="https://www.scopus.com/inward/record.uri?eid=2-s2.0-85160015365&amp;doi=10.1109%2fICIPTM57143.2023.10118264&amp;partnerID=40&amp;md5=cd2756d834cc5efdc466e1c9857bdca7"/>
    <hyperlink ref="AA337" r:id="rId335" display="https://www.scopus.com/inward/record.uri?eid=2-s2.0-85159777827&amp;doi=10.1109%2fOTCON56053.2023.10114031&amp;partnerID=40&amp;md5=7376832427074864c4b57a4ae35a62af"/>
    <hyperlink ref="AA338" r:id="rId336" display="https://www.scopus.com/inward/record.uri?eid=2-s2.0-85187391454&amp;doi=10.1109%2fGLOBECOM54140.2023.10437674&amp;partnerID=40&amp;md5=0d8650a4a2a84e5aadaf22df3588fe2f"/>
    <hyperlink ref="AA339" r:id="rId337" display="https://www.scopus.com/inward/record.uri?eid=2-s2.0-85174216626&amp;doi=10.1109%2fICoAC59537.2023.10249606&amp;partnerID=40&amp;md5=3fe619f3c5aefe7ce8e78d964109c31c"/>
    <hyperlink ref="AA340" r:id="rId338" display="https://www.scopus.com/inward/record.uri?eid=2-s2.0-85186995317&amp;doi=10.1109%2fICMNWC60182.2023.10436006&amp;partnerID=40&amp;md5=e137b4baf75e466be0e4403cb0e32a51"/>
    <hyperlink ref="AA341" r:id="rId339" display="https://www.scopus.com/inward/record.uri?eid=2-s2.0-85181150699&amp;doi=10.1109%2fCW58918.2023.00059&amp;partnerID=40&amp;md5=0179c72e929c19e6e5ba753f41f3107c"/>
    <hyperlink ref="AA342" r:id="rId340" display="https://www.scopus.com/inward/record.uri?eid=2-s2.0-85191440770&amp;doi=10.1109%2fICTP60248.2023.10490800&amp;partnerID=40&amp;md5=a67c7c98ae5fe0a6b103a1165c4529a2"/>
    <hyperlink ref="AA343" r:id="rId341" display="https://www.scopus.com/inward/record.uri?eid=2-s2.0-85168763565&amp;doi=10.1007%2f978-981-99-1479-1_31&amp;partnerID=40&amp;md5=33f9f860e19769182b76b22d64ddff9d"/>
    <hyperlink ref="AA344" r:id="rId342" display="https://www.scopus.com/inward/record.uri?eid=2-s2.0-85161360186&amp;doi=10.1007%2f978-981-19-5191-6_3&amp;partnerID=40&amp;md5=1e298dba93cea955eeb23be7b76c93d7"/>
    <hyperlink ref="AA345" r:id="rId343" display="https://www.scopus.com/inward/record.uri?eid=2-s2.0-85166671323&amp;doi=10.1109%2fICECCT56650.2023.10179665&amp;partnerID=40&amp;md5=4d40e7dc2f37b9927dc05e755f2ef99c"/>
    <hyperlink ref="AA346" r:id="rId344" display="https://www.scopus.com/inward/record.uri?eid=2-s2.0-85186757601&amp;doi=10.1109%2fIKT62039.2023.10433016&amp;partnerID=40&amp;md5=3bb84e67e298a3c3bd8f6e2cdce51a65"/>
    <hyperlink ref="AA347" r:id="rId345" display="https://www.scopus.com/inward/record.uri?eid=2-s2.0-85158927818&amp;doi=10.1109%2fiCoMET57998.2023.10099260&amp;partnerID=40&amp;md5=f2624452e8d92fc04d277f34451e7aa6"/>
    <hyperlink ref="AA348" r:id="rId346" display="https://www.scopus.com/inward/record.uri?eid=2-s2.0-85164260379&amp;doi=10.1109%2fICSTSN57873.2023.10151538&amp;partnerID=40&amp;md5=d7e27c98f88f1309a32992bbb074bdde"/>
    <hyperlink ref="AA349" r:id="rId347" display="https://www.scopus.com/inward/record.uri?eid=2-s2.0-85159096925&amp;doi=10.1109%2fICSCDS56580.2023.10104958&amp;partnerID=40&amp;md5=b4c651ea70228b5967489dee532756d4"/>
    <hyperlink ref="AA350" r:id="rId348" display="https://www.scopus.com/inward/record.uri?eid=2-s2.0-85179557317&amp;doi=10.1109%2fINISTA59065.2023.10310367&amp;partnerID=40&amp;md5=56f70367bb50e34c2c2eec5ee9738883"/>
    <hyperlink ref="AA351" r:id="rId349" display="https://www.scopus.com/inward/record.uri?eid=2-s2.0-85170422992&amp;doi=10.1007%2f978-3-031-35314-7_30&amp;partnerID=40&amp;md5=94d209997b1564d0a2d3b867afe78cc2"/>
    <hyperlink ref="AA352" r:id="rId350" display="https://www.scopus.com/inward/record.uri?eid=2-s2.0-85144204858&amp;doi=10.1007%2f978-3-031-12127-2_14&amp;partnerID=40&amp;md5=9ff25ccf2602cdd1d43989eba164092e"/>
    <hyperlink ref="AA353" r:id="rId351" display="https://www.scopus.com/inward/record.uri?eid=2-s2.0-85187364699&amp;doi=10.1109%2fINCOFT60753.2023.10425678&amp;partnerID=40&amp;md5=f446e6846befe54facdbfda0f5a3913f"/>
    <hyperlink ref="AA354" r:id="rId352" display="https://www.scopus.com/inward/record.uri?eid=2-s2.0-85189143600&amp;doi=10.1109%2fICCEBS58601.2023.10448699&amp;partnerID=40&amp;md5=7ff697068c04f62da62d7ed66f9f67be"/>
    <hyperlink ref="AA355" r:id="rId353" display="https://www.scopus.com/inward/record.uri?eid=2-s2.0-85183472504&amp;doi=10.1109%2fICMEAS58693.2023.10379206&amp;partnerID=40&amp;md5=f9d91610d822006e55f6131472f9047d"/>
    <hyperlink ref="AA356" r:id="rId354" display="https://www.scopus.com/inward/record.uri?eid=2-s2.0-85174492522&amp;doi=10.1109%2fAIC57670.2023.10263918&amp;partnerID=40&amp;md5=ec166ac0d33593c22d58e4ea8972f0f4"/>
    <hyperlink ref="AA357" r:id="rId355" display="https://www.scopus.com/inward/record.uri?eid=2-s2.0-85177883580&amp;doi=10.1007%2f978-981-99-4634-1_43&amp;partnerID=40&amp;md5=299df4cea8e8cf5671d6e84a128099d3"/>
    <hyperlink ref="AA358" r:id="rId356" display="https://www.scopus.com/inward/record.uri?eid=2-s2.0-85158923067&amp;doi=10.1109%2fECCE57851.2023.10101524&amp;partnerID=40&amp;md5=478c5dd0e9d32b072e7077a93bed0dd3"/>
    <hyperlink ref="AA359" r:id="rId357" display="https://www.scopus.com/inward/record.uri?eid=2-s2.0-85191693109&amp;doi=10.1109%2fGCITC60406.2023.10426537&amp;partnerID=40&amp;md5=f0aeb30f4a167d4a687042a6a202a810"/>
    <hyperlink ref="AA360" r:id="rId358" display="https://www.scopus.com/inward/record.uri?eid=2-s2.0-85184848779&amp;doi=10.1109%2fAESPC59761.2023.10390095&amp;partnerID=40&amp;md5=52e0ab1f0a470fa61c5402efe9cf9f1b"/>
    <hyperlink ref="AA361" r:id="rId359" display="https://www.scopus.com/inward/record.uri?eid=2-s2.0-85159860271&amp;doi=10.1109%2fICCI57424.2023.10112327&amp;partnerID=40&amp;md5=c05d53f1787eaaca52c264620e74438d"/>
    <hyperlink ref="AA362" r:id="rId360" display="https://www.scopus.com/inward/record.uri?eid=2-s2.0-85187799804&amp;doi=10.1109%2fICAST59062.2023.10455036&amp;partnerID=40&amp;md5=f70bec78d57a87a44b0ae69280972d3d"/>
    <hyperlink ref="AA363" r:id="rId361" display="https://www.scopus.com/inward/record.uri?eid=2-s2.0-85163805656&amp;doi=10.1109%2fICICCS56967.2023.10142766&amp;partnerID=40&amp;md5=a8b3e7c0a68a492ea6a5036b4e997e16"/>
    <hyperlink ref="AA364" r:id="rId362" display="https://www.scopus.com/inward/record.uri?eid=2-s2.0-85182331484&amp;doi=10.22489%2fCinC.2023.143&amp;partnerID=40&amp;md5=a6fdf3f8a7c70e36bfc9228cc79b6c42"/>
    <hyperlink ref="AA365" r:id="rId363" display="https://www.scopus.com/inward/record.uri?eid=2-s2.0-85168686434&amp;doi=10.1109%2fACCESS57397.2023.10200876&amp;partnerID=40&amp;md5=3f9c9991ed4e6ced01de2aee6a297dba"/>
    <hyperlink ref="AA366" r:id="rId364" display="https://www.scopus.com/inward/record.uri?eid=2-s2.0-85174362453&amp;doi=10.1049%2ficp.2023.1494&amp;partnerID=40&amp;md5=eb2a613545f7b1a743d92cfb56c8fd42"/>
    <hyperlink ref="AA367" r:id="rId365" display="https://www.scopus.com/inward/record.uri?eid=2-s2.0-85170081248&amp;doi=10.1109%2fSCSE59836.2023.10214984&amp;partnerID=40&amp;md5=e819207a4ab7010ac8a56110c62495cc"/>
    <hyperlink ref="AA368" r:id="rId366" display="https://www.scopus.com/inward/record.uri?eid=2-s2.0-85183463939&amp;doi=10.1109%2fSIPAIM56729.2023.10373424&amp;partnerID=40&amp;md5=94e1ae52254f8987a19270f9cd9c74a8"/>
    <hyperlink ref="AA369" r:id="rId367" display="https://www.scopus.com/inward/record.uri?eid=2-s2.0-85173003509&amp;doi=10.1109%2fWCONF58270.2023.10235056&amp;partnerID=40&amp;md5=9f6ea0c7a58966ef0e276d3816cc46ae"/>
    <hyperlink ref="AA370" r:id="rId368" display="https://www.scopus.com/inward/record.uri?eid=2-s2.0-85152386934&amp;doi=10.1109%2fICAIS56108.2023.10073793&amp;partnerID=40&amp;md5=4e7ed67026395c8239fd393fad176e18"/>
    <hyperlink ref="AA371" r:id="rId369" display="https://www.scopus.com/inward/record.uri?eid=2-s2.0-85165492412&amp;doi=10.1109%2fBioSMART58455.2023.10162108&amp;partnerID=40&amp;md5=7fcc0b6fdc63014a1ea3746f47f5871c"/>
    <hyperlink ref="AA372" r:id="rId370" display="https://www.scopus.com/inward/record.uri?eid=2-s2.0-85153535731&amp;doi=10.1109%2fAISC56616.2023.10085407&amp;partnerID=40&amp;md5=90e23e4a40ba4ff32e44bcdd0c7a7ea6"/>
    <hyperlink ref="AA373" r:id="rId371" display="https://www.scopus.com/inward/record.uri?eid=2-s2.0-85164003286&amp;doi=10.1007%2f978-3-031-34344-5_36&amp;partnerID=40&amp;md5=aa8ee2b71d9d22f37f1db352ab488501"/>
    <hyperlink ref="AA374" r:id="rId372" display="https://www.scopus.com/inward/record.uri?eid=2-s2.0-85174798631&amp;doi=10.1109%2fINDISCON58499.2023.10270348&amp;partnerID=40&amp;md5=4701025cd22805f863d1b98eae1e1f54"/>
    <hyperlink ref="AA375" r:id="rId373" display="https://www.scopus.com/inward/record.uri?eid=2-s2.0-85192385230&amp;doi=10.1109%2fIAECST60924.2023.10502526&amp;partnerID=40&amp;md5=5a376d8a478d38a36dd747b94bc71732"/>
    <hyperlink ref="AA376" r:id="rId374" display="https://www.scopus.com/inward/record.uri?eid=2-s2.0-85166216848&amp;doi=10.1109%2fICSCSS57650.2023.10169586&amp;partnerID=40&amp;md5=cbab22fe097154b3b36306f950bc09b5"/>
    <hyperlink ref="AA377" r:id="rId375" display="https://www.scopus.com/inward/record.uri?eid=2-s2.0-85173564705&amp;doi=10.1007%2f978-3-031-31327-1_8&amp;partnerID=40&amp;md5=484bf165ac6a6eb7c1821df50f3ef819"/>
    <hyperlink ref="AA378" r:id="rId376" display="https://www.scopus.com/inward/record.uri?eid=2-s2.0-85178117522&amp;doi=10.1109%2feSmarTA59349.2023.10293518&amp;partnerID=40&amp;md5=e3add50827732de494677171f9002fb6"/>
    <hyperlink ref="AA379" r:id="rId377" display="https://www.scopus.com/inward/record.uri?eid=2-s2.0-85181536775&amp;doi=10.1049%2ficp.2023.1793&amp;partnerID=40&amp;md5=b4422dfefb5bcf70bcbbe1e37274140f"/>
    <hyperlink ref="AA380" r:id="rId378" display="https://www.scopus.com/inward/record.uri?eid=2-s2.0-85168711192&amp;doi=10.1109%2fCAI54212.2023.00136&amp;partnerID=40&amp;md5=60d35f037ff190d3b4b74a4b790f7297"/>
    <hyperlink ref="AA381" r:id="rId379" display="https://www.scopus.com/inward/record.uri?eid=2-s2.0-85178631959&amp;doi=10.1007%2f978-981-99-6550-2_12&amp;partnerID=40&amp;md5=6f9fa68a1c7dc592c742bfcad8e56649"/>
    <hyperlink ref="AA382" r:id="rId380" display="https://www.scopus.com/inward/record.uri?eid=2-s2.0-85159776808&amp;doi=10.1109%2fSoutheastCon51012.2023.10115109&amp;partnerID=40&amp;md5=b885a8fe12523241ca6af53af0a3d044"/>
    <hyperlink ref="AA383" r:id="rId381" display="https://www.scopus.com/inward/record.uri?eid=2-s2.0-85170054616&amp;doi=10.1109%2fACCAI58221.2023.10199840&amp;partnerID=40&amp;md5=350b411a6c3010e47e950ca82da2a517"/>
    <hyperlink ref="AA384" r:id="rId382" display="https://www.scopus.com/inward/record.uri?eid=2-s2.0-85164266206&amp;doi=10.1007%2f978-3-031-35501-1_49&amp;partnerID=40&amp;md5=0aae4fa0976031f21bf40d0861fdf0a3"/>
    <hyperlink ref="AA385" r:id="rId383" display="https://www.scopus.com/inward/record.uri?eid=2-s2.0-85134361512&amp;doi=10.1097%2fPCC.0000000000002968&amp;partnerID=40&amp;md5=c0b0752a2e387dc1964c53eca57d124d"/>
    <hyperlink ref="AA386" r:id="rId384" display="https://www.scopus.com/inward/record.uri?eid=2-s2.0-85196408747&amp;doi=10.35377%2fsaucis.05.03.1197119&amp;partnerID=40&amp;md5=db5cd6325283ed652c46a521d4fbae71"/>
    <hyperlink ref="AA387" r:id="rId385" display="https://www.scopus.com/inward/record.uri?eid=2-s2.0-85133927487&amp;doi=10.1186%2fs12936-022-04237-z&amp;partnerID=40&amp;md5=0133e4b7204e409937c7f7ec31f1902f"/>
    <hyperlink ref="AA388" r:id="rId386" display="https://www.scopus.com/inward/record.uri?eid=2-s2.0-85125092338&amp;doi=10.21817%2findjcse%2f2022%2fv13i1%2f221301107&amp;partnerID=40&amp;md5=3988e0c59b8f676f9c7a82167603bede"/>
    <hyperlink ref="AA389" r:id="rId387" display="https://www.scopus.com/inward/record.uri?eid=2-s2.0-85128263227&amp;doi=10.1007%2fs00521-022-06924-z&amp;partnerID=40&amp;md5=19fe15bdda44e83ff403babd16a441d7"/>
    <hyperlink ref="AA390" r:id="rId388" display="https://www.scopus.com/inward/record.uri?eid=2-s2.0-85128595090&amp;partnerID=40&amp;md5=ce26adf1448c9640401dc7c2179c92da"/>
    <hyperlink ref="AA391" r:id="rId389" display="https://www.scopus.com/inward/record.uri?eid=2-s2.0-85137365674&amp;doi=10.3390%2fmicroorganisms10081602&amp;partnerID=40&amp;md5=89aa42ecfa15db3bbf423020fce5dc6b"/>
    <hyperlink ref="AA392" r:id="rId390" display="https://www.scopus.com/inward/record.uri?eid=2-s2.0-85120913699&amp;doi=10.1097%2fQAD.0000000000003086&amp;partnerID=40&amp;md5=a6c8b4fe2aff700b8df76f2bacd9ae58"/>
    <hyperlink ref="AA393" r:id="rId391" display="https://www.scopus.com/inward/record.uri?eid=2-s2.0-85135267910&amp;doi=10.11591%2fijece.v12i5.pp5036-5048&amp;partnerID=40&amp;md5=fa0e3374d253294462466f6c25f994c7"/>
    <hyperlink ref="AA394" r:id="rId392" display="https://www.scopus.com/inward/record.uri?eid=2-s2.0-85139131004&amp;doi=10.1186%2fs12879-022-07757-w&amp;partnerID=40&amp;md5=36c23e60b8a3e8726ef30bfe8905b9a2"/>
    <hyperlink ref="AA395" r:id="rId393" display="https://www.scopus.com/inward/record.uri?eid=2-s2.0-85138002278&amp;partnerID=40&amp;md5=e7c21bc39861e2871c0d2eefff0cc4ab"/>
    <hyperlink ref="AA396" r:id="rId394" display="https://www.scopus.com/inward/record.uri?eid=2-s2.0-85164594052&amp;doi=10.46829%2fhsijournal.2022.6.3.1.320-326&amp;partnerID=40&amp;md5=79532eb59969213d0a7675183e17fd2c"/>
    <hyperlink ref="AA397" r:id="rId395" display="https://www.scopus.com/inward/record.uri?eid=2-s2.0-85127181456&amp;doi=10.1016%2fj.jmoldx.2021.12.005&amp;partnerID=40&amp;md5=846b5b356f7acb328c15238bc6a8482c"/>
    <hyperlink ref="AA398" r:id="rId396" display="https://www.scopus.com/inward/record.uri?eid=2-s2.0-85140632398&amp;doi=10.1504%2fijica.2022.125655&amp;partnerID=40&amp;md5=488542b840038c54653b86ffd05c8bd7"/>
    <hyperlink ref="AA399" r:id="rId397" display="https://www.scopus.com/inward/record.uri?eid=2-s2.0-85135828841&amp;doi=10.1097%2fICO.0000000000003012&amp;partnerID=40&amp;md5=e9c9fe569919163651be5b7c03098fd8"/>
    <hyperlink ref="AA400" r:id="rId398" display="https://www.scopus.com/inward/record.uri?eid=2-s2.0-85135186213&amp;doi=10.1016%2fj.jbi.2022.104148&amp;partnerID=40&amp;md5=fff1d32a0ce99c8eb2b8f25fccaa536c"/>
    <hyperlink ref="AA402" r:id="rId399" display="https://www.scopus.com/inward/record.uri?eid=2-s2.0-85127353941&amp;doi=10.1016%2fj.bios.2022.114219&amp;partnerID=40&amp;md5=aa52d723b54e0993f7282d14d348ec18"/>
    <hyperlink ref="AA403" r:id="rId400" display="https://www.scopus.com/inward/record.uri?eid=2-s2.0-85133143096&amp;doi=10.11591%2fijai.v11.i3.pp1119-1129&amp;partnerID=40&amp;md5=bb545de68f445fa4338eb035004a62f7"/>
    <hyperlink ref="AA404" r:id="rId401" display="https://www.scopus.com/inward/record.uri?eid=2-s2.0-85141557747&amp;doi=10.1007%2fs13755-022-00202-x&amp;partnerID=40&amp;md5=6fe47cbcc562e9380a6499e8252468bb"/>
    <hyperlink ref="AA405" r:id="rId402" display="https://www.scopus.com/inward/record.uri?eid=2-s2.0-85124987611&amp;doi=10.24996%2fijs.2022.63.1.35&amp;partnerID=40&amp;md5=f2c152106aad0d46d52c445411adb531"/>
    <hyperlink ref="AA406" r:id="rId403" display="https://www.scopus.com/inward/record.uri?eid=2-s2.0-85131061964&amp;doi=10.1021%2fjasms.2c00015&amp;partnerID=40&amp;md5=f8afb3fa2185da16a329fe29b3ca272e"/>
    <hyperlink ref="AA407" r:id="rId404" display="https://www.scopus.com/inward/record.uri?eid=2-s2.0-85132373580&amp;doi=10.18196%2fjrc.v3i3.14387&amp;partnerID=40&amp;md5=daa95f816a8c65b1e38ec7ebfbd65a2a"/>
    <hyperlink ref="AA408" r:id="rId405" display="https://www.scopus.com/inward/record.uri?eid=2-s2.0-85138152646&amp;doi=10.1007%2fs13205-022-03334-9&amp;partnerID=40&amp;md5=23b4d69d2e8d7c8370d7042cad229224"/>
    <hyperlink ref="AA409" r:id="rId406" display="https://www.scopus.com/inward/record.uri?eid=2-s2.0-85125438990&amp;doi=10.1007%2fs11517-022-02537-9&amp;partnerID=40&amp;md5=ddb02e55d9c30fc6f9bc593961faca5c"/>
    <hyperlink ref="AA410" r:id="rId407" display="https://www.scopus.com/inward/record.uri?eid=2-s2.0-85140939619&amp;doi=10.1186%2fs13071-022-05537-8&amp;partnerID=40&amp;md5=a2e348509662382e56990226fcc8d646"/>
    <hyperlink ref="AA411" r:id="rId408" display="https://www.scopus.com/inward/record.uri?eid=2-s2.0-85120979710&amp;doi=10.32890%2fjict2022.21.1.6&amp;partnerID=40&amp;md5=c05260107eb17c1124fab55d201c7398"/>
    <hyperlink ref="AA412" r:id="rId409" display="https://www.scopus.com/inward/record.uri?eid=2-s2.0-85119195807&amp;doi=10.1007%2fs12639-021-01458-y&amp;partnerID=40&amp;md5=b2dc19f1e6cb231ee639e48e7ba95f53"/>
    <hyperlink ref="AA413" r:id="rId410" display="https://www.scopus.com/inward/record.uri?eid=2-s2.0-85124138181&amp;doi=10.1016%2fj.idm.2022.01.004&amp;partnerID=40&amp;md5=4cca60b59620d3a0e6aa9c9a9621aeeb"/>
    <hyperlink ref="AA414" r:id="rId411" display="https://www.scopus.com/inward/record.uri?eid=2-s2.0-85140899932&amp;doi=10.3390%2fijerph192013555&amp;partnerID=40&amp;md5=8c1c834d62cca8ece0cd66e34ca2c10f"/>
    <hyperlink ref="AA415" r:id="rId412" display="https://www.scopus.com/inward/record.uri?eid=2-s2.0-85143498513&amp;doi=10.1038%2fs41598-022-25568-6&amp;partnerID=40&amp;md5=170c5ea8a8b467c565238153d9e0aeea"/>
    <hyperlink ref="AA416" r:id="rId413" display="https://www.scopus.com/inward/record.uri?eid=2-s2.0-85133363276&amp;doi=10.3324%2fhaematol.2021.279316&amp;partnerID=40&amp;md5=d968193223071f7b553d8dc068c667c7"/>
    <hyperlink ref="AA417" r:id="rId414" display="https://www.scopus.com/inward/record.uri?eid=2-s2.0-85130042829&amp;doi=10.1186%2fs12951-022-01417-6&amp;partnerID=40&amp;md5=c77e726bc396bc92ef66563fd3780bfe"/>
    <hyperlink ref="AA418" r:id="rId415" display="https://www.scopus.com/inward/record.uri?eid=2-s2.0-85156192553&amp;doi=10.1093%2fjac%2fdkac287&amp;partnerID=40&amp;md5=d3b1bc83852f187a0f1bcfacfdf923ef"/>
    <hyperlink ref="AA419" r:id="rId416" display="https://www.scopus.com/inward/record.uri?eid=2-s2.0-85133261121&amp;doi=10.1016%2fj.bspc.2022.103882&amp;partnerID=40&amp;md5=a14f33b276f9ebdf7d16bcb949928b5a"/>
    <hyperlink ref="AA420" r:id="rId417" display="https://www.scopus.com/inward/record.uri?eid=2-s2.0-85144729704&amp;doi=10.3390%2fvaccines10121985&amp;partnerID=40&amp;md5=d2d8a52ce9bd953d76a86e83c3b61940"/>
    <hyperlink ref="AA421" r:id="rId418" display="https://www.scopus.com/inward/record.uri?eid=2-s2.0-85127850556&amp;doi=10.1038%2fs41598-022-09848-9&amp;partnerID=40&amp;md5=0b94884bfd78f3b9f91e47da50bc7815"/>
    <hyperlink ref="AA422" r:id="rId419" display="https://www.scopus.com/inward/record.uri?eid=2-s2.0-85136517011&amp;doi=10.1016%2fj.actatropica.2022.106657&amp;partnerID=40&amp;md5=6f4aece898ec0154d4f9dac035889992"/>
    <hyperlink ref="AA423" r:id="rId420" display="https://www.scopus.com/inward/record.uri?eid=2-s2.0-85139339873&amp;doi=10.1371%2fjournal.pone.0275370&amp;partnerID=40&amp;md5=cbe60bd959149e7050623571ec26f6f7"/>
    <hyperlink ref="AA424" r:id="rId421" display="https://www.scopus.com/inward/record.uri?eid=2-s2.0-85134399605&amp;doi=10.2196%2f34583&amp;partnerID=40&amp;md5=34f5db0e35105ebf3637f8c2bf9ea326"/>
    <hyperlink ref="AA425" r:id="rId422" display="https://www.scopus.com/inward/record.uri?eid=2-s2.0-85141934927&amp;doi=10.1007%2fs40314-022-02101-z&amp;partnerID=40&amp;md5=f245eee6d45965e04e6464ee77130a72"/>
    <hyperlink ref="AA426" r:id="rId423" display="https://www.scopus.com/inward/record.uri?eid=2-s2.0-85139108670&amp;doi=10.11591%2feei.v11i6.4225&amp;partnerID=40&amp;md5=cae597994c7a74c6e6489af46c53bc1b"/>
    <hyperlink ref="AA427" r:id="rId424" display="https://www.scopus.com/inward/record.uri?eid=2-s2.0-85140621984&amp;doi=10.3390%2fpathogens11101182&amp;partnerID=40&amp;md5=8a56d0a750282b70b33f9f64a9bf06c2"/>
    <hyperlink ref="AA428" r:id="rId425" display="https://www.scopus.com/inward/record.uri?eid=2-s2.0-85159151151&amp;doi=10.24271%2fpsr.2022.161045&amp;partnerID=40&amp;md5=b23fbf594858c827b4bf847ba571a11d"/>
    <hyperlink ref="AA429" r:id="rId426" display="https://www.scopus.com/inward/record.uri?eid=2-s2.0-85126704969&amp;doi=10.1128%2faac.01821-21&amp;partnerID=40&amp;md5=d1ca563ff83eb45f3edbfa0eff463b7b"/>
    <hyperlink ref="AA430" r:id="rId427" display="https://www.scopus.com/inward/record.uri?eid=2-s2.0-85135549686&amp;doi=10.1155%2f2022%2f4449696&amp;partnerID=40&amp;md5=e3509481a888534d5e1097b4be580d5c"/>
    <hyperlink ref="AA431" r:id="rId428" display="https://www.scopus.com/inward/record.uri?eid=2-s2.0-85132870299&amp;doi=10.1038%2fs41598-022-14291-x&amp;partnerID=40&amp;md5=ebf886874525b08caa5087992a78f0d1"/>
    <hyperlink ref="AA432" r:id="rId429" display="https://www.scopus.com/inward/record.uri?eid=2-s2.0-85124508072&amp;doi=10.3389%2ffimmu.2022.793882&amp;partnerID=40&amp;md5=9a5518cea2e39fb94a50ecfe9c891d17"/>
    <hyperlink ref="AA433" r:id="rId430" display="https://www.scopus.com/inward/record.uri?eid=2-s2.0-85143182926&amp;doi=10.1186%2fs12936-022-04383-4&amp;partnerID=40&amp;md5=b4cea284c390072ded3d2764d5b27603"/>
    <hyperlink ref="AA434" r:id="rId431" display="https://www.scopus.com/inward/record.uri?eid=2-s2.0-85133699912&amp;doi=10.2147%2fJBM.S369583&amp;partnerID=40&amp;md5=349324ca8741d5f0e4ff46249eff047c"/>
    <hyperlink ref="AA435" r:id="rId432" display="https://www.scopus.com/inward/record.uri?eid=2-s2.0-85128357136&amp;doi=10.1039%2fd1lc01068a&amp;partnerID=40&amp;md5=15e68d25b6850995829eaaeb969ca692"/>
    <hyperlink ref="AA436" r:id="rId433" display="https://www.scopus.com/inward/record.uri?eid=2-s2.0-85119125816&amp;doi=10.1007%2fs10668-021-01920-0&amp;partnerID=40&amp;md5=8754813229465bb7405a256453aa3ef5"/>
    <hyperlink ref="AA437" r:id="rId434" display="https://www.scopus.com/inward/record.uri?eid=2-s2.0-85127717810&amp;doi=10.1371%2fjournal.pntd.0010273&amp;partnerID=40&amp;md5=78c70c9eefe18084977c86f03042ed95"/>
    <hyperlink ref="AA438" r:id="rId435" display="https://www.scopus.com/inward/record.uri?eid=2-s2.0-85083587053&amp;doi=10.1080%2f09603123.2020.1745763&amp;partnerID=40&amp;md5=69a667733260e56f033da5653d6c0402"/>
    <hyperlink ref="AA439" r:id="rId436" display="https://www.scopus.com/inward/record.uri?eid=2-s2.0-85148215845&amp;doi=10.4269%2fajtmh.21-1107&amp;partnerID=40&amp;md5=230b3301bae09ee8fee27dba8ba2de41"/>
    <hyperlink ref="AA440" r:id="rId437" display="https://www.scopus.com/inward/record.uri?eid=2-s2.0-85126783850&amp;doi=10.1038%2fs41467-022-28980-8&amp;partnerID=40&amp;md5=d918cc4593b335c15c4f596f97868deb"/>
    <hyperlink ref="AA441" r:id="rId438" display="https://www.scopus.com/inward/record.uri?eid=2-s2.0-85142308583&amp;doi=10.1016%2fj.imu.2022.101132&amp;partnerID=40&amp;md5=9ff3b6aa8186b976754c786bb58a8c63"/>
    <hyperlink ref="AA442" r:id="rId439" display="https://www.scopus.com/inward/record.uri?eid=2-s2.0-85132529831&amp;doi=10.1155%2f2022%2f5669580&amp;partnerID=40&amp;md5=3543685f78cb7a11df6b95b233a9812c"/>
    <hyperlink ref="AA443" r:id="rId440" display="https://www.scopus.com/inward/record.uri?eid=2-s2.0-85144045414&amp;doi=10.3389%2ffonc.2022.962272&amp;partnerID=40&amp;md5=641563195157c5b59f7f139eb47b4e89"/>
    <hyperlink ref="AA444" r:id="rId441" display="https://www.scopus.com/inward/record.uri?eid=2-s2.0-85130153624&amp;doi=10.32604%2fcmc.2022.027487&amp;partnerID=40&amp;md5=f421d233626ce54789baf910688c34e1"/>
    <hyperlink ref="AA445" r:id="rId442" display="https://www.scopus.com/inward/record.uri?eid=2-s2.0-85124714000&amp;doi=10.1017%2fjns.2022.5&amp;partnerID=40&amp;md5=8826010359335031c3612c91502c2ba7"/>
    <hyperlink ref="AA446" r:id="rId443" display="https://www.scopus.com/inward/record.uri?eid=2-s2.0-85124766526&amp;doi=10.1007%2fs42600-022-00202-6&amp;partnerID=40&amp;md5=d1feca4e40237e9b97e2da5f1e5c409f"/>
    <hyperlink ref="AA447" r:id="rId444" display="https://www.scopus.com/inward/record.uri?eid=2-s2.0-85137193451&amp;doi=10.3390%2fv14071537&amp;partnerID=40&amp;md5=75b1fc7f17853a2a9b24ef0698179480"/>
    <hyperlink ref="AA448" r:id="rId445" display="https://www.scopus.com/inward/record.uri?eid=2-s2.0-85133145625&amp;doi=10.3389%2ffimmu.2022.899296&amp;partnerID=40&amp;md5=23ad61bd5b743000a3490cba803acc74"/>
    <hyperlink ref="AA449" r:id="rId446" display="https://www.scopus.com/inward/record.uri?eid=2-s2.0-85135400948&amp;doi=10.1186%2fs12936-022-04245-z&amp;partnerID=40&amp;md5=433ed2056982e679275676f0492775e6"/>
    <hyperlink ref="AA450" r:id="rId447" display="https://www.scopus.com/inward/record.uri?eid=2-s2.0-85127212771&amp;doi=10.3389%2ffcell.2022.839781&amp;partnerID=40&amp;md5=796f8d1b5e32ad2ae28708a84974f2ce"/>
    <hyperlink ref="AA451" r:id="rId448" display="https://www.scopus.com/inward/record.uri?eid=2-s2.0-85135282244&amp;doi=10.1371%2fjournal.pone.0271569&amp;partnerID=40&amp;md5=7b6ea1c76ef6b27dd2318bc35b714414"/>
    <hyperlink ref="AA452" r:id="rId449" display="https://www.scopus.com/inward/record.uri?eid=2-s2.0-85124073562&amp;doi=10.1080%2f23744235.2022.2032823&amp;partnerID=40&amp;md5=b1fe6e72eeadaa178131fb6c8a52f874"/>
    <hyperlink ref="AA453" r:id="rId450" display="https://www.scopus.com/inward/record.uri?eid=2-s2.0-85145426091&amp;doi=10.1371%2fjournal.pone.0265472&amp;partnerID=40&amp;md5=45c562480d6b21b4dd721ba63a1cbe93"/>
    <hyperlink ref="AA454" r:id="rId451" display="https://www.scopus.com/inward/record.uri?eid=2-s2.0-85119694109&amp;doi=10.1007%2f978-981-16-6285-0_23&amp;partnerID=40&amp;md5=9dd2c661996aaee2e9e08c195e9ca213"/>
    <hyperlink ref="AA455" r:id="rId452" display="https://www.scopus.com/inward/record.uri?eid=2-s2.0-85159020846&amp;doi=10.1007%2f978-3-030-64573-1_273&amp;partnerID=40&amp;md5=603d20a30f4897ea1c02296281cf0c1b"/>
    <hyperlink ref="AA456" r:id="rId453" display="https://www.scopus.com/inward/record.uri?eid=2-s2.0-85152977464&amp;partnerID=40&amp;md5=78b92428e1d9de6a13a10b1ac03dd603"/>
    <hyperlink ref="AA457" r:id="rId454" display="https://www.scopus.com/inward/record.uri?eid=2-s2.0-85158963572&amp;doi=10.1007%2f978-981-16-5993-5_1&amp;partnerID=40&amp;md5=593d7d09cebd232e1c4a959de82acb2c"/>
    <hyperlink ref="AA458" r:id="rId455" display="https://www.scopus.com/inward/record.uri?eid=2-s2.0-85119702254&amp;doi=10.1007%2f978-981-16-6285-0_37&amp;partnerID=40&amp;md5=684beac8ccb80f1602b1492ba05a0a0f"/>
    <hyperlink ref="AA459" r:id="rId456" display="https://www.scopus.com/inward/record.uri?eid=2-s2.0-85130861893&amp;doi=10.1007%2f978-981-16-8969-7_2&amp;partnerID=40&amp;md5=cd2b4e0b1839b91f5befec074a48bd85"/>
    <hyperlink ref="AA460" r:id="rId457" display="https://www.scopus.com/inward/record.uri?eid=2-s2.0-85140187463&amp;doi=10.1201%2f9781003046431-10&amp;partnerID=40&amp;md5=bd2f6871ee5baf422afdfe940cc81b11"/>
    <hyperlink ref="AA461" r:id="rId458" display="https://www.scopus.com/inward/record.uri?eid=2-s2.0-85125948123&amp;doi=10.1201%2f9781003226147-11&amp;partnerID=40&amp;md5=998d56f81c14bd783b75223c4dd8fc57"/>
    <hyperlink ref="AA462" r:id="rId459" display="https://www.scopus.com/inward/record.uri?eid=2-s2.0-85119693690&amp;doi=10.1007%2f978-981-16-6285-0_3&amp;partnerID=40&amp;md5=f4ef1c27701998587ee95c2a29fe7f1a"/>
    <hyperlink ref="AA463" r:id="rId460" display="https://www.scopus.com/inward/record.uri?eid=2-s2.0-85127852770&amp;doi=10.1007%2f978-3-030-92245-0_7&amp;partnerID=40&amp;md5=a8b785ab99415d917f0b9c3b8cf0b4f5"/>
    <hyperlink ref="AA464" r:id="rId461" display="https://www.scopus.com/inward/record.uri?eid=2-s2.0-85137595507&amp;doi=10.1007%2f978-981-19-2948-9_27&amp;partnerID=40&amp;md5=43d719aff593598966ea157fe6e8af00"/>
    <hyperlink ref="AA465" r:id="rId462" display="https://www.scopus.com/inward/record.uri?eid=2-s2.0-85125702552&amp;doi=10.1007%2f978-981-16-5685-9_26&amp;partnerID=40&amp;md5=99e6d265a256d6dae4acab0c68e9d27f"/>
    <hyperlink ref="AA466" r:id="rId463" display="https://www.scopus.com/inward/record.uri?eid=2-s2.0-85130953590&amp;doi=10.1007%2f978-3-031-06430-2_30&amp;partnerID=40&amp;md5=13ca8b1989ce4c3a8b01a71fc33666a6"/>
    <hyperlink ref="AA467" r:id="rId464" display="https://www.scopus.com/inward/record.uri?eid=2-s2.0-85139564211&amp;doi=10.1109%2fICESC54411.2022.9885376&amp;partnerID=40&amp;md5=f8c81a732aa2cc6aa92a0facbc3289ac"/>
    <hyperlink ref="AA468" r:id="rId465" display="https://www.scopus.com/inward/record.uri?eid=2-s2.0-85150678781&amp;doi=10.1109%2fICERECT56837.2022.10059648&amp;partnerID=40&amp;md5=26b4fc901595039a38e03513a228a1df"/>
    <hyperlink ref="AA469" r:id="rId466" display="https://www.scopus.com/inward/record.uri?eid=2-s2.0-85152942331&amp;doi=10.22489%2fCinC.2022.313&amp;partnerID=40&amp;md5=f5b475f93b75294c9918e35f4d82aecc"/>
    <hyperlink ref="AA470" r:id="rId467" display="https://www.scopus.com/inward/record.uri?eid=2-s2.0-85127530288&amp;doi=10.1109%2fIMCOM53663.2022.9721753&amp;partnerID=40&amp;md5=c95f16671956dbb9260c59d98f300c17"/>
    <hyperlink ref="AA471" r:id="rId468" display="https://www.scopus.com/inward/record.uri?eid=2-s2.0-85130322818&amp;doi=10.1145%2f3477314.3507019&amp;partnerID=40&amp;md5=7ee6870a649732eece0308ee1bde02c4"/>
    <hyperlink ref="AA472" r:id="rId469" display="https://www.scopus.com/inward/record.uri?eid=2-s2.0-85137168481&amp;doi=10.1016%2fj.ifacol.2022.06.013&amp;partnerID=40&amp;md5=cca326cf2834604ec141d6a518c97dc7"/>
    <hyperlink ref="AA473" r:id="rId470" display="https://www.scopus.com/inward/record.uri?eid=2-s2.0-85148487429&amp;doi=10.1109%2fICORIS56080.2022.10031575&amp;partnerID=40&amp;md5=6f07ec48510048c3e5edc137d12d29f7"/>
    <hyperlink ref="AA474" r:id="rId471" display="https://www.scopus.com/inward/record.uri?eid=2-s2.0-85145434618&amp;doi=10.1109%2fGCAT55367.2022.9972167&amp;partnerID=40&amp;md5=eec52f96573643c379fe49a60bb1c511"/>
    <hyperlink ref="AA475" r:id="rId472" display="https://www.scopus.com/inward/record.uri?eid=2-s2.0-85139212675&amp;doi=10.1109%2fIAICT55358.2022.9887391&amp;partnerID=40&amp;md5=0aad991000b467fefa68a6293364be99"/>
    <hyperlink ref="AA476" r:id="rId473" display="https://www.scopus.com/inward/record.uri?eid=2-s2.0-85147544065&amp;doi=10.1109%2fAPWiMob56856.2022.10014256&amp;partnerID=40&amp;md5=fc6bfcfffae3ffbeb235085ba107bc8e"/>
    <hyperlink ref="AA477" r:id="rId474" display="https://www.scopus.com/inward/record.uri?eid=2-s2.0-85152914334&amp;doi=10.22489%2fCinC.2022.311&amp;partnerID=40&amp;md5=27ae40e62d98986abf3835b17d922ba5"/>
    <hyperlink ref="AA478" r:id="rId475" display="https://www.scopus.com/inward/record.uri?eid=2-s2.0-85137486986&amp;doi=10.1109%2fCOM-IT-CON54601.2022.9850923&amp;partnerID=40&amp;md5=09185014e98c9a56434512a8ed1a8771"/>
    <hyperlink ref="AA479" r:id="rId476" display="https://www.scopus.com/inward/record.uri?eid=2-s2.0-85147735191&amp;doi=10.1109%2fICDM54844.2022.00135&amp;partnerID=40&amp;md5=83fdca93171aec73e3aa1eaff522d9db"/>
    <hyperlink ref="AA480" r:id="rId477" display="https://www.scopus.com/inward/record.uri?eid=2-s2.0-85139018184&amp;doi=10.1109%2fICHI54592.2022.00065&amp;partnerID=40&amp;md5=7b39ff7ba8e259a641a7d18db2a82435"/>
    <hyperlink ref="AA481" r:id="rId478" display="https://www.scopus.com/inward/record.uri?eid=2-s2.0-85146497711&amp;doi=10.1109%2fICCR56254.2022.9996009&amp;partnerID=40&amp;md5=1a26ccebcdd560258015fece8670eae5"/>
    <hyperlink ref="AA482" r:id="rId479" display="https://www.scopus.com/inward/record.uri?eid=2-s2.0-85122491306&amp;doi=10.1007%2f978-3-030-93247-3_45&amp;partnerID=40&amp;md5=641e2c455b4d95d560430f0995266464"/>
    <hyperlink ref="AA483" r:id="rId480" display="https://www.scopus.com/inward/record.uri?eid=2-s2.0-85142689601&amp;doi=10.1109%2fICECAA55415.2022.9936219&amp;partnerID=40&amp;md5=3b12ebe431f3fe8cebc357a4672daf2b"/>
    <hyperlink ref="AA484" r:id="rId481" display="https://www.scopus.com/inward/record.uri?eid=2-s2.0-85163136400&amp;doi=10.1109%2fNKCon56289.2022.10126660&amp;partnerID=40&amp;md5=01a2d92b62e5978453278beb417c0729"/>
    <hyperlink ref="AA485" r:id="rId482" display="https://www.scopus.com/inward/record.uri?eid=2-s2.0-85145359557&amp;doi=10.1109%2fMysuruCon55714.2022.9972568&amp;partnerID=40&amp;md5=2b95813fb43611f89adac2b013a841c6"/>
    <hyperlink ref="AA486" r:id="rId483" display="https://www.scopus.com/inward/record.uri?eid=2-s2.0-85130558581&amp;doi=10.1149%2f10701.12325ecst&amp;partnerID=40&amp;md5=df9ba705065239c8830e302881a6f2b3"/>
    <hyperlink ref="AA487" r:id="rId484" display="https://www.scopus.com/inward/record.uri?eid=2-s2.0-85149184900&amp;doi=10.1109%2fICAST55766.2022.10039594&amp;partnerID=40&amp;md5=475290f285e62f140eedaf8ded0cf635"/>
    <hyperlink ref="AA488" r:id="rId485" display="https://www.scopus.com/inward/record.uri?eid=2-s2.0-85124645375&amp;doi=10.1007%2f978-3-030-95630-1_6&amp;partnerID=40&amp;md5=9172b76f7c2aad875d3c112ff5eef4b7"/>
    <hyperlink ref="AA489" r:id="rId486" display="https://www.scopus.com/inward/record.uri?eid=2-s2.0-85153679371&amp;doi=10.1109%2fSMARTGENCON56628.2022.10083613&amp;partnerID=40&amp;md5=0ac04fc55df33b0825e0abebf159579e"/>
    <hyperlink ref="AA490" r:id="rId487" display="https://www.scopus.com/inward/record.uri?eid=2-s2.0-85149928934&amp;doi=10.1109%2fITED56637.2022.10051510&amp;partnerID=40&amp;md5=c786fa01e2b03f5e2ab8f3cda0c1ebb1"/>
    <hyperlink ref="AA491" r:id="rId488" display="https://www.scopus.com/inward/record.uri?eid=2-s2.0-85138786166&amp;doi=10.1007%2f978-981-19-2281-7_56&amp;partnerID=40&amp;md5=0afba40e1f6351ee01be48c682610953"/>
    <hyperlink ref="AA492" r:id="rId489" display="https://www.scopus.com/inward/record.uri?eid=2-s2.0-85123273187&amp;doi=10.1007%2f978-3-030-92127-9_19&amp;partnerID=40&amp;md5=7e25d3b6e40badac2eb062a20c3bcf55"/>
    <hyperlink ref="AA493" r:id="rId490" display="https://www.scopus.com/inward/record.uri?eid=2-s2.0-85127642774&amp;doi=10.1007%2f978-981-16-8987-1_55&amp;partnerID=40&amp;md5=48392ff2eb9c044db8803cb030ba6da1"/>
    <hyperlink ref="AA494" r:id="rId491" display="https://www.scopus.com/inward/record.uri?eid=2-s2.0-85141836398&amp;doi=10.1109%2fICSIMA55652.2022.9928992&amp;partnerID=40&amp;md5=2d0eb72bf69d016a6dbdc4b7d21958b9"/>
    <hyperlink ref="AA495" r:id="rId492" display="https://www.scopus.com/inward/record.uri?eid=2-s2.0-85137259510&amp;doi=10.1109%2fCONIT55038.2022.9848328&amp;partnerID=40&amp;md5=2527200fe2049cf6a664fcec9f46c563"/>
    <hyperlink ref="AA496" r:id="rId493" display="https://www.scopus.com/inward/record.uri?eid=2-s2.0-85148475915&amp;doi=10.1109%2fICCITM56309.2022.10031978&amp;partnerID=40&amp;md5=d99ed1ab02d4690d1c2bcf69e30e68b8"/>
    <hyperlink ref="AA497" r:id="rId494" display="https://www.scopus.com/inward/record.uri?eid=2-s2.0-85136117794&amp;doi=10.1109%2fICIP46576.2022.9897846&amp;partnerID=40&amp;md5=8d4300ebc947c61548a4289db9e760fa"/>
    <hyperlink ref="AA498" r:id="rId495" display="https://www.scopus.com/inward/record.uri?eid=2-s2.0-85135750144&amp;doi=10.1109%2fCCGrid54584.2022.00114&amp;partnerID=40&amp;md5=d2f62e3eafe4e8235eeb0f8614705b4f"/>
    <hyperlink ref="AA499" r:id="rId496" display="https://www.scopus.com/inward/record.uri?eid=2-s2.0-85160214228&amp;doi=10.1109%2fICECTE57896.2022.10114535&amp;partnerID=40&amp;md5=c704f9ead3f6553e65cef79b07805d19"/>
    <hyperlink ref="AA500" r:id="rId497" display="https://www.scopus.com/inward/record.uri?eid=2-s2.0-85127642085&amp;doi=10.1007%2f978-981-16-8987-1_34&amp;partnerID=40&amp;md5=a36091542424eda16e7c0f9fe404c1eb"/>
    <hyperlink ref="AA501" r:id="rId498" display="https://www.scopus.com/inward/record.uri?eid=2-s2.0-85133215760&amp;doi=10.1109%2fCVPR52688.2022.02003&amp;partnerID=40&amp;md5=484b878af3e685b576484cfb4c44797c"/>
    <hyperlink ref="AA502" r:id="rId499" display="https://www.scopus.com/inward/record.uri?eid=2-s2.0-85134228985&amp;doi=10.1109%2fISDFS55398.2022.9800796&amp;partnerID=40&amp;md5=2c0f7d2082c01acc27e543dbc5ca55e4"/>
    <hyperlink ref="AA503" r:id="rId500" display="https://www.scopus.com/inward/record.uri?eid=2-s2.0-85129809722&amp;doi=10.1038%2fs41597-022-01312-7&amp;partnerID=40&amp;md5=21a03b512018d400e906ba46d04a4ba2"/>
    <hyperlink ref="AA504" r:id="rId501" display="https://www.scopus.com/inward/record.uri?eid=2-s2.0-85110523917&amp;doi=10.1088%2f2057-1976%2fac0e74&amp;partnerID=40&amp;md5=e4eecadf576daa817d7bac541c2f70a5"/>
    <hyperlink ref="AA505" r:id="rId502" display="https://www.scopus.com/inward/record.uri?eid=2-s2.0-85110451070&amp;doi=10.1161%2fCIR.0000000000000981&amp;partnerID=40&amp;md5=2d9b2169378efc8586f47f19c26fba7f"/>
    <hyperlink ref="AA506" r:id="rId503" display="https://www.scopus.com/inward/record.uri?eid=2-s2.0-85110498409&amp;doi=10.33166%2fAETiC.2021.03.002&amp;partnerID=40&amp;md5=f8f6878dbcadcb19b0981be3477f2ffb"/>
    <hyperlink ref="AA507" r:id="rId504" display="https://www.scopus.com/inward/record.uri?eid=2-s2.0-85119863021&amp;doi=10.3233%2fAPC210119&amp;partnerID=40&amp;md5=94e98cfd3dd42bfcde66109c65219bf9"/>
    <hyperlink ref="AA508" r:id="rId505" display="https://www.scopus.com/inward/record.uri?eid=2-s2.0-85124213382&amp;doi=10.1007%2fs42979-021-00763-w&amp;partnerID=40&amp;md5=7ea81aaed03d8a3cea5fa87db621e8e4"/>
    <hyperlink ref="AA509" r:id="rId506" display="https://www.scopus.com/inward/record.uri?eid=2-s2.0-85107471612&amp;doi=10.1038%2fs41551-021-00733-w&amp;partnerID=40&amp;md5=58e48498df3141e97bf6045e461265cf"/>
    <hyperlink ref="AA510" r:id="rId507" display="https://www.scopus.com/inward/record.uri?eid=2-s2.0-85116261490&amp;doi=10.3389%2ffcell.2021.732370&amp;partnerID=40&amp;md5=7dec8353b99f0e626ea791ef1a43d045"/>
    <hyperlink ref="AA511" r:id="rId508" display="https://www.scopus.com/inward/record.uri?eid=2-s2.0-85106029853&amp;doi=10.1371%2fjournal.pone.0251403&amp;partnerID=40&amp;md5=c73996828670e439e09aae1ad9d05ec6"/>
    <hyperlink ref="AA512" r:id="rId509" display="https://www.scopus.com/inward/record.uri?eid=2-s2.0-85115024017&amp;doi=10.7754%2fClin.Lab.2021.201141&amp;partnerID=40&amp;md5=78dab0595335a668a2458c988633c351"/>
    <hyperlink ref="AA513" r:id="rId510" display="https://www.scopus.com/inward/record.uri?eid=2-s2.0-85103308190&amp;doi=10.3389%2ffimmu.2021.628113&amp;partnerID=40&amp;md5=a62f69d27307a6829cd7d719ecc247f7"/>
    <hyperlink ref="AA514" r:id="rId511" display="https://www.scopus.com/inward/record.uri?eid=2-s2.0-85122781891&amp;doi=10.1016%2fj.imu.2021.100743&amp;partnerID=40&amp;md5=45ce92c466725f387414ef66c220cd23"/>
    <hyperlink ref="AA515" r:id="rId512" display="https://www.scopus.com/inward/record.uri?eid=2-s2.0-85106500404&amp;doi=10.3390%2finformatics8020027&amp;partnerID=40&amp;md5=6fbb3c328d286ba93413d3f06c20f145"/>
    <hyperlink ref="AA516" r:id="rId513" display="https://www.scopus.com/inward/record.uri?eid=2-s2.0-85107711748&amp;doi=10.1542%2fpeds.2020-027003&amp;partnerID=40&amp;md5=3158178481b4d1a482fa6ceda842cb82"/>
    <hyperlink ref="AA517" r:id="rId514" display="https://www.scopus.com/inward/record.uri?eid=2-s2.0-85097264860&amp;doi=10.1142%2fS0218001421570044&amp;partnerID=40&amp;md5=59a5e9f985e7b72c98d38ad5854f8831"/>
    <hyperlink ref="AA518" r:id="rId515" display="https://www.scopus.com/inward/record.uri?eid=2-s2.0-85107349943&amp;doi=10.1111%2fddg.14510&amp;partnerID=40&amp;md5=e103f505209fbaa01a8abd3210c96a4c"/>
    <hyperlink ref="AA519" r:id="rId516" display="https://www.scopus.com/inward/record.uri?eid=2-s2.0-85140083408&amp;doi=10.1007%2fs43615-021-00060-x&amp;partnerID=40&amp;md5=cad83e3f1dfcf283dbbcbfa256a8c051"/>
    <hyperlink ref="AA520" r:id="rId517" display="https://www.scopus.com/inward/record.uri?eid=2-s2.0-85113343103&amp;doi=10.1371%2fjournal.pone.0255615&amp;partnerID=40&amp;md5=1d36c4b50efe534196638cb8734c76ba"/>
    <hyperlink ref="AA521" r:id="rId518" display="https://www.scopus.com/inward/record.uri?eid=2-s2.0-85109456238&amp;doi=10.23736%2fS0393-3660.19.04199-8&amp;partnerID=40&amp;md5=e5b24b0ae5eec40b9b30f10981aee1a0"/>
    <hyperlink ref="AA522" r:id="rId519" display="https://www.scopus.com/inward/record.uri?eid=2-s2.0-85115018842&amp;doi=10.1371%2fjournal.pmed.1003739&amp;partnerID=40&amp;md5=91c28cbed1f8d5f2712898a71f0b53d4"/>
    <hyperlink ref="AA523" r:id="rId520" display="https://www.scopus.com/inward/record.uri?eid=2-s2.0-85097938162&amp;doi=10.1109%2fJBHI.2020.3037027&amp;partnerID=40&amp;md5=6f07dbf624ed534aa4a5843f196ce7a0"/>
    <hyperlink ref="AA524" r:id="rId521" display="https://www.scopus.com/inward/record.uri?eid=2-s2.0-85114386452&amp;doi=10.3390%2fpathogens10070783&amp;partnerID=40&amp;md5=fee8174d222b0c6911b6a0a84a2943a5"/>
    <hyperlink ref="AA525" r:id="rId522" display="https://www.scopus.com/inward/record.uri?eid=2-s2.0-85121525420&amp;doi=10.3390%2fmolecules26247494&amp;partnerID=40&amp;md5=707db05a4b2db930b5df9adc98605eb8"/>
    <hyperlink ref="AA526" r:id="rId523" display="https://www.scopus.com/inward/record.uri?eid=2-s2.0-85099960265&amp;doi=10.1590%2f0037-8682-0519-2020&amp;partnerID=40&amp;md5=bd70069e336e31bbae532b63f3e7271d"/>
    <hyperlink ref="AA527" r:id="rId524" display="https://www.scopus.com/inward/record.uri?eid=2-s2.0-85113597383&amp;doi=10.1186%2fs13063-021-05478-0&amp;partnerID=40&amp;md5=ef3f1fbe40b668cba25a92bb1b452065"/>
    <hyperlink ref="AA528" r:id="rId525" display="https://www.scopus.com/inward/record.uri?eid=2-s2.0-85122323286&amp;doi=10.1038%2fs41467-021-27486-z&amp;partnerID=40&amp;md5=c080693f46a4138d007e7f741f03b22e"/>
    <hyperlink ref="AA529" r:id="rId526" display="https://www.scopus.com/inward/record.uri?eid=2-s2.0-85104320320&amp;doi=10.1080%2f21645515.2021.1911215&amp;partnerID=40&amp;md5=a0c933c52a205a3262712632d9b7a791"/>
    <hyperlink ref="AA530" r:id="rId527" display="https://www.scopus.com/inward/record.uri?eid=2-s2.0-85118795326&amp;doi=10.1016%2fj.ijmmb.2021.06.011&amp;partnerID=40&amp;md5=e94cf5d735aa10781b7edc13e7f6c94d"/>
    <hyperlink ref="AA531" r:id="rId528" display="https://www.scopus.com/inward/record.uri?eid=2-s2.0-85101633655&amp;doi=10.1155%2f2021%2f6650596&amp;partnerID=40&amp;md5=b2b12a5032f452477100a7975e4bfbb7"/>
    <hyperlink ref="AA532" r:id="rId529" display="https://www.scopus.com/inward/record.uri?eid=2-s2.0-85107594243&amp;doi=10.5603%2fRPOR.a2021.0035&amp;partnerID=40&amp;md5=a8f65e72102e101dfcb5b862689ac457"/>
    <hyperlink ref="AA533" r:id="rId530" display="https://www.scopus.com/inward/record.uri?eid=2-s2.0-85103197815&amp;doi=10.1186%2fs12879-021-05971-6&amp;partnerID=40&amp;md5=31ed3ef0185d7eba3c2a68b3c4101012"/>
    <hyperlink ref="AA534" r:id="rId531" display="https://www.scopus.com/inward/record.uri?eid=2-s2.0-85102329873&amp;doi=10.36660%2fabc.20190403&amp;partnerID=40&amp;md5=4a7dc2d2a26006563c70581edcc6bc02"/>
    <hyperlink ref="AA535" r:id="rId532" display="https://www.scopus.com/inward/record.uri?eid=2-s2.0-85109695834&amp;doi=10.1186%2fs40249-021-00874-9&amp;partnerID=40&amp;md5=d1adc82ad1d0ad1464bcc0eaeab5ba1b"/>
    <hyperlink ref="AA536" r:id="rId533" display="https://www.scopus.com/inward/record.uri?eid=2-s2.0-85117474846&amp;doi=10.17420%2fap6702.334&amp;partnerID=40&amp;md5=04bd534a1ecf106f5d8c73f08b83975e"/>
    <hyperlink ref="AA537" r:id="rId534" display="https://www.scopus.com/inward/record.uri?eid=2-s2.0-85106664868&amp;doi=10.1186%2fs40249-021-00852-1&amp;partnerID=40&amp;md5=06ce6ff9dee6f7d788695bc83d62fe48"/>
    <hyperlink ref="AA538" r:id="rId535" display="https://www.scopus.com/inward/record.uri?eid=2-s2.0-85106764136&amp;doi=10.1371%2fjournal.pone.0252220&amp;partnerID=40&amp;md5=3a172ab5e2ac0c60485e0828755b5018"/>
    <hyperlink ref="AA539" r:id="rId536" display="https://www.scopus.com/inward/record.uri?eid=2-s2.0-85094805687&amp;doi=10.1016%2fj.jep.2020.113449&amp;partnerID=40&amp;md5=5dc036a1d16366d71bce7dbba0ac21ba"/>
    <hyperlink ref="AA540" r:id="rId537" display="https://www.scopus.com/inward/record.uri?eid=2-s2.0-85138974702&amp;doi=10.4314%2fijbcs.v15i1.25&amp;partnerID=40&amp;md5=d1fb0a3c4ebd33eff33d132ef401b3e9"/>
    <hyperlink ref="AA541" r:id="rId538" display="https://www.scopus.com/inward/record.uri?eid=2-s2.0-85122532262&amp;doi=10.1371%2fjournal.pntd.0009974&amp;partnerID=40&amp;md5=cf2f9de1a0044e99e0937af164e27359"/>
    <hyperlink ref="AA542" r:id="rId539" display="https://www.scopus.com/inward/record.uri?eid=2-s2.0-85116853639&amp;doi=10.1371%2fjournal.pntd.0009688&amp;partnerID=40&amp;md5=1006df354b1db6942c19574066073073"/>
    <hyperlink ref="AA543" r:id="rId540" display="https://www.scopus.com/inward/record.uri?eid=2-s2.0-85110546941&amp;doi=10.1016%2fj.imu.2021.100592&amp;partnerID=40&amp;md5=8dedef041e2875227d3ff17d8a8cc20f"/>
    <hyperlink ref="AA544" r:id="rId541" display="https://www.scopus.com/inward/record.uri?eid=2-s2.0-85108583313&amp;doi=10.1088%2f1361-6579%2fac010e&amp;partnerID=40&amp;md5=963d5ddd863aa88e0e67d9317240723f"/>
    <hyperlink ref="AA545" r:id="rId542" display="https://www.scopus.com/inward/record.uri?eid=2-s2.0-85101304464&amp;doi=10.1186%2fs13321-021-00487-2&amp;partnerID=40&amp;md5=8ad6e1d8e7ad88e2082962f0109af085"/>
    <hyperlink ref="AA546" r:id="rId543" display="https://www.scopus.com/inward/record.uri?eid=2-s2.0-85109328351&amp;doi=10.14445%2f22315381%2fIJETT-V69I7P222&amp;partnerID=40&amp;md5=a697e4817b1bb6294eb1820b44233f94"/>
    <hyperlink ref="AA547" r:id="rId544" display="https://www.scopus.com/inward/record.uri?eid=2-s2.0-85099779949&amp;doi=10.3390%2fa14010017&amp;partnerID=40&amp;md5=3c6517ef01041d2c79b1b62d55cc778a"/>
    <hyperlink ref="AA548" r:id="rId545" display="https://www.scopus.com/inward/record.uri?eid=2-s2.0-85115177844&amp;doi=10.1016%2fj.compbiomed.2021.104856&amp;partnerID=40&amp;md5=04b6377b85b82de31774ccf0425b4fe5"/>
    <hyperlink ref="AA549" r:id="rId546" display="https://www.scopus.com/inward/record.uri?eid=2-s2.0-85099233220&amp;doi=10.1016%2fj.imu.2020.100508&amp;partnerID=40&amp;md5=069b62fb4c322c363ca4dbe278f67ac3"/>
    <hyperlink ref="AA550" r:id="rId547" display="https://www.scopus.com/inward/record.uri?eid=2-s2.0-85158160117&amp;doi=10.30699%2ffhi.v10i1.278&amp;partnerID=40&amp;md5=933041a7733fb32d0af93b4d83f2cd16"/>
    <hyperlink ref="AA551" r:id="rId548" display="https://www.scopus.com/inward/record.uri?eid=2-s2.0-85096182147&amp;doi=10.1007%2fs12639-020-01313-6&amp;partnerID=40&amp;md5=dc59ec468221cb8783bdeb5bf78c2aca"/>
    <hyperlink ref="AA552" r:id="rId549" display="https://www.scopus.com/inward/record.uri?eid=2-s2.0-85102443934&amp;doi=10.3389%2ffimmu.2021.610108&amp;partnerID=40&amp;md5=8df9d98eb78eca507aef530cac7d7d2f"/>
    <hyperlink ref="AA553" r:id="rId550" display="https://www.scopus.com/inward/record.uri?eid=2-s2.0-85123006962&amp;doi=10.52711%2f0974-360X.2021.01153&amp;partnerID=40&amp;md5=baa04f8cc66d50cb3e8400483915cfde"/>
    <hyperlink ref="AA554" r:id="rId551" display="https://www.scopus.com/inward/record.uri?eid=2-s2.0-85105085458&amp;doi=10.1007%2f978-981-16-0538-3_12&amp;partnerID=40&amp;md5=9f4fba89279e5f4dcded1766e4b438f4"/>
    <hyperlink ref="AA555" r:id="rId552" display="https://www.scopus.com/inward/record.uri?eid=2-s2.0-85116959196&amp;doi=10.1007%2f978-981-15-8335-3_45&amp;partnerID=40&amp;md5=d86707a3077faa79ff125c9265509077"/>
    <hyperlink ref="AA556" r:id="rId553" display="https://www.scopus.com/inward/record.uri?eid=2-s2.0-85109468526&amp;partnerID=40&amp;md5=65b5936b40b3375b2e66d8c1af58bd4c"/>
    <hyperlink ref="AA557" r:id="rId554" display="https://www.scopus.com/inward/record.uri?eid=2-s2.0-85101043968&amp;doi=10.1007%2f978-981-15-9612-4_5&amp;partnerID=40&amp;md5=52a788017ba76bb0c779a5071ccb4c2c"/>
    <hyperlink ref="AA558" r:id="rId555" display="https://www.scopus.com/inward/record.uri?eid=2-s2.0-85123668954&amp;doi=10.1016%2fB978-0-12-821633-0.00007-6&amp;partnerID=40&amp;md5=083e4bad9835e7f6c369ecf3a5bcce0f"/>
    <hyperlink ref="AA559" r:id="rId556" display="https://www.scopus.com/inward/record.uri?eid=2-s2.0-85122319189&amp;doi=10.1002%2f9781119792611.ch12&amp;partnerID=40&amp;md5=164c8323c705fded24ace233d6da2898"/>
    <hyperlink ref="AA560" r:id="rId557" display="https://www.scopus.com/inward/record.uri?eid=2-s2.0-85101144337&amp;doi=10.1007%2f978-981-15-9735-0_2&amp;partnerID=40&amp;md5=e2a4e977c73cd58d38d2c3035bb466d2"/>
    <hyperlink ref="AA561" r:id="rId558" display="https://www.scopus.com/inward/record.uri?eid=2-s2.0-85158929967&amp;doi=10.1007%2f978-3-030-79753-9_18&amp;partnerID=40&amp;md5=d1c2a3e7166a55dfe1016388b0906620"/>
    <hyperlink ref="AA562" r:id="rId559" display="https://www.scopus.com/inward/record.uri?eid=2-s2.0-85107238380&amp;doi=10.3233%2fSHTI210196&amp;partnerID=40&amp;md5=b0ba8837d217d7762cd23ac8a33b28ea"/>
    <hyperlink ref="AA563" r:id="rId560" display="https://www.scopus.com/inward/record.uri?eid=2-s2.0-85150116779&amp;doi=10.1007%2f978-3-030-45240-7_8&amp;partnerID=40&amp;md5=f3de998390e0014cb16422e6571a05c3"/>
    <hyperlink ref="AA564" r:id="rId561" display="https://www.scopus.com/inward/record.uri?eid=2-s2.0-85111451174&amp;doi=10.1007%2f978-3-030-71221-1_5&amp;partnerID=40&amp;md5=91ac1ad437bdc17892c03e6bfcc03476"/>
    <hyperlink ref="AA565" r:id="rId562" display="https://www.scopus.com/inward/record.uri?eid=2-s2.0-85150561934&amp;doi=10.1007%2f978-981-16-0811-7_9&amp;partnerID=40&amp;md5=c32bc1d236eefd61e06ab9dccf7e22cf"/>
    <hyperlink ref="AA566" r:id="rId563" display="https://www.scopus.com/inward/record.uri?eid=2-s2.0-85111642801&amp;doi=10.1007%2f978-3-030-66519-7_9&amp;partnerID=40&amp;md5=f1e5902e31c8440a616420cccf30f6ba"/>
    <hyperlink ref="AA567" r:id="rId564" display="https://www.scopus.com/inward/record.uri?eid=2-s2.0-85104899775&amp;doi=10.1007%2f978-981-15-9516-5_1&amp;partnerID=40&amp;md5=617d0d8a5e3d0eb03fcc0c24887e0b0f"/>
    <hyperlink ref="AA568" r:id="rId565" display="https://www.scopus.com/inward/record.uri?eid=2-s2.0-85124698705&amp;doi=10.1109%2fCSNT51715.2021.9509619&amp;partnerID=40&amp;md5=8291a1bf3c17a02541bd7ec88dd04715"/>
    <hyperlink ref="AA569" r:id="rId566" display="https://www.scopus.com/inward/record.uri?eid=2-s2.0-85116942156&amp;doi=10.1109%2fICIRCA51532.2021.9544862&amp;partnerID=40&amp;md5=25377e7cdad87d4e0d570226ac375f33"/>
    <hyperlink ref="AA570" r:id="rId567" display="https://www.scopus.com/inward/record.uri?eid=2-s2.0-85101746583&amp;doi=10.1088%2f1742-6596%2f1767%2f1%2f012038&amp;partnerID=40&amp;md5=74e827627f8d45640b91fe655973c3b8"/>
    <hyperlink ref="AA571" r:id="rId568" display="https://www.scopus.com/inward/record.uri?eid=2-s2.0-85115426679&amp;doi=10.1145%2f3462203.3475908&amp;partnerID=40&amp;md5=dd91fbb237462130649a01bb4e8938bb"/>
    <hyperlink ref="AA572" r:id="rId569" display="https://www.scopus.com/inward/record.uri?eid=2-s2.0-85126949184&amp;doi=10.1109%2fICAC3N53548.2021.9725539&amp;partnerID=40&amp;md5=0c0c117073b598f828a185bebef126c2"/>
    <hyperlink ref="AA573" r:id="rId570" display="https://www.scopus.com/inward/record.uri?eid=2-s2.0-85136203208&amp;doi=10.1109%2fWIECON-ECE54711.2021.9829560&amp;partnerID=40&amp;md5=c5c30ae3d2a5d0d5f217616ef727c954"/>
    <hyperlink ref="AA574" r:id="rId571" display="https://www.scopus.com/inward/record.uri?eid=2-s2.0-85114668140&amp;doi=10.1109%2fISDFS52919.2021.9486315&amp;partnerID=40&amp;md5=84dfba65c1a0f785cc393cedeadcbb20"/>
    <hyperlink ref="AA575" r:id="rId572" display="https://www.scopus.com/inward/record.uri?eid=2-s2.0-85124373382&amp;doi=10.1109%2fICFTIC54370.2021.9647411&amp;partnerID=40&amp;md5=8f9c6ba59125c283fd9359c814ecb89e"/>
    <hyperlink ref="AA576" r:id="rId573" display="https://www.scopus.com/inward/record.uri?eid=2-s2.0-85129581656&amp;doi=10.1109%2fAIPR52630.2021.9762068&amp;partnerID=40&amp;md5=09869461c01afe50cb0d492073f24e69"/>
    <hyperlink ref="AA577" r:id="rId574" display="https://www.scopus.com/inward/record.uri?eid=2-s2.0-85126391952&amp;doi=10.1109%2fINDICON52576.2021.9691666&amp;partnerID=40&amp;md5=27a221444711e26312ed7e787f3c0d76"/>
    <hyperlink ref="AA578" r:id="rId575" display="https://www.scopus.com/inward/record.uri?eid=2-s2.0-85107524721&amp;doi=10.1109%2fICICCS51141.2021.9432301&amp;partnerID=40&amp;md5=293f2e530393bd266838c61fe0629b7a"/>
    <hyperlink ref="AA579" r:id="rId576" display="https://www.scopus.com/inward/record.uri?eid=2-s2.0-85125336957&amp;doi=10.1109%2fIISEC54230.2021.9672447&amp;partnerID=40&amp;md5=438c6ee7312176530d024b8f37845f6f"/>
    <hyperlink ref="AA580" r:id="rId577" display="https://www.scopus.com/inward/record.uri?eid=2-s2.0-85097593189&amp;doi=10.1007%2f978-981-15-7834-2_45&amp;partnerID=40&amp;md5=ef72f4bfad0cbef0905a1e6fb29f6a59"/>
    <hyperlink ref="AA581" r:id="rId578" display="https://www.scopus.com/inward/record.uri?eid=2-s2.0-85123345485&amp;doi=10.1109%2fCONECCT52877.2021.9622608&amp;partnerID=40&amp;md5=72147c83864ebc90f1548cc946aecadd"/>
    <hyperlink ref="AA582" r:id="rId579" display="https://www.scopus.com/inward/record.uri?eid=2-s2.0-85124431927&amp;doi=10.1007%2f978-3-030-64058-3_78&amp;partnerID=40&amp;md5=fb90253fef06404e1d516651673529f0"/>
    <hyperlink ref="AA583" r:id="rId580" display="https://www.scopus.com/inward/record.uri?eid=2-s2.0-85125013678&amp;doi=10.1109%2fICCIT54785.2021.9689816&amp;partnerID=40&amp;md5=5a25840922c45ffd471b9035d6adef59"/>
    <hyperlink ref="AA584" r:id="rId581" display="https://www.scopus.com/inward/record.uri?eid=2-s2.0-85128392730&amp;doi=10.1109%2fICATME50232.2021.9732705&amp;partnerID=40&amp;md5=d0fa007a72edd911dd51716820466968"/>
    <hyperlink ref="AA585" r:id="rId582" display="https://www.scopus.com/inward/record.uri?eid=2-s2.0-85116419681&amp;doi=10.1007%2f978-3-030-87722-4_14&amp;partnerID=40&amp;md5=6904b3c40dddbfa242379c1521fe8cd3"/>
    <hyperlink ref="AA586" r:id="rId583" display="https://www.scopus.com/inward/record.uri?eid=2-s2.0-85124175820&amp;doi=10.1109%2fI-SMAC52330.2021.9640905&amp;partnerID=40&amp;md5=eba1be8770c7017698a18def2918beb8"/>
    <hyperlink ref="AA587" r:id="rId584" display="https://www.scopus.com/inward/record.uri?eid=2-s2.0-85113871918&amp;doi=10.1109%2fSACI51354.2021.9465636&amp;partnerID=40&amp;md5=0eaafb686fd26f70f78109ffda1de87b"/>
    <hyperlink ref="AA588" r:id="rId585" display="https://www.scopus.com/inward/record.uri?eid=2-s2.0-85122543947&amp;doi=10.1109%2fEMBC46164.2021.9630868&amp;partnerID=40&amp;md5=c2687b12950cf6f936a9fa6be832f4af"/>
    <hyperlink ref="AA589" r:id="rId586" display="https://www.scopus.com/inward/record.uri?eid=2-s2.0-85164027341&amp;partnerID=40&amp;md5=ebcb972ce5b5b6ab23e70d2d053a8c8e"/>
    <hyperlink ref="AA590" r:id="rId587" display="https://www.scopus.com/inward/record.uri?eid=2-s2.0-85122530870&amp;doi=10.1109%2fEMBC46164.2021.9629563&amp;partnerID=40&amp;md5=b1cd578e6a691ef2640d30c1a75606e8"/>
    <hyperlink ref="AA591" r:id="rId588" display="https://www.scopus.com/inward/record.uri?eid=2-s2.0-85098254913&amp;doi=10.1007%2f978-981-33-4673-4_20&amp;partnerID=40&amp;md5=c4c8dc5281c32d2762719db5d51089e6"/>
    <hyperlink ref="AA592" r:id="rId589" display="https://www.scopus.com/inward/record.uri?eid=2-s2.0-85127001821&amp;doi=10.1109%2fQIR54354.2021.9716198&amp;partnerID=40&amp;md5=4a1ecbcf73ed091727fb8ce8d0be6f17"/>
    <hyperlink ref="AA593" r:id="rId590" display="https://www.scopus.com/inward/record.uri?eid=2-s2.0-85126714092&amp;partnerID=40&amp;md5=07790976c0367b46fcb084aa28a45d79"/>
    <hyperlink ref="AA594" r:id="rId591" display="https://www.scopus.com/inward/record.uri?eid=2-s2.0-85129653208&amp;doi=10.1109%2fAIPR52630.2021.9762109&amp;partnerID=40&amp;md5=a4e27bbfc7fca47e855d38ddf0ce0f0e"/>
    <hyperlink ref="AA595" r:id="rId592" display="https://www.scopus.com/inward/record.uri?eid=2-s2.0-85096467069&amp;doi=10.1007%2f978-981-15-4409-5_43&amp;partnerID=40&amp;md5=378632aff189517a985f428f4f21b29d"/>
    <hyperlink ref="AA596" r:id="rId593" display="https://www.scopus.com/inward/record.uri?eid=2-s2.0-85089722189&amp;doi=10.1007%2f978-981-15-5113-0_98&amp;partnerID=40&amp;md5=737446bcbe0d06f9f0fffb77c7df6857"/>
    <hyperlink ref="AA597" r:id="rId594" display="https://www.scopus.com/inward/record.uri?eid=2-s2.0-85133487272&amp;doi=10.1109%2fGC-ElecEng52322.2021.9788131&amp;partnerID=40&amp;md5=6e50ddc4bb8ba9de4afdb4ad7385210a"/>
    <hyperlink ref="AA598" r:id="rId595" display="https://www.scopus.com/inward/record.uri?eid=2-s2.0-85116044566&amp;doi=10.1109%2fHSI52170.2021.9538688&amp;partnerID=40&amp;md5=13e5670eb50567ba0e040b56f349b99e"/>
    <hyperlink ref="AA599" r:id="rId596" display="https://www.scopus.com/inward/record.uri?eid=2-s2.0-85113329314&amp;doi=10.1109%2fINCET51464.2021.9456172&amp;partnerID=40&amp;md5=19406733c9e7ce5770fccdcbe77fa181"/>
    <hyperlink ref="AA600" r:id="rId597" display="https://www.scopus.com/inward/record.uri?eid=2-s2.0-85113828603&amp;doi=10.1109%2fICICS52457.2021.9464619&amp;partnerID=40&amp;md5=d30b65e2442e86b3487276be46054488"/>
    <hyperlink ref="AA602" r:id="rId598" display="https://www.scopus.com/inward/record.uri?eid=2-s2.0-85105930264&amp;doi=10.1007%2f978-981-33-4501-0_73&amp;partnerID=40&amp;md5=ae882a82a2f41af2a29550ab77d111e3"/>
    <hyperlink ref="AA603" r:id="rId599" display="https://www.scopus.com/inward/record.uri?eid=2-s2.0-85113583182&amp;doi=10.1007%2f978-3-030-82269-9_1&amp;partnerID=40&amp;md5=c15d61c9f4640ba73e78ff7a883c9348"/>
    <hyperlink ref="AA604" r:id="rId600" display="https://www.scopus.com/inward/record.uri?eid=2-s2.0-85104595218&amp;doi=10.1109%2fESCI50559.2021.9396850&amp;partnerID=40&amp;md5=f3a903585dff8602e86843b5c6f21435"/>
    <hyperlink ref="AA605" r:id="rId601" display="https://www.scopus.com/inward/record.uri?eid=2-s2.0-85129858458&amp;doi=10.1109%2fIGARSS47720.2021.9554704&amp;partnerID=40&amp;md5=89205d3b6639adb403147779fbbf4c73"/>
    <hyperlink ref="AA606" r:id="rId602" display="https://www.scopus.com/inward/record.uri?eid=2-s2.0-85123680199&amp;doi=10.1109%2fICIC54025.2021.9632998&amp;partnerID=40&amp;md5=cfaa2b95913116517a7ecc90e1476f7d"/>
    <hyperlink ref="AA607" r:id="rId603" display="https://www.scopus.com/inward/record.uri?eid=2-s2.0-85087005403&amp;doi=10.1007%2f978-981-15-3383-9_17&amp;partnerID=40&amp;md5=8b0d2905601b7853bdcb8e6bf94fd39e"/>
    <hyperlink ref="AA608" r:id="rId604" display="https://www.scopus.com/inward/record.uri?eid=2-s2.0-85126914274&amp;doi=10.1109%2fICAC3N53548.2021.9725557&amp;partnerID=40&amp;md5=b76861af18a5160820fe5507ef426120"/>
    <hyperlink ref="AA609" r:id="rId605" display="https://www.scopus.com/inward/record.uri?eid=2-s2.0-85124423571&amp;doi=10.1109%2fICVEE54186.2021.9649688&amp;partnerID=40&amp;md5=de5af2d96ba81a95163dd14db2859848"/>
    <hyperlink ref="AA610" r:id="rId606" display="https://www.scopus.com/inward/record.uri?eid=2-s2.0-85126433001&amp;doi=10.1109%2fICCICA52458.2021.9697307&amp;partnerID=40&amp;md5=de46065b8d08b5463c9c63c2d4728a5c"/>
    <hyperlink ref="AA611" r:id="rId607" display="https://www.scopus.com/inward/record.uri?eid=2-s2.0-85126649532&amp;doi=10.1109%2fICSIPA52582.2021.9576814&amp;partnerID=40&amp;md5=f5474c10513d8742bd253a4644b1e82d"/>
    <hyperlink ref="AA612" r:id="rId608" display="https://www.scopus.com/inward/record.uri?eid=2-s2.0-85122022697&amp;doi=10.1088%2f1742-6596%2f2107%2f1%2f012031&amp;partnerID=40&amp;md5=b9b5040c806a162bf3075b6ef4b4644b"/>
    <hyperlink ref="AA613" r:id="rId609" display="https://www.scopus.com/inward/record.uri?eid=2-s2.0-85101567510&amp;doi=10.1007%2f978-981-15-9689-6_78&amp;partnerID=40&amp;md5=5cf1a0ce5d75e74039228a6b7329a682"/>
    <hyperlink ref="AA614" r:id="rId610" display="https://www.scopus.com/inward/record.uri?eid=2-s2.0-85098218236&amp;doi=10.1007%2f978-981-15-8354-4_17&amp;partnerID=40&amp;md5=f2538fd38ab2643f3277f094f4f4f2c0"/>
    <hyperlink ref="AA615" r:id="rId611" display="https://www.scopus.com/inward/record.uri?eid=2-s2.0-85125017771&amp;doi=10.1109%2fICAC54203.2021.9671097&amp;partnerID=40&amp;md5=0a8fcb0ee425b12cf4a83dd8cd8f8d9f"/>
    <hyperlink ref="AA616" r:id="rId612" display="https://www.scopus.com/inward/record.uri?eid=2-s2.0-85126767443&amp;doi=10.1109%2fICET54505.2021.9689785&amp;partnerID=40&amp;md5=b77661919b9b3eb5d3e6800b1c5d80e3"/>
    <hyperlink ref="AA617" r:id="rId613" display="https://www.scopus.com/inward/record.uri?eid=2-s2.0-85109051144&amp;doi=10.1088%2f1742-6596%2f1898%2f1%2f012027&amp;partnerID=40&amp;md5=65c962c305812fd8c4f15ce40ee3a081"/>
    <hyperlink ref="AA618" r:id="rId614" display="https://www.scopus.com/inward/record.uri?eid=2-s2.0-85113260199&amp;doi=10.1007%2f978-981-16-1244-2_36&amp;partnerID=40&amp;md5=131bfffa50e2d4ad78c6e1c06bfa3130"/>
    <hyperlink ref="AA619" r:id="rId615" display="https://www.scopus.com/inward/record.uri?eid=2-s2.0-85115077479&amp;doi=10.1109%2feSmarTA52612.2021.9515718&amp;partnerID=40&amp;md5=342f059635e737f862a64beaf179ec6a"/>
    <hyperlink ref="AA620" r:id="rId616" display="https://www.scopus.com/inward/record.uri?eid=2-s2.0-85112686056&amp;doi=10.1007%2f978-981-16-1502-3_40&amp;partnerID=40&amp;md5=cb2e23cbe594c133a1ead19bf1540def"/>
    <hyperlink ref="AA621" r:id="rId617" display="https://www.scopus.com/inward/record.uri?eid=2-s2.0-85102771513&amp;doi=10.1007%2f978-3-030-69143-1_4&amp;partnerID=40&amp;md5=440482e954397d28125a2d41f7c9c20b"/>
    <hyperlink ref="AA622" r:id="rId618" display="https://www.scopus.com/inward/record.uri?eid=2-s2.0-85106045467&amp;doi=10.1109%2fICCMC51019.2021.9418228&amp;partnerID=40&amp;md5=53abdaf30f200fdfc486aec54a5c0b21"/>
    <hyperlink ref="AA623" r:id="rId619" display="https://www.scopus.com/inward/record.uri?eid=2-s2.0-85105432948&amp;doi=10.1109%2fICAIIC51459.2021.9415183&amp;partnerID=40&amp;md5=b27746a00e9d0b481a581ff6fec197a3"/>
    <hyperlink ref="AA624" r:id="rId620" display="https://www.scopus.com/inward/record.uri?eid=2-s2.0-85108842965&amp;doi=10.1117%2f12.2583919&amp;partnerID=40&amp;md5=3580b1f05bc575a04da976b0aab49d13"/>
    <hyperlink ref="AA625" r:id="rId621" display="https://www.scopus.com/inward/record.uri?eid=2-s2.0-85125301332&amp;doi=10.1109%2fBigData52589.2021.9671853&amp;partnerID=40&amp;md5=058eb6b28a829fe46048ad7693cc06d9"/>
    <hyperlink ref="AA626" r:id="rId622" display="https://www.scopus.com/inward/record.uri?eid=2-s2.0-85128507739&amp;doi=10.1145%2f3498851.3498972&amp;partnerID=40&amp;md5=996818fa5eeb29ca6767f0ae69c299d8"/>
    <hyperlink ref="AA627" r:id="rId623" display="https://www.scopus.com/inward/record.uri?eid=2-s2.0-85124078710&amp;doi=10.1109%2fICCTEIE54047.2021.9650646&amp;partnerID=40&amp;md5=6487460f373e277b42f5fa124a4f5f57"/>
    <hyperlink ref="AA628" r:id="rId624" display="https://www.scopus.com/inward/record.uri?eid=2-s2.0-85123839702&amp;doi=10.1109%2fCLEI53233.2021.9640130&amp;partnerID=40&amp;md5=018d4a58f3ba634f160d4a62f37906b3"/>
    <hyperlink ref="AA629" r:id="rId625" display="https://www.scopus.com/inward/record.uri?eid=2-s2.0-85103460089&amp;doi=10.1109%2fCCWC51732.2021.9376061&amp;partnerID=40&amp;md5=0adec42253db44c0cca52873cd395934"/>
    <hyperlink ref="AA630" r:id="rId626" display="https://www.scopus.com/inward/record.uri?eid=2-s2.0-85079823747&amp;doi=10.1097%2fMD.0000000000019218&amp;partnerID=40&amp;md5=6fb875b8bebaa04ee3e7d975d08f6f9b"/>
    <hyperlink ref="AA631" r:id="rId627" display="https://www.scopus.com/inward/record.uri?eid=2-s2.0-85169582508&amp;doi=10.3390%2fai1030027&amp;partnerID=40&amp;md5=eb17875596618f25138323128866394d"/>
    <hyperlink ref="AA632" r:id="rId628" display="https://www.scopus.com/inward/record.uri?eid=2-s2.0-85085006143&amp;partnerID=40&amp;md5=01158b0de1eb4045e56d4027b1c95cb4"/>
    <hyperlink ref="AA633" r:id="rId629" display="https://www.scopus.com/inward/record.uri?eid=2-s2.0-85084855667&amp;doi=10.1007%2fs13721-020-00239-6&amp;partnerID=40&amp;md5=0099c901d007bb451c4681cf22dbaf97"/>
    <hyperlink ref="AA634" r:id="rId630" display="https://www.scopus.com/inward/record.uri?eid=2-s2.0-85118309853&amp;doi=10.1007%2f978-981-15-8097-0_10&amp;partnerID=40&amp;md5=e9b6c6e30689b15fffbd5888e0e96a96"/>
    <hyperlink ref="AA635" r:id="rId631" display="https://www.scopus.com/inward/record.uri?eid=2-s2.0-85063472785&amp;doi=10.1080%2f17538157.2019.1582056&amp;partnerID=40&amp;md5=8e2e9fa99c3518870672d0c7c5e74366"/>
    <hyperlink ref="AA636" r:id="rId632" display="https://www.scopus.com/inward/record.uri?eid=2-s2.0-85082324221&amp;partnerID=40&amp;md5=ac50abcb5ed5e60c1f5be9ff86554a31"/>
    <hyperlink ref="AA637" r:id="rId633" display="https://www.scopus.com/inward/record.uri?eid=2-s2.0-85101343029&amp;partnerID=40&amp;md5=df9fdbabf56aee388e69a577007825ab"/>
    <hyperlink ref="AA638" r:id="rId634" display="https://www.scopus.com/inward/record.uri?eid=2-s2.0-85091884645&amp;doi=10.1504%2fIJIIDS.2020.109470&amp;partnerID=40&amp;md5=f4b6d94e0f817ab92890fe8a0acfa951"/>
    <hyperlink ref="AA639" r:id="rId635" display="https://www.scopus.com/inward/record.uri?eid=2-s2.0-85077866061&amp;doi=10.3390%2fijerph17020453&amp;partnerID=40&amp;md5=cc55eb4f66c249b8642041dcdfed088f"/>
    <hyperlink ref="AA640" r:id="rId636" display="https://www.scopus.com/inward/record.uri?eid=2-s2.0-85081273284&amp;doi=10.14569%2fijacsa.2020.0110235&amp;partnerID=40&amp;md5=a8956f3a80337456309a03abe453b39b"/>
    <hyperlink ref="AA641" r:id="rId637" display="https://www.scopus.com/inward/record.uri?eid=2-s2.0-85097480012&amp;doi=10.18280%2fria.340506&amp;partnerID=40&amp;md5=c64179708f856555c6812c2668ad2813"/>
    <hyperlink ref="AA642" r:id="rId638" display="https://www.scopus.com/inward/record.uri?eid=2-s2.0-85089163705&amp;doi=10.18280%2fisi.250306&amp;partnerID=40&amp;md5=7b1300fde04745ac6128de44cce74613"/>
    <hyperlink ref="AA643" r:id="rId639" display="https://www.scopus.com/inward/record.uri?eid=2-s2.0-85085627372&amp;doi=10.11591%2feei.v9i4.2390&amp;partnerID=40&amp;md5=adbd7d37b959d59c5b92595990f804b5"/>
    <hyperlink ref="AA644" r:id="rId640" display="https://www.scopus.com/inward/record.uri?eid=2-s2.0-85087785574&amp;doi=10.1016%2fj.patrec.2020.07.002&amp;partnerID=40&amp;md5=2fbb441a068c198da61f5f206f70e72d"/>
    <hyperlink ref="AA645" r:id="rId641" display="https://www.scopus.com/inward/record.uri?eid=2-s2.0-85084027252&amp;doi=10.1128%2fJCM.01879-19&amp;partnerID=40&amp;md5=2032fb8edd9e0588d718146448024084"/>
    <hyperlink ref="AA646" r:id="rId642" display="https://www.scopus.com/inward/record.uri?eid=2-s2.0-85074781347&amp;doi=10.1007%2fs13198-019-00863-0&amp;partnerID=40&amp;md5=43a6d3c556cc545fbd936e512ce3c3ec"/>
    <hyperlink ref="AA647" r:id="rId643" display="https://www.scopus.com/inward/record.uri?eid=2-s2.0-85086906038&amp;doi=10.3390%2fijerph17124509&amp;partnerID=40&amp;md5=7704bf089487d9899d1896dcdcc33db3"/>
    <hyperlink ref="AA648" r:id="rId644" display="https://www.scopus.com/inward/record.uri?eid=2-s2.0-85086360538&amp;doi=10.4103%2fijmr.ijmr_324_18&amp;partnerID=40&amp;md5=99651a27a4be22edaffbe5a80a742a84"/>
    <hyperlink ref="AA649" r:id="rId645" display="https://www.scopus.com/inward/record.uri?eid=2-s2.0-85082147290&amp;doi=10.1371%2fjournal.pntd.0008147&amp;partnerID=40&amp;md5=57308f06cf75350037a008c0fd468fcb"/>
    <hyperlink ref="AA650" r:id="rId646" display="https://www.scopus.com/inward/record.uri?eid=2-s2.0-85081924166&amp;doi=10.1186%2fs12879-020-4902-6&amp;partnerID=40&amp;md5=ab3841b8305b6d5415f8734ee9cfd034"/>
    <hyperlink ref="AA651" r:id="rId647" display="https://www.scopus.com/inward/record.uri?eid=2-s2.0-85089143664&amp;doi=10.1002%2fbies.202000011&amp;partnerID=40&amp;md5=2705c05f7c013b25ff92b396318f43a6"/>
    <hyperlink ref="AA652" r:id="rId648" display="https://www.scopus.com/inward/record.uri?eid=2-s2.0-85099555366&amp;doi=10.4018%2f978-1-7998-3095-5.ch010&amp;partnerID=40&amp;md5=785d73b5af43ed59c8d045cfd1e3e040"/>
    <hyperlink ref="AA653" r:id="rId649" display="https://www.scopus.com/inward/record.uri?eid=2-s2.0-85103678833&amp;doi=10.1007%2f978-3-030-33966-1_11&amp;partnerID=40&amp;md5=3e2a160c0117bd8a353b5ed2786e9e86"/>
    <hyperlink ref="AA654" r:id="rId650" display="https://www.scopus.com/inward/record.uri?eid=2-s2.0-85137516592&amp;doi=10.4018%2f978-1-7998-5071-7.ch009&amp;partnerID=40&amp;md5=8a4a9012b075397e13f76a540feaf6ba"/>
    <hyperlink ref="AA655" r:id="rId651" display="https://www.scopus.com/inward/record.uri?eid=2-s2.0-85118764308&amp;doi=10.1016%2fB978-0-12-822314-7.00012-2&amp;partnerID=40&amp;md5=d4519ee39047fbc87eaeba3d524aa81b"/>
    <hyperlink ref="AA656" r:id="rId652" display="https://www.scopus.com/inward/record.uri?eid=2-s2.0-85106201258&amp;doi=10.1109%2fAIPR50011.2020.9425053&amp;partnerID=40&amp;md5=9da840bf662581335a2608b1a38aa8fc"/>
    <hyperlink ref="AA657" r:id="rId653" display="https://www.scopus.com/inward/record.uri?eid=2-s2.0-85082299083&amp;doi=10.1007%2f978-981-15-2475-2_9&amp;partnerID=40&amp;md5=76569995f016a071f4ac8976996e9967"/>
    <hyperlink ref="AA658" r:id="rId654" display="https://www.scopus.com/inward/record.uri?eid=2-s2.0-85098831738&amp;doi=10.1109%2fICHI48887.2020.9374384&amp;partnerID=40&amp;md5=c664e5e046087eb5a99373abddb86635"/>
    <hyperlink ref="AA659" r:id="rId655" display="https://www.scopus.com/inward/record.uri?eid=2-s2.0-85092747756&amp;doi=10.1007%2f978-3-030-59722-1_22&amp;partnerID=40&amp;md5=a57bec779b7721e7e500426eefa3f1a7"/>
    <hyperlink ref="AA660" r:id="rId656" display="https://www.scopus.com/inward/record.uri?eid=2-s2.0-85090160037&amp;doi=10.1109%2fCVPRW50498.2020.00500&amp;partnerID=40&amp;md5=68203bfdd13d566308a1ddb643e12779"/>
    <hyperlink ref="AA661" r:id="rId657" display="https://www.scopus.com/inward/record.uri?eid=2-s2.0-85098784995&amp;doi=10.1109%2fICTAI50040.2020.00096&amp;partnerID=40&amp;md5=90622b40d8993a020af54d71b8d9dd74"/>
    <hyperlink ref="AA662" r:id="rId658" display="https://www.scopus.com/inward/record.uri?eid=2-s2.0-85097947517&amp;doi=10.1145%2f3388142.3388158&amp;partnerID=40&amp;md5=0bd0434e44d19678a7ac69b8311e3afd"/>
    <hyperlink ref="AA663" r:id="rId659" display="https://www.scopus.com/inward/record.uri?eid=2-s2.0-85079087152&amp;doi=10.1007%2f978-3-030-39343-4_37&amp;partnerID=40&amp;md5=15b851cb1ff21a27e99bf972e0b21968"/>
    <hyperlink ref="AA664" r:id="rId660" display="https://www.scopus.com/inward/record.uri?eid=2-s2.0-85089340682&amp;doi=10.1145%2f3378393.3402265&amp;partnerID=40&amp;md5=4b9c5947a1285129edf0953e8b433411"/>
    <hyperlink ref="AA665" r:id="rId661" display="https://www.scopus.com/inward/record.uri?eid=2-s2.0-85091152400&amp;doi=10.1109%2fCBMS49503.2020.00038&amp;partnerID=40&amp;md5=aaba50351bc7bbb69e2f8e82c4934a45"/>
    <hyperlink ref="AA666" r:id="rId662" display="https://www.scopus.com/inward/record.uri?eid=2-s2.0-85098963602&amp;doi=10.1109%2fTENCON50793.2020.9293746&amp;partnerID=40&amp;md5=0f9f8926f8a2933be3bd410c8bb5422e"/>
    <hyperlink ref="AA667" r:id="rId663" display="https://www.scopus.com/inward/record.uri?eid=2-s2.0-85085474477&amp;doi=10.1109%2fSSIAI49293.2020.9094595&amp;partnerID=40&amp;md5=15acb7a7c8a71f75dcda22cd9616ca68"/>
    <hyperlink ref="AA668" r:id="rId664" display="https://www.scopus.com/inward/record.uri?eid=2-s2.0-85087392280&amp;doi=10.1145%2f3399637.3399641&amp;partnerID=40&amp;md5=4db203d6e05bef0d3c7bfe14bee9fc08"/>
    <hyperlink ref="AA669" r:id="rId665" display="https://www.scopus.com/inward/record.uri?eid=2-s2.0-85088583060&amp;doi=10.1007%2f978-981-15-5199-4_15&amp;partnerID=40&amp;md5=ae841412b8b882ccec9d1ff929af2d18"/>
    <hyperlink ref="AA670" r:id="rId666" display="https://www.scopus.com/inward/record.uri?eid=2-s2.0-85096959116&amp;doi=10.1109%2fiCCECE49321.2020.9231235&amp;partnerID=40&amp;md5=6f381a9c64576b9e0fb65b39699d24a8"/>
    <hyperlink ref="AA671" r:id="rId667" display="https://www.scopus.com/inward/record.uri?eid=2-s2.0-85099569717&amp;doi=10.1109%2fINOCON50539.2020.9298425&amp;partnerID=40&amp;md5=02ad2613b10c18cc1a4ec71c4f32f994"/>
    <hyperlink ref="AA672" r:id="rId668" display="https://www.scopus.com/inward/record.uri?eid=2-s2.0-85085498019&amp;doi=10.1117%2f12.2549701&amp;partnerID=40&amp;md5=6aa93e0d0b68218c2a239440018036e4"/>
    <hyperlink ref="AA673" r:id="rId669" display="https://www.scopus.com/inward/record.uri?eid=2-s2.0-85084007645&amp;doi=10.1109%2fConfluence47617.2020.9058048&amp;partnerID=40&amp;md5=3bc57ee3e50a968cbf7b2c16431775d6"/>
    <hyperlink ref="AA674" r:id="rId670" display="https://www.scopus.com/inward/record.uri?eid=2-s2.0-85092026753&amp;doi=10.1109%2fICIRCA48905.2020.9182944&amp;partnerID=40&amp;md5=1f6f4b0cf5596a830c0c227c3a5ec73e"/>
    <hyperlink ref="AA675" r:id="rId671" display="https://www.scopus.com/inward/record.uri?eid=2-s2.0-85082474723&amp;doi=10.1007%2f978-3-030-43364-2_11&amp;partnerID=40&amp;md5=7c3d48866fa0ae50df697ab2cd8404d1"/>
    <hyperlink ref="AA676" r:id="rId672" display="https://www.scopus.com/inward/record.uri?eid=2-s2.0-85106193836&amp;doi=10.1109%2fAIPR50011.2020.9425273&amp;partnerID=40&amp;md5=bf05e3690452749cba8d83d55624999c"/>
    <hyperlink ref="AA677" r:id="rId673" display="https://www.scopus.com/inward/record.uri?eid=2-s2.0-85098963145&amp;doi=10.1109%2fTENCON50793.2020.9293753&amp;partnerID=40&amp;md5=d70a361644d8e808b5037a5d81347212"/>
    <hyperlink ref="AA678" r:id="rId674" display="https://www.scopus.com/inward/record.uri?eid=2-s2.0-85102047453&amp;doi=10.1109%2fR10-HTC49770.2020.9357035&amp;partnerID=40&amp;md5=648a9c0fa5c1fae56a5398fe7502fe40"/>
    <hyperlink ref="AA679" r:id="rId675" display="https://www.scopus.com/inward/record.uri?eid=2-s2.0-85081138708&amp;doi=10.1117%2f12.2542277&amp;partnerID=40&amp;md5=d8e54e7bc1cde562a1f8203fd3b9534c"/>
    <hyperlink ref="AA680" r:id="rId676" display="https://www.scopus.com/inward/record.uri?eid=2-s2.0-85112643525&amp;doi=10.1109%2fIBIOMED50285.2020.9487603&amp;partnerID=40&amp;md5=01acc30c2881af6e793b3feaf8909f81"/>
    <hyperlink ref="AA681" r:id="rId677" display="https://www.scopus.com/inward/record.uri?eid=2-s2.0-85092630966&amp;doi=10.1007%2f978-3-030-58817-5_32&amp;partnerID=40&amp;md5=06c7625f539ae0387234e47741909abc"/>
    <hyperlink ref="AA682" r:id="rId678" display="https://www.scopus.com/inward/record.uri?eid=2-s2.0-85129488169&amp;doi=10.1109%2fISFEE51261.2020.9756173&amp;partnerID=40&amp;md5=e343470f6009ddea9f3fb160365a551e"/>
    <hyperlink ref="AA683" r:id="rId679" display="https://www.scopus.com/inward/record.uri?eid=2-s2.0-85112590469&amp;doi=10.1109%2fIBIOMED50285.2020.9487632&amp;partnerID=40&amp;md5=1bc096f73eb0eccb28af4d109d03e836"/>
    <hyperlink ref="AA684" r:id="rId680" display="https://www.scopus.com/inward/record.uri?eid=2-s2.0-85090578965&amp;doi=10.1109%2fMWSCAS48704.2020.9184535&amp;partnerID=40&amp;md5=616df25b635e5610820a01d42a6f5f17"/>
    <hyperlink ref="AA685" r:id="rId681" display="https://www.scopus.com/inward/record.uri?eid=2-s2.0-85094324426&amp;partnerID=40&amp;md5=02a5d8d14cf0fcc41d9791808804f412"/>
    <hyperlink ref="AA686" r:id="rId682" display="https://www.scopus.com/inward/record.uri?eid=2-s2.0-85096491877&amp;doi=10.1007%2f978-3-030-62015-8_4&amp;partnerID=40&amp;md5=9b2db071119126ab363cd2abc5db8887"/>
    <hyperlink ref="AA687" r:id="rId683" display="https://www.scopus.com/inward/record.uri?eid=2-s2.0-85103685348&amp;doi=10.1109%2fUPCON50219.2020.9376417&amp;partnerID=40&amp;md5=a2127a7db0aaa143257351fb2880a1c2"/>
    <hyperlink ref="AA688" r:id="rId684" display="https://www.scopus.com/inward/record.uri?eid=2-s2.0-85089960273&amp;doi=10.1109%2fICOEI48184.2020.9143023&amp;partnerID=40&amp;md5=49a55f15ff1ab8c84d4a95aafdd85a84"/>
    <hyperlink ref="AA689" r:id="rId685" display="https://www.scopus.com/inward/record.uri?eid=2-s2.0-85087437903&amp;doi=10.1109%2fICICCS48265.2020.9121073&amp;partnerID=40&amp;md5=4e14ac39e2a689c74558d1ce29a9eff3"/>
    <hyperlink ref="AA690" r:id="rId686" display="https://www.scopus.com/inward/record.uri?eid=2-s2.0-85080864592&amp;doi=10.1007%2f978-3-030-36664-3_31&amp;partnerID=40&amp;md5=7c552b8cb7f154904126344d8c2d1bf1"/>
    <hyperlink ref="AA691" r:id="rId687" display="https://www.scopus.com/inward/record.uri?eid=2-s2.0-85086360117&amp;doi=10.1088%2f1742-6596%2f1494%2f1%2f012002&amp;partnerID=40&amp;md5=5789c0aae4d966b6edc96041b5bc343d"/>
    <hyperlink ref="AA692" r:id="rId688" display="https://www.scopus.com/inward/record.uri?eid=2-s2.0-85091039639&amp;doi=10.1109%2fEMBC44109.2020.9176003&amp;partnerID=40&amp;md5=7bbcdc2432c5796ee2cd04b7fff13b98"/>
    <hyperlink ref="AA693" r:id="rId689" display="https://www.scopus.com/inward/record.uri?eid=2-s2.0-85076849192&amp;doi=10.1007%2f978-981-15-0184-5_24&amp;partnerID=40&amp;md5=a9d863bba729c302ac8a38e9a1ea92c1"/>
    <hyperlink ref="AA694" r:id="rId690" display="https://www.scopus.com/inward/record.uri?eid=2-s2.0-85096757342&amp;doi=10.1109%2fIES50839.2020.9231728&amp;partnerID=40&amp;md5=d04de86831b8183dbef2891ada6ac6de"/>
    <hyperlink ref="AA695" r:id="rId691" display="https://www.scopus.com/inward/record.uri?eid=2-s2.0-85098201544&amp;doi=10.1007%2f978-3-030-64556-4_29&amp;partnerID=40&amp;md5=e7fa6c6592c96eb8291717bf3ef4097b"/>
    <hyperlink ref="AA696" r:id="rId692" display="https://www.scopus.com/inward/record.uri?eid=2-s2.0-85091968395&amp;doi=10.1109%2fCyberSecurity49315.2020.9138880&amp;partnerID=40&amp;md5=e2ee7b99c0a2991dab378130a59b4fae"/>
    <hyperlink ref="AA697" r:id="rId693" display="https://www.scopus.com/inward/record.uri?eid=2-s2.0-85087765306&amp;doi=10.1088%2f1742-6596%2f1566%2f1%2f012019&amp;partnerID=40&amp;md5=b31ae4ffaa430766f4a0caae7c910510"/>
    <hyperlink ref="AA698" r:id="rId694" display="https://www.scopus.com/inward/record.uri?eid=2-s2.0-85091709223&amp;doi=10.1109%2fISITIA49792.2020.9163708&amp;partnerID=40&amp;md5=ba7570c151e99dd5d964bd86226b0c8d"/>
    <hyperlink ref="AA699" r:id="rId695" display="https://www.scopus.com/inward/record.uri?eid=2-s2.0-85077782766&amp;doi=10.1007%2f978-3-030-33582-3_32&amp;partnerID=40&amp;md5=30e073e61bda576ba59caf899d4885df"/>
    <hyperlink ref="AA700" r:id="rId696" display="https://www.scopus.com/inward/record.uri?eid=2-s2.0-85096297786&amp;doi=10.1145%2f3418688.3418700&amp;partnerID=40&amp;md5=2cdf72a94484ddbe80cb33852c397e65"/>
    <hyperlink ref="AA701" r:id="rId697" display="https://www.scopus.com/inward/record.uri?eid=2-s2.0-85078448177&amp;doi=10.1007%2f978-981-15-1097-7_64&amp;partnerID=40&amp;md5=f4456affeda948f8ea03747b4e1d8992"/>
    <hyperlink ref="AA702" r:id="rId698" display="https://www.scopus.com/inward/record.uri?eid=2-s2.0-85096413077&amp;doi=10.1109%2fTENSYMP50017.2020.9230832&amp;partnerID=40&amp;md5=0c8fcb4f064496f6edde3c542c321d17"/>
    <hyperlink ref="AA703" r:id="rId699" display="https://www.scopus.com/inward/record.uri?eid=2-s2.0-85089777173&amp;doi=10.1109%2fICCSEA49143.2020.9132879&amp;partnerID=40&amp;md5=1c988341c5963aee55ec81dbb3279768"/>
    <hyperlink ref="AA704" r:id="rId700" display="https://www.scopus.com/inward/record.uri?eid=2-s2.0-85095983663&amp;doi=10.1109%2fGHTC46280.2020.9342871&amp;partnerID=40&amp;md5=b2a1167999b5014c4323171458517269"/>
    <hyperlink ref="AA705" r:id="rId701" display="https://www.scopus.com/inward/record.uri?eid=2-s2.0-85085515310&amp;doi=10.1007%2f978-981-15-1420-3_6&amp;partnerID=40&amp;md5=db6cac76b114912856101fe4cf16b43e"/>
    <hyperlink ref="AA706" r:id="rId702" display="https://www.scopus.com/inward/record.uri?eid=2-s2.0-85093120418&amp;doi=10.1007%2f978-3-030-60365-6_18&amp;partnerID=40&amp;md5=70fdd2f807d8970a910e4f3f3a74f291"/>
    <hyperlink ref="AA707" r:id="rId703" display="https://www.scopus.com/inward/record.uri?eid=2-s2.0-85083080980&amp;doi=10.1109%2fCCWC47524.2020.9031201&amp;partnerID=40&amp;md5=b4ec11143b5c390d54b58c3005025c91"/>
    <hyperlink ref="AA708" r:id="rId704" display="https://www.scopus.com/inward/record.uri?eid=2-s2.0-85088749501&amp;doi=10.1007%2f978-3-030-50334-5_4&amp;partnerID=40&amp;md5=148e3c6a2b5a8b08ce89bbea3b044259"/>
    <hyperlink ref="AA709" r:id="rId705" display="https://www.scopus.com/inward/record.uri?eid=2-s2.0-85099481885&amp;doi=10.1109%2fICSTCEE49637.2020.9277286&amp;partnerID=40&amp;md5=922d3414d401b8e17c12927466371443"/>
    <hyperlink ref="AA710" r:id="rId706" display="https://www.scopus.com/inward/record.uri?eid=2-s2.0-85076065345&amp;doi=10.5935%2fabc.20190155&amp;partnerID=40&amp;md5=6238f88706d0517a841e5097711356dc"/>
    <hyperlink ref="AA711" r:id="rId707" display="https://www.scopus.com/inward/record.uri?eid=2-s2.0-85071222952&amp;doi=10.30534%2fijatcse%2f2019%2f94832019&amp;partnerID=40&amp;md5=ca5eacd7272cdc631cc222a761f3ac08"/>
    <hyperlink ref="AA712" r:id="rId708" display="https://www.scopus.com/inward/record.uri?eid=2-s2.0-85071770137&amp;doi=10.1186%2fs12916-019-1389-3&amp;partnerID=40&amp;md5=0529f7f52f932e450337770e90d40c76"/>
    <hyperlink ref="AA713" r:id="rId709" display="https://www.scopus.com/inward/record.uri?eid=2-s2.0-85141105729&amp;doi=10.21833%2fijaas.2019.10.011&amp;partnerID=40&amp;md5=56d933190e0b6df8b5e3cc400a41cef8"/>
    <hyperlink ref="AA714" r:id="rId710" display="https://www.scopus.com/inward/record.uri?eid=2-s2.0-85074814452&amp;doi=10.22667%2fJOWUA.2019.06.30.037&amp;partnerID=40&amp;md5=3c342b1ff1378e5351b5c9200307c0b8"/>
    <hyperlink ref="AA715" r:id="rId711" display="https://www.scopus.com/inward/record.uri?eid=2-s2.0-85043527530&amp;doi=10.1016%2fj.cegh.2018.03.001&amp;partnerID=40&amp;md5=af3898fda258b794a67ffdead03739b6"/>
    <hyperlink ref="AA716" r:id="rId712" display="https://www.scopus.com/inward/record.uri?eid=2-s2.0-85067979725&amp;doi=10.5958%2f0976-5506.2019.01209.9&amp;partnerID=40&amp;md5=fd87549da71d66cc0551d17d8699eb3b"/>
    <hyperlink ref="AA717" r:id="rId713" display="https://www.scopus.com/inward/record.uri?eid=2-s2.0-85073184126&amp;doi=10.1093%2fjamia%2focz112&amp;partnerID=40&amp;md5=ba9167ee14ce4b2603974ec7d03b9126"/>
    <hyperlink ref="AA718" r:id="rId714" display="https://www.scopus.com/inward/record.uri?eid=2-s2.0-85060099986&amp;doi=10.1016%2fj.vetpar.2018.12.018&amp;partnerID=40&amp;md5=393a4875d58f1764c2c48c3eef880809"/>
    <hyperlink ref="AA719" r:id="rId715" display="https://www.scopus.com/inward/record.uri?eid=2-s2.0-85071372299&amp;doi=10.15252%2femmm.201910431&amp;partnerID=40&amp;md5=5d348731ac93f656edb7e39a3e3adfe6"/>
    <hyperlink ref="AA720" r:id="rId716" display="https://www.scopus.com/inward/record.uri?eid=2-s2.0-85058407994&amp;doi=10.1016%2fj.ejmech.2018.11.062&amp;partnerID=40&amp;md5=408341be36495f2627a8943e87c0f495"/>
    <hyperlink ref="AA721" r:id="rId717" display="https://www.scopus.com/inward/record.uri?eid=2-s2.0-85074958098&amp;doi=10.4081%2fgh.2019.786&amp;partnerID=40&amp;md5=922adcfae978066d23723b0aaacfacd6"/>
    <hyperlink ref="AA722" r:id="rId718" display="https://www.scopus.com/inward/record.uri?eid=2-s2.0-85059800143&amp;doi=10.1016%2fj.actatropica.2019.01.004&amp;partnerID=40&amp;md5=0b75313af2356cd0e0fccd5c14d813fc"/>
    <hyperlink ref="AA723" r:id="rId719" display="https://www.scopus.com/inward/record.uri?eid=2-s2.0-85073355538&amp;doi=10.35940%2fijitee.I1131.0789S19&amp;partnerID=40&amp;md5=95965269c6413c54bf91c95711f4df76"/>
    <hyperlink ref="AA724" r:id="rId720" display="https://www.scopus.com/inward/record.uri?eid=2-s2.0-85075476143&amp;partnerID=40&amp;md5=3af1047aac55883fff13691f62de58a6"/>
    <hyperlink ref="AA725" r:id="rId721" display="https://www.scopus.com/inward/record.uri?eid=2-s2.0-85172405285&amp;doi=10.4314%2fijbcs.v13i3.1&amp;partnerID=40&amp;md5=58dc1f4f767bc6d0d628cdeaa00832a5"/>
    <hyperlink ref="AA726" r:id="rId722" display="https://www.scopus.com/inward/record.uri?eid=2-s2.0-85076097119&amp;doi=10.1364%2fBOE.10.006351&amp;partnerID=40&amp;md5=5958bb89663f76f0f4ea887815af4263"/>
    <hyperlink ref="AA727" r:id="rId723" display="https://www.scopus.com/inward/record.uri?eid=2-s2.0-85072143238&amp;doi=10.1371%2fjournal.pone.0222382&amp;partnerID=40&amp;md5=d5fe99dab5c479b3c5cdc03fb8e6648f"/>
    <hyperlink ref="AA728" r:id="rId724" display="https://www.scopus.com/inward/record.uri?eid=2-s2.0-85077159756&amp;doi=10.31449%2finf.v43i1.1548&amp;partnerID=40&amp;md5=485b21e37d28ffa231281c63cc6941b6"/>
    <hyperlink ref="AA729" r:id="rId725" display="https://www.scopus.com/inward/record.uri?eid=2-s2.0-85072218798&amp;doi=10.1186%2fs13071-019-3682-6&amp;partnerID=40&amp;md5=848df2f29f6c9793ebe9819b443263b1"/>
    <hyperlink ref="AA730" r:id="rId726" display="https://www.scopus.com/inward/record.uri?eid=2-s2.0-85073039729&amp;doi=10.5958%2f0976-5506.2019.00898.2&amp;partnerID=40&amp;md5=75f9ec8ef05eeb7609806a80fd967fdb"/>
    <hyperlink ref="AA731" r:id="rId727" display="https://www.scopus.com/inward/record.uri?eid=2-s2.0-85056329945&amp;doi=10.1111%2fajt.15145&amp;partnerID=40&amp;md5=1256686b034058302dae0dd492d262c1"/>
    <hyperlink ref="AA732" r:id="rId728" display="https://www.scopus.com/inward/record.uri?eid=2-s2.0-85070894598&amp;doi=10.1007%2f978-981-13-2035-4_28&amp;partnerID=40&amp;md5=6fac5ac28102ccd848b287936b8a2924"/>
    <hyperlink ref="AA733" r:id="rId729" display="https://www.scopus.com/inward/record.uri?eid=2-s2.0-85078961171&amp;doi=10.1166%2fjctn.2019.8570&amp;partnerID=40&amp;md5=345f99bf37bffab9c0fa8899b1d547e1"/>
    <hyperlink ref="AA734" r:id="rId730" display="https://www.scopus.com/inward/record.uri?eid=2-s2.0-85075395032&amp;partnerID=40&amp;md5=d3f39d7d26060b49b6990d62210e8218"/>
    <hyperlink ref="AA735" r:id="rId731" display="https://www.scopus.com/inward/record.uri?eid=2-s2.0-85067407983&amp;doi=10.1371%2fjournal.pone.0218024&amp;partnerID=40&amp;md5=7a24d0847b1a5a65e5f4156682ce1139"/>
    <hyperlink ref="AA736" r:id="rId732" display="https://www.scopus.com/inward/record.uri?eid=2-s2.0-85075926985&amp;doi=10.1186%2fs40249-019-0612-y&amp;partnerID=40&amp;md5=619d3a1ba188f6dcfd3b831dccaf9219"/>
    <hyperlink ref="AA737" r:id="rId733" display="https://www.scopus.com/inward/record.uri?eid=2-s2.0-85074959972&amp;doi=10.4081%2fgh.2019.771&amp;partnerID=40&amp;md5=ff46709c0f61e61a5925d9b83c5a2c78"/>
    <hyperlink ref="AA738" r:id="rId734" display="https://www.scopus.com/inward/record.uri?eid=2-s2.0-85076474594&amp;doi=10.1093%2fmilmed%2fusz048&amp;partnerID=40&amp;md5=b93e87b1b56414f0d4fce1279f0c0630"/>
    <hyperlink ref="AA739" r:id="rId735" display="https://www.scopus.com/inward/record.uri?eid=2-s2.0-85068185382&amp;doi=10.1016%2fj.biologicals.2019.06.007&amp;partnerID=40&amp;md5=38c0f7ea4152836c45cebb3615004cc7"/>
    <hyperlink ref="AA740" r:id="rId736" display="https://www.scopus.com/inward/record.uri?eid=2-s2.0-85096614450&amp;doi=10.1016%2fB978-0-12-818004-4.00005-4&amp;partnerID=40&amp;md5=58b6236179c891669a0fedc2a04774fb"/>
    <hyperlink ref="AA741" r:id="rId737" display="https://www.scopus.com/inward/record.uri?eid=2-s2.0-85060255005&amp;doi=10.1007%2f978-3-030-00665-5_5&amp;partnerID=40&amp;md5=3b6b5cd8b364d2aa5b3c00f5095d4e0a"/>
    <hyperlink ref="AA742" r:id="rId738" display="https://www.scopus.com/inward/record.uri?eid=2-s2.0-85068391764&amp;doi=10.1109%2fICEDEG.2019.8734354&amp;partnerID=40&amp;md5=629c5a3e0ae36b65673c6125a25c1f18"/>
    <hyperlink ref="AA743" r:id="rId739" display="https://www.scopus.com/inward/record.uri?eid=2-s2.0-85083095877&amp;doi=10.1109%2fLA-CCI47412.2019.9037029&amp;partnerID=40&amp;md5=efb836f12a3969ba08b7a89659741c65"/>
    <hyperlink ref="AA744" r:id="rId740" display="https://www.scopus.com/inward/record.uri?eid=2-s2.0-85062778682&amp;doi=10.1109%2fIECBES.2018.8626669&amp;partnerID=40&amp;md5=fdddd843baf869ef18509450852c2705"/>
    <hyperlink ref="AA745" r:id="rId741" display="https://www.scopus.com/inward/record.uri?eid=2-s2.0-85070588431&amp;doi=10.1007%2f978-3-030-26630-1_5&amp;partnerID=40&amp;md5=051c54529cd800bc74325d35688b85c7"/>
    <hyperlink ref="AA746" r:id="rId742" display="https://www.scopus.com/inward/record.uri?eid=2-s2.0-85083081417&amp;doi=10.1109%2fICOICE48418.2019.9035166&amp;partnerID=40&amp;md5=f2e92c69150256362307c5697a673020"/>
    <hyperlink ref="AA747" r:id="rId743" display="https://www.scopus.com/inward/record.uri?eid=2-s2.0-85082381765&amp;doi=10.1109%2fTIMES-iCON47539.2019.9024438&amp;partnerID=40&amp;md5=2c28ec411b288f220eb7c9df10a2aaa2"/>
    <hyperlink ref="AA748" r:id="rId744" display="https://www.scopus.com/inward/record.uri?eid=2-s2.0-85065912964&amp;doi=10.1109%2fSAS.2019.8705968&amp;partnerID=40&amp;md5=8f3ca1088ea7ea56f62be665332b7cdd"/>
    <hyperlink ref="AA749" r:id="rId745" display="https://www.scopus.com/inward/record.uri?eid=2-s2.0-85058271601&amp;doi=10.1007%2f978-981-13-2673-8_1&amp;partnerID=40&amp;md5=838d2cea8f4581a13e87b731cf18a760"/>
    <hyperlink ref="AA750" r:id="rId746" display="https://www.scopus.com/inward/record.uri?eid=2-s2.0-85067827432&amp;doi=10.1088%2f1742-6596%2f1175%2f1%2f012065&amp;partnerID=40&amp;md5=c288d48f974675bebee57bab64e3aa13"/>
    <hyperlink ref="AA751" r:id="rId747" display="https://www.scopus.com/inward/record.uri?eid=2-s2.0-85089227969&amp;doi=10.1145%2f3375959.3375970&amp;partnerID=40&amp;md5=77ad44e2a56bca949e62859a31049958"/>
    <hyperlink ref="AA752" r:id="rId748" display="https://www.scopus.com/inward/record.uri?eid=2-s2.0-85084377268&amp;doi=10.1109%2fISAECT47714.2019.9069724&amp;partnerID=40&amp;md5=f798ccb57e4e003249e50bad8e4e12a4"/>
    <hyperlink ref="AA753" r:id="rId749" display="https://www.scopus.com/inward/record.uri?eid=2-s2.0-85087178548&amp;doi=10.3850%2f38WC092019-1883&amp;partnerID=40&amp;md5=231071f67f51fa034be0ecd70984eecf"/>
    <hyperlink ref="AA754" r:id="rId750" display="https://www.scopus.com/inward/record.uri?eid=2-s2.0-85074325339&amp;doi=10.1109%2fICECCT.2019.8869103&amp;partnerID=40&amp;md5=9ba20a76e1b3c50154d0244d834dc0f1"/>
    <hyperlink ref="AA755" r:id="rId751" display="https://www.scopus.com/inward/record.uri?eid=2-s2.0-85076890187&amp;doi=10.1007%2f978-981-15-1925-3_34&amp;partnerID=40&amp;md5=4875e0bff89bbd3a22b1aba266bea645"/>
    <hyperlink ref="AA756" r:id="rId752" display="https://www.scopus.com/inward/record.uri?eid=2-s2.0-85076862463&amp;doi=10.1145%2f3371238.3371273&amp;partnerID=40&amp;md5=6338491d25de69157cd3e11256c72240"/>
    <hyperlink ref="AA757" r:id="rId753" display="https://www.scopus.com/inward/record.uri?eid=2-s2.0-85091624012&amp;partnerID=40&amp;md5=285b3e482fa6f7ddbe739d458c75aab0"/>
    <hyperlink ref="AA758" r:id="rId754" display="https://www.scopus.com/inward/record.uri?eid=2-s2.0-85082240416&amp;doi=10.1109%2fComComAp46287.2019.9018770&amp;partnerID=40&amp;md5=85d246c190e9709470b9cfc3bd8c45a8"/>
    <hyperlink ref="AA759" r:id="rId755" display="https://www.scopus.com/inward/record.uri?eid=2-s2.0-85081543542&amp;doi=10.1109%2fICICT47744.2019.9001959&amp;partnerID=40&amp;md5=04a67d70a9c13cb0ada63d89b0eb3793"/>
    <hyperlink ref="AA760" r:id="rId756" display="https://www.scopus.com/inward/record.uri?eid=2-s2.0-85075230962&amp;doi=10.1007%2f978-981-15-0108-1_3&amp;partnerID=40&amp;md5=43c2cd763f469f74b842923258e5813c"/>
    <hyperlink ref="AA761" r:id="rId757" display="https://www.scopus.com/inward/record.uri?eid=2-s2.0-85079280685&amp;doi=10.1109%2fICCT46177.2019.8969046&amp;partnerID=40&amp;md5=494f6da580fe510a5df7510173e5c2df"/>
    <hyperlink ref="AA762" r:id="rId758" display="https://www.scopus.com/inward/record.uri?eid=2-s2.0-85084075173&amp;doi=10.1109%2fBECITHCON48839.2019.9063179&amp;partnerID=40&amp;md5=46395445bbb6e1b822ed5966ad0c1a9a"/>
    <hyperlink ref="AA763" r:id="rId759" display="https://www.scopus.com/inward/record.uri?eid=2-s2.0-85090214595&amp;doi=10.1109%2fICETAS48360.2019.9117446&amp;partnerID=40&amp;md5=c78ddf2a18f34457079f08fc7c24d443"/>
    <hyperlink ref="AA764" r:id="rId760" display="https://www.scopus.com/inward/record.uri?eid=2-s2.0-85076095921&amp;doi=10.1007%2f978-3-030-31321-0_21&amp;partnerID=40&amp;md5=dbe7a82a2fa5b43f0dc3acf37ca59366"/>
    <hyperlink ref="AA765" r:id="rId761" display="https://www.scopus.com/inward/record.uri?eid=2-s2.0-85078861766&amp;doi=10.1145%2f3341161.3343694&amp;partnerID=40&amp;md5=d183e3f96ecee73548aceca91e43c2d4"/>
    <hyperlink ref="AA766" r:id="rId762" display="https://www.scopus.com/inward/record.uri?eid=2-s2.0-85090825075&amp;doi=10.1109%2fAIPR47015.2019.9174565&amp;partnerID=40&amp;md5=11a5ec25f5174dc82e0a432c0fd4222a"/>
    <hyperlink ref="AA767" r:id="rId763" display="https://www.scopus.com/inward/record.uri?eid=2-s2.0-85076490083&amp;doi=10.1088%2f1742-6596%2f1372%2f1%2f012064&amp;partnerID=40&amp;md5=619a72ddd2804e71f901b2a30aa1b74d"/>
    <hyperlink ref="AA768" r:id="rId764" display="https://www.scopus.com/inward/record.uri?eid=2-s2.0-85088374262&amp;doi=10.1109%2fAFRICON46755.2019.9133937&amp;partnerID=40&amp;md5=3a0675c359f9bd4e0e355cb62f184ad8"/>
    <hyperlink ref="AA769" r:id="rId765" display="https://www.scopus.com/inward/record.uri?eid=2-s2.0-85075683656&amp;doi=10.1007%2f978-3-030-32692-0_9&amp;partnerID=40&amp;md5=ee5d6026458014fe7b99c0c81d046d19"/>
    <hyperlink ref="AA770" r:id="rId766" display="https://www.scopus.com/inward/record.uri?eid=2-s2.0-85076117149&amp;doi=10.1007%2f978-3-030-31332-6_35&amp;partnerID=40&amp;md5=abcb73f9260359b887178ba00a8b47c2"/>
    <hyperlink ref="AA771" r:id="rId767" display="https://www.scopus.com/inward/record.uri?eid=2-s2.0-85078327540&amp;partnerID=40&amp;md5=2d0318e2dd90fd8036d77bf6b4521f4c"/>
    <hyperlink ref="AA772" r:id="rId768" display="https://www.scopus.com/inward/record.uri?eid=2-s2.0-85065556797&amp;doi=10.1109%2fICCSP.2019.8697909&amp;partnerID=40&amp;md5=7c143a259057588c1d76f79d7e848da2"/>
    <hyperlink ref="AA773" r:id="rId769" display="https://www.scopus.com/inward/record.uri?eid=2-s2.0-85064337314&amp;doi=10.1109%2fCITSM.2018.8674364&amp;partnerID=40&amp;md5=65110d78907d0d0390e3680018164bd2"/>
    <hyperlink ref="AA774" r:id="rId770" display="https://www.scopus.com/inward/record.uri?eid=2-s2.0-85072844219&amp;doi=10.1109%2fI2MTC.2019.8826860&amp;partnerID=40&amp;md5=105b7b74b807f05fb29bbee337ae59e2"/>
    <hyperlink ref="AA775" r:id="rId771" display="https://www.scopus.com/inward/record.uri?eid=2-s2.0-85069494889&amp;partnerID=40&amp;md5=9ec4e765439bea90b768f53f239b2993"/>
    <hyperlink ref="AA776" r:id="rId772" display="https://www.scopus.com/inward/record.uri?eid=2-s2.0-85076611670&amp;doi=10.1145%2f3357729.3357738&amp;partnerID=40&amp;md5=30b26a7ad421a4f8d9d812a9193e3014"/>
    <hyperlink ref="AA777" r:id="rId773" display="https://www.scopus.com/inward/record.uri?eid=2-s2.0-85046454010&amp;partnerID=40&amp;md5=6c418e111e6ce87b39d1350f69da9264"/>
    <hyperlink ref="AA778" r:id="rId774" display="https://www.scopus.com/inward/record.uri?eid=2-s2.0-85045136243&amp;doi=10.1186%2fs12936-018-2294-5&amp;partnerID=40&amp;md5=1f4338750c9152c43d64aca6555d79bd"/>
    <hyperlink ref="AA779" r:id="rId775" display="https://www.scopus.com/inward/record.uri?eid=2-s2.0-85047089917&amp;doi=10.1016%2fj.talanta.2018.04.086&amp;partnerID=40&amp;md5=21d12df9a033862df04f5fcf8d8380de"/>
    <hyperlink ref="AA780" r:id="rId776" display="https://www.scopus.com/inward/record.uri?eid=2-s2.0-85050645086&amp;doi=10.1093%2fjn%2fnxx052&amp;partnerID=40&amp;md5=7002361cfbd0ee2e871c3c39721c737e"/>
    <hyperlink ref="AA781" r:id="rId777" display="https://www.scopus.com/inward/record.uri?eid=2-s2.0-85060778665&amp;doi=10.3390%2ftropicalmed3010005&amp;partnerID=40&amp;md5=841409c40b19497da5965585f131ed3d"/>
    <hyperlink ref="AA782" r:id="rId778" display="https://www.scopus.com/inward/record.uri?eid=2-s2.0-85044388649&amp;doi=10.3233%2fIDT-180330&amp;partnerID=40&amp;md5=467e1a1e26e6bf9d4b3a065d4714d78a"/>
    <hyperlink ref="AA783" r:id="rId779" display="https://www.scopus.com/inward/record.uri?eid=2-s2.0-85044268576&amp;doi=10.1097%2fPCC.0000000000001411&amp;partnerID=40&amp;md5=9f4b5498e64a11ec972588444fd7c7ce"/>
    <hyperlink ref="F784" r:id="rId780" display="Background: Trichinellosis is a serious zoonositc parasitosis worldwide. Because its clinical manifestations aren’t specific, the diagnosis of trichinellosis is not easy to be made. Trichinella spiralis muscle larva (ML) excretory–secretory (ES) antigens are the most widely applied diagnostic antigens for human trichinellosis, but the major drawback of the ES antigens for assaying anti-Trichinella antibodies is the false negative in the early Trichinella infection period. The aim of this study was to characterize the T. spiralis putative serine protease (TsSP) and to investigate its potential use for diagnosis of trichinellosis. Methodology/Principal findings: The full-length TsSP sequence was cloned and expressed, and recombinant TsSP (rTsSP) was purified by Ni-NTA-Sefinose Column. On Western blotting analysis the rTsSP was recognized by T. spiralis-infected mouse serum, and the natural TsSP was identified in T. spiralis ML crude and ES antigens by using anti-rTsSP serum. Expression of TsSP was detected at various T. spiralis developmental stages (newborn larvae, muscle larvae, intestinal infective larvae and adult worms). Immunolocalization identified the TsSP principally in cuticles and stichosomes of the nematode. The sensitivity of rTsSP-ELISA and ES-ELISA was 98.11% (52/53) and 88.68% (47/53) respectively (P &gt; 0.05) when the sera from trichinellosis patients were examined. However, while twenty-one serum samples of trichinellosis patients’ sera at 19 days post-infection (dpi) were tested, the sensitivity (95.24%) of rTsSP-ELISA was distinctly higher than 71.43% of ES-ELISA (P &lt; 0.05). The specificity (99.53%) of rTsSP-ELISA was remarkably higher than 91.98% of ES-ELISA (P &lt; 0.01). Only one out of 20 serum samples of cysticercosis patients cross-reacted with the rTsSP. Specific anti-Trichinella IgG in infected mice was first detected by rTsSP-ELISA as soon as 7 dpi and antibody positive rate reached 100% on 10 dpi, whereas the ES-ELISA did not permit detection of 100% of infected mice before 16 dpi. Conclusions: The rTsSP is a potential early diagnostic antigen for human trichinellosis. © 2018 Sun et al. http://creativecommons.org/licenses/by/4.0/"/>
    <hyperlink ref="AA784" r:id="rId781" display="https://www.scopus.com/inward/record.uri?eid=2-s2.0-85047854976&amp;doi=10.1371%2fjournal.pntd.0006485&amp;partnerID=40&amp;md5=556248050e719dd34c2e338eb08a0181"/>
    <hyperlink ref="AA785" r:id="rId782" display="https://www.scopus.com/inward/record.uri?eid=2-s2.0-85078044463&amp;doi=10.1007%2fs13755-018-0047-z&amp;partnerID=40&amp;md5=439e06d085b678b92e4869000a30c824"/>
    <hyperlink ref="AA786" r:id="rId783" display="https://www.scopus.com/inward/record.uri?eid=2-s2.0-85044373255&amp;doi=10.1371%2fjournal.pntd.0006262&amp;partnerID=40&amp;md5=34f69357bbe32a27439e5fc7f2592f4b"/>
    <hyperlink ref="AA787" r:id="rId784" display="https://www.scopus.com/inward/record.uri?eid=2-s2.0-85056124929&amp;doi=10.4066%2fbiomedicalresearch.29-18-970&amp;partnerID=40&amp;md5=c62d318563783f8cef46fcd73bd60a46"/>
    <hyperlink ref="AA788" r:id="rId785" display="https://www.scopus.com/inward/record.uri?eid=2-s2.0-85034114814&amp;doi=10.1002%2fjbio.201700003&amp;partnerID=40&amp;md5=3d1173ed1b3acc1df8d631248d9d84d7"/>
    <hyperlink ref="AA789" r:id="rId786" display="https://www.scopus.com/inward/record.uri?eid=2-s2.0-85080997152&amp;doi=10.5958%2f0974-360X.2018.00805.3&amp;partnerID=40&amp;md5=a9eff0b3c7b6eea42cddd4d95215acce"/>
    <hyperlink ref="AA790" r:id="rId787" display="https://www.scopus.com/inward/record.uri?eid=2-s2.0-85046543189&amp;doi=10.1007%2fs10916-018-0962-1&amp;partnerID=40&amp;md5=85d8b0fdf7ac779ca30e70d0890f7fe6"/>
    <hyperlink ref="AA791" r:id="rId788" display="https://www.scopus.com/inward/record.uri?eid=2-s2.0-85034846787&amp;doi=10.1016%2fj.cmi.2017.10.019&amp;partnerID=40&amp;md5=f280c2980745537b1a53e6cbf26de37c"/>
    <hyperlink ref="AA792" r:id="rId789" display="https://www.scopus.com/inward/record.uri?eid=2-s2.0-85126702785&amp;doi=10.1007%2fs13755-018-0059-8&amp;partnerID=40&amp;md5=5423e8b6b6a0e8535658390b1ad9bf4d"/>
    <hyperlink ref="AA793" r:id="rId790" display="https://www.scopus.com/inward/record.uri?eid=2-s2.0-85015162185&amp;doi=10.1007%2fs00521-017-2937-4&amp;partnerID=40&amp;md5=a00663e3c6bb1fd0cf8a746e2a89f2d5"/>
    <hyperlink ref="AA794" r:id="rId791" display="https://www.scopus.com/inward/record.uri?eid=2-s2.0-85040196971&amp;doi=10.1002%2fjemt.22985&amp;partnerID=40&amp;md5=cd14d567b09d40c1c77982e530e7b8ce"/>
    <hyperlink ref="AA795" r:id="rId792" display="https://www.scopus.com/inward/record.uri?eid=2-s2.0-85044176475&amp;doi=10.1186%2fs12942-018-0128-x&amp;partnerID=40&amp;md5=6a7a78fc9522b66f310e34e6e352f510"/>
    <hyperlink ref="AA796" r:id="rId793" display="https://www.scopus.com/inward/record.uri?eid=2-s2.0-85072067501&amp;doi=10.3390%2ftropicalmed3040105&amp;partnerID=40&amp;md5=e187c656d24cbccfb6036c86123ca25b"/>
    <hyperlink ref="AA797" r:id="rId794" display="https://www.scopus.com/inward/record.uri?eid=2-s2.0-85041721543&amp;doi=10.5958%2f0976-5506.2018.00045.1&amp;partnerID=40&amp;md5=b79ee1797483c00d07e7d29efdd14beb"/>
    <hyperlink ref="AA798" r:id="rId795" display="https://www.scopus.com/inward/record.uri?eid=2-s2.0-85058824984&amp;doi=10.1117%2f1.JMI.5.4.044506&amp;partnerID=40&amp;md5=b8bb061f11f6389f48d9fb3e6f32335d"/>
    <hyperlink ref="AA799" r:id="rId796" display="https://www.scopus.com/inward/record.uri?eid=2-s2.0-85041309278&amp;doi=10.3389%2ffbioe.2017.00084&amp;partnerID=40&amp;md5=3557cee67de4411250d4b235af645269"/>
    <hyperlink ref="AA800" r:id="rId797" display="https://www.scopus.com/inward/record.uri?eid=2-s2.0-85043583439&amp;doi=10.4103%2fsni.sni_297_17&amp;partnerID=40&amp;md5=b46d9ad266f8967ace81b1de445e0d95"/>
    <hyperlink ref="AA801" r:id="rId798" display="https://www.scopus.com/inward/record.uri?eid=2-s2.0-85062721372&amp;doi=10.1186%2fs40488-018-0086-7&amp;partnerID=40&amp;md5=c57d945c4c8c2bbc26df4cd42ed9936a"/>
    <hyperlink ref="AA802" r:id="rId799" display="https://www.scopus.com/inward/record.uri?eid=2-s2.0-85062430199&amp;doi=10.4103%2fJPN.JPN_15_18&amp;partnerID=40&amp;md5=e6b002c826e0c4f751fa88f6be2b6f56"/>
    <hyperlink ref="AA803" r:id="rId800" display="https://www.scopus.com/inward/record.uri?eid=2-s2.0-85053409235&amp;doi=10.1039%2fc8an01374h&amp;partnerID=40&amp;md5=87f1bb36f808b50b5ea22752f1e62281"/>
    <hyperlink ref="AA805" r:id="rId801" display="https://www.scopus.com/inward/record.uri?eid=2-s2.0-85050977874&amp;doi=10.3390%2fijerph15081596&amp;partnerID=40&amp;md5=987799957f8a9b686eef36f9d1b666ad"/>
    <hyperlink ref="AA806" r:id="rId802" display="https://www.scopus.com/inward/record.uri?eid=2-s2.0-85052961566&amp;doi=10.1142%2fS1469026818500128&amp;partnerID=40&amp;md5=7a5a51e2bd68ed4fe4b655d81ddb58d9"/>
    <hyperlink ref="AA807" r:id="rId803" display="https://www.scopus.com/inward/record.uri?eid=2-s2.0-85070318884&amp;doi=10.4314%2fnjpar.v39i2.7&amp;partnerID=40&amp;md5=64e546d2df123242e3a57c22e451896e"/>
    <hyperlink ref="AA808" r:id="rId804" display="https://www.scopus.com/inward/record.uri?eid=2-s2.0-85032941789&amp;doi=10.1007%2fs10554-017-1266-0&amp;partnerID=40&amp;md5=028eee6732a0f038e68b18ec2c38a1d9"/>
    <hyperlink ref="AA809" r:id="rId805" display="https://www.scopus.com/inward/record.uri?eid=2-s2.0-85055665055&amp;doi=10.21037%2fjtd.2018.07.78&amp;partnerID=40&amp;md5=3d9a693408214c6221ed7db78b3ae77a"/>
    <hyperlink ref="AA810" r:id="rId806" display="https://www.scopus.com/inward/record.uri?eid=2-s2.0-85030863640&amp;doi=10.1016%2fj.neunet.2017.09.002&amp;partnerID=40&amp;md5=26c523926082719558e4926d61215bf1"/>
    <hyperlink ref="AA811" r:id="rId807" display="https://www.scopus.com/inward/record.uri?eid=2-s2.0-85045433038&amp;doi=10.4269%2fajtmh.17-0637&amp;partnerID=40&amp;md5=6af1f1f9a0dc50e33bea2a8d4bc275a0"/>
    <hyperlink ref="AA812" r:id="rId808" display="https://www.scopus.com/inward/record.uri?eid=2-s2.0-85043503884&amp;doi=10.4269%2fajtmh.17-0728&amp;partnerID=40&amp;md5=2f82d325295495e9a6e5871005a11fb7"/>
    <hyperlink ref="AA813" r:id="rId809" display="https://www.scopus.com/inward/record.uri?eid=2-s2.0-85051702358&amp;doi=10.1002%2fajpa.23479&amp;partnerID=40&amp;md5=6e64cb319e86a7c3ef360d6f285e662c"/>
    <hyperlink ref="AA814" r:id="rId810" display="https://www.scopus.com/inward/record.uri?eid=2-s2.0-85037563667&amp;doi=10.1016%2fj.artmed.2017.12.002&amp;partnerID=40&amp;md5=90c53c16b63d0a70ffabe1b68dc90ff1"/>
    <hyperlink ref="AA815" r:id="rId811" display="https://www.scopus.com/inward/record.uri?eid=2-s2.0-85045874948&amp;doi=10.4018%2fIJHISI.2018070101&amp;partnerID=40&amp;md5=8400a622c6f83d811b9702efcece3903"/>
    <hyperlink ref="AA816" r:id="rId812" display="https://www.scopus.com/inward/record.uri?eid=2-s2.0-85049657614&amp;doi=10.4269%2fajtmh.18-0135&amp;partnerID=40&amp;md5=1e929a797086637ce54a0e5b6120f13c"/>
    <hyperlink ref="AA817" r:id="rId813" display="https://www.scopus.com/inward/record.uri?eid=2-s2.0-85044538905&amp;doi=10.1016%2fj.jbi.2018.02.014&amp;partnerID=40&amp;md5=6386048f778ba8373a400b28d3b48e3c"/>
    <hyperlink ref="AA818" r:id="rId814" display="https://www.scopus.com/inward/record.uri?eid=2-s2.0-85056256725&amp;doi=10.1371%2fjournal.pone.0206926&amp;partnerID=40&amp;md5=5ad7544a28c93af99b5bcf210cfbf3f3"/>
    <hyperlink ref="AA819" r:id="rId815" display="https://www.scopus.com/inward/record.uri?eid=2-s2.0-85050652206&amp;doi=10.1117%2f1.JMI.5.3.034501&amp;partnerID=40&amp;md5=43ddebb6c05f590b6caaba8c64aefefb"/>
    <hyperlink ref="AA820" r:id="rId816" display="https://www.scopus.com/inward/record.uri?eid=2-s2.0-85042861366&amp;doi=10.1016%2fj.actatropica.2018.02.029&amp;partnerID=40&amp;md5=3696947aa5bffd1355793900c66e8898"/>
    <hyperlink ref="AA821" r:id="rId817" display="https://www.scopus.com/inward/record.uri?eid=2-s2.0-85045153768&amp;doi=10.1007%2f978-981-10-7200-0_35&amp;partnerID=40&amp;md5=bced9e3921baac3899cfdb868ac25e20"/>
    <hyperlink ref="AA822" r:id="rId818" display="https://www.scopus.com/inward/record.uri?eid=2-s2.0-85051169681&amp;partnerID=40&amp;md5=cb54a7ac042ce2691778478194cf2055"/>
    <hyperlink ref="AA823" r:id="rId819" display="https://www.scopus.com/inward/record.uri?eid=2-s2.0-85043586258&amp;doi=10.1007%2f978-3-319-75420-8_45&amp;partnerID=40&amp;md5=67a34456d7eb1d4c67d6102915646134"/>
    <hyperlink ref="AA824" r:id="rId820" display="https://www.scopus.com/inward/record.uri?eid=2-s2.0-85074202925&amp;doi=10.1109%2fISRITI.2018.8864475&amp;partnerID=40&amp;md5=6772130876c28111bfcf66028e8e373f"/>
    <hyperlink ref="AA825" r:id="rId821" display="https://www.scopus.com/inward/record.uri?eid=2-s2.0-85059079021&amp;doi=10.1007%2f978-3-030-05918-7_12&amp;partnerID=40&amp;md5=345a7ae24cb40ab220ab1e43b080e717"/>
    <hyperlink ref="AA826" r:id="rId822" display="https://www.scopus.com/inward/record.uri?eid=2-s2.0-85053557708&amp;doi=10.1109%2fSNPD.2018.8441095&amp;partnerID=40&amp;md5=df3af24d1242d34e082dd65cf4465fc2"/>
    <hyperlink ref="AA827" r:id="rId823" display="https://www.scopus.com/inward/record.uri?eid=2-s2.0-85057089239&amp;doi=10.1007%2f978-3-030-03928-8_15&amp;partnerID=40&amp;md5=eb0deb2a1d840b5ff71ebabd700ffa29"/>
    <hyperlink ref="AA828" r:id="rId824" display="https://www.scopus.com/inward/record.uri?eid=2-s2.0-85070553311&amp;doi=10.1109%2fICACCAF.2018.8776790&amp;partnerID=40&amp;md5=0aa9f9fbdb5133247121444f9e61a4d2"/>
    <hyperlink ref="AA829" r:id="rId825" display="https://www.scopus.com/inward/record.uri?eid=2-s2.0-85064512903&amp;doi=10.1145%2f3293614.3293640&amp;partnerID=40&amp;md5=d568f2b428a7fb73737542c15967d88a"/>
    <hyperlink ref="AA830" r:id="rId826" display="https://www.scopus.com/inward/record.uri?eid=2-s2.0-85057340148&amp;doi=10.3233%2f978-1-61499-927-0-465&amp;partnerID=40&amp;md5=d1ba6ebd060891cc8bc417dd55d2240c"/>
    <hyperlink ref="AA831" r:id="rId827" display="https://www.scopus.com/inward/record.uri?eid=2-s2.0-85048558271&amp;partnerID=40&amp;md5=579b7406ed7ae51b88538af9a4c782ef"/>
    <hyperlink ref="AA832" r:id="rId828" display="https://www.scopus.com/inward/record.uri?eid=2-s2.0-85049879879&amp;doi=10.1007%2f978-3-319-95153-9_3&amp;partnerID=40&amp;md5=f8c9c0363c6e88cd26e2e3a3c57f3ecb"/>
    <hyperlink ref="AA833" r:id="rId829" display="https://www.scopus.com/inward/record.uri?eid=2-s2.0-85060661093&amp;doi=10.1109%2fUBMK.2018.8566549&amp;partnerID=40&amp;md5=6e6091ddd4482385d6ffd5e2cfd967fa"/>
    <hyperlink ref="AA834" r:id="rId830" display="https://www.scopus.com/inward/record.uri?eid=2-s2.0-85060472737&amp;partnerID=40&amp;md5=e2b4cdfc599fed7902667524ba2f51ec"/>
    <hyperlink ref="AA835" r:id="rId831" display="https://www.scopus.com/inward/record.uri?eid=2-s2.0-85051141269&amp;doi=10.1007%2f978-981-10-8228-3_21&amp;partnerID=40&amp;md5=6d4187b08390493779ad514b0193e148"/>
    <hyperlink ref="AA836" r:id="rId832" display="https://www.scopus.com/inward/record.uri?eid=2-s2.0-85018244215&amp;doi=10.1007%2fs10772-017-9413-5&amp;partnerID=40&amp;md5=828b131b45f1680c380e4eb7c2356148"/>
    <hyperlink ref="AA837" r:id="rId833" display="https://www.scopus.com/inward/record.uri?eid=2-s2.0-85029694086&amp;doi=10.1016%2fj.jtbi.2017.09.013&amp;partnerID=40&amp;md5=42f8fba6b589570fe2c56e7800dcf19a"/>
    <hyperlink ref="AA838" r:id="rId834" display="https://www.scopus.com/inward/record.uri?eid=2-s2.0-85024388040&amp;partnerID=40&amp;md5=209e225c0ed1175ba7633b6c40a1d5cb"/>
    <hyperlink ref="AA839" r:id="rId835" display="https://www.scopus.com/inward/record.uri?eid=2-s2.0-85057644700&amp;partnerID=40&amp;md5=b058a412bd18b70bfb7b1c369764086f"/>
    <hyperlink ref="AA840" r:id="rId836" display="https://www.scopus.com/inward/record.uri?eid=2-s2.0-85032616578&amp;doi=10.1039%2fc7ay01645j&amp;partnerID=40&amp;md5=eb82704808c4b100c0086bec8ad48db5"/>
    <hyperlink ref="AA841" r:id="rId837" display="https://www.scopus.com/inward/record.uri?eid=2-s2.0-85032721183&amp;doi=10.1371%2fjournal.pcbi.1005812&amp;partnerID=40&amp;md5=acf0538a444bb97fd04a6fce455961bb"/>
    <hyperlink ref="AA842" r:id="rId838" display="https://www.scopus.com/inward/record.uri?eid=2-s2.0-85013007926&amp;partnerID=40&amp;md5=7319f36432cf63c89fd6ad5c407f9c01"/>
    <hyperlink ref="AA843" r:id="rId839" display="https://www.scopus.com/inward/record.uri?eid=2-s2.0-85016451210&amp;doi=10.1111%2ftmi.12857&amp;partnerID=40&amp;md5=d8ee2e7b71b32a9b06fc1f5a8a4751c3"/>
    <hyperlink ref="AA844" r:id="rId840" display="https://www.scopus.com/inward/record.uri?eid=2-s2.0-85019629828&amp;doi=10.12980%2fapjtd.7.2017D6-397&amp;partnerID=40&amp;md5=65dc993df6bceecd65b3be0aa6d564f3"/>
    <hyperlink ref="AA845" r:id="rId841" display="https://www.scopus.com/inward/record.uri?eid=2-s2.0-85019109204&amp;doi=10.1631%2fjzus.B1600273&amp;partnerID=40&amp;md5=5d8394da076d45e750b394025da1c32e"/>
    <hyperlink ref="AA846" r:id="rId842" display="https://www.scopus.com/inward/record.uri?eid=2-s2.0-85019552754&amp;doi=10.12980%2fapjtd.7.2017D6-461&amp;partnerID=40&amp;md5=4f949dc567b6003e38d96674556b3892"/>
    <hyperlink ref="AA847" r:id="rId843" display="https://www.scopus.com/inward/record.uri?eid=2-s2.0-85018701199&amp;doi=10.5935%2fabc.20170027&amp;partnerID=40&amp;md5=ccbc2af27b44ca7eae2690e0d6187618"/>
    <hyperlink ref="AA848" r:id="rId844" display="https://www.scopus.com/inward/record.uri?eid=2-s2.0-85032356902&amp;doi=10.1016%2fj.nhtm.2017.10.001&amp;partnerID=40&amp;md5=751343cc9d3592346f2cdc39d703c393"/>
    <hyperlink ref="AA849" r:id="rId845" display="https://www.scopus.com/inward/record.uri?eid=2-s2.0-85010928059&amp;doi=10.1111%2ftmi.12813&amp;partnerID=40&amp;md5=d3eef0b2c1ef897ebda7241cf6a19391"/>
    <hyperlink ref="AA850" r:id="rId846" display="https://www.scopus.com/inward/record.uri?eid=2-s2.0-85020873910&amp;doi=10.1021%2facs.analchem.6b04827&amp;partnerID=40&amp;md5=6a0209d086d24c9007448d9327356f9e"/>
    <hyperlink ref="AA851" r:id="rId847" display="https://www.scopus.com/inward/record.uri?eid=2-s2.0-85025075857&amp;doi=10.1021%2facs.jcim.6b00572&amp;partnerID=40&amp;md5=93c566ff2bb99bad4d41b7b81371a415"/>
    <hyperlink ref="AA852" r:id="rId848" display="https://www.scopus.com/inward/record.uri?eid=2-s2.0-85030448488&amp;doi=10.1371%2fjournal.pntd.0005868&amp;partnerID=40&amp;md5=bb4edb253e089baea280b485550a742f"/>
    <hyperlink ref="AA853" r:id="rId849" display="https://www.scopus.com/inward/record.uri?eid=2-s2.0-85041797419&amp;doi=10.2196%2fresprot.6758&amp;partnerID=40&amp;md5=dac93dbf63522c9bd0060e4bbfe49661"/>
    <hyperlink ref="AA854" r:id="rId850" display="https://www.scopus.com/inward/record.uri?eid=2-s2.0-85027699126&amp;doi=10.3390%2fapp7080836&amp;partnerID=40&amp;md5=e3598050aa02f47a6a9ebbf804605981"/>
    <hyperlink ref="AA855" r:id="rId851" display="https://www.scopus.com/inward/record.uri?eid=2-s2.0-85019159638&amp;doi=10.1016%2fj.phymed.2017.04.013&amp;partnerID=40&amp;md5=509095fe695953647b7a85ba68645e2d"/>
    <hyperlink ref="AA856" r:id="rId852" display="https://www.scopus.com/inward/record.uri?eid=2-s2.0-85046935619&amp;partnerID=40&amp;md5=56d5512dd124e0378f1cd767c7a2c3bb"/>
    <hyperlink ref="AA857" r:id="rId853" display="https://www.scopus.com/inward/record.uri?eid=2-s2.0-85045831651&amp;doi=10.2196%2fpublichealth.7157&amp;partnerID=40&amp;md5=ca1063caef744f3c0ad52d68fefaf8b9"/>
    <hyperlink ref="AA858" r:id="rId854" display="https://www.scopus.com/inward/record.uri?eid=2-s2.0-85020448679&amp;doi=10.1007%2f978-981-10-3770-2_68&amp;partnerID=40&amp;md5=2a911d0d9c69521c2b1008266eb490ad"/>
    <hyperlink ref="AA859" r:id="rId855" display="https://www.scopus.com/inward/record.uri?eid=2-s2.0-85047491202&amp;doi=10.1109%2fICCMC.2017.8282721&amp;partnerID=40&amp;md5=41507130695457b27fe2f34b476c4bfe"/>
    <hyperlink ref="AA860" r:id="rId856" display="https://www.scopus.com/inward/record.uri?eid=2-s2.0-85020278206&amp;doi=10.1117%2f12.2249845&amp;partnerID=40&amp;md5=96525f32bdcbb9ea68d92b518a3cace1"/>
    <hyperlink ref="AA861" r:id="rId857" display="https://www.scopus.com/inward/record.uri?eid=2-s2.0-85013270066&amp;doi=10.1109%2fBIBM.2016.7822567&amp;partnerID=40&amp;md5=2f57a021507142f5928e37f3010683b8"/>
    <hyperlink ref="AA862" r:id="rId858" display="https://www.scopus.com/inward/record.uri?eid=2-s2.0-85032838116&amp;doi=10.1109%2fSPIN.2017.8050013&amp;partnerID=40&amp;md5=76d6a1f47a50d3bb12903ee9a55a3ccd"/>
    <hyperlink ref="AA863" r:id="rId859" display="https://www.scopus.com/inward/record.uri?eid=2-s2.0-85046248728&amp;doi=10.1109%2fICCVW.2017.22&amp;partnerID=40&amp;md5=6345cab30c6cee6770d917a1b8e455d3"/>
    <hyperlink ref="AA864" r:id="rId860" display="https://www.scopus.com/inward/record.uri?eid=2-s2.0-85016034787&amp;doi=10.1109%2fSSCI.2016.7849891&amp;partnerID=40&amp;md5=eca9cc4606ad69ea99422948d759b7da"/>
    <hyperlink ref="AA865" r:id="rId861" display="https://www.scopus.com/inward/record.uri?eid=2-s2.0-85057518759&amp;doi=10.1109%2fAIPR.2017.8457970&amp;partnerID=40&amp;md5=1d938e701bce0475f0ca3047f39d10ba"/>
    <hyperlink ref="AA866" r:id="rId862" display="https://www.scopus.com/inward/record.uri?eid=2-s2.0-85016550508&amp;doi=10.1109%2fICCCCEE.2017.7867644&amp;partnerID=40&amp;md5=de9293b8ac54ea610fc3c7aae4336b16"/>
    <hyperlink ref="AA867" r:id="rId863" display="https://www.scopus.com/inward/record.uri?eid=2-s2.0-85045841173&amp;doi=10.1109%2fISPCC.2017.8269721&amp;partnerID=40&amp;md5=a968056f9ca44a32ba4656bd0ea8a412"/>
    <hyperlink ref="AA868" r:id="rId864" display="https://www.scopus.com/inward/record.uri?eid=2-s2.0-85018418812&amp;doi=10.1109%2fBHI.2017.7897215&amp;partnerID=40&amp;md5=2a8496d12b28ffbea9b5582fe31c9261"/>
    <hyperlink ref="AA869" r:id="rId865" display="https://www.scopus.com/inward/record.uri?eid=2-s2.0-85028893106&amp;doi=10.1007%2f978-3-319-66562-7_34&amp;partnerID=40&amp;md5=ed64300e6ef9b86cdd1591835b97554b"/>
    <hyperlink ref="AA870" r:id="rId866" display="https://www.scopus.com/inward/record.uri?eid=2-s2.0-85019413870&amp;doi=10.1109%2fPCS.2016.7906393&amp;partnerID=40&amp;md5=62bbbe9e38759c919cfe02b9f5cf99c1"/>
    <hyperlink ref="AA871" r:id="rId867" display="https://www.scopus.com/inward/record.uri?eid=2-s2.0-85029374922&amp;doi=10.1109%2fCHASE.2017.51&amp;partnerID=40&amp;md5=5f581d0313c89426c3f656b31ccb7f00"/>
    <hyperlink ref="AA872" r:id="rId868" display="https://www.scopus.com/inward/record.uri?eid=2-s2.0-85042513865&amp;doi=10.1109%2fICMLC.2017.8107772&amp;partnerID=40&amp;md5=5df8aa5a9cc5c9e8bf1dff9d8393ac50"/>
    <hyperlink ref="AA873" r:id="rId869" display="https://www.scopus.com/inward/record.uri?eid=2-s2.0-85032187261&amp;doi=10.1109%2fEMBC.2017.8037457&amp;partnerID=40&amp;md5=a452bb83075d6a0403e1392de337f2f3"/>
    <hyperlink ref="AA874" r:id="rId870" display="https://www.scopus.com/inward/record.uri?eid=2-s2.0-85018486323&amp;doi=10.1007%2f978-3-319-54430-4_41&amp;partnerID=40&amp;md5=1f1653f2700c5f35f967037a7ae32188"/>
    <hyperlink ref="AA875" r:id="rId871" display="https://www.scopus.com/inward/record.uri?eid=2-s2.0-84979035646&amp;doi=10.1371%2fjournal.pntd.0004768&amp;partnerID=40&amp;md5=c8672649d830f30b6af8b5281893cc24"/>
    <hyperlink ref="AA876" r:id="rId872" display="https://www.scopus.com/inward/record.uri?eid=2-s2.0-84957109437&amp;doi=10.1371%2fjournal.pntd.0004341&amp;partnerID=40&amp;md5=a6b693f10fafc640f7c086ae6ebe2f38"/>
    <hyperlink ref="AA877" r:id="rId873" display="https://www.scopus.com/inward/record.uri?eid=2-s2.0-85002874455&amp;doi=10.1016%2fj.ecoinf.2015.08.011&amp;partnerID=40&amp;md5=bfaeb0d7b679c9b329f847e5d690f3ee"/>
    <hyperlink ref="AA878" r:id="rId874" display="https://www.scopus.com/inward/record.uri?eid=2-s2.0-84960417441&amp;doi=10.1016%2fj.ijcha.2016.03.004&amp;partnerID=40&amp;md5=1caecad13f4eb5dce1e21d60a3e4300b"/>
    <hyperlink ref="AA879" r:id="rId875" display="https://www.scopus.com/inward/record.uri?eid=2-s2.0-85021851723&amp;partnerID=40&amp;md5=21d639be0bf25bbc6a2b4dab50bab720"/>
    <hyperlink ref="AA880" r:id="rId876" display="https://www.scopus.com/inward/record.uri?eid=2-s2.0-84936857326&amp;doi=10.1111%2fliv.12891&amp;partnerID=40&amp;md5=c93bbe3f58eb198ebc16443d94b6e31a"/>
    <hyperlink ref="AA881" r:id="rId877" display="https://www.scopus.com/inward/record.uri?eid=2-s2.0-84959870506&amp;doi=10.2174%2f187231281001160212150630&amp;partnerID=40&amp;md5=face156dc882e2d84468c12bcbefcf8c"/>
    <hyperlink ref="AA882" r:id="rId878" display="https://www.scopus.com/inward/record.uri?eid=2-s2.0-85006990941&amp;doi=10.3390%2fijerph13121235&amp;partnerID=40&amp;md5=d9d414f9627bfca2e3e9c5535d52fb49"/>
    <hyperlink ref="AA883" r:id="rId879" display="https://www.scopus.com/inward/record.uri?eid=2-s2.0-84958778405&amp;doi=10.3109%2f14756366.2016.1144593&amp;partnerID=40&amp;md5=11f3a7bc41a92aa674caf92ebb8cc6d6"/>
    <hyperlink ref="AA884" r:id="rId880" display="https://www.scopus.com/inward/record.uri?eid=2-s2.0-84982306919&amp;doi=10.1186%2fs12874-016-0207-2&amp;partnerID=40&amp;md5=7eefd46fd1e27310905924acda0f54b9"/>
    <hyperlink ref="AA885" r:id="rId881" display="https://www.scopus.com/inward/record.uri?eid=2-s2.0-85006511787&amp;doi=10.1093%2finfdis%2fjiw427&amp;partnerID=40&amp;md5=65e8579a551fbb8637289e3d505cfdc7"/>
    <hyperlink ref="AA886" r:id="rId882" display="https://www.scopus.com/inward/record.uri?eid=2-s2.0-84984861320&amp;doi=10.3844%2fjcssp.2016.300.306&amp;partnerID=40&amp;md5=7ff3f75a6a87bd1c072e851db59329db"/>
    <hyperlink ref="AA887" r:id="rId883" display="https://www.scopus.com/inward/record.uri?eid=2-s2.0-84990032623&amp;doi=10.1016%2fS1473-3099%2816%2930161-X&amp;partnerID=40&amp;md5=b9dfeda9d1d4e288dcb4523ca632b982"/>
    <hyperlink ref="AA888" r:id="rId884" display="https://www.scopus.com/inward/record.uri?eid=2-s2.0-84953314375&amp;doi=10.2471%2fBLT.15.161885&amp;partnerID=40&amp;md5=a25bfa246225b9eae2534eb7ec3474d3"/>
    <hyperlink ref="AA889" r:id="rId885" display="https://www.scopus.com/inward/record.uri?eid=2-s2.0-85055078912&amp;doi=10.12816%2f0033990&amp;partnerID=40&amp;md5=d7df04b96588a779684cc7abb8c5a625"/>
    <hyperlink ref="AA890" r:id="rId886" display="https://www.scopus.com/inward/record.uri?eid=2-s2.0-84979729478&amp;doi=10.1186%2fs12906-016-1191-0&amp;partnerID=40&amp;md5=9d9770ea7c3e03089576d2ff22596cf0"/>
    <hyperlink ref="AA891" r:id="rId887" display="https://www.scopus.com/inward/record.uri?eid=2-s2.0-84959303844&amp;doi=10.1371%2fjournal.pntd.0004407&amp;partnerID=40&amp;md5=d63b553a2ce5cd0ce0da6193de441309"/>
    <hyperlink ref="AA892" r:id="rId888" display="https://www.scopus.com/inward/record.uri?eid=2-s2.0-85015640781&amp;doi=10.1109%2fIECBES.2016.7843421&amp;partnerID=40&amp;md5=89c089c97b58bf2cdac4e6607a018ed7"/>
    <hyperlink ref="AA893" r:id="rId889" display="https://www.scopus.com/inward/record.uri?eid=2-s2.0-84983471886&amp;doi=10.1109%2fMicroCom.2016.7522513&amp;partnerID=40&amp;md5=65a4a8bc168462838ba4b6a32f126662"/>
    <hyperlink ref="AA894" r:id="rId890" display="https://www.scopus.com/inward/record.uri?eid=2-s2.0-85042720027&amp;doi=10.1109%2fCINE.2016.19&amp;partnerID=40&amp;md5=47b8fb71035f137de2615ae4c2c06066"/>
    <hyperlink ref="AA895" r:id="rId891" display="https://www.scopus.com/inward/record.uri?eid=2-s2.0-85021149384&amp;doi=10.1109%2fICMLC.2016.7860891&amp;partnerID=40&amp;md5=ddf6b3a2121c544c4a21c725fe2dad94"/>
    <hyperlink ref="AA896" r:id="rId892" display="https://www.scopus.com/inward/record.uri?eid=2-s2.0-84928713457&amp;doi=10.1186%2fs13000-015-0275-3&amp;partnerID=40&amp;md5=79e5ffe0322f969d7fd162e8353bd533"/>
    <hyperlink ref="AA897" r:id="rId893" display="https://www.scopus.com/inward/record.uri?eid=2-s2.0-84942190751&amp;doi=10.1016%2fj.bjorl.2015.07.014&amp;partnerID=40&amp;md5=e86ed08b4844cc408cd8cd5e073e4476"/>
    <hyperlink ref="AA898" r:id="rId894" display="https://www.scopus.com/inward/record.uri?eid=2-s2.0-84937197583&amp;doi=10.1186%2fs12967-015-0600-3&amp;partnerID=40&amp;md5=06839883ba29587be55dacbb3feb01da"/>
    <hyperlink ref="AA899" r:id="rId895" display="https://www.scopus.com/inward/record.uri?eid=2-s2.0-84950140271&amp;doi=10.1001%2fjama.2015.13977&amp;partnerID=40&amp;md5=69b89efbcb208100652b701c097bd8d4"/>
    <hyperlink ref="AA900" r:id="rId896" display="https://www.scopus.com/inward/record.uri?eid=2-s2.0-84924031840&amp;doi=10.1371%2fjournal.pntd.0003465&amp;partnerID=40&amp;md5=afb3d34a67e52b3f21f519d96edbd7b1"/>
    <hyperlink ref="AA901" r:id="rId897" display="https://www.scopus.com/inward/record.uri?eid=2-s2.0-84936997090&amp;doi=10.1002%2fem.21942&amp;partnerID=40&amp;md5=f3ce15b2e71779e839f2197fa32077c0"/>
    <hyperlink ref="AA902" r:id="rId898" display="https://www.scopus.com/inward/record.uri?eid=2-s2.0-84948768377&amp;doi=10.1007%2fs12639-013-0411-5&amp;partnerID=40&amp;md5=02d44babf73c5fcd5c7a2cc78e46fe49"/>
    <hyperlink ref="AA903" r:id="rId899" display="https://www.scopus.com/inward/record.uri?eid=2-s2.0-84934783353&amp;doi=10.1371%2fjournal.pntd.0003825&amp;partnerID=40&amp;md5=eac5a3bd46780d17ecf8fcf6afa54ca3"/>
    <hyperlink ref="AA904" r:id="rId900" display="https://www.scopus.com/inward/record.uri?eid=2-s2.0-84928012342&amp;doi=10.1504%2fIJCBDD.2015.068783&amp;partnerID=40&amp;md5=0861f6766ae66282e76b6de6fd42d6bd"/>
    <hyperlink ref="AA905" r:id="rId901" display="https://www.scopus.com/inward/record.uri?eid=2-s2.0-84934779976&amp;doi=10.1371%2fjournal.pntd.0003835&amp;partnerID=40&amp;md5=2dd5743a326c872cd0d415186b80db56"/>
    <hyperlink ref="AA906" r:id="rId902" display="https://www.scopus.com/inward/record.uri?eid=2-s2.0-84940900089&amp;doi=10.1111%2fjth.13060&amp;partnerID=40&amp;md5=14ab211ef9566dbb2e5ed4fb35481f45"/>
    <hyperlink ref="AA907" r:id="rId903" display="https://www.scopus.com/inward/record.uri?eid=2-s2.0-84939213336&amp;doi=10.5935%2fabc.20150042&amp;partnerID=40&amp;md5=e39f0bd78c5a2890f0eb2cbd16aaf97f"/>
    <hyperlink ref="AA908" r:id="rId904" display="https://www.scopus.com/inward/record.uri?eid=2-s2.0-84942746292&amp;doi=10.1515%2fap-2015-0105&amp;partnerID=40&amp;md5=6aac00c366d7e292978435ec08d498cb"/>
    <hyperlink ref="AA909" r:id="rId905" display="https://www.scopus.com/inward/record.uri?eid=2-s2.0-84969141960&amp;doi=10.1186%2f1471-2164-16-S7-S9&amp;partnerID=40&amp;md5=f671fdec5e7897c212d486c86e61cbf9"/>
    <hyperlink ref="AA910" r:id="rId906" display="https://www.scopus.com/inward/record.uri?eid=2-s2.0-84924860610&amp;doi=10.1186%2fs12941-015-0064-6&amp;partnerID=40&amp;md5=aea62d3f7947c492156cb32d86631e9f"/>
    <hyperlink ref="AA911" r:id="rId907" display="https://www.scopus.com/inward/record.uri?eid=2-s2.0-84959548860&amp;doi=10.2174%2f1574893610666151008011042&amp;partnerID=40&amp;md5=466a8428c9c8979eb64490732ab51963"/>
    <hyperlink ref="AA912" r:id="rId908" display="https://www.scopus.com/inward/record.uri?eid=2-s2.0-84919742349&amp;doi=10.3945%2fjn.114.201566&amp;partnerID=40&amp;md5=671ed41d7b3794acd8daf1a9ffdf5ead"/>
    <hyperlink ref="AA913" r:id="rId909" display="https://www.scopus.com/inward/record.uri?eid=2-s2.0-84960408606&amp;doi=10.1109%2fGHTC.2015.7344002&amp;partnerID=40&amp;md5=9a3d0c3493a50d77a0153ad80d3cb730"/>
    <hyperlink ref="AA914" r:id="rId910" display="https://www.scopus.com/inward/record.uri?eid=2-s2.0-84960453636&amp;doi=10.1109%2fGHTC.2015.7344000&amp;partnerID=40&amp;md5=d2d0711f5f890a1ce97e478240ca5ee4"/>
  </hyperlinks>
  <printOptions headings="false" gridLines="false" gridLinesSet="true" horizontalCentered="false" verticalCentered="false"/>
  <pageMargins left="0.7875" right="0.7875" top="1.05277777777778" bottom="1.05277777777778" header="0" footer="0"/>
  <pageSetup paperSize="1" scale="100" fitToWidth="1" fitToHeight="1" pageOrder="downThenOver" orientation="portrait" blackAndWhite="false" draft="false" cellComments="none" horizontalDpi="300" verticalDpi="300" copies="1"/>
  <headerFooter differentFirst="false" differentOddEven="false">
    <oddHeader>&amp;Cffffff&amp;A</oddHeader>
    <oddFooter>&amp;CffffffPage &amp;P</oddFooter>
  </headerFooter>
  <drawing r:id="rId91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outlinePr summaryBelow="0"/>
    <pageSetUpPr fitToPage="false"/>
  </sheetPr>
  <dimension ref="A1:CZ489"/>
  <sheetViews>
    <sheetView showFormulas="false" showGridLines="true" showRowColHeaders="true" showZeros="true" rightToLeft="false" tabSelected="true" showOutlineSymbols="true" defaultGridColor="true" view="normal" topLeftCell="F1" colorId="64" zoomScale="100" zoomScaleNormal="100" zoomScalePageLayoutView="100" workbookViewId="0">
      <selection pane="topLeft" activeCell="M2" activeCellId="0" sqref="M2"/>
    </sheetView>
  </sheetViews>
  <sheetFormatPr defaultColWidth="12.6328125" defaultRowHeight="15" customHeight="true" zeroHeight="false" outlineLevelRow="0" outlineLevelCol="0"/>
  <cols>
    <col collapsed="false" customWidth="true" hidden="false" outlineLevel="0" max="3" min="3" style="1" width="16"/>
    <col collapsed="false" customWidth="true" hidden="false" outlineLevel="0" max="4" min="4" style="1" width="30.75"/>
    <col collapsed="false" customWidth="true" hidden="false" outlineLevel="0" max="5" min="5" style="1" width="8.88"/>
    <col collapsed="false" customWidth="true" hidden="false" outlineLevel="0" max="6" min="6" style="1" width="16.75"/>
    <col collapsed="false" customWidth="true" hidden="false" outlineLevel="0" max="7" min="7" style="1" width="12.75"/>
    <col collapsed="false" customWidth="true" hidden="false" outlineLevel="0" max="8" min="8" style="1" width="13.5"/>
    <col collapsed="false" customWidth="true" hidden="false" outlineLevel="0" max="9" min="9" style="1" width="16.75"/>
    <col collapsed="false" customWidth="true" hidden="false" outlineLevel="0" max="10" min="10" style="1" width="19.88"/>
    <col collapsed="false" customWidth="true" hidden="false" outlineLevel="0" max="11" min="11" style="1" width="22.75"/>
    <col collapsed="false" customWidth="true" hidden="false" outlineLevel="0" max="12" min="12" style="1" width="20.38"/>
    <col collapsed="false" customWidth="true" hidden="false" outlineLevel="0" max="13" min="13" style="1" width="16.75"/>
    <col collapsed="false" customWidth="true" hidden="false" outlineLevel="0" max="14" min="14" style="1" width="18.5"/>
    <col collapsed="false" customWidth="true" hidden="false" outlineLevel="0" max="15" min="15" style="1" width="19.5"/>
    <col collapsed="false" customWidth="true" hidden="false" outlineLevel="0" max="16" min="16" style="1" width="15.25"/>
  </cols>
  <sheetData>
    <row r="1" customFormat="false" ht="62.9" hidden="false" customHeight="false" outlineLevel="0" collapsed="false">
      <c r="A1" s="26" t="s">
        <v>16275</v>
      </c>
      <c r="B1" s="27" t="s">
        <v>0</v>
      </c>
      <c r="C1" s="27" t="s">
        <v>16276</v>
      </c>
      <c r="D1" s="28" t="s">
        <v>3</v>
      </c>
      <c r="E1" s="26" t="s">
        <v>4</v>
      </c>
      <c r="F1" s="26" t="s">
        <v>5</v>
      </c>
      <c r="G1" s="26" t="s">
        <v>6</v>
      </c>
      <c r="H1" s="28" t="s">
        <v>16277</v>
      </c>
      <c r="I1" s="28" t="s">
        <v>16278</v>
      </c>
      <c r="J1" s="28" t="s">
        <v>16279</v>
      </c>
      <c r="K1" s="29" t="s">
        <v>10</v>
      </c>
      <c r="L1" s="29" t="s">
        <v>11</v>
      </c>
      <c r="M1" s="28" t="s">
        <v>12</v>
      </c>
      <c r="N1" s="28" t="s">
        <v>13</v>
      </c>
      <c r="O1" s="28" t="s">
        <v>14</v>
      </c>
      <c r="P1" s="28" t="s">
        <v>16280</v>
      </c>
      <c r="Q1" s="27" t="s">
        <v>16281</v>
      </c>
      <c r="R1" s="26" t="s">
        <v>15</v>
      </c>
      <c r="S1" s="27" t="s">
        <v>16282</v>
      </c>
      <c r="T1" s="27" t="s">
        <v>16283</v>
      </c>
      <c r="U1" s="27" t="s">
        <v>18</v>
      </c>
      <c r="V1" s="27" t="s">
        <v>19</v>
      </c>
      <c r="W1" s="27" t="s">
        <v>20</v>
      </c>
      <c r="X1" s="26" t="s">
        <v>16284</v>
      </c>
      <c r="Y1" s="26" t="s">
        <v>29</v>
      </c>
      <c r="Z1" s="26" t="s">
        <v>16285</v>
      </c>
      <c r="AA1" s="26" t="s">
        <v>27</v>
      </c>
      <c r="AB1" s="27" t="s">
        <v>16286</v>
      </c>
      <c r="AC1" s="27" t="s">
        <v>16287</v>
      </c>
      <c r="AD1" s="26" t="s">
        <v>16288</v>
      </c>
      <c r="AE1" s="27" t="s">
        <v>16289</v>
      </c>
      <c r="AF1" s="26" t="s">
        <v>35</v>
      </c>
      <c r="AG1" s="26" t="s">
        <v>16290</v>
      </c>
      <c r="AH1" s="26" t="s">
        <v>36</v>
      </c>
      <c r="AI1" s="27" t="s">
        <v>16291</v>
      </c>
      <c r="AJ1" s="27" t="s">
        <v>16292</v>
      </c>
      <c r="AK1" s="27" t="s">
        <v>16293</v>
      </c>
      <c r="AL1" s="27" t="s">
        <v>16294</v>
      </c>
      <c r="AM1" s="27" t="s">
        <v>16295</v>
      </c>
      <c r="AN1" s="27" t="s">
        <v>45</v>
      </c>
      <c r="AO1" s="27" t="s">
        <v>16296</v>
      </c>
      <c r="AP1" s="27" t="s">
        <v>16297</v>
      </c>
      <c r="AQ1" s="27" t="s">
        <v>16298</v>
      </c>
      <c r="AR1" s="27" t="s">
        <v>16299</v>
      </c>
      <c r="AS1" s="27" t="s">
        <v>16300</v>
      </c>
      <c r="AT1" s="27" t="s">
        <v>16301</v>
      </c>
      <c r="AU1" s="27" t="s">
        <v>16302</v>
      </c>
      <c r="AV1" s="27" t="s">
        <v>25</v>
      </c>
      <c r="AW1" s="27" t="s">
        <v>16303</v>
      </c>
      <c r="AX1" s="27" t="s">
        <v>16304</v>
      </c>
      <c r="AY1" s="27" t="s">
        <v>16305</v>
      </c>
      <c r="AZ1" s="27" t="s">
        <v>16306</v>
      </c>
      <c r="BA1" s="27" t="s">
        <v>16307</v>
      </c>
      <c r="BB1" s="27" t="s">
        <v>16308</v>
      </c>
      <c r="BC1" s="27" t="s">
        <v>16309</v>
      </c>
      <c r="BD1" s="27" t="s">
        <v>16310</v>
      </c>
      <c r="BE1" s="27" t="s">
        <v>16311</v>
      </c>
      <c r="BF1" s="27" t="s">
        <v>16312</v>
      </c>
      <c r="BG1" s="27" t="s">
        <v>16313</v>
      </c>
      <c r="BH1" s="27" t="s">
        <v>16314</v>
      </c>
      <c r="BI1" s="27"/>
      <c r="BJ1" s="27"/>
      <c r="BK1" s="27"/>
      <c r="BL1" s="27" t="s">
        <v>16315</v>
      </c>
      <c r="BM1" s="27" t="s">
        <v>16316</v>
      </c>
      <c r="BN1" s="27" t="s">
        <v>16317</v>
      </c>
      <c r="BO1" s="27" t="s">
        <v>16318</v>
      </c>
      <c r="BP1" s="27" t="s">
        <v>46</v>
      </c>
      <c r="BQ1" s="27" t="s">
        <v>16319</v>
      </c>
      <c r="BR1" s="27" t="s">
        <v>16320</v>
      </c>
      <c r="BS1" s="27" t="s">
        <v>16321</v>
      </c>
      <c r="BT1" s="27" t="s">
        <v>16322</v>
      </c>
      <c r="BU1" s="27" t="s">
        <v>16323</v>
      </c>
      <c r="BV1" s="27" t="s">
        <v>16324</v>
      </c>
      <c r="BW1" s="27" t="s">
        <v>16325</v>
      </c>
      <c r="BX1" s="27" t="s">
        <v>16326</v>
      </c>
      <c r="BY1" s="27" t="s">
        <v>16327</v>
      </c>
      <c r="BZ1" s="27" t="s">
        <v>16328</v>
      </c>
      <c r="CA1" s="27" t="s">
        <v>16329</v>
      </c>
      <c r="CB1" s="27" t="s">
        <v>16330</v>
      </c>
      <c r="CC1" s="27" t="s">
        <v>16331</v>
      </c>
      <c r="CD1" s="27" t="s">
        <v>16332</v>
      </c>
      <c r="CE1" s="27" t="s">
        <v>16333</v>
      </c>
      <c r="CF1" s="27" t="s">
        <v>16334</v>
      </c>
      <c r="CG1" s="27"/>
      <c r="CH1" s="27"/>
      <c r="CI1" s="27"/>
      <c r="CJ1" s="27"/>
      <c r="CK1" s="27"/>
      <c r="CL1" s="27"/>
      <c r="CM1" s="27"/>
      <c r="CN1" s="27"/>
      <c r="CO1" s="27"/>
      <c r="CP1" s="27"/>
      <c r="CQ1" s="27"/>
      <c r="CR1" s="27"/>
      <c r="CS1" s="27"/>
      <c r="CT1" s="27"/>
      <c r="CU1" s="27"/>
      <c r="CV1" s="27"/>
      <c r="CW1" s="27"/>
      <c r="CX1" s="27"/>
      <c r="CY1" s="27"/>
      <c r="CZ1" s="27"/>
    </row>
    <row r="2" customFormat="false" ht="75.25" hidden="false" customHeight="false" outlineLevel="0" collapsed="false">
      <c r="A2" s="7" t="s">
        <v>16335</v>
      </c>
      <c r="B2" s="7" t="s">
        <v>16336</v>
      </c>
      <c r="C2" s="7" t="s">
        <v>16337</v>
      </c>
      <c r="D2" s="8" t="s">
        <v>16338</v>
      </c>
      <c r="E2" s="7" t="n">
        <v>2025</v>
      </c>
      <c r="F2" s="6" t="s">
        <v>16339</v>
      </c>
      <c r="G2" s="6" t="s">
        <v>349</v>
      </c>
      <c r="H2" s="8" t="s">
        <v>16340</v>
      </c>
      <c r="I2" s="8" t="s">
        <v>16341</v>
      </c>
      <c r="J2" s="8" t="s">
        <v>16342</v>
      </c>
      <c r="K2" s="8" t="s">
        <v>16343</v>
      </c>
      <c r="L2" s="8" t="s">
        <v>16344</v>
      </c>
      <c r="M2" s="8" t="s">
        <v>16345</v>
      </c>
      <c r="N2" s="8" t="s">
        <v>16346</v>
      </c>
      <c r="O2" s="8" t="s">
        <v>16347</v>
      </c>
      <c r="P2" s="10" t="n">
        <v>0</v>
      </c>
      <c r="Q2" s="7" t="n">
        <v>0</v>
      </c>
      <c r="R2" s="7" t="s">
        <v>61</v>
      </c>
      <c r="S2" s="7" t="s">
        <v>62</v>
      </c>
      <c r="T2" s="7" t="s">
        <v>16348</v>
      </c>
      <c r="U2" s="7" t="n">
        <v>311</v>
      </c>
      <c r="V2" s="7" t="s">
        <v>16349</v>
      </c>
      <c r="W2" s="7"/>
      <c r="X2" s="7" t="s">
        <v>16350</v>
      </c>
      <c r="Y2" s="7" t="s">
        <v>16351</v>
      </c>
      <c r="Z2" s="6" t="s">
        <v>16352</v>
      </c>
      <c r="AA2" s="6" t="s">
        <v>16353</v>
      </c>
      <c r="AB2" s="6" t="s">
        <v>16354</v>
      </c>
      <c r="AC2" s="7" t="s">
        <v>16355</v>
      </c>
      <c r="AD2" s="7"/>
      <c r="AE2" s="7"/>
      <c r="AF2" s="7"/>
      <c r="AG2" s="7"/>
      <c r="AH2" s="7"/>
      <c r="AI2" s="7" t="n">
        <v>58</v>
      </c>
      <c r="AJ2" s="7" t="n">
        <v>0</v>
      </c>
      <c r="AK2" s="7" t="n">
        <v>0</v>
      </c>
      <c r="AL2" s="7" t="s">
        <v>16356</v>
      </c>
      <c r="AM2" s="7" t="s">
        <v>16357</v>
      </c>
      <c r="AN2" s="7" t="s">
        <v>16358</v>
      </c>
      <c r="AO2" s="7" t="s">
        <v>16359</v>
      </c>
      <c r="AP2" s="7" t="s">
        <v>16360</v>
      </c>
      <c r="AQ2" s="7" t="s">
        <v>16361</v>
      </c>
      <c r="AR2" s="7" t="s">
        <v>16362</v>
      </c>
      <c r="AS2" s="7"/>
      <c r="AT2" s="7"/>
      <c r="AU2" s="7" t="n">
        <v>113065</v>
      </c>
      <c r="AV2" s="7" t="s">
        <v>16363</v>
      </c>
      <c r="AW2" s="30" t="str">
        <f aca="false">HYPERLINK("http://dx.doi.org/10.1016/j.knosys.2025.113065","http://dx.doi.org/10.1016/j.knosys.2025.113065")</f>
        <v>http://dx.doi.org/10.1016/j.knosys.2025.113065</v>
      </c>
      <c r="AX2" s="7" t="s">
        <v>16364</v>
      </c>
      <c r="AY2" s="7" t="n">
        <v>17</v>
      </c>
      <c r="AZ2" s="7" t="s">
        <v>16365</v>
      </c>
      <c r="BA2" s="7" t="s">
        <v>16366</v>
      </c>
      <c r="BB2" s="7" t="s">
        <v>16367</v>
      </c>
      <c r="BC2" s="7" t="s">
        <v>16368</v>
      </c>
      <c r="BD2" s="7"/>
      <c r="BE2" s="7"/>
      <c r="BF2" s="7" t="s">
        <v>16369</v>
      </c>
      <c r="BG2" s="7" t="s">
        <v>16370</v>
      </c>
      <c r="BH2" s="7" t="str">
        <f aca="false">HYPERLINK("https%3A%2F%2Fwww.webofscience.com%2Fwos%2Fwoscc%2Ffull-record%2FWOS:001414942700001","View Full Record in Web of Science")</f>
        <v>View Full Record in Web of Science</v>
      </c>
      <c r="BL2" s="7"/>
      <c r="BM2" s="7"/>
      <c r="BN2" s="7"/>
      <c r="BO2" s="7"/>
      <c r="BP2" s="7"/>
      <c r="BQ2" s="7"/>
      <c r="BR2" s="7"/>
      <c r="BS2" s="7"/>
      <c r="BT2" s="7"/>
      <c r="BU2" s="7"/>
      <c r="BV2" s="7"/>
      <c r="BW2" s="7"/>
      <c r="BX2" s="7"/>
      <c r="BY2" s="7"/>
      <c r="BZ2" s="7"/>
      <c r="CA2" s="7"/>
      <c r="CB2" s="7"/>
      <c r="CC2" s="7"/>
      <c r="CD2" s="7"/>
      <c r="CE2" s="7"/>
      <c r="CF2" s="7"/>
    </row>
    <row r="3" customFormat="false" ht="248.3" hidden="false" customHeight="false" outlineLevel="0" collapsed="false">
      <c r="A3" s="7" t="s">
        <v>16335</v>
      </c>
      <c r="B3" s="7" t="s">
        <v>16371</v>
      </c>
      <c r="C3" s="7" t="s">
        <v>16372</v>
      </c>
      <c r="D3" s="8" t="s">
        <v>16373</v>
      </c>
      <c r="E3" s="7" t="n">
        <v>2025</v>
      </c>
      <c r="F3" s="6" t="s">
        <v>16374</v>
      </c>
      <c r="G3" s="6" t="s">
        <v>349</v>
      </c>
      <c r="H3" s="8" t="s">
        <v>16375</v>
      </c>
      <c r="I3" s="8" t="s">
        <v>16376</v>
      </c>
      <c r="J3" s="8" t="s">
        <v>16377</v>
      </c>
      <c r="K3" s="8" t="s">
        <v>16378</v>
      </c>
      <c r="L3" s="8" t="s">
        <v>16379</v>
      </c>
      <c r="M3" s="8" t="s">
        <v>16380</v>
      </c>
      <c r="N3" s="8" t="s">
        <v>16381</v>
      </c>
      <c r="O3" s="8" t="s">
        <v>16382</v>
      </c>
      <c r="P3" s="10" t="n">
        <v>0</v>
      </c>
      <c r="Q3" s="7" t="n">
        <v>0</v>
      </c>
      <c r="R3" s="7" t="s">
        <v>61</v>
      </c>
      <c r="S3" s="7" t="s">
        <v>62</v>
      </c>
      <c r="T3" s="7" t="s">
        <v>16383</v>
      </c>
      <c r="U3" s="7" t="n">
        <v>13</v>
      </c>
      <c r="V3" s="7" t="s">
        <v>16384</v>
      </c>
      <c r="W3" s="7"/>
      <c r="X3" s="7" t="s">
        <v>16385</v>
      </c>
      <c r="Y3" s="7" t="s">
        <v>16386</v>
      </c>
      <c r="Z3" s="7" t="s">
        <v>16387</v>
      </c>
      <c r="AA3" s="6" t="s">
        <v>16388</v>
      </c>
      <c r="AB3" s="7" t="s">
        <v>16389</v>
      </c>
      <c r="AC3" s="7" t="s">
        <v>16390</v>
      </c>
      <c r="AD3" s="7"/>
      <c r="AE3" s="7" t="s">
        <v>16391</v>
      </c>
      <c r="AF3" s="6" t="s">
        <v>16392</v>
      </c>
      <c r="AG3" s="6" t="s">
        <v>16393</v>
      </c>
      <c r="AH3" s="6" t="s">
        <v>16394</v>
      </c>
      <c r="AI3" s="7" t="n">
        <v>58</v>
      </c>
      <c r="AJ3" s="7" t="n">
        <v>0</v>
      </c>
      <c r="AK3" s="7" t="n">
        <v>0</v>
      </c>
      <c r="AL3" s="7" t="s">
        <v>16395</v>
      </c>
      <c r="AM3" s="7" t="s">
        <v>16396</v>
      </c>
      <c r="AN3" s="7" t="s">
        <v>16397</v>
      </c>
      <c r="AO3" s="7"/>
      <c r="AP3" s="7" t="s">
        <v>16383</v>
      </c>
      <c r="AQ3" s="7" t="s">
        <v>186</v>
      </c>
      <c r="AR3" s="7"/>
      <c r="AS3" s="7" t="n">
        <v>13816</v>
      </c>
      <c r="AT3" s="7" t="n">
        <v>13831</v>
      </c>
      <c r="AU3" s="7"/>
      <c r="AV3" s="7" t="s">
        <v>16398</v>
      </c>
      <c r="AW3" s="30" t="str">
        <f aca="false">HYPERLINK("http://dx.doi.org/10.1109/ACCESS.2025.3527715","http://dx.doi.org/10.1109/ACCESS.2025.3527715")</f>
        <v>http://dx.doi.org/10.1109/ACCESS.2025.3527715</v>
      </c>
      <c r="AX3" s="7"/>
      <c r="AY3" s="7" t="n">
        <v>16</v>
      </c>
      <c r="AZ3" s="7" t="s">
        <v>16399</v>
      </c>
      <c r="BA3" s="7" t="s">
        <v>16366</v>
      </c>
      <c r="BB3" s="7" t="s">
        <v>16400</v>
      </c>
      <c r="BC3" s="7" t="s">
        <v>16401</v>
      </c>
      <c r="BD3" s="7"/>
      <c r="BE3" s="7"/>
      <c r="BF3" s="7" t="s">
        <v>16369</v>
      </c>
      <c r="BG3" s="7" t="s">
        <v>16402</v>
      </c>
      <c r="BH3" s="7" t="str">
        <f aca="false">HYPERLINK("https%3A%2F%2Fwww.webofscience.com%2Fwos%2Fwoscc%2Ffull-record%2FWOS:001405911400005","View Full Record in Web of Science")</f>
        <v>View Full Record in Web of Science</v>
      </c>
      <c r="BL3" s="7"/>
      <c r="BM3" s="7"/>
      <c r="BN3" s="7"/>
      <c r="BO3" s="7"/>
      <c r="BP3" s="7"/>
      <c r="BQ3" s="7"/>
      <c r="BR3" s="7"/>
      <c r="BS3" s="7"/>
      <c r="BT3" s="7"/>
      <c r="BU3" s="7"/>
      <c r="BV3" s="7"/>
      <c r="BW3" s="7"/>
      <c r="BX3" s="7"/>
      <c r="BY3" s="7"/>
      <c r="BZ3" s="7"/>
      <c r="CA3" s="7"/>
      <c r="CB3" s="7"/>
      <c r="CC3" s="7"/>
      <c r="CD3" s="7"/>
      <c r="CE3" s="7"/>
      <c r="CF3" s="7"/>
    </row>
    <row r="4" customFormat="false" ht="124.7" hidden="false" customHeight="false" outlineLevel="0" collapsed="false">
      <c r="A4" s="7" t="s">
        <v>16335</v>
      </c>
      <c r="B4" s="7" t="s">
        <v>16403</v>
      </c>
      <c r="C4" s="7" t="s">
        <v>16404</v>
      </c>
      <c r="D4" s="8" t="s">
        <v>16405</v>
      </c>
      <c r="E4" s="7" t="n">
        <v>2025</v>
      </c>
      <c r="F4" s="6" t="s">
        <v>16406</v>
      </c>
      <c r="G4" s="6" t="s">
        <v>134</v>
      </c>
      <c r="H4" s="8" t="s">
        <v>16407</v>
      </c>
      <c r="I4" s="8" t="s">
        <v>3715</v>
      </c>
      <c r="J4" s="8" t="s">
        <v>16408</v>
      </c>
      <c r="K4" s="8" t="s">
        <v>16409</v>
      </c>
      <c r="L4" s="8" t="s">
        <v>3754</v>
      </c>
      <c r="M4" s="8" t="s">
        <v>16410</v>
      </c>
      <c r="N4" s="8" t="s">
        <v>16411</v>
      </c>
      <c r="O4" s="8" t="s">
        <v>16412</v>
      </c>
      <c r="P4" s="10" t="n">
        <v>0</v>
      </c>
      <c r="Q4" s="7" t="n">
        <v>0</v>
      </c>
      <c r="R4" s="7" t="s">
        <v>61</v>
      </c>
      <c r="S4" s="7" t="s">
        <v>62</v>
      </c>
      <c r="T4" s="7" t="s">
        <v>16413</v>
      </c>
      <c r="U4" s="7" t="n">
        <v>15</v>
      </c>
      <c r="V4" s="7" t="s">
        <v>16414</v>
      </c>
      <c r="W4" s="7" t="n">
        <v>1</v>
      </c>
      <c r="X4" s="7" t="s">
        <v>16415</v>
      </c>
      <c r="Y4" s="7"/>
      <c r="Z4" s="7" t="s">
        <v>16416</v>
      </c>
      <c r="AA4" s="7" t="s">
        <v>16417</v>
      </c>
      <c r="AB4" s="7" t="s">
        <v>16418</v>
      </c>
      <c r="AC4" s="7" t="s">
        <v>16419</v>
      </c>
      <c r="AD4" s="7"/>
      <c r="AE4" s="7" t="s">
        <v>16420</v>
      </c>
      <c r="AF4" s="7"/>
      <c r="AG4" s="7"/>
      <c r="AH4" s="7"/>
      <c r="AI4" s="7" t="n">
        <v>45</v>
      </c>
      <c r="AJ4" s="7" t="n">
        <v>0</v>
      </c>
      <c r="AK4" s="7" t="n">
        <v>0</v>
      </c>
      <c r="AL4" s="7" t="s">
        <v>16421</v>
      </c>
      <c r="AM4" s="7" t="s">
        <v>16422</v>
      </c>
      <c r="AN4" s="7" t="s">
        <v>16423</v>
      </c>
      <c r="AO4" s="7"/>
      <c r="AP4" s="7" t="s">
        <v>16424</v>
      </c>
      <c r="AQ4" s="7" t="s">
        <v>16425</v>
      </c>
      <c r="AR4" s="7" t="s">
        <v>16426</v>
      </c>
      <c r="AS4" s="7"/>
      <c r="AT4" s="7"/>
      <c r="AU4" s="7" t="n">
        <v>3746</v>
      </c>
      <c r="AV4" s="7" t="s">
        <v>16427</v>
      </c>
      <c r="AW4" s="30" t="str">
        <f aca="false">HYPERLINK("http://dx.doi.org/10.1038/s41598-025-87979-5","http://dx.doi.org/10.1038/s41598-025-87979-5")</f>
        <v>http://dx.doi.org/10.1038/s41598-025-87979-5</v>
      </c>
      <c r="AX4" s="7"/>
      <c r="AY4" s="7" t="n">
        <v>11</v>
      </c>
      <c r="AZ4" s="7" t="s">
        <v>16428</v>
      </c>
      <c r="BA4" s="7" t="s">
        <v>16366</v>
      </c>
      <c r="BB4" s="7" t="s">
        <v>16429</v>
      </c>
      <c r="BC4" s="7" t="s">
        <v>16430</v>
      </c>
      <c r="BD4" s="7" t="n">
        <v>39885248</v>
      </c>
      <c r="BE4" s="7" t="s">
        <v>16431</v>
      </c>
      <c r="BF4" s="7" t="s">
        <v>16369</v>
      </c>
      <c r="BG4" s="7" t="s">
        <v>16432</v>
      </c>
      <c r="BH4" s="7" t="str">
        <f aca="false">HYPERLINK("https%3A%2F%2Fwww.webofscience.com%2Fwos%2Fwoscc%2Ffull-record%2FWOS:001411661900013","View Full Record in Web of Science")</f>
        <v>View Full Record in Web of Science</v>
      </c>
      <c r="BL4" s="7"/>
      <c r="BM4" s="7"/>
      <c r="BN4" s="7"/>
      <c r="BO4" s="7"/>
      <c r="BP4" s="7"/>
      <c r="BQ4" s="7"/>
      <c r="BR4" s="7"/>
      <c r="BS4" s="7"/>
      <c r="BT4" s="7"/>
      <c r="BU4" s="7"/>
      <c r="BV4" s="7"/>
      <c r="BW4" s="7"/>
      <c r="BX4" s="7"/>
      <c r="BY4" s="7"/>
      <c r="BZ4" s="7"/>
      <c r="CA4" s="7"/>
      <c r="CB4" s="7"/>
      <c r="CC4" s="7"/>
      <c r="CD4" s="7"/>
      <c r="CE4" s="7"/>
      <c r="CF4" s="7"/>
    </row>
    <row r="5" customFormat="false" ht="137.05" hidden="false" customHeight="false" outlineLevel="0" collapsed="false">
      <c r="A5" s="7" t="s">
        <v>16335</v>
      </c>
      <c r="B5" s="7" t="s">
        <v>16433</v>
      </c>
      <c r="C5" s="7" t="s">
        <v>16434</v>
      </c>
      <c r="D5" s="8" t="s">
        <v>16435</v>
      </c>
      <c r="E5" s="7" t="n">
        <v>2025</v>
      </c>
      <c r="F5" s="6" t="s">
        <v>16436</v>
      </c>
      <c r="G5" s="6" t="s">
        <v>349</v>
      </c>
      <c r="H5" s="8" t="s">
        <v>16437</v>
      </c>
      <c r="I5" s="10"/>
      <c r="J5" s="8" t="s">
        <v>16438</v>
      </c>
      <c r="K5" s="8" t="s">
        <v>16439</v>
      </c>
      <c r="L5" s="8" t="s">
        <v>3754</v>
      </c>
      <c r="M5" s="8" t="s">
        <v>16440</v>
      </c>
      <c r="N5" s="10"/>
      <c r="O5" s="8" t="s">
        <v>16441</v>
      </c>
      <c r="P5" s="10" t="n">
        <v>0</v>
      </c>
      <c r="Q5" s="7" t="n">
        <v>0</v>
      </c>
      <c r="R5" s="7" t="s">
        <v>61</v>
      </c>
      <c r="S5" s="7" t="s">
        <v>62</v>
      </c>
      <c r="T5" s="7" t="s">
        <v>16442</v>
      </c>
      <c r="U5" s="7" t="n">
        <v>140</v>
      </c>
      <c r="V5" s="7" t="s">
        <v>16443</v>
      </c>
      <c r="W5" s="7" t="n">
        <v>1</v>
      </c>
      <c r="X5" s="7"/>
      <c r="Y5" s="7" t="s">
        <v>16444</v>
      </c>
      <c r="Z5" s="7" t="s">
        <v>16445</v>
      </c>
      <c r="AA5" s="6" t="s">
        <v>16446</v>
      </c>
      <c r="AB5" s="7" t="s">
        <v>16447</v>
      </c>
      <c r="AC5" s="7" t="s">
        <v>16448</v>
      </c>
      <c r="AD5" s="7" t="s">
        <v>16449</v>
      </c>
      <c r="AE5" s="7"/>
      <c r="AF5" s="7" t="s">
        <v>16450</v>
      </c>
      <c r="AG5" s="7" t="s">
        <v>16451</v>
      </c>
      <c r="AH5" s="7" t="s">
        <v>16452</v>
      </c>
      <c r="AI5" s="7" t="n">
        <v>34</v>
      </c>
      <c r="AJ5" s="7" t="n">
        <v>2</v>
      </c>
      <c r="AK5" s="7" t="n">
        <v>2</v>
      </c>
      <c r="AL5" s="7" t="s">
        <v>16453</v>
      </c>
      <c r="AM5" s="7" t="s">
        <v>16454</v>
      </c>
      <c r="AN5" s="7" t="s">
        <v>16455</v>
      </c>
      <c r="AO5" s="7"/>
      <c r="AP5" s="7" t="s">
        <v>16456</v>
      </c>
      <c r="AQ5" s="7" t="s">
        <v>16457</v>
      </c>
      <c r="AR5" s="7" t="s">
        <v>16458</v>
      </c>
      <c r="AS5" s="7"/>
      <c r="AT5" s="7"/>
      <c r="AU5" s="7" t="n">
        <v>66</v>
      </c>
      <c r="AV5" s="7" t="s">
        <v>16459</v>
      </c>
      <c r="AW5" s="30" t="str">
        <f aca="false">HYPERLINK("http://dx.doi.org/10.1140/epjp/s13360-025-06025-5","http://dx.doi.org/10.1140/epjp/s13360-025-06025-5")</f>
        <v>http://dx.doi.org/10.1140/epjp/s13360-025-06025-5</v>
      </c>
      <c r="AX5" s="7"/>
      <c r="AY5" s="7" t="n">
        <v>18</v>
      </c>
      <c r="AZ5" s="7" t="s">
        <v>16460</v>
      </c>
      <c r="BA5" s="7" t="s">
        <v>16366</v>
      </c>
      <c r="BB5" s="7" t="s">
        <v>16461</v>
      </c>
      <c r="BC5" s="7" t="s">
        <v>16462</v>
      </c>
      <c r="BD5" s="7"/>
      <c r="BE5" s="7"/>
      <c r="BF5" s="7" t="s">
        <v>16369</v>
      </c>
      <c r="BG5" s="7" t="s">
        <v>16463</v>
      </c>
      <c r="BH5" s="7" t="str">
        <f aca="false">HYPERLINK("https%3A%2F%2Fwww.webofscience.com%2Fwos%2Fwoscc%2Ffull-record%2FWOS:001406369500003","View Full Record in Web of Science")</f>
        <v>View Full Record in Web of Science</v>
      </c>
      <c r="BL5" s="7"/>
      <c r="BM5" s="7"/>
      <c r="BN5" s="7"/>
      <c r="BO5" s="7"/>
      <c r="BP5" s="7"/>
      <c r="BQ5" s="7"/>
      <c r="BR5" s="7"/>
      <c r="BS5" s="7"/>
      <c r="BT5" s="7"/>
      <c r="BU5" s="7"/>
      <c r="BV5" s="7"/>
      <c r="BW5" s="7"/>
      <c r="BX5" s="7"/>
      <c r="BY5" s="7"/>
      <c r="BZ5" s="7"/>
      <c r="CA5" s="7"/>
      <c r="CB5" s="7"/>
      <c r="CC5" s="7"/>
      <c r="CD5" s="7"/>
      <c r="CE5" s="7"/>
      <c r="CF5" s="7"/>
    </row>
    <row r="6" customFormat="false" ht="186.5" hidden="false" customHeight="false" outlineLevel="0" collapsed="false">
      <c r="A6" s="7" t="s">
        <v>16335</v>
      </c>
      <c r="B6" s="7" t="s">
        <v>16464</v>
      </c>
      <c r="C6" s="7" t="s">
        <v>16465</v>
      </c>
      <c r="D6" s="8" t="s">
        <v>16466</v>
      </c>
      <c r="E6" s="7" t="n">
        <v>2025</v>
      </c>
      <c r="F6" s="6" t="s">
        <v>16467</v>
      </c>
      <c r="G6" s="6" t="s">
        <v>349</v>
      </c>
      <c r="H6" s="8" t="s">
        <v>16468</v>
      </c>
      <c r="I6" s="8" t="s">
        <v>16469</v>
      </c>
      <c r="J6" s="8" t="s">
        <v>16470</v>
      </c>
      <c r="K6" s="8" t="s">
        <v>16409</v>
      </c>
      <c r="L6" s="8" t="s">
        <v>3754</v>
      </c>
      <c r="M6" s="8" t="s">
        <v>16471</v>
      </c>
      <c r="N6" s="8" t="s">
        <v>16472</v>
      </c>
      <c r="O6" s="8" t="s">
        <v>16473</v>
      </c>
      <c r="P6" s="10" t="n">
        <v>0</v>
      </c>
      <c r="Q6" s="7" t="n">
        <v>0</v>
      </c>
      <c r="R6" s="7" t="s">
        <v>61</v>
      </c>
      <c r="S6" s="7" t="s">
        <v>62</v>
      </c>
      <c r="T6" s="7" t="s">
        <v>16474</v>
      </c>
      <c r="U6" s="7" t="n">
        <v>2025</v>
      </c>
      <c r="V6" s="7" t="s">
        <v>16475</v>
      </c>
      <c r="W6" s="7" t="n">
        <v>1</v>
      </c>
      <c r="X6" s="7" t="s">
        <v>16476</v>
      </c>
      <c r="Y6" s="7" t="s">
        <v>16477</v>
      </c>
      <c r="Z6" s="7" t="s">
        <v>16478</v>
      </c>
      <c r="AA6" s="7" t="s">
        <v>16479</v>
      </c>
      <c r="AB6" s="7" t="s">
        <v>16480</v>
      </c>
      <c r="AC6" s="7" t="s">
        <v>16481</v>
      </c>
      <c r="AD6" s="7" t="s">
        <v>16482</v>
      </c>
      <c r="AE6" s="7"/>
      <c r="AF6" s="7" t="s">
        <v>16483</v>
      </c>
      <c r="AG6" s="7" t="s">
        <v>16483</v>
      </c>
      <c r="AH6" s="7" t="s">
        <v>16484</v>
      </c>
      <c r="AI6" s="7" t="n">
        <v>35</v>
      </c>
      <c r="AJ6" s="7" t="n">
        <v>1</v>
      </c>
      <c r="AK6" s="7" t="n">
        <v>1</v>
      </c>
      <c r="AL6" s="7" t="s">
        <v>16485</v>
      </c>
      <c r="AM6" s="7" t="s">
        <v>16486</v>
      </c>
      <c r="AN6" s="7" t="s">
        <v>16487</v>
      </c>
      <c r="AO6" s="7" t="s">
        <v>16488</v>
      </c>
      <c r="AP6" s="7" t="s">
        <v>16489</v>
      </c>
      <c r="AQ6" s="7" t="s">
        <v>16490</v>
      </c>
      <c r="AR6" s="7"/>
      <c r="AS6" s="7"/>
      <c r="AT6" s="7"/>
      <c r="AU6" s="7" t="n">
        <v>9959287</v>
      </c>
      <c r="AV6" s="7" t="s">
        <v>16491</v>
      </c>
      <c r="AW6" s="30" t="str">
        <f aca="false">HYPERLINK("http://dx.doi.org/10.1155/tbed/9959287","http://dx.doi.org/10.1155/tbed/9959287")</f>
        <v>http://dx.doi.org/10.1155/tbed/9959287</v>
      </c>
      <c r="AX6" s="7"/>
      <c r="AY6" s="7" t="n">
        <v>12</v>
      </c>
      <c r="AZ6" s="7" t="s">
        <v>16492</v>
      </c>
      <c r="BA6" s="7" t="s">
        <v>16366</v>
      </c>
      <c r="BB6" s="7" t="s">
        <v>16492</v>
      </c>
      <c r="BC6" s="7" t="s">
        <v>16493</v>
      </c>
      <c r="BD6" s="7"/>
      <c r="BE6" s="7" t="s">
        <v>16494</v>
      </c>
      <c r="BF6" s="7" t="s">
        <v>16369</v>
      </c>
      <c r="BG6" s="7" t="s">
        <v>16495</v>
      </c>
      <c r="BH6" s="7" t="str">
        <f aca="false">HYPERLINK("https%3A%2F%2Fwww.webofscience.com%2Fwos%2Fwoscc%2Ffull-record%2FWOS:001398354600001","View Full Record in Web of Science")</f>
        <v>View Full Record in Web of Science</v>
      </c>
      <c r="BL6" s="7"/>
      <c r="BM6" s="7"/>
      <c r="BN6" s="7"/>
      <c r="BO6" s="7"/>
      <c r="BP6" s="7"/>
      <c r="BQ6" s="7"/>
      <c r="BR6" s="7"/>
      <c r="BS6" s="7"/>
      <c r="BT6" s="7"/>
      <c r="BU6" s="7"/>
      <c r="BV6" s="7"/>
      <c r="BW6" s="7"/>
      <c r="BX6" s="7"/>
      <c r="BY6" s="7"/>
      <c r="BZ6" s="7"/>
      <c r="CA6" s="7"/>
      <c r="CB6" s="7"/>
      <c r="CC6" s="7"/>
      <c r="CD6" s="7"/>
      <c r="CE6" s="7"/>
      <c r="CF6" s="7"/>
    </row>
    <row r="7" customFormat="false" ht="161.75" hidden="false" customHeight="false" outlineLevel="0" collapsed="false">
      <c r="A7" s="7" t="s">
        <v>16335</v>
      </c>
      <c r="B7" s="7" t="s">
        <v>16496</v>
      </c>
      <c r="C7" s="7" t="s">
        <v>16497</v>
      </c>
      <c r="D7" s="8" t="s">
        <v>16498</v>
      </c>
      <c r="E7" s="7" t="n">
        <v>2025</v>
      </c>
      <c r="F7" s="6" t="s">
        <v>16499</v>
      </c>
      <c r="G7" s="6" t="s">
        <v>134</v>
      </c>
      <c r="H7" s="8" t="s">
        <v>60</v>
      </c>
      <c r="I7" s="8" t="s">
        <v>60</v>
      </c>
      <c r="J7" s="8" t="s">
        <v>16500</v>
      </c>
      <c r="K7" s="8" t="s">
        <v>16501</v>
      </c>
      <c r="L7" s="8" t="s">
        <v>3754</v>
      </c>
      <c r="M7" s="8" t="s">
        <v>16502</v>
      </c>
      <c r="N7" s="8" t="s">
        <v>16503</v>
      </c>
      <c r="O7" s="8" t="s">
        <v>16504</v>
      </c>
      <c r="P7" s="10" t="n">
        <v>0</v>
      </c>
      <c r="Q7" s="7" t="n">
        <v>0</v>
      </c>
      <c r="R7" s="7" t="s">
        <v>61</v>
      </c>
      <c r="S7" s="7" t="s">
        <v>62</v>
      </c>
      <c r="T7" s="7" t="s">
        <v>16474</v>
      </c>
      <c r="U7" s="7" t="n">
        <v>2025</v>
      </c>
      <c r="V7" s="7" t="s">
        <v>16475</v>
      </c>
      <c r="W7" s="7" t="n">
        <v>1</v>
      </c>
      <c r="X7" s="7"/>
      <c r="Y7" s="7" t="s">
        <v>16505</v>
      </c>
      <c r="Z7" s="7" t="s">
        <v>16506</v>
      </c>
      <c r="AA7" s="7" t="s">
        <v>16507</v>
      </c>
      <c r="AB7" s="7" t="s">
        <v>16508</v>
      </c>
      <c r="AC7" s="7" t="s">
        <v>16509</v>
      </c>
      <c r="AD7" s="7" t="s">
        <v>16510</v>
      </c>
      <c r="AE7" s="7" t="s">
        <v>16511</v>
      </c>
      <c r="AF7" s="7" t="s">
        <v>16512</v>
      </c>
      <c r="AG7" s="7" t="s">
        <v>16513</v>
      </c>
      <c r="AH7" s="7" t="s">
        <v>16514</v>
      </c>
      <c r="AI7" s="7" t="n">
        <v>46</v>
      </c>
      <c r="AJ7" s="7" t="n">
        <v>0</v>
      </c>
      <c r="AK7" s="7" t="n">
        <v>0</v>
      </c>
      <c r="AL7" s="7" t="s">
        <v>16485</v>
      </c>
      <c r="AM7" s="7" t="s">
        <v>16486</v>
      </c>
      <c r="AN7" s="7" t="s">
        <v>16487</v>
      </c>
      <c r="AO7" s="7" t="s">
        <v>16488</v>
      </c>
      <c r="AP7" s="7" t="s">
        <v>16489</v>
      </c>
      <c r="AQ7" s="7" t="s">
        <v>16490</v>
      </c>
      <c r="AR7" s="7"/>
      <c r="AS7" s="7"/>
      <c r="AT7" s="7"/>
      <c r="AU7" s="7" t="n">
        <v>5018632</v>
      </c>
      <c r="AV7" s="7" t="s">
        <v>16515</v>
      </c>
      <c r="AW7" s="30" t="str">
        <f aca="false">HYPERLINK("http://dx.doi.org/10.1155/tbed/5018632","http://dx.doi.org/10.1155/tbed/5018632")</f>
        <v>http://dx.doi.org/10.1155/tbed/5018632</v>
      </c>
      <c r="AX7" s="7"/>
      <c r="AY7" s="7" t="n">
        <v>10</v>
      </c>
      <c r="AZ7" s="7" t="s">
        <v>16492</v>
      </c>
      <c r="BA7" s="7" t="s">
        <v>16366</v>
      </c>
      <c r="BB7" s="7" t="s">
        <v>16492</v>
      </c>
      <c r="BC7" s="7" t="s">
        <v>16516</v>
      </c>
      <c r="BD7" s="7"/>
      <c r="BE7" s="7" t="s">
        <v>16494</v>
      </c>
      <c r="BF7" s="7" t="s">
        <v>16369</v>
      </c>
      <c r="BG7" s="7" t="s">
        <v>16517</v>
      </c>
      <c r="BH7" s="7" t="str">
        <f aca="false">HYPERLINK("https%3A%2F%2Fwww.webofscience.com%2Fwos%2Fwoscc%2Ffull-record%2FWOS:001400418900001","View Full Record in Web of Science")</f>
        <v>View Full Record in Web of Science</v>
      </c>
      <c r="BL7" s="7"/>
      <c r="BM7" s="7"/>
      <c r="BN7" s="7"/>
      <c r="BO7" s="7"/>
      <c r="BP7" s="7"/>
      <c r="BQ7" s="7"/>
      <c r="BR7" s="7"/>
      <c r="BS7" s="7"/>
      <c r="BT7" s="7"/>
      <c r="BU7" s="7"/>
      <c r="BV7" s="7"/>
      <c r="BW7" s="7"/>
      <c r="BX7" s="7"/>
      <c r="BY7" s="7"/>
      <c r="BZ7" s="7"/>
      <c r="CA7" s="7"/>
      <c r="CB7" s="7"/>
      <c r="CC7" s="7"/>
      <c r="CD7" s="7"/>
      <c r="CE7" s="7"/>
      <c r="CF7" s="7"/>
    </row>
    <row r="8" customFormat="false" ht="248.3" hidden="false" customHeight="false" outlineLevel="0" collapsed="false">
      <c r="A8" s="7" t="s">
        <v>16335</v>
      </c>
      <c r="B8" s="7" t="s">
        <v>16518</v>
      </c>
      <c r="C8" s="7" t="s">
        <v>16519</v>
      </c>
      <c r="D8" s="8" t="s">
        <v>16520</v>
      </c>
      <c r="E8" s="7" t="n">
        <v>2025</v>
      </c>
      <c r="F8" s="6" t="s">
        <v>16521</v>
      </c>
      <c r="G8" s="6" t="s">
        <v>134</v>
      </c>
      <c r="H8" s="8" t="s">
        <v>16522</v>
      </c>
      <c r="I8" s="8" t="s">
        <v>16522</v>
      </c>
      <c r="J8" s="8" t="s">
        <v>16523</v>
      </c>
      <c r="K8" s="8" t="s">
        <v>16524</v>
      </c>
      <c r="L8" s="8" t="s">
        <v>16525</v>
      </c>
      <c r="M8" s="8" t="s">
        <v>16526</v>
      </c>
      <c r="N8" s="8" t="s">
        <v>16527</v>
      </c>
      <c r="O8" s="8" t="s">
        <v>16528</v>
      </c>
      <c r="P8" s="10" t="n">
        <v>0</v>
      </c>
      <c r="Q8" s="7" t="n">
        <v>0</v>
      </c>
      <c r="R8" s="7" t="s">
        <v>16529</v>
      </c>
      <c r="S8" s="7" t="s">
        <v>62</v>
      </c>
      <c r="T8" s="7" t="s">
        <v>16530</v>
      </c>
      <c r="U8" s="7"/>
      <c r="V8" s="7" t="s">
        <v>16531</v>
      </c>
      <c r="W8" s="7"/>
      <c r="X8" s="7" t="s">
        <v>16532</v>
      </c>
      <c r="Y8" s="7" t="s">
        <v>16533</v>
      </c>
      <c r="Z8" s="7" t="s">
        <v>16534</v>
      </c>
      <c r="AA8" s="7" t="s">
        <v>16535</v>
      </c>
      <c r="AB8" s="7" t="s">
        <v>16536</v>
      </c>
      <c r="AC8" s="7" t="s">
        <v>16537</v>
      </c>
      <c r="AD8" s="7"/>
      <c r="AE8" s="7" t="s">
        <v>16538</v>
      </c>
      <c r="AF8" s="7"/>
      <c r="AG8" s="7"/>
      <c r="AH8" s="7"/>
      <c r="AI8" s="7" t="n">
        <v>28</v>
      </c>
      <c r="AJ8" s="7" t="n">
        <v>0</v>
      </c>
      <c r="AK8" s="7" t="n">
        <v>0</v>
      </c>
      <c r="AL8" s="7" t="s">
        <v>16539</v>
      </c>
      <c r="AM8" s="7" t="s">
        <v>16540</v>
      </c>
      <c r="AN8" s="7" t="s">
        <v>16541</v>
      </c>
      <c r="AO8" s="7" t="s">
        <v>16542</v>
      </c>
      <c r="AP8" s="7" t="s">
        <v>16543</v>
      </c>
      <c r="AQ8" s="7" t="s">
        <v>16544</v>
      </c>
      <c r="AR8" s="7" t="s">
        <v>16545</v>
      </c>
      <c r="AS8" s="7"/>
      <c r="AT8" s="7"/>
      <c r="AU8" s="7"/>
      <c r="AV8" s="7" t="s">
        <v>16546</v>
      </c>
      <c r="AW8" s="30" t="str">
        <f aca="false">HYPERLINK("http://dx.doi.org/10.1093/jtm/taaf005","http://dx.doi.org/10.1093/jtm/taaf005")</f>
        <v>http://dx.doi.org/10.1093/jtm/taaf005</v>
      </c>
      <c r="AX8" s="7" t="s">
        <v>16547</v>
      </c>
      <c r="AY8" s="7" t="n">
        <v>7</v>
      </c>
      <c r="AZ8" s="7" t="s">
        <v>16548</v>
      </c>
      <c r="BA8" s="7" t="s">
        <v>16366</v>
      </c>
      <c r="BB8" s="7" t="s">
        <v>16549</v>
      </c>
      <c r="BC8" s="7" t="s">
        <v>16550</v>
      </c>
      <c r="BD8" s="7" t="n">
        <v>39823287</v>
      </c>
      <c r="BE8" s="7"/>
      <c r="BF8" s="7" t="s">
        <v>16369</v>
      </c>
      <c r="BG8" s="7" t="s">
        <v>16551</v>
      </c>
      <c r="BH8" s="7" t="str">
        <f aca="false">HYPERLINK("https%3A%2F%2Fwww.webofscience.com%2Fwos%2Fwoscc%2Ffull-record%2FWOS:001415296000001","View Full Record in Web of Science")</f>
        <v>View Full Record in Web of Science</v>
      </c>
      <c r="BL8" s="7"/>
      <c r="BM8" s="7"/>
      <c r="BN8" s="7"/>
      <c r="BO8" s="7"/>
      <c r="BP8" s="7"/>
      <c r="BQ8" s="7"/>
      <c r="BR8" s="7"/>
      <c r="BS8" s="7"/>
      <c r="BT8" s="7"/>
      <c r="BU8" s="7"/>
      <c r="BV8" s="7"/>
      <c r="BW8" s="7"/>
      <c r="BX8" s="7"/>
      <c r="BY8" s="7"/>
      <c r="BZ8" s="7"/>
      <c r="CA8" s="7"/>
      <c r="CB8" s="7"/>
      <c r="CC8" s="7"/>
      <c r="CD8" s="7"/>
      <c r="CE8" s="7"/>
      <c r="CF8" s="7"/>
    </row>
    <row r="9" customFormat="false" ht="137.05" hidden="false" customHeight="false" outlineLevel="0" collapsed="false">
      <c r="A9" s="7" t="s">
        <v>16335</v>
      </c>
      <c r="B9" s="7" t="s">
        <v>16552</v>
      </c>
      <c r="C9" s="7" t="s">
        <v>16553</v>
      </c>
      <c r="D9" s="8" t="s">
        <v>16554</v>
      </c>
      <c r="E9" s="7" t="n">
        <v>2025</v>
      </c>
      <c r="F9" s="6" t="s">
        <v>16555</v>
      </c>
      <c r="G9" s="6" t="s">
        <v>134</v>
      </c>
      <c r="H9" s="8" t="s">
        <v>16556</v>
      </c>
      <c r="I9" s="8" t="s">
        <v>4174</v>
      </c>
      <c r="J9" s="8" t="s">
        <v>16557</v>
      </c>
      <c r="K9" s="8" t="s">
        <v>16558</v>
      </c>
      <c r="L9" s="8" t="s">
        <v>16559</v>
      </c>
      <c r="M9" s="8" t="s">
        <v>16559</v>
      </c>
      <c r="N9" s="8" t="s">
        <v>16560</v>
      </c>
      <c r="O9" s="8" t="s">
        <v>16561</v>
      </c>
      <c r="P9" s="10" t="n">
        <v>0</v>
      </c>
      <c r="Q9" s="7" t="n">
        <v>0</v>
      </c>
      <c r="R9" s="7" t="s">
        <v>16529</v>
      </c>
      <c r="S9" s="7" t="s">
        <v>62</v>
      </c>
      <c r="T9" s="7" t="s">
        <v>16562</v>
      </c>
      <c r="U9" s="7"/>
      <c r="V9" s="7" t="s">
        <v>16563</v>
      </c>
      <c r="W9" s="7"/>
      <c r="X9" s="7" t="s">
        <v>16564</v>
      </c>
      <c r="Y9" s="7" t="s">
        <v>16565</v>
      </c>
      <c r="Z9" s="7" t="s">
        <v>16566</v>
      </c>
      <c r="AA9" s="7" t="s">
        <v>16567</v>
      </c>
      <c r="AB9" s="7" t="s">
        <v>16568</v>
      </c>
      <c r="AC9" s="7" t="s">
        <v>16569</v>
      </c>
      <c r="AD9" s="7" t="s">
        <v>16570</v>
      </c>
      <c r="AE9" s="7" t="s">
        <v>16571</v>
      </c>
      <c r="AF9" s="7" t="s">
        <v>16572</v>
      </c>
      <c r="AG9" s="7" t="s">
        <v>16573</v>
      </c>
      <c r="AH9" s="7" t="s">
        <v>16574</v>
      </c>
      <c r="AI9" s="7" t="n">
        <v>20</v>
      </c>
      <c r="AJ9" s="7" t="n">
        <v>0</v>
      </c>
      <c r="AK9" s="7" t="n">
        <v>0</v>
      </c>
      <c r="AL9" s="7" t="s">
        <v>16575</v>
      </c>
      <c r="AM9" s="7" t="s">
        <v>16576</v>
      </c>
      <c r="AN9" s="7" t="s">
        <v>16577</v>
      </c>
      <c r="AO9" s="7" t="s">
        <v>16578</v>
      </c>
      <c r="AP9" s="7" t="s">
        <v>16579</v>
      </c>
      <c r="AQ9" s="7" t="s">
        <v>16580</v>
      </c>
      <c r="AR9" s="7" t="s">
        <v>16581</v>
      </c>
      <c r="AS9" s="7"/>
      <c r="AT9" s="7"/>
      <c r="AU9" s="7"/>
      <c r="AV9" s="7" t="s">
        <v>16582</v>
      </c>
      <c r="AW9" s="30" t="str">
        <f aca="false">HYPERLINK("http://dx.doi.org/10.1093/inthealth/ihae085","http://dx.doi.org/10.1093/inthealth/ihae085")</f>
        <v>http://dx.doi.org/10.1093/inthealth/ihae085</v>
      </c>
      <c r="AX9" s="7" t="s">
        <v>16364</v>
      </c>
      <c r="AY9" s="7" t="n">
        <v>7</v>
      </c>
      <c r="AZ9" s="7" t="s">
        <v>16583</v>
      </c>
      <c r="BA9" s="7" t="s">
        <v>16584</v>
      </c>
      <c r="BB9" s="7" t="s">
        <v>16583</v>
      </c>
      <c r="BC9" s="7" t="s">
        <v>16585</v>
      </c>
      <c r="BD9" s="7" t="n">
        <v>39782878</v>
      </c>
      <c r="BE9" s="7" t="s">
        <v>16494</v>
      </c>
      <c r="BF9" s="7" t="s">
        <v>16369</v>
      </c>
      <c r="BG9" s="7" t="s">
        <v>16586</v>
      </c>
      <c r="BH9" s="7" t="str">
        <f aca="false">HYPERLINK("https%3A%2F%2Fwww.webofscience.com%2Fwos%2Fwoscc%2Ffull-record%2FWOS:001394269200001","View Full Record in Web of Science")</f>
        <v>View Full Record in Web of Science</v>
      </c>
      <c r="BL9" s="7"/>
      <c r="BM9" s="7"/>
      <c r="BN9" s="7"/>
      <c r="BO9" s="7"/>
      <c r="BP9" s="7"/>
      <c r="BQ9" s="7"/>
      <c r="BR9" s="7"/>
      <c r="BS9" s="7"/>
      <c r="BT9" s="7"/>
      <c r="BU9" s="7"/>
      <c r="BV9" s="7"/>
      <c r="BW9" s="7"/>
      <c r="BX9" s="7"/>
      <c r="BY9" s="7"/>
      <c r="BZ9" s="7"/>
      <c r="CA9" s="7"/>
      <c r="CB9" s="7"/>
      <c r="CC9" s="7"/>
      <c r="CD9" s="7"/>
      <c r="CE9" s="7"/>
      <c r="CF9" s="7"/>
    </row>
    <row r="10" customFormat="false" ht="137.05" hidden="false" customHeight="false" outlineLevel="0" collapsed="false">
      <c r="A10" s="7" t="s">
        <v>16335</v>
      </c>
      <c r="B10" s="7" t="s">
        <v>16587</v>
      </c>
      <c r="C10" s="7" t="s">
        <v>16588</v>
      </c>
      <c r="D10" s="8" t="s">
        <v>16589</v>
      </c>
      <c r="E10" s="7" t="n">
        <v>2024</v>
      </c>
      <c r="F10" s="6" t="s">
        <v>16590</v>
      </c>
      <c r="G10" s="6" t="s">
        <v>349</v>
      </c>
      <c r="H10" s="8" t="s">
        <v>16591</v>
      </c>
      <c r="I10" s="8" t="s">
        <v>16592</v>
      </c>
      <c r="J10" s="8" t="s">
        <v>16593</v>
      </c>
      <c r="K10" s="8" t="s">
        <v>16594</v>
      </c>
      <c r="L10" s="8" t="s">
        <v>16595</v>
      </c>
      <c r="M10" s="8" t="s">
        <v>16596</v>
      </c>
      <c r="N10" s="8" t="s">
        <v>16597</v>
      </c>
      <c r="O10" s="8" t="s">
        <v>16598</v>
      </c>
      <c r="P10" s="10" t="n">
        <v>8</v>
      </c>
      <c r="Q10" s="7" t="n">
        <v>8</v>
      </c>
      <c r="R10" s="7" t="s">
        <v>61</v>
      </c>
      <c r="S10" s="7" t="s">
        <v>62</v>
      </c>
      <c r="T10" s="7" t="s">
        <v>16599</v>
      </c>
      <c r="U10" s="7" t="n">
        <v>341</v>
      </c>
      <c r="V10" s="7" t="s">
        <v>16600</v>
      </c>
      <c r="W10" s="7" t="n">
        <v>1</v>
      </c>
      <c r="X10" s="7" t="s">
        <v>16601</v>
      </c>
      <c r="Y10" s="7" t="s">
        <v>16602</v>
      </c>
      <c r="Z10" s="7" t="s">
        <v>16603</v>
      </c>
      <c r="AA10" s="7" t="s">
        <v>16604</v>
      </c>
      <c r="AB10" s="7" t="s">
        <v>16605</v>
      </c>
      <c r="AC10" s="7" t="s">
        <v>16606</v>
      </c>
      <c r="AD10" s="7" t="s">
        <v>16607</v>
      </c>
      <c r="AE10" s="7" t="s">
        <v>16608</v>
      </c>
      <c r="AF10" s="7"/>
      <c r="AG10" s="7"/>
      <c r="AH10" s="7"/>
      <c r="AI10" s="7" t="n">
        <v>76</v>
      </c>
      <c r="AJ10" s="7" t="n">
        <v>4</v>
      </c>
      <c r="AK10" s="7" t="n">
        <v>20</v>
      </c>
      <c r="AL10" s="7" t="s">
        <v>16609</v>
      </c>
      <c r="AM10" s="7" t="s">
        <v>16610</v>
      </c>
      <c r="AN10" s="7" t="s">
        <v>16611</v>
      </c>
      <c r="AO10" s="7" t="s">
        <v>16612</v>
      </c>
      <c r="AP10" s="7" t="s">
        <v>16613</v>
      </c>
      <c r="AQ10" s="7" t="s">
        <v>16614</v>
      </c>
      <c r="AR10" s="7" t="s">
        <v>16615</v>
      </c>
      <c r="AS10" s="7" t="n">
        <v>673</v>
      </c>
      <c r="AT10" s="7" t="n">
        <v>697</v>
      </c>
      <c r="AU10" s="7"/>
      <c r="AV10" s="7" t="s">
        <v>16616</v>
      </c>
      <c r="AW10" s="30" t="str">
        <f aca="false">HYPERLINK("http://dx.doi.org/10.1007/s10479-023-05377-4","http://dx.doi.org/10.1007/s10479-023-05377-4")</f>
        <v>http://dx.doi.org/10.1007/s10479-023-05377-4</v>
      </c>
      <c r="AX10" s="7" t="s">
        <v>16617</v>
      </c>
      <c r="AY10" s="7" t="n">
        <v>25</v>
      </c>
      <c r="AZ10" s="7" t="s">
        <v>16618</v>
      </c>
      <c r="BA10" s="7" t="s">
        <v>16366</v>
      </c>
      <c r="BB10" s="7" t="s">
        <v>16618</v>
      </c>
      <c r="BC10" s="7" t="s">
        <v>16619</v>
      </c>
      <c r="BD10" s="7" t="n">
        <v>37361089</v>
      </c>
      <c r="BE10" s="7" t="s">
        <v>16620</v>
      </c>
      <c r="BF10" s="7" t="s">
        <v>16369</v>
      </c>
      <c r="BG10" s="7" t="s">
        <v>16621</v>
      </c>
      <c r="BH10" s="7" t="str">
        <f aca="false">HYPERLINK("https%3A%2F%2Fwww.webofscience.com%2Fwos%2Fwoscc%2Ffull-record%2FWOS:000989804500001","View Full Record in Web of Science")</f>
        <v>View Full Record in Web of Science</v>
      </c>
      <c r="BL10" s="7"/>
      <c r="BM10" s="7"/>
      <c r="BN10" s="7"/>
      <c r="BO10" s="7"/>
      <c r="BP10" s="7"/>
      <c r="BQ10" s="7"/>
      <c r="BR10" s="7"/>
      <c r="BS10" s="7" t="s">
        <v>16622</v>
      </c>
      <c r="BT10" s="7"/>
      <c r="BU10" s="7"/>
      <c r="BV10" s="7"/>
      <c r="BW10" s="7"/>
      <c r="BX10" s="7"/>
      <c r="BY10" s="7"/>
      <c r="BZ10" s="7"/>
      <c r="CA10" s="7"/>
      <c r="CB10" s="7"/>
      <c r="CC10" s="7"/>
      <c r="CD10" s="7"/>
      <c r="CE10" s="7"/>
      <c r="CF10" s="7"/>
    </row>
    <row r="11" customFormat="false" ht="161.75" hidden="false" customHeight="false" outlineLevel="0" collapsed="false">
      <c r="A11" s="7" t="s">
        <v>16335</v>
      </c>
      <c r="B11" s="7" t="s">
        <v>16623</v>
      </c>
      <c r="C11" s="7" t="s">
        <v>16624</v>
      </c>
      <c r="D11" s="8" t="s">
        <v>16625</v>
      </c>
      <c r="E11" s="7" t="n">
        <v>2024</v>
      </c>
      <c r="F11" s="6" t="s">
        <v>16626</v>
      </c>
      <c r="G11" s="6" t="s">
        <v>393</v>
      </c>
      <c r="H11" s="8" t="s">
        <v>16627</v>
      </c>
      <c r="I11" s="8" t="s">
        <v>16627</v>
      </c>
      <c r="J11" s="8" t="s">
        <v>16628</v>
      </c>
      <c r="K11" s="8" t="s">
        <v>16629</v>
      </c>
      <c r="L11" s="8" t="s">
        <v>16559</v>
      </c>
      <c r="M11" s="8" t="s">
        <v>16559</v>
      </c>
      <c r="N11" s="8" t="s">
        <v>16559</v>
      </c>
      <c r="O11" s="8" t="s">
        <v>16630</v>
      </c>
      <c r="P11" s="10" t="n">
        <v>2</v>
      </c>
      <c r="Q11" s="7" t="n">
        <v>2</v>
      </c>
      <c r="R11" s="7" t="s">
        <v>61</v>
      </c>
      <c r="S11" s="7" t="s">
        <v>62</v>
      </c>
      <c r="T11" s="7" t="s">
        <v>16631</v>
      </c>
      <c r="U11" s="7" t="n">
        <v>227</v>
      </c>
      <c r="V11" s="7" t="s">
        <v>16632</v>
      </c>
      <c r="W11" s="7"/>
      <c r="X11" s="7" t="s">
        <v>16633</v>
      </c>
      <c r="Y11" s="7" t="s">
        <v>16634</v>
      </c>
      <c r="Z11" s="7" t="s">
        <v>16635</v>
      </c>
      <c r="AA11" s="7" t="s">
        <v>16636</v>
      </c>
      <c r="AB11" s="7" t="s">
        <v>16637</v>
      </c>
      <c r="AC11" s="7" t="s">
        <v>16638</v>
      </c>
      <c r="AD11" s="7" t="s">
        <v>16639</v>
      </c>
      <c r="AE11" s="7" t="s">
        <v>16640</v>
      </c>
      <c r="AF11" s="7" t="s">
        <v>16641</v>
      </c>
      <c r="AG11" s="7" t="s">
        <v>16642</v>
      </c>
      <c r="AH11" s="7" t="s">
        <v>16643</v>
      </c>
      <c r="AI11" s="7" t="n">
        <v>71</v>
      </c>
      <c r="AJ11" s="7" t="n">
        <v>2</v>
      </c>
      <c r="AK11" s="7" t="n">
        <v>2</v>
      </c>
      <c r="AL11" s="7" t="s">
        <v>16644</v>
      </c>
      <c r="AM11" s="7" t="s">
        <v>16645</v>
      </c>
      <c r="AN11" s="7" t="s">
        <v>16646</v>
      </c>
      <c r="AO11" s="7" t="s">
        <v>16647</v>
      </c>
      <c r="AP11" s="7" t="s">
        <v>16631</v>
      </c>
      <c r="AQ11" s="7" t="s">
        <v>16648</v>
      </c>
      <c r="AR11" s="7" t="s">
        <v>16649</v>
      </c>
      <c r="AS11" s="7" t="n">
        <v>15</v>
      </c>
      <c r="AT11" s="7" t="n">
        <v>27</v>
      </c>
      <c r="AU11" s="7"/>
      <c r="AV11" s="7" t="s">
        <v>16650</v>
      </c>
      <c r="AW11" s="30" t="str">
        <f aca="false">HYPERLINK("http://dx.doi.org/10.1016/j.biochi.2024.06.002","http://dx.doi.org/10.1016/j.biochi.2024.06.002")</f>
        <v>http://dx.doi.org/10.1016/j.biochi.2024.06.002</v>
      </c>
      <c r="AX11" s="7" t="s">
        <v>16651</v>
      </c>
      <c r="AY11" s="7" t="n">
        <v>13</v>
      </c>
      <c r="AZ11" s="7" t="s">
        <v>16652</v>
      </c>
      <c r="BA11" s="7" t="s">
        <v>16366</v>
      </c>
      <c r="BB11" s="7" t="s">
        <v>16652</v>
      </c>
      <c r="BC11" s="7" t="s">
        <v>16653</v>
      </c>
      <c r="BD11" s="7" t="n">
        <v>38871044</v>
      </c>
      <c r="BE11" s="7" t="s">
        <v>16654</v>
      </c>
      <c r="BF11" s="7" t="s">
        <v>16369</v>
      </c>
      <c r="BG11" s="7" t="s">
        <v>16655</v>
      </c>
      <c r="BH11" s="7" t="str">
        <f aca="false">HYPERLINK("https%3A%2F%2Fwww.webofscience.com%2Fwos%2Fwoscc%2Ffull-record%2FWOS:001373110900001","View Full Record in Web of Science")</f>
        <v>View Full Record in Web of Science</v>
      </c>
      <c r="BL11" s="7"/>
      <c r="BM11" s="7"/>
      <c r="BN11" s="7"/>
      <c r="BO11" s="7"/>
      <c r="BP11" s="7"/>
      <c r="BQ11" s="7" t="s">
        <v>16656</v>
      </c>
      <c r="BR11" s="7"/>
      <c r="BS11" s="7"/>
      <c r="BT11" s="7"/>
      <c r="BU11" s="7"/>
      <c r="BV11" s="7"/>
      <c r="BW11" s="7"/>
      <c r="BX11" s="7"/>
      <c r="BY11" s="7"/>
      <c r="BZ11" s="7"/>
      <c r="CA11" s="7"/>
      <c r="CB11" s="7"/>
      <c r="CC11" s="7"/>
      <c r="CD11" s="7"/>
      <c r="CE11" s="7"/>
      <c r="CF11" s="7"/>
    </row>
    <row r="12" customFormat="false" ht="137.05" hidden="false" customHeight="false" outlineLevel="0" collapsed="false">
      <c r="A12" s="7" t="s">
        <v>16335</v>
      </c>
      <c r="B12" s="7" t="s">
        <v>16657</v>
      </c>
      <c r="C12" s="7" t="s">
        <v>16658</v>
      </c>
      <c r="D12" s="8" t="s">
        <v>16659</v>
      </c>
      <c r="E12" s="7" t="n">
        <v>2024</v>
      </c>
      <c r="F12" s="6" t="s">
        <v>16660</v>
      </c>
      <c r="G12" s="6" t="s">
        <v>134</v>
      </c>
      <c r="H12" s="8" t="s">
        <v>16661</v>
      </c>
      <c r="I12" s="8" t="s">
        <v>16661</v>
      </c>
      <c r="J12" s="8" t="s">
        <v>16662</v>
      </c>
      <c r="K12" s="8" t="s">
        <v>16409</v>
      </c>
      <c r="L12" s="8" t="s">
        <v>3754</v>
      </c>
      <c r="M12" s="8" t="s">
        <v>16663</v>
      </c>
      <c r="N12" s="8" t="s">
        <v>16664</v>
      </c>
      <c r="O12" s="8" t="s">
        <v>16665</v>
      </c>
      <c r="P12" s="10" t="n">
        <v>0</v>
      </c>
      <c r="Q12" s="7" t="n">
        <v>0</v>
      </c>
      <c r="R12" s="7" t="s">
        <v>61</v>
      </c>
      <c r="S12" s="7" t="s">
        <v>62</v>
      </c>
      <c r="T12" s="7" t="s">
        <v>16666</v>
      </c>
      <c r="U12" s="7" t="n">
        <v>28</v>
      </c>
      <c r="V12" s="7" t="s">
        <v>16667</v>
      </c>
      <c r="W12" s="7" t="n">
        <v>4</v>
      </c>
      <c r="X12" s="7" t="s">
        <v>16668</v>
      </c>
      <c r="Y12" s="7" t="s">
        <v>16669</v>
      </c>
      <c r="Z12" s="7" t="s">
        <v>16670</v>
      </c>
      <c r="AA12" s="7" t="s">
        <v>16671</v>
      </c>
      <c r="AB12" s="7" t="s">
        <v>16672</v>
      </c>
      <c r="AC12" s="7" t="s">
        <v>16673</v>
      </c>
      <c r="AD12" s="7" t="s">
        <v>16674</v>
      </c>
      <c r="AE12" s="7"/>
      <c r="AF12" s="7" t="s">
        <v>16675</v>
      </c>
      <c r="AG12" s="7" t="s">
        <v>16676</v>
      </c>
      <c r="AH12" s="7" t="s">
        <v>16677</v>
      </c>
      <c r="AI12" s="7" t="n">
        <v>31</v>
      </c>
      <c r="AJ12" s="7" t="n">
        <v>0</v>
      </c>
      <c r="AK12" s="7" t="n">
        <v>0</v>
      </c>
      <c r="AL12" s="7" t="s">
        <v>16678</v>
      </c>
      <c r="AM12" s="7" t="s">
        <v>16679</v>
      </c>
      <c r="AN12" s="7" t="s">
        <v>16680</v>
      </c>
      <c r="AO12" s="7" t="s">
        <v>16681</v>
      </c>
      <c r="AP12" s="7" t="s">
        <v>16682</v>
      </c>
      <c r="AQ12" s="7" t="s">
        <v>568</v>
      </c>
      <c r="AR12" s="7" t="s">
        <v>16683</v>
      </c>
      <c r="AS12" s="7" t="n">
        <v>235</v>
      </c>
      <c r="AT12" s="7" t="n">
        <v>240</v>
      </c>
      <c r="AU12" s="7"/>
      <c r="AV12" s="7"/>
      <c r="AW12" s="7"/>
      <c r="AX12" s="7"/>
      <c r="AY12" s="7" t="n">
        <v>6</v>
      </c>
      <c r="AZ12" s="7" t="s">
        <v>8184</v>
      </c>
      <c r="BA12" s="7" t="s">
        <v>16684</v>
      </c>
      <c r="BB12" s="7" t="s">
        <v>8184</v>
      </c>
      <c r="BC12" s="7" t="s">
        <v>16685</v>
      </c>
      <c r="BD12" s="7"/>
      <c r="BE12" s="7"/>
      <c r="BF12" s="7" t="s">
        <v>16369</v>
      </c>
      <c r="BG12" s="7" t="s">
        <v>16686</v>
      </c>
      <c r="BH12" s="7" t="str">
        <f aca="false">HYPERLINK("https%3A%2F%2Fwww.webofscience.com%2Fwos%2Fwoscc%2Ffull-record%2FWOS:001378367500006","View Full Record in Web of Science")</f>
        <v>View Full Record in Web of Science</v>
      </c>
      <c r="BL12" s="7"/>
      <c r="BM12" s="7"/>
      <c r="BN12" s="7"/>
      <c r="BO12" s="7"/>
      <c r="BP12" s="7"/>
      <c r="BQ12" s="7"/>
      <c r="BR12" s="7"/>
      <c r="BS12" s="7"/>
      <c r="BT12" s="7"/>
      <c r="BU12" s="7"/>
      <c r="BV12" s="7"/>
      <c r="BW12" s="7"/>
      <c r="BX12" s="7"/>
      <c r="BY12" s="7"/>
      <c r="BZ12" s="7"/>
      <c r="CA12" s="7"/>
      <c r="CB12" s="7"/>
      <c r="CC12" s="7"/>
      <c r="CD12" s="7"/>
      <c r="CE12" s="7"/>
      <c r="CF12" s="7"/>
    </row>
    <row r="13" customFormat="false" ht="161.75" hidden="false" customHeight="false" outlineLevel="0" collapsed="false">
      <c r="A13" s="7" t="s">
        <v>16335</v>
      </c>
      <c r="B13" s="7" t="s">
        <v>16687</v>
      </c>
      <c r="C13" s="7" t="s">
        <v>16688</v>
      </c>
      <c r="D13" s="8" t="s">
        <v>16689</v>
      </c>
      <c r="E13" s="7" t="n">
        <v>2024</v>
      </c>
      <c r="F13" s="6" t="s">
        <v>16690</v>
      </c>
      <c r="G13" s="6" t="s">
        <v>393</v>
      </c>
      <c r="H13" s="8" t="s">
        <v>16340</v>
      </c>
      <c r="I13" s="8" t="s">
        <v>16691</v>
      </c>
      <c r="J13" s="8" t="s">
        <v>16692</v>
      </c>
      <c r="K13" s="8" t="s">
        <v>16693</v>
      </c>
      <c r="L13" s="8" t="s">
        <v>3754</v>
      </c>
      <c r="M13" s="8" t="s">
        <v>16694</v>
      </c>
      <c r="N13" s="8" t="s">
        <v>16695</v>
      </c>
      <c r="O13" s="8" t="s">
        <v>16696</v>
      </c>
      <c r="P13" s="10" t="n">
        <v>0</v>
      </c>
      <c r="Q13" s="7" t="n">
        <v>0</v>
      </c>
      <c r="R13" s="7" t="s">
        <v>61</v>
      </c>
      <c r="S13" s="7" t="s">
        <v>62</v>
      </c>
      <c r="T13" s="7" t="s">
        <v>16697</v>
      </c>
      <c r="U13" s="7" t="n">
        <v>9</v>
      </c>
      <c r="V13" s="7" t="s">
        <v>16698</v>
      </c>
      <c r="W13" s="7" t="n">
        <v>12</v>
      </c>
      <c r="X13" s="7" t="s">
        <v>16699</v>
      </c>
      <c r="Y13" s="7" t="s">
        <v>16700</v>
      </c>
      <c r="Z13" s="7" t="s">
        <v>16701</v>
      </c>
      <c r="AA13" s="7" t="s">
        <v>16702</v>
      </c>
      <c r="AB13" s="7" t="s">
        <v>16703</v>
      </c>
      <c r="AC13" s="7" t="s">
        <v>16704</v>
      </c>
      <c r="AD13" s="7" t="s">
        <v>16705</v>
      </c>
      <c r="AE13" s="7"/>
      <c r="AF13" s="7" t="s">
        <v>16706</v>
      </c>
      <c r="AG13" s="7" t="s">
        <v>16707</v>
      </c>
      <c r="AH13" s="7" t="s">
        <v>16708</v>
      </c>
      <c r="AI13" s="7" t="n">
        <v>44</v>
      </c>
      <c r="AJ13" s="7" t="n">
        <v>12</v>
      </c>
      <c r="AK13" s="7" t="n">
        <v>12</v>
      </c>
      <c r="AL13" s="7" t="s">
        <v>16709</v>
      </c>
      <c r="AM13" s="7" t="s">
        <v>16710</v>
      </c>
      <c r="AN13" s="7"/>
      <c r="AO13" s="7" t="s">
        <v>16711</v>
      </c>
      <c r="AP13" s="7" t="s">
        <v>16712</v>
      </c>
      <c r="AQ13" s="7" t="s">
        <v>654</v>
      </c>
      <c r="AR13" s="7"/>
      <c r="AS13" s="7" t="n">
        <v>33495</v>
      </c>
      <c r="AT13" s="7" t="n">
        <v>33531</v>
      </c>
      <c r="AU13" s="7"/>
      <c r="AV13" s="7" t="s">
        <v>645</v>
      </c>
      <c r="AW13" s="30" t="str">
        <f aca="false">HYPERLINK("http://dx.doi.org/10.3934/math.20241599","http://dx.doi.org/10.3934/math.20241599")</f>
        <v>http://dx.doi.org/10.3934/math.20241599</v>
      </c>
      <c r="AX13" s="7"/>
      <c r="AY13" s="7" t="n">
        <v>37</v>
      </c>
      <c r="AZ13" s="7" t="s">
        <v>16713</v>
      </c>
      <c r="BA13" s="7" t="s">
        <v>16366</v>
      </c>
      <c r="BB13" s="7" t="s">
        <v>16714</v>
      </c>
      <c r="BC13" s="7" t="s">
        <v>16715</v>
      </c>
      <c r="BD13" s="7"/>
      <c r="BE13" s="7" t="s">
        <v>16431</v>
      </c>
      <c r="BF13" s="7" t="s">
        <v>16369</v>
      </c>
      <c r="BG13" s="7" t="s">
        <v>16716</v>
      </c>
      <c r="BH13" s="7" t="str">
        <f aca="false">HYPERLINK("https%3A%2F%2Fwww.webofscience.com%2Fwos%2Fwoscc%2Ffull-record%2FWOS:001364953500005","View Full Record in Web of Science")</f>
        <v>View Full Record in Web of Science</v>
      </c>
      <c r="BL13" s="7"/>
      <c r="BM13" s="7"/>
      <c r="BN13" s="7"/>
      <c r="BO13" s="7"/>
      <c r="BP13" s="7"/>
      <c r="BQ13" s="7"/>
      <c r="BR13" s="7"/>
      <c r="BS13" s="7"/>
      <c r="BT13" s="7"/>
      <c r="BU13" s="7"/>
      <c r="BV13" s="7"/>
      <c r="BW13" s="7"/>
      <c r="BX13" s="7"/>
      <c r="BY13" s="7"/>
      <c r="BZ13" s="7"/>
      <c r="CA13" s="7"/>
      <c r="CB13" s="7"/>
      <c r="CC13" s="7"/>
      <c r="CD13" s="7"/>
      <c r="CE13" s="7"/>
      <c r="CF13" s="7"/>
    </row>
    <row r="14" customFormat="false" ht="223.55" hidden="false" customHeight="false" outlineLevel="0" collapsed="false">
      <c r="A14" s="7" t="s">
        <v>16335</v>
      </c>
      <c r="B14" s="7" t="s">
        <v>16717</v>
      </c>
      <c r="C14" s="7" t="s">
        <v>16718</v>
      </c>
      <c r="D14" s="8" t="s">
        <v>16719</v>
      </c>
      <c r="E14" s="7" t="n">
        <v>2024</v>
      </c>
      <c r="F14" s="6" t="s">
        <v>16720</v>
      </c>
      <c r="G14" s="6" t="s">
        <v>134</v>
      </c>
      <c r="H14" s="8" t="s">
        <v>16721</v>
      </c>
      <c r="I14" s="8" t="s">
        <v>16592</v>
      </c>
      <c r="J14" s="8" t="s">
        <v>16722</v>
      </c>
      <c r="K14" s="8" t="s">
        <v>16723</v>
      </c>
      <c r="L14" s="8" t="s">
        <v>3754</v>
      </c>
      <c r="M14" s="8" t="s">
        <v>16724</v>
      </c>
      <c r="N14" s="8" t="s">
        <v>16725</v>
      </c>
      <c r="O14" s="8" t="s">
        <v>16726</v>
      </c>
      <c r="P14" s="10" t="n">
        <v>1</v>
      </c>
      <c r="Q14" s="7" t="n">
        <v>1</v>
      </c>
      <c r="R14" s="7" t="s">
        <v>61</v>
      </c>
      <c r="S14" s="7" t="s">
        <v>62</v>
      </c>
      <c r="T14" s="7" t="s">
        <v>16727</v>
      </c>
      <c r="U14" s="7" t="n">
        <v>161</v>
      </c>
      <c r="V14" s="7" t="s">
        <v>16531</v>
      </c>
      <c r="W14" s="7" t="n">
        <v>5</v>
      </c>
      <c r="X14" s="7" t="s">
        <v>16728</v>
      </c>
      <c r="Y14" s="7" t="s">
        <v>16729</v>
      </c>
      <c r="Z14" s="7" t="s">
        <v>16730</v>
      </c>
      <c r="AA14" s="7" t="s">
        <v>16731</v>
      </c>
      <c r="AB14" s="7" t="s">
        <v>16732</v>
      </c>
      <c r="AC14" s="7" t="s">
        <v>16733</v>
      </c>
      <c r="AD14" s="7"/>
      <c r="AE14" s="7" t="s">
        <v>16734</v>
      </c>
      <c r="AF14" s="7" t="s">
        <v>16735</v>
      </c>
      <c r="AG14" s="7" t="s">
        <v>16735</v>
      </c>
      <c r="AH14" s="7" t="s">
        <v>16736</v>
      </c>
      <c r="AI14" s="7" t="n">
        <v>31</v>
      </c>
      <c r="AJ14" s="7" t="n">
        <v>0</v>
      </c>
      <c r="AK14" s="7" t="n">
        <v>0</v>
      </c>
      <c r="AL14" s="7" t="s">
        <v>16539</v>
      </c>
      <c r="AM14" s="7" t="s">
        <v>16540</v>
      </c>
      <c r="AN14" s="7" t="s">
        <v>16737</v>
      </c>
      <c r="AO14" s="7" t="s">
        <v>16738</v>
      </c>
      <c r="AP14" s="7" t="s">
        <v>16739</v>
      </c>
      <c r="AQ14" s="7" t="s">
        <v>16740</v>
      </c>
      <c r="AR14" s="7" t="s">
        <v>16741</v>
      </c>
      <c r="AS14" s="7" t="n">
        <v>451</v>
      </c>
      <c r="AT14" s="7" t="n">
        <v>462</v>
      </c>
      <c r="AU14" s="7"/>
      <c r="AV14" s="7" t="s">
        <v>16742</v>
      </c>
      <c r="AW14" s="30" t="str">
        <f aca="false">HYPERLINK("http://dx.doi.org/10.1093/ajcp/aqad168","http://dx.doi.org/10.1093/ajcp/aqad168")</f>
        <v>http://dx.doi.org/10.1093/ajcp/aqad168</v>
      </c>
      <c r="AX14" s="7" t="s">
        <v>16743</v>
      </c>
      <c r="AY14" s="7" t="n">
        <v>12</v>
      </c>
      <c r="AZ14" s="7" t="s">
        <v>16744</v>
      </c>
      <c r="BA14" s="7" t="s">
        <v>16366</v>
      </c>
      <c r="BB14" s="7" t="s">
        <v>16744</v>
      </c>
      <c r="BC14" s="7" t="s">
        <v>16745</v>
      </c>
      <c r="BD14" s="7" t="n">
        <v>38113371</v>
      </c>
      <c r="BE14" s="7"/>
      <c r="BF14" s="7" t="s">
        <v>16369</v>
      </c>
      <c r="BG14" s="7" t="s">
        <v>16746</v>
      </c>
      <c r="BH14" s="7" t="str">
        <f aca="false">HYPERLINK("https%3A%2F%2Fwww.webofscience.com%2Fwos%2Fwoscc%2Ffull-record%2FWOS:001126952000001","View Full Record in Web of Science")</f>
        <v>View Full Record in Web of Science</v>
      </c>
      <c r="BL14" s="7"/>
      <c r="BM14" s="7"/>
      <c r="BN14" s="7"/>
      <c r="BO14" s="7"/>
      <c r="BP14" s="7"/>
      <c r="BQ14" s="7"/>
      <c r="BR14" s="7"/>
      <c r="BS14" s="7"/>
      <c r="BT14" s="7"/>
      <c r="BU14" s="7"/>
      <c r="BV14" s="7"/>
      <c r="BW14" s="7"/>
      <c r="BX14" s="7"/>
      <c r="BY14" s="7"/>
      <c r="BZ14" s="7"/>
      <c r="CA14" s="7"/>
      <c r="CB14" s="7"/>
      <c r="CC14" s="7"/>
      <c r="CD14" s="7"/>
      <c r="CE14" s="7"/>
      <c r="CF14" s="7"/>
    </row>
    <row r="15" customFormat="false" ht="137.05" hidden="false" customHeight="false" outlineLevel="0" collapsed="false">
      <c r="A15" s="7" t="s">
        <v>16335</v>
      </c>
      <c r="B15" s="7" t="s">
        <v>16747</v>
      </c>
      <c r="C15" s="7" t="s">
        <v>16748</v>
      </c>
      <c r="D15" s="8" t="s">
        <v>16749</v>
      </c>
      <c r="E15" s="7" t="n">
        <v>2024</v>
      </c>
      <c r="F15" s="6" t="s">
        <v>16750</v>
      </c>
      <c r="G15" s="6" t="s">
        <v>290</v>
      </c>
      <c r="H15" s="8" t="s">
        <v>16751</v>
      </c>
      <c r="I15" s="8" t="s">
        <v>16751</v>
      </c>
      <c r="J15" s="8" t="s">
        <v>16752</v>
      </c>
      <c r="K15" s="8" t="s">
        <v>16753</v>
      </c>
      <c r="L15" s="8" t="s">
        <v>3754</v>
      </c>
      <c r="M15" s="8" t="s">
        <v>16754</v>
      </c>
      <c r="N15" s="8" t="s">
        <v>16755</v>
      </c>
      <c r="O15" s="8" t="s">
        <v>16756</v>
      </c>
      <c r="P15" s="10" t="n">
        <v>0</v>
      </c>
      <c r="Q15" s="7" t="n">
        <v>0</v>
      </c>
      <c r="R15" s="7" t="s">
        <v>61</v>
      </c>
      <c r="S15" s="7" t="s">
        <v>62</v>
      </c>
      <c r="T15" s="7" t="s">
        <v>16757</v>
      </c>
      <c r="U15" s="7" t="n">
        <v>12</v>
      </c>
      <c r="V15" s="7" t="s">
        <v>4048</v>
      </c>
      <c r="W15" s="7" t="n">
        <v>12</v>
      </c>
      <c r="X15" s="7" t="s">
        <v>16758</v>
      </c>
      <c r="Y15" s="7" t="s">
        <v>16759</v>
      </c>
      <c r="Z15" s="7" t="s">
        <v>16760</v>
      </c>
      <c r="AA15" s="7" t="s">
        <v>16761</v>
      </c>
      <c r="AB15" s="7" t="s">
        <v>16762</v>
      </c>
      <c r="AC15" s="7" t="s">
        <v>16763</v>
      </c>
      <c r="AD15" s="7" t="s">
        <v>16764</v>
      </c>
      <c r="AE15" s="7" t="s">
        <v>16765</v>
      </c>
      <c r="AF15" s="7" t="s">
        <v>16766</v>
      </c>
      <c r="AG15" s="7" t="s">
        <v>16767</v>
      </c>
      <c r="AH15" s="7" t="s">
        <v>16768</v>
      </c>
      <c r="AI15" s="7" t="n">
        <v>41</v>
      </c>
      <c r="AJ15" s="7" t="n">
        <v>1</v>
      </c>
      <c r="AK15" s="7" t="n">
        <v>1</v>
      </c>
      <c r="AL15" s="7" t="s">
        <v>16769</v>
      </c>
      <c r="AM15" s="7" t="s">
        <v>16770</v>
      </c>
      <c r="AN15" s="7"/>
      <c r="AO15" s="7" t="s">
        <v>16771</v>
      </c>
      <c r="AP15" s="7" t="s">
        <v>16757</v>
      </c>
      <c r="AQ15" s="7" t="s">
        <v>16772</v>
      </c>
      <c r="AR15" s="7" t="s">
        <v>16649</v>
      </c>
      <c r="AS15" s="7"/>
      <c r="AT15" s="7"/>
      <c r="AU15" s="7" t="n">
        <v>2894</v>
      </c>
      <c r="AV15" s="7" t="s">
        <v>16773</v>
      </c>
      <c r="AW15" s="30" t="str">
        <f aca="false">HYPERLINK("http://dx.doi.org/10.3390/biomedicines12122894","http://dx.doi.org/10.3390/biomedicines12122894")</f>
        <v>http://dx.doi.org/10.3390/biomedicines12122894</v>
      </c>
      <c r="AX15" s="7"/>
      <c r="AY15" s="7" t="n">
        <v>14</v>
      </c>
      <c r="AZ15" s="7" t="s">
        <v>16774</v>
      </c>
      <c r="BA15" s="7" t="s">
        <v>16366</v>
      </c>
      <c r="BB15" s="7" t="s">
        <v>16775</v>
      </c>
      <c r="BC15" s="7" t="s">
        <v>16776</v>
      </c>
      <c r="BD15" s="7" t="n">
        <v>39767801</v>
      </c>
      <c r="BE15" s="7" t="s">
        <v>16431</v>
      </c>
      <c r="BF15" s="7" t="s">
        <v>16369</v>
      </c>
      <c r="BG15" s="7" t="s">
        <v>16777</v>
      </c>
      <c r="BH15" s="7" t="str">
        <f aca="false">HYPERLINK("https%3A%2F%2Fwww.webofscience.com%2Fwos%2Fwoscc%2Ffull-record%2FWOS:001387670900001","View Full Record in Web of Science")</f>
        <v>View Full Record in Web of Science</v>
      </c>
      <c r="BL15" s="7"/>
      <c r="BM15" s="7"/>
      <c r="BN15" s="7"/>
      <c r="BO15" s="7"/>
      <c r="BP15" s="7"/>
      <c r="BQ15" s="7"/>
      <c r="BR15" s="7"/>
      <c r="BS15" s="7"/>
      <c r="BT15" s="7"/>
      <c r="BU15" s="7"/>
      <c r="BV15" s="7"/>
      <c r="BW15" s="7"/>
      <c r="BX15" s="7"/>
      <c r="BY15" s="7"/>
      <c r="BZ15" s="7"/>
      <c r="CA15" s="7"/>
      <c r="CB15" s="7"/>
      <c r="CC15" s="7"/>
      <c r="CD15" s="7"/>
      <c r="CE15" s="7"/>
      <c r="CF15" s="7"/>
    </row>
    <row r="16" customFormat="false" ht="112.35" hidden="false" customHeight="false" outlineLevel="0" collapsed="false">
      <c r="A16" s="7" t="s">
        <v>16335</v>
      </c>
      <c r="B16" s="7" t="s">
        <v>16778</v>
      </c>
      <c r="C16" s="7" t="s">
        <v>16779</v>
      </c>
      <c r="D16" s="8" t="s">
        <v>16780</v>
      </c>
      <c r="E16" s="7" t="n">
        <v>2024</v>
      </c>
      <c r="F16" s="6" t="s">
        <v>16781</v>
      </c>
      <c r="G16" s="6" t="s">
        <v>134</v>
      </c>
      <c r="H16" s="8" t="s">
        <v>16661</v>
      </c>
      <c r="I16" s="8" t="s">
        <v>16661</v>
      </c>
      <c r="J16" s="8" t="s">
        <v>16782</v>
      </c>
      <c r="K16" s="8" t="s">
        <v>16783</v>
      </c>
      <c r="L16" s="8" t="s">
        <v>3754</v>
      </c>
      <c r="M16" s="8" t="s">
        <v>16784</v>
      </c>
      <c r="N16" s="8" t="s">
        <v>16785</v>
      </c>
      <c r="O16" s="8" t="s">
        <v>16786</v>
      </c>
      <c r="P16" s="10" t="n">
        <v>0</v>
      </c>
      <c r="Q16" s="7" t="n">
        <v>0</v>
      </c>
      <c r="R16" s="7" t="s">
        <v>61</v>
      </c>
      <c r="S16" s="7" t="s">
        <v>62</v>
      </c>
      <c r="T16" s="7" t="s">
        <v>16787</v>
      </c>
      <c r="U16" s="7" t="n">
        <v>11</v>
      </c>
      <c r="V16" s="7" t="s">
        <v>4048</v>
      </c>
      <c r="W16" s="7" t="n">
        <v>3</v>
      </c>
      <c r="X16" s="7" t="s">
        <v>16788</v>
      </c>
      <c r="Y16" s="7" t="s">
        <v>16789</v>
      </c>
      <c r="Z16" s="7" t="s">
        <v>16790</v>
      </c>
      <c r="AA16" s="7" t="s">
        <v>16791</v>
      </c>
      <c r="AB16" s="7" t="s">
        <v>16792</v>
      </c>
      <c r="AC16" s="7" t="s">
        <v>16793</v>
      </c>
      <c r="AD16" s="7" t="s">
        <v>16794</v>
      </c>
      <c r="AE16" s="7" t="s">
        <v>16795</v>
      </c>
      <c r="AF16" s="7" t="s">
        <v>16796</v>
      </c>
      <c r="AG16" s="7" t="s">
        <v>16797</v>
      </c>
      <c r="AH16" s="7" t="s">
        <v>16798</v>
      </c>
      <c r="AI16" s="7" t="n">
        <v>42</v>
      </c>
      <c r="AJ16" s="7" t="n">
        <v>3</v>
      </c>
      <c r="AK16" s="7" t="n">
        <v>3</v>
      </c>
      <c r="AL16" s="7" t="s">
        <v>16769</v>
      </c>
      <c r="AM16" s="7" t="s">
        <v>16770</v>
      </c>
      <c r="AN16" s="7"/>
      <c r="AO16" s="7" t="s">
        <v>16799</v>
      </c>
      <c r="AP16" s="7" t="s">
        <v>16787</v>
      </c>
      <c r="AQ16" s="7" t="s">
        <v>16800</v>
      </c>
      <c r="AR16" s="7" t="s">
        <v>16801</v>
      </c>
      <c r="AS16" s="7"/>
      <c r="AT16" s="7"/>
      <c r="AU16" s="7" t="n">
        <v>69</v>
      </c>
      <c r="AV16" s="7" t="s">
        <v>943</v>
      </c>
      <c r="AW16" s="30" t="str">
        <f aca="false">HYPERLINK("http://dx.doi.org/10.3390/informatics11030069","http://dx.doi.org/10.3390/informatics11030069")</f>
        <v>http://dx.doi.org/10.3390/informatics11030069</v>
      </c>
      <c r="AX16" s="7"/>
      <c r="AY16" s="7" t="n">
        <v>20</v>
      </c>
      <c r="AZ16" s="7" t="s">
        <v>16802</v>
      </c>
      <c r="BA16" s="7" t="s">
        <v>16684</v>
      </c>
      <c r="BB16" s="7" t="s">
        <v>16367</v>
      </c>
      <c r="BC16" s="7" t="s">
        <v>16803</v>
      </c>
      <c r="BD16" s="7"/>
      <c r="BE16" s="7" t="s">
        <v>16431</v>
      </c>
      <c r="BF16" s="7" t="s">
        <v>16369</v>
      </c>
      <c r="BG16" s="7" t="s">
        <v>16804</v>
      </c>
      <c r="BH16" s="7" t="str">
        <f aca="false">HYPERLINK("https%3A%2F%2Fwww.webofscience.com%2Fwos%2Fwoscc%2Ffull-record%2FWOS:001322969700001","View Full Record in Web of Science")</f>
        <v>View Full Record in Web of Science</v>
      </c>
      <c r="BL16" s="7"/>
      <c r="BM16" s="7"/>
      <c r="BN16" s="7"/>
      <c r="BO16" s="7"/>
      <c r="BP16" s="7"/>
      <c r="BQ16" s="7"/>
      <c r="BR16" s="7"/>
      <c r="BS16" s="7"/>
      <c r="BT16" s="7"/>
      <c r="BU16" s="7"/>
      <c r="BV16" s="7"/>
      <c r="BW16" s="7"/>
      <c r="BX16" s="7"/>
      <c r="BY16" s="7"/>
      <c r="BZ16" s="7"/>
      <c r="CA16" s="7"/>
      <c r="CB16" s="7"/>
      <c r="CC16" s="7"/>
      <c r="CD16" s="7"/>
      <c r="CE16" s="7"/>
      <c r="CF16" s="7"/>
    </row>
    <row r="17" customFormat="false" ht="137.05" hidden="false" customHeight="false" outlineLevel="0" collapsed="false">
      <c r="A17" s="7" t="s">
        <v>16335</v>
      </c>
      <c r="B17" s="7" t="s">
        <v>16805</v>
      </c>
      <c r="C17" s="7" t="s">
        <v>16806</v>
      </c>
      <c r="D17" s="8" t="s">
        <v>16807</v>
      </c>
      <c r="E17" s="7" t="n">
        <v>2024</v>
      </c>
      <c r="F17" s="6" t="s">
        <v>16808</v>
      </c>
      <c r="G17" s="6" t="s">
        <v>134</v>
      </c>
      <c r="H17" s="8" t="s">
        <v>16721</v>
      </c>
      <c r="I17" s="8" t="s">
        <v>16809</v>
      </c>
      <c r="J17" s="8" t="s">
        <v>16752</v>
      </c>
      <c r="K17" s="8" t="s">
        <v>16409</v>
      </c>
      <c r="L17" s="8" t="s">
        <v>3754</v>
      </c>
      <c r="M17" s="8" t="s">
        <v>16810</v>
      </c>
      <c r="N17" s="8" t="s">
        <v>16811</v>
      </c>
      <c r="O17" s="8" t="s">
        <v>16812</v>
      </c>
      <c r="P17" s="10" t="n">
        <v>1</v>
      </c>
      <c r="Q17" s="7" t="n">
        <v>1</v>
      </c>
      <c r="R17" s="7" t="s">
        <v>61</v>
      </c>
      <c r="S17" s="7" t="s">
        <v>62</v>
      </c>
      <c r="T17" s="7" t="s">
        <v>16813</v>
      </c>
      <c r="U17" s="7" t="n">
        <v>16</v>
      </c>
      <c r="V17" s="7" t="s">
        <v>16814</v>
      </c>
      <c r="W17" s="7" t="n">
        <v>5</v>
      </c>
      <c r="X17" s="7" t="s">
        <v>16815</v>
      </c>
      <c r="Y17" s="7" t="s">
        <v>16816</v>
      </c>
      <c r="Z17" s="7" t="s">
        <v>16817</v>
      </c>
      <c r="AA17" s="7" t="s">
        <v>16818</v>
      </c>
      <c r="AB17" s="7" t="s">
        <v>16819</v>
      </c>
      <c r="AC17" s="7" t="s">
        <v>16820</v>
      </c>
      <c r="AD17" s="7"/>
      <c r="AE17" s="7"/>
      <c r="AF17" s="7"/>
      <c r="AG17" s="7"/>
      <c r="AH17" s="7"/>
      <c r="AI17" s="7" t="n">
        <v>25</v>
      </c>
      <c r="AJ17" s="7" t="n">
        <v>1</v>
      </c>
      <c r="AK17" s="7" t="n">
        <v>1</v>
      </c>
      <c r="AL17" s="7" t="s">
        <v>16821</v>
      </c>
      <c r="AM17" s="7" t="s">
        <v>16822</v>
      </c>
      <c r="AN17" s="7"/>
      <c r="AO17" s="7" t="s">
        <v>16823</v>
      </c>
      <c r="AP17" s="7" t="s">
        <v>16824</v>
      </c>
      <c r="AQ17" s="7" t="s">
        <v>16825</v>
      </c>
      <c r="AR17" s="7" t="s">
        <v>16826</v>
      </c>
      <c r="AS17" s="7"/>
      <c r="AT17" s="7"/>
      <c r="AU17" s="7" t="s">
        <v>16827</v>
      </c>
      <c r="AV17" s="7" t="s">
        <v>16828</v>
      </c>
      <c r="AW17" s="30" t="str">
        <f aca="false">HYPERLINK("http://dx.doi.org/10.7759/cureus.60224","http://dx.doi.org/10.7759/cureus.60224")</f>
        <v>http://dx.doi.org/10.7759/cureus.60224</v>
      </c>
      <c r="AX17" s="7"/>
      <c r="AY17" s="7" t="n">
        <v>24</v>
      </c>
      <c r="AZ17" s="7" t="s">
        <v>16829</v>
      </c>
      <c r="BA17" s="7" t="s">
        <v>16684</v>
      </c>
      <c r="BB17" s="7" t="s">
        <v>16830</v>
      </c>
      <c r="BC17" s="7" t="s">
        <v>16831</v>
      </c>
      <c r="BD17" s="7" t="n">
        <v>38868293</v>
      </c>
      <c r="BE17" s="7" t="s">
        <v>16832</v>
      </c>
      <c r="BF17" s="7" t="s">
        <v>16369</v>
      </c>
      <c r="BG17" s="7" t="s">
        <v>16833</v>
      </c>
      <c r="BH17" s="7" t="str">
        <f aca="false">HYPERLINK("https%3A%2F%2Fwww.webofscience.com%2Fwos%2Fwoscc%2Ffull-record%2FWOS:001244197200010","View Full Record in Web of Science")</f>
        <v>View Full Record in Web of Science</v>
      </c>
      <c r="BL17" s="7"/>
      <c r="BM17" s="7"/>
      <c r="BN17" s="7"/>
      <c r="BO17" s="7"/>
      <c r="BP17" s="7"/>
      <c r="BQ17" s="7"/>
      <c r="BR17" s="7"/>
      <c r="BS17" s="7"/>
      <c r="BT17" s="7"/>
      <c r="BU17" s="7"/>
      <c r="BV17" s="7"/>
      <c r="BW17" s="7"/>
      <c r="BX17" s="7"/>
      <c r="BY17" s="7"/>
      <c r="BZ17" s="7"/>
      <c r="CA17" s="7"/>
      <c r="CB17" s="7"/>
      <c r="CC17" s="7"/>
      <c r="CD17" s="7"/>
      <c r="CE17" s="7"/>
      <c r="CF17" s="7"/>
    </row>
    <row r="18" customFormat="false" ht="211.2" hidden="false" customHeight="false" outlineLevel="0" collapsed="false">
      <c r="A18" s="7" t="s">
        <v>16335</v>
      </c>
      <c r="B18" s="7" t="s">
        <v>16834</v>
      </c>
      <c r="C18" s="7" t="s">
        <v>16835</v>
      </c>
      <c r="D18" s="8" t="s">
        <v>16836</v>
      </c>
      <c r="E18" s="7" t="n">
        <v>2024</v>
      </c>
      <c r="F18" s="6" t="s">
        <v>16837</v>
      </c>
      <c r="G18" s="6" t="s">
        <v>349</v>
      </c>
      <c r="H18" s="8" t="s">
        <v>16838</v>
      </c>
      <c r="I18" s="8" t="s">
        <v>4174</v>
      </c>
      <c r="J18" s="8" t="s">
        <v>16839</v>
      </c>
      <c r="K18" s="8" t="s">
        <v>16840</v>
      </c>
      <c r="L18" s="8" t="s">
        <v>3754</v>
      </c>
      <c r="M18" s="8" t="s">
        <v>16841</v>
      </c>
      <c r="N18" s="8" t="s">
        <v>16842</v>
      </c>
      <c r="O18" s="8" t="s">
        <v>16843</v>
      </c>
      <c r="P18" s="10" t="n">
        <v>0</v>
      </c>
      <c r="Q18" s="7" t="n">
        <v>0</v>
      </c>
      <c r="R18" s="7" t="s">
        <v>61</v>
      </c>
      <c r="S18" s="7" t="s">
        <v>62</v>
      </c>
      <c r="T18" s="7" t="s">
        <v>16844</v>
      </c>
      <c r="U18" s="7" t="n">
        <v>18</v>
      </c>
      <c r="V18" s="7" t="s">
        <v>16845</v>
      </c>
      <c r="W18" s="7" t="n">
        <v>10</v>
      </c>
      <c r="X18" s="7"/>
      <c r="Y18" s="7" t="s">
        <v>16846</v>
      </c>
      <c r="Z18" s="7" t="s">
        <v>16847</v>
      </c>
      <c r="AA18" s="7" t="s">
        <v>16848</v>
      </c>
      <c r="AB18" s="7" t="s">
        <v>16849</v>
      </c>
      <c r="AC18" s="7" t="s">
        <v>16850</v>
      </c>
      <c r="AD18" s="7"/>
      <c r="AE18" s="7" t="s">
        <v>16851</v>
      </c>
      <c r="AF18" s="7" t="s">
        <v>16852</v>
      </c>
      <c r="AG18" s="7" t="s">
        <v>16853</v>
      </c>
      <c r="AH18" s="7" t="s">
        <v>16854</v>
      </c>
      <c r="AI18" s="7" t="n">
        <v>74</v>
      </c>
      <c r="AJ18" s="7" t="n">
        <v>6</v>
      </c>
      <c r="AK18" s="7" t="n">
        <v>6</v>
      </c>
      <c r="AL18" s="7" t="s">
        <v>16855</v>
      </c>
      <c r="AM18" s="7" t="s">
        <v>16856</v>
      </c>
      <c r="AN18" s="7" t="s">
        <v>16857</v>
      </c>
      <c r="AO18" s="7"/>
      <c r="AP18" s="7" t="s">
        <v>16858</v>
      </c>
      <c r="AQ18" s="7" t="s">
        <v>16859</v>
      </c>
      <c r="AR18" s="7" t="s">
        <v>16615</v>
      </c>
      <c r="AS18" s="7"/>
      <c r="AT18" s="7"/>
      <c r="AU18" s="7" t="s">
        <v>16860</v>
      </c>
      <c r="AV18" s="7" t="s">
        <v>16861</v>
      </c>
      <c r="AW18" s="30" t="str">
        <f aca="false">HYPERLINK("http://dx.doi.org/10.1371/journal.pntd.0012599","http://dx.doi.org/10.1371/journal.pntd.0012599")</f>
        <v>http://dx.doi.org/10.1371/journal.pntd.0012599</v>
      </c>
      <c r="AX18" s="7"/>
      <c r="AY18" s="7" t="n">
        <v>22</v>
      </c>
      <c r="AZ18" s="7" t="s">
        <v>16862</v>
      </c>
      <c r="BA18" s="7" t="s">
        <v>16366</v>
      </c>
      <c r="BB18" s="7" t="s">
        <v>16862</v>
      </c>
      <c r="BC18" s="7" t="s">
        <v>16863</v>
      </c>
      <c r="BD18" s="7" t="n">
        <v>39432557</v>
      </c>
      <c r="BE18" s="7" t="s">
        <v>16431</v>
      </c>
      <c r="BF18" s="7" t="s">
        <v>16369</v>
      </c>
      <c r="BG18" s="7" t="s">
        <v>16864</v>
      </c>
      <c r="BH18" s="7" t="str">
        <f aca="false">HYPERLINK("https%3A%2F%2Fwww.webofscience.com%2Fwos%2Fwoscc%2Ffull-record%2FWOS:001357137900005","View Full Record in Web of Science")</f>
        <v>View Full Record in Web of Science</v>
      </c>
      <c r="BL18" s="7"/>
      <c r="BM18" s="7"/>
      <c r="BN18" s="7"/>
      <c r="BO18" s="7"/>
      <c r="BP18" s="7"/>
      <c r="BQ18" s="7"/>
      <c r="BR18" s="7"/>
      <c r="BS18" s="7"/>
      <c r="BT18" s="7"/>
      <c r="BU18" s="7"/>
      <c r="BV18" s="7"/>
      <c r="BW18" s="7"/>
      <c r="BX18" s="7"/>
      <c r="BY18" s="7"/>
      <c r="BZ18" s="7"/>
      <c r="CA18" s="7"/>
      <c r="CB18" s="7"/>
      <c r="CC18" s="7"/>
      <c r="CD18" s="7"/>
      <c r="CE18" s="7"/>
      <c r="CF18" s="7"/>
    </row>
    <row r="19" customFormat="false" ht="223.55" hidden="false" customHeight="false" outlineLevel="0" collapsed="false">
      <c r="A19" s="7" t="s">
        <v>16335</v>
      </c>
      <c r="B19" s="7" t="s">
        <v>16865</v>
      </c>
      <c r="C19" s="7" t="s">
        <v>16866</v>
      </c>
      <c r="D19" s="8" t="s">
        <v>16867</v>
      </c>
      <c r="E19" s="7" t="n">
        <v>2024</v>
      </c>
      <c r="F19" s="6" t="s">
        <v>16868</v>
      </c>
      <c r="G19" s="6" t="s">
        <v>134</v>
      </c>
      <c r="H19" s="8" t="s">
        <v>3920</v>
      </c>
      <c r="I19" s="8" t="s">
        <v>16869</v>
      </c>
      <c r="J19" s="8" t="s">
        <v>16870</v>
      </c>
      <c r="K19" s="8" t="s">
        <v>16871</v>
      </c>
      <c r="L19" s="8" t="s">
        <v>3754</v>
      </c>
      <c r="M19" s="8" t="s">
        <v>16872</v>
      </c>
      <c r="N19" s="8" t="s">
        <v>16873</v>
      </c>
      <c r="O19" s="8" t="s">
        <v>16874</v>
      </c>
      <c r="P19" s="10" t="n">
        <v>1</v>
      </c>
      <c r="Q19" s="7" t="n">
        <v>1</v>
      </c>
      <c r="R19" s="7" t="s">
        <v>61</v>
      </c>
      <c r="S19" s="7" t="s">
        <v>62</v>
      </c>
      <c r="T19" s="7" t="s">
        <v>16875</v>
      </c>
      <c r="U19" s="7" t="n">
        <v>258</v>
      </c>
      <c r="V19" s="7" t="s">
        <v>16349</v>
      </c>
      <c r="W19" s="7"/>
      <c r="X19" s="7" t="s">
        <v>16876</v>
      </c>
      <c r="Y19" s="7" t="s">
        <v>16877</v>
      </c>
      <c r="Z19" s="7" t="s">
        <v>16878</v>
      </c>
      <c r="AA19" s="7"/>
      <c r="AB19" s="7" t="s">
        <v>16879</v>
      </c>
      <c r="AC19" s="7" t="s">
        <v>16880</v>
      </c>
      <c r="AD19" s="7" t="s">
        <v>16881</v>
      </c>
      <c r="AE19" s="7" t="s">
        <v>16882</v>
      </c>
      <c r="AF19" s="7" t="s">
        <v>16883</v>
      </c>
      <c r="AG19" s="7" t="s">
        <v>16884</v>
      </c>
      <c r="AH19" s="7" t="s">
        <v>16885</v>
      </c>
      <c r="AI19" s="7" t="n">
        <v>105</v>
      </c>
      <c r="AJ19" s="7" t="n">
        <v>10</v>
      </c>
      <c r="AK19" s="7" t="n">
        <v>11</v>
      </c>
      <c r="AL19" s="7" t="s">
        <v>16356</v>
      </c>
      <c r="AM19" s="7" t="s">
        <v>16357</v>
      </c>
      <c r="AN19" s="7" t="s">
        <v>16886</v>
      </c>
      <c r="AO19" s="7" t="s">
        <v>16887</v>
      </c>
      <c r="AP19" s="7" t="s">
        <v>16888</v>
      </c>
      <c r="AQ19" s="7" t="s">
        <v>1926</v>
      </c>
      <c r="AR19" s="7" t="s">
        <v>16615</v>
      </c>
      <c r="AS19" s="7"/>
      <c r="AT19" s="7"/>
      <c r="AU19" s="7" t="n">
        <v>107348</v>
      </c>
      <c r="AV19" s="7" t="s">
        <v>16889</v>
      </c>
      <c r="AW19" s="30" t="str">
        <f aca="false">HYPERLINK("http://dx.doi.org/10.1016/j.actatropica.2024.107348","http://dx.doi.org/10.1016/j.actatropica.2024.107348")</f>
        <v>http://dx.doi.org/10.1016/j.actatropica.2024.107348</v>
      </c>
      <c r="AX19" s="7" t="s">
        <v>16890</v>
      </c>
      <c r="AY19" s="7" t="n">
        <v>12</v>
      </c>
      <c r="AZ19" s="7" t="s">
        <v>16891</v>
      </c>
      <c r="BA19" s="7" t="s">
        <v>16366</v>
      </c>
      <c r="BB19" s="7" t="s">
        <v>16891</v>
      </c>
      <c r="BC19" s="7" t="s">
        <v>16892</v>
      </c>
      <c r="BD19" s="7" t="n">
        <v>39098749</v>
      </c>
      <c r="BE19" s="7"/>
      <c r="BF19" s="7" t="s">
        <v>16369</v>
      </c>
      <c r="BG19" s="7" t="s">
        <v>16893</v>
      </c>
      <c r="BH19" s="7" t="str">
        <f aca="false">HYPERLINK("https%3A%2F%2Fwww.webofscience.com%2Fwos%2Fwoscc%2Ffull-record%2FWOS:001295636400001","View Full Record in Web of Science")</f>
        <v>View Full Record in Web of Science</v>
      </c>
      <c r="BL19" s="7"/>
      <c r="BM19" s="7"/>
      <c r="BN19" s="7"/>
      <c r="BO19" s="7"/>
      <c r="BP19" s="7"/>
      <c r="BQ19" s="7"/>
      <c r="BR19" s="7"/>
      <c r="BS19" s="7"/>
      <c r="BT19" s="7"/>
      <c r="BU19" s="7"/>
      <c r="BV19" s="7"/>
      <c r="BW19" s="7"/>
      <c r="BX19" s="7"/>
      <c r="BY19" s="7"/>
      <c r="BZ19" s="7"/>
      <c r="CA19" s="7"/>
      <c r="CB19" s="7"/>
      <c r="CC19" s="7"/>
      <c r="CD19" s="7"/>
      <c r="CE19" s="7"/>
      <c r="CF19" s="7"/>
    </row>
    <row r="20" customFormat="false" ht="161.75" hidden="false" customHeight="false" outlineLevel="0" collapsed="false">
      <c r="A20" s="7" t="s">
        <v>16335</v>
      </c>
      <c r="B20" s="7" t="s">
        <v>16894</v>
      </c>
      <c r="C20" s="7" t="s">
        <v>16895</v>
      </c>
      <c r="D20" s="8" t="s">
        <v>16896</v>
      </c>
      <c r="E20" s="7" t="n">
        <v>2024</v>
      </c>
      <c r="F20" s="6" t="s">
        <v>16897</v>
      </c>
      <c r="G20" s="6" t="s">
        <v>134</v>
      </c>
      <c r="H20" s="8" t="s">
        <v>16898</v>
      </c>
      <c r="I20" s="8" t="s">
        <v>16341</v>
      </c>
      <c r="J20" s="8" t="s">
        <v>16782</v>
      </c>
      <c r="K20" s="8" t="s">
        <v>16840</v>
      </c>
      <c r="L20" s="8" t="s">
        <v>3754</v>
      </c>
      <c r="M20" s="8" t="s">
        <v>16899</v>
      </c>
      <c r="N20" s="8" t="s">
        <v>16900</v>
      </c>
      <c r="O20" s="8" t="s">
        <v>16901</v>
      </c>
      <c r="P20" s="10" t="n">
        <v>0</v>
      </c>
      <c r="Q20" s="7" t="n">
        <v>0</v>
      </c>
      <c r="R20" s="7" t="s">
        <v>61</v>
      </c>
      <c r="S20" s="7" t="s">
        <v>62</v>
      </c>
      <c r="T20" s="7" t="s">
        <v>16902</v>
      </c>
      <c r="U20" s="7" t="n">
        <v>2024</v>
      </c>
      <c r="V20" s="7" t="s">
        <v>16475</v>
      </c>
      <c r="W20" s="7"/>
      <c r="X20" s="7"/>
      <c r="Y20" s="7"/>
      <c r="Z20" s="7" t="s">
        <v>16903</v>
      </c>
      <c r="AA20" s="7" t="s">
        <v>16904</v>
      </c>
      <c r="AB20" s="7" t="s">
        <v>16905</v>
      </c>
      <c r="AC20" s="7" t="s">
        <v>16906</v>
      </c>
      <c r="AD20" s="7"/>
      <c r="AE20" s="7" t="s">
        <v>16907</v>
      </c>
      <c r="AF20" s="7"/>
      <c r="AG20" s="7"/>
      <c r="AH20" s="7"/>
      <c r="AI20" s="7" t="n">
        <v>27</v>
      </c>
      <c r="AJ20" s="7" t="n">
        <v>1</v>
      </c>
      <c r="AK20" s="7" t="n">
        <v>1</v>
      </c>
      <c r="AL20" s="7" t="s">
        <v>16485</v>
      </c>
      <c r="AM20" s="7" t="s">
        <v>16486</v>
      </c>
      <c r="AN20" s="7" t="s">
        <v>16908</v>
      </c>
      <c r="AO20" s="7" t="s">
        <v>16909</v>
      </c>
      <c r="AP20" s="7" t="s">
        <v>16910</v>
      </c>
      <c r="AQ20" s="7" t="s">
        <v>16911</v>
      </c>
      <c r="AR20" s="7" t="s">
        <v>16912</v>
      </c>
      <c r="AS20" s="7"/>
      <c r="AT20" s="7"/>
      <c r="AU20" s="7" t="n">
        <v>5588127</v>
      </c>
      <c r="AV20" s="7" t="s">
        <v>16913</v>
      </c>
      <c r="AW20" s="30" t="str">
        <f aca="false">HYPERLINK("http://dx.doi.org/10.1155/2024/5588127","http://dx.doi.org/10.1155/2024/5588127")</f>
        <v>http://dx.doi.org/10.1155/2024/5588127</v>
      </c>
      <c r="AX20" s="7"/>
      <c r="AY20" s="7" t="n">
        <v>9</v>
      </c>
      <c r="AZ20" s="7" t="s">
        <v>16914</v>
      </c>
      <c r="BA20" s="7" t="s">
        <v>16684</v>
      </c>
      <c r="BB20" s="7" t="s">
        <v>16914</v>
      </c>
      <c r="BC20" s="7" t="s">
        <v>16915</v>
      </c>
      <c r="BD20" s="7" t="n">
        <v>39435048</v>
      </c>
      <c r="BE20" s="7" t="s">
        <v>16431</v>
      </c>
      <c r="BF20" s="7" t="s">
        <v>16369</v>
      </c>
      <c r="BG20" s="7" t="s">
        <v>16916</v>
      </c>
      <c r="BH20" s="7" t="str">
        <f aca="false">HYPERLINK("https%3A%2F%2Fwww.webofscience.com%2Fwos%2Fwoscc%2Ffull-record%2FWOS:001342350700001","View Full Record in Web of Science")</f>
        <v>View Full Record in Web of Science</v>
      </c>
      <c r="BL20" s="7"/>
      <c r="BM20" s="7"/>
      <c r="BN20" s="7"/>
      <c r="BO20" s="7"/>
      <c r="BP20" s="7"/>
      <c r="BQ20" s="7"/>
      <c r="BR20" s="7"/>
      <c r="BS20" s="7"/>
      <c r="BT20" s="7"/>
      <c r="BU20" s="7"/>
      <c r="BV20" s="7"/>
      <c r="BW20" s="7"/>
      <c r="BX20" s="7"/>
      <c r="BY20" s="7"/>
      <c r="BZ20" s="7"/>
      <c r="CA20" s="7"/>
      <c r="CB20" s="7"/>
      <c r="CC20" s="7"/>
      <c r="CD20" s="7"/>
      <c r="CE20" s="7"/>
      <c r="CF20" s="7"/>
    </row>
    <row r="21" customFormat="false" ht="15.75" hidden="false" customHeight="true" outlineLevel="0" collapsed="false">
      <c r="A21" s="7" t="s">
        <v>16335</v>
      </c>
      <c r="B21" s="7" t="s">
        <v>16917</v>
      </c>
      <c r="C21" s="7" t="s">
        <v>16918</v>
      </c>
      <c r="D21" s="8" t="s">
        <v>16919</v>
      </c>
      <c r="E21" s="7" t="n">
        <v>2024</v>
      </c>
      <c r="F21" s="6" t="s">
        <v>16920</v>
      </c>
      <c r="G21" s="6" t="s">
        <v>393</v>
      </c>
      <c r="H21" s="8" t="s">
        <v>16921</v>
      </c>
      <c r="I21" s="8" t="s">
        <v>4101</v>
      </c>
      <c r="J21" s="8" t="s">
        <v>16922</v>
      </c>
      <c r="K21" s="8" t="s">
        <v>16923</v>
      </c>
      <c r="L21" s="8" t="s">
        <v>3754</v>
      </c>
      <c r="M21" s="8" t="s">
        <v>16924</v>
      </c>
      <c r="N21" s="8" t="s">
        <v>16925</v>
      </c>
      <c r="O21" s="8" t="s">
        <v>16926</v>
      </c>
      <c r="P21" s="10" t="n">
        <v>1</v>
      </c>
      <c r="Q21" s="7" t="n">
        <v>1</v>
      </c>
      <c r="R21" s="7" t="s">
        <v>61</v>
      </c>
      <c r="S21" s="7" t="s">
        <v>62</v>
      </c>
      <c r="T21" s="7" t="s">
        <v>16927</v>
      </c>
      <c r="U21" s="7" t="n">
        <v>11</v>
      </c>
      <c r="V21" s="7" t="s">
        <v>16928</v>
      </c>
      <c r="W21" s="7"/>
      <c r="X21" s="7" t="s">
        <v>16929</v>
      </c>
      <c r="Y21" s="7" t="s">
        <v>16930</v>
      </c>
      <c r="Z21" s="7" t="s">
        <v>16931</v>
      </c>
      <c r="AA21" s="7" t="s">
        <v>16932</v>
      </c>
      <c r="AB21" s="7" t="s">
        <v>16933</v>
      </c>
      <c r="AC21" s="7" t="s">
        <v>16934</v>
      </c>
      <c r="AD21" s="7" t="s">
        <v>16935</v>
      </c>
      <c r="AE21" s="7"/>
      <c r="AF21" s="7" t="s">
        <v>16936</v>
      </c>
      <c r="AG21" s="7" t="s">
        <v>16937</v>
      </c>
      <c r="AH21" s="7" t="s">
        <v>2011</v>
      </c>
      <c r="AI21" s="7" t="n">
        <v>29</v>
      </c>
      <c r="AJ21" s="7" t="n">
        <v>0</v>
      </c>
      <c r="AK21" s="7" t="n">
        <v>3</v>
      </c>
      <c r="AL21" s="7" t="s">
        <v>16938</v>
      </c>
      <c r="AM21" s="7" t="s">
        <v>16939</v>
      </c>
      <c r="AN21" s="7"/>
      <c r="AO21" s="7" t="s">
        <v>16940</v>
      </c>
      <c r="AP21" s="7" t="s">
        <v>16941</v>
      </c>
      <c r="AQ21" s="7" t="s">
        <v>2015</v>
      </c>
      <c r="AR21" s="7" t="s">
        <v>16942</v>
      </c>
      <c r="AS21" s="7"/>
      <c r="AT21" s="7"/>
      <c r="AU21" s="7" t="n">
        <v>1338598</v>
      </c>
      <c r="AV21" s="7" t="s">
        <v>2004</v>
      </c>
      <c r="AW21" s="30" t="str">
        <f aca="false">HYPERLINK("http://dx.doi.org/10.3389/fmed.2024.1338598","http://dx.doi.org/10.3389/fmed.2024.1338598")</f>
        <v>http://dx.doi.org/10.3389/fmed.2024.1338598</v>
      </c>
      <c r="AX21" s="7"/>
      <c r="AY21" s="7" t="n">
        <v>7</v>
      </c>
      <c r="AZ21" s="7" t="s">
        <v>16829</v>
      </c>
      <c r="BA21" s="7" t="s">
        <v>16366</v>
      </c>
      <c r="BB21" s="7" t="s">
        <v>16830</v>
      </c>
      <c r="BC21" s="7" t="s">
        <v>16943</v>
      </c>
      <c r="BD21" s="7" t="n">
        <v>38523910</v>
      </c>
      <c r="BE21" s="7" t="s">
        <v>16944</v>
      </c>
      <c r="BF21" s="7" t="s">
        <v>16369</v>
      </c>
      <c r="BG21" s="7" t="s">
        <v>16945</v>
      </c>
      <c r="BH21" s="7" t="str">
        <f aca="false">HYPERLINK("https%3A%2F%2Fwww.webofscience.com%2Fwos%2Fwoscc%2Ffull-record%2FWOS:001189476900001","View Full Record in Web of Science")</f>
        <v>View Full Record in Web of Science</v>
      </c>
      <c r="BL21" s="7"/>
      <c r="BM21" s="7"/>
      <c r="BN21" s="7"/>
      <c r="BO21" s="7"/>
      <c r="BP21" s="7"/>
      <c r="BQ21" s="7"/>
      <c r="BR21" s="7"/>
      <c r="BS21" s="7"/>
      <c r="BT21" s="7"/>
      <c r="BU21" s="7"/>
      <c r="BV21" s="7"/>
      <c r="BW21" s="7"/>
      <c r="BX21" s="7"/>
      <c r="BY21" s="7"/>
      <c r="BZ21" s="7"/>
      <c r="CA21" s="7"/>
      <c r="CB21" s="7"/>
      <c r="CC21" s="7"/>
      <c r="CD21" s="7"/>
      <c r="CE21" s="7"/>
      <c r="CF21" s="7"/>
    </row>
    <row r="22" customFormat="false" ht="15.75" hidden="false" customHeight="true" outlineLevel="0" collapsed="false">
      <c r="A22" s="7" t="s">
        <v>16335</v>
      </c>
      <c r="B22" s="7" t="s">
        <v>16946</v>
      </c>
      <c r="C22" s="7" t="s">
        <v>16947</v>
      </c>
      <c r="D22" s="8" t="s">
        <v>16948</v>
      </c>
      <c r="E22" s="7" t="n">
        <v>2024</v>
      </c>
      <c r="F22" s="6" t="s">
        <v>16949</v>
      </c>
      <c r="G22" s="6" t="s">
        <v>134</v>
      </c>
      <c r="H22" s="8" t="s">
        <v>3920</v>
      </c>
      <c r="I22" s="8" t="s">
        <v>3715</v>
      </c>
      <c r="J22" s="8" t="s">
        <v>16752</v>
      </c>
      <c r="K22" s="8" t="s">
        <v>16409</v>
      </c>
      <c r="L22" s="8" t="s">
        <v>3754</v>
      </c>
      <c r="M22" s="8" t="s">
        <v>16950</v>
      </c>
      <c r="N22" s="8" t="s">
        <v>16951</v>
      </c>
      <c r="O22" s="8" t="s">
        <v>16952</v>
      </c>
      <c r="P22" s="10" t="n">
        <v>0</v>
      </c>
      <c r="Q22" s="7" t="n">
        <v>0</v>
      </c>
      <c r="R22" s="6" t="s">
        <v>16953</v>
      </c>
      <c r="S22" s="7" t="s">
        <v>62</v>
      </c>
      <c r="T22" s="7" t="s">
        <v>16954</v>
      </c>
      <c r="U22" s="7" t="n">
        <v>41</v>
      </c>
      <c r="V22" s="7" t="s">
        <v>16955</v>
      </c>
      <c r="W22" s="7" t="n">
        <v>1</v>
      </c>
      <c r="X22" s="7" t="s">
        <v>16956</v>
      </c>
      <c r="Y22" s="7" t="s">
        <v>16957</v>
      </c>
      <c r="Z22" s="7" t="s">
        <v>16958</v>
      </c>
      <c r="AA22" s="7" t="s">
        <v>16959</v>
      </c>
      <c r="AB22" s="7" t="s">
        <v>16960</v>
      </c>
      <c r="AC22" s="7" t="s">
        <v>16961</v>
      </c>
      <c r="AD22" s="7" t="s">
        <v>16962</v>
      </c>
      <c r="AE22" s="7" t="s">
        <v>16963</v>
      </c>
      <c r="AF22" s="7"/>
      <c r="AG22" s="7"/>
      <c r="AH22" s="7"/>
      <c r="AI22" s="7" t="n">
        <v>151</v>
      </c>
      <c r="AJ22" s="7" t="n">
        <v>5</v>
      </c>
      <c r="AK22" s="7" t="n">
        <v>7</v>
      </c>
      <c r="AL22" s="7" t="s">
        <v>16964</v>
      </c>
      <c r="AM22" s="7" t="s">
        <v>16965</v>
      </c>
      <c r="AN22" s="7" t="s">
        <v>16966</v>
      </c>
      <c r="AO22" s="7" t="s">
        <v>16967</v>
      </c>
      <c r="AP22" s="7" t="s">
        <v>16968</v>
      </c>
      <c r="AQ22" s="7" t="s">
        <v>16969</v>
      </c>
      <c r="AR22" s="7" t="s">
        <v>16970</v>
      </c>
      <c r="AS22" s="7" t="n">
        <v>343</v>
      </c>
      <c r="AT22" s="7" t="n">
        <v>362</v>
      </c>
      <c r="AU22" s="7"/>
      <c r="AV22" s="7" t="s">
        <v>16971</v>
      </c>
      <c r="AW22" s="30" t="str">
        <f aca="false">HYPERLINK("http://dx.doi.org/10.18280/ts.410129","http://dx.doi.org/10.18280/ts.410129")</f>
        <v>http://dx.doi.org/10.18280/ts.410129</v>
      </c>
      <c r="AX22" s="7"/>
      <c r="AY22" s="7" t="n">
        <v>20</v>
      </c>
      <c r="AZ22" s="7" t="s">
        <v>16972</v>
      </c>
      <c r="BA22" s="7" t="s">
        <v>16366</v>
      </c>
      <c r="BB22" s="7" t="s">
        <v>16973</v>
      </c>
      <c r="BC22" s="7" t="s">
        <v>16974</v>
      </c>
      <c r="BD22" s="7"/>
      <c r="BE22" s="7" t="s">
        <v>16494</v>
      </c>
      <c r="BF22" s="7" t="s">
        <v>16369</v>
      </c>
      <c r="BG22" s="7" t="s">
        <v>16975</v>
      </c>
      <c r="BH22" s="7" t="str">
        <f aca="false">HYPERLINK("https%3A%2F%2Fwww.webofscience.com%2Fwos%2Fwoscc%2Ffull-record%2FWOS:001181958200043","View Full Record in Web of Science")</f>
        <v>View Full Record in Web of Science</v>
      </c>
      <c r="BL22" s="7"/>
      <c r="BM22" s="7"/>
      <c r="BN22" s="7"/>
      <c r="BO22" s="7"/>
      <c r="BP22" s="7"/>
      <c r="BQ22" s="7"/>
      <c r="BR22" s="7"/>
      <c r="BS22" s="7"/>
      <c r="BT22" s="7"/>
      <c r="BU22" s="7"/>
      <c r="BV22" s="7"/>
      <c r="BW22" s="7"/>
      <c r="BX22" s="7"/>
      <c r="BY22" s="7"/>
      <c r="BZ22" s="7"/>
      <c r="CA22" s="7"/>
      <c r="CB22" s="7"/>
      <c r="CC22" s="7"/>
      <c r="CD22" s="7"/>
      <c r="CE22" s="7"/>
      <c r="CF22" s="7"/>
    </row>
    <row r="23" customFormat="false" ht="15.75" hidden="false" customHeight="true" outlineLevel="0" collapsed="false">
      <c r="A23" s="7" t="s">
        <v>16335</v>
      </c>
      <c r="B23" s="7" t="s">
        <v>16976</v>
      </c>
      <c r="C23" s="7" t="s">
        <v>16977</v>
      </c>
      <c r="D23" s="8" t="s">
        <v>16978</v>
      </c>
      <c r="E23" s="7" t="n">
        <v>2024</v>
      </c>
      <c r="F23" s="6" t="s">
        <v>16979</v>
      </c>
      <c r="G23" s="6" t="s">
        <v>134</v>
      </c>
      <c r="H23" s="8" t="s">
        <v>16980</v>
      </c>
      <c r="I23" s="10"/>
      <c r="J23" s="8" t="s">
        <v>16752</v>
      </c>
      <c r="K23" s="8" t="s">
        <v>16409</v>
      </c>
      <c r="L23" s="8" t="s">
        <v>3754</v>
      </c>
      <c r="M23" s="8" t="s">
        <v>16981</v>
      </c>
      <c r="N23" s="8" t="s">
        <v>16982</v>
      </c>
      <c r="O23" s="8" t="s">
        <v>16983</v>
      </c>
      <c r="P23" s="10" t="n">
        <v>0</v>
      </c>
      <c r="Q23" s="7" t="n">
        <v>0</v>
      </c>
      <c r="R23" s="7" t="s">
        <v>16529</v>
      </c>
      <c r="S23" s="7" t="s">
        <v>62</v>
      </c>
      <c r="T23" s="7" t="s">
        <v>16984</v>
      </c>
      <c r="U23" s="7"/>
      <c r="V23" s="7" t="s">
        <v>16600</v>
      </c>
      <c r="W23" s="7"/>
      <c r="X23" s="7" t="s">
        <v>16985</v>
      </c>
      <c r="Y23" s="7"/>
      <c r="Z23" s="7" t="s">
        <v>16986</v>
      </c>
      <c r="AA23" s="7" t="s">
        <v>16987</v>
      </c>
      <c r="AB23" s="7" t="s">
        <v>16988</v>
      </c>
      <c r="AC23" s="7" t="s">
        <v>16989</v>
      </c>
      <c r="AD23" s="7"/>
      <c r="AE23" s="7"/>
      <c r="AF23" s="7"/>
      <c r="AG23" s="7"/>
      <c r="AH23" s="7"/>
      <c r="AI23" s="7" t="n">
        <v>48</v>
      </c>
      <c r="AJ23" s="7" t="n">
        <v>0</v>
      </c>
      <c r="AK23" s="7" t="n">
        <v>0</v>
      </c>
      <c r="AL23" s="7" t="s">
        <v>16990</v>
      </c>
      <c r="AM23" s="7" t="s">
        <v>16991</v>
      </c>
      <c r="AN23" s="7" t="s">
        <v>16992</v>
      </c>
      <c r="AO23" s="7" t="s">
        <v>16993</v>
      </c>
      <c r="AP23" s="7" t="s">
        <v>16994</v>
      </c>
      <c r="AQ23" s="7" t="s">
        <v>16995</v>
      </c>
      <c r="AR23" s="7" t="s">
        <v>16996</v>
      </c>
      <c r="AS23" s="7"/>
      <c r="AT23" s="7"/>
      <c r="AU23" s="7"/>
      <c r="AV23" s="7" t="s">
        <v>16997</v>
      </c>
      <c r="AW23" s="30" t="str">
        <f aca="false">HYPERLINK("http://dx.doi.org/10.1007/s10278-024-01311-7","http://dx.doi.org/10.1007/s10278-024-01311-7")</f>
        <v>http://dx.doi.org/10.1007/s10278-024-01311-7</v>
      </c>
      <c r="AX23" s="7" t="s">
        <v>16651</v>
      </c>
      <c r="AY23" s="7" t="n">
        <v>31</v>
      </c>
      <c r="AZ23" s="7" t="s">
        <v>16998</v>
      </c>
      <c r="BA23" s="7" t="s">
        <v>16366</v>
      </c>
      <c r="BB23" s="7" t="s">
        <v>16998</v>
      </c>
      <c r="BC23" s="7" t="s">
        <v>16999</v>
      </c>
      <c r="BD23" s="7" t="n">
        <v>39633208</v>
      </c>
      <c r="BE23" s="7"/>
      <c r="BF23" s="7" t="s">
        <v>16369</v>
      </c>
      <c r="BG23" s="7" t="s">
        <v>17000</v>
      </c>
      <c r="BH23" s="7" t="str">
        <f aca="false">HYPERLINK("https%3A%2F%2Fwww.webofscience.com%2Fwos%2Fwoscc%2Ffull-record%2FWOS:001370365700001","View Full Record in Web of Science")</f>
        <v>View Full Record in Web of Science</v>
      </c>
      <c r="BL23" s="7"/>
      <c r="BM23" s="7"/>
      <c r="BN23" s="7"/>
      <c r="BO23" s="7"/>
      <c r="BP23" s="7"/>
      <c r="BQ23" s="7"/>
      <c r="BR23" s="7"/>
      <c r="BS23" s="7"/>
      <c r="BT23" s="7"/>
      <c r="BU23" s="7"/>
      <c r="BV23" s="7"/>
      <c r="BW23" s="7"/>
      <c r="BX23" s="7"/>
      <c r="BY23" s="7"/>
      <c r="BZ23" s="7"/>
      <c r="CA23" s="7"/>
      <c r="CB23" s="7"/>
      <c r="CC23" s="7"/>
      <c r="CD23" s="7"/>
      <c r="CE23" s="7"/>
      <c r="CF23" s="7"/>
    </row>
    <row r="24" customFormat="false" ht="15.75" hidden="false" customHeight="true" outlineLevel="0" collapsed="false">
      <c r="A24" s="7" t="s">
        <v>16335</v>
      </c>
      <c r="B24" s="7" t="s">
        <v>17001</v>
      </c>
      <c r="C24" s="7" t="s">
        <v>17002</v>
      </c>
      <c r="D24" s="8" t="s">
        <v>17003</v>
      </c>
      <c r="E24" s="7" t="n">
        <v>2023</v>
      </c>
      <c r="F24" s="6" t="s">
        <v>17004</v>
      </c>
      <c r="G24" s="6" t="s">
        <v>134</v>
      </c>
      <c r="H24" s="8" t="s">
        <v>17005</v>
      </c>
      <c r="I24" s="8" t="s">
        <v>17006</v>
      </c>
      <c r="J24" s="8" t="s">
        <v>17007</v>
      </c>
      <c r="K24" s="8" t="s">
        <v>17008</v>
      </c>
      <c r="L24" s="8" t="s">
        <v>3754</v>
      </c>
      <c r="M24" s="8" t="s">
        <v>17009</v>
      </c>
      <c r="N24" s="8" t="s">
        <v>17010</v>
      </c>
      <c r="O24" s="8" t="s">
        <v>17011</v>
      </c>
      <c r="P24" s="10" t="n">
        <v>1</v>
      </c>
      <c r="Q24" s="7" t="n">
        <v>1</v>
      </c>
      <c r="R24" s="7" t="s">
        <v>61</v>
      </c>
      <c r="S24" s="7" t="s">
        <v>62</v>
      </c>
      <c r="T24" s="7" t="s">
        <v>17012</v>
      </c>
      <c r="U24" s="7" t="n">
        <v>12</v>
      </c>
      <c r="V24" s="7" t="s">
        <v>4048</v>
      </c>
      <c r="W24" s="7" t="n">
        <v>19</v>
      </c>
      <c r="X24" s="7" t="s">
        <v>17013</v>
      </c>
      <c r="Y24" s="7" t="s">
        <v>17014</v>
      </c>
      <c r="Z24" s="7" t="s">
        <v>17015</v>
      </c>
      <c r="AA24" s="7" t="s">
        <v>17016</v>
      </c>
      <c r="AB24" s="7" t="s">
        <v>17017</v>
      </c>
      <c r="AC24" s="7" t="s">
        <v>17018</v>
      </c>
      <c r="AD24" s="7" t="s">
        <v>17019</v>
      </c>
      <c r="AE24" s="7" t="s">
        <v>17020</v>
      </c>
      <c r="AF24" s="7" t="s">
        <v>17021</v>
      </c>
      <c r="AG24" s="7" t="s">
        <v>17022</v>
      </c>
      <c r="AH24" s="7" t="s">
        <v>4385</v>
      </c>
      <c r="AI24" s="7" t="n">
        <v>39</v>
      </c>
      <c r="AJ24" s="7" t="n">
        <v>2</v>
      </c>
      <c r="AK24" s="7" t="n">
        <v>6</v>
      </c>
      <c r="AL24" s="7" t="s">
        <v>16769</v>
      </c>
      <c r="AM24" s="7" t="s">
        <v>17023</v>
      </c>
      <c r="AN24" s="7" t="s">
        <v>17024</v>
      </c>
      <c r="AO24" s="7"/>
      <c r="AP24" s="7" t="s">
        <v>17025</v>
      </c>
      <c r="AQ24" s="7" t="s">
        <v>17026</v>
      </c>
      <c r="AR24" s="7" t="s">
        <v>16615</v>
      </c>
      <c r="AS24" s="7"/>
      <c r="AT24" s="7"/>
      <c r="AU24" s="7" t="n">
        <v>4144</v>
      </c>
      <c r="AV24" s="7" t="s">
        <v>4379</v>
      </c>
      <c r="AW24" s="30" t="str">
        <f aca="false">HYPERLINK("http://dx.doi.org/10.3390/electronics12194144","http://dx.doi.org/10.3390/electronics12194144")</f>
        <v>http://dx.doi.org/10.3390/electronics12194144</v>
      </c>
      <c r="AX24" s="7"/>
      <c r="AY24" s="7" t="n">
        <v>17</v>
      </c>
      <c r="AZ24" s="7" t="s">
        <v>17027</v>
      </c>
      <c r="BA24" s="7" t="s">
        <v>16366</v>
      </c>
      <c r="BB24" s="7" t="s">
        <v>17028</v>
      </c>
      <c r="BC24" s="7" t="s">
        <v>17029</v>
      </c>
      <c r="BD24" s="7"/>
      <c r="BE24" s="7" t="s">
        <v>16431</v>
      </c>
      <c r="BF24" s="7" t="s">
        <v>16369</v>
      </c>
      <c r="BG24" s="7" t="s">
        <v>17030</v>
      </c>
      <c r="BH24" s="7" t="str">
        <f aca="false">HYPERLINK("https%3A%2F%2Fwww.webofscience.com%2Fwos%2Fwoscc%2Ffull-record%2FWOS:001085237500001","View Full Record in Web of Science")</f>
        <v>View Full Record in Web of Science</v>
      </c>
      <c r="BL24" s="7"/>
      <c r="BM24" s="7"/>
      <c r="BN24" s="7"/>
      <c r="BO24" s="7"/>
      <c r="BP24" s="7"/>
      <c r="BQ24" s="7"/>
      <c r="BR24" s="7"/>
      <c r="BS24" s="7"/>
      <c r="BT24" s="7"/>
      <c r="BU24" s="7"/>
      <c r="BV24" s="7"/>
      <c r="BW24" s="7"/>
      <c r="BX24" s="7"/>
      <c r="BY24" s="7"/>
      <c r="BZ24" s="7"/>
      <c r="CA24" s="7"/>
      <c r="CB24" s="7"/>
      <c r="CC24" s="7"/>
      <c r="CD24" s="7"/>
      <c r="CE24" s="7"/>
      <c r="CF24" s="7"/>
    </row>
    <row r="25" customFormat="false" ht="15.75" hidden="false" customHeight="true" outlineLevel="0" collapsed="false">
      <c r="A25" s="7" t="s">
        <v>16335</v>
      </c>
      <c r="B25" s="7" t="s">
        <v>17031</v>
      </c>
      <c r="C25" s="7" t="s">
        <v>17032</v>
      </c>
      <c r="D25" s="8" t="s">
        <v>17033</v>
      </c>
      <c r="E25" s="7" t="n">
        <v>2023</v>
      </c>
      <c r="F25" s="6" t="s">
        <v>17034</v>
      </c>
      <c r="G25" s="6" t="s">
        <v>134</v>
      </c>
      <c r="H25" s="8" t="s">
        <v>17035</v>
      </c>
      <c r="I25" s="8" t="s">
        <v>17036</v>
      </c>
      <c r="J25" s="8" t="s">
        <v>17037</v>
      </c>
      <c r="K25" s="8" t="s">
        <v>17038</v>
      </c>
      <c r="L25" s="8" t="s">
        <v>3754</v>
      </c>
      <c r="M25" s="8" t="s">
        <v>17039</v>
      </c>
      <c r="N25" s="8" t="s">
        <v>17040</v>
      </c>
      <c r="O25" s="8" t="s">
        <v>17041</v>
      </c>
      <c r="P25" s="10" t="n">
        <v>0</v>
      </c>
      <c r="Q25" s="7" t="n">
        <v>0</v>
      </c>
      <c r="R25" s="7" t="s">
        <v>61</v>
      </c>
      <c r="S25" s="7" t="s">
        <v>62</v>
      </c>
      <c r="T25" s="7" t="s">
        <v>17042</v>
      </c>
      <c r="U25" s="7" t="n">
        <v>14</v>
      </c>
      <c r="V25" s="7" t="s">
        <v>17043</v>
      </c>
      <c r="W25" s="7" t="n">
        <v>5</v>
      </c>
      <c r="X25" s="7" t="s">
        <v>17044</v>
      </c>
      <c r="Y25" s="7" t="s">
        <v>17045</v>
      </c>
      <c r="Z25" s="7" t="s">
        <v>17046</v>
      </c>
      <c r="AA25" s="7" t="s">
        <v>17047</v>
      </c>
      <c r="AB25" s="7" t="s">
        <v>17048</v>
      </c>
      <c r="AC25" s="7"/>
      <c r="AD25" s="7" t="s">
        <v>17049</v>
      </c>
      <c r="AE25" s="7"/>
      <c r="AF25" s="7"/>
      <c r="AG25" s="7"/>
      <c r="AH25" s="7"/>
      <c r="AI25" s="7" t="n">
        <v>38</v>
      </c>
      <c r="AJ25" s="7" t="n">
        <v>0</v>
      </c>
      <c r="AK25" s="7" t="n">
        <v>1</v>
      </c>
      <c r="AL25" s="7" t="s">
        <v>17050</v>
      </c>
      <c r="AM25" s="7" t="s">
        <v>17051</v>
      </c>
      <c r="AN25" s="7" t="s">
        <v>17052</v>
      </c>
      <c r="AO25" s="7" t="s">
        <v>17053</v>
      </c>
      <c r="AP25" s="7" t="s">
        <v>17054</v>
      </c>
      <c r="AQ25" s="7" t="s">
        <v>17055</v>
      </c>
      <c r="AR25" s="7" t="s">
        <v>17056</v>
      </c>
      <c r="AS25" s="7" t="n">
        <v>1187</v>
      </c>
      <c r="AT25" s="7" t="n">
        <v>1196</v>
      </c>
      <c r="AU25" s="7"/>
      <c r="AV25" s="7"/>
      <c r="AW25" s="7"/>
      <c r="AX25" s="7"/>
      <c r="AY25" s="7" t="n">
        <v>10</v>
      </c>
      <c r="AZ25" s="7" t="s">
        <v>17057</v>
      </c>
      <c r="BA25" s="7" t="s">
        <v>16684</v>
      </c>
      <c r="BB25" s="7" t="s">
        <v>16367</v>
      </c>
      <c r="BC25" s="7" t="s">
        <v>17058</v>
      </c>
      <c r="BD25" s="7"/>
      <c r="BE25" s="7"/>
      <c r="BF25" s="7" t="s">
        <v>16369</v>
      </c>
      <c r="BG25" s="7" t="s">
        <v>17059</v>
      </c>
      <c r="BH25" s="7" t="str">
        <f aca="false">HYPERLINK("https%3A%2F%2Fwww.webofscience.com%2Fwos%2Fwoscc%2Ffull-record%2FWOS:001015053800001","View Full Record in Web of Science")</f>
        <v>View Full Record in Web of Science</v>
      </c>
      <c r="BL25" s="7"/>
      <c r="BM25" s="7"/>
      <c r="BN25" s="7"/>
      <c r="BO25" s="7"/>
      <c r="BP25" s="7"/>
      <c r="BQ25" s="7"/>
      <c r="BR25" s="7"/>
      <c r="BS25" s="7"/>
      <c r="BT25" s="7"/>
      <c r="BU25" s="7"/>
      <c r="BV25" s="7"/>
      <c r="BW25" s="7"/>
      <c r="BX25" s="7"/>
      <c r="BY25" s="7"/>
      <c r="BZ25" s="7"/>
      <c r="CA25" s="7"/>
      <c r="CB25" s="7"/>
      <c r="CC25" s="7"/>
      <c r="CD25" s="7"/>
      <c r="CE25" s="7"/>
      <c r="CF25" s="7"/>
    </row>
    <row r="26" customFormat="false" ht="15.75" hidden="false" customHeight="true" outlineLevel="0" collapsed="false">
      <c r="A26" s="7" t="s">
        <v>16335</v>
      </c>
      <c r="B26" s="7" t="s">
        <v>17060</v>
      </c>
      <c r="C26" s="7" t="s">
        <v>17061</v>
      </c>
      <c r="D26" s="8" t="s">
        <v>17062</v>
      </c>
      <c r="E26" s="7" t="n">
        <v>2023</v>
      </c>
      <c r="F26" s="6" t="s">
        <v>17063</v>
      </c>
      <c r="G26" s="6" t="s">
        <v>134</v>
      </c>
      <c r="H26" s="8" t="s">
        <v>17064</v>
      </c>
      <c r="I26" s="8" t="s">
        <v>4394</v>
      </c>
      <c r="J26" s="8" t="s">
        <v>17065</v>
      </c>
      <c r="K26" s="8" t="s">
        <v>17066</v>
      </c>
      <c r="L26" s="8" t="s">
        <v>3754</v>
      </c>
      <c r="M26" s="8" t="s">
        <v>17067</v>
      </c>
      <c r="N26" s="8" t="s">
        <v>17068</v>
      </c>
      <c r="O26" s="8" t="s">
        <v>17068</v>
      </c>
      <c r="P26" s="10" t="n">
        <v>1</v>
      </c>
      <c r="Q26" s="7" t="n">
        <v>1</v>
      </c>
      <c r="R26" s="7" t="s">
        <v>61</v>
      </c>
      <c r="S26" s="7" t="s">
        <v>62</v>
      </c>
      <c r="T26" s="7" t="s">
        <v>17069</v>
      </c>
      <c r="U26" s="7" t="n">
        <v>3</v>
      </c>
      <c r="V26" s="7" t="s">
        <v>16845</v>
      </c>
      <c r="W26" s="7" t="n">
        <v>7</v>
      </c>
      <c r="X26" s="7"/>
      <c r="Y26" s="7" t="s">
        <v>17070</v>
      </c>
      <c r="Z26" s="7" t="s">
        <v>17071</v>
      </c>
      <c r="AA26" s="7" t="s">
        <v>17072</v>
      </c>
      <c r="AB26" s="7" t="s">
        <v>17073</v>
      </c>
      <c r="AC26" s="7" t="s">
        <v>17074</v>
      </c>
      <c r="AD26" s="7"/>
      <c r="AE26" s="7" t="s">
        <v>17075</v>
      </c>
      <c r="AF26" s="7" t="s">
        <v>17076</v>
      </c>
      <c r="AG26" s="7" t="s">
        <v>17077</v>
      </c>
      <c r="AH26" s="7" t="s">
        <v>17078</v>
      </c>
      <c r="AI26" s="7" t="n">
        <v>30</v>
      </c>
      <c r="AJ26" s="7" t="n">
        <v>0</v>
      </c>
      <c r="AK26" s="7" t="n">
        <v>0</v>
      </c>
      <c r="AL26" s="7" t="s">
        <v>16855</v>
      </c>
      <c r="AM26" s="7" t="s">
        <v>16856</v>
      </c>
      <c r="AN26" s="7"/>
      <c r="AO26" s="7" t="s">
        <v>17079</v>
      </c>
      <c r="AP26" s="7" t="s">
        <v>17080</v>
      </c>
      <c r="AQ26" s="7" t="s">
        <v>17081</v>
      </c>
      <c r="AR26" s="7" t="s">
        <v>17082</v>
      </c>
      <c r="AS26" s="7"/>
      <c r="AT26" s="7"/>
      <c r="AU26" s="7" t="s">
        <v>4395</v>
      </c>
      <c r="AV26" s="7" t="s">
        <v>4396</v>
      </c>
      <c r="AW26" s="30" t="str">
        <f aca="false">HYPERLINK("http://dx.doi.org/10.1371/journal.pgph.0001950","http://dx.doi.org/10.1371/journal.pgph.0001950")</f>
        <v>http://dx.doi.org/10.1371/journal.pgph.0001950</v>
      </c>
      <c r="AX26" s="7"/>
      <c r="AY26" s="7" t="n">
        <v>17</v>
      </c>
      <c r="AZ26" s="7" t="s">
        <v>16583</v>
      </c>
      <c r="BA26" s="7" t="s">
        <v>16684</v>
      </c>
      <c r="BB26" s="7" t="s">
        <v>16583</v>
      </c>
      <c r="BC26" s="7" t="s">
        <v>17083</v>
      </c>
      <c r="BD26" s="7" t="n">
        <v>37494331</v>
      </c>
      <c r="BE26" s="7" t="s">
        <v>16431</v>
      </c>
      <c r="BF26" s="7" t="s">
        <v>16369</v>
      </c>
      <c r="BG26" s="7" t="s">
        <v>17084</v>
      </c>
      <c r="BH26" s="7" t="str">
        <f aca="false">HYPERLINK("https%3A%2F%2Fwww.webofscience.com%2Fwos%2Fwoscc%2Ffull-record%2FWOS:001417637200001","View Full Record in Web of Science")</f>
        <v>View Full Record in Web of Science</v>
      </c>
      <c r="BL26" s="7"/>
      <c r="BM26" s="7"/>
      <c r="BN26" s="7"/>
      <c r="BO26" s="7"/>
      <c r="BP26" s="7"/>
      <c r="BQ26" s="7"/>
      <c r="BR26" s="7"/>
      <c r="BS26" s="7"/>
      <c r="BT26" s="7"/>
      <c r="BU26" s="7"/>
      <c r="BV26" s="7"/>
      <c r="BW26" s="7"/>
      <c r="BX26" s="7"/>
      <c r="BY26" s="7"/>
      <c r="BZ26" s="7"/>
      <c r="CA26" s="7"/>
      <c r="CB26" s="7"/>
      <c r="CC26" s="7"/>
      <c r="CD26" s="7"/>
      <c r="CE26" s="7"/>
      <c r="CF26" s="7"/>
    </row>
    <row r="27" customFormat="false" ht="15.75" hidden="false" customHeight="true" outlineLevel="0" collapsed="false">
      <c r="A27" s="7" t="s">
        <v>16335</v>
      </c>
      <c r="B27" s="7" t="s">
        <v>17085</v>
      </c>
      <c r="C27" s="7" t="s">
        <v>17086</v>
      </c>
      <c r="D27" s="8" t="s">
        <v>17087</v>
      </c>
      <c r="E27" s="7" t="n">
        <v>2023</v>
      </c>
      <c r="F27" s="6" t="s">
        <v>17088</v>
      </c>
      <c r="G27" s="6" t="s">
        <v>349</v>
      </c>
      <c r="H27" s="8" t="s">
        <v>17089</v>
      </c>
      <c r="I27" s="8" t="s">
        <v>17090</v>
      </c>
      <c r="J27" s="8" t="s">
        <v>17091</v>
      </c>
      <c r="K27" s="8" t="s">
        <v>17092</v>
      </c>
      <c r="L27" s="8" t="s">
        <v>3754</v>
      </c>
      <c r="M27" s="8" t="s">
        <v>17093</v>
      </c>
      <c r="N27" s="8" t="s">
        <v>17094</v>
      </c>
      <c r="O27" s="8" t="s">
        <v>17095</v>
      </c>
      <c r="P27" s="10" t="n">
        <v>2</v>
      </c>
      <c r="Q27" s="7" t="n">
        <v>2</v>
      </c>
      <c r="R27" s="7" t="s">
        <v>61</v>
      </c>
      <c r="S27" s="7" t="s">
        <v>62</v>
      </c>
      <c r="T27" s="7" t="s">
        <v>17096</v>
      </c>
      <c r="U27" s="7" t="n">
        <v>30</v>
      </c>
      <c r="V27" s="7" t="s">
        <v>16443</v>
      </c>
      <c r="W27" s="7" t="n">
        <v>1</v>
      </c>
      <c r="X27" s="7" t="s">
        <v>17097</v>
      </c>
      <c r="Y27" s="7" t="s">
        <v>17098</v>
      </c>
      <c r="Z27" s="7" t="s">
        <v>17099</v>
      </c>
      <c r="AA27" s="7" t="s">
        <v>17100</v>
      </c>
      <c r="AB27" s="7" t="s">
        <v>17101</v>
      </c>
      <c r="AC27" s="7" t="s">
        <v>17102</v>
      </c>
      <c r="AD27" s="7" t="s">
        <v>17103</v>
      </c>
      <c r="AE27" s="7" t="s">
        <v>17104</v>
      </c>
      <c r="AF27" s="7" t="s">
        <v>17105</v>
      </c>
      <c r="AG27" s="7" t="s">
        <v>17106</v>
      </c>
      <c r="AH27" s="7" t="s">
        <v>17107</v>
      </c>
      <c r="AI27" s="7" t="n">
        <v>77</v>
      </c>
      <c r="AJ27" s="7" t="n">
        <v>5</v>
      </c>
      <c r="AK27" s="7" t="n">
        <v>19</v>
      </c>
      <c r="AL27" s="7" t="s">
        <v>16453</v>
      </c>
      <c r="AM27" s="7" t="s">
        <v>16454</v>
      </c>
      <c r="AN27" s="7" t="s">
        <v>17108</v>
      </c>
      <c r="AO27" s="7" t="s">
        <v>17109</v>
      </c>
      <c r="AP27" s="7" t="s">
        <v>17110</v>
      </c>
      <c r="AQ27" s="7" t="s">
        <v>17111</v>
      </c>
      <c r="AR27" s="7" t="s">
        <v>14295</v>
      </c>
      <c r="AS27" s="7" t="n">
        <v>532</v>
      </c>
      <c r="AT27" s="7" t="n">
        <v>546</v>
      </c>
      <c r="AU27" s="7"/>
      <c r="AV27" s="7" t="s">
        <v>17112</v>
      </c>
      <c r="AW27" s="30" t="str">
        <f aca="false">HYPERLINK("http://dx.doi.org/10.1007/s11356-022-22099-5","http://dx.doi.org/10.1007/s11356-022-22099-5")</f>
        <v>http://dx.doi.org/10.1007/s11356-022-22099-5</v>
      </c>
      <c r="AX27" s="7" t="s">
        <v>17113</v>
      </c>
      <c r="AY27" s="7" t="n">
        <v>15</v>
      </c>
      <c r="AZ27" s="7" t="s">
        <v>17114</v>
      </c>
      <c r="BA27" s="7" t="s">
        <v>16366</v>
      </c>
      <c r="BB27" s="7" t="s">
        <v>17115</v>
      </c>
      <c r="BC27" s="7" t="s">
        <v>17116</v>
      </c>
      <c r="BD27" s="7" t="n">
        <v>35900627</v>
      </c>
      <c r="BE27" s="7" t="s">
        <v>17117</v>
      </c>
      <c r="BF27" s="7" t="s">
        <v>16369</v>
      </c>
      <c r="BG27" s="7" t="s">
        <v>17118</v>
      </c>
      <c r="BH27" s="7" t="str">
        <f aca="false">HYPERLINK("https%3A%2F%2Fwww.webofscience.com%2Fwos%2Fwoscc%2Ffull-record%2FWOS:000834592300013","View Full Record in Web of Science")</f>
        <v>View Full Record in Web of Science</v>
      </c>
      <c r="BL27" s="7"/>
      <c r="BM27" s="7"/>
      <c r="BN27" s="7"/>
      <c r="BO27" s="7"/>
      <c r="BP27" s="7"/>
      <c r="BQ27" s="7"/>
      <c r="BR27" s="7"/>
      <c r="BS27" s="7"/>
      <c r="BT27" s="7"/>
      <c r="BU27" s="7"/>
      <c r="BV27" s="7"/>
      <c r="BW27" s="7"/>
      <c r="BX27" s="7"/>
      <c r="BY27" s="7"/>
      <c r="BZ27" s="7"/>
      <c r="CA27" s="7"/>
      <c r="CB27" s="7"/>
      <c r="CC27" s="7"/>
      <c r="CD27" s="7"/>
      <c r="CE27" s="7"/>
      <c r="CF27" s="7"/>
    </row>
    <row r="28" customFormat="false" ht="15.75" hidden="false" customHeight="true" outlineLevel="0" collapsed="false">
      <c r="A28" s="7" t="s">
        <v>16335</v>
      </c>
      <c r="B28" s="7" t="s">
        <v>17119</v>
      </c>
      <c r="C28" s="7" t="s">
        <v>17120</v>
      </c>
      <c r="D28" s="8" t="s">
        <v>17121</v>
      </c>
      <c r="E28" s="7" t="n">
        <v>2023</v>
      </c>
      <c r="F28" s="6" t="s">
        <v>17122</v>
      </c>
      <c r="G28" s="6" t="s">
        <v>134</v>
      </c>
      <c r="H28" s="8" t="s">
        <v>17123</v>
      </c>
      <c r="I28" s="8" t="s">
        <v>17123</v>
      </c>
      <c r="J28" s="8" t="s">
        <v>17124</v>
      </c>
      <c r="K28" s="8" t="s">
        <v>17125</v>
      </c>
      <c r="L28" s="8" t="s">
        <v>3754</v>
      </c>
      <c r="M28" s="8" t="s">
        <v>17126</v>
      </c>
      <c r="N28" s="8" t="s">
        <v>17127</v>
      </c>
      <c r="O28" s="8" t="s">
        <v>17128</v>
      </c>
      <c r="P28" s="10" t="n">
        <v>1</v>
      </c>
      <c r="Q28" s="7" t="n">
        <v>1</v>
      </c>
      <c r="R28" s="7" t="s">
        <v>61</v>
      </c>
      <c r="S28" s="7" t="s">
        <v>62</v>
      </c>
      <c r="T28" s="7" t="s">
        <v>16844</v>
      </c>
      <c r="U28" s="7" t="n">
        <v>17</v>
      </c>
      <c r="V28" s="7" t="s">
        <v>16845</v>
      </c>
      <c r="W28" s="7" t="n">
        <v>11</v>
      </c>
      <c r="X28" s="7"/>
      <c r="Y28" s="7" t="s">
        <v>17129</v>
      </c>
      <c r="Z28" s="7" t="s">
        <v>17130</v>
      </c>
      <c r="AA28" s="7" t="s">
        <v>17131</v>
      </c>
      <c r="AB28" s="7" t="s">
        <v>17132</v>
      </c>
      <c r="AC28" s="7" t="s">
        <v>17133</v>
      </c>
      <c r="AD28" s="7" t="s">
        <v>17134</v>
      </c>
      <c r="AE28" s="7" t="s">
        <v>17135</v>
      </c>
      <c r="AF28" s="7" t="s">
        <v>17136</v>
      </c>
      <c r="AG28" s="7" t="s">
        <v>17137</v>
      </c>
      <c r="AH28" s="7" t="s">
        <v>17138</v>
      </c>
      <c r="AI28" s="7" t="n">
        <v>43</v>
      </c>
      <c r="AJ28" s="7" t="n">
        <v>4</v>
      </c>
      <c r="AK28" s="7" t="n">
        <v>6</v>
      </c>
      <c r="AL28" s="7" t="s">
        <v>16855</v>
      </c>
      <c r="AM28" s="7" t="s">
        <v>16856</v>
      </c>
      <c r="AN28" s="7" t="s">
        <v>16857</v>
      </c>
      <c r="AO28" s="7"/>
      <c r="AP28" s="7" t="s">
        <v>16858</v>
      </c>
      <c r="AQ28" s="7" t="s">
        <v>16859</v>
      </c>
      <c r="AR28" s="7" t="s">
        <v>17139</v>
      </c>
      <c r="AS28" s="7"/>
      <c r="AT28" s="7"/>
      <c r="AU28" s="7" t="s">
        <v>17140</v>
      </c>
      <c r="AV28" s="7" t="s">
        <v>17141</v>
      </c>
      <c r="AW28" s="30" t="str">
        <f aca="false">HYPERLINK("http://dx.doi.org/10.1371/journal.pntd.0011695","http://dx.doi.org/10.1371/journal.pntd.0011695")</f>
        <v>http://dx.doi.org/10.1371/journal.pntd.0011695</v>
      </c>
      <c r="AX28" s="7"/>
      <c r="AY28" s="7" t="n">
        <v>17</v>
      </c>
      <c r="AZ28" s="7" t="s">
        <v>16862</v>
      </c>
      <c r="BA28" s="7" t="s">
        <v>16366</v>
      </c>
      <c r="BB28" s="7" t="s">
        <v>16862</v>
      </c>
      <c r="BC28" s="7" t="s">
        <v>17142</v>
      </c>
      <c r="BD28" s="7" t="n">
        <v>37956181</v>
      </c>
      <c r="BE28" s="7" t="s">
        <v>17143</v>
      </c>
      <c r="BF28" s="7" t="s">
        <v>16369</v>
      </c>
      <c r="BG28" s="7" t="s">
        <v>17144</v>
      </c>
      <c r="BH28" s="7" t="str">
        <f aca="false">HYPERLINK("https%3A%2F%2Fwww.webofscience.com%2Fwos%2Fwoscc%2Ffull-record%2FWOS:001120150700005","View Full Record in Web of Science")</f>
        <v>View Full Record in Web of Science</v>
      </c>
      <c r="BL28" s="7"/>
      <c r="BM28" s="7"/>
      <c r="BN28" s="7"/>
      <c r="BO28" s="7"/>
      <c r="BP28" s="7"/>
      <c r="BQ28" s="7"/>
      <c r="BR28" s="7"/>
      <c r="BS28" s="7"/>
      <c r="BT28" s="7"/>
      <c r="BU28" s="7"/>
      <c r="BV28" s="7"/>
      <c r="BW28" s="7"/>
      <c r="BX28" s="7"/>
      <c r="BY28" s="7"/>
      <c r="BZ28" s="7"/>
      <c r="CA28" s="7"/>
      <c r="CB28" s="7"/>
      <c r="CC28" s="7"/>
      <c r="CD28" s="7"/>
      <c r="CE28" s="7"/>
      <c r="CF28" s="7"/>
    </row>
    <row r="29" customFormat="false" ht="15.75" hidden="false" customHeight="true" outlineLevel="0" collapsed="false">
      <c r="A29" s="7" t="s">
        <v>16335</v>
      </c>
      <c r="B29" s="7" t="s">
        <v>17145</v>
      </c>
      <c r="C29" s="7" t="s">
        <v>17146</v>
      </c>
      <c r="D29" s="8" t="s">
        <v>17147</v>
      </c>
      <c r="E29" s="7" t="n">
        <v>2023</v>
      </c>
      <c r="F29" s="6" t="s">
        <v>17148</v>
      </c>
      <c r="G29" s="6" t="s">
        <v>349</v>
      </c>
      <c r="H29" s="8" t="s">
        <v>17149</v>
      </c>
      <c r="I29" s="8" t="s">
        <v>17150</v>
      </c>
      <c r="J29" s="8" t="s">
        <v>17151</v>
      </c>
      <c r="K29" s="8" t="s">
        <v>17152</v>
      </c>
      <c r="L29" s="8" t="s">
        <v>3754</v>
      </c>
      <c r="M29" s="8" t="s">
        <v>17153</v>
      </c>
      <c r="N29" s="8" t="s">
        <v>17154</v>
      </c>
      <c r="O29" s="8" t="s">
        <v>17155</v>
      </c>
      <c r="P29" s="10" t="n">
        <v>4</v>
      </c>
      <c r="Q29" s="7" t="n">
        <v>4</v>
      </c>
      <c r="R29" s="7" t="s">
        <v>61</v>
      </c>
      <c r="S29" s="7" t="s">
        <v>62</v>
      </c>
      <c r="T29" s="7" t="s">
        <v>16844</v>
      </c>
      <c r="U29" s="7" t="n">
        <v>17</v>
      </c>
      <c r="V29" s="7" t="s">
        <v>16845</v>
      </c>
      <c r="W29" s="7" t="n">
        <v>5</v>
      </c>
      <c r="X29" s="7"/>
      <c r="Y29" s="7" t="s">
        <v>17156</v>
      </c>
      <c r="Z29" s="7" t="s">
        <v>17157</v>
      </c>
      <c r="AA29" s="7" t="s">
        <v>17158</v>
      </c>
      <c r="AB29" s="7" t="s">
        <v>17159</v>
      </c>
      <c r="AC29" s="7" t="s">
        <v>17160</v>
      </c>
      <c r="AD29" s="7"/>
      <c r="AE29" s="7" t="s">
        <v>17161</v>
      </c>
      <c r="AF29" s="7" t="s">
        <v>17162</v>
      </c>
      <c r="AG29" s="7" t="s">
        <v>17163</v>
      </c>
      <c r="AH29" s="7" t="s">
        <v>17164</v>
      </c>
      <c r="AI29" s="7" t="n">
        <v>83</v>
      </c>
      <c r="AJ29" s="7" t="n">
        <v>2</v>
      </c>
      <c r="AK29" s="7" t="n">
        <v>6</v>
      </c>
      <c r="AL29" s="7" t="s">
        <v>16855</v>
      </c>
      <c r="AM29" s="7" t="s">
        <v>16856</v>
      </c>
      <c r="AN29" s="7" t="s">
        <v>16857</v>
      </c>
      <c r="AO29" s="7"/>
      <c r="AP29" s="7" t="s">
        <v>16858</v>
      </c>
      <c r="AQ29" s="7" t="s">
        <v>16859</v>
      </c>
      <c r="AR29" s="7" t="s">
        <v>17056</v>
      </c>
      <c r="AS29" s="7"/>
      <c r="AT29" s="7"/>
      <c r="AU29" s="7" t="s">
        <v>17165</v>
      </c>
      <c r="AV29" s="7" t="s">
        <v>17166</v>
      </c>
      <c r="AW29" s="30" t="str">
        <f aca="false">HYPERLINK("http://dx.doi.org/10.1371/journal.pntd.0010879","http://dx.doi.org/10.1371/journal.pntd.0010879")</f>
        <v>http://dx.doi.org/10.1371/journal.pntd.0010879</v>
      </c>
      <c r="AX29" s="7"/>
      <c r="AY29" s="7" t="n">
        <v>21</v>
      </c>
      <c r="AZ29" s="7" t="s">
        <v>16862</v>
      </c>
      <c r="BA29" s="7" t="s">
        <v>16366</v>
      </c>
      <c r="BB29" s="7" t="s">
        <v>16862</v>
      </c>
      <c r="BC29" s="7" t="s">
        <v>17167</v>
      </c>
      <c r="BD29" s="7" t="n">
        <v>37256857</v>
      </c>
      <c r="BE29" s="7" t="s">
        <v>17168</v>
      </c>
      <c r="BF29" s="7" t="s">
        <v>16369</v>
      </c>
      <c r="BG29" s="7" t="s">
        <v>17169</v>
      </c>
      <c r="BH29" s="7" t="str">
        <f aca="false">HYPERLINK("https%3A%2F%2Fwww.webofscience.com%2Fwos%2Fwoscc%2Ffull-record%2FWOS:001000271600003","View Full Record in Web of Science")</f>
        <v>View Full Record in Web of Science</v>
      </c>
      <c r="BL29" s="7"/>
      <c r="BM29" s="7"/>
      <c r="BN29" s="7"/>
      <c r="BO29" s="7"/>
      <c r="BP29" s="7"/>
      <c r="BQ29" s="7"/>
      <c r="BR29" s="7"/>
      <c r="BS29" s="7"/>
      <c r="BT29" s="7"/>
      <c r="BU29" s="7"/>
      <c r="BV29" s="7"/>
      <c r="BW29" s="7"/>
      <c r="BX29" s="7"/>
      <c r="BY29" s="7"/>
      <c r="BZ29" s="7"/>
      <c r="CA29" s="7"/>
      <c r="CB29" s="7"/>
      <c r="CC29" s="7"/>
      <c r="CD29" s="7"/>
      <c r="CE29" s="7"/>
      <c r="CF29" s="7"/>
    </row>
    <row r="30" customFormat="false" ht="15.75" hidden="false" customHeight="true" outlineLevel="0" collapsed="false">
      <c r="A30" s="7" t="s">
        <v>16335</v>
      </c>
      <c r="B30" s="7" t="s">
        <v>17170</v>
      </c>
      <c r="C30" s="7" t="s">
        <v>17171</v>
      </c>
      <c r="D30" s="8" t="s">
        <v>17172</v>
      </c>
      <c r="E30" s="7" t="n">
        <v>2023</v>
      </c>
      <c r="F30" s="6" t="s">
        <v>17173</v>
      </c>
      <c r="G30" s="6" t="s">
        <v>134</v>
      </c>
      <c r="H30" s="8" t="s">
        <v>17174</v>
      </c>
      <c r="I30" s="8" t="s">
        <v>4931</v>
      </c>
      <c r="J30" s="8" t="s">
        <v>17175</v>
      </c>
      <c r="K30" s="8" t="s">
        <v>16409</v>
      </c>
      <c r="L30" s="8" t="s">
        <v>3754</v>
      </c>
      <c r="M30" s="8" t="s">
        <v>17176</v>
      </c>
      <c r="N30" s="8" t="s">
        <v>17177</v>
      </c>
      <c r="O30" s="8" t="s">
        <v>17178</v>
      </c>
      <c r="P30" s="10" t="n">
        <v>0</v>
      </c>
      <c r="Q30" s="7" t="n">
        <v>0</v>
      </c>
      <c r="R30" s="7" t="s">
        <v>61</v>
      </c>
      <c r="S30" s="7" t="s">
        <v>62</v>
      </c>
      <c r="T30" s="7" t="s">
        <v>17179</v>
      </c>
      <c r="U30" s="7" t="n">
        <v>9</v>
      </c>
      <c r="V30" s="7" t="s">
        <v>16814</v>
      </c>
      <c r="W30" s="7" t="n">
        <v>1</v>
      </c>
      <c r="X30" s="7" t="s">
        <v>17180</v>
      </c>
      <c r="Y30" s="7" t="s">
        <v>17181</v>
      </c>
      <c r="Z30" s="7" t="s">
        <v>17182</v>
      </c>
      <c r="AA30" s="7" t="s">
        <v>17183</v>
      </c>
      <c r="AB30" s="7" t="s">
        <v>17184</v>
      </c>
      <c r="AC30" s="7" t="s">
        <v>17185</v>
      </c>
      <c r="AD30" s="7" t="s">
        <v>17186</v>
      </c>
      <c r="AE30" s="7"/>
      <c r="AF30" s="7" t="s">
        <v>17187</v>
      </c>
      <c r="AG30" s="7" t="s">
        <v>17187</v>
      </c>
      <c r="AH30" s="7" t="s">
        <v>17188</v>
      </c>
      <c r="AI30" s="7" t="n">
        <v>76</v>
      </c>
      <c r="AJ30" s="7" t="n">
        <v>2</v>
      </c>
      <c r="AK30" s="7" t="n">
        <v>3</v>
      </c>
      <c r="AL30" s="7" t="s">
        <v>16821</v>
      </c>
      <c r="AM30" s="7" t="s">
        <v>16822</v>
      </c>
      <c r="AN30" s="7" t="s">
        <v>17189</v>
      </c>
      <c r="AO30" s="7"/>
      <c r="AP30" s="7" t="s">
        <v>17190</v>
      </c>
      <c r="AQ30" s="7" t="s">
        <v>4894</v>
      </c>
      <c r="AR30" s="7" t="s">
        <v>17191</v>
      </c>
      <c r="AS30" s="7"/>
      <c r="AT30" s="7"/>
      <c r="AU30" s="7" t="n">
        <v>24</v>
      </c>
      <c r="AV30" s="7" t="s">
        <v>4885</v>
      </c>
      <c r="AW30" s="30" t="str">
        <f aca="false">HYPERLINK("http://dx.doi.org/10.1186/s40794-023-00208-7","http://dx.doi.org/10.1186/s40794-023-00208-7")</f>
        <v>http://dx.doi.org/10.1186/s40794-023-00208-7</v>
      </c>
      <c r="AX30" s="7"/>
      <c r="AY30" s="7" t="n">
        <v>12</v>
      </c>
      <c r="AZ30" s="7" t="s">
        <v>17192</v>
      </c>
      <c r="BA30" s="7" t="s">
        <v>16684</v>
      </c>
      <c r="BB30" s="7" t="s">
        <v>17192</v>
      </c>
      <c r="BC30" s="7" t="s">
        <v>17193</v>
      </c>
      <c r="BD30" s="7" t="n">
        <v>38098124</v>
      </c>
      <c r="BE30" s="7" t="s">
        <v>17194</v>
      </c>
      <c r="BF30" s="7" t="s">
        <v>16369</v>
      </c>
      <c r="BG30" s="7" t="s">
        <v>17195</v>
      </c>
      <c r="BH30" s="7" t="str">
        <f aca="false">HYPERLINK("https%3A%2F%2Fwww.webofscience.com%2Fwos%2Fwoscc%2Ffull-record%2FWOS:001125184200001","View Full Record in Web of Science")</f>
        <v>View Full Record in Web of Science</v>
      </c>
      <c r="BL30" s="7"/>
      <c r="BM30" s="7"/>
      <c r="BN30" s="7"/>
      <c r="BO30" s="7"/>
      <c r="BP30" s="7"/>
      <c r="BQ30" s="7"/>
      <c r="BR30" s="7"/>
      <c r="BS30" s="7"/>
      <c r="BT30" s="7"/>
      <c r="BU30" s="7"/>
      <c r="BV30" s="7"/>
      <c r="BW30" s="7"/>
      <c r="BX30" s="7"/>
      <c r="BY30" s="7"/>
      <c r="BZ30" s="7"/>
      <c r="CA30" s="7"/>
      <c r="CB30" s="7"/>
      <c r="CC30" s="7"/>
      <c r="CD30" s="7"/>
      <c r="CE30" s="7"/>
      <c r="CF30" s="7"/>
    </row>
    <row r="31" customFormat="false" ht="15.75" hidden="false" customHeight="true" outlineLevel="0" collapsed="false">
      <c r="A31" s="7" t="s">
        <v>16335</v>
      </c>
      <c r="B31" s="7" t="s">
        <v>17196</v>
      </c>
      <c r="C31" s="7" t="s">
        <v>17197</v>
      </c>
      <c r="D31" s="8" t="s">
        <v>17198</v>
      </c>
      <c r="E31" s="7" t="n">
        <v>2023</v>
      </c>
      <c r="F31" s="6" t="s">
        <v>17199</v>
      </c>
      <c r="G31" s="6" t="s">
        <v>134</v>
      </c>
      <c r="H31" s="8" t="s">
        <v>3920</v>
      </c>
      <c r="I31" s="10"/>
      <c r="J31" s="8" t="s">
        <v>17200</v>
      </c>
      <c r="K31" s="8" t="s">
        <v>17201</v>
      </c>
      <c r="L31" s="8" t="s">
        <v>3754</v>
      </c>
      <c r="M31" s="8" t="s">
        <v>17202</v>
      </c>
      <c r="N31" s="8" t="s">
        <v>17203</v>
      </c>
      <c r="O31" s="8" t="s">
        <v>17204</v>
      </c>
      <c r="P31" s="10" t="n">
        <v>0</v>
      </c>
      <c r="Q31" s="7" t="n">
        <v>0</v>
      </c>
      <c r="R31" s="7" t="s">
        <v>16529</v>
      </c>
      <c r="S31" s="7" t="s">
        <v>62</v>
      </c>
      <c r="T31" s="7" t="s">
        <v>17205</v>
      </c>
      <c r="U31" s="7"/>
      <c r="V31" s="7" t="s">
        <v>16600</v>
      </c>
      <c r="W31" s="7"/>
      <c r="X31" s="7" t="s">
        <v>17206</v>
      </c>
      <c r="Y31" s="7" t="s">
        <v>17207</v>
      </c>
      <c r="Z31" s="7" t="s">
        <v>17208</v>
      </c>
      <c r="AA31" s="7" t="s">
        <v>17209</v>
      </c>
      <c r="AB31" s="7" t="s">
        <v>17210</v>
      </c>
      <c r="AC31" s="7" t="s">
        <v>17211</v>
      </c>
      <c r="AD31" s="7" t="s">
        <v>17212</v>
      </c>
      <c r="AE31" s="7" t="s">
        <v>17213</v>
      </c>
      <c r="AF31" s="7"/>
      <c r="AG31" s="7"/>
      <c r="AH31" s="7"/>
      <c r="AI31" s="7" t="n">
        <v>63</v>
      </c>
      <c r="AJ31" s="7" t="n">
        <v>1</v>
      </c>
      <c r="AK31" s="7" t="n">
        <v>4</v>
      </c>
      <c r="AL31" s="7" t="s">
        <v>16990</v>
      </c>
      <c r="AM31" s="7" t="s">
        <v>16991</v>
      </c>
      <c r="AN31" s="7" t="s">
        <v>17214</v>
      </c>
      <c r="AO31" s="7" t="s">
        <v>17215</v>
      </c>
      <c r="AP31" s="7" t="s">
        <v>17216</v>
      </c>
      <c r="AQ31" s="7" t="s">
        <v>17217</v>
      </c>
      <c r="AR31" s="7" t="s">
        <v>17218</v>
      </c>
      <c r="AS31" s="7"/>
      <c r="AT31" s="7"/>
      <c r="AU31" s="7"/>
      <c r="AV31" s="7" t="s">
        <v>17219</v>
      </c>
      <c r="AW31" s="30" t="str">
        <f aca="false">HYPERLINK("http://dx.doi.org/10.1007/s00500-023-09396-y","http://dx.doi.org/10.1007/s00500-023-09396-y")</f>
        <v>http://dx.doi.org/10.1007/s00500-023-09396-y</v>
      </c>
      <c r="AX31" s="7" t="s">
        <v>17220</v>
      </c>
      <c r="AY31" s="7" t="n">
        <v>20</v>
      </c>
      <c r="AZ31" s="7" t="s">
        <v>17221</v>
      </c>
      <c r="BA31" s="7" t="s">
        <v>16366</v>
      </c>
      <c r="BB31" s="7" t="s">
        <v>16367</v>
      </c>
      <c r="BC31" s="7" t="s">
        <v>17222</v>
      </c>
      <c r="BD31" s="7"/>
      <c r="BE31" s="7"/>
      <c r="BF31" s="7" t="s">
        <v>16369</v>
      </c>
      <c r="BG31" s="7" t="s">
        <v>17223</v>
      </c>
      <c r="BH31" s="7" t="str">
        <f aca="false">HYPERLINK("https%3A%2F%2Fwww.webofscience.com%2Fwos%2Fwoscc%2Ffull-record%2FWOS:001122373900003","View Full Record in Web of Science")</f>
        <v>View Full Record in Web of Science</v>
      </c>
      <c r="BL31" s="7"/>
      <c r="BM31" s="7"/>
      <c r="BN31" s="7"/>
      <c r="BO31" s="7"/>
      <c r="BP31" s="7"/>
      <c r="BQ31" s="7"/>
      <c r="BR31" s="7"/>
      <c r="BS31" s="7"/>
      <c r="BT31" s="7"/>
      <c r="BU31" s="7"/>
      <c r="BV31" s="7"/>
      <c r="BW31" s="7"/>
      <c r="BX31" s="7"/>
      <c r="BY31" s="7"/>
      <c r="BZ31" s="7"/>
      <c r="CA31" s="7"/>
      <c r="CB31" s="7"/>
      <c r="CC31" s="7"/>
      <c r="CD31" s="7"/>
      <c r="CE31" s="7"/>
      <c r="CF31" s="7"/>
    </row>
    <row r="32" customFormat="false" ht="15.75" hidden="false" customHeight="true" outlineLevel="0" collapsed="false">
      <c r="A32" s="7" t="s">
        <v>16335</v>
      </c>
      <c r="B32" s="7" t="s">
        <v>17224</v>
      </c>
      <c r="C32" s="7" t="s">
        <v>17225</v>
      </c>
      <c r="D32" s="8" t="s">
        <v>17226</v>
      </c>
      <c r="E32" s="7" t="n">
        <v>2022</v>
      </c>
      <c r="F32" s="6" t="s">
        <v>17227</v>
      </c>
      <c r="G32" s="6" t="s">
        <v>134</v>
      </c>
      <c r="H32" s="8" t="s">
        <v>17228</v>
      </c>
      <c r="I32" s="8" t="s">
        <v>17229</v>
      </c>
      <c r="J32" s="8" t="s">
        <v>16752</v>
      </c>
      <c r="K32" s="8" t="s">
        <v>16409</v>
      </c>
      <c r="L32" s="8" t="s">
        <v>3754</v>
      </c>
      <c r="M32" s="8" t="s">
        <v>17230</v>
      </c>
      <c r="N32" s="8" t="s">
        <v>17231</v>
      </c>
      <c r="O32" s="8" t="s">
        <v>17232</v>
      </c>
      <c r="P32" s="10" t="n">
        <v>21</v>
      </c>
      <c r="Q32" s="7" t="n">
        <v>21</v>
      </c>
      <c r="R32" s="7" t="s">
        <v>61</v>
      </c>
      <c r="S32" s="7" t="s">
        <v>62</v>
      </c>
      <c r="T32" s="7" t="s">
        <v>17233</v>
      </c>
      <c r="U32" s="7" t="n">
        <v>34</v>
      </c>
      <c r="V32" s="7" t="s">
        <v>17234</v>
      </c>
      <c r="W32" s="7" t="n">
        <v>6</v>
      </c>
      <c r="X32" s="7"/>
      <c r="Y32" s="7" t="s">
        <v>17235</v>
      </c>
      <c r="Z32" s="7" t="s">
        <v>17236</v>
      </c>
      <c r="AA32" s="7" t="s">
        <v>17237</v>
      </c>
      <c r="AB32" s="7" t="s">
        <v>17238</v>
      </c>
      <c r="AC32" s="7" t="s">
        <v>17239</v>
      </c>
      <c r="AD32" s="7" t="s">
        <v>17240</v>
      </c>
      <c r="AE32" s="7" t="s">
        <v>17241</v>
      </c>
      <c r="AF32" s="7" t="s">
        <v>17242</v>
      </c>
      <c r="AG32" s="7" t="s">
        <v>17242</v>
      </c>
      <c r="AH32" s="7" t="s">
        <v>17243</v>
      </c>
      <c r="AI32" s="7" t="n">
        <v>45</v>
      </c>
      <c r="AJ32" s="7" t="n">
        <v>1</v>
      </c>
      <c r="AK32" s="7" t="n">
        <v>8</v>
      </c>
      <c r="AL32" s="7" t="s">
        <v>16821</v>
      </c>
      <c r="AM32" s="7" t="s">
        <v>17244</v>
      </c>
      <c r="AN32" s="7" t="s">
        <v>17245</v>
      </c>
      <c r="AO32" s="7" t="s">
        <v>17246</v>
      </c>
      <c r="AP32" s="7" t="s">
        <v>17247</v>
      </c>
      <c r="AQ32" s="7" t="s">
        <v>458</v>
      </c>
      <c r="AR32" s="7" t="s">
        <v>17248</v>
      </c>
      <c r="AS32" s="7" t="n">
        <v>4473</v>
      </c>
      <c r="AT32" s="7" t="n">
        <v>4485</v>
      </c>
      <c r="AU32" s="7"/>
      <c r="AV32" s="7" t="s">
        <v>17249</v>
      </c>
      <c r="AW32" s="30" t="str">
        <f aca="false">HYPERLINK("http://dx.doi.org/10.1007/s00521-021-06602-6","http://dx.doi.org/10.1007/s00521-021-06602-6")</f>
        <v>http://dx.doi.org/10.1007/s00521-021-06602-6</v>
      </c>
      <c r="AX32" s="7" t="s">
        <v>17250</v>
      </c>
      <c r="AY32" s="7" t="n">
        <v>13</v>
      </c>
      <c r="AZ32" s="7" t="s">
        <v>16365</v>
      </c>
      <c r="BA32" s="7" t="s">
        <v>16366</v>
      </c>
      <c r="BB32" s="7" t="s">
        <v>16367</v>
      </c>
      <c r="BC32" s="7" t="s">
        <v>17251</v>
      </c>
      <c r="BD32" s="7"/>
      <c r="BE32" s="7"/>
      <c r="BF32" s="7" t="s">
        <v>16369</v>
      </c>
      <c r="BG32" s="7" t="s">
        <v>17252</v>
      </c>
      <c r="BH32" s="7" t="str">
        <f aca="false">HYPERLINK("https%3A%2F%2Fwww.webofscience.com%2Fwos%2Fwoscc%2Ffull-record%2FWOS:000716840000001","View Full Record in Web of Science")</f>
        <v>View Full Record in Web of Science</v>
      </c>
      <c r="BL32" s="7"/>
      <c r="BM32" s="7"/>
      <c r="BN32" s="7"/>
      <c r="BO32" s="7"/>
      <c r="BP32" s="7"/>
      <c r="BQ32" s="7"/>
      <c r="BR32" s="7"/>
      <c r="BS32" s="7"/>
      <c r="BT32" s="7"/>
      <c r="BU32" s="7"/>
      <c r="BV32" s="7"/>
      <c r="BW32" s="7"/>
      <c r="BX32" s="7"/>
      <c r="BY32" s="7"/>
      <c r="BZ32" s="7"/>
      <c r="CA32" s="7"/>
      <c r="CB32" s="7"/>
      <c r="CC32" s="7"/>
      <c r="CD32" s="7"/>
      <c r="CE32" s="7"/>
      <c r="CF32" s="7"/>
    </row>
    <row r="33" customFormat="false" ht="15.75" hidden="false" customHeight="true" outlineLevel="0" collapsed="false">
      <c r="A33" s="7" t="s">
        <v>16335</v>
      </c>
      <c r="B33" s="7" t="s">
        <v>17253</v>
      </c>
      <c r="C33" s="7" t="s">
        <v>17254</v>
      </c>
      <c r="D33" s="8" t="s">
        <v>17255</v>
      </c>
      <c r="E33" s="7" t="n">
        <v>2022</v>
      </c>
      <c r="F33" s="6" t="s">
        <v>17256</v>
      </c>
      <c r="G33" s="6" t="s">
        <v>393</v>
      </c>
      <c r="H33" s="8" t="s">
        <v>17257</v>
      </c>
      <c r="I33" s="8" t="s">
        <v>17258</v>
      </c>
      <c r="J33" s="8" t="s">
        <v>16752</v>
      </c>
      <c r="K33" s="8" t="s">
        <v>17259</v>
      </c>
      <c r="L33" s="8" t="s">
        <v>3754</v>
      </c>
      <c r="M33" s="8" t="s">
        <v>17260</v>
      </c>
      <c r="N33" s="8" t="s">
        <v>17261</v>
      </c>
      <c r="O33" s="8" t="s">
        <v>17262</v>
      </c>
      <c r="P33" s="10" t="n">
        <v>22</v>
      </c>
      <c r="Q33" s="7" t="n">
        <v>22</v>
      </c>
      <c r="R33" s="7" t="s">
        <v>61</v>
      </c>
      <c r="S33" s="7" t="s">
        <v>62</v>
      </c>
      <c r="T33" s="7" t="s">
        <v>16844</v>
      </c>
      <c r="U33" s="7" t="n">
        <v>16</v>
      </c>
      <c r="V33" s="7" t="s">
        <v>16845</v>
      </c>
      <c r="W33" s="7" t="n">
        <v>6</v>
      </c>
      <c r="X33" s="7"/>
      <c r="Y33" s="7" t="s">
        <v>17263</v>
      </c>
      <c r="Z33" s="7" t="s">
        <v>17264</v>
      </c>
      <c r="AA33" s="7" t="s">
        <v>17265</v>
      </c>
      <c r="AB33" s="7" t="s">
        <v>17266</v>
      </c>
      <c r="AC33" s="7" t="s">
        <v>17267</v>
      </c>
      <c r="AD33" s="7" t="s">
        <v>17268</v>
      </c>
      <c r="AE33" s="7" t="s">
        <v>17269</v>
      </c>
      <c r="AF33" s="7"/>
      <c r="AG33" s="7"/>
      <c r="AH33" s="7"/>
      <c r="AI33" s="7" t="n">
        <v>35</v>
      </c>
      <c r="AJ33" s="7" t="n">
        <v>4</v>
      </c>
      <c r="AK33" s="7" t="n">
        <v>20</v>
      </c>
      <c r="AL33" s="7" t="s">
        <v>16855</v>
      </c>
      <c r="AM33" s="7" t="s">
        <v>16856</v>
      </c>
      <c r="AN33" s="7" t="s">
        <v>16857</v>
      </c>
      <c r="AO33" s="7"/>
      <c r="AP33" s="7" t="s">
        <v>16858</v>
      </c>
      <c r="AQ33" s="7" t="s">
        <v>16859</v>
      </c>
      <c r="AR33" s="7" t="s">
        <v>16683</v>
      </c>
      <c r="AS33" s="7"/>
      <c r="AT33" s="7"/>
      <c r="AU33" s="7" t="s">
        <v>17270</v>
      </c>
      <c r="AV33" s="7" t="s">
        <v>17271</v>
      </c>
      <c r="AW33" s="30" t="str">
        <f aca="false">HYPERLINK("http://dx.doi.org/10.1371/journal.pntd.0010500","http://dx.doi.org/10.1371/journal.pntd.0010500")</f>
        <v>http://dx.doi.org/10.1371/journal.pntd.0010500</v>
      </c>
      <c r="AX33" s="7"/>
      <c r="AY33" s="7" t="n">
        <v>16</v>
      </c>
      <c r="AZ33" s="7" t="s">
        <v>16862</v>
      </c>
      <c r="BA33" s="7" t="s">
        <v>16366</v>
      </c>
      <c r="BB33" s="7" t="s">
        <v>16862</v>
      </c>
      <c r="BC33" s="7" t="s">
        <v>17272</v>
      </c>
      <c r="BD33" s="7" t="n">
        <v>35714140</v>
      </c>
      <c r="BE33" s="7" t="s">
        <v>17143</v>
      </c>
      <c r="BF33" s="7" t="s">
        <v>16369</v>
      </c>
      <c r="BG33" s="7" t="s">
        <v>17273</v>
      </c>
      <c r="BH33" s="7" t="str">
        <f aca="false">HYPERLINK("https%3A%2F%2Fwww.webofscience.com%2Fwos%2Fwoscc%2Ffull-record%2FWOS:000829233500008","View Full Record in Web of Science")</f>
        <v>View Full Record in Web of Science</v>
      </c>
      <c r="BL33" s="7"/>
      <c r="BM33" s="7"/>
      <c r="BN33" s="7"/>
      <c r="BO33" s="7"/>
      <c r="BP33" s="7"/>
      <c r="BQ33" s="7"/>
      <c r="BR33" s="7"/>
      <c r="BS33" s="7"/>
      <c r="BT33" s="7"/>
      <c r="BU33" s="7"/>
      <c r="BV33" s="7"/>
      <c r="BW33" s="7"/>
      <c r="BX33" s="7"/>
      <c r="BY33" s="7"/>
      <c r="BZ33" s="7"/>
      <c r="CA33" s="7"/>
      <c r="CB33" s="7"/>
      <c r="CC33" s="7"/>
      <c r="CD33" s="7"/>
      <c r="CE33" s="7"/>
      <c r="CF33" s="7"/>
    </row>
    <row r="34" customFormat="false" ht="15.75" hidden="false" customHeight="true" outlineLevel="0" collapsed="false">
      <c r="A34" s="7" t="s">
        <v>16335</v>
      </c>
      <c r="B34" s="7" t="s">
        <v>17274</v>
      </c>
      <c r="C34" s="7" t="s">
        <v>17275</v>
      </c>
      <c r="D34" s="8" t="s">
        <v>17276</v>
      </c>
      <c r="E34" s="7" t="n">
        <v>2022</v>
      </c>
      <c r="F34" s="6" t="s">
        <v>17277</v>
      </c>
      <c r="G34" s="6" t="s">
        <v>134</v>
      </c>
      <c r="H34" s="8" t="s">
        <v>17278</v>
      </c>
      <c r="I34" s="8" t="s">
        <v>17278</v>
      </c>
      <c r="J34" s="8" t="s">
        <v>16752</v>
      </c>
      <c r="K34" s="8" t="s">
        <v>16753</v>
      </c>
      <c r="L34" s="8" t="s">
        <v>3754</v>
      </c>
      <c r="M34" s="8" t="s">
        <v>17279</v>
      </c>
      <c r="N34" s="8" t="s">
        <v>17280</v>
      </c>
      <c r="O34" s="8" t="s">
        <v>17281</v>
      </c>
      <c r="P34" s="10" t="n">
        <v>5</v>
      </c>
      <c r="Q34" s="7" t="n">
        <v>6</v>
      </c>
      <c r="R34" s="7" t="s">
        <v>61</v>
      </c>
      <c r="S34" s="7" t="s">
        <v>62</v>
      </c>
      <c r="T34" s="7" t="s">
        <v>17233</v>
      </c>
      <c r="U34" s="7" t="n">
        <v>34</v>
      </c>
      <c r="V34" s="7" t="s">
        <v>17234</v>
      </c>
      <c r="W34" s="7" t="n">
        <v>11</v>
      </c>
      <c r="X34" s="7" t="s">
        <v>17282</v>
      </c>
      <c r="Y34" s="7" t="s">
        <v>17283</v>
      </c>
      <c r="Z34" s="7" t="s">
        <v>17284</v>
      </c>
      <c r="AA34" s="7" t="s">
        <v>17285</v>
      </c>
      <c r="AB34" s="7" t="s">
        <v>17286</v>
      </c>
      <c r="AC34" s="7" t="s">
        <v>17287</v>
      </c>
      <c r="AD34" s="7" t="s">
        <v>17288</v>
      </c>
      <c r="AE34" s="7" t="s">
        <v>17289</v>
      </c>
      <c r="AF34" s="7"/>
      <c r="AG34" s="7"/>
      <c r="AH34" s="7"/>
      <c r="AI34" s="7" t="n">
        <v>69</v>
      </c>
      <c r="AJ34" s="7" t="n">
        <v>2</v>
      </c>
      <c r="AK34" s="7" t="n">
        <v>20</v>
      </c>
      <c r="AL34" s="7" t="s">
        <v>16821</v>
      </c>
      <c r="AM34" s="7" t="s">
        <v>17244</v>
      </c>
      <c r="AN34" s="7" t="s">
        <v>17245</v>
      </c>
      <c r="AO34" s="7" t="s">
        <v>17246</v>
      </c>
      <c r="AP34" s="7" t="s">
        <v>17247</v>
      </c>
      <c r="AQ34" s="7" t="s">
        <v>458</v>
      </c>
      <c r="AR34" s="7" t="s">
        <v>16683</v>
      </c>
      <c r="AS34" s="7" t="n">
        <v>9025</v>
      </c>
      <c r="AT34" s="7" t="n">
        <v>9042</v>
      </c>
      <c r="AU34" s="7"/>
      <c r="AV34" s="7" t="s">
        <v>7103</v>
      </c>
      <c r="AW34" s="30" t="str">
        <f aca="false">HYPERLINK("http://dx.doi.org/10.1007/s00521-022-06924-z","http://dx.doi.org/10.1007/s00521-022-06924-z")</f>
        <v>http://dx.doi.org/10.1007/s00521-022-06924-z</v>
      </c>
      <c r="AX34" s="7" t="s">
        <v>17290</v>
      </c>
      <c r="AY34" s="7" t="n">
        <v>18</v>
      </c>
      <c r="AZ34" s="7" t="s">
        <v>16365</v>
      </c>
      <c r="BA34" s="7" t="s">
        <v>16366</v>
      </c>
      <c r="BB34" s="7" t="s">
        <v>16367</v>
      </c>
      <c r="BC34" s="7" t="s">
        <v>17291</v>
      </c>
      <c r="BD34" s="7"/>
      <c r="BE34" s="7"/>
      <c r="BF34" s="7" t="s">
        <v>16369</v>
      </c>
      <c r="BG34" s="7" t="s">
        <v>17292</v>
      </c>
      <c r="BH34" s="7" t="str">
        <f aca="false">HYPERLINK("https%3A%2F%2Fwww.webofscience.com%2Fwos%2Fwoscc%2Ffull-record%2FWOS:000783037100002","View Full Record in Web of Science")</f>
        <v>View Full Record in Web of Science</v>
      </c>
      <c r="BL34" s="7"/>
      <c r="BM34" s="7"/>
      <c r="BN34" s="7"/>
      <c r="BO34" s="7"/>
      <c r="BP34" s="7"/>
      <c r="BQ34" s="7"/>
      <c r="BR34" s="7"/>
      <c r="BS34" s="7" t="s">
        <v>16622</v>
      </c>
      <c r="BT34" s="7"/>
      <c r="BU34" s="7"/>
      <c r="BV34" s="7"/>
      <c r="BW34" s="7"/>
      <c r="BX34" s="7"/>
      <c r="BY34" s="7"/>
      <c r="BZ34" s="7"/>
      <c r="CA34" s="7"/>
      <c r="CB34" s="7"/>
      <c r="CC34" s="7"/>
      <c r="CD34" s="7"/>
      <c r="CE34" s="7"/>
      <c r="CF34" s="7"/>
    </row>
    <row r="35" customFormat="false" ht="15.75" hidden="false" customHeight="true" outlineLevel="0" collapsed="false">
      <c r="A35" s="7" t="s">
        <v>16335</v>
      </c>
      <c r="B35" s="7" t="s">
        <v>17293</v>
      </c>
      <c r="C35" s="7" t="s">
        <v>17294</v>
      </c>
      <c r="D35" s="8" t="s">
        <v>17295</v>
      </c>
      <c r="E35" s="7" t="n">
        <v>2022</v>
      </c>
      <c r="F35" s="6" t="s">
        <v>17296</v>
      </c>
      <c r="G35" s="6" t="s">
        <v>393</v>
      </c>
      <c r="H35" s="8" t="s">
        <v>17297</v>
      </c>
      <c r="I35" s="8" t="s">
        <v>17298</v>
      </c>
      <c r="J35" s="8" t="s">
        <v>17299</v>
      </c>
      <c r="K35" s="8" t="s">
        <v>17300</v>
      </c>
      <c r="L35" s="8" t="s">
        <v>16559</v>
      </c>
      <c r="M35" s="8" t="s">
        <v>16559</v>
      </c>
      <c r="N35" s="8" t="s">
        <v>16559</v>
      </c>
      <c r="O35" s="8" t="s">
        <v>17301</v>
      </c>
      <c r="P35" s="10" t="n">
        <v>15</v>
      </c>
      <c r="Q35" s="7" t="n">
        <v>15</v>
      </c>
      <c r="R35" s="7" t="s">
        <v>61</v>
      </c>
      <c r="S35" s="7" t="s">
        <v>62</v>
      </c>
      <c r="T35" s="7" t="s">
        <v>17302</v>
      </c>
      <c r="U35" s="7" t="n">
        <v>118</v>
      </c>
      <c r="V35" s="7" t="s">
        <v>17303</v>
      </c>
      <c r="W35" s="7" t="s">
        <v>17304</v>
      </c>
      <c r="X35" s="7" t="s">
        <v>17305</v>
      </c>
      <c r="Y35" s="7"/>
      <c r="Z35" s="7" t="s">
        <v>17306</v>
      </c>
      <c r="AA35" s="7" t="s">
        <v>17307</v>
      </c>
      <c r="AB35" s="7" t="s">
        <v>17308</v>
      </c>
      <c r="AC35" s="7" t="s">
        <v>17309</v>
      </c>
      <c r="AD35" s="7" t="s">
        <v>17310</v>
      </c>
      <c r="AE35" s="7" t="s">
        <v>17311</v>
      </c>
      <c r="AF35" s="7" t="s">
        <v>17312</v>
      </c>
      <c r="AG35" s="7" t="s">
        <v>17313</v>
      </c>
      <c r="AH35" s="7" t="s">
        <v>17314</v>
      </c>
      <c r="AI35" s="7" t="n">
        <v>42</v>
      </c>
      <c r="AJ35" s="7" t="n">
        <v>5</v>
      </c>
      <c r="AK35" s="7" t="n">
        <v>23</v>
      </c>
      <c r="AL35" s="7" t="s">
        <v>17315</v>
      </c>
      <c r="AM35" s="7" t="s">
        <v>17316</v>
      </c>
      <c r="AN35" s="7" t="s">
        <v>17317</v>
      </c>
      <c r="AO35" s="7" t="s">
        <v>17318</v>
      </c>
      <c r="AP35" s="7" t="s">
        <v>17319</v>
      </c>
      <c r="AQ35" s="7" t="s">
        <v>17320</v>
      </c>
      <c r="AR35" s="7" t="s">
        <v>17321</v>
      </c>
      <c r="AS35" s="7"/>
      <c r="AT35" s="7"/>
      <c r="AU35" s="7" t="s">
        <v>17322</v>
      </c>
      <c r="AV35" s="7" t="s">
        <v>17323</v>
      </c>
      <c r="AW35" s="30" t="str">
        <f aca="false">HYPERLINK("http://dx.doi.org/10.17159/sajs.2022/13892","http://dx.doi.org/10.17159/sajs.2022/13892")</f>
        <v>http://dx.doi.org/10.17159/sajs.2022/13892</v>
      </c>
      <c r="AX35" s="7"/>
      <c r="AY35" s="7" t="n">
        <v>6</v>
      </c>
      <c r="AZ35" s="7" t="s">
        <v>16428</v>
      </c>
      <c r="BA35" s="7" t="s">
        <v>16366</v>
      </c>
      <c r="BB35" s="7" t="s">
        <v>16429</v>
      </c>
      <c r="BC35" s="7" t="s">
        <v>17324</v>
      </c>
      <c r="BD35" s="7" t="n">
        <v>39005847</v>
      </c>
      <c r="BE35" s="7" t="s">
        <v>17325</v>
      </c>
      <c r="BF35" s="7" t="s">
        <v>16369</v>
      </c>
      <c r="BG35" s="7" t="s">
        <v>17326</v>
      </c>
      <c r="BH35" s="7" t="str">
        <f aca="false">HYPERLINK("https%3A%2F%2Fwww.webofscience.com%2Fwos%2Fwoscc%2Ffull-record%2FWOS:000881847600001","View Full Record in Web of Science")</f>
        <v>View Full Record in Web of Science</v>
      </c>
      <c r="BL35" s="7"/>
      <c r="BM35" s="7"/>
      <c r="BN35" s="7"/>
      <c r="BO35" s="7"/>
      <c r="BP35" s="7"/>
      <c r="BQ35" s="7"/>
      <c r="BR35" s="7"/>
      <c r="BS35" s="7"/>
      <c r="BT35" s="7"/>
      <c r="BU35" s="7"/>
      <c r="BV35" s="7"/>
      <c r="BW35" s="7"/>
      <c r="BX35" s="7"/>
      <c r="BY35" s="7"/>
      <c r="BZ35" s="7"/>
      <c r="CA35" s="7"/>
      <c r="CB35" s="7"/>
      <c r="CC35" s="7"/>
      <c r="CD35" s="7"/>
      <c r="CE35" s="7"/>
      <c r="CF35" s="7"/>
    </row>
    <row r="36" customFormat="false" ht="15.75" hidden="false" customHeight="true" outlineLevel="0" collapsed="false">
      <c r="A36" s="7" t="s">
        <v>16335</v>
      </c>
      <c r="B36" s="7" t="s">
        <v>17327</v>
      </c>
      <c r="C36" s="7" t="s">
        <v>17328</v>
      </c>
      <c r="D36" s="8" t="s">
        <v>17329</v>
      </c>
      <c r="E36" s="7" t="n">
        <v>2022</v>
      </c>
      <c r="F36" s="6" t="s">
        <v>17330</v>
      </c>
      <c r="G36" s="6" t="s">
        <v>290</v>
      </c>
      <c r="H36" s="8"/>
      <c r="I36" s="10"/>
      <c r="J36" s="10"/>
      <c r="K36" s="10"/>
      <c r="L36" s="10"/>
      <c r="M36" s="10"/>
      <c r="N36" s="10"/>
      <c r="O36" s="10"/>
      <c r="P36" s="10" t="n">
        <v>1</v>
      </c>
      <c r="Q36" s="7" t="n">
        <v>1</v>
      </c>
      <c r="R36" s="7" t="s">
        <v>61</v>
      </c>
      <c r="S36" s="7" t="s">
        <v>62</v>
      </c>
      <c r="T36" s="7" t="s">
        <v>17331</v>
      </c>
      <c r="U36" s="7" t="n">
        <v>21</v>
      </c>
      <c r="V36" s="7" t="s">
        <v>17332</v>
      </c>
      <c r="W36" s="7" t="n">
        <v>2</v>
      </c>
      <c r="X36" s="7" t="s">
        <v>17333</v>
      </c>
      <c r="Y36" s="7" t="s">
        <v>17334</v>
      </c>
      <c r="Z36" s="7" t="s">
        <v>17335</v>
      </c>
      <c r="AA36" s="7" t="s">
        <v>17336</v>
      </c>
      <c r="AB36" s="7" t="s">
        <v>17337</v>
      </c>
      <c r="AC36" s="7" t="s">
        <v>17338</v>
      </c>
      <c r="AD36" s="7"/>
      <c r="AE36" s="7" t="s">
        <v>17339</v>
      </c>
      <c r="AF36" s="7"/>
      <c r="AG36" s="7"/>
      <c r="AH36" s="7"/>
      <c r="AI36" s="7" t="n">
        <v>58</v>
      </c>
      <c r="AJ36" s="7" t="n">
        <v>1</v>
      </c>
      <c r="AK36" s="7" t="n">
        <v>12</v>
      </c>
      <c r="AL36" s="7" t="s">
        <v>17340</v>
      </c>
      <c r="AM36" s="7" t="s">
        <v>17341</v>
      </c>
      <c r="AN36" s="7" t="s">
        <v>17342</v>
      </c>
      <c r="AO36" s="7" t="s">
        <v>17343</v>
      </c>
      <c r="AP36" s="7" t="s">
        <v>17344</v>
      </c>
      <c r="AQ36" s="7" t="s">
        <v>17345</v>
      </c>
      <c r="AR36" s="7" t="s">
        <v>17248</v>
      </c>
      <c r="AS36" s="7" t="n">
        <v>237</v>
      </c>
      <c r="AT36" s="7" t="n">
        <v>247</v>
      </c>
      <c r="AU36" s="7"/>
      <c r="AV36" s="7" t="s">
        <v>17346</v>
      </c>
      <c r="AW36" s="30" t="str">
        <f aca="false">HYPERLINK("http://dx.doi.org/10.1142/S2737416521410040","http://dx.doi.org/10.1142/S2737416521410040")</f>
        <v>http://dx.doi.org/10.1142/S2737416521410040</v>
      </c>
      <c r="AX36" s="7"/>
      <c r="AY36" s="7" t="n">
        <v>11</v>
      </c>
      <c r="AZ36" s="7" t="s">
        <v>17347</v>
      </c>
      <c r="BA36" s="7" t="s">
        <v>16366</v>
      </c>
      <c r="BB36" s="7" t="s">
        <v>17348</v>
      </c>
      <c r="BC36" s="7" t="s">
        <v>17349</v>
      </c>
      <c r="BD36" s="7"/>
      <c r="BE36" s="7"/>
      <c r="BF36" s="7" t="s">
        <v>16369</v>
      </c>
      <c r="BG36" s="7" t="s">
        <v>17350</v>
      </c>
      <c r="BH36" s="7" t="str">
        <f aca="false">HYPERLINK("https%3A%2F%2Fwww.webofscience.com%2Fwos%2Fwoscc%2Ffull-record%2FWOS:000761561500007","View Full Record in Web of Science")</f>
        <v>View Full Record in Web of Science</v>
      </c>
      <c r="BL36" s="7"/>
      <c r="BM36" s="7"/>
      <c r="BN36" s="7"/>
      <c r="BO36" s="7"/>
      <c r="BP36" s="7"/>
      <c r="BQ36" s="7"/>
      <c r="BR36" s="7"/>
      <c r="BS36" s="7"/>
      <c r="BT36" s="7"/>
      <c r="BU36" s="7"/>
      <c r="BV36" s="7"/>
      <c r="BW36" s="7"/>
      <c r="BX36" s="7"/>
      <c r="BY36" s="7"/>
      <c r="BZ36" s="7"/>
      <c r="CA36" s="7"/>
      <c r="CB36" s="7"/>
      <c r="CC36" s="7"/>
      <c r="CD36" s="7"/>
      <c r="CE36" s="7"/>
      <c r="CF36" s="7"/>
    </row>
    <row r="37" customFormat="false" ht="15.75" hidden="false" customHeight="true" outlineLevel="0" collapsed="false">
      <c r="A37" s="7" t="s">
        <v>16335</v>
      </c>
      <c r="B37" s="7" t="s">
        <v>17351</v>
      </c>
      <c r="C37" s="7" t="s">
        <v>17352</v>
      </c>
      <c r="D37" s="8" t="s">
        <v>17353</v>
      </c>
      <c r="E37" s="7" t="n">
        <v>2022</v>
      </c>
      <c r="F37" s="6" t="s">
        <v>17354</v>
      </c>
      <c r="G37" s="6" t="s">
        <v>134</v>
      </c>
      <c r="H37" s="8" t="s">
        <v>17355</v>
      </c>
      <c r="I37" s="8" t="s">
        <v>16559</v>
      </c>
      <c r="J37" s="8" t="s">
        <v>16752</v>
      </c>
      <c r="K37" s="8" t="s">
        <v>16409</v>
      </c>
      <c r="L37" s="8" t="s">
        <v>3754</v>
      </c>
      <c r="M37" s="8" t="s">
        <v>17356</v>
      </c>
      <c r="N37" s="8" t="s">
        <v>17357</v>
      </c>
      <c r="O37" s="8" t="s">
        <v>17358</v>
      </c>
      <c r="P37" s="10" t="n">
        <v>9</v>
      </c>
      <c r="Q37" s="7" t="n">
        <v>9</v>
      </c>
      <c r="R37" s="7" t="s">
        <v>61</v>
      </c>
      <c r="S37" s="7" t="s">
        <v>62</v>
      </c>
      <c r="T37" s="7" t="s">
        <v>17359</v>
      </c>
      <c r="U37" s="7" t="n">
        <v>2022</v>
      </c>
      <c r="V37" s="7" t="s">
        <v>17360</v>
      </c>
      <c r="W37" s="7"/>
      <c r="X37" s="7"/>
      <c r="Y37" s="7" t="s">
        <v>17361</v>
      </c>
      <c r="Z37" s="7" t="s">
        <v>17362</v>
      </c>
      <c r="AA37" s="7" t="s">
        <v>17363</v>
      </c>
      <c r="AB37" s="7" t="s">
        <v>17364</v>
      </c>
      <c r="AC37" s="7" t="s">
        <v>17365</v>
      </c>
      <c r="AD37" s="7" t="s">
        <v>17366</v>
      </c>
      <c r="AE37" s="7" t="s">
        <v>17367</v>
      </c>
      <c r="AF37" s="7" t="s">
        <v>17368</v>
      </c>
      <c r="AG37" s="7" t="s">
        <v>17369</v>
      </c>
      <c r="AH37" s="7" t="s">
        <v>17370</v>
      </c>
      <c r="AI37" s="7" t="n">
        <v>34</v>
      </c>
      <c r="AJ37" s="7" t="n">
        <v>1</v>
      </c>
      <c r="AK37" s="7" t="n">
        <v>6</v>
      </c>
      <c r="AL37" s="7" t="s">
        <v>16821</v>
      </c>
      <c r="AM37" s="7" t="s">
        <v>17371</v>
      </c>
      <c r="AN37" s="7" t="s">
        <v>17372</v>
      </c>
      <c r="AO37" s="7" t="s">
        <v>17373</v>
      </c>
      <c r="AP37" s="7" t="s">
        <v>17374</v>
      </c>
      <c r="AQ37" s="7" t="s">
        <v>17375</v>
      </c>
      <c r="AR37" s="7" t="s">
        <v>17376</v>
      </c>
      <c r="AS37" s="7"/>
      <c r="AT37" s="7"/>
      <c r="AU37" s="7" t="n">
        <v>3922763</v>
      </c>
      <c r="AV37" s="7" t="s">
        <v>17377</v>
      </c>
      <c r="AW37" s="30" t="str">
        <f aca="false">HYPERLINK("http://dx.doi.org/10.1155/2022/3922763","http://dx.doi.org/10.1155/2022/3922763")</f>
        <v>http://dx.doi.org/10.1155/2022/3922763</v>
      </c>
      <c r="AX37" s="7"/>
      <c r="AY37" s="7" t="n">
        <v>11</v>
      </c>
      <c r="AZ37" s="7" t="s">
        <v>17378</v>
      </c>
      <c r="BA37" s="7" t="s">
        <v>16366</v>
      </c>
      <c r="BB37" s="7" t="s">
        <v>17379</v>
      </c>
      <c r="BC37" s="7" t="s">
        <v>17380</v>
      </c>
      <c r="BD37" s="7" t="n">
        <v>35655511</v>
      </c>
      <c r="BE37" s="7" t="s">
        <v>17143</v>
      </c>
      <c r="BF37" s="7" t="s">
        <v>16369</v>
      </c>
      <c r="BG37" s="7" t="s">
        <v>17381</v>
      </c>
      <c r="BH37" s="7" t="str">
        <f aca="false">HYPERLINK("https%3A%2F%2Fwww.webofscience.com%2Fwos%2Fwoscc%2Ffull-record%2FWOS:000807801200011","View Full Record in Web of Science")</f>
        <v>View Full Record in Web of Science</v>
      </c>
      <c r="BL37" s="7"/>
      <c r="BM37" s="7"/>
      <c r="BN37" s="7"/>
      <c r="BO37" s="7"/>
      <c r="BP37" s="7"/>
      <c r="BQ37" s="7"/>
      <c r="BR37" s="7"/>
      <c r="BS37" s="7"/>
      <c r="BT37" s="7"/>
      <c r="BU37" s="7"/>
      <c r="BV37" s="7"/>
      <c r="BW37" s="7"/>
      <c r="BX37" s="7"/>
      <c r="BY37" s="7"/>
      <c r="BZ37" s="7"/>
      <c r="CA37" s="7"/>
      <c r="CB37" s="7"/>
      <c r="CC37" s="7"/>
      <c r="CD37" s="7"/>
      <c r="CE37" s="7"/>
      <c r="CF37" s="7"/>
    </row>
    <row r="38" customFormat="false" ht="15.75" hidden="false" customHeight="true" outlineLevel="0" collapsed="false">
      <c r="A38" s="7" t="s">
        <v>16335</v>
      </c>
      <c r="B38" s="7" t="s">
        <v>17382</v>
      </c>
      <c r="C38" s="7" t="s">
        <v>17383</v>
      </c>
      <c r="D38" s="8" t="s">
        <v>17384</v>
      </c>
      <c r="E38" s="7" t="n">
        <v>2022</v>
      </c>
      <c r="F38" s="6" t="s">
        <v>17385</v>
      </c>
      <c r="G38" s="6" t="s">
        <v>393</v>
      </c>
      <c r="H38" s="8"/>
      <c r="I38" s="10"/>
      <c r="J38" s="10"/>
      <c r="K38" s="10"/>
      <c r="L38" s="10"/>
      <c r="M38" s="10"/>
      <c r="N38" s="10"/>
      <c r="O38" s="10"/>
      <c r="P38" s="10" t="n">
        <v>1</v>
      </c>
      <c r="Q38" s="7" t="n">
        <v>1</v>
      </c>
      <c r="R38" s="7" t="s">
        <v>61</v>
      </c>
      <c r="S38" s="7" t="s">
        <v>62</v>
      </c>
      <c r="T38" s="7" t="s">
        <v>17386</v>
      </c>
      <c r="U38" s="7" t="n">
        <v>98</v>
      </c>
      <c r="V38" s="7" t="s">
        <v>17387</v>
      </c>
      <c r="W38" s="7" t="n">
        <v>5</v>
      </c>
      <c r="X38" s="7" t="s">
        <v>17388</v>
      </c>
      <c r="Y38" s="7" t="s">
        <v>17389</v>
      </c>
      <c r="Z38" s="7" t="s">
        <v>17390</v>
      </c>
      <c r="AA38" s="7" t="s">
        <v>17391</v>
      </c>
      <c r="AB38" s="7" t="s">
        <v>17392</v>
      </c>
      <c r="AC38" s="7" t="s">
        <v>17393</v>
      </c>
      <c r="AD38" s="7" t="s">
        <v>17394</v>
      </c>
      <c r="AE38" s="7" t="s">
        <v>17395</v>
      </c>
      <c r="AF38" s="7" t="s">
        <v>17396</v>
      </c>
      <c r="AG38" s="7" t="s">
        <v>17396</v>
      </c>
      <c r="AH38" s="7" t="s">
        <v>17397</v>
      </c>
      <c r="AI38" s="7" t="n">
        <v>92</v>
      </c>
      <c r="AJ38" s="7" t="n">
        <v>1</v>
      </c>
      <c r="AK38" s="7" t="n">
        <v>13</v>
      </c>
      <c r="AL38" s="7" t="s">
        <v>17398</v>
      </c>
      <c r="AM38" s="7" t="s">
        <v>17399</v>
      </c>
      <c r="AN38" s="7" t="s">
        <v>17400</v>
      </c>
      <c r="AO38" s="7" t="s">
        <v>17401</v>
      </c>
      <c r="AP38" s="7" t="s">
        <v>17402</v>
      </c>
      <c r="AQ38" s="7" t="s">
        <v>17403</v>
      </c>
      <c r="AR38" s="7" t="s">
        <v>17404</v>
      </c>
      <c r="AS38" s="7" t="n">
        <v>924</v>
      </c>
      <c r="AT38" s="7" t="n">
        <v>941</v>
      </c>
      <c r="AU38" s="7"/>
      <c r="AV38" s="7" t="s">
        <v>17405</v>
      </c>
      <c r="AW38" s="30" t="str">
        <f aca="false">HYPERLINK("http://dx.doi.org/10.1080/09553002.2021.1998709","http://dx.doi.org/10.1080/09553002.2021.1998709")</f>
        <v>http://dx.doi.org/10.1080/09553002.2021.1998709</v>
      </c>
      <c r="AX38" s="7" t="s">
        <v>17250</v>
      </c>
      <c r="AY38" s="7" t="n">
        <v>18</v>
      </c>
      <c r="AZ38" s="7" t="s">
        <v>17406</v>
      </c>
      <c r="BA38" s="7" t="s">
        <v>16366</v>
      </c>
      <c r="BB38" s="7" t="s">
        <v>17407</v>
      </c>
      <c r="BC38" s="7" t="s">
        <v>17408</v>
      </c>
      <c r="BD38" s="7" t="n">
        <v>34699300</v>
      </c>
      <c r="BE38" s="7" t="s">
        <v>17409</v>
      </c>
      <c r="BF38" s="7" t="s">
        <v>16369</v>
      </c>
      <c r="BG38" s="7" t="s">
        <v>17410</v>
      </c>
      <c r="BH38" s="7" t="str">
        <f aca="false">HYPERLINK("https%3A%2F%2Fwww.webofscience.com%2Fwos%2Fwoscc%2Ffull-record%2FWOS:000717881000001","View Full Record in Web of Science")</f>
        <v>View Full Record in Web of Science</v>
      </c>
      <c r="BL38" s="7"/>
      <c r="BM38" s="7"/>
      <c r="BN38" s="7"/>
      <c r="BO38" s="7"/>
      <c r="BP38" s="7"/>
      <c r="BQ38" s="7"/>
      <c r="BR38" s="7"/>
      <c r="BS38" s="7" t="s">
        <v>16622</v>
      </c>
      <c r="BT38" s="7"/>
      <c r="BU38" s="7"/>
      <c r="BV38" s="7"/>
      <c r="BW38" s="7"/>
      <c r="BX38" s="7"/>
      <c r="BY38" s="7"/>
      <c r="BZ38" s="7"/>
      <c r="CA38" s="7"/>
      <c r="CB38" s="7"/>
      <c r="CC38" s="7"/>
      <c r="CD38" s="7"/>
      <c r="CE38" s="7"/>
      <c r="CF38" s="7"/>
    </row>
    <row r="39" customFormat="false" ht="15.75" hidden="false" customHeight="true" outlineLevel="0" collapsed="false">
      <c r="A39" s="7" t="s">
        <v>16335</v>
      </c>
      <c r="B39" s="7" t="s">
        <v>17411</v>
      </c>
      <c r="C39" s="7" t="s">
        <v>17412</v>
      </c>
      <c r="D39" s="8" t="s">
        <v>17413</v>
      </c>
      <c r="E39" s="7" t="n">
        <v>2022</v>
      </c>
      <c r="F39" s="6" t="s">
        <v>17414</v>
      </c>
      <c r="G39" s="6" t="s">
        <v>393</v>
      </c>
      <c r="H39" s="8"/>
      <c r="I39" s="10"/>
      <c r="J39" s="10"/>
      <c r="K39" s="10"/>
      <c r="L39" s="10"/>
      <c r="M39" s="10"/>
      <c r="N39" s="10"/>
      <c r="O39" s="10"/>
      <c r="P39" s="10" t="n">
        <v>6</v>
      </c>
      <c r="Q39" s="7" t="n">
        <v>7</v>
      </c>
      <c r="R39" s="7" t="s">
        <v>61</v>
      </c>
      <c r="S39" s="7" t="s">
        <v>62</v>
      </c>
      <c r="T39" s="7" t="s">
        <v>17415</v>
      </c>
      <c r="U39" s="7" t="n">
        <v>24</v>
      </c>
      <c r="V39" s="7" t="s">
        <v>17416</v>
      </c>
      <c r="W39" s="7" t="n">
        <v>6</v>
      </c>
      <c r="X39" s="7" t="s">
        <v>17417</v>
      </c>
      <c r="Y39" s="7" t="s">
        <v>17418</v>
      </c>
      <c r="Z39" s="7" t="s">
        <v>17419</v>
      </c>
      <c r="AA39" s="7" t="s">
        <v>17420</v>
      </c>
      <c r="AB39" s="7" t="s">
        <v>17421</v>
      </c>
      <c r="AC39" s="7" t="s">
        <v>17422</v>
      </c>
      <c r="AD39" s="7" t="s">
        <v>17423</v>
      </c>
      <c r="AE39" s="7"/>
      <c r="AF39" s="7" t="s">
        <v>17424</v>
      </c>
      <c r="AG39" s="7" t="s">
        <v>17424</v>
      </c>
      <c r="AH39" s="7" t="s">
        <v>17425</v>
      </c>
      <c r="AI39" s="7" t="n">
        <v>61</v>
      </c>
      <c r="AJ39" s="7" t="n">
        <v>2</v>
      </c>
      <c r="AK39" s="7" t="n">
        <v>14</v>
      </c>
      <c r="AL39" s="7" t="s">
        <v>17426</v>
      </c>
      <c r="AM39" s="7" t="s">
        <v>17427</v>
      </c>
      <c r="AN39" s="7" t="s">
        <v>17428</v>
      </c>
      <c r="AO39" s="7" t="s">
        <v>17429</v>
      </c>
      <c r="AP39" s="7" t="s">
        <v>17430</v>
      </c>
      <c r="AQ39" s="7" t="s">
        <v>17431</v>
      </c>
      <c r="AR39" s="7" t="s">
        <v>17321</v>
      </c>
      <c r="AS39" s="7" t="n">
        <v>2925</v>
      </c>
      <c r="AT39" s="7" t="n">
        <v>2943</v>
      </c>
      <c r="AU39" s="7"/>
      <c r="AV39" s="7" t="s">
        <v>17432</v>
      </c>
      <c r="AW39" s="30" t="str">
        <f aca="false">HYPERLINK("http://dx.doi.org/10.1287/msom.2021.1046","http://dx.doi.org/10.1287/msom.2021.1046")</f>
        <v>http://dx.doi.org/10.1287/msom.2021.1046</v>
      </c>
      <c r="AX39" s="7" t="s">
        <v>17433</v>
      </c>
      <c r="AY39" s="7" t="n">
        <v>19</v>
      </c>
      <c r="AZ39" s="7" t="s">
        <v>17434</v>
      </c>
      <c r="BA39" s="7" t="s">
        <v>16584</v>
      </c>
      <c r="BB39" s="7" t="s">
        <v>17435</v>
      </c>
      <c r="BC39" s="7" t="s">
        <v>17436</v>
      </c>
      <c r="BD39" s="7"/>
      <c r="BE39" s="7" t="s">
        <v>17409</v>
      </c>
      <c r="BF39" s="7" t="s">
        <v>16369</v>
      </c>
      <c r="BG39" s="7" t="s">
        <v>17437</v>
      </c>
      <c r="BH39" s="7" t="str">
        <f aca="false">HYPERLINK("https%3A%2F%2Fwww.webofscience.com%2Fwos%2Fwoscc%2Ffull-record%2FWOS:000734196800001","View Full Record in Web of Science")</f>
        <v>View Full Record in Web of Science</v>
      </c>
      <c r="BL39" s="7"/>
      <c r="BM39" s="7"/>
      <c r="BN39" s="7"/>
      <c r="BO39" s="7"/>
      <c r="BP39" s="7"/>
      <c r="BQ39" s="7"/>
      <c r="BR39" s="7"/>
      <c r="BS39" s="7" t="s">
        <v>16622</v>
      </c>
      <c r="BT39" s="7"/>
      <c r="BU39" s="7"/>
      <c r="BV39" s="7"/>
      <c r="BW39" s="7"/>
      <c r="BX39" s="7"/>
      <c r="BY39" s="7"/>
      <c r="BZ39" s="7"/>
      <c r="CA39" s="7"/>
      <c r="CB39" s="7"/>
      <c r="CC39" s="7"/>
      <c r="CD39" s="7"/>
      <c r="CE39" s="7"/>
      <c r="CF39" s="7"/>
    </row>
    <row r="40" customFormat="false" ht="15.75" hidden="false" customHeight="true" outlineLevel="0" collapsed="false">
      <c r="A40" s="7" t="s">
        <v>16335</v>
      </c>
      <c r="B40" s="7" t="s">
        <v>17438</v>
      </c>
      <c r="C40" s="7" t="s">
        <v>17439</v>
      </c>
      <c r="D40" s="8" t="s">
        <v>17440</v>
      </c>
      <c r="E40" s="7" t="n">
        <v>2022</v>
      </c>
      <c r="F40" s="6" t="s">
        <v>17441</v>
      </c>
      <c r="G40" s="6" t="s">
        <v>134</v>
      </c>
      <c r="H40" s="8" t="s">
        <v>17278</v>
      </c>
      <c r="I40" s="8" t="s">
        <v>17278</v>
      </c>
      <c r="J40" s="8" t="s">
        <v>17442</v>
      </c>
      <c r="K40" s="8" t="s">
        <v>16840</v>
      </c>
      <c r="L40" s="8" t="s">
        <v>3754</v>
      </c>
      <c r="M40" s="8" t="s">
        <v>17443</v>
      </c>
      <c r="N40" s="8" t="s">
        <v>17444</v>
      </c>
      <c r="O40" s="8" t="s">
        <v>17445</v>
      </c>
      <c r="P40" s="10" t="n">
        <v>1</v>
      </c>
      <c r="Q40" s="7" t="n">
        <v>1</v>
      </c>
      <c r="R40" s="7" t="s">
        <v>61</v>
      </c>
      <c r="S40" s="7" t="s">
        <v>62</v>
      </c>
      <c r="T40" s="7" t="s">
        <v>17446</v>
      </c>
      <c r="U40" s="7" t="n">
        <v>41</v>
      </c>
      <c r="V40" s="7" t="s">
        <v>16443</v>
      </c>
      <c r="W40" s="7" t="n">
        <v>8</v>
      </c>
      <c r="X40" s="7" t="s">
        <v>17447</v>
      </c>
      <c r="Y40" s="7" t="s">
        <v>17448</v>
      </c>
      <c r="Z40" s="7" t="s">
        <v>17449</v>
      </c>
      <c r="AA40" s="7" t="s">
        <v>17450</v>
      </c>
      <c r="AB40" s="7" t="s">
        <v>17451</v>
      </c>
      <c r="AC40" s="7" t="s">
        <v>17452</v>
      </c>
      <c r="AD40" s="7" t="s">
        <v>17453</v>
      </c>
      <c r="AE40" s="7" t="s">
        <v>17454</v>
      </c>
      <c r="AF40" s="7" t="s">
        <v>17455</v>
      </c>
      <c r="AG40" s="7" t="s">
        <v>17456</v>
      </c>
      <c r="AH40" s="7" t="s">
        <v>17457</v>
      </c>
      <c r="AI40" s="7" t="n">
        <v>41</v>
      </c>
      <c r="AJ40" s="7" t="n">
        <v>2</v>
      </c>
      <c r="AK40" s="7" t="n">
        <v>9</v>
      </c>
      <c r="AL40" s="7" t="s">
        <v>16453</v>
      </c>
      <c r="AM40" s="7" t="s">
        <v>16454</v>
      </c>
      <c r="AN40" s="7" t="s">
        <v>17458</v>
      </c>
      <c r="AO40" s="7" t="s">
        <v>17459</v>
      </c>
      <c r="AP40" s="7" t="s">
        <v>17460</v>
      </c>
      <c r="AQ40" s="7" t="s">
        <v>7717</v>
      </c>
      <c r="AR40" s="7" t="s">
        <v>16649</v>
      </c>
      <c r="AS40" s="7"/>
      <c r="AT40" s="7"/>
      <c r="AU40" s="7" t="n">
        <v>393</v>
      </c>
      <c r="AV40" s="7" t="s">
        <v>7707</v>
      </c>
      <c r="AW40" s="30" t="str">
        <f aca="false">HYPERLINK("http://dx.doi.org/10.1007/s40314-022-02101-z","http://dx.doi.org/10.1007/s40314-022-02101-z")</f>
        <v>http://dx.doi.org/10.1007/s40314-022-02101-z</v>
      </c>
      <c r="AX40" s="7"/>
      <c r="AY40" s="7" t="n">
        <v>27</v>
      </c>
      <c r="AZ40" s="7" t="s">
        <v>17461</v>
      </c>
      <c r="BA40" s="7" t="s">
        <v>16366</v>
      </c>
      <c r="BB40" s="7" t="s">
        <v>16714</v>
      </c>
      <c r="BC40" s="7" t="s">
        <v>17462</v>
      </c>
      <c r="BD40" s="7"/>
      <c r="BE40" s="7" t="s">
        <v>17463</v>
      </c>
      <c r="BF40" s="7" t="s">
        <v>16369</v>
      </c>
      <c r="BG40" s="7" t="s">
        <v>17464</v>
      </c>
      <c r="BH40" s="7" t="str">
        <f aca="false">HYPERLINK("https%3A%2F%2Fwww.webofscience.com%2Fwos%2Fwoscc%2Ffull-record%2FWOS:000883380000001","View Full Record in Web of Science")</f>
        <v>View Full Record in Web of Science</v>
      </c>
      <c r="BL40" s="7"/>
      <c r="BM40" s="7"/>
      <c r="BN40" s="7"/>
      <c r="BO40" s="7"/>
      <c r="BP40" s="7"/>
      <c r="BQ40" s="7"/>
      <c r="BR40" s="7"/>
      <c r="BS40" s="7"/>
      <c r="BT40" s="7"/>
      <c r="BU40" s="7"/>
      <c r="BV40" s="7"/>
      <c r="BW40" s="7"/>
      <c r="BX40" s="7"/>
      <c r="BY40" s="7"/>
      <c r="BZ40" s="7"/>
      <c r="CA40" s="7"/>
      <c r="CB40" s="7"/>
      <c r="CC40" s="7"/>
      <c r="CD40" s="7"/>
      <c r="CE40" s="7"/>
      <c r="CF40" s="7"/>
    </row>
    <row r="41" customFormat="false" ht="15.75" hidden="false" customHeight="true" outlineLevel="0" collapsed="false">
      <c r="A41" s="7" t="s">
        <v>16335</v>
      </c>
      <c r="B41" s="7" t="s">
        <v>17465</v>
      </c>
      <c r="C41" s="7" t="s">
        <v>17466</v>
      </c>
      <c r="D41" s="8" t="s">
        <v>17467</v>
      </c>
      <c r="E41" s="7" t="n">
        <v>2022</v>
      </c>
      <c r="F41" s="6" t="s">
        <v>17468</v>
      </c>
      <c r="G41" s="6" t="s">
        <v>134</v>
      </c>
      <c r="H41" s="8" t="s">
        <v>17035</v>
      </c>
      <c r="I41" s="10"/>
      <c r="J41" s="8" t="s">
        <v>16752</v>
      </c>
      <c r="K41" s="8" t="s">
        <v>16409</v>
      </c>
      <c r="L41" s="8" t="s">
        <v>3754</v>
      </c>
      <c r="M41" s="8" t="s">
        <v>17469</v>
      </c>
      <c r="N41" s="8" t="s">
        <v>17470</v>
      </c>
      <c r="O41" s="8" t="s">
        <v>17471</v>
      </c>
      <c r="P41" s="10" t="n">
        <v>0</v>
      </c>
      <c r="Q41" s="7" t="n">
        <v>0</v>
      </c>
      <c r="R41" s="7" t="s">
        <v>61</v>
      </c>
      <c r="S41" s="7" t="s">
        <v>62</v>
      </c>
      <c r="T41" s="7" t="s">
        <v>17472</v>
      </c>
      <c r="U41" s="7" t="n">
        <v>22</v>
      </c>
      <c r="V41" s="7" t="s">
        <v>17473</v>
      </c>
      <c r="W41" s="7" t="n">
        <v>9</v>
      </c>
      <c r="X41" s="7" t="s">
        <v>17474</v>
      </c>
      <c r="Y41" s="7"/>
      <c r="Z41" s="7" t="s">
        <v>17475</v>
      </c>
      <c r="AA41" s="7" t="s">
        <v>17476</v>
      </c>
      <c r="AB41" s="7" t="s">
        <v>17477</v>
      </c>
      <c r="AC41" s="7" t="s">
        <v>17478</v>
      </c>
      <c r="AD41" s="7" t="s">
        <v>17479</v>
      </c>
      <c r="AE41" s="7" t="s">
        <v>17480</v>
      </c>
      <c r="AF41" s="7"/>
      <c r="AG41" s="7"/>
      <c r="AH41" s="7"/>
      <c r="AI41" s="7" t="n">
        <v>39</v>
      </c>
      <c r="AJ41" s="7" t="n">
        <v>3</v>
      </c>
      <c r="AK41" s="7" t="n">
        <v>5</v>
      </c>
      <c r="AL41" s="7" t="s">
        <v>17481</v>
      </c>
      <c r="AM41" s="7" t="s">
        <v>17482</v>
      </c>
      <c r="AN41" s="7" t="s">
        <v>17483</v>
      </c>
      <c r="AO41" s="7"/>
      <c r="AP41" s="7" t="s">
        <v>17484</v>
      </c>
      <c r="AQ41" s="7" t="s">
        <v>17485</v>
      </c>
      <c r="AR41" s="7" t="s">
        <v>17486</v>
      </c>
      <c r="AS41" s="7" t="n">
        <v>680</v>
      </c>
      <c r="AT41" s="7" t="n">
        <v>686</v>
      </c>
      <c r="AU41" s="7"/>
      <c r="AV41" s="7" t="s">
        <v>17487</v>
      </c>
      <c r="AW41" s="30" t="str">
        <f aca="false">HYPERLINK("http://dx.doi.org/10.22937/IJCSNS.2022.22.9.89","http://dx.doi.org/10.22937/IJCSNS.2022.22.9.89")</f>
        <v>http://dx.doi.org/10.22937/IJCSNS.2022.22.9.89</v>
      </c>
      <c r="AX41" s="7"/>
      <c r="AY41" s="7" t="n">
        <v>7</v>
      </c>
      <c r="AZ41" s="7" t="s">
        <v>17488</v>
      </c>
      <c r="BA41" s="7" t="s">
        <v>16684</v>
      </c>
      <c r="BB41" s="7" t="s">
        <v>16367</v>
      </c>
      <c r="BC41" s="7" t="s">
        <v>17489</v>
      </c>
      <c r="BD41" s="7"/>
      <c r="BE41" s="7"/>
      <c r="BF41" s="7" t="s">
        <v>16369</v>
      </c>
      <c r="BG41" s="7" t="s">
        <v>17490</v>
      </c>
      <c r="BH41" s="7" t="str">
        <f aca="false">HYPERLINK("https%3A%2F%2Fwww.webofscience.com%2Fwos%2Fwoscc%2Ffull-record%2FWOS:000870049400005","View Full Record in Web of Science")</f>
        <v>View Full Record in Web of Science</v>
      </c>
      <c r="BL41" s="7"/>
      <c r="BM41" s="7"/>
      <c r="BN41" s="7"/>
      <c r="BO41" s="7"/>
      <c r="BP41" s="7"/>
      <c r="BQ41" s="7"/>
      <c r="BR41" s="7"/>
      <c r="BS41" s="7"/>
      <c r="BT41" s="7"/>
      <c r="BU41" s="7"/>
      <c r="BV41" s="7"/>
      <c r="BW41" s="7"/>
      <c r="BX41" s="7"/>
      <c r="BY41" s="7"/>
      <c r="BZ41" s="7"/>
      <c r="CA41" s="7"/>
      <c r="CB41" s="7"/>
      <c r="CC41" s="7"/>
      <c r="CD41" s="7"/>
      <c r="CE41" s="7"/>
      <c r="CF41" s="7"/>
    </row>
    <row r="42" customFormat="false" ht="15.75" hidden="false" customHeight="true" outlineLevel="0" collapsed="false">
      <c r="A42" s="7" t="s">
        <v>16335</v>
      </c>
      <c r="B42" s="7" t="s">
        <v>17491</v>
      </c>
      <c r="C42" s="7" t="s">
        <v>17492</v>
      </c>
      <c r="D42" s="8" t="s">
        <v>17493</v>
      </c>
      <c r="E42" s="7" t="n">
        <v>2022</v>
      </c>
      <c r="F42" s="6" t="s">
        <v>17494</v>
      </c>
      <c r="G42" s="6" t="s">
        <v>134</v>
      </c>
      <c r="H42" s="8"/>
      <c r="I42" s="10"/>
      <c r="J42" s="10"/>
      <c r="K42" s="10"/>
      <c r="L42" s="10"/>
      <c r="M42" s="10"/>
      <c r="N42" s="10"/>
      <c r="O42" s="10"/>
      <c r="P42" s="10" t="n">
        <v>3</v>
      </c>
      <c r="Q42" s="7" t="n">
        <v>3</v>
      </c>
      <c r="R42" s="7" t="s">
        <v>61</v>
      </c>
      <c r="S42" s="7" t="s">
        <v>62</v>
      </c>
      <c r="T42" s="7" t="s">
        <v>17495</v>
      </c>
      <c r="U42" s="7" t="n">
        <v>147</v>
      </c>
      <c r="V42" s="7" t="s">
        <v>17496</v>
      </c>
      <c r="W42" s="7" t="n">
        <v>12</v>
      </c>
      <c r="X42" s="7"/>
      <c r="Y42" s="7" t="s">
        <v>17497</v>
      </c>
      <c r="Z42" s="7" t="s">
        <v>17498</v>
      </c>
      <c r="AA42" s="7" t="s">
        <v>17499</v>
      </c>
      <c r="AB42" s="7" t="s">
        <v>17500</v>
      </c>
      <c r="AC42" s="7" t="s">
        <v>17501</v>
      </c>
      <c r="AD42" s="7" t="s">
        <v>17502</v>
      </c>
      <c r="AE42" s="7" t="s">
        <v>17503</v>
      </c>
      <c r="AF42" s="7" t="s">
        <v>17504</v>
      </c>
      <c r="AG42" s="7" t="s">
        <v>17505</v>
      </c>
      <c r="AH42" s="7" t="s">
        <v>17506</v>
      </c>
      <c r="AI42" s="7" t="n">
        <v>39</v>
      </c>
      <c r="AJ42" s="7" t="n">
        <v>0</v>
      </c>
      <c r="AK42" s="7" t="n">
        <v>6</v>
      </c>
      <c r="AL42" s="7" t="s">
        <v>17507</v>
      </c>
      <c r="AM42" s="7" t="s">
        <v>17508</v>
      </c>
      <c r="AN42" s="7" t="s">
        <v>17509</v>
      </c>
      <c r="AO42" s="7" t="s">
        <v>17510</v>
      </c>
      <c r="AP42" s="7" t="s">
        <v>17495</v>
      </c>
      <c r="AQ42" s="7" t="s">
        <v>14362</v>
      </c>
      <c r="AR42" s="7" t="s">
        <v>17511</v>
      </c>
      <c r="AS42" s="7" t="n">
        <v>2662</v>
      </c>
      <c r="AT42" s="7" t="n">
        <v>2670</v>
      </c>
      <c r="AU42" s="7"/>
      <c r="AV42" s="7" t="s">
        <v>17512</v>
      </c>
      <c r="AW42" s="30" t="str">
        <f aca="false">HYPERLINK("http://dx.doi.org/10.1039/d2an00274d","http://dx.doi.org/10.1039/d2an00274d")</f>
        <v>http://dx.doi.org/10.1039/d2an00274d</v>
      </c>
      <c r="AX42" s="7" t="s">
        <v>17513</v>
      </c>
      <c r="AY42" s="7" t="n">
        <v>9</v>
      </c>
      <c r="AZ42" s="7" t="s">
        <v>17514</v>
      </c>
      <c r="BA42" s="7" t="s">
        <v>16366</v>
      </c>
      <c r="BB42" s="7" t="s">
        <v>17348</v>
      </c>
      <c r="BC42" s="7" t="s">
        <v>17515</v>
      </c>
      <c r="BD42" s="7" t="n">
        <v>35611958</v>
      </c>
      <c r="BE42" s="7"/>
      <c r="BF42" s="7" t="s">
        <v>16369</v>
      </c>
      <c r="BG42" s="7" t="s">
        <v>17516</v>
      </c>
      <c r="BH42" s="7" t="str">
        <f aca="false">HYPERLINK("https%3A%2F%2Fwww.webofscience.com%2Fwos%2Fwoscc%2Ffull-record%2FWOS:000800124700001","View Full Record in Web of Science")</f>
        <v>View Full Record in Web of Science</v>
      </c>
      <c r="BL42" s="7"/>
      <c r="BM42" s="7"/>
      <c r="BN42" s="7"/>
      <c r="BO42" s="7"/>
      <c r="BP42" s="7"/>
      <c r="BQ42" s="7"/>
      <c r="BR42" s="7"/>
      <c r="BS42" s="7"/>
      <c r="BT42" s="7"/>
      <c r="BU42" s="7"/>
      <c r="BV42" s="7"/>
      <c r="BW42" s="7"/>
      <c r="BX42" s="7"/>
      <c r="BY42" s="7"/>
      <c r="BZ42" s="7"/>
      <c r="CA42" s="7"/>
      <c r="CB42" s="7"/>
      <c r="CC42" s="7"/>
      <c r="CD42" s="7"/>
      <c r="CE42" s="7"/>
      <c r="CF42" s="7"/>
    </row>
    <row r="43" customFormat="false" ht="15.75" hidden="false" customHeight="true" outlineLevel="0" collapsed="false">
      <c r="A43" s="7" t="s">
        <v>16335</v>
      </c>
      <c r="B43" s="7" t="s">
        <v>17517</v>
      </c>
      <c r="C43" s="7" t="s">
        <v>17518</v>
      </c>
      <c r="D43" s="8" t="s">
        <v>17519</v>
      </c>
      <c r="E43" s="7" t="n">
        <v>2022</v>
      </c>
      <c r="F43" s="6" t="s">
        <v>17520</v>
      </c>
      <c r="G43" s="6" t="s">
        <v>134</v>
      </c>
      <c r="H43" s="8" t="s">
        <v>17521</v>
      </c>
      <c r="I43" s="8" t="s">
        <v>4101</v>
      </c>
      <c r="J43" s="8" t="s">
        <v>17522</v>
      </c>
      <c r="K43" s="8" t="s">
        <v>17523</v>
      </c>
      <c r="L43" s="8" t="s">
        <v>16559</v>
      </c>
      <c r="M43" s="8" t="s">
        <v>16559</v>
      </c>
      <c r="N43" s="8" t="s">
        <v>16559</v>
      </c>
      <c r="O43" s="8" t="s">
        <v>17524</v>
      </c>
      <c r="P43" s="10" t="n">
        <v>14</v>
      </c>
      <c r="Q43" s="7" t="n">
        <v>14</v>
      </c>
      <c r="R43" s="7" t="s">
        <v>17525</v>
      </c>
      <c r="S43" s="7" t="s">
        <v>62</v>
      </c>
      <c r="T43" s="7" t="s">
        <v>17526</v>
      </c>
      <c r="U43" s="7" t="n">
        <v>9</v>
      </c>
      <c r="V43" s="7" t="s">
        <v>16414</v>
      </c>
      <c r="W43" s="7" t="n">
        <v>1</v>
      </c>
      <c r="X43" s="7"/>
      <c r="Y43" s="7"/>
      <c r="Z43" s="7" t="s">
        <v>17527</v>
      </c>
      <c r="AA43" s="7" t="s">
        <v>17528</v>
      </c>
      <c r="AB43" s="7" t="s">
        <v>17529</v>
      </c>
      <c r="AC43" s="7" t="s">
        <v>17530</v>
      </c>
      <c r="AD43" s="7" t="s">
        <v>17531</v>
      </c>
      <c r="AE43" s="7" t="s">
        <v>17532</v>
      </c>
      <c r="AF43" s="7" t="s">
        <v>17533</v>
      </c>
      <c r="AG43" s="7" t="s">
        <v>17534</v>
      </c>
      <c r="AH43" s="7" t="s">
        <v>17535</v>
      </c>
      <c r="AI43" s="7" t="n">
        <v>16</v>
      </c>
      <c r="AJ43" s="7" t="n">
        <v>0</v>
      </c>
      <c r="AK43" s="7" t="n">
        <v>4</v>
      </c>
      <c r="AL43" s="7" t="s">
        <v>16421</v>
      </c>
      <c r="AM43" s="7" t="s">
        <v>16422</v>
      </c>
      <c r="AN43" s="7"/>
      <c r="AO43" s="7" t="s">
        <v>17536</v>
      </c>
      <c r="AP43" s="7" t="s">
        <v>17537</v>
      </c>
      <c r="AQ43" s="7" t="s">
        <v>9079</v>
      </c>
      <c r="AR43" s="7" t="s">
        <v>17538</v>
      </c>
      <c r="AS43" s="7"/>
      <c r="AT43" s="7"/>
      <c r="AU43" s="7" t="n">
        <v>198</v>
      </c>
      <c r="AV43" s="7" t="s">
        <v>9070</v>
      </c>
      <c r="AW43" s="30" t="str">
        <f aca="false">HYPERLINK("http://dx.doi.org/10.1038/s41597-022-01312-7","http://dx.doi.org/10.1038/s41597-022-01312-7")</f>
        <v>http://dx.doi.org/10.1038/s41597-022-01312-7</v>
      </c>
      <c r="AX43" s="7"/>
      <c r="AY43" s="7" t="n">
        <v>11</v>
      </c>
      <c r="AZ43" s="7" t="s">
        <v>16428</v>
      </c>
      <c r="BA43" s="7" t="s">
        <v>16366</v>
      </c>
      <c r="BB43" s="7" t="s">
        <v>16429</v>
      </c>
      <c r="BC43" s="7" t="s">
        <v>17539</v>
      </c>
      <c r="BD43" s="7" t="n">
        <v>35538103</v>
      </c>
      <c r="BE43" s="7" t="s">
        <v>17540</v>
      </c>
      <c r="BF43" s="7" t="s">
        <v>16369</v>
      </c>
      <c r="BG43" s="7" t="s">
        <v>17541</v>
      </c>
      <c r="BH43" s="7" t="str">
        <f aca="false">HYPERLINK("https%3A%2F%2Fwww.webofscience.com%2Fwos%2Fwoscc%2Ffull-record%2FWOS:000793173500001","View Full Record in Web of Science")</f>
        <v>View Full Record in Web of Science</v>
      </c>
      <c r="BL43" s="7"/>
      <c r="BM43" s="7"/>
      <c r="BN43" s="7"/>
      <c r="BO43" s="7"/>
      <c r="BP43" s="7"/>
      <c r="BQ43" s="7"/>
      <c r="BR43" s="7"/>
      <c r="BS43" s="7"/>
      <c r="BT43" s="7"/>
      <c r="BU43" s="7"/>
      <c r="BV43" s="7"/>
      <c r="BW43" s="7"/>
      <c r="BX43" s="7"/>
      <c r="BY43" s="7"/>
      <c r="BZ43" s="7"/>
      <c r="CA43" s="7"/>
      <c r="CB43" s="7"/>
      <c r="CC43" s="7"/>
      <c r="CD43" s="7"/>
      <c r="CE43" s="7"/>
      <c r="CF43" s="7"/>
    </row>
    <row r="44" customFormat="false" ht="15.75" hidden="false" customHeight="true" outlineLevel="0" collapsed="false">
      <c r="A44" s="7" t="s">
        <v>16335</v>
      </c>
      <c r="B44" s="7" t="s">
        <v>17542</v>
      </c>
      <c r="C44" s="7" t="s">
        <v>17543</v>
      </c>
      <c r="D44" s="8" t="s">
        <v>17544</v>
      </c>
      <c r="E44" s="7" t="n">
        <v>2021</v>
      </c>
      <c r="F44" s="6" t="s">
        <v>17545</v>
      </c>
      <c r="G44" s="6" t="s">
        <v>349</v>
      </c>
      <c r="H44" s="8" t="s">
        <v>3920</v>
      </c>
      <c r="I44" s="8" t="s">
        <v>17546</v>
      </c>
      <c r="J44" s="8" t="s">
        <v>17547</v>
      </c>
      <c r="K44" s="8" t="s">
        <v>16840</v>
      </c>
      <c r="L44" s="8" t="s">
        <v>3754</v>
      </c>
      <c r="M44" s="8" t="s">
        <v>17548</v>
      </c>
      <c r="N44" s="8" t="s">
        <v>17549</v>
      </c>
      <c r="O44" s="8" t="s">
        <v>17550</v>
      </c>
      <c r="P44" s="10" t="n">
        <v>19</v>
      </c>
      <c r="Q44" s="7" t="n">
        <v>20</v>
      </c>
      <c r="R44" s="7" t="s">
        <v>61</v>
      </c>
      <c r="S44" s="7" t="s">
        <v>62</v>
      </c>
      <c r="T44" s="7" t="s">
        <v>17551</v>
      </c>
      <c r="U44" s="7" t="n">
        <v>9</v>
      </c>
      <c r="V44" s="7" t="s">
        <v>16928</v>
      </c>
      <c r="W44" s="7"/>
      <c r="X44" s="7" t="s">
        <v>17552</v>
      </c>
      <c r="Y44" s="7" t="s">
        <v>17553</v>
      </c>
      <c r="Z44" s="7" t="s">
        <v>17554</v>
      </c>
      <c r="AA44" s="7" t="s">
        <v>17555</v>
      </c>
      <c r="AB44" s="7" t="s">
        <v>17556</v>
      </c>
      <c r="AC44" s="7" t="s">
        <v>17557</v>
      </c>
      <c r="AD44" s="7" t="s">
        <v>17558</v>
      </c>
      <c r="AE44" s="7" t="s">
        <v>17559</v>
      </c>
      <c r="AF44" s="7"/>
      <c r="AG44" s="7"/>
      <c r="AH44" s="7"/>
      <c r="AI44" s="7" t="n">
        <v>42</v>
      </c>
      <c r="AJ44" s="7" t="n">
        <v>6</v>
      </c>
      <c r="AK44" s="7" t="n">
        <v>40</v>
      </c>
      <c r="AL44" s="7" t="s">
        <v>16938</v>
      </c>
      <c r="AM44" s="7" t="s">
        <v>16939</v>
      </c>
      <c r="AN44" s="7"/>
      <c r="AO44" s="7" t="s">
        <v>17560</v>
      </c>
      <c r="AP44" s="7" t="s">
        <v>17561</v>
      </c>
      <c r="AQ44" s="7" t="s">
        <v>17562</v>
      </c>
      <c r="AR44" s="7" t="s">
        <v>17563</v>
      </c>
      <c r="AS44" s="7"/>
      <c r="AT44" s="7"/>
      <c r="AU44" s="7" t="n">
        <v>798034</v>
      </c>
      <c r="AV44" s="7" t="s">
        <v>17564</v>
      </c>
      <c r="AW44" s="30" t="str">
        <f aca="false">HYPERLINK("http://dx.doi.org/10.3389/fpubh.2021.798034","http://dx.doi.org/10.3389/fpubh.2021.798034")</f>
        <v>http://dx.doi.org/10.3389/fpubh.2021.798034</v>
      </c>
      <c r="AX44" s="7"/>
      <c r="AY44" s="7" t="n">
        <v>16</v>
      </c>
      <c r="AZ44" s="7" t="s">
        <v>16583</v>
      </c>
      <c r="BA44" s="7" t="s">
        <v>16584</v>
      </c>
      <c r="BB44" s="7" t="s">
        <v>16583</v>
      </c>
      <c r="BC44" s="7" t="s">
        <v>17565</v>
      </c>
      <c r="BD44" s="7" t="n">
        <v>34900929</v>
      </c>
      <c r="BE44" s="7" t="s">
        <v>17143</v>
      </c>
      <c r="BF44" s="7" t="s">
        <v>16369</v>
      </c>
      <c r="BG44" s="7" t="s">
        <v>17566</v>
      </c>
      <c r="BH44" s="7" t="str">
        <f aca="false">HYPERLINK("https%3A%2F%2Fwww.webofscience.com%2Fwos%2Fwoscc%2Ffull-record%2FWOS:000728838800001","View Full Record in Web of Science")</f>
        <v>View Full Record in Web of Science</v>
      </c>
      <c r="BL44" s="7"/>
      <c r="BM44" s="7"/>
      <c r="BN44" s="7"/>
      <c r="BO44" s="7"/>
      <c r="BP44" s="7"/>
      <c r="BQ44" s="7"/>
      <c r="BR44" s="7"/>
      <c r="BS44" s="7"/>
      <c r="BT44" s="7"/>
      <c r="BU44" s="7"/>
      <c r="BV44" s="7"/>
      <c r="BW44" s="7"/>
      <c r="BX44" s="7"/>
      <c r="BY44" s="7"/>
      <c r="BZ44" s="7"/>
      <c r="CA44" s="7"/>
      <c r="CB44" s="7"/>
      <c r="CC44" s="7"/>
      <c r="CD44" s="7"/>
      <c r="CE44" s="7"/>
      <c r="CF44" s="7"/>
    </row>
    <row r="45" customFormat="false" ht="15.75" hidden="false" customHeight="true" outlineLevel="0" collapsed="false">
      <c r="A45" s="7" t="s">
        <v>16335</v>
      </c>
      <c r="B45" s="7" t="s">
        <v>17567</v>
      </c>
      <c r="C45" s="7" t="s">
        <v>17568</v>
      </c>
      <c r="D45" s="8" t="s">
        <v>17569</v>
      </c>
      <c r="E45" s="7" t="n">
        <v>2021</v>
      </c>
      <c r="F45" s="6" t="s">
        <v>17570</v>
      </c>
      <c r="G45" s="6" t="s">
        <v>134</v>
      </c>
      <c r="H45" s="8" t="s">
        <v>17571</v>
      </c>
      <c r="I45" s="8" t="s">
        <v>4101</v>
      </c>
      <c r="J45" s="8" t="s">
        <v>17572</v>
      </c>
      <c r="K45" s="8" t="s">
        <v>17573</v>
      </c>
      <c r="L45" s="8" t="s">
        <v>3754</v>
      </c>
      <c r="M45" s="8" t="s">
        <v>17574</v>
      </c>
      <c r="N45" s="8" t="s">
        <v>17575</v>
      </c>
      <c r="O45" s="8" t="s">
        <v>17576</v>
      </c>
      <c r="P45" s="10" t="n">
        <v>9</v>
      </c>
      <c r="Q45" s="7" t="n">
        <v>9</v>
      </c>
      <c r="R45" s="7" t="s">
        <v>61</v>
      </c>
      <c r="S45" s="7" t="s">
        <v>62</v>
      </c>
      <c r="T45" s="7" t="s">
        <v>16844</v>
      </c>
      <c r="U45" s="7" t="n">
        <v>15</v>
      </c>
      <c r="V45" s="7" t="s">
        <v>16845</v>
      </c>
      <c r="W45" s="7" t="n">
        <v>12</v>
      </c>
      <c r="X45" s="7"/>
      <c r="Y45" s="7" t="s">
        <v>17577</v>
      </c>
      <c r="Z45" s="7" t="s">
        <v>17578</v>
      </c>
      <c r="AA45" s="7" t="s">
        <v>17579</v>
      </c>
      <c r="AB45" s="7" t="s">
        <v>17580</v>
      </c>
      <c r="AC45" s="7" t="s">
        <v>17581</v>
      </c>
      <c r="AD45" s="7" t="s">
        <v>17582</v>
      </c>
      <c r="AE45" s="7" t="s">
        <v>17583</v>
      </c>
      <c r="AF45" s="7" t="s">
        <v>17584</v>
      </c>
      <c r="AG45" s="7" t="s">
        <v>17585</v>
      </c>
      <c r="AH45" s="7" t="s">
        <v>17586</v>
      </c>
      <c r="AI45" s="7" t="n">
        <v>32</v>
      </c>
      <c r="AJ45" s="7" t="n">
        <v>1</v>
      </c>
      <c r="AK45" s="7" t="n">
        <v>7</v>
      </c>
      <c r="AL45" s="7" t="s">
        <v>16855</v>
      </c>
      <c r="AM45" s="7" t="s">
        <v>16856</v>
      </c>
      <c r="AN45" s="7" t="s">
        <v>16857</v>
      </c>
      <c r="AO45" s="7"/>
      <c r="AP45" s="7" t="s">
        <v>16858</v>
      </c>
      <c r="AQ45" s="7" t="s">
        <v>16859</v>
      </c>
      <c r="AR45" s="7" t="s">
        <v>16649</v>
      </c>
      <c r="AS45" s="7"/>
      <c r="AT45" s="7"/>
      <c r="AU45" s="7" t="s">
        <v>9726</v>
      </c>
      <c r="AV45" s="7" t="s">
        <v>9727</v>
      </c>
      <c r="AW45" s="30" t="str">
        <f aca="false">HYPERLINK("http://dx.doi.org/10.1371/journal.pntd.0009974","http://dx.doi.org/10.1371/journal.pntd.0009974")</f>
        <v>http://dx.doi.org/10.1371/journal.pntd.0009974</v>
      </c>
      <c r="AX45" s="7"/>
      <c r="AY45" s="7" t="n">
        <v>16</v>
      </c>
      <c r="AZ45" s="7" t="s">
        <v>16862</v>
      </c>
      <c r="BA45" s="7" t="s">
        <v>16366</v>
      </c>
      <c r="BB45" s="7" t="s">
        <v>16862</v>
      </c>
      <c r="BC45" s="7" t="s">
        <v>17587</v>
      </c>
      <c r="BD45" s="7" t="n">
        <v>34871321</v>
      </c>
      <c r="BE45" s="7" t="s">
        <v>17588</v>
      </c>
      <c r="BF45" s="7" t="s">
        <v>16369</v>
      </c>
      <c r="BG45" s="7" t="s">
        <v>17589</v>
      </c>
      <c r="BH45" s="7" t="str">
        <f aca="false">HYPERLINK("https%3A%2F%2Fwww.webofscience.com%2Fwos%2Fwoscc%2Ffull-record%2FWOS:000727340800005","View Full Record in Web of Science")</f>
        <v>View Full Record in Web of Science</v>
      </c>
      <c r="BL45" s="7"/>
      <c r="BM45" s="7"/>
      <c r="BN45" s="7"/>
      <c r="BO45" s="7"/>
      <c r="BP45" s="7"/>
      <c r="BQ45" s="7"/>
      <c r="BR45" s="7"/>
      <c r="BS45" s="7"/>
      <c r="BT45" s="7"/>
      <c r="BU45" s="7"/>
      <c r="BV45" s="7"/>
      <c r="BW45" s="7"/>
      <c r="BX45" s="7"/>
      <c r="BY45" s="7"/>
      <c r="BZ45" s="7"/>
      <c r="CA45" s="7"/>
      <c r="CB45" s="7"/>
      <c r="CC45" s="7"/>
      <c r="CD45" s="7"/>
      <c r="CE45" s="7"/>
      <c r="CF45" s="7"/>
    </row>
    <row r="46" customFormat="false" ht="15.75" hidden="false" customHeight="true" outlineLevel="0" collapsed="false">
      <c r="A46" s="7" t="s">
        <v>16335</v>
      </c>
      <c r="B46" s="7" t="s">
        <v>17590</v>
      </c>
      <c r="C46" s="7" t="s">
        <v>17591</v>
      </c>
      <c r="D46" s="8" t="s">
        <v>17592</v>
      </c>
      <c r="E46" s="7" t="n">
        <v>2021</v>
      </c>
      <c r="F46" s="6" t="s">
        <v>17593</v>
      </c>
      <c r="G46" s="6" t="s">
        <v>134</v>
      </c>
      <c r="H46" s="8" t="s">
        <v>17594</v>
      </c>
      <c r="I46" s="10"/>
      <c r="J46" s="8" t="s">
        <v>16752</v>
      </c>
      <c r="K46" s="8" t="s">
        <v>16409</v>
      </c>
      <c r="L46" s="8" t="s">
        <v>3754</v>
      </c>
      <c r="M46" s="8" t="s">
        <v>17595</v>
      </c>
      <c r="N46" s="8" t="s">
        <v>17596</v>
      </c>
      <c r="O46" s="8" t="s">
        <v>17597</v>
      </c>
      <c r="P46" s="10" t="n">
        <v>27</v>
      </c>
      <c r="Q46" s="7" t="n">
        <v>28</v>
      </c>
      <c r="R46" s="7" t="s">
        <v>61</v>
      </c>
      <c r="S46" s="7" t="s">
        <v>62</v>
      </c>
      <c r="T46" s="7" t="s">
        <v>17598</v>
      </c>
      <c r="U46" s="7" t="n">
        <v>20</v>
      </c>
      <c r="V46" s="7" t="s">
        <v>17599</v>
      </c>
      <c r="W46" s="7" t="n">
        <v>1</v>
      </c>
      <c r="X46" s="7" t="s">
        <v>17600</v>
      </c>
      <c r="Y46" s="7" t="s">
        <v>16816</v>
      </c>
      <c r="Z46" s="7" t="s">
        <v>17601</v>
      </c>
      <c r="AA46" s="7" t="s">
        <v>17602</v>
      </c>
      <c r="AB46" s="7" t="s">
        <v>17603</v>
      </c>
      <c r="AC46" s="7" t="s">
        <v>17604</v>
      </c>
      <c r="AD46" s="7" t="s">
        <v>17605</v>
      </c>
      <c r="AE46" s="7" t="s">
        <v>17606</v>
      </c>
      <c r="AF46" s="7" t="s">
        <v>17607</v>
      </c>
      <c r="AG46" s="7" t="s">
        <v>17607</v>
      </c>
      <c r="AH46" s="7" t="s">
        <v>17608</v>
      </c>
      <c r="AI46" s="7" t="n">
        <v>28</v>
      </c>
      <c r="AJ46" s="7" t="n">
        <v>0</v>
      </c>
      <c r="AK46" s="7" t="n">
        <v>8</v>
      </c>
      <c r="AL46" s="7" t="s">
        <v>16821</v>
      </c>
      <c r="AM46" s="7" t="s">
        <v>17609</v>
      </c>
      <c r="AN46" s="7"/>
      <c r="AO46" s="7" t="s">
        <v>17610</v>
      </c>
      <c r="AP46" s="7" t="s">
        <v>17611</v>
      </c>
      <c r="AQ46" s="7" t="s">
        <v>914</v>
      </c>
      <c r="AR46" s="7" t="s">
        <v>17612</v>
      </c>
      <c r="AS46" s="7"/>
      <c r="AT46" s="7"/>
      <c r="AU46" s="7" t="n">
        <v>110</v>
      </c>
      <c r="AV46" s="7" t="s">
        <v>17613</v>
      </c>
      <c r="AW46" s="30" t="str">
        <f aca="false">HYPERLINK("http://dx.doi.org/10.1186/s12936-021-03631-3","http://dx.doi.org/10.1186/s12936-021-03631-3")</f>
        <v>http://dx.doi.org/10.1186/s12936-021-03631-3</v>
      </c>
      <c r="AX46" s="7"/>
      <c r="AY46" s="7" t="n">
        <v>11</v>
      </c>
      <c r="AZ46" s="7" t="s">
        <v>16862</v>
      </c>
      <c r="BA46" s="7" t="s">
        <v>16366</v>
      </c>
      <c r="BB46" s="7" t="s">
        <v>16862</v>
      </c>
      <c r="BC46" s="7" t="s">
        <v>17614</v>
      </c>
      <c r="BD46" s="7" t="n">
        <v>33632222</v>
      </c>
      <c r="BE46" s="7" t="s">
        <v>17143</v>
      </c>
      <c r="BF46" s="7" t="s">
        <v>16369</v>
      </c>
      <c r="BG46" s="7" t="s">
        <v>17615</v>
      </c>
      <c r="BH46" s="7" t="str">
        <f aca="false">HYPERLINK("https%3A%2F%2Fwww.webofscience.com%2Fwos%2Fwoscc%2Ffull-record%2FWOS:000624581400001","View Full Record in Web of Science")</f>
        <v>View Full Record in Web of Science</v>
      </c>
      <c r="BL46" s="7"/>
      <c r="BM46" s="7"/>
      <c r="BN46" s="7"/>
      <c r="BO46" s="7"/>
      <c r="BP46" s="7"/>
      <c r="BQ46" s="7"/>
      <c r="BR46" s="7"/>
      <c r="BS46" s="7"/>
      <c r="BT46" s="7"/>
      <c r="BU46" s="7"/>
      <c r="BV46" s="7"/>
      <c r="BW46" s="7"/>
      <c r="BX46" s="7"/>
      <c r="BY46" s="7"/>
      <c r="BZ46" s="7"/>
      <c r="CA46" s="7"/>
      <c r="CB46" s="7"/>
      <c r="CC46" s="7"/>
      <c r="CD46" s="7"/>
      <c r="CE46" s="7"/>
      <c r="CF46" s="7"/>
    </row>
    <row r="47" customFormat="false" ht="15.75" hidden="false" customHeight="true" outlineLevel="0" collapsed="false">
      <c r="A47" s="7" t="s">
        <v>16335</v>
      </c>
      <c r="B47" s="7" t="s">
        <v>17616</v>
      </c>
      <c r="C47" s="7" t="s">
        <v>17617</v>
      </c>
      <c r="D47" s="8" t="s">
        <v>17618</v>
      </c>
      <c r="E47" s="7" t="n">
        <v>2020</v>
      </c>
      <c r="F47" s="6" t="s">
        <v>17619</v>
      </c>
      <c r="G47" s="6" t="s">
        <v>134</v>
      </c>
      <c r="H47" s="8" t="s">
        <v>16721</v>
      </c>
      <c r="I47" s="10"/>
      <c r="J47" s="8" t="s">
        <v>17620</v>
      </c>
      <c r="K47" s="8" t="s">
        <v>16594</v>
      </c>
      <c r="L47" s="8" t="s">
        <v>3754</v>
      </c>
      <c r="M47" s="8" t="s">
        <v>17621</v>
      </c>
      <c r="N47" s="8" t="s">
        <v>17622</v>
      </c>
      <c r="O47" s="8" t="s">
        <v>17623</v>
      </c>
      <c r="P47" s="10" t="n">
        <v>19</v>
      </c>
      <c r="Q47" s="7" t="n">
        <v>19</v>
      </c>
      <c r="R47" s="7" t="s">
        <v>61</v>
      </c>
      <c r="S47" s="7" t="s">
        <v>62</v>
      </c>
      <c r="T47" s="7" t="s">
        <v>17624</v>
      </c>
      <c r="U47" s="7" t="n">
        <v>1</v>
      </c>
      <c r="V47" s="7" t="s">
        <v>4048</v>
      </c>
      <c r="W47" s="7" t="n">
        <v>3</v>
      </c>
      <c r="X47" s="7" t="s">
        <v>17625</v>
      </c>
      <c r="Y47" s="7"/>
      <c r="Z47" s="7" t="s">
        <v>17626</v>
      </c>
      <c r="AA47" s="7" t="s">
        <v>17627</v>
      </c>
      <c r="AB47" s="7" t="s">
        <v>17628</v>
      </c>
      <c r="AC47" s="7" t="s">
        <v>17629</v>
      </c>
      <c r="AD47" s="7" t="s">
        <v>17630</v>
      </c>
      <c r="AE47" s="7" t="s">
        <v>17631</v>
      </c>
      <c r="AF47" s="7"/>
      <c r="AG47" s="7"/>
      <c r="AH47" s="7"/>
      <c r="AI47" s="7" t="n">
        <v>59</v>
      </c>
      <c r="AJ47" s="7" t="n">
        <v>2</v>
      </c>
      <c r="AK47" s="7" t="n">
        <v>5</v>
      </c>
      <c r="AL47" s="7" t="s">
        <v>16769</v>
      </c>
      <c r="AM47" s="7" t="s">
        <v>16770</v>
      </c>
      <c r="AN47" s="7"/>
      <c r="AO47" s="7" t="s">
        <v>17632</v>
      </c>
      <c r="AP47" s="7" t="s">
        <v>17633</v>
      </c>
      <c r="AQ47" s="7" t="s">
        <v>17624</v>
      </c>
      <c r="AR47" s="7" t="s">
        <v>16801</v>
      </c>
      <c r="AS47" s="7"/>
      <c r="AT47" s="7"/>
      <c r="AU47" s="7" t="n">
        <v>27</v>
      </c>
      <c r="AV47" s="7" t="s">
        <v>11323</v>
      </c>
      <c r="AW47" s="30" t="str">
        <f aca="false">HYPERLINK("http://dx.doi.org/10.3390/ai1030027","http://dx.doi.org/10.3390/ai1030027")</f>
        <v>http://dx.doi.org/10.3390/ai1030027</v>
      </c>
      <c r="AX47" s="7"/>
      <c r="AY47" s="7" t="n">
        <v>18</v>
      </c>
      <c r="AZ47" s="7" t="s">
        <v>17221</v>
      </c>
      <c r="BA47" s="7" t="s">
        <v>16684</v>
      </c>
      <c r="BB47" s="7" t="s">
        <v>16367</v>
      </c>
      <c r="BC47" s="7" t="s">
        <v>17634</v>
      </c>
      <c r="BD47" s="7"/>
      <c r="BE47" s="7" t="s">
        <v>16431</v>
      </c>
      <c r="BF47" s="7" t="s">
        <v>16369</v>
      </c>
      <c r="BG47" s="7" t="s">
        <v>17635</v>
      </c>
      <c r="BH47" s="7" t="str">
        <f aca="false">HYPERLINK("https%3A%2F%2Fwww.webofscience.com%2Fwos%2Fwoscc%2Ffull-record%2FWOS:001002832300001","View Full Record in Web of Science")</f>
        <v>View Full Record in Web of Science</v>
      </c>
      <c r="BL47" s="7"/>
      <c r="BM47" s="7"/>
      <c r="BN47" s="7"/>
      <c r="BO47" s="7"/>
      <c r="BP47" s="7"/>
      <c r="BQ47" s="7"/>
      <c r="BR47" s="7"/>
      <c r="BS47" s="7"/>
      <c r="BT47" s="7"/>
      <c r="BU47" s="7"/>
      <c r="BV47" s="7"/>
      <c r="BW47" s="7"/>
      <c r="BX47" s="7"/>
      <c r="BY47" s="7"/>
      <c r="BZ47" s="7"/>
      <c r="CA47" s="7"/>
      <c r="CB47" s="7"/>
      <c r="CC47" s="7"/>
      <c r="CD47" s="7"/>
      <c r="CE47" s="7"/>
      <c r="CF47" s="7"/>
    </row>
    <row r="48" customFormat="false" ht="15.75" hidden="false" customHeight="true" outlineLevel="0" collapsed="false">
      <c r="A48" s="7" t="s">
        <v>16335</v>
      </c>
      <c r="B48" s="7" t="s">
        <v>17636</v>
      </c>
      <c r="C48" s="7" t="s">
        <v>17637</v>
      </c>
      <c r="D48" s="8" t="s">
        <v>17638</v>
      </c>
      <c r="E48" s="7" t="n">
        <v>2020</v>
      </c>
      <c r="F48" s="6" t="s">
        <v>17639</v>
      </c>
      <c r="G48" s="6" t="s">
        <v>5868</v>
      </c>
      <c r="H48" s="8" t="s">
        <v>17640</v>
      </c>
      <c r="I48" s="8" t="s">
        <v>17641</v>
      </c>
      <c r="J48" s="8" t="s">
        <v>17642</v>
      </c>
      <c r="K48" s="8" t="s">
        <v>16409</v>
      </c>
      <c r="L48" s="8" t="s">
        <v>3754</v>
      </c>
      <c r="M48" s="8" t="s">
        <v>17643</v>
      </c>
      <c r="N48" s="8" t="s">
        <v>17644</v>
      </c>
      <c r="O48" s="8" t="s">
        <v>17645</v>
      </c>
      <c r="P48" s="10" t="n">
        <v>6</v>
      </c>
      <c r="Q48" s="7" t="n">
        <v>6</v>
      </c>
      <c r="R48" s="7" t="s">
        <v>61</v>
      </c>
      <c r="S48" s="7" t="s">
        <v>62</v>
      </c>
      <c r="T48" s="7" t="s">
        <v>17646</v>
      </c>
      <c r="U48" s="7" t="n">
        <v>36</v>
      </c>
      <c r="V48" s="7" t="s">
        <v>17647</v>
      </c>
      <c r="W48" s="7" t="n">
        <v>6</v>
      </c>
      <c r="X48" s="7" t="s">
        <v>17648</v>
      </c>
      <c r="Y48" s="7" t="s">
        <v>17649</v>
      </c>
      <c r="Z48" s="7" t="s">
        <v>17650</v>
      </c>
      <c r="AA48" s="7" t="s">
        <v>17651</v>
      </c>
      <c r="AB48" s="7" t="s">
        <v>17652</v>
      </c>
      <c r="AC48" s="7" t="s">
        <v>17653</v>
      </c>
      <c r="AD48" s="7" t="s">
        <v>17654</v>
      </c>
      <c r="AE48" s="7" t="s">
        <v>17655</v>
      </c>
      <c r="AF48" s="7" t="s">
        <v>17656</v>
      </c>
      <c r="AG48" s="7" t="s">
        <v>17656</v>
      </c>
      <c r="AH48" s="7" t="s">
        <v>17657</v>
      </c>
      <c r="AI48" s="7" t="n">
        <v>92</v>
      </c>
      <c r="AJ48" s="7" t="n">
        <v>4</v>
      </c>
      <c r="AK48" s="7" t="n">
        <v>66</v>
      </c>
      <c r="AL48" s="7" t="s">
        <v>17658</v>
      </c>
      <c r="AM48" s="7" t="s">
        <v>17659</v>
      </c>
      <c r="AN48" s="7" t="s">
        <v>17660</v>
      </c>
      <c r="AO48" s="7"/>
      <c r="AP48" s="7" t="s">
        <v>17661</v>
      </c>
      <c r="AQ48" s="7" t="s">
        <v>17662</v>
      </c>
      <c r="AR48" s="7"/>
      <c r="AS48" s="7" t="n">
        <v>1773</v>
      </c>
      <c r="AT48" s="7" t="n">
        <v>1782</v>
      </c>
      <c r="AU48" s="7"/>
      <c r="AV48" s="7"/>
      <c r="AW48" s="7"/>
      <c r="AX48" s="7"/>
      <c r="AY48" s="7" t="n">
        <v>10</v>
      </c>
      <c r="AZ48" s="7" t="s">
        <v>17663</v>
      </c>
      <c r="BA48" s="7" t="s">
        <v>16366</v>
      </c>
      <c r="BB48" s="7" t="s">
        <v>17664</v>
      </c>
      <c r="BC48" s="7" t="s">
        <v>17665</v>
      </c>
      <c r="BD48" s="7"/>
      <c r="BE48" s="7"/>
      <c r="BF48" s="7" t="s">
        <v>16369</v>
      </c>
      <c r="BG48" s="7" t="s">
        <v>17666</v>
      </c>
      <c r="BH48" s="7" t="str">
        <f aca="false">HYPERLINK("https%3A%2F%2Fwww.webofscience.com%2Fwos%2Fwoscc%2Ffull-record%2FWOS:000583207300006","View Full Record in Web of Science")</f>
        <v>View Full Record in Web of Science</v>
      </c>
      <c r="BL48" s="7"/>
      <c r="BM48" s="7"/>
      <c r="BN48" s="7"/>
      <c r="BO48" s="7"/>
      <c r="BP48" s="7"/>
      <c r="BQ48" s="7"/>
      <c r="BR48" s="7"/>
      <c r="BS48" s="7"/>
      <c r="BT48" s="7"/>
      <c r="BU48" s="7"/>
      <c r="BV48" s="7"/>
      <c r="BW48" s="7"/>
      <c r="BX48" s="7"/>
      <c r="BY48" s="7"/>
      <c r="BZ48" s="7"/>
      <c r="CA48" s="7"/>
      <c r="CB48" s="7"/>
      <c r="CC48" s="7"/>
      <c r="CD48" s="7"/>
      <c r="CE48" s="7"/>
      <c r="CF48" s="7"/>
    </row>
    <row r="49" customFormat="false" ht="15.75" hidden="false" customHeight="true" outlineLevel="0" collapsed="false">
      <c r="A49" s="7" t="s">
        <v>16335</v>
      </c>
      <c r="B49" s="7" t="s">
        <v>17667</v>
      </c>
      <c r="C49" s="7" t="s">
        <v>17668</v>
      </c>
      <c r="D49" s="10" t="s">
        <v>17669</v>
      </c>
      <c r="E49" s="7" t="n">
        <v>2020</v>
      </c>
      <c r="F49" s="6" t="s">
        <v>17670</v>
      </c>
      <c r="G49" s="6" t="s">
        <v>1230</v>
      </c>
      <c r="H49" s="8"/>
      <c r="I49" s="10"/>
      <c r="J49" s="10"/>
      <c r="K49" s="10"/>
      <c r="L49" s="10"/>
      <c r="M49" s="10"/>
      <c r="N49" s="10"/>
      <c r="O49" s="10"/>
      <c r="P49" s="10" t="n">
        <v>11</v>
      </c>
      <c r="Q49" s="7" t="n">
        <v>11</v>
      </c>
      <c r="R49" s="7" t="s">
        <v>61</v>
      </c>
      <c r="S49" s="7" t="s">
        <v>62</v>
      </c>
      <c r="T49" s="7" t="s">
        <v>17671</v>
      </c>
      <c r="U49" s="7" t="n">
        <v>45</v>
      </c>
      <c r="V49" s="7" t="s">
        <v>17672</v>
      </c>
      <c r="W49" s="7" t="n">
        <v>3</v>
      </c>
      <c r="X49" s="7" t="s">
        <v>17673</v>
      </c>
      <c r="Y49" s="7"/>
      <c r="Z49" s="7" t="s">
        <v>17674</v>
      </c>
      <c r="AA49" s="7" t="s">
        <v>17675</v>
      </c>
      <c r="AB49" s="7" t="s">
        <v>17676</v>
      </c>
      <c r="AC49" s="7" t="s">
        <v>17677</v>
      </c>
      <c r="AD49" s="7" t="s">
        <v>17678</v>
      </c>
      <c r="AE49" s="7" t="s">
        <v>17679</v>
      </c>
      <c r="AF49" s="7"/>
      <c r="AG49" s="7"/>
      <c r="AH49" s="7"/>
      <c r="AI49" s="7" t="n">
        <v>45</v>
      </c>
      <c r="AJ49" s="7" t="n">
        <v>1</v>
      </c>
      <c r="AK49" s="7" t="n">
        <v>8</v>
      </c>
      <c r="AL49" s="7" t="s">
        <v>17680</v>
      </c>
      <c r="AM49" s="7" t="s">
        <v>17681</v>
      </c>
      <c r="AN49" s="7" t="s">
        <v>17682</v>
      </c>
      <c r="AO49" s="7" t="s">
        <v>17683</v>
      </c>
      <c r="AP49" s="7" t="s">
        <v>17684</v>
      </c>
      <c r="AQ49" s="7" t="s">
        <v>17685</v>
      </c>
      <c r="AR49" s="7" t="s">
        <v>17686</v>
      </c>
      <c r="AS49" s="7" t="n">
        <v>229</v>
      </c>
      <c r="AT49" s="7" t="n">
        <v>241</v>
      </c>
      <c r="AU49" s="7"/>
      <c r="AV49" s="7" t="s">
        <v>11385</v>
      </c>
      <c r="AW49" s="30" t="str">
        <f aca="false">HYPERLINK("http://dx.doi.org/10.1080/17538157.2019.1582056","http://dx.doi.org/10.1080/17538157.2019.1582056")</f>
        <v>http://dx.doi.org/10.1080/17538157.2019.1582056</v>
      </c>
      <c r="AX49" s="7"/>
      <c r="AY49" s="7" t="n">
        <v>13</v>
      </c>
      <c r="AZ49" s="7" t="s">
        <v>17687</v>
      </c>
      <c r="BA49" s="7" t="s">
        <v>16584</v>
      </c>
      <c r="BB49" s="7" t="s">
        <v>17687</v>
      </c>
      <c r="BC49" s="7" t="s">
        <v>17688</v>
      </c>
      <c r="BD49" s="7" t="n">
        <v>30917718</v>
      </c>
      <c r="BE49" s="7"/>
      <c r="BF49" s="7" t="s">
        <v>16369</v>
      </c>
      <c r="BG49" s="7" t="s">
        <v>17689</v>
      </c>
      <c r="BH49" s="7" t="str">
        <f aca="false">HYPERLINK("https%3A%2F%2Fwww.webofscience.com%2Fwos%2Fwoscc%2Ffull-record%2FWOS:000555104000002","View Full Record in Web of Science")</f>
        <v>View Full Record in Web of Science</v>
      </c>
      <c r="BL49" s="7"/>
      <c r="BM49" s="7"/>
      <c r="BN49" s="7"/>
      <c r="BO49" s="7"/>
      <c r="BP49" s="7"/>
      <c r="BQ49" s="7"/>
      <c r="BR49" s="7"/>
      <c r="BS49" s="7"/>
      <c r="BT49" s="7"/>
      <c r="BU49" s="7"/>
      <c r="BV49" s="7"/>
      <c r="BW49" s="7"/>
      <c r="BX49" s="7"/>
      <c r="BY49" s="7"/>
      <c r="BZ49" s="7"/>
      <c r="CA49" s="7"/>
      <c r="CB49" s="7"/>
      <c r="CC49" s="7"/>
      <c r="CD49" s="7"/>
      <c r="CE49" s="7"/>
      <c r="CF49" s="7"/>
    </row>
    <row r="50" customFormat="false" ht="15.75" hidden="false" customHeight="true" outlineLevel="0" collapsed="false">
      <c r="A50" s="7" t="s">
        <v>16335</v>
      </c>
      <c r="B50" s="7" t="s">
        <v>17690</v>
      </c>
      <c r="C50" s="7" t="s">
        <v>17691</v>
      </c>
      <c r="D50" s="10" t="s">
        <v>17692</v>
      </c>
      <c r="E50" s="7" t="n">
        <v>2020</v>
      </c>
      <c r="F50" s="6" t="s">
        <v>17693</v>
      </c>
      <c r="G50" s="6" t="s">
        <v>1230</v>
      </c>
      <c r="H50" s="8"/>
      <c r="I50" s="10"/>
      <c r="J50" s="10"/>
      <c r="K50" s="10"/>
      <c r="L50" s="10"/>
      <c r="M50" s="10"/>
      <c r="N50" s="10"/>
      <c r="O50" s="10"/>
      <c r="P50" s="10" t="n">
        <v>9</v>
      </c>
      <c r="Q50" s="7" t="n">
        <v>9</v>
      </c>
      <c r="R50" s="7" t="s">
        <v>61</v>
      </c>
      <c r="S50" s="7" t="s">
        <v>62</v>
      </c>
      <c r="T50" s="7" t="s">
        <v>17694</v>
      </c>
      <c r="U50" s="7" t="n">
        <v>2020</v>
      </c>
      <c r="V50" s="7" t="s">
        <v>17360</v>
      </c>
      <c r="W50" s="7"/>
      <c r="X50" s="7"/>
      <c r="Y50" s="7" t="s">
        <v>17695</v>
      </c>
      <c r="Z50" s="7" t="s">
        <v>17696</v>
      </c>
      <c r="AA50" s="7" t="s">
        <v>17697</v>
      </c>
      <c r="AB50" s="7" t="s">
        <v>17698</v>
      </c>
      <c r="AC50" s="7" t="s">
        <v>17699</v>
      </c>
      <c r="AD50" s="7" t="s">
        <v>17700</v>
      </c>
      <c r="AE50" s="7" t="s">
        <v>17701</v>
      </c>
      <c r="AF50" s="7" t="s">
        <v>17702</v>
      </c>
      <c r="AG50" s="7" t="s">
        <v>17703</v>
      </c>
      <c r="AH50" s="7" t="s">
        <v>17704</v>
      </c>
      <c r="AI50" s="7" t="n">
        <v>48</v>
      </c>
      <c r="AJ50" s="7" t="n">
        <v>0</v>
      </c>
      <c r="AK50" s="7" t="n">
        <v>14</v>
      </c>
      <c r="AL50" s="7" t="s">
        <v>16821</v>
      </c>
      <c r="AM50" s="7" t="s">
        <v>17371</v>
      </c>
      <c r="AN50" s="7" t="s">
        <v>17705</v>
      </c>
      <c r="AO50" s="7" t="s">
        <v>17706</v>
      </c>
      <c r="AP50" s="7" t="s">
        <v>17707</v>
      </c>
      <c r="AQ50" s="7" t="s">
        <v>17708</v>
      </c>
      <c r="AR50" s="7" t="s">
        <v>17709</v>
      </c>
      <c r="AS50" s="7"/>
      <c r="AT50" s="7"/>
      <c r="AU50" s="7" t="n">
        <v>6950576</v>
      </c>
      <c r="AV50" s="7" t="s">
        <v>17710</v>
      </c>
      <c r="AW50" s="30" t="str">
        <f aca="false">HYPERLINK("http://dx.doi.org/10.1155/2020/6950576","http://dx.doi.org/10.1155/2020/6950576")</f>
        <v>http://dx.doi.org/10.1155/2020/6950576</v>
      </c>
      <c r="AX50" s="7"/>
      <c r="AY50" s="7" t="n">
        <v>11</v>
      </c>
      <c r="AZ50" s="7" t="s">
        <v>17711</v>
      </c>
      <c r="BA50" s="7" t="s">
        <v>16366</v>
      </c>
      <c r="BB50" s="7" t="s">
        <v>17712</v>
      </c>
      <c r="BC50" s="7" t="s">
        <v>17713</v>
      </c>
      <c r="BD50" s="7" t="n">
        <v>32802867</v>
      </c>
      <c r="BE50" s="7" t="s">
        <v>17117</v>
      </c>
      <c r="BF50" s="7" t="s">
        <v>16369</v>
      </c>
      <c r="BG50" s="7" t="s">
        <v>17714</v>
      </c>
      <c r="BH50" s="7" t="str">
        <f aca="false">HYPERLINK("https%3A%2F%2Fwww.webofscience.com%2Fwos%2Fwoscc%2Ffull-record%2FWOS:000561368300003","View Full Record in Web of Science")</f>
        <v>View Full Record in Web of Science</v>
      </c>
      <c r="BL50" s="7"/>
      <c r="BM50" s="7"/>
      <c r="BN50" s="7"/>
      <c r="BO50" s="7"/>
      <c r="BP50" s="7"/>
      <c r="BQ50" s="7"/>
      <c r="BR50" s="7"/>
      <c r="BS50" s="7"/>
      <c r="BT50" s="7"/>
      <c r="BU50" s="7"/>
      <c r="BV50" s="7"/>
      <c r="BW50" s="7"/>
      <c r="BX50" s="7"/>
      <c r="BY50" s="7"/>
      <c r="BZ50" s="7"/>
      <c r="CA50" s="7"/>
      <c r="CB50" s="7"/>
      <c r="CC50" s="7"/>
      <c r="CD50" s="7"/>
      <c r="CE50" s="7"/>
      <c r="CF50" s="7"/>
    </row>
    <row r="51" customFormat="false" ht="15.75" hidden="false" customHeight="true" outlineLevel="0" collapsed="false">
      <c r="A51" s="7" t="s">
        <v>16335</v>
      </c>
      <c r="B51" s="7" t="s">
        <v>17715</v>
      </c>
      <c r="C51" s="7" t="s">
        <v>17716</v>
      </c>
      <c r="D51" s="10" t="s">
        <v>17717</v>
      </c>
      <c r="E51" s="7" t="n">
        <v>2020</v>
      </c>
      <c r="F51" s="6" t="s">
        <v>17718</v>
      </c>
      <c r="G51" s="6" t="s">
        <v>134</v>
      </c>
      <c r="H51" s="8"/>
      <c r="I51" s="10"/>
      <c r="J51" s="10"/>
      <c r="K51" s="10"/>
      <c r="L51" s="10"/>
      <c r="M51" s="10"/>
      <c r="N51" s="10"/>
      <c r="O51" s="10"/>
      <c r="P51" s="10" t="n">
        <v>0</v>
      </c>
      <c r="Q51" s="7" t="n">
        <v>0</v>
      </c>
      <c r="R51" s="7" t="s">
        <v>61</v>
      </c>
      <c r="S51" s="7" t="s">
        <v>62</v>
      </c>
      <c r="T51" s="7" t="s">
        <v>17719</v>
      </c>
      <c r="U51" s="7" t="n">
        <v>13</v>
      </c>
      <c r="V51" s="7" t="s">
        <v>17720</v>
      </c>
      <c r="W51" s="7" t="n">
        <v>11</v>
      </c>
      <c r="X51" s="7" t="s">
        <v>17721</v>
      </c>
      <c r="Y51" s="7"/>
      <c r="Z51" s="7" t="s">
        <v>17722</v>
      </c>
      <c r="AA51" s="7" t="s">
        <v>17723</v>
      </c>
      <c r="AB51" s="7" t="s">
        <v>17724</v>
      </c>
      <c r="AC51" s="7" t="s">
        <v>17725</v>
      </c>
      <c r="AD51" s="7"/>
      <c r="AE51" s="7"/>
      <c r="AF51" s="7"/>
      <c r="AG51" s="7"/>
      <c r="AH51" s="7"/>
      <c r="AI51" s="7" t="n">
        <v>3</v>
      </c>
      <c r="AJ51" s="7" t="n">
        <v>2</v>
      </c>
      <c r="AK51" s="7" t="n">
        <v>5</v>
      </c>
      <c r="AL51" s="7" t="s">
        <v>17726</v>
      </c>
      <c r="AM51" s="7" t="s">
        <v>17727</v>
      </c>
      <c r="AN51" s="7" t="s">
        <v>17728</v>
      </c>
      <c r="AO51" s="7"/>
      <c r="AP51" s="7" t="s">
        <v>17729</v>
      </c>
      <c r="AQ51" s="7" t="s">
        <v>17730</v>
      </c>
      <c r="AR51" s="7"/>
      <c r="AS51" s="7" t="n">
        <v>52</v>
      </c>
      <c r="AT51" s="7" t="n">
        <v>54</v>
      </c>
      <c r="AU51" s="7"/>
      <c r="AV51" s="7" t="s">
        <v>17731</v>
      </c>
      <c r="AW51" s="30" t="str">
        <f aca="false">HYPERLINK("http://dx.doi.org/10.21786/bbrc/13.11/12","http://dx.doi.org/10.21786/bbrc/13.11/12")</f>
        <v>http://dx.doi.org/10.21786/bbrc/13.11/12</v>
      </c>
      <c r="AX51" s="7"/>
      <c r="AY51" s="7" t="n">
        <v>3</v>
      </c>
      <c r="AZ51" s="7" t="s">
        <v>17732</v>
      </c>
      <c r="BA51" s="7" t="s">
        <v>16684</v>
      </c>
      <c r="BB51" s="7" t="s">
        <v>17732</v>
      </c>
      <c r="BC51" s="7" t="s">
        <v>17733</v>
      </c>
      <c r="BD51" s="7"/>
      <c r="BE51" s="7" t="s">
        <v>17463</v>
      </c>
      <c r="BF51" s="7" t="s">
        <v>16369</v>
      </c>
      <c r="BG51" s="7" t="s">
        <v>17734</v>
      </c>
      <c r="BH51" s="7" t="str">
        <f aca="false">HYPERLINK("https%3A%2F%2Fwww.webofscience.com%2Fwos%2Fwoscc%2Ffull-record%2FWOS:000640077900012","View Full Record in Web of Science")</f>
        <v>View Full Record in Web of Science</v>
      </c>
      <c r="BL51" s="7"/>
      <c r="BM51" s="7"/>
      <c r="BN51" s="7"/>
      <c r="BO51" s="7"/>
      <c r="BP51" s="7"/>
      <c r="BQ51" s="7"/>
      <c r="BR51" s="7"/>
      <c r="BS51" s="7" t="s">
        <v>16622</v>
      </c>
      <c r="BT51" s="7"/>
      <c r="BU51" s="7"/>
      <c r="BV51" s="7"/>
      <c r="BW51" s="7"/>
      <c r="BX51" s="7"/>
      <c r="BY51" s="7"/>
      <c r="BZ51" s="7"/>
      <c r="CA51" s="7"/>
      <c r="CB51" s="7"/>
      <c r="CC51" s="7"/>
      <c r="CD51" s="7"/>
      <c r="CE51" s="7"/>
      <c r="CF51" s="7"/>
    </row>
    <row r="52" customFormat="false" ht="15.75" hidden="false" customHeight="true" outlineLevel="0" collapsed="false">
      <c r="A52" s="7" t="s">
        <v>16335</v>
      </c>
      <c r="B52" s="7" t="s">
        <v>17735</v>
      </c>
      <c r="C52" s="7" t="s">
        <v>17736</v>
      </c>
      <c r="D52" s="10" t="s">
        <v>17737</v>
      </c>
      <c r="E52" s="7" t="n">
        <v>2020</v>
      </c>
      <c r="F52" s="6" t="s">
        <v>17738</v>
      </c>
      <c r="G52" s="6" t="s">
        <v>1230</v>
      </c>
      <c r="H52" s="8"/>
      <c r="I52" s="10"/>
      <c r="J52" s="10"/>
      <c r="K52" s="10"/>
      <c r="L52" s="10"/>
      <c r="M52" s="10"/>
      <c r="N52" s="10"/>
      <c r="O52" s="10"/>
      <c r="P52" s="10" t="n">
        <v>13</v>
      </c>
      <c r="Q52" s="7" t="n">
        <v>15</v>
      </c>
      <c r="R52" s="7" t="s">
        <v>61</v>
      </c>
      <c r="S52" s="7" t="s">
        <v>62</v>
      </c>
      <c r="T52" s="7" t="s">
        <v>16383</v>
      </c>
      <c r="U52" s="7" t="n">
        <v>8</v>
      </c>
      <c r="V52" s="7" t="s">
        <v>16384</v>
      </c>
      <c r="W52" s="7"/>
      <c r="X52" s="7" t="s">
        <v>17739</v>
      </c>
      <c r="Y52" s="7" t="s">
        <v>17740</v>
      </c>
      <c r="Z52" s="7" t="s">
        <v>17741</v>
      </c>
      <c r="AA52" s="7" t="s">
        <v>17742</v>
      </c>
      <c r="AB52" s="7" t="s">
        <v>17743</v>
      </c>
      <c r="AC52" s="7" t="s">
        <v>17744</v>
      </c>
      <c r="AD52" s="7" t="s">
        <v>17745</v>
      </c>
      <c r="AE52" s="7" t="s">
        <v>17746</v>
      </c>
      <c r="AF52" s="7" t="s">
        <v>17747</v>
      </c>
      <c r="AG52" s="7" t="s">
        <v>17748</v>
      </c>
      <c r="AH52" s="7" t="s">
        <v>17749</v>
      </c>
      <c r="AI52" s="7" t="n">
        <v>66</v>
      </c>
      <c r="AJ52" s="7" t="n">
        <v>0</v>
      </c>
      <c r="AK52" s="7" t="n">
        <v>12</v>
      </c>
      <c r="AL52" s="7" t="s">
        <v>16395</v>
      </c>
      <c r="AM52" s="7" t="s">
        <v>16396</v>
      </c>
      <c r="AN52" s="7" t="s">
        <v>16397</v>
      </c>
      <c r="AO52" s="7"/>
      <c r="AP52" s="7" t="s">
        <v>16383</v>
      </c>
      <c r="AQ52" s="7" t="s">
        <v>186</v>
      </c>
      <c r="AR52" s="7"/>
      <c r="AS52" s="7" t="n">
        <v>14182</v>
      </c>
      <c r="AT52" s="7" t="n">
        <v>14194</v>
      </c>
      <c r="AU52" s="7"/>
      <c r="AV52" s="7" t="s">
        <v>17750</v>
      </c>
      <c r="AW52" s="30" t="str">
        <f aca="false">HYPERLINK("http://dx.doi.org/10.1109/ACCESS.2020.2966080","http://dx.doi.org/10.1109/ACCESS.2020.2966080")</f>
        <v>http://dx.doi.org/10.1109/ACCESS.2020.2966080</v>
      </c>
      <c r="AX52" s="7"/>
      <c r="AY52" s="7" t="n">
        <v>13</v>
      </c>
      <c r="AZ52" s="7" t="s">
        <v>16399</v>
      </c>
      <c r="BA52" s="7" t="s">
        <v>16584</v>
      </c>
      <c r="BB52" s="7" t="s">
        <v>16400</v>
      </c>
      <c r="BC52" s="7" t="s">
        <v>17751</v>
      </c>
      <c r="BD52" s="7"/>
      <c r="BE52" s="7" t="s">
        <v>17752</v>
      </c>
      <c r="BF52" s="7" t="s">
        <v>16369</v>
      </c>
      <c r="BG52" s="7" t="s">
        <v>17753</v>
      </c>
      <c r="BH52" s="7" t="str">
        <f aca="false">HYPERLINK("https%3A%2F%2Fwww.webofscience.com%2Fwos%2Fwoscc%2Ffull-record%2FWOS:000524735300016","View Full Record in Web of Science")</f>
        <v>View Full Record in Web of Science</v>
      </c>
      <c r="BL52" s="7"/>
      <c r="BM52" s="7"/>
      <c r="BN52" s="7"/>
      <c r="BO52" s="7"/>
      <c r="BP52" s="7"/>
      <c r="BQ52" s="7"/>
      <c r="BR52" s="7"/>
      <c r="BS52" s="7"/>
      <c r="BT52" s="7"/>
      <c r="BU52" s="7"/>
      <c r="BV52" s="7"/>
      <c r="BW52" s="7"/>
      <c r="BX52" s="7"/>
      <c r="BY52" s="7"/>
      <c r="BZ52" s="7"/>
      <c r="CA52" s="7"/>
      <c r="CB52" s="7"/>
      <c r="CC52" s="7"/>
      <c r="CD52" s="7"/>
      <c r="CE52" s="7"/>
      <c r="CF52" s="7"/>
    </row>
    <row r="53" customFormat="false" ht="15.75" hidden="false" customHeight="true" outlineLevel="0" collapsed="false">
      <c r="A53" s="7" t="s">
        <v>16335</v>
      </c>
      <c r="B53" s="7" t="s">
        <v>17754</v>
      </c>
      <c r="C53" s="7" t="s">
        <v>17755</v>
      </c>
      <c r="D53" s="10" t="s">
        <v>17756</v>
      </c>
      <c r="E53" s="7" t="n">
        <v>2020</v>
      </c>
      <c r="F53" s="6" t="s">
        <v>17757</v>
      </c>
      <c r="G53" s="6" t="s">
        <v>134</v>
      </c>
      <c r="H53" s="8"/>
      <c r="I53" s="10"/>
      <c r="J53" s="10"/>
      <c r="K53" s="10"/>
      <c r="L53" s="10"/>
      <c r="M53" s="10"/>
      <c r="N53" s="10"/>
      <c r="O53" s="10"/>
      <c r="P53" s="10" t="n">
        <v>1</v>
      </c>
      <c r="Q53" s="7" t="n">
        <v>2</v>
      </c>
      <c r="R53" s="7" t="s">
        <v>61</v>
      </c>
      <c r="S53" s="7" t="s">
        <v>62</v>
      </c>
      <c r="T53" s="7" t="s">
        <v>17758</v>
      </c>
      <c r="U53" s="7" t="n">
        <v>102</v>
      </c>
      <c r="V53" s="7" t="s">
        <v>17759</v>
      </c>
      <c r="W53" s="7" t="n">
        <v>4</v>
      </c>
      <c r="X53" s="7"/>
      <c r="Y53" s="7" t="s">
        <v>17760</v>
      </c>
      <c r="Z53" s="7" t="s">
        <v>17761</v>
      </c>
      <c r="AA53" s="7" t="s">
        <v>17762</v>
      </c>
      <c r="AB53" s="7" t="s">
        <v>17763</v>
      </c>
      <c r="AC53" s="7" t="s">
        <v>17764</v>
      </c>
      <c r="AD53" s="7" t="s">
        <v>17765</v>
      </c>
      <c r="AE53" s="7" t="s">
        <v>17766</v>
      </c>
      <c r="AF53" s="7"/>
      <c r="AG53" s="7"/>
      <c r="AH53" s="7"/>
      <c r="AI53" s="7" t="n">
        <v>20</v>
      </c>
      <c r="AJ53" s="7" t="n">
        <v>0</v>
      </c>
      <c r="AK53" s="7" t="n">
        <v>1</v>
      </c>
      <c r="AL53" s="7" t="s">
        <v>17767</v>
      </c>
      <c r="AM53" s="7" t="s">
        <v>17768</v>
      </c>
      <c r="AN53" s="7" t="s">
        <v>17769</v>
      </c>
      <c r="AO53" s="7" t="s">
        <v>17770</v>
      </c>
      <c r="AP53" s="7" t="s">
        <v>17771</v>
      </c>
      <c r="AQ53" s="7" t="s">
        <v>617</v>
      </c>
      <c r="AR53" s="7" t="s">
        <v>17772</v>
      </c>
      <c r="AS53" s="7" t="n">
        <v>782</v>
      </c>
      <c r="AT53" s="7" t="n">
        <v>787</v>
      </c>
      <c r="AU53" s="7"/>
      <c r="AV53" s="7" t="s">
        <v>17773</v>
      </c>
      <c r="AW53" s="30" t="str">
        <f aca="false">HYPERLINK("http://dx.doi.org/10.4269/ajtmh.19-0745","http://dx.doi.org/10.4269/ajtmh.19-0745")</f>
        <v>http://dx.doi.org/10.4269/ajtmh.19-0745</v>
      </c>
      <c r="AX53" s="7"/>
      <c r="AY53" s="7" t="n">
        <v>6</v>
      </c>
      <c r="AZ53" s="7" t="s">
        <v>17774</v>
      </c>
      <c r="BA53" s="7" t="s">
        <v>16366</v>
      </c>
      <c r="BB53" s="7" t="s">
        <v>17774</v>
      </c>
      <c r="BC53" s="7" t="s">
        <v>17775</v>
      </c>
      <c r="BD53" s="7" t="n">
        <v>32043445</v>
      </c>
      <c r="BE53" s="7" t="s">
        <v>16620</v>
      </c>
      <c r="BF53" s="7" t="s">
        <v>16369</v>
      </c>
      <c r="BG53" s="7" t="s">
        <v>17776</v>
      </c>
      <c r="BH53" s="7" t="str">
        <f aca="false">HYPERLINK("https%3A%2F%2Fwww.webofscience.com%2Fwos%2Fwoscc%2Ffull-record%2FWOS:000531085300016","View Full Record in Web of Science")</f>
        <v>View Full Record in Web of Science</v>
      </c>
      <c r="BL53" s="7"/>
      <c r="BM53" s="7"/>
      <c r="BN53" s="7"/>
      <c r="BO53" s="7"/>
      <c r="BP53" s="7"/>
      <c r="BQ53" s="7"/>
      <c r="BR53" s="7"/>
      <c r="BS53" s="7"/>
      <c r="BT53" s="7"/>
      <c r="BU53" s="7"/>
      <c r="BV53" s="7"/>
      <c r="BW53" s="7"/>
      <c r="BX53" s="7"/>
      <c r="BY53" s="7"/>
      <c r="BZ53" s="7"/>
      <c r="CA53" s="7"/>
      <c r="CB53" s="7"/>
      <c r="CC53" s="7"/>
      <c r="CD53" s="7"/>
      <c r="CE53" s="7"/>
      <c r="CF53" s="7"/>
    </row>
    <row r="54" customFormat="false" ht="15.75" hidden="false" customHeight="true" outlineLevel="0" collapsed="false">
      <c r="A54" s="7" t="s">
        <v>16335</v>
      </c>
      <c r="B54" s="7" t="s">
        <v>17777</v>
      </c>
      <c r="C54" s="7" t="s">
        <v>17778</v>
      </c>
      <c r="D54" s="10" t="s">
        <v>17779</v>
      </c>
      <c r="E54" s="7" t="n">
        <v>2020</v>
      </c>
      <c r="F54" s="6" t="s">
        <v>17780</v>
      </c>
      <c r="G54" s="6" t="s">
        <v>290</v>
      </c>
      <c r="H54" s="8"/>
      <c r="I54" s="10"/>
      <c r="J54" s="10"/>
      <c r="K54" s="10"/>
      <c r="L54" s="10"/>
      <c r="M54" s="10"/>
      <c r="N54" s="10"/>
      <c r="O54" s="10"/>
      <c r="P54" s="10" t="n">
        <v>1</v>
      </c>
      <c r="Q54" s="7" t="n">
        <v>1</v>
      </c>
      <c r="R54" s="7" t="s">
        <v>61</v>
      </c>
      <c r="S54" s="7" t="s">
        <v>62</v>
      </c>
      <c r="T54" s="7" t="s">
        <v>17781</v>
      </c>
      <c r="U54" s="7" t="n">
        <v>96</v>
      </c>
      <c r="V54" s="7" t="s">
        <v>16475</v>
      </c>
      <c r="W54" s="7" t="n">
        <v>3</v>
      </c>
      <c r="X54" s="7" t="s">
        <v>17782</v>
      </c>
      <c r="Y54" s="7" t="s">
        <v>17783</v>
      </c>
      <c r="Z54" s="7" t="s">
        <v>17784</v>
      </c>
      <c r="AA54" s="7" t="s">
        <v>17785</v>
      </c>
      <c r="AB54" s="7" t="s">
        <v>17786</v>
      </c>
      <c r="AC54" s="7" t="s">
        <v>17787</v>
      </c>
      <c r="AD54" s="7" t="s">
        <v>17788</v>
      </c>
      <c r="AE54" s="7" t="s">
        <v>17789</v>
      </c>
      <c r="AF54" s="7" t="s">
        <v>17790</v>
      </c>
      <c r="AG54" s="7" t="s">
        <v>17791</v>
      </c>
      <c r="AH54" s="7" t="s">
        <v>17792</v>
      </c>
      <c r="AI54" s="7" t="n">
        <v>59</v>
      </c>
      <c r="AJ54" s="7" t="n">
        <v>1</v>
      </c>
      <c r="AK54" s="7" t="n">
        <v>18</v>
      </c>
      <c r="AL54" s="7" t="s">
        <v>16485</v>
      </c>
      <c r="AM54" s="7" t="s">
        <v>16486</v>
      </c>
      <c r="AN54" s="7" t="s">
        <v>17793</v>
      </c>
      <c r="AO54" s="7" t="s">
        <v>17794</v>
      </c>
      <c r="AP54" s="7" t="s">
        <v>17795</v>
      </c>
      <c r="AQ54" s="7" t="s">
        <v>17796</v>
      </c>
      <c r="AR54" s="7" t="s">
        <v>16801</v>
      </c>
      <c r="AS54" s="7" t="n">
        <v>948</v>
      </c>
      <c r="AT54" s="7" t="n">
        <v>960</v>
      </c>
      <c r="AU54" s="7"/>
      <c r="AV54" s="7" t="s">
        <v>17797</v>
      </c>
      <c r="AW54" s="30" t="str">
        <f aca="false">HYPERLINK("http://dx.doi.org/10.1111/cbdd.13663","http://dx.doi.org/10.1111/cbdd.13663")</f>
        <v>http://dx.doi.org/10.1111/cbdd.13663</v>
      </c>
      <c r="AX54" s="7"/>
      <c r="AY54" s="7" t="n">
        <v>13</v>
      </c>
      <c r="AZ54" s="7" t="s">
        <v>17798</v>
      </c>
      <c r="BA54" s="7" t="s">
        <v>17799</v>
      </c>
      <c r="BB54" s="7" t="s">
        <v>17800</v>
      </c>
      <c r="BC54" s="7" t="s">
        <v>17801</v>
      </c>
      <c r="BD54" s="7" t="n">
        <v>33058457</v>
      </c>
      <c r="BE54" s="7"/>
      <c r="BF54" s="7" t="s">
        <v>16369</v>
      </c>
      <c r="BG54" s="7" t="s">
        <v>17802</v>
      </c>
      <c r="BH54" s="7" t="str">
        <f aca="false">HYPERLINK("https%3A%2F%2Fwww.webofscience.com%2Fwos%2Fwoscc%2Ffull-record%2FWOS:000577619900006","View Full Record in Web of Science")</f>
        <v>View Full Record in Web of Science</v>
      </c>
      <c r="BL54" s="7"/>
      <c r="BM54" s="7"/>
      <c r="BN54" s="7"/>
      <c r="BO54" s="7"/>
      <c r="BP54" s="7"/>
      <c r="BQ54" s="7"/>
      <c r="BR54" s="7"/>
      <c r="BS54" s="7"/>
      <c r="BT54" s="7"/>
      <c r="BU54" s="7"/>
      <c r="BV54" s="7"/>
      <c r="BW54" s="7"/>
      <c r="BX54" s="7"/>
      <c r="BY54" s="7"/>
      <c r="BZ54" s="7"/>
      <c r="CA54" s="7"/>
      <c r="CB54" s="7"/>
      <c r="CC54" s="7"/>
      <c r="CD54" s="7"/>
      <c r="CE54" s="7"/>
      <c r="CF54" s="7"/>
    </row>
    <row r="55" customFormat="false" ht="15.75" hidden="false" customHeight="true" outlineLevel="0" collapsed="false">
      <c r="A55" s="7" t="s">
        <v>16335</v>
      </c>
      <c r="B55" s="7" t="s">
        <v>17803</v>
      </c>
      <c r="C55" s="7" t="s">
        <v>17804</v>
      </c>
      <c r="D55" s="10" t="s">
        <v>17805</v>
      </c>
      <c r="E55" s="7" t="n">
        <v>2020</v>
      </c>
      <c r="F55" s="6" t="s">
        <v>17806</v>
      </c>
      <c r="G55" s="6" t="s">
        <v>1230</v>
      </c>
      <c r="H55" s="8"/>
      <c r="I55" s="10"/>
      <c r="J55" s="10"/>
      <c r="K55" s="10"/>
      <c r="L55" s="10"/>
      <c r="M55" s="10"/>
      <c r="N55" s="10"/>
      <c r="O55" s="10"/>
      <c r="P55" s="10" t="n">
        <v>16</v>
      </c>
      <c r="Q55" s="7" t="n">
        <v>18</v>
      </c>
      <c r="R55" s="7" t="s">
        <v>61</v>
      </c>
      <c r="S55" s="7" t="s">
        <v>62</v>
      </c>
      <c r="T55" s="7" t="s">
        <v>16844</v>
      </c>
      <c r="U55" s="7" t="n">
        <v>14</v>
      </c>
      <c r="V55" s="7" t="s">
        <v>16845</v>
      </c>
      <c r="W55" s="7" t="n">
        <v>3</v>
      </c>
      <c r="X55" s="7"/>
      <c r="Y55" s="7" t="s">
        <v>17807</v>
      </c>
      <c r="Z55" s="7" t="s">
        <v>17808</v>
      </c>
      <c r="AA55" s="7" t="s">
        <v>17809</v>
      </c>
      <c r="AB55" s="7" t="s">
        <v>17810</v>
      </c>
      <c r="AC55" s="7" t="s">
        <v>17811</v>
      </c>
      <c r="AD55" s="7" t="s">
        <v>17812</v>
      </c>
      <c r="AE55" s="7" t="s">
        <v>17813</v>
      </c>
      <c r="AF55" s="7" t="s">
        <v>17814</v>
      </c>
      <c r="AG55" s="7" t="s">
        <v>17815</v>
      </c>
      <c r="AH55" s="7" t="s">
        <v>17816</v>
      </c>
      <c r="AI55" s="7" t="n">
        <v>99</v>
      </c>
      <c r="AJ55" s="7" t="n">
        <v>1</v>
      </c>
      <c r="AK55" s="7" t="n">
        <v>5</v>
      </c>
      <c r="AL55" s="7" t="s">
        <v>16855</v>
      </c>
      <c r="AM55" s="7" t="s">
        <v>16856</v>
      </c>
      <c r="AN55" s="7" t="s">
        <v>16857</v>
      </c>
      <c r="AO55" s="7"/>
      <c r="AP55" s="7" t="s">
        <v>16858</v>
      </c>
      <c r="AQ55" s="7" t="s">
        <v>16859</v>
      </c>
      <c r="AR55" s="7" t="s">
        <v>17248</v>
      </c>
      <c r="AS55" s="7"/>
      <c r="AT55" s="7"/>
      <c r="AU55" s="7" t="s">
        <v>17817</v>
      </c>
      <c r="AV55" s="7" t="s">
        <v>17818</v>
      </c>
      <c r="AW55" s="30" t="str">
        <f aca="false">HYPERLINK("http://dx.doi.org/10.1371/journal.pntd.0008112","http://dx.doi.org/10.1371/journal.pntd.0008112")</f>
        <v>http://dx.doi.org/10.1371/journal.pntd.0008112</v>
      </c>
      <c r="AX55" s="7"/>
      <c r="AY55" s="7" t="n">
        <v>25</v>
      </c>
      <c r="AZ55" s="7" t="s">
        <v>16862</v>
      </c>
      <c r="BA55" s="7" t="s">
        <v>16366</v>
      </c>
      <c r="BB55" s="7" t="s">
        <v>16862</v>
      </c>
      <c r="BC55" s="7" t="s">
        <v>17819</v>
      </c>
      <c r="BD55" s="7" t="n">
        <v>32150565</v>
      </c>
      <c r="BE55" s="7" t="s">
        <v>17143</v>
      </c>
      <c r="BF55" s="7" t="s">
        <v>16369</v>
      </c>
      <c r="BG55" s="7" t="s">
        <v>17820</v>
      </c>
      <c r="BH55" s="7" t="str">
        <f aca="false">HYPERLINK("https%3A%2F%2Fwww.webofscience.com%2Fwos%2Fwoscc%2Ffull-record%2FWOS:000528655400041","View Full Record in Web of Science")</f>
        <v>View Full Record in Web of Science</v>
      </c>
      <c r="BL55" s="7"/>
      <c r="BM55" s="7"/>
      <c r="BN55" s="7"/>
      <c r="BO55" s="7"/>
      <c r="BP55" s="7"/>
      <c r="BQ55" s="7"/>
      <c r="BR55" s="7"/>
      <c r="BS55" s="7"/>
      <c r="BT55" s="7"/>
      <c r="BU55" s="7"/>
      <c r="BV55" s="7"/>
      <c r="BW55" s="7"/>
      <c r="BX55" s="7"/>
      <c r="BY55" s="7"/>
      <c r="BZ55" s="7"/>
      <c r="CA55" s="7"/>
      <c r="CB55" s="7"/>
      <c r="CC55" s="7"/>
      <c r="CD55" s="7"/>
      <c r="CE55" s="7"/>
      <c r="CF55" s="7"/>
    </row>
    <row r="56" customFormat="false" ht="15.75" hidden="false" customHeight="true" outlineLevel="0" collapsed="false">
      <c r="A56" s="7" t="s">
        <v>16335</v>
      </c>
      <c r="B56" s="7" t="s">
        <v>17821</v>
      </c>
      <c r="C56" s="7" t="s">
        <v>17822</v>
      </c>
      <c r="D56" s="10" t="s">
        <v>17823</v>
      </c>
      <c r="E56" s="7" t="n">
        <v>2020</v>
      </c>
      <c r="F56" s="6" t="s">
        <v>17824</v>
      </c>
      <c r="G56" s="6" t="s">
        <v>1230</v>
      </c>
      <c r="H56" s="8"/>
      <c r="I56" s="10"/>
      <c r="J56" s="10"/>
      <c r="K56" s="10"/>
      <c r="L56" s="10"/>
      <c r="M56" s="10"/>
      <c r="N56" s="10"/>
      <c r="O56" s="10"/>
      <c r="P56" s="10" t="n">
        <v>1</v>
      </c>
      <c r="Q56" s="7" t="n">
        <v>1</v>
      </c>
      <c r="R56" s="7" t="s">
        <v>61</v>
      </c>
      <c r="S56" s="7" t="s">
        <v>62</v>
      </c>
      <c r="T56" s="7" t="s">
        <v>17825</v>
      </c>
      <c r="U56" s="7" t="n">
        <v>8</v>
      </c>
      <c r="V56" s="7" t="s">
        <v>16475</v>
      </c>
      <c r="W56" s="7" t="n">
        <v>8</v>
      </c>
      <c r="X56" s="7" t="s">
        <v>17826</v>
      </c>
      <c r="Y56" s="7" t="s">
        <v>17827</v>
      </c>
      <c r="Z56" s="7" t="s">
        <v>17828</v>
      </c>
      <c r="AA56" s="7" t="s">
        <v>17829</v>
      </c>
      <c r="AB56" s="7" t="s">
        <v>17830</v>
      </c>
      <c r="AC56" s="7" t="s">
        <v>17831</v>
      </c>
      <c r="AD56" s="7" t="s">
        <v>17832</v>
      </c>
      <c r="AE56" s="7" t="s">
        <v>17833</v>
      </c>
      <c r="AF56" s="7"/>
      <c r="AG56" s="7"/>
      <c r="AH56" s="7"/>
      <c r="AI56" s="7" t="n">
        <v>48</v>
      </c>
      <c r="AJ56" s="7" t="n">
        <v>0</v>
      </c>
      <c r="AK56" s="7" t="n">
        <v>1</v>
      </c>
      <c r="AL56" s="7" t="s">
        <v>16485</v>
      </c>
      <c r="AM56" s="7" t="s">
        <v>16486</v>
      </c>
      <c r="AN56" s="7" t="s">
        <v>17834</v>
      </c>
      <c r="AO56" s="7"/>
      <c r="AP56" s="7" t="s">
        <v>17835</v>
      </c>
      <c r="AQ56" s="7" t="s">
        <v>17836</v>
      </c>
      <c r="AR56" s="7" t="s">
        <v>17837</v>
      </c>
      <c r="AS56" s="7" t="n">
        <v>4601</v>
      </c>
      <c r="AT56" s="7" t="n">
        <v>4610</v>
      </c>
      <c r="AU56" s="7"/>
      <c r="AV56" s="7" t="s">
        <v>17838</v>
      </c>
      <c r="AW56" s="30" t="str">
        <f aca="false">HYPERLINK("http://dx.doi.org/10.1002/fsn3.1780","http://dx.doi.org/10.1002/fsn3.1780")</f>
        <v>http://dx.doi.org/10.1002/fsn3.1780</v>
      </c>
      <c r="AX56" s="7" t="s">
        <v>17839</v>
      </c>
      <c r="AY56" s="7" t="n">
        <v>10</v>
      </c>
      <c r="AZ56" s="7" t="s">
        <v>17840</v>
      </c>
      <c r="BA56" s="7" t="s">
        <v>16366</v>
      </c>
      <c r="BB56" s="7" t="s">
        <v>17840</v>
      </c>
      <c r="BC56" s="7" t="s">
        <v>17841</v>
      </c>
      <c r="BD56" s="7" t="n">
        <v>32884740</v>
      </c>
      <c r="BE56" s="7" t="s">
        <v>17842</v>
      </c>
      <c r="BF56" s="7" t="s">
        <v>16369</v>
      </c>
      <c r="BG56" s="7" t="s">
        <v>17843</v>
      </c>
      <c r="BH56" s="7" t="str">
        <f aca="false">HYPERLINK("https%3A%2F%2Fwww.webofscience.com%2Fwos%2Fwoscc%2Ffull-record%2FWOS:000548733000001","View Full Record in Web of Science")</f>
        <v>View Full Record in Web of Science</v>
      </c>
      <c r="BL56" s="7"/>
      <c r="BM56" s="7"/>
      <c r="BN56" s="7"/>
      <c r="BO56" s="7"/>
      <c r="BP56" s="7"/>
      <c r="BQ56" s="7"/>
      <c r="BR56" s="7"/>
      <c r="BS56" s="7"/>
      <c r="BT56" s="7"/>
      <c r="BU56" s="7"/>
      <c r="BV56" s="7"/>
      <c r="BW56" s="7"/>
      <c r="BX56" s="7"/>
      <c r="BY56" s="7"/>
      <c r="BZ56" s="7"/>
      <c r="CA56" s="7"/>
      <c r="CB56" s="7"/>
      <c r="CC56" s="7"/>
      <c r="CD56" s="7"/>
      <c r="CE56" s="7"/>
      <c r="CF56" s="7"/>
    </row>
    <row r="57" customFormat="false" ht="15.75" hidden="false" customHeight="true" outlineLevel="0" collapsed="false">
      <c r="A57" s="7" t="s">
        <v>16335</v>
      </c>
      <c r="B57" s="7" t="s">
        <v>17844</v>
      </c>
      <c r="C57" s="7" t="s">
        <v>17845</v>
      </c>
      <c r="D57" s="10" t="s">
        <v>17846</v>
      </c>
      <c r="E57" s="7" t="n">
        <v>2020</v>
      </c>
      <c r="F57" s="6" t="s">
        <v>17847</v>
      </c>
      <c r="G57" s="6" t="s">
        <v>290</v>
      </c>
      <c r="H57" s="8"/>
      <c r="I57" s="10"/>
      <c r="J57" s="10"/>
      <c r="K57" s="10"/>
      <c r="L57" s="10"/>
      <c r="M57" s="10"/>
      <c r="N57" s="10"/>
      <c r="O57" s="10"/>
      <c r="P57" s="10" t="n">
        <v>9</v>
      </c>
      <c r="Q57" s="7" t="n">
        <v>9</v>
      </c>
      <c r="R57" s="7" t="s">
        <v>17848</v>
      </c>
      <c r="S57" s="7" t="s">
        <v>62</v>
      </c>
      <c r="T57" s="7" t="s">
        <v>17849</v>
      </c>
      <c r="U57" s="7" t="n">
        <v>36</v>
      </c>
      <c r="V57" s="7" t="s">
        <v>16563</v>
      </c>
      <c r="W57" s="7"/>
      <c r="X57" s="7"/>
      <c r="Y57" s="7" t="s">
        <v>17850</v>
      </c>
      <c r="Z57" s="7" t="s">
        <v>17851</v>
      </c>
      <c r="AA57" s="7" t="s">
        <v>17852</v>
      </c>
      <c r="AB57" s="7" t="s">
        <v>17853</v>
      </c>
      <c r="AC57" s="7" t="s">
        <v>17854</v>
      </c>
      <c r="AD57" s="7" t="s">
        <v>17855</v>
      </c>
      <c r="AE57" s="7" t="s">
        <v>17856</v>
      </c>
      <c r="AF57" s="7" t="s">
        <v>17857</v>
      </c>
      <c r="AG57" s="7" t="s">
        <v>17858</v>
      </c>
      <c r="AH57" s="7" t="s">
        <v>17859</v>
      </c>
      <c r="AI57" s="7" t="n">
        <v>52</v>
      </c>
      <c r="AJ57" s="7" t="n">
        <v>0</v>
      </c>
      <c r="AK57" s="7" t="n">
        <v>12</v>
      </c>
      <c r="AL57" s="7" t="s">
        <v>16575</v>
      </c>
      <c r="AM57" s="7" t="s">
        <v>16576</v>
      </c>
      <c r="AN57" s="7" t="s">
        <v>17860</v>
      </c>
      <c r="AO57" s="7" t="s">
        <v>17861</v>
      </c>
      <c r="AP57" s="7" t="s">
        <v>17849</v>
      </c>
      <c r="AQ57" s="7" t="s">
        <v>17862</v>
      </c>
      <c r="AR57" s="7" t="s">
        <v>16649</v>
      </c>
      <c r="AS57" s="7" t="s">
        <v>17863</v>
      </c>
      <c r="AT57" s="7" t="s">
        <v>17864</v>
      </c>
      <c r="AU57" s="7"/>
      <c r="AV57" s="7" t="s">
        <v>17865</v>
      </c>
      <c r="AW57" s="30" t="str">
        <f aca="false">HYPERLINK("http://dx.doi.org/10.1093/bioinformatics/btaa791","http://dx.doi.org/10.1093/bioinformatics/btaa791")</f>
        <v>http://dx.doi.org/10.1093/bioinformatics/btaa791</v>
      </c>
      <c r="AX57" s="7"/>
      <c r="AY57" s="7" t="n">
        <v>9</v>
      </c>
      <c r="AZ57" s="7" t="s">
        <v>17866</v>
      </c>
      <c r="BA57" s="7" t="s">
        <v>17867</v>
      </c>
      <c r="BB57" s="7" t="s">
        <v>17868</v>
      </c>
      <c r="BC57" s="7" t="s">
        <v>17869</v>
      </c>
      <c r="BD57" s="7" t="n">
        <v>33381840</v>
      </c>
      <c r="BE57" s="7"/>
      <c r="BF57" s="7" t="s">
        <v>16369</v>
      </c>
      <c r="BG57" s="7" t="s">
        <v>17870</v>
      </c>
      <c r="BH57" s="7" t="str">
        <f aca="false">HYPERLINK("https%3A%2F%2Fwww.webofscience.com%2Fwos%2Fwoscc%2Ffull-record%2FWOS:000606794900018","View Full Record in Web of Science")</f>
        <v>View Full Record in Web of Science</v>
      </c>
      <c r="BL57" s="7"/>
      <c r="BM57" s="7"/>
      <c r="BN57" s="7"/>
      <c r="BO57" s="7"/>
      <c r="BP57" s="7"/>
      <c r="BQ57" s="7"/>
      <c r="BR57" s="7" t="n">
        <v>2</v>
      </c>
      <c r="BS57" s="7"/>
      <c r="BT57" s="7"/>
      <c r="BU57" s="7"/>
      <c r="BV57" s="7"/>
      <c r="BW57" s="7"/>
      <c r="BX57" s="7"/>
      <c r="BY57" s="7"/>
      <c r="BZ57" s="7"/>
      <c r="CA57" s="7"/>
      <c r="CB57" s="7" t="s">
        <v>17871</v>
      </c>
      <c r="CC57" s="7" t="s">
        <v>17872</v>
      </c>
      <c r="CD57" s="7" t="s">
        <v>17873</v>
      </c>
      <c r="CE57" s="7"/>
      <c r="CF57" s="7"/>
    </row>
    <row r="58" customFormat="false" ht="15.75" hidden="false" customHeight="true" outlineLevel="0" collapsed="false">
      <c r="A58" s="7" t="s">
        <v>16335</v>
      </c>
      <c r="B58" s="7" t="s">
        <v>17874</v>
      </c>
      <c r="C58" s="7" t="s">
        <v>17875</v>
      </c>
      <c r="D58" s="10" t="s">
        <v>17876</v>
      </c>
      <c r="E58" s="7" t="n">
        <v>2019</v>
      </c>
      <c r="F58" s="6" t="s">
        <v>17877</v>
      </c>
      <c r="G58" s="6" t="s">
        <v>1230</v>
      </c>
      <c r="H58" s="8"/>
      <c r="I58" s="10"/>
      <c r="J58" s="10"/>
      <c r="K58" s="10"/>
      <c r="L58" s="10"/>
      <c r="M58" s="10"/>
      <c r="N58" s="10"/>
      <c r="O58" s="10"/>
      <c r="P58" s="10" t="n">
        <v>21</v>
      </c>
      <c r="Q58" s="7" t="n">
        <v>22</v>
      </c>
      <c r="R58" s="7" t="s">
        <v>61</v>
      </c>
      <c r="S58" s="7" t="s">
        <v>62</v>
      </c>
      <c r="T58" s="7" t="s">
        <v>17878</v>
      </c>
      <c r="U58" s="7" t="n">
        <v>147</v>
      </c>
      <c r="V58" s="7" t="s">
        <v>17879</v>
      </c>
      <c r="W58" s="7"/>
      <c r="X58" s="7" t="s">
        <v>17880</v>
      </c>
      <c r="Y58" s="7" t="s">
        <v>17881</v>
      </c>
      <c r="Z58" s="7" t="s">
        <v>17882</v>
      </c>
      <c r="AA58" s="7" t="s">
        <v>17883</v>
      </c>
      <c r="AB58" s="7" t="s">
        <v>17884</v>
      </c>
      <c r="AC58" s="7" t="s">
        <v>17885</v>
      </c>
      <c r="AD58" s="7" t="s">
        <v>17886</v>
      </c>
      <c r="AE58" s="7" t="s">
        <v>17887</v>
      </c>
      <c r="AF58" s="7" t="s">
        <v>17888</v>
      </c>
      <c r="AG58" s="7" t="s">
        <v>17888</v>
      </c>
      <c r="AH58" s="7" t="s">
        <v>17889</v>
      </c>
      <c r="AI58" s="7" t="n">
        <v>42</v>
      </c>
      <c r="AJ58" s="7" t="n">
        <v>0</v>
      </c>
      <c r="AK58" s="7" t="n">
        <v>4</v>
      </c>
      <c r="AL58" s="7" t="s">
        <v>16990</v>
      </c>
      <c r="AM58" s="7" t="s">
        <v>17890</v>
      </c>
      <c r="AN58" s="7" t="s">
        <v>17891</v>
      </c>
      <c r="AO58" s="7" t="s">
        <v>17892</v>
      </c>
      <c r="AP58" s="7" t="s">
        <v>17893</v>
      </c>
      <c r="AQ58" s="7" t="s">
        <v>17894</v>
      </c>
      <c r="AR58" s="7"/>
      <c r="AS58" s="7"/>
      <c r="AT58" s="7"/>
      <c r="AU58" s="7" t="s">
        <v>17895</v>
      </c>
      <c r="AV58" s="7" t="s">
        <v>17896</v>
      </c>
      <c r="AW58" s="30" t="str">
        <f aca="false">HYPERLINK("http://dx.doi.org/10.1017/S0950268819001481","http://dx.doi.org/10.1017/S0950268819001481")</f>
        <v>http://dx.doi.org/10.1017/S0950268819001481</v>
      </c>
      <c r="AX58" s="7"/>
      <c r="AY58" s="7" t="n">
        <v>11</v>
      </c>
      <c r="AZ58" s="7" t="s">
        <v>17897</v>
      </c>
      <c r="BA58" s="7" t="s">
        <v>16584</v>
      </c>
      <c r="BB58" s="7" t="s">
        <v>17897</v>
      </c>
      <c r="BC58" s="7" t="s">
        <v>17898</v>
      </c>
      <c r="BD58" s="7" t="n">
        <v>31475670</v>
      </c>
      <c r="BE58" s="7" t="s">
        <v>17842</v>
      </c>
      <c r="BF58" s="7" t="s">
        <v>16369</v>
      </c>
      <c r="BG58" s="7" t="s">
        <v>17899</v>
      </c>
      <c r="BH58" s="7" t="str">
        <f aca="false">HYPERLINK("https%3A%2F%2Fwww.webofscience.com%2Fwos%2Fwoscc%2Ffull-record%2FWOS:000484455600001","View Full Record in Web of Science")</f>
        <v>View Full Record in Web of Science</v>
      </c>
      <c r="BL58" s="7"/>
      <c r="BM58" s="7"/>
      <c r="BN58" s="7"/>
      <c r="BO58" s="7"/>
      <c r="BP58" s="7"/>
      <c r="BQ58" s="7"/>
      <c r="BR58" s="7"/>
      <c r="BS58" s="7"/>
      <c r="BT58" s="7"/>
      <c r="BU58" s="7"/>
      <c r="BV58" s="7"/>
      <c r="BW58" s="7"/>
      <c r="BX58" s="7"/>
      <c r="BY58" s="7"/>
      <c r="BZ58" s="7"/>
      <c r="CA58" s="7"/>
      <c r="CB58" s="7"/>
      <c r="CC58" s="7"/>
      <c r="CD58" s="7"/>
      <c r="CE58" s="7"/>
      <c r="CF58" s="7"/>
    </row>
    <row r="59" customFormat="false" ht="15.75" hidden="false" customHeight="true" outlineLevel="0" collapsed="false">
      <c r="A59" s="7" t="s">
        <v>16335</v>
      </c>
      <c r="B59" s="7" t="s">
        <v>17900</v>
      </c>
      <c r="C59" s="7" t="s">
        <v>17901</v>
      </c>
      <c r="D59" s="10" t="s">
        <v>17902</v>
      </c>
      <c r="E59" s="7" t="n">
        <v>2019</v>
      </c>
      <c r="F59" s="6" t="s">
        <v>17903</v>
      </c>
      <c r="G59" s="6" t="s">
        <v>1230</v>
      </c>
      <c r="H59" s="8"/>
      <c r="I59" s="10"/>
      <c r="J59" s="10"/>
      <c r="K59" s="10"/>
      <c r="L59" s="10"/>
      <c r="M59" s="10"/>
      <c r="N59" s="10"/>
      <c r="O59" s="10"/>
      <c r="P59" s="10" t="n">
        <v>36</v>
      </c>
      <c r="Q59" s="7" t="n">
        <v>38</v>
      </c>
      <c r="R59" s="7" t="s">
        <v>61</v>
      </c>
      <c r="S59" s="7" t="s">
        <v>62</v>
      </c>
      <c r="T59" s="7" t="s">
        <v>16413</v>
      </c>
      <c r="U59" s="7" t="n">
        <v>9</v>
      </c>
      <c r="V59" s="7" t="s">
        <v>16414</v>
      </c>
      <c r="W59" s="7"/>
      <c r="X59" s="7"/>
      <c r="Y59" s="7" t="s">
        <v>17904</v>
      </c>
      <c r="Z59" s="7" t="s">
        <v>17905</v>
      </c>
      <c r="AA59" s="7" t="s">
        <v>17906</v>
      </c>
      <c r="AB59" s="7" t="s">
        <v>17907</v>
      </c>
      <c r="AC59" s="7" t="s">
        <v>17908</v>
      </c>
      <c r="AD59" s="7" t="s">
        <v>17909</v>
      </c>
      <c r="AE59" s="7" t="s">
        <v>17910</v>
      </c>
      <c r="AF59" s="7" t="s">
        <v>17911</v>
      </c>
      <c r="AG59" s="7" t="s">
        <v>17912</v>
      </c>
      <c r="AH59" s="7"/>
      <c r="AI59" s="7" t="n">
        <v>62</v>
      </c>
      <c r="AJ59" s="7" t="n">
        <v>2</v>
      </c>
      <c r="AK59" s="7" t="n">
        <v>7</v>
      </c>
      <c r="AL59" s="7" t="s">
        <v>16421</v>
      </c>
      <c r="AM59" s="7" t="s">
        <v>16422</v>
      </c>
      <c r="AN59" s="7" t="s">
        <v>16423</v>
      </c>
      <c r="AO59" s="7"/>
      <c r="AP59" s="7" t="s">
        <v>16424</v>
      </c>
      <c r="AQ59" s="7" t="s">
        <v>16425</v>
      </c>
      <c r="AR59" s="7" t="s">
        <v>17913</v>
      </c>
      <c r="AS59" s="7"/>
      <c r="AT59" s="7"/>
      <c r="AU59" s="7" t="n">
        <v>9395</v>
      </c>
      <c r="AV59" s="7" t="s">
        <v>17914</v>
      </c>
      <c r="AW59" s="30" t="str">
        <f aca="false">HYPERLINK("http://dx.doi.org/10.1038/s41598-019-45816-6","http://dx.doi.org/10.1038/s41598-019-45816-6")</f>
        <v>http://dx.doi.org/10.1038/s41598-019-45816-6</v>
      </c>
      <c r="AX59" s="7"/>
      <c r="AY59" s="7" t="n">
        <v>12</v>
      </c>
      <c r="AZ59" s="7" t="s">
        <v>16428</v>
      </c>
      <c r="BA59" s="7" t="s">
        <v>16366</v>
      </c>
      <c r="BB59" s="7" t="s">
        <v>16429</v>
      </c>
      <c r="BC59" s="7" t="s">
        <v>17915</v>
      </c>
      <c r="BD59" s="7" t="n">
        <v>31253823</v>
      </c>
      <c r="BE59" s="7" t="s">
        <v>16832</v>
      </c>
      <c r="BF59" s="7" t="s">
        <v>16369</v>
      </c>
      <c r="BG59" s="7" t="s">
        <v>17916</v>
      </c>
      <c r="BH59" s="7" t="str">
        <f aca="false">HYPERLINK("https%3A%2F%2Fwww.webofscience.com%2Fwos%2Fwoscc%2Ffull-record%2FWOS:000473130000016","View Full Record in Web of Science")</f>
        <v>View Full Record in Web of Science</v>
      </c>
      <c r="BL59" s="7"/>
      <c r="BM59" s="7"/>
      <c r="BN59" s="7"/>
      <c r="BO59" s="7"/>
      <c r="BP59" s="7"/>
      <c r="BQ59" s="7"/>
      <c r="BR59" s="7"/>
      <c r="BS59" s="7"/>
      <c r="BT59" s="7"/>
      <c r="BU59" s="7"/>
      <c r="BV59" s="7"/>
      <c r="BW59" s="7"/>
      <c r="BX59" s="7"/>
      <c r="BY59" s="7"/>
      <c r="BZ59" s="7"/>
      <c r="CA59" s="7"/>
      <c r="CB59" s="7"/>
      <c r="CC59" s="7"/>
      <c r="CD59" s="7"/>
      <c r="CE59" s="7"/>
      <c r="CF59" s="7"/>
    </row>
    <row r="60" customFormat="false" ht="15.75" hidden="false" customHeight="true" outlineLevel="0" collapsed="false">
      <c r="A60" s="7" t="s">
        <v>16335</v>
      </c>
      <c r="B60" s="7" t="s">
        <v>17917</v>
      </c>
      <c r="C60" s="7" t="s">
        <v>17918</v>
      </c>
      <c r="D60" s="10" t="s">
        <v>17919</v>
      </c>
      <c r="E60" s="7" t="n">
        <v>2019</v>
      </c>
      <c r="F60" s="6" t="s">
        <v>17920</v>
      </c>
      <c r="G60" s="6" t="s">
        <v>1230</v>
      </c>
      <c r="H60" s="8"/>
      <c r="I60" s="10"/>
      <c r="J60" s="10"/>
      <c r="K60" s="10"/>
      <c r="L60" s="10"/>
      <c r="M60" s="10"/>
      <c r="N60" s="10"/>
      <c r="O60" s="10"/>
      <c r="P60" s="10" t="n">
        <v>22</v>
      </c>
      <c r="Q60" s="7" t="n">
        <v>25</v>
      </c>
      <c r="R60" s="7" t="s">
        <v>61</v>
      </c>
      <c r="S60" s="7" t="s">
        <v>62</v>
      </c>
      <c r="T60" s="7" t="s">
        <v>17921</v>
      </c>
      <c r="U60" s="7" t="n">
        <v>25</v>
      </c>
      <c r="V60" s="7" t="s">
        <v>17922</v>
      </c>
      <c r="W60" s="7" t="n">
        <v>4</v>
      </c>
      <c r="X60" s="7" t="s">
        <v>17923</v>
      </c>
      <c r="Y60" s="7" t="s">
        <v>17924</v>
      </c>
      <c r="Z60" s="7" t="s">
        <v>17925</v>
      </c>
      <c r="AA60" s="7" t="s">
        <v>17926</v>
      </c>
      <c r="AB60" s="7" t="s">
        <v>17927</v>
      </c>
      <c r="AC60" s="7" t="s">
        <v>17928</v>
      </c>
      <c r="AD60" s="7" t="s">
        <v>17929</v>
      </c>
      <c r="AE60" s="7" t="s">
        <v>17930</v>
      </c>
      <c r="AF60" s="7" t="s">
        <v>17931</v>
      </c>
      <c r="AG60" s="7" t="s">
        <v>17932</v>
      </c>
      <c r="AH60" s="7" t="s">
        <v>17933</v>
      </c>
      <c r="AI60" s="7" t="n">
        <v>76</v>
      </c>
      <c r="AJ60" s="7" t="n">
        <v>2</v>
      </c>
      <c r="AK60" s="7" t="n">
        <v>70</v>
      </c>
      <c r="AL60" s="7" t="s">
        <v>17934</v>
      </c>
      <c r="AM60" s="7" t="s">
        <v>17935</v>
      </c>
      <c r="AN60" s="7" t="s">
        <v>17936</v>
      </c>
      <c r="AO60" s="7" t="s">
        <v>17937</v>
      </c>
      <c r="AP60" s="7" t="s">
        <v>17938</v>
      </c>
      <c r="AQ60" s="7" t="s">
        <v>17939</v>
      </c>
      <c r="AR60" s="7" t="s">
        <v>16649</v>
      </c>
      <c r="AS60" s="7" t="n">
        <v>1170</v>
      </c>
      <c r="AT60" s="7" t="n">
        <v>1187</v>
      </c>
      <c r="AU60" s="7"/>
      <c r="AV60" s="7" t="s">
        <v>17940</v>
      </c>
      <c r="AW60" s="30" t="str">
        <f aca="false">HYPERLINK("http://dx.doi.org/10.1177/1460458217747112","http://dx.doi.org/10.1177/1460458217747112")</f>
        <v>http://dx.doi.org/10.1177/1460458217747112</v>
      </c>
      <c r="AX60" s="7"/>
      <c r="AY60" s="7" t="n">
        <v>18</v>
      </c>
      <c r="AZ60" s="7" t="s">
        <v>17687</v>
      </c>
      <c r="BA60" s="7" t="s">
        <v>16584</v>
      </c>
      <c r="BB60" s="7" t="s">
        <v>17687</v>
      </c>
      <c r="BC60" s="7" t="s">
        <v>17941</v>
      </c>
      <c r="BD60" s="7" t="n">
        <v>29278956</v>
      </c>
      <c r="BE60" s="7" t="s">
        <v>17463</v>
      </c>
      <c r="BF60" s="7" t="s">
        <v>16369</v>
      </c>
      <c r="BG60" s="7" t="s">
        <v>17942</v>
      </c>
      <c r="BH60" s="7" t="str">
        <f aca="false">HYPERLINK("https%3A%2F%2Fwww.webofscience.com%2Fwos%2Fwoscc%2Ffull-record%2FWOS:000488101400002","View Full Record in Web of Science")</f>
        <v>View Full Record in Web of Science</v>
      </c>
      <c r="BL60" s="7"/>
      <c r="BM60" s="7"/>
      <c r="BN60" s="7"/>
      <c r="BO60" s="7"/>
      <c r="BP60" s="7"/>
      <c r="BQ60" s="7"/>
      <c r="BR60" s="7"/>
      <c r="BS60" s="7"/>
      <c r="BT60" s="7"/>
      <c r="BU60" s="7"/>
      <c r="BV60" s="7"/>
      <c r="BW60" s="7"/>
      <c r="BX60" s="7"/>
      <c r="BY60" s="7"/>
      <c r="BZ60" s="7"/>
      <c r="CA60" s="7"/>
      <c r="CB60" s="7"/>
      <c r="CC60" s="7"/>
      <c r="CD60" s="7"/>
      <c r="CE60" s="7"/>
      <c r="CF60" s="7"/>
    </row>
    <row r="61" customFormat="false" ht="15.75" hidden="false" customHeight="true" outlineLevel="0" collapsed="false">
      <c r="A61" s="7" t="s">
        <v>16335</v>
      </c>
      <c r="B61" s="7" t="s">
        <v>17943</v>
      </c>
      <c r="C61" s="7" t="s">
        <v>17944</v>
      </c>
      <c r="D61" s="10" t="s">
        <v>17945</v>
      </c>
      <c r="E61" s="7" t="n">
        <v>2019</v>
      </c>
      <c r="F61" s="6" t="s">
        <v>17946</v>
      </c>
      <c r="G61" s="6" t="s">
        <v>134</v>
      </c>
      <c r="H61" s="8"/>
      <c r="I61" s="10"/>
      <c r="J61" s="10"/>
      <c r="K61" s="10"/>
      <c r="L61" s="10"/>
      <c r="M61" s="10"/>
      <c r="N61" s="10"/>
      <c r="O61" s="10"/>
      <c r="P61" s="10" t="n">
        <v>33</v>
      </c>
      <c r="Q61" s="7" t="n">
        <v>34</v>
      </c>
      <c r="R61" s="7" t="s">
        <v>61</v>
      </c>
      <c r="S61" s="7" t="s">
        <v>62</v>
      </c>
      <c r="T61" s="7" t="s">
        <v>17947</v>
      </c>
      <c r="U61" s="7" t="n">
        <v>82</v>
      </c>
      <c r="V61" s="7" t="s">
        <v>16475</v>
      </c>
      <c r="W61" s="7" t="n">
        <v>3</v>
      </c>
      <c r="X61" s="7" t="s">
        <v>17948</v>
      </c>
      <c r="Y61" s="7" t="s">
        <v>17949</v>
      </c>
      <c r="Z61" s="7" t="s">
        <v>17950</v>
      </c>
      <c r="AA61" s="7" t="s">
        <v>17951</v>
      </c>
      <c r="AB61" s="7" t="s">
        <v>17952</v>
      </c>
      <c r="AC61" s="7" t="s">
        <v>17953</v>
      </c>
      <c r="AD61" s="7" t="s">
        <v>17954</v>
      </c>
      <c r="AE61" s="7" t="s">
        <v>17955</v>
      </c>
      <c r="AF61" s="7" t="s">
        <v>17956</v>
      </c>
      <c r="AG61" s="7" t="s">
        <v>17957</v>
      </c>
      <c r="AH61" s="7" t="s">
        <v>17958</v>
      </c>
      <c r="AI61" s="7" t="n">
        <v>58</v>
      </c>
      <c r="AJ61" s="7" t="n">
        <v>1</v>
      </c>
      <c r="AK61" s="7" t="n">
        <v>30</v>
      </c>
      <c r="AL61" s="7" t="s">
        <v>16485</v>
      </c>
      <c r="AM61" s="7" t="s">
        <v>16486</v>
      </c>
      <c r="AN61" s="7" t="s">
        <v>17959</v>
      </c>
      <c r="AO61" s="7" t="s">
        <v>17960</v>
      </c>
      <c r="AP61" s="7" t="s">
        <v>17961</v>
      </c>
      <c r="AQ61" s="7" t="s">
        <v>14225</v>
      </c>
      <c r="AR61" s="7" t="s">
        <v>17248</v>
      </c>
      <c r="AS61" s="7" t="n">
        <v>283</v>
      </c>
      <c r="AT61" s="7" t="n">
        <v>295</v>
      </c>
      <c r="AU61" s="7"/>
      <c r="AV61" s="7" t="s">
        <v>17962</v>
      </c>
      <c r="AW61" s="30" t="str">
        <f aca="false">HYPERLINK("http://dx.doi.org/10.1002/jemt.23170","http://dx.doi.org/10.1002/jemt.23170")</f>
        <v>http://dx.doi.org/10.1002/jemt.23170</v>
      </c>
      <c r="AX61" s="7"/>
      <c r="AY61" s="7" t="n">
        <v>13</v>
      </c>
      <c r="AZ61" s="7" t="s">
        <v>17963</v>
      </c>
      <c r="BA61" s="7" t="s">
        <v>16366</v>
      </c>
      <c r="BB61" s="7" t="s">
        <v>17964</v>
      </c>
      <c r="BC61" s="7" t="s">
        <v>17965</v>
      </c>
      <c r="BD61" s="7" t="n">
        <v>30575213</v>
      </c>
      <c r="BE61" s="7" t="s">
        <v>17966</v>
      </c>
      <c r="BF61" s="7" t="s">
        <v>16369</v>
      </c>
      <c r="BG61" s="7" t="s">
        <v>17967</v>
      </c>
      <c r="BH61" s="7" t="str">
        <f aca="false">HYPERLINK("https%3A%2F%2Fwww.webofscience.com%2Fwos%2Fwoscc%2Ffull-record%2FWOS:000459517900013","View Full Record in Web of Science")</f>
        <v>View Full Record in Web of Science</v>
      </c>
      <c r="BL61" s="7"/>
      <c r="BM61" s="7"/>
      <c r="BN61" s="7"/>
      <c r="BO61" s="7"/>
      <c r="BP61" s="7"/>
      <c r="BQ61" s="7"/>
      <c r="BR61" s="7"/>
      <c r="BS61" s="7"/>
      <c r="BT61" s="7"/>
      <c r="BU61" s="7"/>
      <c r="BV61" s="7"/>
      <c r="BW61" s="7"/>
      <c r="BX61" s="7"/>
      <c r="BY61" s="7"/>
      <c r="BZ61" s="7"/>
      <c r="CA61" s="7"/>
      <c r="CB61" s="7"/>
      <c r="CC61" s="7"/>
      <c r="CD61" s="7"/>
      <c r="CE61" s="7"/>
      <c r="CF61" s="7"/>
    </row>
    <row r="62" customFormat="false" ht="15.75" hidden="false" customHeight="true" outlineLevel="0" collapsed="false">
      <c r="A62" s="7" t="s">
        <v>16335</v>
      </c>
      <c r="B62" s="7" t="s">
        <v>17968</v>
      </c>
      <c r="C62" s="7" t="s">
        <v>17969</v>
      </c>
      <c r="D62" s="10" t="s">
        <v>17970</v>
      </c>
      <c r="E62" s="7" t="n">
        <v>2019</v>
      </c>
      <c r="F62" s="6" t="s">
        <v>17971</v>
      </c>
      <c r="G62" s="6" t="s">
        <v>1230</v>
      </c>
      <c r="H62" s="8"/>
      <c r="I62" s="10"/>
      <c r="J62" s="10"/>
      <c r="K62" s="10"/>
      <c r="L62" s="10"/>
      <c r="M62" s="10"/>
      <c r="N62" s="10"/>
      <c r="O62" s="10"/>
      <c r="P62" s="10" t="n">
        <v>19</v>
      </c>
      <c r="Q62" s="7" t="n">
        <v>20</v>
      </c>
      <c r="R62" s="7" t="s">
        <v>61</v>
      </c>
      <c r="S62" s="7" t="s">
        <v>62</v>
      </c>
      <c r="T62" s="7" t="s">
        <v>17972</v>
      </c>
      <c r="U62" s="7" t="n">
        <v>19</v>
      </c>
      <c r="V62" s="7" t="s">
        <v>17599</v>
      </c>
      <c r="W62" s="7" t="n">
        <v>1</v>
      </c>
      <c r="X62" s="7" t="s">
        <v>17973</v>
      </c>
      <c r="Y62" s="7" t="s">
        <v>17974</v>
      </c>
      <c r="Z62" s="7" t="s">
        <v>17975</v>
      </c>
      <c r="AA62" s="7" t="s">
        <v>17976</v>
      </c>
      <c r="AB62" s="7" t="s">
        <v>17977</v>
      </c>
      <c r="AC62" s="7" t="s">
        <v>17978</v>
      </c>
      <c r="AD62" s="7" t="s">
        <v>17979</v>
      </c>
      <c r="AE62" s="7" t="s">
        <v>17980</v>
      </c>
      <c r="AF62" s="7" t="s">
        <v>17981</v>
      </c>
      <c r="AG62" s="7" t="s">
        <v>17982</v>
      </c>
      <c r="AH62" s="7" t="s">
        <v>17983</v>
      </c>
      <c r="AI62" s="7" t="n">
        <v>82</v>
      </c>
      <c r="AJ62" s="7" t="n">
        <v>2</v>
      </c>
      <c r="AK62" s="7" t="n">
        <v>31</v>
      </c>
      <c r="AL62" s="7" t="s">
        <v>16821</v>
      </c>
      <c r="AM62" s="7" t="s">
        <v>17609</v>
      </c>
      <c r="AN62" s="7"/>
      <c r="AO62" s="7" t="s">
        <v>17984</v>
      </c>
      <c r="AP62" s="7" t="s">
        <v>17985</v>
      </c>
      <c r="AQ62" s="7" t="s">
        <v>2104</v>
      </c>
      <c r="AR62" s="7" t="s">
        <v>17986</v>
      </c>
      <c r="AS62" s="7"/>
      <c r="AT62" s="7"/>
      <c r="AU62" s="7" t="n">
        <v>971</v>
      </c>
      <c r="AV62" s="7" t="s">
        <v>17987</v>
      </c>
      <c r="AW62" s="30" t="str">
        <f aca="false">HYPERLINK("http://dx.doi.org/10.1186/s12879-019-4580-4","http://dx.doi.org/10.1186/s12879-019-4580-4")</f>
        <v>http://dx.doi.org/10.1186/s12879-019-4580-4</v>
      </c>
      <c r="AX62" s="7"/>
      <c r="AY62" s="7" t="n">
        <v>18</v>
      </c>
      <c r="AZ62" s="7" t="s">
        <v>8184</v>
      </c>
      <c r="BA62" s="7" t="s">
        <v>16366</v>
      </c>
      <c r="BB62" s="7" t="s">
        <v>8184</v>
      </c>
      <c r="BC62" s="7" t="s">
        <v>17988</v>
      </c>
      <c r="BD62" s="7" t="n">
        <v>31722676</v>
      </c>
      <c r="BE62" s="7" t="s">
        <v>17143</v>
      </c>
      <c r="BF62" s="7" t="s">
        <v>16369</v>
      </c>
      <c r="BG62" s="7" t="s">
        <v>17989</v>
      </c>
      <c r="BH62" s="7" t="str">
        <f aca="false">HYPERLINK("https%3A%2F%2Fwww.webofscience.com%2Fwos%2Fwoscc%2Ffull-record%2FWOS:000496941200002","View Full Record in Web of Science")</f>
        <v>View Full Record in Web of Science</v>
      </c>
      <c r="BL62" s="7"/>
      <c r="BM62" s="7"/>
      <c r="BN62" s="7"/>
      <c r="BO62" s="7"/>
      <c r="BP62" s="7"/>
      <c r="BQ62" s="7"/>
      <c r="BR62" s="7"/>
      <c r="BS62" s="7"/>
      <c r="BT62" s="7"/>
      <c r="BU62" s="7"/>
      <c r="BV62" s="7"/>
      <c r="BW62" s="7"/>
      <c r="BX62" s="7"/>
      <c r="BY62" s="7"/>
      <c r="BZ62" s="7"/>
      <c r="CA62" s="7"/>
      <c r="CB62" s="7"/>
      <c r="CC62" s="7"/>
      <c r="CD62" s="7"/>
      <c r="CE62" s="7"/>
      <c r="CF62" s="7"/>
    </row>
    <row r="63" customFormat="false" ht="15.75" hidden="false" customHeight="true" outlineLevel="0" collapsed="false">
      <c r="A63" s="7" t="s">
        <v>16335</v>
      </c>
      <c r="B63" s="7" t="s">
        <v>17990</v>
      </c>
      <c r="C63" s="7" t="s">
        <v>17991</v>
      </c>
      <c r="D63" s="10" t="s">
        <v>17992</v>
      </c>
      <c r="E63" s="7" t="n">
        <v>2019</v>
      </c>
      <c r="F63" s="6" t="s">
        <v>17993</v>
      </c>
      <c r="G63" s="6" t="s">
        <v>290</v>
      </c>
      <c r="H63" s="8"/>
      <c r="I63" s="10"/>
      <c r="J63" s="10"/>
      <c r="K63" s="10"/>
      <c r="L63" s="10"/>
      <c r="M63" s="10"/>
      <c r="N63" s="10"/>
      <c r="O63" s="10"/>
      <c r="P63" s="10" t="n">
        <v>12</v>
      </c>
      <c r="Q63" s="7" t="n">
        <v>12</v>
      </c>
      <c r="R63" s="7" t="s">
        <v>61</v>
      </c>
      <c r="S63" s="7" t="s">
        <v>62</v>
      </c>
      <c r="T63" s="7" t="s">
        <v>17598</v>
      </c>
      <c r="U63" s="7" t="n">
        <v>18</v>
      </c>
      <c r="V63" s="7" t="s">
        <v>17599</v>
      </c>
      <c r="W63" s="7" t="n">
        <v>1</v>
      </c>
      <c r="X63" s="7" t="s">
        <v>17994</v>
      </c>
      <c r="Y63" s="7" t="s">
        <v>17995</v>
      </c>
      <c r="Z63" s="7" t="s">
        <v>17996</v>
      </c>
      <c r="AA63" s="7" t="s">
        <v>17997</v>
      </c>
      <c r="AB63" s="7" t="s">
        <v>17998</v>
      </c>
      <c r="AC63" s="7" t="s">
        <v>17999</v>
      </c>
      <c r="AD63" s="7" t="s">
        <v>18000</v>
      </c>
      <c r="AE63" s="7" t="s">
        <v>18001</v>
      </c>
      <c r="AF63" s="7" t="s">
        <v>18002</v>
      </c>
      <c r="AG63" s="7" t="s">
        <v>18003</v>
      </c>
      <c r="AH63" s="7" t="s">
        <v>18004</v>
      </c>
      <c r="AI63" s="7" t="n">
        <v>32</v>
      </c>
      <c r="AJ63" s="7" t="n">
        <v>0</v>
      </c>
      <c r="AK63" s="7" t="n">
        <v>10</v>
      </c>
      <c r="AL63" s="7" t="s">
        <v>16821</v>
      </c>
      <c r="AM63" s="7" t="s">
        <v>17609</v>
      </c>
      <c r="AN63" s="7"/>
      <c r="AO63" s="7" t="s">
        <v>17610</v>
      </c>
      <c r="AP63" s="7" t="s">
        <v>17611</v>
      </c>
      <c r="AQ63" s="7" t="s">
        <v>914</v>
      </c>
      <c r="AR63" s="7" t="s">
        <v>18005</v>
      </c>
      <c r="AS63" s="7"/>
      <c r="AT63" s="7"/>
      <c r="AU63" s="7" t="n">
        <v>310</v>
      </c>
      <c r="AV63" s="7" t="s">
        <v>18006</v>
      </c>
      <c r="AW63" s="30" t="str">
        <f aca="false">HYPERLINK("http://dx.doi.org/10.1186/s12936-019-2941-5","http://dx.doi.org/10.1186/s12936-019-2941-5")</f>
        <v>http://dx.doi.org/10.1186/s12936-019-2941-5</v>
      </c>
      <c r="AX63" s="7"/>
      <c r="AY63" s="7" t="n">
        <v>17</v>
      </c>
      <c r="AZ63" s="7" t="s">
        <v>16862</v>
      </c>
      <c r="BA63" s="7" t="s">
        <v>16366</v>
      </c>
      <c r="BB63" s="7" t="s">
        <v>16862</v>
      </c>
      <c r="BC63" s="7" t="s">
        <v>18007</v>
      </c>
      <c r="BD63" s="7" t="n">
        <v>31521174</v>
      </c>
      <c r="BE63" s="7" t="s">
        <v>16832</v>
      </c>
      <c r="BF63" s="7" t="s">
        <v>16369</v>
      </c>
      <c r="BG63" s="7" t="s">
        <v>18008</v>
      </c>
      <c r="BH63" s="7" t="str">
        <f aca="false">HYPERLINK("https%3A%2F%2Fwww.webofscience.com%2Fwos%2Fwoscc%2Ffull-record%2FWOS:000485981600001","View Full Record in Web of Science")</f>
        <v>View Full Record in Web of Science</v>
      </c>
      <c r="BL63" s="7"/>
      <c r="BM63" s="7"/>
      <c r="BN63" s="7"/>
      <c r="BO63" s="7"/>
      <c r="BP63" s="7"/>
      <c r="BQ63" s="7"/>
      <c r="BR63" s="7"/>
      <c r="BS63" s="7"/>
      <c r="BT63" s="7"/>
      <c r="BU63" s="7"/>
      <c r="BV63" s="7"/>
      <c r="BW63" s="7"/>
      <c r="BX63" s="7"/>
      <c r="BY63" s="7"/>
      <c r="BZ63" s="7"/>
      <c r="CA63" s="7"/>
      <c r="CB63" s="7"/>
      <c r="CC63" s="7"/>
      <c r="CD63" s="7"/>
      <c r="CE63" s="7"/>
      <c r="CF63" s="7"/>
    </row>
    <row r="64" customFormat="false" ht="15.75" hidden="false" customHeight="true" outlineLevel="0" collapsed="false">
      <c r="A64" s="7" t="s">
        <v>16335</v>
      </c>
      <c r="B64" s="7" t="s">
        <v>18009</v>
      </c>
      <c r="C64" s="7" t="s">
        <v>18010</v>
      </c>
      <c r="D64" s="10" t="s">
        <v>18011</v>
      </c>
      <c r="E64" s="7" t="n">
        <v>2019</v>
      </c>
      <c r="F64" s="6" t="s">
        <v>18012</v>
      </c>
      <c r="G64" s="6" t="s">
        <v>290</v>
      </c>
      <c r="H64" s="8"/>
      <c r="I64" s="10"/>
      <c r="J64" s="10"/>
      <c r="K64" s="10"/>
      <c r="L64" s="10"/>
      <c r="M64" s="10"/>
      <c r="N64" s="10"/>
      <c r="O64" s="10"/>
      <c r="P64" s="10" t="n">
        <v>15</v>
      </c>
      <c r="Q64" s="7" t="n">
        <v>15</v>
      </c>
      <c r="R64" s="7" t="s">
        <v>61</v>
      </c>
      <c r="S64" s="7" t="s">
        <v>62</v>
      </c>
      <c r="T64" s="7" t="s">
        <v>18013</v>
      </c>
      <c r="U64" s="7" t="n">
        <v>20</v>
      </c>
      <c r="V64" s="7" t="s">
        <v>4048</v>
      </c>
      <c r="W64" s="7" t="n">
        <v>11</v>
      </c>
      <c r="X64" s="7" t="s">
        <v>18014</v>
      </c>
      <c r="Y64" s="7" t="s">
        <v>18015</v>
      </c>
      <c r="Z64" s="7" t="s">
        <v>18016</v>
      </c>
      <c r="AA64" s="7" t="s">
        <v>18017</v>
      </c>
      <c r="AB64" s="7" t="s">
        <v>18018</v>
      </c>
      <c r="AC64" s="7" t="s">
        <v>18019</v>
      </c>
      <c r="AD64" s="7" t="s">
        <v>18020</v>
      </c>
      <c r="AE64" s="7" t="s">
        <v>18021</v>
      </c>
      <c r="AF64" s="7" t="s">
        <v>18022</v>
      </c>
      <c r="AG64" s="7" t="s">
        <v>18023</v>
      </c>
      <c r="AH64" s="7" t="s">
        <v>18024</v>
      </c>
      <c r="AI64" s="7" t="n">
        <v>69</v>
      </c>
      <c r="AJ64" s="7" t="n">
        <v>0</v>
      </c>
      <c r="AK64" s="7" t="n">
        <v>9</v>
      </c>
      <c r="AL64" s="7" t="s">
        <v>16769</v>
      </c>
      <c r="AM64" s="7" t="s">
        <v>16770</v>
      </c>
      <c r="AN64" s="7"/>
      <c r="AO64" s="7" t="s">
        <v>18025</v>
      </c>
      <c r="AP64" s="7" t="s">
        <v>18026</v>
      </c>
      <c r="AQ64" s="7" t="s">
        <v>18027</v>
      </c>
      <c r="AR64" s="7" t="s">
        <v>18028</v>
      </c>
      <c r="AS64" s="7"/>
      <c r="AT64" s="7"/>
      <c r="AU64" s="7" t="n">
        <v>2801</v>
      </c>
      <c r="AV64" s="7" t="s">
        <v>18029</v>
      </c>
      <c r="AW64" s="30" t="str">
        <f aca="false">HYPERLINK("http://dx.doi.org/10.3390/ijms20112801","http://dx.doi.org/10.3390/ijms20112801")</f>
        <v>http://dx.doi.org/10.3390/ijms20112801</v>
      </c>
      <c r="AX64" s="7"/>
      <c r="AY64" s="7" t="n">
        <v>21</v>
      </c>
      <c r="AZ64" s="7" t="s">
        <v>18030</v>
      </c>
      <c r="BA64" s="7" t="s">
        <v>16366</v>
      </c>
      <c r="BB64" s="7" t="s">
        <v>18031</v>
      </c>
      <c r="BC64" s="7" t="s">
        <v>18032</v>
      </c>
      <c r="BD64" s="7" t="n">
        <v>31181717</v>
      </c>
      <c r="BE64" s="7" t="s">
        <v>17143</v>
      </c>
      <c r="BF64" s="7" t="s">
        <v>16369</v>
      </c>
      <c r="BG64" s="7" t="s">
        <v>18033</v>
      </c>
      <c r="BH64" s="7" t="str">
        <f aca="false">HYPERLINK("https%3A%2F%2Fwww.webofscience.com%2Fwos%2Fwoscc%2Ffull-record%2FWOS:000472634100195","View Full Record in Web of Science")</f>
        <v>View Full Record in Web of Science</v>
      </c>
      <c r="BL64" s="7"/>
      <c r="BM64" s="7"/>
      <c r="BN64" s="7"/>
      <c r="BO64" s="7"/>
      <c r="BP64" s="7"/>
      <c r="BQ64" s="7"/>
      <c r="BR64" s="7"/>
      <c r="BS64" s="7"/>
      <c r="BT64" s="7"/>
      <c r="BU64" s="7"/>
      <c r="BV64" s="7"/>
      <c r="BW64" s="7"/>
      <c r="BX64" s="7"/>
      <c r="BY64" s="7"/>
      <c r="BZ64" s="7"/>
      <c r="CA64" s="7"/>
      <c r="CB64" s="7"/>
      <c r="CC64" s="7"/>
      <c r="CD64" s="7"/>
      <c r="CE64" s="7"/>
      <c r="CF64" s="7"/>
    </row>
    <row r="65" customFormat="false" ht="15.75" hidden="false" customHeight="true" outlineLevel="0" collapsed="false">
      <c r="A65" s="7" t="s">
        <v>16335</v>
      </c>
      <c r="B65" s="7" t="s">
        <v>18034</v>
      </c>
      <c r="C65" s="7" t="s">
        <v>18035</v>
      </c>
      <c r="D65" s="10" t="s">
        <v>18036</v>
      </c>
      <c r="E65" s="7" t="n">
        <v>2018</v>
      </c>
      <c r="F65" s="6" t="s">
        <v>18037</v>
      </c>
      <c r="G65" s="6" t="s">
        <v>1230</v>
      </c>
      <c r="H65" s="8"/>
      <c r="I65" s="10"/>
      <c r="J65" s="10"/>
      <c r="K65" s="10"/>
      <c r="L65" s="10"/>
      <c r="M65" s="10"/>
      <c r="N65" s="10"/>
      <c r="O65" s="10"/>
      <c r="P65" s="10" t="n">
        <v>54</v>
      </c>
      <c r="Q65" s="7" t="n">
        <v>55</v>
      </c>
      <c r="R65" s="7" t="s">
        <v>61</v>
      </c>
      <c r="S65" s="7" t="s">
        <v>62</v>
      </c>
      <c r="T65" s="7" t="s">
        <v>18038</v>
      </c>
      <c r="U65" s="7" t="n">
        <v>21</v>
      </c>
      <c r="V65" s="7" t="s">
        <v>16600</v>
      </c>
      <c r="W65" s="7" t="n">
        <v>1</v>
      </c>
      <c r="X65" s="7" t="s">
        <v>18039</v>
      </c>
      <c r="Y65" s="7" t="s">
        <v>18040</v>
      </c>
      <c r="Z65" s="7" t="s">
        <v>18041</v>
      </c>
      <c r="AA65" s="7" t="s">
        <v>18042</v>
      </c>
      <c r="AB65" s="7" t="s">
        <v>18043</v>
      </c>
      <c r="AC65" s="7" t="s">
        <v>18044</v>
      </c>
      <c r="AD65" s="7" t="s">
        <v>18045</v>
      </c>
      <c r="AE65" s="7" t="s">
        <v>18046</v>
      </c>
      <c r="AF65" s="7"/>
      <c r="AG65" s="7"/>
      <c r="AH65" s="7"/>
      <c r="AI65" s="7" t="n">
        <v>48</v>
      </c>
      <c r="AJ65" s="7" t="n">
        <v>1</v>
      </c>
      <c r="AK65" s="7" t="n">
        <v>49</v>
      </c>
      <c r="AL65" s="7" t="s">
        <v>16990</v>
      </c>
      <c r="AM65" s="7" t="s">
        <v>16991</v>
      </c>
      <c r="AN65" s="7" t="s">
        <v>18047</v>
      </c>
      <c r="AO65" s="7" t="s">
        <v>18048</v>
      </c>
      <c r="AP65" s="7" t="s">
        <v>18049</v>
      </c>
      <c r="AQ65" s="7" t="s">
        <v>18050</v>
      </c>
      <c r="AR65" s="7" t="s">
        <v>17248</v>
      </c>
      <c r="AS65" s="7" t="n">
        <v>189</v>
      </c>
      <c r="AT65" s="7" t="n">
        <v>204</v>
      </c>
      <c r="AU65" s="7"/>
      <c r="AV65" s="7" t="s">
        <v>18051</v>
      </c>
      <c r="AW65" s="30" t="str">
        <f aca="false">HYPERLINK("http://dx.doi.org/10.1007/s10586-017-0982-5","http://dx.doi.org/10.1007/s10586-017-0982-5")</f>
        <v>http://dx.doi.org/10.1007/s10586-017-0982-5</v>
      </c>
      <c r="AX65" s="7"/>
      <c r="AY65" s="7" t="n">
        <v>16</v>
      </c>
      <c r="AZ65" s="7" t="s">
        <v>18052</v>
      </c>
      <c r="BA65" s="7" t="s">
        <v>16366</v>
      </c>
      <c r="BB65" s="7" t="s">
        <v>16367</v>
      </c>
      <c r="BC65" s="7" t="s">
        <v>18053</v>
      </c>
      <c r="BD65" s="7"/>
      <c r="BE65" s="7"/>
      <c r="BF65" s="7" t="s">
        <v>16369</v>
      </c>
      <c r="BG65" s="7" t="s">
        <v>18054</v>
      </c>
      <c r="BH65" s="7" t="str">
        <f aca="false">HYPERLINK("https%3A%2F%2Fwww.webofscience.com%2Fwos%2Fwoscc%2Ffull-record%2FWOS:000457272700016","View Full Record in Web of Science")</f>
        <v>View Full Record in Web of Science</v>
      </c>
      <c r="BL65" s="7"/>
      <c r="BM65" s="7"/>
      <c r="BN65" s="7"/>
      <c r="BO65" s="7"/>
      <c r="BP65" s="7"/>
      <c r="BQ65" s="7"/>
      <c r="BR65" s="7"/>
      <c r="BS65" s="7" t="s">
        <v>16622</v>
      </c>
      <c r="BT65" s="7"/>
      <c r="BU65" s="7"/>
      <c r="BV65" s="7"/>
      <c r="BW65" s="7"/>
      <c r="BX65" s="7"/>
      <c r="BY65" s="7"/>
      <c r="BZ65" s="7"/>
      <c r="CA65" s="7"/>
      <c r="CB65" s="7"/>
      <c r="CC65" s="7"/>
      <c r="CD65" s="7"/>
      <c r="CE65" s="7"/>
      <c r="CF65" s="7"/>
    </row>
    <row r="66" customFormat="false" ht="15.75" hidden="false" customHeight="true" outlineLevel="0" collapsed="false">
      <c r="A66" s="7" t="s">
        <v>16335</v>
      </c>
      <c r="B66" s="7" t="s">
        <v>18055</v>
      </c>
      <c r="C66" s="7" t="s">
        <v>18056</v>
      </c>
      <c r="D66" s="10" t="s">
        <v>18057</v>
      </c>
      <c r="E66" s="7" t="n">
        <v>2018</v>
      </c>
      <c r="F66" s="6" t="s">
        <v>18058</v>
      </c>
      <c r="G66" s="6" t="s">
        <v>290</v>
      </c>
      <c r="H66" s="8"/>
      <c r="I66" s="10"/>
      <c r="J66" s="10"/>
      <c r="K66" s="10"/>
      <c r="L66" s="10"/>
      <c r="M66" s="10"/>
      <c r="N66" s="10"/>
      <c r="O66" s="10"/>
      <c r="P66" s="10" t="n">
        <v>15</v>
      </c>
      <c r="Q66" s="7" t="n">
        <v>15</v>
      </c>
      <c r="R66" s="7" t="s">
        <v>61</v>
      </c>
      <c r="S66" s="7" t="s">
        <v>62</v>
      </c>
      <c r="T66" s="7" t="s">
        <v>18059</v>
      </c>
      <c r="U66" s="7" t="n">
        <v>19</v>
      </c>
      <c r="V66" s="7" t="s">
        <v>17599</v>
      </c>
      <c r="W66" s="7"/>
      <c r="X66" s="7"/>
      <c r="Y66" s="7" t="s">
        <v>18060</v>
      </c>
      <c r="Z66" s="7" t="s">
        <v>18061</v>
      </c>
      <c r="AA66" s="7" t="s">
        <v>18062</v>
      </c>
      <c r="AB66" s="7" t="s">
        <v>18063</v>
      </c>
      <c r="AC66" s="7" t="s">
        <v>18064</v>
      </c>
      <c r="AD66" s="7" t="s">
        <v>18065</v>
      </c>
      <c r="AE66" s="7" t="s">
        <v>18066</v>
      </c>
      <c r="AF66" s="7" t="s">
        <v>18067</v>
      </c>
      <c r="AG66" s="7" t="s">
        <v>18068</v>
      </c>
      <c r="AH66" s="7" t="s">
        <v>18069</v>
      </c>
      <c r="AI66" s="7" t="n">
        <v>106</v>
      </c>
      <c r="AJ66" s="7" t="n">
        <v>0</v>
      </c>
      <c r="AK66" s="7" t="n">
        <v>8</v>
      </c>
      <c r="AL66" s="7" t="s">
        <v>16821</v>
      </c>
      <c r="AM66" s="7" t="s">
        <v>17609</v>
      </c>
      <c r="AN66" s="7" t="s">
        <v>18070</v>
      </c>
      <c r="AO66" s="7"/>
      <c r="AP66" s="7" t="s">
        <v>18059</v>
      </c>
      <c r="AQ66" s="7" t="s">
        <v>18071</v>
      </c>
      <c r="AR66" s="7" t="s">
        <v>18072</v>
      </c>
      <c r="AS66" s="7"/>
      <c r="AT66" s="7"/>
      <c r="AU66" s="7" t="n">
        <v>85</v>
      </c>
      <c r="AV66" s="7" t="s">
        <v>18073</v>
      </c>
      <c r="AW66" s="30" t="str">
        <f aca="false">HYPERLINK("http://dx.doi.org/10.1186/s12859-018-2105-6","http://dx.doi.org/10.1186/s12859-018-2105-6")</f>
        <v>http://dx.doi.org/10.1186/s12859-018-2105-6</v>
      </c>
      <c r="AX66" s="7"/>
      <c r="AY66" s="7" t="n">
        <v>13</v>
      </c>
      <c r="AZ66" s="7" t="s">
        <v>18074</v>
      </c>
      <c r="BA66" s="7" t="s">
        <v>16366</v>
      </c>
      <c r="BB66" s="7" t="s">
        <v>18075</v>
      </c>
      <c r="BC66" s="7" t="s">
        <v>18076</v>
      </c>
      <c r="BD66" s="7" t="n">
        <v>29510668</v>
      </c>
      <c r="BE66" s="7" t="s">
        <v>16832</v>
      </c>
      <c r="BF66" s="7" t="s">
        <v>16369</v>
      </c>
      <c r="BG66" s="7" t="s">
        <v>18077</v>
      </c>
      <c r="BH66" s="7" t="str">
        <f aca="false">HYPERLINK("https%3A%2F%2Fwww.webofscience.com%2Fwos%2Fwoscc%2Ffull-record%2FWOS:000426716100001","View Full Record in Web of Science")</f>
        <v>View Full Record in Web of Science</v>
      </c>
      <c r="BL66" s="7"/>
      <c r="BM66" s="7"/>
      <c r="BN66" s="7"/>
      <c r="BO66" s="7"/>
      <c r="BP66" s="7"/>
      <c r="BQ66" s="7"/>
      <c r="BR66" s="7"/>
      <c r="BS66" s="7"/>
      <c r="BT66" s="7"/>
      <c r="BU66" s="7"/>
      <c r="BV66" s="7"/>
      <c r="BW66" s="7"/>
      <c r="BX66" s="7"/>
      <c r="BY66" s="7"/>
      <c r="BZ66" s="7"/>
      <c r="CA66" s="7"/>
      <c r="CB66" s="7"/>
      <c r="CC66" s="7"/>
      <c r="CD66" s="7"/>
      <c r="CE66" s="7"/>
      <c r="CF66" s="7"/>
    </row>
    <row r="67" customFormat="false" ht="15.75" hidden="false" customHeight="true" outlineLevel="0" collapsed="false">
      <c r="A67" s="7" t="s">
        <v>16335</v>
      </c>
      <c r="B67" s="7" t="s">
        <v>18078</v>
      </c>
      <c r="C67" s="7" t="s">
        <v>18079</v>
      </c>
      <c r="D67" s="10" t="s">
        <v>18080</v>
      </c>
      <c r="E67" s="7" t="n">
        <v>2018</v>
      </c>
      <c r="F67" s="6" t="s">
        <v>18081</v>
      </c>
      <c r="G67" s="6" t="s">
        <v>1230</v>
      </c>
      <c r="H67" s="8"/>
      <c r="I67" s="10"/>
      <c r="J67" s="10"/>
      <c r="K67" s="10"/>
      <c r="L67" s="10"/>
      <c r="M67" s="10"/>
      <c r="N67" s="10"/>
      <c r="O67" s="10"/>
      <c r="P67" s="10" t="n">
        <v>18</v>
      </c>
      <c r="Q67" s="7" t="n">
        <v>19</v>
      </c>
      <c r="R67" s="7" t="s">
        <v>61</v>
      </c>
      <c r="S67" s="7" t="s">
        <v>62</v>
      </c>
      <c r="T67" s="7" t="s">
        <v>18082</v>
      </c>
      <c r="U67" s="7" t="n">
        <v>11</v>
      </c>
      <c r="V67" s="7" t="s">
        <v>17599</v>
      </c>
      <c r="W67" s="7"/>
      <c r="X67" s="7" t="s">
        <v>18083</v>
      </c>
      <c r="Y67" s="7" t="s">
        <v>18084</v>
      </c>
      <c r="Z67" s="7" t="s">
        <v>18085</v>
      </c>
      <c r="AA67" s="7" t="s">
        <v>18086</v>
      </c>
      <c r="AB67" s="7" t="s">
        <v>18087</v>
      </c>
      <c r="AC67" s="7" t="s">
        <v>18088</v>
      </c>
      <c r="AD67" s="7" t="s">
        <v>18089</v>
      </c>
      <c r="AE67" s="7" t="s">
        <v>18090</v>
      </c>
      <c r="AF67" s="7" t="s">
        <v>18091</v>
      </c>
      <c r="AG67" s="7" t="s">
        <v>18092</v>
      </c>
      <c r="AH67" s="7" t="s">
        <v>18093</v>
      </c>
      <c r="AI67" s="7" t="n">
        <v>78</v>
      </c>
      <c r="AJ67" s="7" t="n">
        <v>0</v>
      </c>
      <c r="AK67" s="7" t="n">
        <v>11</v>
      </c>
      <c r="AL67" s="7" t="s">
        <v>16821</v>
      </c>
      <c r="AM67" s="7" t="s">
        <v>17609</v>
      </c>
      <c r="AN67" s="7" t="s">
        <v>18094</v>
      </c>
      <c r="AO67" s="7"/>
      <c r="AP67" s="7" t="s">
        <v>18095</v>
      </c>
      <c r="AQ67" s="7" t="s">
        <v>1044</v>
      </c>
      <c r="AR67" s="7" t="s">
        <v>18096</v>
      </c>
      <c r="AS67" s="7"/>
      <c r="AT67" s="7"/>
      <c r="AU67" s="7" t="n">
        <v>513</v>
      </c>
      <c r="AV67" s="7" t="s">
        <v>18097</v>
      </c>
      <c r="AW67" s="30" t="str">
        <f aca="false">HYPERLINK("http://dx.doi.org/10.1186/s13071-018-3097-9","http://dx.doi.org/10.1186/s13071-018-3097-9")</f>
        <v>http://dx.doi.org/10.1186/s13071-018-3097-9</v>
      </c>
      <c r="AX67" s="7"/>
      <c r="AY67" s="7" t="n">
        <v>13</v>
      </c>
      <c r="AZ67" s="7" t="s">
        <v>16891</v>
      </c>
      <c r="BA67" s="7" t="s">
        <v>16366</v>
      </c>
      <c r="BB67" s="7" t="s">
        <v>16891</v>
      </c>
      <c r="BC67" s="7" t="s">
        <v>18098</v>
      </c>
      <c r="BD67" s="7" t="n">
        <v>30223860</v>
      </c>
      <c r="BE67" s="7" t="s">
        <v>16832</v>
      </c>
      <c r="BF67" s="7" t="s">
        <v>16369</v>
      </c>
      <c r="BG67" s="7" t="s">
        <v>18099</v>
      </c>
      <c r="BH67" s="7" t="str">
        <f aca="false">HYPERLINK("https%3A%2F%2Fwww.webofscience.com%2Fwos%2Fwoscc%2Ffull-record%2FWOS:000444904100002","View Full Record in Web of Science")</f>
        <v>View Full Record in Web of Science</v>
      </c>
      <c r="BL67" s="7"/>
      <c r="BM67" s="7"/>
      <c r="BN67" s="7"/>
      <c r="BO67" s="7"/>
      <c r="BP67" s="7"/>
      <c r="BQ67" s="7"/>
      <c r="BR67" s="7"/>
      <c r="BS67" s="7"/>
      <c r="BT67" s="7"/>
      <c r="BU67" s="7"/>
      <c r="BV67" s="7"/>
      <c r="BW67" s="7"/>
      <c r="BX67" s="7"/>
      <c r="BY67" s="7"/>
      <c r="BZ67" s="7"/>
      <c r="CA67" s="7"/>
      <c r="CB67" s="7"/>
      <c r="CC67" s="7"/>
      <c r="CD67" s="7"/>
      <c r="CE67" s="7"/>
      <c r="CF67" s="7"/>
    </row>
    <row r="68" customFormat="false" ht="15.75" hidden="false" customHeight="true" outlineLevel="0" collapsed="false">
      <c r="A68" s="7" t="s">
        <v>16335</v>
      </c>
      <c r="B68" s="7" t="s">
        <v>18100</v>
      </c>
      <c r="C68" s="7" t="s">
        <v>18101</v>
      </c>
      <c r="D68" s="10" t="s">
        <v>18102</v>
      </c>
      <c r="E68" s="7" t="n">
        <v>2018</v>
      </c>
      <c r="F68" s="6" t="s">
        <v>18103</v>
      </c>
      <c r="G68" s="6" t="s">
        <v>290</v>
      </c>
      <c r="H68" s="8"/>
      <c r="I68" s="10"/>
      <c r="J68" s="10"/>
      <c r="K68" s="10"/>
      <c r="L68" s="10"/>
      <c r="M68" s="10"/>
      <c r="N68" s="10"/>
      <c r="O68" s="10"/>
      <c r="P68" s="10" t="n">
        <v>31</v>
      </c>
      <c r="Q68" s="7" t="n">
        <v>31</v>
      </c>
      <c r="R68" s="7" t="s">
        <v>61</v>
      </c>
      <c r="S68" s="7" t="s">
        <v>62</v>
      </c>
      <c r="T68" s="7" t="s">
        <v>18104</v>
      </c>
      <c r="U68" s="7" t="n">
        <v>13</v>
      </c>
      <c r="V68" s="7" t="s">
        <v>18105</v>
      </c>
      <c r="W68" s="7" t="n">
        <v>6</v>
      </c>
      <c r="X68" s="7" t="s">
        <v>18106</v>
      </c>
      <c r="Y68" s="7" t="s">
        <v>18107</v>
      </c>
      <c r="Z68" s="7" t="s">
        <v>18108</v>
      </c>
      <c r="AA68" s="7" t="s">
        <v>18109</v>
      </c>
      <c r="AB68" s="7" t="s">
        <v>18110</v>
      </c>
      <c r="AC68" s="7" t="s">
        <v>18111</v>
      </c>
      <c r="AD68" s="7" t="s">
        <v>18112</v>
      </c>
      <c r="AE68" s="7" t="s">
        <v>18113</v>
      </c>
      <c r="AF68" s="7" t="s">
        <v>18114</v>
      </c>
      <c r="AG68" s="7" t="s">
        <v>18115</v>
      </c>
      <c r="AH68" s="7" t="s">
        <v>18116</v>
      </c>
      <c r="AI68" s="7" t="n">
        <v>61</v>
      </c>
      <c r="AJ68" s="7" t="n">
        <v>0</v>
      </c>
      <c r="AK68" s="7" t="n">
        <v>16</v>
      </c>
      <c r="AL68" s="7" t="s">
        <v>18117</v>
      </c>
      <c r="AM68" s="7" t="s">
        <v>18118</v>
      </c>
      <c r="AN68" s="7" t="s">
        <v>18119</v>
      </c>
      <c r="AO68" s="7" t="s">
        <v>18120</v>
      </c>
      <c r="AP68" s="7" t="s">
        <v>18104</v>
      </c>
      <c r="AQ68" s="7" t="s">
        <v>18121</v>
      </c>
      <c r="AR68" s="7" t="s">
        <v>18122</v>
      </c>
      <c r="AS68" s="7" t="n">
        <v>634</v>
      </c>
      <c r="AT68" s="7" t="n">
        <v>645</v>
      </c>
      <c r="AU68" s="7"/>
      <c r="AV68" s="7" t="s">
        <v>18123</v>
      </c>
      <c r="AW68" s="30" t="str">
        <f aca="false">HYPERLINK("http://dx.doi.org/10.1002/cmdc.201700743","http://dx.doi.org/10.1002/cmdc.201700743")</f>
        <v>http://dx.doi.org/10.1002/cmdc.201700743</v>
      </c>
      <c r="AX68" s="7"/>
      <c r="AY68" s="7" t="n">
        <v>12</v>
      </c>
      <c r="AZ68" s="7" t="s">
        <v>18124</v>
      </c>
      <c r="BA68" s="7" t="s">
        <v>16366</v>
      </c>
      <c r="BB68" s="7" t="s">
        <v>18125</v>
      </c>
      <c r="BC68" s="7" t="s">
        <v>18126</v>
      </c>
      <c r="BD68" s="7" t="n">
        <v>29323468</v>
      </c>
      <c r="BE68" s="7" t="s">
        <v>17463</v>
      </c>
      <c r="BF68" s="7" t="s">
        <v>16369</v>
      </c>
      <c r="BG68" s="7" t="s">
        <v>18127</v>
      </c>
      <c r="BH68" s="7" t="str">
        <f aca="false">HYPERLINK("https%3A%2F%2Fwww.webofscience.com%2Fwos%2Fwoscc%2Ffull-record%2FWOS:000428380000021","View Full Record in Web of Science")</f>
        <v>View Full Record in Web of Science</v>
      </c>
      <c r="BL68" s="7"/>
      <c r="BM68" s="7"/>
      <c r="BN68" s="7"/>
      <c r="BO68" s="7"/>
      <c r="BP68" s="7"/>
      <c r="BQ68" s="7"/>
      <c r="BR68" s="7"/>
      <c r="BS68" s="7" t="s">
        <v>16622</v>
      </c>
      <c r="BT68" s="7"/>
      <c r="BU68" s="7"/>
      <c r="BV68" s="7"/>
      <c r="BW68" s="7"/>
      <c r="BX68" s="7"/>
      <c r="BY68" s="7"/>
      <c r="BZ68" s="7"/>
      <c r="CA68" s="7"/>
      <c r="CB68" s="7"/>
      <c r="CC68" s="7"/>
      <c r="CD68" s="7"/>
      <c r="CE68" s="7"/>
      <c r="CF68" s="7"/>
    </row>
    <row r="69" customFormat="false" ht="15.75" hidden="false" customHeight="true" outlineLevel="0" collapsed="false">
      <c r="A69" s="7" t="s">
        <v>16335</v>
      </c>
      <c r="B69" s="7" t="s">
        <v>18128</v>
      </c>
      <c r="C69" s="7" t="s">
        <v>18129</v>
      </c>
      <c r="D69" s="10" t="s">
        <v>18130</v>
      </c>
      <c r="E69" s="7" t="n">
        <v>2018</v>
      </c>
      <c r="F69" s="6" t="s">
        <v>18131</v>
      </c>
      <c r="G69" s="6" t="s">
        <v>1230</v>
      </c>
      <c r="H69" s="8"/>
      <c r="I69" s="10"/>
      <c r="J69" s="10"/>
      <c r="K69" s="10"/>
      <c r="L69" s="10"/>
      <c r="M69" s="10"/>
      <c r="N69" s="10"/>
      <c r="O69" s="10"/>
      <c r="P69" s="10" t="n">
        <v>11</v>
      </c>
      <c r="Q69" s="7" t="n">
        <v>12</v>
      </c>
      <c r="R69" s="7" t="s">
        <v>61</v>
      </c>
      <c r="S69" s="7" t="s">
        <v>62</v>
      </c>
      <c r="T69" s="7" t="s">
        <v>18082</v>
      </c>
      <c r="U69" s="7" t="n">
        <v>11</v>
      </c>
      <c r="V69" s="7" t="s">
        <v>17599</v>
      </c>
      <c r="W69" s="7"/>
      <c r="X69" s="7" t="s">
        <v>18132</v>
      </c>
      <c r="Y69" s="7" t="s">
        <v>18133</v>
      </c>
      <c r="Z69" s="7" t="s">
        <v>18134</v>
      </c>
      <c r="AA69" s="7" t="s">
        <v>18135</v>
      </c>
      <c r="AB69" s="7" t="s">
        <v>18136</v>
      </c>
      <c r="AC69" s="7" t="s">
        <v>18137</v>
      </c>
      <c r="AD69" s="7" t="s">
        <v>18138</v>
      </c>
      <c r="AE69" s="7" t="s">
        <v>18139</v>
      </c>
      <c r="AF69" s="7" t="s">
        <v>18140</v>
      </c>
      <c r="AG69" s="7" t="s">
        <v>18140</v>
      </c>
      <c r="AH69" s="7" t="s">
        <v>18141</v>
      </c>
      <c r="AI69" s="7" t="n">
        <v>55</v>
      </c>
      <c r="AJ69" s="7" t="n">
        <v>0</v>
      </c>
      <c r="AK69" s="7" t="n">
        <v>3</v>
      </c>
      <c r="AL69" s="7" t="s">
        <v>16821</v>
      </c>
      <c r="AM69" s="7" t="s">
        <v>17609</v>
      </c>
      <c r="AN69" s="7" t="s">
        <v>18094</v>
      </c>
      <c r="AO69" s="7"/>
      <c r="AP69" s="7" t="s">
        <v>18095</v>
      </c>
      <c r="AQ69" s="7" t="s">
        <v>1044</v>
      </c>
      <c r="AR69" s="7" t="s">
        <v>18142</v>
      </c>
      <c r="AS69" s="7"/>
      <c r="AT69" s="7"/>
      <c r="AU69" s="7" t="n">
        <v>47</v>
      </c>
      <c r="AV69" s="7" t="s">
        <v>18143</v>
      </c>
      <c r="AW69" s="30" t="str">
        <f aca="false">HYPERLINK("http://dx.doi.org/10.1186/s13071-017-2586-6","http://dx.doi.org/10.1186/s13071-017-2586-6")</f>
        <v>http://dx.doi.org/10.1186/s13071-017-2586-6</v>
      </c>
      <c r="AX69" s="7"/>
      <c r="AY69" s="7" t="n">
        <v>13</v>
      </c>
      <c r="AZ69" s="7" t="s">
        <v>16891</v>
      </c>
      <c r="BA69" s="7" t="s">
        <v>16366</v>
      </c>
      <c r="BB69" s="7" t="s">
        <v>16891</v>
      </c>
      <c r="BC69" s="7" t="s">
        <v>18144</v>
      </c>
      <c r="BD69" s="7" t="n">
        <v>29351762</v>
      </c>
      <c r="BE69" s="7" t="s">
        <v>17143</v>
      </c>
      <c r="BF69" s="7" t="s">
        <v>16369</v>
      </c>
      <c r="BG69" s="7" t="s">
        <v>18145</v>
      </c>
      <c r="BH69" s="7" t="str">
        <f aca="false">HYPERLINK("https%3A%2F%2Fwww.webofscience.com%2Fwos%2Fwoscc%2Ffull-record%2FWOS:000422888500001","View Full Record in Web of Science")</f>
        <v>View Full Record in Web of Science</v>
      </c>
      <c r="BL69" s="7"/>
      <c r="BM69" s="7"/>
      <c r="BN69" s="7"/>
      <c r="BO69" s="7"/>
      <c r="BP69" s="7"/>
      <c r="BQ69" s="7"/>
      <c r="BR69" s="7"/>
      <c r="BS69" s="7"/>
      <c r="BT69" s="7"/>
      <c r="BU69" s="7"/>
      <c r="BV69" s="7"/>
      <c r="BW69" s="7"/>
      <c r="BX69" s="7"/>
      <c r="BY69" s="7"/>
      <c r="BZ69" s="7"/>
      <c r="CA69" s="7"/>
      <c r="CB69" s="7"/>
      <c r="CC69" s="7"/>
      <c r="CD69" s="7"/>
      <c r="CE69" s="7"/>
      <c r="CF69" s="7"/>
    </row>
    <row r="70" customFormat="false" ht="15.75" hidden="false" customHeight="true" outlineLevel="0" collapsed="false">
      <c r="A70" s="7" t="s">
        <v>16335</v>
      </c>
      <c r="B70" s="7" t="s">
        <v>18146</v>
      </c>
      <c r="C70" s="7" t="s">
        <v>18147</v>
      </c>
      <c r="D70" s="10" t="s">
        <v>18148</v>
      </c>
      <c r="E70" s="7" t="n">
        <v>2017</v>
      </c>
      <c r="F70" s="6" t="s">
        <v>18149</v>
      </c>
      <c r="G70" s="6" t="s">
        <v>1230</v>
      </c>
      <c r="H70" s="8"/>
      <c r="I70" s="10"/>
      <c r="J70" s="10"/>
      <c r="K70" s="10"/>
      <c r="L70" s="10"/>
      <c r="M70" s="10"/>
      <c r="N70" s="10"/>
      <c r="O70" s="10"/>
      <c r="P70" s="10" t="n">
        <v>18</v>
      </c>
      <c r="Q70" s="7" t="n">
        <v>18</v>
      </c>
      <c r="R70" s="7" t="s">
        <v>61</v>
      </c>
      <c r="S70" s="7" t="s">
        <v>62</v>
      </c>
      <c r="T70" s="7" t="s">
        <v>18150</v>
      </c>
      <c r="U70" s="7" t="n">
        <v>15</v>
      </c>
      <c r="V70" s="7" t="s">
        <v>17599</v>
      </c>
      <c r="W70" s="7"/>
      <c r="X70" s="7" t="s">
        <v>18151</v>
      </c>
      <c r="Y70" s="7" t="s">
        <v>18152</v>
      </c>
      <c r="Z70" s="7" t="s">
        <v>18153</v>
      </c>
      <c r="AA70" s="7" t="s">
        <v>18154</v>
      </c>
      <c r="AB70" s="7" t="s">
        <v>18155</v>
      </c>
      <c r="AC70" s="7" t="s">
        <v>18156</v>
      </c>
      <c r="AD70" s="7" t="s">
        <v>18157</v>
      </c>
      <c r="AE70" s="7" t="s">
        <v>18158</v>
      </c>
      <c r="AF70" s="7" t="s">
        <v>18159</v>
      </c>
      <c r="AG70" s="7" t="s">
        <v>18160</v>
      </c>
      <c r="AH70" s="7" t="s">
        <v>18161</v>
      </c>
      <c r="AI70" s="7" t="n">
        <v>61</v>
      </c>
      <c r="AJ70" s="7" t="n">
        <v>0</v>
      </c>
      <c r="AK70" s="7" t="n">
        <v>3</v>
      </c>
      <c r="AL70" s="7" t="s">
        <v>16821</v>
      </c>
      <c r="AM70" s="7" t="s">
        <v>17609</v>
      </c>
      <c r="AN70" s="7" t="s">
        <v>18162</v>
      </c>
      <c r="AO70" s="7"/>
      <c r="AP70" s="7" t="s">
        <v>18163</v>
      </c>
      <c r="AQ70" s="7" t="s">
        <v>12775</v>
      </c>
      <c r="AR70" s="7" t="s">
        <v>17986</v>
      </c>
      <c r="AS70" s="7"/>
      <c r="AT70" s="7"/>
      <c r="AU70" s="7" t="n">
        <v>201</v>
      </c>
      <c r="AV70" s="7" t="s">
        <v>18164</v>
      </c>
      <c r="AW70" s="30" t="str">
        <f aca="false">HYPERLINK("http://dx.doi.org/10.1186/s12916-017-0963-9","http://dx.doi.org/10.1186/s12916-017-0963-9")</f>
        <v>http://dx.doi.org/10.1186/s12916-017-0963-9</v>
      </c>
      <c r="AX70" s="7"/>
      <c r="AY70" s="7" t="n">
        <v>12</v>
      </c>
      <c r="AZ70" s="7" t="s">
        <v>16829</v>
      </c>
      <c r="BA70" s="7" t="s">
        <v>16366</v>
      </c>
      <c r="BB70" s="7" t="s">
        <v>16830</v>
      </c>
      <c r="BC70" s="7" t="s">
        <v>18165</v>
      </c>
      <c r="BD70" s="7" t="n">
        <v>29129186</v>
      </c>
      <c r="BE70" s="7" t="s">
        <v>17143</v>
      </c>
      <c r="BF70" s="7" t="s">
        <v>16369</v>
      </c>
      <c r="BG70" s="7" t="s">
        <v>18166</v>
      </c>
      <c r="BH70" s="7" t="str">
        <f aca="false">HYPERLINK("https%3A%2F%2Fwww.webofscience.com%2Fwos%2Fwoscc%2Ffull-record%2FWOS:000414858800001","View Full Record in Web of Science")</f>
        <v>View Full Record in Web of Science</v>
      </c>
      <c r="BL70" s="7"/>
      <c r="BM70" s="7"/>
      <c r="BN70" s="7"/>
      <c r="BO70" s="7"/>
      <c r="BP70" s="7"/>
      <c r="BQ70" s="7"/>
      <c r="BR70" s="7"/>
      <c r="BS70" s="7"/>
      <c r="BT70" s="7"/>
      <c r="BU70" s="7"/>
      <c r="BV70" s="7"/>
      <c r="BW70" s="7"/>
      <c r="BX70" s="7"/>
      <c r="BY70" s="7" t="s">
        <v>18167</v>
      </c>
      <c r="BZ70" s="7"/>
      <c r="CA70" s="7"/>
      <c r="CB70" s="7"/>
      <c r="CC70" s="7"/>
      <c r="CD70" s="7"/>
      <c r="CE70" s="7"/>
      <c r="CF70" s="7"/>
    </row>
    <row r="71" customFormat="false" ht="15.75" hidden="false" customHeight="true" outlineLevel="0" collapsed="false">
      <c r="A71" s="7" t="s">
        <v>16335</v>
      </c>
      <c r="B71" s="7" t="s">
        <v>18168</v>
      </c>
      <c r="C71" s="7" t="s">
        <v>18169</v>
      </c>
      <c r="D71" s="10" t="s">
        <v>18170</v>
      </c>
      <c r="E71" s="7" t="n">
        <v>2017</v>
      </c>
      <c r="F71" s="6" t="s">
        <v>18171</v>
      </c>
      <c r="G71" s="6" t="s">
        <v>134</v>
      </c>
      <c r="H71" s="8"/>
      <c r="I71" s="10"/>
      <c r="J71" s="10"/>
      <c r="K71" s="10"/>
      <c r="L71" s="10"/>
      <c r="M71" s="10"/>
      <c r="N71" s="10"/>
      <c r="O71" s="10"/>
      <c r="P71" s="10" t="n">
        <v>84</v>
      </c>
      <c r="Q71" s="7" t="n">
        <v>87</v>
      </c>
      <c r="R71" s="7" t="s">
        <v>61</v>
      </c>
      <c r="S71" s="7" t="s">
        <v>62</v>
      </c>
      <c r="T71" s="7" t="s">
        <v>16383</v>
      </c>
      <c r="U71" s="7" t="n">
        <v>5</v>
      </c>
      <c r="V71" s="7" t="s">
        <v>16384</v>
      </c>
      <c r="W71" s="7"/>
      <c r="X71" s="7" t="s">
        <v>18172</v>
      </c>
      <c r="Y71" s="7" t="s">
        <v>18173</v>
      </c>
      <c r="Z71" s="7" t="s">
        <v>18174</v>
      </c>
      <c r="AA71" s="7" t="s">
        <v>18175</v>
      </c>
      <c r="AB71" s="7" t="s">
        <v>18176</v>
      </c>
      <c r="AC71" s="7" t="s">
        <v>18177</v>
      </c>
      <c r="AD71" s="7" t="s">
        <v>18178</v>
      </c>
      <c r="AE71" s="7" t="s">
        <v>18179</v>
      </c>
      <c r="AF71" s="7"/>
      <c r="AG71" s="7"/>
      <c r="AH71" s="7"/>
      <c r="AI71" s="7" t="n">
        <v>53</v>
      </c>
      <c r="AJ71" s="7" t="n">
        <v>0</v>
      </c>
      <c r="AK71" s="7" t="n">
        <v>12</v>
      </c>
      <c r="AL71" s="7" t="s">
        <v>16395</v>
      </c>
      <c r="AM71" s="7" t="s">
        <v>16396</v>
      </c>
      <c r="AN71" s="7" t="s">
        <v>16397</v>
      </c>
      <c r="AO71" s="7"/>
      <c r="AP71" s="7" t="s">
        <v>16383</v>
      </c>
      <c r="AQ71" s="7" t="s">
        <v>186</v>
      </c>
      <c r="AR71" s="7"/>
      <c r="AS71" s="7" t="n">
        <v>9099</v>
      </c>
      <c r="AT71" s="7" t="n">
        <v>9108</v>
      </c>
      <c r="AU71" s="7"/>
      <c r="AV71" s="7" t="s">
        <v>18180</v>
      </c>
      <c r="AW71" s="30" t="str">
        <f aca="false">HYPERLINK("http://dx.doi.org/10.1109/ACCESS.2017.2705642","http://dx.doi.org/10.1109/ACCESS.2017.2705642")</f>
        <v>http://dx.doi.org/10.1109/ACCESS.2017.2705642</v>
      </c>
      <c r="AX71" s="7"/>
      <c r="AY71" s="7" t="n">
        <v>10</v>
      </c>
      <c r="AZ71" s="7" t="s">
        <v>16399</v>
      </c>
      <c r="BA71" s="7" t="s">
        <v>16366</v>
      </c>
      <c r="BB71" s="7" t="s">
        <v>16400</v>
      </c>
      <c r="BC71" s="7" t="s">
        <v>18181</v>
      </c>
      <c r="BD71" s="7"/>
      <c r="BE71" s="7" t="s">
        <v>16431</v>
      </c>
      <c r="BF71" s="7" t="s">
        <v>16369</v>
      </c>
      <c r="BG71" s="7" t="s">
        <v>18182</v>
      </c>
      <c r="BH71" s="7" t="str">
        <f aca="false">HYPERLINK("https%3A%2F%2Fwww.webofscience.com%2Fwos%2Fwoscc%2Ffull-record%2FWOS:000404270600041","View Full Record in Web of Science")</f>
        <v>View Full Record in Web of Science</v>
      </c>
      <c r="BL71" s="7"/>
      <c r="BM71" s="7"/>
      <c r="BN71" s="7"/>
      <c r="BO71" s="7"/>
      <c r="BP71" s="7"/>
      <c r="BQ71" s="7"/>
      <c r="BR71" s="7"/>
      <c r="BS71" s="7"/>
      <c r="BT71" s="7"/>
      <c r="BU71" s="7"/>
      <c r="BV71" s="7"/>
      <c r="BW71" s="7"/>
      <c r="BX71" s="7"/>
      <c r="BY71" s="7"/>
      <c r="BZ71" s="7"/>
      <c r="CA71" s="7"/>
      <c r="CB71" s="7"/>
      <c r="CC71" s="7"/>
      <c r="CD71" s="7"/>
      <c r="CE71" s="7"/>
      <c r="CF71" s="7"/>
    </row>
    <row r="72" customFormat="false" ht="15.75" hidden="false" customHeight="true" outlineLevel="0" collapsed="false">
      <c r="A72" s="7" t="s">
        <v>16335</v>
      </c>
      <c r="B72" s="7" t="s">
        <v>18183</v>
      </c>
      <c r="C72" s="7" t="s">
        <v>18184</v>
      </c>
      <c r="D72" s="10" t="s">
        <v>18185</v>
      </c>
      <c r="E72" s="7" t="n">
        <v>2017</v>
      </c>
      <c r="F72" s="6" t="s">
        <v>18186</v>
      </c>
      <c r="G72" s="6" t="s">
        <v>134</v>
      </c>
      <c r="H72" s="8"/>
      <c r="I72" s="10"/>
      <c r="J72" s="10"/>
      <c r="K72" s="10"/>
      <c r="L72" s="10"/>
      <c r="M72" s="10"/>
      <c r="N72" s="10"/>
      <c r="O72" s="10"/>
      <c r="P72" s="10" t="n">
        <v>5</v>
      </c>
      <c r="Q72" s="7" t="n">
        <v>5</v>
      </c>
      <c r="R72" s="7" t="s">
        <v>61</v>
      </c>
      <c r="S72" s="7" t="s">
        <v>62</v>
      </c>
      <c r="T72" s="7" t="s">
        <v>18187</v>
      </c>
      <c r="U72" s="7" t="n">
        <v>234</v>
      </c>
      <c r="V72" s="7" t="s">
        <v>16349</v>
      </c>
      <c r="W72" s="7"/>
      <c r="X72" s="7" t="s">
        <v>18188</v>
      </c>
      <c r="Y72" s="7" t="s">
        <v>18189</v>
      </c>
      <c r="Z72" s="7" t="s">
        <v>18190</v>
      </c>
      <c r="AA72" s="7" t="s">
        <v>18191</v>
      </c>
      <c r="AB72" s="7" t="s">
        <v>18192</v>
      </c>
      <c r="AC72" s="7" t="s">
        <v>18193</v>
      </c>
      <c r="AD72" s="7" t="s">
        <v>18194</v>
      </c>
      <c r="AE72" s="7" t="s">
        <v>18195</v>
      </c>
      <c r="AF72" s="7"/>
      <c r="AG72" s="7"/>
      <c r="AH72" s="7"/>
      <c r="AI72" s="7" t="n">
        <v>25</v>
      </c>
      <c r="AJ72" s="7" t="n">
        <v>1</v>
      </c>
      <c r="AK72" s="7" t="n">
        <v>12</v>
      </c>
      <c r="AL72" s="7" t="s">
        <v>16356</v>
      </c>
      <c r="AM72" s="7" t="s">
        <v>16357</v>
      </c>
      <c r="AN72" s="7" t="s">
        <v>18196</v>
      </c>
      <c r="AO72" s="7" t="s">
        <v>18197</v>
      </c>
      <c r="AP72" s="7" t="s">
        <v>18198</v>
      </c>
      <c r="AQ72" s="7" t="s">
        <v>12882</v>
      </c>
      <c r="AR72" s="7" t="s">
        <v>16426</v>
      </c>
      <c r="AS72" s="7" t="n">
        <v>13</v>
      </c>
      <c r="AT72" s="7" t="n">
        <v>18</v>
      </c>
      <c r="AU72" s="7"/>
      <c r="AV72" s="7" t="s">
        <v>18199</v>
      </c>
      <c r="AW72" s="30" t="str">
        <f aca="false">HYPERLINK("http://dx.doi.org/10.1016/j.vetpar.2016.12.016","http://dx.doi.org/10.1016/j.vetpar.2016.12.016")</f>
        <v>http://dx.doi.org/10.1016/j.vetpar.2016.12.016</v>
      </c>
      <c r="AX72" s="7"/>
      <c r="AY72" s="7" t="n">
        <v>6</v>
      </c>
      <c r="AZ72" s="7" t="s">
        <v>18200</v>
      </c>
      <c r="BA72" s="7" t="s">
        <v>16366</v>
      </c>
      <c r="BB72" s="7" t="s">
        <v>18200</v>
      </c>
      <c r="BC72" s="7" t="s">
        <v>18201</v>
      </c>
      <c r="BD72" s="7" t="n">
        <v>28115177</v>
      </c>
      <c r="BE72" s="7" t="s">
        <v>18202</v>
      </c>
      <c r="BF72" s="7" t="s">
        <v>16369</v>
      </c>
      <c r="BG72" s="7" t="s">
        <v>18203</v>
      </c>
      <c r="BH72" s="7" t="str">
        <f aca="false">HYPERLINK("https%3A%2F%2Fwww.webofscience.com%2Fwos%2Fwoscc%2Ffull-record%2FWOS:000394192700003","View Full Record in Web of Science")</f>
        <v>View Full Record in Web of Science</v>
      </c>
      <c r="BL72" s="7"/>
      <c r="BM72" s="7"/>
      <c r="BN72" s="7"/>
      <c r="BO72" s="7"/>
      <c r="BP72" s="7"/>
      <c r="BQ72" s="7"/>
      <c r="BR72" s="7"/>
      <c r="BS72" s="7"/>
      <c r="BT72" s="7"/>
      <c r="BU72" s="7"/>
      <c r="BV72" s="7"/>
      <c r="BW72" s="7"/>
      <c r="BX72" s="7"/>
      <c r="BY72" s="7"/>
      <c r="BZ72" s="7"/>
      <c r="CA72" s="7"/>
      <c r="CB72" s="7"/>
      <c r="CC72" s="7"/>
      <c r="CD72" s="7"/>
      <c r="CE72" s="7"/>
      <c r="CF72" s="7"/>
    </row>
    <row r="73" customFormat="false" ht="15.75" hidden="false" customHeight="true" outlineLevel="0" collapsed="false">
      <c r="A73" s="7" t="s">
        <v>16335</v>
      </c>
      <c r="B73" s="7" t="s">
        <v>18204</v>
      </c>
      <c r="C73" s="7" t="s">
        <v>18205</v>
      </c>
      <c r="D73" s="10" t="s">
        <v>18206</v>
      </c>
      <c r="E73" s="7" t="n">
        <v>2017</v>
      </c>
      <c r="F73" s="6" t="s">
        <v>18207</v>
      </c>
      <c r="G73" s="6" t="s">
        <v>1230</v>
      </c>
      <c r="H73" s="8"/>
      <c r="I73" s="10"/>
      <c r="J73" s="10"/>
      <c r="K73" s="10"/>
      <c r="L73" s="10"/>
      <c r="M73" s="10"/>
      <c r="N73" s="10"/>
      <c r="O73" s="10"/>
      <c r="P73" s="10" t="n">
        <v>23</v>
      </c>
      <c r="Q73" s="7" t="n">
        <v>23</v>
      </c>
      <c r="R73" s="7" t="s">
        <v>61</v>
      </c>
      <c r="S73" s="7" t="s">
        <v>62</v>
      </c>
      <c r="T73" s="7" t="s">
        <v>18208</v>
      </c>
      <c r="U73" s="7" t="n">
        <v>7</v>
      </c>
      <c r="V73" s="7" t="s">
        <v>4048</v>
      </c>
      <c r="W73" s="7" t="n">
        <v>8</v>
      </c>
      <c r="X73" s="7" t="s">
        <v>18209</v>
      </c>
      <c r="Y73" s="7" t="s">
        <v>18210</v>
      </c>
      <c r="Z73" s="7" t="s">
        <v>18211</v>
      </c>
      <c r="AA73" s="7" t="s">
        <v>18212</v>
      </c>
      <c r="AB73" s="7" t="s">
        <v>18213</v>
      </c>
      <c r="AC73" s="7" t="s">
        <v>18214</v>
      </c>
      <c r="AD73" s="7" t="s">
        <v>18215</v>
      </c>
      <c r="AE73" s="7" t="s">
        <v>18216</v>
      </c>
      <c r="AF73" s="7" t="s">
        <v>18217</v>
      </c>
      <c r="AG73" s="7" t="s">
        <v>18218</v>
      </c>
      <c r="AH73" s="7" t="s">
        <v>18219</v>
      </c>
      <c r="AI73" s="7" t="n">
        <v>44</v>
      </c>
      <c r="AJ73" s="7" t="n">
        <v>0</v>
      </c>
      <c r="AK73" s="7" t="n">
        <v>56</v>
      </c>
      <c r="AL73" s="7" t="s">
        <v>16769</v>
      </c>
      <c r="AM73" s="7" t="s">
        <v>16770</v>
      </c>
      <c r="AN73" s="7"/>
      <c r="AO73" s="7" t="s">
        <v>18220</v>
      </c>
      <c r="AP73" s="7" t="s">
        <v>18221</v>
      </c>
      <c r="AQ73" s="7" t="s">
        <v>18222</v>
      </c>
      <c r="AR73" s="7" t="s">
        <v>17837</v>
      </c>
      <c r="AS73" s="7"/>
      <c r="AT73" s="7"/>
      <c r="AU73" s="7" t="n">
        <v>836</v>
      </c>
      <c r="AV73" s="7" t="s">
        <v>15211</v>
      </c>
      <c r="AW73" s="30" t="str">
        <f aca="false">HYPERLINK("http://dx.doi.org/10.3390/app7080836","http://dx.doi.org/10.3390/app7080836")</f>
        <v>http://dx.doi.org/10.3390/app7080836</v>
      </c>
      <c r="AX73" s="7"/>
      <c r="AY73" s="7" t="n">
        <v>20</v>
      </c>
      <c r="AZ73" s="7" t="s">
        <v>18223</v>
      </c>
      <c r="BA73" s="7" t="s">
        <v>16584</v>
      </c>
      <c r="BB73" s="7" t="s">
        <v>18224</v>
      </c>
      <c r="BC73" s="7" t="s">
        <v>18225</v>
      </c>
      <c r="BD73" s="7"/>
      <c r="BE73" s="7" t="s">
        <v>18226</v>
      </c>
      <c r="BF73" s="7" t="s">
        <v>16369</v>
      </c>
      <c r="BG73" s="7" t="s">
        <v>18227</v>
      </c>
      <c r="BH73" s="7" t="str">
        <f aca="false">HYPERLINK("https%3A%2F%2Fwww.webofscience.com%2Fwos%2Fwoscc%2Ffull-record%2FWOS:000408905900086","View Full Record in Web of Science")</f>
        <v>View Full Record in Web of Science</v>
      </c>
      <c r="BL73" s="7"/>
      <c r="BM73" s="7"/>
      <c r="BN73" s="7"/>
      <c r="BO73" s="7"/>
      <c r="BP73" s="7"/>
      <c r="BQ73" s="7"/>
      <c r="BR73" s="7"/>
      <c r="BS73" s="7"/>
      <c r="BT73" s="7"/>
      <c r="BU73" s="7"/>
      <c r="BV73" s="7"/>
      <c r="BW73" s="7"/>
      <c r="BX73" s="7"/>
      <c r="BY73" s="7"/>
      <c r="BZ73" s="7"/>
      <c r="CA73" s="7"/>
      <c r="CB73" s="7"/>
      <c r="CC73" s="7"/>
      <c r="CD73" s="7"/>
      <c r="CE73" s="7"/>
      <c r="CF73" s="7"/>
    </row>
    <row r="74" customFormat="false" ht="15.75" hidden="false" customHeight="true" outlineLevel="0" collapsed="false">
      <c r="A74" s="7" t="s">
        <v>16335</v>
      </c>
      <c r="B74" s="7" t="s">
        <v>18228</v>
      </c>
      <c r="C74" s="7" t="s">
        <v>18229</v>
      </c>
      <c r="D74" s="10" t="s">
        <v>18230</v>
      </c>
      <c r="E74" s="7" t="n">
        <v>2015</v>
      </c>
      <c r="F74" s="6" t="s">
        <v>18231</v>
      </c>
      <c r="G74" s="6" t="s">
        <v>134</v>
      </c>
      <c r="H74" s="8"/>
      <c r="I74" s="10"/>
      <c r="J74" s="10"/>
      <c r="K74" s="10"/>
      <c r="L74" s="10"/>
      <c r="M74" s="10"/>
      <c r="N74" s="10"/>
      <c r="O74" s="10"/>
      <c r="P74" s="10" t="n">
        <v>16</v>
      </c>
      <c r="Q74" s="7" t="n">
        <v>16</v>
      </c>
      <c r="R74" s="7" t="s">
        <v>61</v>
      </c>
      <c r="S74" s="7" t="s">
        <v>62</v>
      </c>
      <c r="T74" s="7" t="s">
        <v>18232</v>
      </c>
      <c r="U74" s="7" t="n">
        <v>2015</v>
      </c>
      <c r="V74" s="7" t="s">
        <v>17360</v>
      </c>
      <c r="W74" s="7"/>
      <c r="X74" s="7"/>
      <c r="Y74" s="7" t="s">
        <v>17045</v>
      </c>
      <c r="Z74" s="7" t="s">
        <v>18233</v>
      </c>
      <c r="AA74" s="7" t="s">
        <v>18234</v>
      </c>
      <c r="AB74" s="7" t="s">
        <v>18235</v>
      </c>
      <c r="AC74" s="7" t="s">
        <v>18236</v>
      </c>
      <c r="AD74" s="7" t="s">
        <v>18237</v>
      </c>
      <c r="AE74" s="7" t="s">
        <v>18238</v>
      </c>
      <c r="AF74" s="7" t="s">
        <v>18239</v>
      </c>
      <c r="AG74" s="7" t="s">
        <v>18239</v>
      </c>
      <c r="AH74" s="7" t="s">
        <v>18240</v>
      </c>
      <c r="AI74" s="7" t="n">
        <v>26</v>
      </c>
      <c r="AJ74" s="7" t="n">
        <v>0</v>
      </c>
      <c r="AK74" s="7" t="n">
        <v>8</v>
      </c>
      <c r="AL74" s="7" t="s">
        <v>16821</v>
      </c>
      <c r="AM74" s="7" t="s">
        <v>17371</v>
      </c>
      <c r="AN74" s="7" t="s">
        <v>18241</v>
      </c>
      <c r="AO74" s="7" t="s">
        <v>18242</v>
      </c>
      <c r="AP74" s="7" t="s">
        <v>18243</v>
      </c>
      <c r="AQ74" s="7" t="s">
        <v>18244</v>
      </c>
      <c r="AR74" s="7"/>
      <c r="AS74" s="7"/>
      <c r="AT74" s="7"/>
      <c r="AU74" s="7" t="n">
        <v>139681</v>
      </c>
      <c r="AV74" s="7" t="s">
        <v>18245</v>
      </c>
      <c r="AW74" s="30" t="str">
        <f aca="false">HYPERLINK("http://dx.doi.org/10.1155/2015/139681","http://dx.doi.org/10.1155/2015/139681")</f>
        <v>http://dx.doi.org/10.1155/2015/139681</v>
      </c>
      <c r="AX74" s="7"/>
      <c r="AY74" s="7" t="n">
        <v>13</v>
      </c>
      <c r="AZ74" s="7" t="s">
        <v>18246</v>
      </c>
      <c r="BA74" s="7" t="s">
        <v>16366</v>
      </c>
      <c r="BB74" s="7" t="s">
        <v>18246</v>
      </c>
      <c r="BC74" s="7" t="s">
        <v>18247</v>
      </c>
      <c r="BD74" s="7" t="n">
        <v>25861375</v>
      </c>
      <c r="BE74" s="7" t="s">
        <v>17168</v>
      </c>
      <c r="BF74" s="7" t="s">
        <v>16369</v>
      </c>
      <c r="BG74" s="7" t="s">
        <v>18248</v>
      </c>
      <c r="BH74" s="7" t="str">
        <f aca="false">HYPERLINK("https%3A%2F%2Fwww.webofscience.com%2Fwos%2Fwoscc%2Ffull-record%2FWOS:000352876000001","View Full Record in Web of Science")</f>
        <v>View Full Record in Web of Science</v>
      </c>
      <c r="BL74" s="7"/>
      <c r="BM74" s="7"/>
      <c r="BN74" s="7"/>
      <c r="BO74" s="7"/>
      <c r="BP74" s="7"/>
      <c r="BQ74" s="7"/>
      <c r="BR74" s="7"/>
      <c r="BS74" s="7"/>
      <c r="BT74" s="7"/>
      <c r="BU74" s="7"/>
      <c r="BV74" s="7"/>
      <c r="BW74" s="7"/>
      <c r="BX74" s="7"/>
      <c r="BY74" s="7"/>
      <c r="BZ74" s="7"/>
      <c r="CA74" s="7"/>
      <c r="CB74" s="7"/>
      <c r="CC74" s="7"/>
      <c r="CD74" s="7"/>
      <c r="CE74" s="7"/>
      <c r="CF74" s="7"/>
    </row>
    <row r="75" customFormat="false" ht="15.75" hidden="false" customHeight="true" outlineLevel="0" collapsed="false">
      <c r="A75" s="31" t="s">
        <v>16335</v>
      </c>
      <c r="B75" s="31" t="s">
        <v>18249</v>
      </c>
      <c r="C75" s="31" t="s">
        <v>18250</v>
      </c>
      <c r="D75" s="32" t="s">
        <v>18251</v>
      </c>
      <c r="E75" s="31" t="n">
        <v>2025</v>
      </c>
      <c r="F75" s="33" t="s">
        <v>18252</v>
      </c>
      <c r="G75" s="33" t="s">
        <v>134</v>
      </c>
      <c r="H75" s="32"/>
      <c r="I75" s="34"/>
      <c r="J75" s="34"/>
      <c r="K75" s="34"/>
      <c r="L75" s="34"/>
      <c r="M75" s="34"/>
      <c r="N75" s="34"/>
      <c r="O75" s="34"/>
      <c r="P75" s="34" t="n">
        <v>0</v>
      </c>
      <c r="Q75" s="31" t="n">
        <v>0</v>
      </c>
      <c r="R75" s="31" t="s">
        <v>61</v>
      </c>
      <c r="S75" s="31" t="s">
        <v>62</v>
      </c>
      <c r="T75" s="31" t="s">
        <v>18253</v>
      </c>
      <c r="U75" s="31" t="n">
        <v>58</v>
      </c>
      <c r="V75" s="31" t="s">
        <v>16349</v>
      </c>
      <c r="W75" s="31"/>
      <c r="X75" s="31" t="s">
        <v>18254</v>
      </c>
      <c r="Y75" s="31"/>
      <c r="Z75" s="31" t="s">
        <v>18255</v>
      </c>
      <c r="AA75" s="31" t="s">
        <v>18256</v>
      </c>
      <c r="AB75" s="31" t="s">
        <v>18257</v>
      </c>
      <c r="AC75" s="31" t="s">
        <v>18258</v>
      </c>
      <c r="AD75" s="31"/>
      <c r="AE75" s="31" t="s">
        <v>18259</v>
      </c>
      <c r="AF75" s="31" t="s">
        <v>18260</v>
      </c>
      <c r="AG75" s="31" t="s">
        <v>18261</v>
      </c>
      <c r="AH75" s="31" t="s">
        <v>18262</v>
      </c>
      <c r="AI75" s="31" t="n">
        <v>10</v>
      </c>
      <c r="AJ75" s="31" t="n">
        <v>0</v>
      </c>
      <c r="AK75" s="31" t="n">
        <v>0</v>
      </c>
      <c r="AL75" s="31" t="s">
        <v>16356</v>
      </c>
      <c r="AM75" s="31" t="s">
        <v>16357</v>
      </c>
      <c r="AN75" s="31" t="s">
        <v>18263</v>
      </c>
      <c r="AO75" s="31"/>
      <c r="AP75" s="31" t="s">
        <v>18264</v>
      </c>
      <c r="AQ75" s="31" t="s">
        <v>18265</v>
      </c>
      <c r="AR75" s="31" t="s">
        <v>16970</v>
      </c>
      <c r="AS75" s="31"/>
      <c r="AT75" s="31"/>
      <c r="AU75" s="31" t="n">
        <v>111190</v>
      </c>
      <c r="AV75" s="31" t="s">
        <v>18266</v>
      </c>
      <c r="AW75" s="35" t="str">
        <f aca="false">HYPERLINK("http://dx.doi.org/10.1016/j.dib.2024.111190","http://dx.doi.org/10.1016/j.dib.2024.111190")</f>
        <v>http://dx.doi.org/10.1016/j.dib.2024.111190</v>
      </c>
      <c r="AX75" s="31" t="s">
        <v>16651</v>
      </c>
      <c r="AY75" s="31" t="n">
        <v>9</v>
      </c>
      <c r="AZ75" s="31" t="s">
        <v>16428</v>
      </c>
      <c r="BA75" s="31" t="s">
        <v>16684</v>
      </c>
      <c r="BB75" s="31" t="s">
        <v>16429</v>
      </c>
      <c r="BC75" s="31" t="s">
        <v>18267</v>
      </c>
      <c r="BD75" s="31" t="n">
        <v>39802838</v>
      </c>
      <c r="BE75" s="31" t="s">
        <v>16494</v>
      </c>
      <c r="BF75" s="31" t="s">
        <v>16369</v>
      </c>
      <c r="BG75" s="31" t="s">
        <v>18268</v>
      </c>
      <c r="BH75" s="31" t="str">
        <f aca="false">HYPERLINK("https%3A%2F%2Fwww.webofscience.com%2Fwos%2Fwoscc%2Ffull-record%2FWOS:001391105800001","View Full Record in Web of Science")</f>
        <v>View Full Record in Web of Science</v>
      </c>
      <c r="BI75" s="31"/>
      <c r="BJ75" s="31"/>
      <c r="BK75" s="31"/>
      <c r="BL75" s="31"/>
      <c r="BM75" s="31"/>
      <c r="BN75" s="31"/>
      <c r="BO75" s="31"/>
      <c r="BP75" s="31"/>
      <c r="BQ75" s="31"/>
      <c r="BR75" s="31"/>
      <c r="BS75" s="31"/>
      <c r="BT75" s="31"/>
      <c r="BU75" s="31"/>
      <c r="BV75" s="31"/>
      <c r="BW75" s="31"/>
      <c r="BX75" s="31"/>
      <c r="BY75" s="31"/>
      <c r="BZ75" s="31"/>
      <c r="CA75" s="31"/>
      <c r="CB75" s="31"/>
      <c r="CC75" s="31"/>
      <c r="CD75" s="31"/>
      <c r="CE75" s="31"/>
      <c r="CF75" s="31"/>
    </row>
    <row r="76" customFormat="false" ht="15.75" hidden="false" customHeight="true" outlineLevel="0" collapsed="false">
      <c r="A76" s="31" t="s">
        <v>16335</v>
      </c>
      <c r="B76" s="31" t="s">
        <v>18269</v>
      </c>
      <c r="C76" s="31" t="s">
        <v>18270</v>
      </c>
      <c r="D76" s="34" t="s">
        <v>18271</v>
      </c>
      <c r="E76" s="31" t="n">
        <v>2025</v>
      </c>
      <c r="F76" s="33" t="s">
        <v>18272</v>
      </c>
      <c r="G76" s="33" t="s">
        <v>393</v>
      </c>
      <c r="H76" s="32"/>
      <c r="I76" s="34"/>
      <c r="J76" s="34"/>
      <c r="K76" s="34"/>
      <c r="L76" s="34"/>
      <c r="M76" s="34"/>
      <c r="N76" s="34"/>
      <c r="O76" s="34"/>
      <c r="P76" s="34" t="n">
        <v>0</v>
      </c>
      <c r="Q76" s="31" t="n">
        <v>0</v>
      </c>
      <c r="R76" s="31" t="s">
        <v>61</v>
      </c>
      <c r="S76" s="31" t="s">
        <v>62</v>
      </c>
      <c r="T76" s="31" t="s">
        <v>18273</v>
      </c>
      <c r="U76" s="31" t="n">
        <v>326</v>
      </c>
      <c r="V76" s="31" t="s">
        <v>18274</v>
      </c>
      <c r="W76" s="31"/>
      <c r="X76" s="31" t="s">
        <v>18275</v>
      </c>
      <c r="Y76" s="31" t="s">
        <v>18276</v>
      </c>
      <c r="Z76" s="31" t="s">
        <v>18277</v>
      </c>
      <c r="AA76" s="31" t="s">
        <v>18278</v>
      </c>
      <c r="AB76" s="31" t="s">
        <v>18279</v>
      </c>
      <c r="AC76" s="31"/>
      <c r="AD76" s="33" t="s">
        <v>18280</v>
      </c>
      <c r="AE76" s="31"/>
      <c r="AF76" s="31" t="s">
        <v>18281</v>
      </c>
      <c r="AG76" s="31" t="s">
        <v>18282</v>
      </c>
      <c r="AH76" s="31" t="s">
        <v>18283</v>
      </c>
      <c r="AI76" s="31" t="n">
        <v>48</v>
      </c>
      <c r="AJ76" s="31" t="n">
        <v>12</v>
      </c>
      <c r="AK76" s="31" t="n">
        <v>12</v>
      </c>
      <c r="AL76" s="31" t="s">
        <v>16575</v>
      </c>
      <c r="AM76" s="31" t="s">
        <v>18284</v>
      </c>
      <c r="AN76" s="31" t="s">
        <v>18285</v>
      </c>
      <c r="AO76" s="31" t="s">
        <v>18286</v>
      </c>
      <c r="AP76" s="31" t="s">
        <v>18287</v>
      </c>
      <c r="AQ76" s="31" t="s">
        <v>18288</v>
      </c>
      <c r="AR76" s="31" t="s">
        <v>18289</v>
      </c>
      <c r="AS76" s="31"/>
      <c r="AT76" s="31"/>
      <c r="AU76" s="31" t="n">
        <v>125217</v>
      </c>
      <c r="AV76" s="31" t="s">
        <v>18290</v>
      </c>
      <c r="AW76" s="35" t="str">
        <f aca="false">HYPERLINK("http://dx.doi.org/10.1016/j.saa.2024.125217","http://dx.doi.org/10.1016/j.saa.2024.125217")</f>
        <v>http://dx.doi.org/10.1016/j.saa.2024.125217</v>
      </c>
      <c r="AX76" s="31" t="s">
        <v>18291</v>
      </c>
      <c r="AY76" s="31" t="n">
        <v>12</v>
      </c>
      <c r="AZ76" s="31" t="s">
        <v>18292</v>
      </c>
      <c r="BA76" s="31" t="s">
        <v>16366</v>
      </c>
      <c r="BB76" s="31" t="s">
        <v>18292</v>
      </c>
      <c r="BC76" s="31" t="s">
        <v>18293</v>
      </c>
      <c r="BD76" s="31" t="n">
        <v>39369592</v>
      </c>
      <c r="BE76" s="31"/>
      <c r="BF76" s="31" t="s">
        <v>16369</v>
      </c>
      <c r="BG76" s="31" t="s">
        <v>18294</v>
      </c>
      <c r="BH76" s="31" t="str">
        <f aca="false">HYPERLINK("https%3A%2F%2Fwww.webofscience.com%2Fwos%2Fwoscc%2Ffull-record%2FWOS:001333904000001","View Full Record in Web of Science")</f>
        <v>View Full Record in Web of Science</v>
      </c>
      <c r="BI76" s="31"/>
      <c r="BJ76" s="31"/>
      <c r="BK76" s="31"/>
      <c r="BL76" s="31"/>
      <c r="BM76" s="31"/>
      <c r="BN76" s="31"/>
      <c r="BO76" s="31"/>
      <c r="BP76" s="31"/>
      <c r="BQ76" s="31"/>
      <c r="BR76" s="31"/>
      <c r="BS76" s="31"/>
      <c r="BT76" s="31"/>
      <c r="BU76" s="31"/>
      <c r="BV76" s="31"/>
      <c r="BW76" s="31"/>
      <c r="BX76" s="31"/>
      <c r="BY76" s="31"/>
      <c r="BZ76" s="31"/>
      <c r="CA76" s="31"/>
      <c r="CB76" s="31"/>
      <c r="CC76" s="31"/>
      <c r="CD76" s="31"/>
      <c r="CE76" s="31"/>
      <c r="CF76" s="31"/>
    </row>
    <row r="77" customFormat="false" ht="15.75" hidden="false" customHeight="true" outlineLevel="0" collapsed="false">
      <c r="A77" s="31" t="s">
        <v>16335</v>
      </c>
      <c r="B77" s="31" t="s">
        <v>18295</v>
      </c>
      <c r="C77" s="31" t="s">
        <v>18296</v>
      </c>
      <c r="D77" s="34" t="s">
        <v>18297</v>
      </c>
      <c r="E77" s="31" t="n">
        <v>2025</v>
      </c>
      <c r="F77" s="33" t="s">
        <v>18298</v>
      </c>
      <c r="G77" s="33" t="s">
        <v>349</v>
      </c>
      <c r="H77" s="32"/>
      <c r="I77" s="34"/>
      <c r="J77" s="34"/>
      <c r="K77" s="34"/>
      <c r="L77" s="34"/>
      <c r="M77" s="34"/>
      <c r="N77" s="34"/>
      <c r="O77" s="34"/>
      <c r="P77" s="34" t="n">
        <v>0</v>
      </c>
      <c r="Q77" s="31" t="n">
        <v>0</v>
      </c>
      <c r="R77" s="31" t="s">
        <v>61</v>
      </c>
      <c r="S77" s="31" t="s">
        <v>62</v>
      </c>
      <c r="T77" s="31" t="s">
        <v>18299</v>
      </c>
      <c r="U77" s="31" t="n">
        <v>238</v>
      </c>
      <c r="V77" s="31" t="s">
        <v>18300</v>
      </c>
      <c r="W77" s="31"/>
      <c r="X77" s="31" t="s">
        <v>18301</v>
      </c>
      <c r="Y77" s="31" t="s">
        <v>18302</v>
      </c>
      <c r="Z77" s="31" t="s">
        <v>18303</v>
      </c>
      <c r="AA77" s="31" t="s">
        <v>18304</v>
      </c>
      <c r="AB77" s="31" t="s">
        <v>18305</v>
      </c>
      <c r="AC77" s="31" t="s">
        <v>18306</v>
      </c>
      <c r="AD77" s="31" t="s">
        <v>18307</v>
      </c>
      <c r="AE77" s="31" t="s">
        <v>18308</v>
      </c>
      <c r="AF77" s="31" t="s">
        <v>18309</v>
      </c>
      <c r="AG77" s="31" t="s">
        <v>18310</v>
      </c>
      <c r="AH77" s="31" t="s">
        <v>18311</v>
      </c>
      <c r="AI77" s="31" t="n">
        <v>34</v>
      </c>
      <c r="AJ77" s="31" t="n">
        <v>10</v>
      </c>
      <c r="AK77" s="31" t="n">
        <v>10</v>
      </c>
      <c r="AL77" s="31" t="s">
        <v>16821</v>
      </c>
      <c r="AM77" s="31" t="s">
        <v>18312</v>
      </c>
      <c r="AN77" s="31" t="s">
        <v>18313</v>
      </c>
      <c r="AO77" s="31" t="s">
        <v>18314</v>
      </c>
      <c r="AP77" s="31" t="s">
        <v>18299</v>
      </c>
      <c r="AQ77" s="31" t="s">
        <v>4329</v>
      </c>
      <c r="AR77" s="31" t="s">
        <v>14295</v>
      </c>
      <c r="AS77" s="31" t="n">
        <v>124</v>
      </c>
      <c r="AT77" s="31" t="n">
        <v>130</v>
      </c>
      <c r="AU77" s="31"/>
      <c r="AV77" s="31" t="s">
        <v>18315</v>
      </c>
      <c r="AW77" s="35" t="str">
        <f aca="false">HYPERLINK("http://dx.doi.org/10.1016/j.puhe.2024.11.013","http://dx.doi.org/10.1016/j.puhe.2024.11.013")</f>
        <v>http://dx.doi.org/10.1016/j.puhe.2024.11.013</v>
      </c>
      <c r="AX77" s="31" t="s">
        <v>16651</v>
      </c>
      <c r="AY77" s="31" t="n">
        <v>7</v>
      </c>
      <c r="AZ77" s="31" t="s">
        <v>16583</v>
      </c>
      <c r="BA77" s="31" t="s">
        <v>16584</v>
      </c>
      <c r="BB77" s="31" t="s">
        <v>16583</v>
      </c>
      <c r="BC77" s="31" t="s">
        <v>18316</v>
      </c>
      <c r="BD77" s="31" t="n">
        <v>39644733</v>
      </c>
      <c r="BE77" s="31"/>
      <c r="BF77" s="31" t="s">
        <v>16369</v>
      </c>
      <c r="BG77" s="31" t="s">
        <v>18317</v>
      </c>
      <c r="BH77" s="31" t="str">
        <f aca="false">HYPERLINK("https%3A%2F%2Fwww.webofscience.com%2Fwos%2Fwoscc%2Ffull-record%2FWOS:001377503700001","View Full Record in Web of Science")</f>
        <v>View Full Record in Web of Science</v>
      </c>
      <c r="BI77" s="31"/>
      <c r="BJ77" s="31"/>
      <c r="BK77" s="31"/>
      <c r="BL77" s="31"/>
      <c r="BM77" s="31"/>
      <c r="BN77" s="31"/>
      <c r="BO77" s="31"/>
      <c r="BP77" s="31"/>
      <c r="BQ77" s="31"/>
      <c r="BR77" s="31"/>
      <c r="BS77" s="31"/>
      <c r="BT77" s="31"/>
      <c r="BU77" s="31"/>
      <c r="BV77" s="31"/>
      <c r="BW77" s="31"/>
      <c r="BX77" s="31"/>
      <c r="BY77" s="31"/>
      <c r="BZ77" s="31"/>
      <c r="CA77" s="31"/>
      <c r="CB77" s="31"/>
      <c r="CC77" s="31"/>
      <c r="CD77" s="31"/>
      <c r="CE77" s="31"/>
      <c r="CF77" s="31"/>
    </row>
    <row r="78" customFormat="false" ht="15.75" hidden="false" customHeight="true" outlineLevel="0" collapsed="false">
      <c r="A78" s="31" t="s">
        <v>16335</v>
      </c>
      <c r="B78" s="31" t="s">
        <v>18318</v>
      </c>
      <c r="C78" s="31" t="s">
        <v>18319</v>
      </c>
      <c r="D78" s="34" t="s">
        <v>18320</v>
      </c>
      <c r="E78" s="31" t="n">
        <v>2025</v>
      </c>
      <c r="F78" s="33" t="s">
        <v>18321</v>
      </c>
      <c r="G78" s="33" t="s">
        <v>134</v>
      </c>
      <c r="H78" s="32"/>
      <c r="I78" s="34"/>
      <c r="J78" s="34"/>
      <c r="K78" s="34"/>
      <c r="L78" s="34"/>
      <c r="M78" s="34"/>
      <c r="N78" s="34"/>
      <c r="O78" s="34"/>
      <c r="P78" s="34" t="n">
        <v>0</v>
      </c>
      <c r="Q78" s="31" t="n">
        <v>0</v>
      </c>
      <c r="R78" s="31" t="s">
        <v>61</v>
      </c>
      <c r="S78" s="31" t="s">
        <v>62</v>
      </c>
      <c r="T78" s="31" t="s">
        <v>18322</v>
      </c>
      <c r="U78" s="31" t="n">
        <v>63</v>
      </c>
      <c r="V78" s="31" t="s">
        <v>18323</v>
      </c>
      <c r="W78" s="31" t="n">
        <v>1</v>
      </c>
      <c r="X78" s="31" t="s">
        <v>18324</v>
      </c>
      <c r="Y78" s="31" t="s">
        <v>16444</v>
      </c>
      <c r="Z78" s="31" t="s">
        <v>18325</v>
      </c>
      <c r="AA78" s="31"/>
      <c r="AB78" s="31" t="s">
        <v>18326</v>
      </c>
      <c r="AC78" s="31" t="s">
        <v>18327</v>
      </c>
      <c r="AD78" s="31"/>
      <c r="AE78" s="31" t="s">
        <v>18328</v>
      </c>
      <c r="AF78" s="31"/>
      <c r="AG78" s="31"/>
      <c r="AH78" s="31"/>
      <c r="AI78" s="31" t="n">
        <v>20</v>
      </c>
      <c r="AJ78" s="31" t="n">
        <v>1</v>
      </c>
      <c r="AK78" s="31" t="n">
        <v>1</v>
      </c>
      <c r="AL78" s="31" t="s">
        <v>18329</v>
      </c>
      <c r="AM78" s="31" t="s">
        <v>18330</v>
      </c>
      <c r="AN78" s="31" t="s">
        <v>18331</v>
      </c>
      <c r="AO78" s="31" t="s">
        <v>18332</v>
      </c>
      <c r="AP78" s="31" t="s">
        <v>18333</v>
      </c>
      <c r="AQ78" s="31" t="s">
        <v>11553</v>
      </c>
      <c r="AR78" s="31" t="s">
        <v>18334</v>
      </c>
      <c r="AS78" s="31"/>
      <c r="AT78" s="31"/>
      <c r="AU78" s="31"/>
      <c r="AV78" s="31" t="s">
        <v>18335</v>
      </c>
      <c r="AW78" s="35" t="str">
        <f aca="false">HYPERLINK("http://dx.doi.org/10.1128/jcm.00775-24","http://dx.doi.org/10.1128/jcm.00775-24")</f>
        <v>http://dx.doi.org/10.1128/jcm.00775-24</v>
      </c>
      <c r="AX78" s="31" t="s">
        <v>16651</v>
      </c>
      <c r="AY78" s="31" t="n">
        <v>8</v>
      </c>
      <c r="AZ78" s="31" t="s">
        <v>18336</v>
      </c>
      <c r="BA78" s="31" t="s">
        <v>16366</v>
      </c>
      <c r="BB78" s="31" t="s">
        <v>18336</v>
      </c>
      <c r="BC78" s="31" t="s">
        <v>18337</v>
      </c>
      <c r="BD78" s="31" t="n">
        <v>39655938</v>
      </c>
      <c r="BE78" s="31" t="s">
        <v>16494</v>
      </c>
      <c r="BF78" s="31" t="s">
        <v>16369</v>
      </c>
      <c r="BG78" s="31" t="s">
        <v>18338</v>
      </c>
      <c r="BH78" s="31" t="str">
        <f aca="false">HYPERLINK("https%3A%2F%2Fwww.webofscience.com%2Fwos%2Fwoscc%2Ffull-record%2FWOS:001374577900001","View Full Record in Web of Science")</f>
        <v>View Full Record in Web of Science</v>
      </c>
      <c r="BI78" s="31"/>
      <c r="BJ78" s="31"/>
      <c r="BK78" s="31"/>
      <c r="BL78" s="31"/>
      <c r="BM78" s="31"/>
      <c r="BN78" s="31"/>
      <c r="BO78" s="31"/>
      <c r="BP78" s="31"/>
      <c r="BQ78" s="31"/>
      <c r="BR78" s="31"/>
      <c r="BS78" s="31"/>
      <c r="BT78" s="31"/>
      <c r="BU78" s="31"/>
      <c r="BV78" s="31"/>
      <c r="BW78" s="31"/>
      <c r="BX78" s="31"/>
      <c r="BY78" s="31"/>
      <c r="BZ78" s="31"/>
      <c r="CA78" s="31"/>
      <c r="CB78" s="31"/>
      <c r="CC78" s="31"/>
      <c r="CD78" s="31"/>
      <c r="CE78" s="31"/>
      <c r="CF78" s="31"/>
    </row>
    <row r="79" customFormat="false" ht="15.75" hidden="false" customHeight="true" outlineLevel="0" collapsed="false">
      <c r="A79" s="31" t="s">
        <v>16335</v>
      </c>
      <c r="B79" s="31" t="s">
        <v>18339</v>
      </c>
      <c r="C79" s="31" t="s">
        <v>18340</v>
      </c>
      <c r="D79" s="34" t="s">
        <v>18341</v>
      </c>
      <c r="E79" s="31" t="n">
        <v>2025</v>
      </c>
      <c r="F79" s="33" t="s">
        <v>18342</v>
      </c>
      <c r="G79" s="33" t="s">
        <v>134</v>
      </c>
      <c r="H79" s="32"/>
      <c r="I79" s="34"/>
      <c r="J79" s="34"/>
      <c r="K79" s="34"/>
      <c r="L79" s="34"/>
      <c r="M79" s="34"/>
      <c r="N79" s="34"/>
      <c r="O79" s="34"/>
      <c r="P79" s="34" t="n">
        <v>0</v>
      </c>
      <c r="Q79" s="31" t="n">
        <v>0</v>
      </c>
      <c r="R79" s="31" t="s">
        <v>61</v>
      </c>
      <c r="S79" s="31" t="s">
        <v>62</v>
      </c>
      <c r="T79" s="31" t="s">
        <v>18343</v>
      </c>
      <c r="U79" s="31" t="n">
        <v>25</v>
      </c>
      <c r="V79" s="31" t="s">
        <v>4048</v>
      </c>
      <c r="W79" s="31" t="n">
        <v>2</v>
      </c>
      <c r="X79" s="31" t="s">
        <v>18344</v>
      </c>
      <c r="Y79" s="31"/>
      <c r="Z79" s="31" t="s">
        <v>18345</v>
      </c>
      <c r="AA79" s="31" t="s">
        <v>18346</v>
      </c>
      <c r="AB79" s="31" t="s">
        <v>18347</v>
      </c>
      <c r="AC79" s="31" t="s">
        <v>18348</v>
      </c>
      <c r="AD79" s="31" t="s">
        <v>18349</v>
      </c>
      <c r="AE79" s="31" t="s">
        <v>18350</v>
      </c>
      <c r="AF79" s="33" t="s">
        <v>18351</v>
      </c>
      <c r="AG79" s="31" t="s">
        <v>18352</v>
      </c>
      <c r="AH79" s="31" t="s">
        <v>18353</v>
      </c>
      <c r="AI79" s="31" t="n">
        <v>40</v>
      </c>
      <c r="AJ79" s="31" t="n">
        <v>0</v>
      </c>
      <c r="AK79" s="31" t="n">
        <v>0</v>
      </c>
      <c r="AL79" s="31" t="s">
        <v>16769</v>
      </c>
      <c r="AM79" s="31" t="s">
        <v>17023</v>
      </c>
      <c r="AN79" s="31"/>
      <c r="AO79" s="31" t="s">
        <v>18354</v>
      </c>
      <c r="AP79" s="31" t="s">
        <v>18355</v>
      </c>
      <c r="AQ79" s="31" t="s">
        <v>18356</v>
      </c>
      <c r="AR79" s="31" t="s">
        <v>14295</v>
      </c>
      <c r="AS79" s="31"/>
      <c r="AT79" s="31"/>
      <c r="AU79" s="31" t="n">
        <v>390</v>
      </c>
      <c r="AV79" s="31" t="s">
        <v>18357</v>
      </c>
      <c r="AW79" s="35" t="str">
        <f aca="false">HYPERLINK("http://dx.doi.org/10.3390/s25020390","http://dx.doi.org/10.3390/s25020390")</f>
        <v>http://dx.doi.org/10.3390/s25020390</v>
      </c>
      <c r="AX79" s="31"/>
      <c r="AY79" s="31" t="n">
        <v>18</v>
      </c>
      <c r="AZ79" s="31" t="s">
        <v>18358</v>
      </c>
      <c r="BA79" s="31" t="s">
        <v>16366</v>
      </c>
      <c r="BB79" s="31" t="s">
        <v>18359</v>
      </c>
      <c r="BC79" s="31" t="s">
        <v>18360</v>
      </c>
      <c r="BD79" s="31" t="n">
        <v>39860759</v>
      </c>
      <c r="BE79" s="31" t="s">
        <v>16431</v>
      </c>
      <c r="BF79" s="31" t="s">
        <v>16369</v>
      </c>
      <c r="BG79" s="31" t="s">
        <v>18361</v>
      </c>
      <c r="BH79" s="31" t="str">
        <f aca="false">HYPERLINK("https%3A%2F%2Fwww.webofscience.com%2Fwos%2Fwoscc%2Ffull-record%2FWOS:001405150500001","View Full Record in Web of Science")</f>
        <v>View Full Record in Web of Science</v>
      </c>
      <c r="BI79" s="31"/>
      <c r="BJ79" s="31"/>
      <c r="BK79" s="31"/>
      <c r="BL79" s="31"/>
      <c r="BM79" s="31"/>
      <c r="BN79" s="31"/>
      <c r="BO79" s="31"/>
      <c r="BP79" s="31"/>
      <c r="BQ79" s="31"/>
      <c r="BR79" s="31"/>
      <c r="BS79" s="31"/>
      <c r="BT79" s="31"/>
      <c r="BU79" s="31"/>
      <c r="BV79" s="31"/>
      <c r="BW79" s="31"/>
      <c r="BX79" s="31"/>
      <c r="BY79" s="31"/>
      <c r="BZ79" s="31"/>
      <c r="CA79" s="31"/>
      <c r="CB79" s="31"/>
      <c r="CC79" s="31"/>
      <c r="CD79" s="31"/>
      <c r="CE79" s="31"/>
      <c r="CF79" s="31"/>
    </row>
    <row r="80" customFormat="false" ht="15.75" hidden="false" customHeight="true" outlineLevel="0" collapsed="false">
      <c r="A80" s="31" t="s">
        <v>16335</v>
      </c>
      <c r="B80" s="31" t="s">
        <v>18362</v>
      </c>
      <c r="C80" s="31" t="s">
        <v>18363</v>
      </c>
      <c r="D80" s="34" t="s">
        <v>18364</v>
      </c>
      <c r="E80" s="31" t="n">
        <v>2025</v>
      </c>
      <c r="F80" s="33" t="s">
        <v>18365</v>
      </c>
      <c r="G80" s="33" t="s">
        <v>393</v>
      </c>
      <c r="H80" s="32"/>
      <c r="I80" s="34"/>
      <c r="J80" s="34"/>
      <c r="K80" s="34"/>
      <c r="L80" s="34"/>
      <c r="M80" s="34"/>
      <c r="N80" s="34"/>
      <c r="O80" s="34"/>
      <c r="P80" s="34" t="n">
        <v>0</v>
      </c>
      <c r="Q80" s="31" t="n">
        <v>0</v>
      </c>
      <c r="R80" s="31" t="s">
        <v>61</v>
      </c>
      <c r="S80" s="31" t="s">
        <v>62</v>
      </c>
      <c r="T80" s="31" t="s">
        <v>18366</v>
      </c>
      <c r="U80" s="31" t="n">
        <v>177</v>
      </c>
      <c r="V80" s="31" t="s">
        <v>16349</v>
      </c>
      <c r="W80" s="31"/>
      <c r="X80" s="31" t="s">
        <v>18367</v>
      </c>
      <c r="Y80" s="31"/>
      <c r="Z80" s="31" t="s">
        <v>18368</v>
      </c>
      <c r="AA80" s="31" t="s">
        <v>18369</v>
      </c>
      <c r="AB80" s="31" t="s">
        <v>18370</v>
      </c>
      <c r="AC80" s="31" t="s">
        <v>18371</v>
      </c>
      <c r="AD80" s="31" t="s">
        <v>18372</v>
      </c>
      <c r="AE80" s="31" t="s">
        <v>18373</v>
      </c>
      <c r="AF80" s="31" t="s">
        <v>18374</v>
      </c>
      <c r="AG80" s="31" t="s">
        <v>18375</v>
      </c>
      <c r="AH80" s="31" t="s">
        <v>18376</v>
      </c>
      <c r="AI80" s="31" t="n">
        <v>19</v>
      </c>
      <c r="AJ80" s="31" t="n">
        <v>0</v>
      </c>
      <c r="AK80" s="31" t="n">
        <v>0</v>
      </c>
      <c r="AL80" s="31" t="s">
        <v>16356</v>
      </c>
      <c r="AM80" s="31" t="s">
        <v>16357</v>
      </c>
      <c r="AN80" s="31" t="s">
        <v>18377</v>
      </c>
      <c r="AO80" s="31" t="s">
        <v>18378</v>
      </c>
      <c r="AP80" s="31" t="s">
        <v>18379</v>
      </c>
      <c r="AQ80" s="31" t="s">
        <v>18380</v>
      </c>
      <c r="AR80" s="31" t="s">
        <v>16970</v>
      </c>
      <c r="AS80" s="31" t="n">
        <v>347</v>
      </c>
      <c r="AT80" s="31" t="n">
        <v>351</v>
      </c>
      <c r="AU80" s="31"/>
      <c r="AV80" s="31" t="s">
        <v>18381</v>
      </c>
      <c r="AW80" s="35" t="str">
        <f aca="false">HYPERLINK("http://dx.doi.org/10.1016/j.sajb.2024.12.031","http://dx.doi.org/10.1016/j.sajb.2024.12.031")</f>
        <v>http://dx.doi.org/10.1016/j.sajb.2024.12.031</v>
      </c>
      <c r="AX80" s="31" t="s">
        <v>16651</v>
      </c>
      <c r="AY80" s="31" t="n">
        <v>5</v>
      </c>
      <c r="AZ80" s="31" t="s">
        <v>18382</v>
      </c>
      <c r="BA80" s="31" t="s">
        <v>16366</v>
      </c>
      <c r="BB80" s="31" t="s">
        <v>18382</v>
      </c>
      <c r="BC80" s="31" t="s">
        <v>18383</v>
      </c>
      <c r="BD80" s="31"/>
      <c r="BE80" s="31"/>
      <c r="BF80" s="31" t="s">
        <v>16369</v>
      </c>
      <c r="BG80" s="31" t="s">
        <v>18384</v>
      </c>
      <c r="BH80" s="31" t="str">
        <f aca="false">HYPERLINK("https%3A%2F%2Fwww.webofscience.com%2Fwos%2Fwoscc%2Ffull-record%2FWOS:001391341000001","View Full Record in Web of Science")</f>
        <v>View Full Record in Web of Science</v>
      </c>
      <c r="BI80" s="31"/>
      <c r="BJ80" s="31"/>
      <c r="BK80" s="31"/>
      <c r="BL80" s="31"/>
      <c r="BM80" s="31"/>
      <c r="BN80" s="31"/>
      <c r="BO80" s="31"/>
      <c r="BP80" s="31"/>
      <c r="BQ80" s="31"/>
      <c r="BR80" s="31"/>
      <c r="BS80" s="31"/>
      <c r="BT80" s="31"/>
      <c r="BU80" s="31"/>
      <c r="BV80" s="31"/>
      <c r="BW80" s="31"/>
      <c r="BX80" s="31"/>
      <c r="BY80" s="31"/>
      <c r="BZ80" s="31"/>
      <c r="CA80" s="31"/>
      <c r="CB80" s="31"/>
      <c r="CC80" s="31"/>
      <c r="CD80" s="31"/>
      <c r="CE80" s="31"/>
      <c r="CF80" s="31"/>
    </row>
    <row r="81" customFormat="false" ht="15.75" hidden="false" customHeight="true" outlineLevel="0" collapsed="false">
      <c r="A81" s="31" t="s">
        <v>16335</v>
      </c>
      <c r="B81" s="31" t="s">
        <v>18385</v>
      </c>
      <c r="C81" s="31" t="s">
        <v>18386</v>
      </c>
      <c r="D81" s="34" t="s">
        <v>18387</v>
      </c>
      <c r="E81" s="31" t="n">
        <v>2025</v>
      </c>
      <c r="F81" s="33" t="s">
        <v>18388</v>
      </c>
      <c r="G81" s="33" t="s">
        <v>134</v>
      </c>
      <c r="H81" s="32"/>
      <c r="I81" s="34"/>
      <c r="J81" s="34"/>
      <c r="K81" s="34"/>
      <c r="L81" s="34"/>
      <c r="M81" s="34"/>
      <c r="N81" s="34"/>
      <c r="O81" s="34"/>
      <c r="P81" s="34" t="n">
        <v>0</v>
      </c>
      <c r="Q81" s="31" t="n">
        <v>0</v>
      </c>
      <c r="R81" s="31" t="s">
        <v>61</v>
      </c>
      <c r="S81" s="31" t="s">
        <v>62</v>
      </c>
      <c r="T81" s="31" t="s">
        <v>18389</v>
      </c>
      <c r="U81" s="31" t="n">
        <v>93</v>
      </c>
      <c r="V81" s="31" t="s">
        <v>18390</v>
      </c>
      <c r="W81" s="31"/>
      <c r="X81" s="31" t="s">
        <v>18391</v>
      </c>
      <c r="Y81" s="31"/>
      <c r="Z81" s="31" t="s">
        <v>18392</v>
      </c>
      <c r="AA81" s="31" t="s">
        <v>18393</v>
      </c>
      <c r="AB81" s="31" t="s">
        <v>18394</v>
      </c>
      <c r="AC81" s="31" t="s">
        <v>18395</v>
      </c>
      <c r="AD81" s="31" t="s">
        <v>18396</v>
      </c>
      <c r="AE81" s="31" t="s">
        <v>18397</v>
      </c>
      <c r="AF81" s="31" t="s">
        <v>18398</v>
      </c>
      <c r="AG81" s="31" t="s">
        <v>18399</v>
      </c>
      <c r="AH81" s="31" t="s">
        <v>18400</v>
      </c>
      <c r="AI81" s="31" t="n">
        <v>37</v>
      </c>
      <c r="AJ81" s="31" t="n">
        <v>2</v>
      </c>
      <c r="AK81" s="31" t="n">
        <v>2</v>
      </c>
      <c r="AL81" s="31" t="s">
        <v>18401</v>
      </c>
      <c r="AM81" s="31" t="s">
        <v>18402</v>
      </c>
      <c r="AN81" s="31" t="s">
        <v>18403</v>
      </c>
      <c r="AO81" s="31"/>
      <c r="AP81" s="31" t="s">
        <v>18404</v>
      </c>
      <c r="AQ81" s="31" t="s">
        <v>18405</v>
      </c>
      <c r="AR81" s="31" t="s">
        <v>17772</v>
      </c>
      <c r="AS81" s="31"/>
      <c r="AT81" s="31"/>
      <c r="AU81" s="31" t="n">
        <v>102677</v>
      </c>
      <c r="AV81" s="31" t="s">
        <v>18406</v>
      </c>
      <c r="AW81" s="35" t="str">
        <f aca="false">HYPERLINK("http://dx.doi.org/10.1016/j.tice.2024.102677","http://dx.doi.org/10.1016/j.tice.2024.102677")</f>
        <v>http://dx.doi.org/10.1016/j.tice.2024.102677</v>
      </c>
      <c r="AX81" s="31" t="s">
        <v>16651</v>
      </c>
      <c r="AY81" s="31" t="n">
        <v>10</v>
      </c>
      <c r="AZ81" s="31" t="s">
        <v>18407</v>
      </c>
      <c r="BA81" s="31" t="s">
        <v>16366</v>
      </c>
      <c r="BB81" s="31" t="s">
        <v>18407</v>
      </c>
      <c r="BC81" s="31" t="s">
        <v>18408</v>
      </c>
      <c r="BD81" s="31" t="n">
        <v>39719819</v>
      </c>
      <c r="BE81" s="31"/>
      <c r="BF81" s="31" t="s">
        <v>16369</v>
      </c>
      <c r="BG81" s="31" t="s">
        <v>18409</v>
      </c>
      <c r="BH81" s="31" t="str">
        <f aca="false">HYPERLINK("https%3A%2F%2Fwww.webofscience.com%2Fwos%2Fwoscc%2Ffull-record%2FWOS:001394149100001","View Full Record in Web of Science")</f>
        <v>View Full Record in Web of Science</v>
      </c>
      <c r="BI81" s="31"/>
      <c r="BJ81" s="31"/>
      <c r="BK81" s="31"/>
      <c r="BL81" s="31"/>
      <c r="BM81" s="31"/>
      <c r="BN81" s="31"/>
      <c r="BO81" s="31"/>
      <c r="BP81" s="31"/>
      <c r="BQ81" s="31"/>
      <c r="BR81" s="31"/>
      <c r="BS81" s="31"/>
      <c r="BT81" s="31"/>
      <c r="BU81" s="31"/>
      <c r="BV81" s="31"/>
      <c r="BW81" s="31"/>
      <c r="BX81" s="31"/>
      <c r="BY81" s="31"/>
      <c r="BZ81" s="31"/>
      <c r="CA81" s="31"/>
      <c r="CB81" s="31"/>
      <c r="CC81" s="31"/>
      <c r="CD81" s="31"/>
      <c r="CE81" s="31"/>
      <c r="CF81" s="31"/>
    </row>
    <row r="82" customFormat="false" ht="15.75" hidden="false" customHeight="true" outlineLevel="0" collapsed="false">
      <c r="A82" s="31" t="s">
        <v>16335</v>
      </c>
      <c r="B82" s="31" t="s">
        <v>18410</v>
      </c>
      <c r="C82" s="31" t="s">
        <v>18411</v>
      </c>
      <c r="D82" s="34" t="s">
        <v>18412</v>
      </c>
      <c r="E82" s="31" t="n">
        <v>2025</v>
      </c>
      <c r="F82" s="33" t="s">
        <v>18413</v>
      </c>
      <c r="G82" s="33" t="s">
        <v>134</v>
      </c>
      <c r="H82" s="32"/>
      <c r="I82" s="34"/>
      <c r="J82" s="34"/>
      <c r="K82" s="34"/>
      <c r="L82" s="34"/>
      <c r="M82" s="34"/>
      <c r="N82" s="34"/>
      <c r="O82" s="34"/>
      <c r="P82" s="34" t="n">
        <v>2</v>
      </c>
      <c r="Q82" s="31" t="n">
        <v>2</v>
      </c>
      <c r="R82" s="31" t="s">
        <v>61</v>
      </c>
      <c r="S82" s="31" t="s">
        <v>62</v>
      </c>
      <c r="T82" s="31" t="s">
        <v>18414</v>
      </c>
      <c r="U82" s="31" t="n">
        <v>99</v>
      </c>
      <c r="V82" s="31" t="s">
        <v>18415</v>
      </c>
      <c r="W82" s="31"/>
      <c r="X82" s="31" t="s">
        <v>18416</v>
      </c>
      <c r="Y82" s="31" t="s">
        <v>18417</v>
      </c>
      <c r="Z82" s="31" t="s">
        <v>18418</v>
      </c>
      <c r="AA82" s="31" t="s">
        <v>18393</v>
      </c>
      <c r="AB82" s="31" t="s">
        <v>18419</v>
      </c>
      <c r="AC82" s="31" t="s">
        <v>18420</v>
      </c>
      <c r="AD82" s="31" t="s">
        <v>18396</v>
      </c>
      <c r="AE82" s="31" t="s">
        <v>18397</v>
      </c>
      <c r="AF82" s="33" t="s">
        <v>18398</v>
      </c>
      <c r="AG82" s="31" t="s">
        <v>18399</v>
      </c>
      <c r="AH82" s="31" t="s">
        <v>18421</v>
      </c>
      <c r="AI82" s="31" t="n">
        <v>73</v>
      </c>
      <c r="AJ82" s="31" t="n">
        <v>6</v>
      </c>
      <c r="AK82" s="31" t="n">
        <v>6</v>
      </c>
      <c r="AL82" s="31" t="s">
        <v>2626</v>
      </c>
      <c r="AM82" s="31" t="s">
        <v>18422</v>
      </c>
      <c r="AN82" s="31" t="s">
        <v>18423</v>
      </c>
      <c r="AO82" s="31" t="s">
        <v>18424</v>
      </c>
      <c r="AP82" s="31" t="s">
        <v>18425</v>
      </c>
      <c r="AQ82" s="31" t="s">
        <v>7616</v>
      </c>
      <c r="AR82" s="31" t="s">
        <v>14295</v>
      </c>
      <c r="AS82" s="31"/>
      <c r="AT82" s="31"/>
      <c r="AU82" s="31" t="n">
        <v>106869</v>
      </c>
      <c r="AV82" s="31" t="s">
        <v>18426</v>
      </c>
      <c r="AW82" s="35" t="str">
        <f aca="false">HYPERLINK("http://dx.doi.org/10.1016/j.bspc.2024.106869","http://dx.doi.org/10.1016/j.bspc.2024.106869")</f>
        <v>http://dx.doi.org/10.1016/j.bspc.2024.106869</v>
      </c>
      <c r="AX82" s="31" t="s">
        <v>18427</v>
      </c>
      <c r="AY82" s="31" t="n">
        <v>12</v>
      </c>
      <c r="AZ82" s="31" t="s">
        <v>18428</v>
      </c>
      <c r="BA82" s="31" t="s">
        <v>16366</v>
      </c>
      <c r="BB82" s="31" t="s">
        <v>18429</v>
      </c>
      <c r="BC82" s="31" t="s">
        <v>18430</v>
      </c>
      <c r="BD82" s="31"/>
      <c r="BE82" s="31"/>
      <c r="BF82" s="31" t="s">
        <v>16369</v>
      </c>
      <c r="BG82" s="31" t="s">
        <v>18431</v>
      </c>
      <c r="BH82" s="31" t="str">
        <f aca="false">HYPERLINK("https%3A%2F%2Fwww.webofscience.com%2Fwos%2Fwoscc%2Ffull-record%2FWOS:001321260400001","View Full Record in Web of Science")</f>
        <v>View Full Record in Web of Science</v>
      </c>
      <c r="BI82" s="31"/>
      <c r="BJ82" s="31"/>
      <c r="BK82" s="31"/>
      <c r="BL82" s="31"/>
      <c r="BM82" s="31"/>
      <c r="BN82" s="31"/>
      <c r="BO82" s="31"/>
      <c r="BP82" s="31"/>
      <c r="BQ82" s="31"/>
      <c r="BR82" s="31"/>
      <c r="BS82" s="31"/>
      <c r="BT82" s="31"/>
      <c r="BU82" s="31"/>
      <c r="BV82" s="31"/>
      <c r="BW82" s="31"/>
      <c r="BX82" s="31"/>
      <c r="BY82" s="31"/>
      <c r="BZ82" s="31"/>
      <c r="CA82" s="31"/>
      <c r="CB82" s="31"/>
      <c r="CC82" s="31"/>
      <c r="CD82" s="31"/>
      <c r="CE82" s="31"/>
      <c r="CF82" s="31"/>
    </row>
    <row r="83" customFormat="false" ht="15.75" hidden="false" customHeight="true" outlineLevel="0" collapsed="false">
      <c r="A83" s="31" t="s">
        <v>16335</v>
      </c>
      <c r="B83" s="31" t="s">
        <v>18432</v>
      </c>
      <c r="C83" s="31" t="s">
        <v>18433</v>
      </c>
      <c r="D83" s="32" t="s">
        <v>18434</v>
      </c>
      <c r="E83" s="31" t="n">
        <v>2025</v>
      </c>
      <c r="F83" s="33" t="s">
        <v>18435</v>
      </c>
      <c r="G83" s="33" t="s">
        <v>134</v>
      </c>
      <c r="H83" s="32"/>
      <c r="I83" s="34"/>
      <c r="J83" s="34"/>
      <c r="K83" s="34"/>
      <c r="L83" s="34"/>
      <c r="M83" s="34"/>
      <c r="N83" s="34"/>
      <c r="O83" s="34"/>
      <c r="P83" s="34" t="n">
        <v>0</v>
      </c>
      <c r="Q83" s="31" t="n">
        <v>0</v>
      </c>
      <c r="R83" s="31" t="s">
        <v>61</v>
      </c>
      <c r="S83" s="31" t="s">
        <v>62</v>
      </c>
      <c r="T83" s="31" t="s">
        <v>18414</v>
      </c>
      <c r="U83" s="31" t="n">
        <v>103</v>
      </c>
      <c r="V83" s="31" t="s">
        <v>18415</v>
      </c>
      <c r="W83" s="31"/>
      <c r="X83" s="31" t="s">
        <v>18436</v>
      </c>
      <c r="Y83" s="31"/>
      <c r="Z83" s="31" t="s">
        <v>18437</v>
      </c>
      <c r="AA83" s="31" t="s">
        <v>18438</v>
      </c>
      <c r="AB83" s="31" t="s">
        <v>18439</v>
      </c>
      <c r="AC83" s="31" t="s">
        <v>18440</v>
      </c>
      <c r="AD83" s="31"/>
      <c r="AE83" s="31" t="s">
        <v>18441</v>
      </c>
      <c r="AF83" s="31" t="s">
        <v>18442</v>
      </c>
      <c r="AG83" s="31" t="s">
        <v>18443</v>
      </c>
      <c r="AH83" s="31" t="s">
        <v>18444</v>
      </c>
      <c r="AI83" s="31" t="n">
        <v>46</v>
      </c>
      <c r="AJ83" s="31" t="n">
        <v>0</v>
      </c>
      <c r="AK83" s="31" t="n">
        <v>0</v>
      </c>
      <c r="AL83" s="31" t="s">
        <v>2626</v>
      </c>
      <c r="AM83" s="31" t="s">
        <v>18422</v>
      </c>
      <c r="AN83" s="31" t="s">
        <v>18423</v>
      </c>
      <c r="AO83" s="31" t="s">
        <v>18424</v>
      </c>
      <c r="AP83" s="31" t="s">
        <v>18425</v>
      </c>
      <c r="AQ83" s="31" t="s">
        <v>7616</v>
      </c>
      <c r="AR83" s="31" t="s">
        <v>17056</v>
      </c>
      <c r="AS83" s="31"/>
      <c r="AT83" s="31"/>
      <c r="AU83" s="31" t="n">
        <v>107470</v>
      </c>
      <c r="AV83" s="31" t="s">
        <v>18445</v>
      </c>
      <c r="AW83" s="35" t="str">
        <f aca="false">HYPERLINK("http://dx.doi.org/10.1016/j.bspc.2024.107470","http://dx.doi.org/10.1016/j.bspc.2024.107470")</f>
        <v>http://dx.doi.org/10.1016/j.bspc.2024.107470</v>
      </c>
      <c r="AX83" s="31"/>
      <c r="AY83" s="31" t="n">
        <v>9</v>
      </c>
      <c r="AZ83" s="31" t="s">
        <v>18428</v>
      </c>
      <c r="BA83" s="31" t="s">
        <v>16366</v>
      </c>
      <c r="BB83" s="31" t="s">
        <v>18429</v>
      </c>
      <c r="BC83" s="31" t="s">
        <v>18446</v>
      </c>
      <c r="BD83" s="31"/>
      <c r="BE83" s="31" t="s">
        <v>16494</v>
      </c>
      <c r="BF83" s="31" t="s">
        <v>16369</v>
      </c>
      <c r="BG83" s="31" t="s">
        <v>18447</v>
      </c>
      <c r="BH83" s="31" t="str">
        <f aca="false">HYPERLINK("https%3A%2F%2Fwww.webofscience.com%2Fwos%2Fwoscc%2Ffull-record%2FWOS:001401546200001","View Full Record in Web of Science")</f>
        <v>View Full Record in Web of Science</v>
      </c>
      <c r="BI83" s="31"/>
      <c r="BJ83" s="31"/>
      <c r="BK83" s="31"/>
      <c r="BL83" s="31"/>
      <c r="BM83" s="31"/>
      <c r="BN83" s="31"/>
      <c r="BO83" s="31"/>
      <c r="BP83" s="31"/>
      <c r="BQ83" s="31"/>
      <c r="BR83" s="31"/>
      <c r="BS83" s="31"/>
      <c r="BT83" s="31"/>
      <c r="BU83" s="31"/>
      <c r="BV83" s="31"/>
      <c r="BW83" s="31"/>
      <c r="BX83" s="31"/>
      <c r="BY83" s="31"/>
      <c r="BZ83" s="31"/>
      <c r="CA83" s="31"/>
      <c r="CB83" s="31"/>
      <c r="CC83" s="31"/>
      <c r="CD83" s="31"/>
      <c r="CE83" s="31"/>
      <c r="CF83" s="31"/>
    </row>
    <row r="84" customFormat="false" ht="15.75" hidden="false" customHeight="true" outlineLevel="0" collapsed="false">
      <c r="A84" s="31" t="s">
        <v>16335</v>
      </c>
      <c r="B84" s="31" t="s">
        <v>18448</v>
      </c>
      <c r="C84" s="31" t="s">
        <v>18449</v>
      </c>
      <c r="D84" s="34" t="s">
        <v>18450</v>
      </c>
      <c r="E84" s="31" t="n">
        <v>2025</v>
      </c>
      <c r="F84" s="33" t="s">
        <v>18451</v>
      </c>
      <c r="G84" s="33" t="s">
        <v>349</v>
      </c>
      <c r="H84" s="32"/>
      <c r="I84" s="34"/>
      <c r="J84" s="34"/>
      <c r="K84" s="34"/>
      <c r="L84" s="34"/>
      <c r="M84" s="34"/>
      <c r="N84" s="34"/>
      <c r="O84" s="34"/>
      <c r="P84" s="34" t="n">
        <v>0</v>
      </c>
      <c r="Q84" s="31" t="n">
        <v>0</v>
      </c>
      <c r="R84" s="31" t="s">
        <v>61</v>
      </c>
      <c r="S84" s="31" t="s">
        <v>62</v>
      </c>
      <c r="T84" s="31" t="s">
        <v>18452</v>
      </c>
      <c r="U84" s="31" t="n">
        <v>44</v>
      </c>
      <c r="V84" s="31" t="s">
        <v>16349</v>
      </c>
      <c r="W84" s="31"/>
      <c r="X84" s="31" t="s">
        <v>18453</v>
      </c>
      <c r="Y84" s="31" t="s">
        <v>18454</v>
      </c>
      <c r="Z84" s="31" t="s">
        <v>18455</v>
      </c>
      <c r="AA84" s="31" t="s">
        <v>18456</v>
      </c>
      <c r="AB84" s="31" t="s">
        <v>18457</v>
      </c>
      <c r="AC84" s="31" t="s">
        <v>18458</v>
      </c>
      <c r="AD84" s="31" t="s">
        <v>18459</v>
      </c>
      <c r="AE84" s="31" t="s">
        <v>18460</v>
      </c>
      <c r="AF84" s="31" t="s">
        <v>18461</v>
      </c>
      <c r="AG84" s="31" t="s">
        <v>18462</v>
      </c>
      <c r="AH84" s="31" t="s">
        <v>18463</v>
      </c>
      <c r="AI84" s="31" t="n">
        <v>38</v>
      </c>
      <c r="AJ84" s="31" t="n">
        <v>4</v>
      </c>
      <c r="AK84" s="31" t="n">
        <v>4</v>
      </c>
      <c r="AL84" s="31" t="s">
        <v>16356</v>
      </c>
      <c r="AM84" s="31" t="s">
        <v>16357</v>
      </c>
      <c r="AN84" s="31" t="s">
        <v>18464</v>
      </c>
      <c r="AO84" s="31"/>
      <c r="AP84" s="31" t="s">
        <v>18465</v>
      </c>
      <c r="AQ84" s="31" t="s">
        <v>18466</v>
      </c>
      <c r="AR84" s="31" t="s">
        <v>16683</v>
      </c>
      <c r="AS84" s="31"/>
      <c r="AT84" s="31"/>
      <c r="AU84" s="31" t="n">
        <v>100453</v>
      </c>
      <c r="AV84" s="31" t="s">
        <v>18467</v>
      </c>
      <c r="AW84" s="35" t="str">
        <f aca="false">HYPERLINK("http://dx.doi.org/10.1016/j.orhc.2024.100453","http://dx.doi.org/10.1016/j.orhc.2024.100453")</f>
        <v>http://dx.doi.org/10.1016/j.orhc.2024.100453</v>
      </c>
      <c r="AX84" s="31" t="s">
        <v>18468</v>
      </c>
      <c r="AY84" s="31" t="n">
        <v>16</v>
      </c>
      <c r="AZ84" s="31" t="s">
        <v>18469</v>
      </c>
      <c r="BA84" s="31" t="s">
        <v>16684</v>
      </c>
      <c r="BB84" s="31" t="s">
        <v>18469</v>
      </c>
      <c r="BC84" s="31" t="s">
        <v>18470</v>
      </c>
      <c r="BD84" s="31"/>
      <c r="BE84" s="31"/>
      <c r="BF84" s="31" t="s">
        <v>16369</v>
      </c>
      <c r="BG84" s="31" t="s">
        <v>18471</v>
      </c>
      <c r="BH84" s="31" t="str">
        <f aca="false">HYPERLINK("https%3A%2F%2Fwww.webofscience.com%2Fwos%2Fwoscc%2Ffull-record%2FWOS:001369132600001","View Full Record in Web of Science")</f>
        <v>View Full Record in Web of Science</v>
      </c>
      <c r="BI84" s="31"/>
      <c r="BJ84" s="31"/>
      <c r="BK84" s="31"/>
      <c r="BL84" s="31"/>
      <c r="BM84" s="31"/>
      <c r="BN84" s="31"/>
      <c r="BO84" s="31"/>
      <c r="BP84" s="31"/>
      <c r="BQ84" s="31"/>
      <c r="BR84" s="31"/>
      <c r="BS84" s="31"/>
      <c r="BT84" s="31"/>
      <c r="BU84" s="31"/>
      <c r="BV84" s="31"/>
      <c r="BW84" s="31"/>
      <c r="BX84" s="31"/>
      <c r="BY84" s="31"/>
      <c r="BZ84" s="31"/>
      <c r="CA84" s="31"/>
      <c r="CB84" s="31"/>
      <c r="CC84" s="31"/>
      <c r="CD84" s="31"/>
      <c r="CE84" s="31"/>
      <c r="CF84" s="31"/>
    </row>
    <row r="85" customFormat="false" ht="15.75" hidden="false" customHeight="true" outlineLevel="0" collapsed="false">
      <c r="A85" s="31" t="s">
        <v>16335</v>
      </c>
      <c r="B85" s="31" t="s">
        <v>18472</v>
      </c>
      <c r="C85" s="31" t="s">
        <v>18473</v>
      </c>
      <c r="D85" s="34" t="s">
        <v>18474</v>
      </c>
      <c r="E85" s="31" t="n">
        <v>2024</v>
      </c>
      <c r="F85" s="33" t="s">
        <v>18475</v>
      </c>
      <c r="G85" s="33" t="s">
        <v>349</v>
      </c>
      <c r="H85" s="32"/>
      <c r="I85" s="34"/>
      <c r="J85" s="34"/>
      <c r="K85" s="34"/>
      <c r="L85" s="34"/>
      <c r="M85" s="34"/>
      <c r="N85" s="34"/>
      <c r="O85" s="34"/>
      <c r="P85" s="34" t="n">
        <v>5</v>
      </c>
      <c r="Q85" s="31" t="n">
        <v>5</v>
      </c>
      <c r="R85" s="31" t="s">
        <v>61</v>
      </c>
      <c r="S85" s="31" t="s">
        <v>62</v>
      </c>
      <c r="T85" s="31" t="s">
        <v>18476</v>
      </c>
      <c r="U85" s="31" t="n">
        <v>43</v>
      </c>
      <c r="V85" s="31" t="s">
        <v>16349</v>
      </c>
      <c r="W85" s="31"/>
      <c r="X85" s="31" t="s">
        <v>18477</v>
      </c>
      <c r="Y85" s="31"/>
      <c r="Z85" s="31" t="s">
        <v>18478</v>
      </c>
      <c r="AA85" s="31" t="s">
        <v>18479</v>
      </c>
      <c r="AB85" s="31" t="s">
        <v>18480</v>
      </c>
      <c r="AC85" s="31" t="s">
        <v>18481</v>
      </c>
      <c r="AD85" s="31" t="s">
        <v>18482</v>
      </c>
      <c r="AE85" s="31" t="s">
        <v>18483</v>
      </c>
      <c r="AF85" s="31" t="s">
        <v>18484</v>
      </c>
      <c r="AG85" s="31" t="s">
        <v>18484</v>
      </c>
      <c r="AH85" s="31" t="s">
        <v>18485</v>
      </c>
      <c r="AI85" s="31" t="n">
        <v>38</v>
      </c>
      <c r="AJ85" s="31" t="n">
        <v>7</v>
      </c>
      <c r="AK85" s="31" t="n">
        <v>9</v>
      </c>
      <c r="AL85" s="31" t="s">
        <v>16356</v>
      </c>
      <c r="AM85" s="31" t="s">
        <v>16357</v>
      </c>
      <c r="AN85" s="31" t="s">
        <v>18486</v>
      </c>
      <c r="AO85" s="31"/>
      <c r="AP85" s="31" t="s">
        <v>18487</v>
      </c>
      <c r="AQ85" s="31" t="s">
        <v>18488</v>
      </c>
      <c r="AR85" s="31" t="s">
        <v>17837</v>
      </c>
      <c r="AS85" s="31"/>
      <c r="AT85" s="31"/>
      <c r="AU85" s="31" t="n">
        <v>100971</v>
      </c>
      <c r="AV85" s="31" t="s">
        <v>18489</v>
      </c>
      <c r="AW85" s="35" t="str">
        <f aca="false">HYPERLINK("http://dx.doi.org/10.1016/j.lanepe.2024.100971","http://dx.doi.org/10.1016/j.lanepe.2024.100971")</f>
        <v>http://dx.doi.org/10.1016/j.lanepe.2024.100971</v>
      </c>
      <c r="AX85" s="31" t="s">
        <v>18490</v>
      </c>
      <c r="AY85" s="31" t="n">
        <v>11</v>
      </c>
      <c r="AZ85" s="31" t="s">
        <v>18491</v>
      </c>
      <c r="BA85" s="31" t="s">
        <v>16584</v>
      </c>
      <c r="BB85" s="31" t="s">
        <v>18491</v>
      </c>
      <c r="BC85" s="31" t="s">
        <v>18492</v>
      </c>
      <c r="BD85" s="31" t="n">
        <v>39040529</v>
      </c>
      <c r="BE85" s="31" t="s">
        <v>18202</v>
      </c>
      <c r="BF85" s="31" t="s">
        <v>16369</v>
      </c>
      <c r="BG85" s="31" t="s">
        <v>18493</v>
      </c>
      <c r="BH85" s="31" t="str">
        <f aca="false">HYPERLINK("https%3A%2F%2Fwww.webofscience.com%2Fwos%2Fwoscc%2Ffull-record%2FWOS:001280895100001","View Full Record in Web of Science")</f>
        <v>View Full Record in Web of Science</v>
      </c>
      <c r="BI85" s="31"/>
      <c r="BJ85" s="31"/>
      <c r="BK85" s="31"/>
      <c r="BL85" s="31"/>
      <c r="BM85" s="31"/>
      <c r="BN85" s="31"/>
      <c r="BO85" s="31"/>
      <c r="BP85" s="31"/>
      <c r="BQ85" s="31"/>
      <c r="BR85" s="31"/>
      <c r="BS85" s="31"/>
      <c r="BT85" s="31"/>
      <c r="BU85" s="31"/>
      <c r="BV85" s="31"/>
      <c r="BW85" s="31"/>
      <c r="BX85" s="31"/>
      <c r="BY85" s="31"/>
      <c r="BZ85" s="31"/>
      <c r="CA85" s="31"/>
      <c r="CB85" s="31"/>
      <c r="CC85" s="31"/>
      <c r="CD85" s="31"/>
      <c r="CE85" s="31"/>
      <c r="CF85" s="31"/>
    </row>
    <row r="86" customFormat="false" ht="15.75" hidden="false" customHeight="true" outlineLevel="0" collapsed="false">
      <c r="A86" s="31" t="s">
        <v>16335</v>
      </c>
      <c r="B86" s="31" t="s">
        <v>18494</v>
      </c>
      <c r="C86" s="31" t="s">
        <v>18495</v>
      </c>
      <c r="D86" s="34" t="s">
        <v>18496</v>
      </c>
      <c r="E86" s="31" t="n">
        <v>2024</v>
      </c>
      <c r="F86" s="33" t="s">
        <v>18497</v>
      </c>
      <c r="G86" s="33" t="s">
        <v>349</v>
      </c>
      <c r="H86" s="32"/>
      <c r="I86" s="34"/>
      <c r="J86" s="34"/>
      <c r="K86" s="34"/>
      <c r="L86" s="34"/>
      <c r="M86" s="34"/>
      <c r="N86" s="34"/>
      <c r="O86" s="34"/>
      <c r="P86" s="34" t="n">
        <v>2</v>
      </c>
      <c r="Q86" s="31" t="n">
        <v>2</v>
      </c>
      <c r="R86" s="31" t="s">
        <v>61</v>
      </c>
      <c r="S86" s="31" t="s">
        <v>62</v>
      </c>
      <c r="T86" s="31" t="s">
        <v>18498</v>
      </c>
      <c r="U86" s="31" t="n">
        <v>2024</v>
      </c>
      <c r="V86" s="31" t="s">
        <v>16475</v>
      </c>
      <c r="W86" s="31"/>
      <c r="X86" s="31"/>
      <c r="Y86" s="31"/>
      <c r="Z86" s="31" t="s">
        <v>18499</v>
      </c>
      <c r="AA86" s="31" t="s">
        <v>18500</v>
      </c>
      <c r="AB86" s="31" t="s">
        <v>18501</v>
      </c>
      <c r="AC86" s="31" t="s">
        <v>18502</v>
      </c>
      <c r="AD86" s="31" t="s">
        <v>18503</v>
      </c>
      <c r="AE86" s="31" t="s">
        <v>18504</v>
      </c>
      <c r="AF86" s="31"/>
      <c r="AG86" s="31"/>
      <c r="AH86" s="31"/>
      <c r="AI86" s="31" t="n">
        <v>31</v>
      </c>
      <c r="AJ86" s="31" t="n">
        <v>3</v>
      </c>
      <c r="AK86" s="31" t="n">
        <v>3</v>
      </c>
      <c r="AL86" s="31" t="s">
        <v>16485</v>
      </c>
      <c r="AM86" s="31" t="s">
        <v>16486</v>
      </c>
      <c r="AN86" s="31" t="s">
        <v>18505</v>
      </c>
      <c r="AO86" s="31" t="s">
        <v>18506</v>
      </c>
      <c r="AP86" s="31" t="s">
        <v>18507</v>
      </c>
      <c r="AQ86" s="31" t="s">
        <v>18508</v>
      </c>
      <c r="AR86" s="31" t="s">
        <v>18509</v>
      </c>
      <c r="AS86" s="31"/>
      <c r="AT86" s="31"/>
      <c r="AU86" s="31" t="n">
        <v>2757381</v>
      </c>
      <c r="AV86" s="31" t="s">
        <v>18510</v>
      </c>
      <c r="AW86" s="35" t="str">
        <f aca="false">HYPERLINK("http://dx.doi.org/10.1155/2024/2757381","http://dx.doi.org/10.1155/2024/2757381")</f>
        <v>http://dx.doi.org/10.1155/2024/2757381</v>
      </c>
      <c r="AX86" s="31"/>
      <c r="AY86" s="31" t="n">
        <v>12</v>
      </c>
      <c r="AZ86" s="31" t="s">
        <v>18511</v>
      </c>
      <c r="BA86" s="31" t="s">
        <v>16366</v>
      </c>
      <c r="BB86" s="31" t="s">
        <v>18512</v>
      </c>
      <c r="BC86" s="31" t="s">
        <v>18513</v>
      </c>
      <c r="BD86" s="31"/>
      <c r="BE86" s="31" t="s">
        <v>16431</v>
      </c>
      <c r="BF86" s="31" t="s">
        <v>16369</v>
      </c>
      <c r="BG86" s="31" t="s">
        <v>18514</v>
      </c>
      <c r="BH86" s="31" t="str">
        <f aca="false">HYPERLINK("https%3A%2F%2Fwww.webofscience.com%2Fwos%2Fwoscc%2Ffull-record%2FWOS:001226835600001","View Full Record in Web of Science")</f>
        <v>View Full Record in Web of Science</v>
      </c>
      <c r="BI86" s="31"/>
      <c r="BJ86" s="31"/>
      <c r="BK86" s="31"/>
      <c r="BL86" s="31"/>
      <c r="BM86" s="31"/>
      <c r="BN86" s="31"/>
      <c r="BO86" s="31"/>
      <c r="BP86" s="31"/>
      <c r="BQ86" s="31"/>
      <c r="BR86" s="31"/>
      <c r="BS86" s="31"/>
      <c r="BT86" s="31"/>
      <c r="BU86" s="31"/>
      <c r="BV86" s="31"/>
      <c r="BW86" s="31"/>
      <c r="BX86" s="31"/>
      <c r="BY86" s="31"/>
      <c r="BZ86" s="31"/>
      <c r="CA86" s="31"/>
      <c r="CB86" s="31"/>
      <c r="CC86" s="31"/>
      <c r="CD86" s="31"/>
      <c r="CE86" s="31"/>
      <c r="CF86" s="31"/>
    </row>
    <row r="87" customFormat="false" ht="15.75" hidden="false" customHeight="true" outlineLevel="0" collapsed="false">
      <c r="A87" s="31" t="s">
        <v>16335</v>
      </c>
      <c r="B87" s="31" t="s">
        <v>18515</v>
      </c>
      <c r="C87" s="31" t="s">
        <v>18516</v>
      </c>
      <c r="D87" s="34" t="s">
        <v>18517</v>
      </c>
      <c r="E87" s="31" t="n">
        <v>2024</v>
      </c>
      <c r="F87" s="33" t="s">
        <v>18518</v>
      </c>
      <c r="G87" s="33" t="s">
        <v>134</v>
      </c>
      <c r="H87" s="32"/>
      <c r="I87" s="34"/>
      <c r="J87" s="34"/>
      <c r="K87" s="34"/>
      <c r="L87" s="34"/>
      <c r="M87" s="34"/>
      <c r="N87" s="34"/>
      <c r="O87" s="34"/>
      <c r="P87" s="34" t="n">
        <v>0</v>
      </c>
      <c r="Q87" s="31" t="n">
        <v>0</v>
      </c>
      <c r="R87" s="31" t="s">
        <v>61</v>
      </c>
      <c r="S87" s="31" t="s">
        <v>62</v>
      </c>
      <c r="T87" s="31" t="s">
        <v>18519</v>
      </c>
      <c r="U87" s="31" t="n">
        <v>19</v>
      </c>
      <c r="V87" s="31" t="s">
        <v>16845</v>
      </c>
      <c r="W87" s="31" t="n">
        <v>10</v>
      </c>
      <c r="X87" s="31"/>
      <c r="Y87" s="31" t="s">
        <v>18520</v>
      </c>
      <c r="Z87" s="31" t="s">
        <v>18521</v>
      </c>
      <c r="AA87" s="31" t="s">
        <v>18522</v>
      </c>
      <c r="AB87" s="31" t="s">
        <v>18523</v>
      </c>
      <c r="AC87" s="31" t="s">
        <v>18524</v>
      </c>
      <c r="AD87" s="31" t="s">
        <v>18525</v>
      </c>
      <c r="AE87" s="31" t="s">
        <v>18526</v>
      </c>
      <c r="AF87" s="31" t="s">
        <v>18527</v>
      </c>
      <c r="AG87" s="31" t="s">
        <v>18528</v>
      </c>
      <c r="AH87" s="31" t="s">
        <v>18529</v>
      </c>
      <c r="AI87" s="31" t="n">
        <v>54</v>
      </c>
      <c r="AJ87" s="31" t="n">
        <v>4</v>
      </c>
      <c r="AK87" s="31" t="n">
        <v>4</v>
      </c>
      <c r="AL87" s="31" t="s">
        <v>16855</v>
      </c>
      <c r="AM87" s="31" t="s">
        <v>16856</v>
      </c>
      <c r="AN87" s="31" t="s">
        <v>18530</v>
      </c>
      <c r="AO87" s="31"/>
      <c r="AP87" s="31" t="s">
        <v>18519</v>
      </c>
      <c r="AQ87" s="31" t="s">
        <v>18531</v>
      </c>
      <c r="AR87" s="31" t="s">
        <v>18532</v>
      </c>
      <c r="AS87" s="31"/>
      <c r="AT87" s="31"/>
      <c r="AU87" s="31" t="s">
        <v>18533</v>
      </c>
      <c r="AV87" s="31" t="s">
        <v>18534</v>
      </c>
      <c r="AW87" s="35" t="str">
        <f aca="false">HYPERLINK("http://dx.doi.org/10.1371/journal.pone.0309816","http://dx.doi.org/10.1371/journal.pone.0309816")</f>
        <v>http://dx.doi.org/10.1371/journal.pone.0309816</v>
      </c>
      <c r="AX87" s="31"/>
      <c r="AY87" s="31" t="n">
        <v>22</v>
      </c>
      <c r="AZ87" s="31" t="s">
        <v>16428</v>
      </c>
      <c r="BA87" s="31" t="s">
        <v>16366</v>
      </c>
      <c r="BB87" s="31" t="s">
        <v>16429</v>
      </c>
      <c r="BC87" s="31" t="s">
        <v>18535</v>
      </c>
      <c r="BD87" s="31" t="n">
        <v>39466830</v>
      </c>
      <c r="BE87" s="31" t="s">
        <v>17194</v>
      </c>
      <c r="BF87" s="31" t="s">
        <v>16369</v>
      </c>
      <c r="BG87" s="31" t="s">
        <v>18536</v>
      </c>
      <c r="BH87" s="31" t="str">
        <f aca="false">HYPERLINK("https%3A%2F%2Fwww.webofscience.com%2Fwos%2Fwoscc%2Ffull-record%2FWOS:001344593100047","View Full Record in Web of Science")</f>
        <v>View Full Record in Web of Science</v>
      </c>
      <c r="BI87" s="31"/>
      <c r="BJ87" s="31"/>
      <c r="BK87" s="31"/>
      <c r="BL87" s="31"/>
      <c r="BM87" s="31"/>
      <c r="BN87" s="31"/>
      <c r="BO87" s="31"/>
      <c r="BP87" s="31"/>
      <c r="BQ87" s="31"/>
      <c r="BR87" s="31"/>
      <c r="BS87" s="31"/>
      <c r="BT87" s="31"/>
      <c r="BU87" s="31"/>
      <c r="BV87" s="31"/>
      <c r="BW87" s="31"/>
      <c r="BX87" s="31"/>
      <c r="BY87" s="31"/>
      <c r="BZ87" s="31"/>
      <c r="CA87" s="31"/>
      <c r="CB87" s="31"/>
      <c r="CC87" s="31"/>
      <c r="CD87" s="31"/>
      <c r="CE87" s="31"/>
      <c r="CF87" s="31"/>
    </row>
    <row r="88" customFormat="false" ht="15.75" hidden="false" customHeight="true" outlineLevel="0" collapsed="false">
      <c r="A88" s="31" t="s">
        <v>16335</v>
      </c>
      <c r="B88" s="31" t="s">
        <v>18537</v>
      </c>
      <c r="C88" s="31" t="s">
        <v>18538</v>
      </c>
      <c r="D88" s="34" t="s">
        <v>18539</v>
      </c>
      <c r="E88" s="31" t="n">
        <v>2024</v>
      </c>
      <c r="F88" s="33" t="s">
        <v>18540</v>
      </c>
      <c r="G88" s="33" t="s">
        <v>134</v>
      </c>
      <c r="H88" s="32"/>
      <c r="I88" s="34"/>
      <c r="J88" s="34"/>
      <c r="K88" s="34"/>
      <c r="L88" s="34"/>
      <c r="M88" s="34"/>
      <c r="N88" s="34"/>
      <c r="O88" s="34"/>
      <c r="P88" s="34" t="n">
        <v>2</v>
      </c>
      <c r="Q88" s="31" t="n">
        <v>2</v>
      </c>
      <c r="R88" s="31" t="s">
        <v>61</v>
      </c>
      <c r="S88" s="31" t="s">
        <v>62</v>
      </c>
      <c r="T88" s="31" t="s">
        <v>18414</v>
      </c>
      <c r="U88" s="31" t="n">
        <v>94</v>
      </c>
      <c r="V88" s="31" t="s">
        <v>18415</v>
      </c>
      <c r="W88" s="31"/>
      <c r="X88" s="31" t="s">
        <v>18541</v>
      </c>
      <c r="Y88" s="31" t="s">
        <v>18542</v>
      </c>
      <c r="Z88" s="31" t="s">
        <v>18543</v>
      </c>
      <c r="AA88" s="31" t="s">
        <v>18544</v>
      </c>
      <c r="AB88" s="31" t="s">
        <v>18545</v>
      </c>
      <c r="AC88" s="31" t="s">
        <v>18546</v>
      </c>
      <c r="AD88" s="31" t="s">
        <v>18547</v>
      </c>
      <c r="AE88" s="31" t="s">
        <v>18548</v>
      </c>
      <c r="AF88" s="33" t="s">
        <v>18549</v>
      </c>
      <c r="AG88" s="31" t="s">
        <v>18550</v>
      </c>
      <c r="AH88" s="31" t="s">
        <v>18551</v>
      </c>
      <c r="AI88" s="31" t="n">
        <v>64</v>
      </c>
      <c r="AJ88" s="31" t="n">
        <v>4</v>
      </c>
      <c r="AK88" s="31" t="n">
        <v>8</v>
      </c>
      <c r="AL88" s="31" t="s">
        <v>2626</v>
      </c>
      <c r="AM88" s="31" t="s">
        <v>18422</v>
      </c>
      <c r="AN88" s="31" t="s">
        <v>18423</v>
      </c>
      <c r="AO88" s="31" t="s">
        <v>18424</v>
      </c>
      <c r="AP88" s="31" t="s">
        <v>18425</v>
      </c>
      <c r="AQ88" s="31" t="s">
        <v>7616</v>
      </c>
      <c r="AR88" s="31" t="s">
        <v>17837</v>
      </c>
      <c r="AS88" s="31"/>
      <c r="AT88" s="31"/>
      <c r="AU88" s="31" t="n">
        <v>106289</v>
      </c>
      <c r="AV88" s="31" t="s">
        <v>18552</v>
      </c>
      <c r="AW88" s="35" t="str">
        <f aca="false">HYPERLINK("http://dx.doi.org/10.1016/j.bspc.2024.106289","http://dx.doi.org/10.1016/j.bspc.2024.106289")</f>
        <v>http://dx.doi.org/10.1016/j.bspc.2024.106289</v>
      </c>
      <c r="AX88" s="31" t="s">
        <v>18553</v>
      </c>
      <c r="AY88" s="31" t="n">
        <v>15</v>
      </c>
      <c r="AZ88" s="31" t="s">
        <v>18428</v>
      </c>
      <c r="BA88" s="31" t="s">
        <v>16366</v>
      </c>
      <c r="BB88" s="31" t="s">
        <v>18429</v>
      </c>
      <c r="BC88" s="31" t="s">
        <v>18554</v>
      </c>
      <c r="BD88" s="31"/>
      <c r="BE88" s="31" t="s">
        <v>17842</v>
      </c>
      <c r="BF88" s="31" t="s">
        <v>16369</v>
      </c>
      <c r="BG88" s="31" t="s">
        <v>18555</v>
      </c>
      <c r="BH88" s="31" t="str">
        <f aca="false">HYPERLINK("https%3A%2F%2Fwww.webofscience.com%2Fwos%2Fwoscc%2Ffull-record%2FWOS:001220378500001","View Full Record in Web of Science")</f>
        <v>View Full Record in Web of Science</v>
      </c>
      <c r="BI88" s="31"/>
      <c r="BJ88" s="31"/>
      <c r="BK88" s="31"/>
      <c r="BL88" s="31"/>
      <c r="BM88" s="31"/>
      <c r="BN88" s="31"/>
      <c r="BO88" s="31"/>
      <c r="BP88" s="31"/>
      <c r="BQ88" s="31"/>
      <c r="BR88" s="31"/>
      <c r="BS88" s="31"/>
      <c r="BT88" s="31"/>
      <c r="BU88" s="31"/>
      <c r="BV88" s="31"/>
      <c r="BW88" s="31"/>
      <c r="BX88" s="31"/>
      <c r="BY88" s="31"/>
      <c r="BZ88" s="31"/>
      <c r="CA88" s="31"/>
      <c r="CB88" s="31"/>
      <c r="CC88" s="31"/>
      <c r="CD88" s="31"/>
      <c r="CE88" s="31"/>
      <c r="CF88" s="31"/>
    </row>
    <row r="89" customFormat="false" ht="15.75" hidden="false" customHeight="true" outlineLevel="0" collapsed="false">
      <c r="A89" s="31" t="s">
        <v>16335</v>
      </c>
      <c r="B89" s="31" t="s">
        <v>18556</v>
      </c>
      <c r="C89" s="31" t="s">
        <v>18557</v>
      </c>
      <c r="D89" s="34" t="s">
        <v>18558</v>
      </c>
      <c r="E89" s="31" t="n">
        <v>2024</v>
      </c>
      <c r="F89" s="33" t="s">
        <v>18559</v>
      </c>
      <c r="G89" s="33" t="s">
        <v>134</v>
      </c>
      <c r="H89" s="32"/>
      <c r="I89" s="34"/>
      <c r="J89" s="34"/>
      <c r="K89" s="34"/>
      <c r="L89" s="34"/>
      <c r="M89" s="34"/>
      <c r="N89" s="34"/>
      <c r="O89" s="34"/>
      <c r="P89" s="34" t="n">
        <v>4</v>
      </c>
      <c r="Q89" s="31" t="n">
        <v>4</v>
      </c>
      <c r="R89" s="31" t="s">
        <v>61</v>
      </c>
      <c r="S89" s="31" t="s">
        <v>62</v>
      </c>
      <c r="T89" s="31" t="s">
        <v>17972</v>
      </c>
      <c r="U89" s="31" t="n">
        <v>24</v>
      </c>
      <c r="V89" s="31" t="s">
        <v>17599</v>
      </c>
      <c r="W89" s="31" t="n">
        <v>1</v>
      </c>
      <c r="X89" s="31" t="s">
        <v>18560</v>
      </c>
      <c r="Y89" s="31"/>
      <c r="Z89" s="31" t="s">
        <v>18561</v>
      </c>
      <c r="AA89" s="31" t="s">
        <v>18562</v>
      </c>
      <c r="AB89" s="31" t="s">
        <v>18563</v>
      </c>
      <c r="AC89" s="31" t="s">
        <v>18564</v>
      </c>
      <c r="AD89" s="31" t="s">
        <v>18565</v>
      </c>
      <c r="AE89" s="31"/>
      <c r="AF89" s="31" t="s">
        <v>18566</v>
      </c>
      <c r="AG89" s="31" t="s">
        <v>18567</v>
      </c>
      <c r="AH89" s="31" t="s">
        <v>18568</v>
      </c>
      <c r="AI89" s="31" t="n">
        <v>64</v>
      </c>
      <c r="AJ89" s="31" t="n">
        <v>1</v>
      </c>
      <c r="AK89" s="31" t="n">
        <v>3</v>
      </c>
      <c r="AL89" s="31" t="s">
        <v>16821</v>
      </c>
      <c r="AM89" s="31" t="s">
        <v>17609</v>
      </c>
      <c r="AN89" s="31"/>
      <c r="AO89" s="31" t="s">
        <v>17984</v>
      </c>
      <c r="AP89" s="31" t="s">
        <v>17985</v>
      </c>
      <c r="AQ89" s="31" t="s">
        <v>2104</v>
      </c>
      <c r="AR89" s="31" t="s">
        <v>18028</v>
      </c>
      <c r="AS89" s="31"/>
      <c r="AT89" s="31"/>
      <c r="AU89" s="31" t="n">
        <v>551</v>
      </c>
      <c r="AV89" s="31" t="s">
        <v>18569</v>
      </c>
      <c r="AW89" s="35" t="str">
        <f aca="false">HYPERLINK("http://dx.doi.org/10.1186/s12879-024-09428-4","http://dx.doi.org/10.1186/s12879-024-09428-4")</f>
        <v>http://dx.doi.org/10.1186/s12879-024-09428-4</v>
      </c>
      <c r="AX89" s="31"/>
      <c r="AY89" s="31" t="n">
        <v>13</v>
      </c>
      <c r="AZ89" s="31" t="s">
        <v>8184</v>
      </c>
      <c r="BA89" s="31" t="s">
        <v>16366</v>
      </c>
      <c r="BB89" s="31" t="s">
        <v>8184</v>
      </c>
      <c r="BC89" s="31" t="s">
        <v>18570</v>
      </c>
      <c r="BD89" s="31" t="n">
        <v>38824500</v>
      </c>
      <c r="BE89" s="31" t="s">
        <v>16832</v>
      </c>
      <c r="BF89" s="31" t="s">
        <v>16369</v>
      </c>
      <c r="BG89" s="31" t="s">
        <v>18571</v>
      </c>
      <c r="BH89" s="31" t="str">
        <f aca="false">HYPERLINK("https%3A%2F%2Fwww.webofscience.com%2Fwos%2Fwoscc%2Ffull-record%2FWOS:001236826800001","View Full Record in Web of Science")</f>
        <v>View Full Record in Web of Science</v>
      </c>
      <c r="BI89" s="31"/>
      <c r="BJ89" s="31"/>
      <c r="BK89" s="31"/>
      <c r="BL89" s="31"/>
      <c r="BM89" s="31"/>
      <c r="BN89" s="31"/>
      <c r="BO89" s="31"/>
      <c r="BP89" s="31"/>
      <c r="BQ89" s="31"/>
      <c r="BR89" s="31"/>
      <c r="BS89" s="31"/>
      <c r="BT89" s="31"/>
      <c r="BU89" s="31"/>
      <c r="BV89" s="31"/>
      <c r="BW89" s="31"/>
      <c r="BX89" s="31"/>
      <c r="BY89" s="31"/>
      <c r="BZ89" s="31"/>
      <c r="CA89" s="31"/>
      <c r="CB89" s="31"/>
      <c r="CC89" s="31"/>
      <c r="CD89" s="31"/>
      <c r="CE89" s="31"/>
      <c r="CF89" s="31"/>
    </row>
    <row r="90" customFormat="false" ht="15.75" hidden="false" customHeight="true" outlineLevel="0" collapsed="false">
      <c r="A90" s="31" t="s">
        <v>16335</v>
      </c>
      <c r="B90" s="31" t="s">
        <v>18572</v>
      </c>
      <c r="C90" s="31" t="s">
        <v>18573</v>
      </c>
      <c r="D90" s="34" t="s">
        <v>18574</v>
      </c>
      <c r="E90" s="31" t="n">
        <v>2024</v>
      </c>
      <c r="F90" s="33" t="s">
        <v>18575</v>
      </c>
      <c r="G90" s="33" t="s">
        <v>349</v>
      </c>
      <c r="H90" s="32"/>
      <c r="I90" s="34"/>
      <c r="J90" s="34"/>
      <c r="K90" s="34"/>
      <c r="L90" s="34"/>
      <c r="M90" s="34"/>
      <c r="N90" s="34"/>
      <c r="O90" s="34"/>
      <c r="P90" s="34" t="n">
        <v>3</v>
      </c>
      <c r="Q90" s="31" t="n">
        <v>3</v>
      </c>
      <c r="R90" s="31" t="s">
        <v>61</v>
      </c>
      <c r="S90" s="31" t="s">
        <v>62</v>
      </c>
      <c r="T90" s="31" t="s">
        <v>16413</v>
      </c>
      <c r="U90" s="31" t="n">
        <v>14</v>
      </c>
      <c r="V90" s="31" t="s">
        <v>16414</v>
      </c>
      <c r="W90" s="31" t="n">
        <v>1</v>
      </c>
      <c r="X90" s="31"/>
      <c r="Y90" s="31" t="s">
        <v>18576</v>
      </c>
      <c r="Z90" s="31" t="s">
        <v>18577</v>
      </c>
      <c r="AA90" s="31" t="s">
        <v>18578</v>
      </c>
      <c r="AB90" s="31" t="s">
        <v>18579</v>
      </c>
      <c r="AC90" s="31" t="s">
        <v>18580</v>
      </c>
      <c r="AD90" s="31" t="s">
        <v>18581</v>
      </c>
      <c r="AE90" s="31"/>
      <c r="AF90" s="31" t="s">
        <v>18582</v>
      </c>
      <c r="AG90" s="31" t="s">
        <v>18583</v>
      </c>
      <c r="AH90" s="31" t="s">
        <v>18584</v>
      </c>
      <c r="AI90" s="31" t="n">
        <v>57</v>
      </c>
      <c r="AJ90" s="31" t="n">
        <v>6</v>
      </c>
      <c r="AK90" s="31" t="n">
        <v>11</v>
      </c>
      <c r="AL90" s="31" t="s">
        <v>16421</v>
      </c>
      <c r="AM90" s="31" t="s">
        <v>16422</v>
      </c>
      <c r="AN90" s="31" t="s">
        <v>16423</v>
      </c>
      <c r="AO90" s="31"/>
      <c r="AP90" s="31" t="s">
        <v>16424</v>
      </c>
      <c r="AQ90" s="31" t="s">
        <v>16425</v>
      </c>
      <c r="AR90" s="31" t="s">
        <v>18585</v>
      </c>
      <c r="AS90" s="31"/>
      <c r="AT90" s="31"/>
      <c r="AU90" s="31" t="n">
        <v>3807</v>
      </c>
      <c r="AV90" s="31" t="s">
        <v>18586</v>
      </c>
      <c r="AW90" s="35" t="str">
        <f aca="false">HYPERLINK("http://dx.doi.org/10.1038/s41598-024-52796-9","http://dx.doi.org/10.1038/s41598-024-52796-9")</f>
        <v>http://dx.doi.org/10.1038/s41598-024-52796-9</v>
      </c>
      <c r="AX90" s="31"/>
      <c r="AY90" s="31" t="n">
        <v>17</v>
      </c>
      <c r="AZ90" s="31" t="s">
        <v>16428</v>
      </c>
      <c r="BA90" s="31" t="s">
        <v>16366</v>
      </c>
      <c r="BB90" s="31" t="s">
        <v>16429</v>
      </c>
      <c r="BC90" s="31" t="s">
        <v>18587</v>
      </c>
      <c r="BD90" s="31" t="n">
        <v>38360915</v>
      </c>
      <c r="BE90" s="31" t="s">
        <v>16431</v>
      </c>
      <c r="BF90" s="31" t="s">
        <v>16369</v>
      </c>
      <c r="BG90" s="31" t="s">
        <v>18588</v>
      </c>
      <c r="BH90" s="31" t="str">
        <f aca="false">HYPERLINK("https%3A%2F%2Fwww.webofscience.com%2Fwos%2Fwoscc%2Ffull-record%2FWOS:001163476700013","View Full Record in Web of Science")</f>
        <v>View Full Record in Web of Science</v>
      </c>
      <c r="BI90" s="31"/>
      <c r="BJ90" s="31"/>
      <c r="BK90" s="31"/>
      <c r="BL90" s="31"/>
      <c r="BM90" s="31"/>
      <c r="BN90" s="31"/>
      <c r="BO90" s="31"/>
      <c r="BP90" s="31"/>
      <c r="BQ90" s="31"/>
      <c r="BR90" s="31"/>
      <c r="BS90" s="31"/>
      <c r="BT90" s="31"/>
      <c r="BU90" s="31"/>
      <c r="BV90" s="31"/>
      <c r="BW90" s="31"/>
      <c r="BX90" s="31"/>
      <c r="BY90" s="31"/>
      <c r="BZ90" s="31"/>
      <c r="CA90" s="31"/>
      <c r="CB90" s="31"/>
      <c r="CC90" s="31"/>
      <c r="CD90" s="31"/>
      <c r="CE90" s="31"/>
      <c r="CF90" s="31"/>
    </row>
    <row r="91" customFormat="false" ht="15.75" hidden="false" customHeight="true" outlineLevel="0" collapsed="false">
      <c r="A91" s="31" t="s">
        <v>16335</v>
      </c>
      <c r="B91" s="31" t="s">
        <v>18589</v>
      </c>
      <c r="C91" s="31" t="s">
        <v>18590</v>
      </c>
      <c r="D91" s="34" t="s">
        <v>18591</v>
      </c>
      <c r="E91" s="31" t="n">
        <v>2024</v>
      </c>
      <c r="F91" s="33" t="s">
        <v>18592</v>
      </c>
      <c r="G91" s="33" t="s">
        <v>393</v>
      </c>
      <c r="H91" s="32"/>
      <c r="I91" s="34"/>
      <c r="J91" s="34"/>
      <c r="K91" s="34"/>
      <c r="L91" s="34"/>
      <c r="M91" s="34"/>
      <c r="N91" s="34"/>
      <c r="O91" s="34"/>
      <c r="P91" s="34" t="n">
        <v>0</v>
      </c>
      <c r="Q91" s="31" t="n">
        <v>0</v>
      </c>
      <c r="R91" s="31" t="s">
        <v>61</v>
      </c>
      <c r="S91" s="31" t="s">
        <v>62</v>
      </c>
      <c r="T91" s="31" t="s">
        <v>16844</v>
      </c>
      <c r="U91" s="31" t="n">
        <v>18</v>
      </c>
      <c r="V91" s="31" t="s">
        <v>16845</v>
      </c>
      <c r="W91" s="31" t="n">
        <v>12</v>
      </c>
      <c r="X91" s="31"/>
      <c r="Y91" s="31"/>
      <c r="Z91" s="31" t="s">
        <v>18593</v>
      </c>
      <c r="AA91" s="31" t="s">
        <v>18594</v>
      </c>
      <c r="AB91" s="31" t="s">
        <v>18595</v>
      </c>
      <c r="AC91" s="31" t="s">
        <v>18596</v>
      </c>
      <c r="AD91" s="31" t="s">
        <v>18597</v>
      </c>
      <c r="AE91" s="31" t="s">
        <v>18598</v>
      </c>
      <c r="AF91" s="31" t="s">
        <v>18599</v>
      </c>
      <c r="AG91" s="31" t="s">
        <v>18600</v>
      </c>
      <c r="AH91" s="31" t="s">
        <v>18601</v>
      </c>
      <c r="AI91" s="31" t="n">
        <v>40</v>
      </c>
      <c r="AJ91" s="31" t="n">
        <v>0</v>
      </c>
      <c r="AK91" s="31" t="n">
        <v>0</v>
      </c>
      <c r="AL91" s="31" t="s">
        <v>16855</v>
      </c>
      <c r="AM91" s="31" t="s">
        <v>16856</v>
      </c>
      <c r="AN91" s="31" t="s">
        <v>16857</v>
      </c>
      <c r="AO91" s="31"/>
      <c r="AP91" s="31" t="s">
        <v>16858</v>
      </c>
      <c r="AQ91" s="31" t="s">
        <v>16859</v>
      </c>
      <c r="AR91" s="31" t="s">
        <v>16649</v>
      </c>
      <c r="AS91" s="31"/>
      <c r="AT91" s="31"/>
      <c r="AU91" s="31" t="s">
        <v>18602</v>
      </c>
      <c r="AV91" s="31" t="s">
        <v>18603</v>
      </c>
      <c r="AW91" s="35" t="str">
        <f aca="false">HYPERLINK("http://dx.doi.org/10.1371/journal.pntd.0012736","http://dx.doi.org/10.1371/journal.pntd.0012736")</f>
        <v>http://dx.doi.org/10.1371/journal.pntd.0012736</v>
      </c>
      <c r="AX91" s="31"/>
      <c r="AY91" s="31" t="n">
        <v>15</v>
      </c>
      <c r="AZ91" s="31" t="s">
        <v>16862</v>
      </c>
      <c r="BA91" s="31" t="s">
        <v>16366</v>
      </c>
      <c r="BB91" s="31" t="s">
        <v>16862</v>
      </c>
      <c r="BC91" s="31" t="s">
        <v>18604</v>
      </c>
      <c r="BD91" s="31" t="n">
        <v>39671447</v>
      </c>
      <c r="BE91" s="31" t="s">
        <v>16431</v>
      </c>
      <c r="BF91" s="31" t="s">
        <v>16369</v>
      </c>
      <c r="BG91" s="31" t="s">
        <v>18605</v>
      </c>
      <c r="BH91" s="31" t="str">
        <f aca="false">HYPERLINK("https%3A%2F%2Fwww.webofscience.com%2Fwos%2Fwoscc%2Ffull-record%2FWOS:001413568300005","View Full Record in Web of Science")</f>
        <v>View Full Record in Web of Science</v>
      </c>
      <c r="BI91" s="31"/>
      <c r="BJ91" s="31"/>
      <c r="BK91" s="31"/>
      <c r="BL91" s="31"/>
      <c r="BM91" s="31"/>
      <c r="BN91" s="31"/>
      <c r="BO91" s="31"/>
      <c r="BP91" s="31"/>
      <c r="BQ91" s="31"/>
      <c r="BR91" s="31"/>
      <c r="BS91" s="31"/>
      <c r="BT91" s="31"/>
      <c r="BU91" s="31"/>
      <c r="BV91" s="31"/>
      <c r="BW91" s="31"/>
      <c r="BX91" s="31"/>
      <c r="BY91" s="31"/>
      <c r="BZ91" s="31"/>
      <c r="CA91" s="31"/>
      <c r="CB91" s="31"/>
      <c r="CC91" s="31"/>
      <c r="CD91" s="31"/>
      <c r="CE91" s="31"/>
      <c r="CF91" s="31"/>
    </row>
    <row r="92" customFormat="false" ht="15.75" hidden="false" customHeight="true" outlineLevel="0" collapsed="false">
      <c r="A92" s="31" t="s">
        <v>16335</v>
      </c>
      <c r="B92" s="31" t="s">
        <v>18606</v>
      </c>
      <c r="C92" s="31" t="s">
        <v>18607</v>
      </c>
      <c r="D92" s="34" t="s">
        <v>18608</v>
      </c>
      <c r="E92" s="31" t="n">
        <v>2024</v>
      </c>
      <c r="F92" s="33" t="s">
        <v>18609</v>
      </c>
      <c r="G92" s="33" t="s">
        <v>134</v>
      </c>
      <c r="H92" s="32"/>
      <c r="I92" s="34"/>
      <c r="J92" s="34"/>
      <c r="K92" s="34"/>
      <c r="L92" s="34"/>
      <c r="M92" s="34"/>
      <c r="N92" s="34"/>
      <c r="O92" s="34"/>
      <c r="P92" s="34" t="n">
        <v>0</v>
      </c>
      <c r="Q92" s="31" t="n">
        <v>0</v>
      </c>
      <c r="R92" s="31" t="s">
        <v>61</v>
      </c>
      <c r="S92" s="31" t="s">
        <v>62</v>
      </c>
      <c r="T92" s="31" t="s">
        <v>16348</v>
      </c>
      <c r="U92" s="31" t="n">
        <v>294</v>
      </c>
      <c r="V92" s="31" t="s">
        <v>16349</v>
      </c>
      <c r="W92" s="31"/>
      <c r="X92" s="31" t="s">
        <v>18610</v>
      </c>
      <c r="Y92" s="31" t="s">
        <v>18611</v>
      </c>
      <c r="Z92" s="31" t="s">
        <v>18612</v>
      </c>
      <c r="AA92" s="31" t="s">
        <v>18613</v>
      </c>
      <c r="AB92" s="31" t="s">
        <v>18614</v>
      </c>
      <c r="AC92" s="31" t="s">
        <v>18615</v>
      </c>
      <c r="AD92" s="31" t="s">
        <v>18616</v>
      </c>
      <c r="AE92" s="31" t="s">
        <v>18617</v>
      </c>
      <c r="AF92" s="31" t="s">
        <v>18618</v>
      </c>
      <c r="AG92" s="31" t="s">
        <v>18619</v>
      </c>
      <c r="AH92" s="31" t="s">
        <v>18620</v>
      </c>
      <c r="AI92" s="31" t="n">
        <v>56</v>
      </c>
      <c r="AJ92" s="31" t="n">
        <v>2</v>
      </c>
      <c r="AK92" s="31" t="n">
        <v>2</v>
      </c>
      <c r="AL92" s="31" t="s">
        <v>16356</v>
      </c>
      <c r="AM92" s="31" t="s">
        <v>16357</v>
      </c>
      <c r="AN92" s="31" t="s">
        <v>16358</v>
      </c>
      <c r="AO92" s="31" t="s">
        <v>16359</v>
      </c>
      <c r="AP92" s="31" t="s">
        <v>16360</v>
      </c>
      <c r="AQ92" s="31" t="s">
        <v>16361</v>
      </c>
      <c r="AR92" s="31" t="s">
        <v>18621</v>
      </c>
      <c r="AS92" s="31"/>
      <c r="AT92" s="31"/>
      <c r="AU92" s="31" t="n">
        <v>111764</v>
      </c>
      <c r="AV92" s="31" t="s">
        <v>18622</v>
      </c>
      <c r="AW92" s="35" t="str">
        <f aca="false">HYPERLINK("http://dx.doi.org/10.1016/j.knosys.2024.111764","http://dx.doi.org/10.1016/j.knosys.2024.111764")</f>
        <v>http://dx.doi.org/10.1016/j.knosys.2024.111764</v>
      </c>
      <c r="AX92" s="31" t="s">
        <v>18553</v>
      </c>
      <c r="AY92" s="31" t="n">
        <v>13</v>
      </c>
      <c r="AZ92" s="31" t="s">
        <v>16365</v>
      </c>
      <c r="BA92" s="31" t="s">
        <v>16366</v>
      </c>
      <c r="BB92" s="31" t="s">
        <v>16367</v>
      </c>
      <c r="BC92" s="31" t="s">
        <v>18623</v>
      </c>
      <c r="BD92" s="31"/>
      <c r="BE92" s="31" t="s">
        <v>16494</v>
      </c>
      <c r="BF92" s="31" t="s">
        <v>16369</v>
      </c>
      <c r="BG92" s="31" t="s">
        <v>18624</v>
      </c>
      <c r="BH92" s="31" t="str">
        <f aca="false">HYPERLINK("https%3A%2F%2Fwww.webofscience.com%2Fwos%2Fwoscc%2Ffull-record%2FWOS:001267839900001","View Full Record in Web of Science")</f>
        <v>View Full Record in Web of Science</v>
      </c>
      <c r="BI92" s="31"/>
      <c r="BJ92" s="31"/>
      <c r="BK92" s="31"/>
      <c r="BL92" s="31"/>
      <c r="BM92" s="31"/>
      <c r="BN92" s="31"/>
      <c r="BO92" s="31"/>
      <c r="BP92" s="31"/>
      <c r="BQ92" s="31"/>
      <c r="BR92" s="31"/>
      <c r="BS92" s="31"/>
      <c r="BT92" s="31"/>
      <c r="BU92" s="31"/>
      <c r="BV92" s="31"/>
      <c r="BW92" s="31"/>
      <c r="BX92" s="31"/>
      <c r="BY92" s="31"/>
      <c r="BZ92" s="31"/>
      <c r="CA92" s="31"/>
      <c r="CB92" s="31"/>
      <c r="CC92" s="31"/>
      <c r="CD92" s="31"/>
      <c r="CE92" s="31"/>
      <c r="CF92" s="31"/>
    </row>
    <row r="93" customFormat="false" ht="15.75" hidden="false" customHeight="true" outlineLevel="0" collapsed="false">
      <c r="A93" s="31" t="s">
        <v>16335</v>
      </c>
      <c r="B93" s="31" t="s">
        <v>18625</v>
      </c>
      <c r="C93" s="31" t="s">
        <v>18626</v>
      </c>
      <c r="D93" s="34" t="s">
        <v>18627</v>
      </c>
      <c r="E93" s="31" t="n">
        <v>2024</v>
      </c>
      <c r="F93" s="33" t="s">
        <v>18628</v>
      </c>
      <c r="G93" s="33" t="s">
        <v>134</v>
      </c>
      <c r="H93" s="32"/>
      <c r="I93" s="34"/>
      <c r="J93" s="34"/>
      <c r="K93" s="34"/>
      <c r="L93" s="34"/>
      <c r="M93" s="34"/>
      <c r="N93" s="34"/>
      <c r="O93" s="34"/>
      <c r="P93" s="34" t="n">
        <v>0</v>
      </c>
      <c r="Q93" s="31" t="n">
        <v>0</v>
      </c>
      <c r="R93" s="31" t="s">
        <v>61</v>
      </c>
      <c r="S93" s="31" t="s">
        <v>62</v>
      </c>
      <c r="T93" s="31" t="s">
        <v>18629</v>
      </c>
      <c r="U93" s="31" t="n">
        <v>14</v>
      </c>
      <c r="V93" s="31" t="s">
        <v>4048</v>
      </c>
      <c r="W93" s="31" t="n">
        <v>23</v>
      </c>
      <c r="X93" s="31" t="s">
        <v>18630</v>
      </c>
      <c r="Y93" s="31" t="s">
        <v>18631</v>
      </c>
      <c r="Z93" s="31" t="s">
        <v>18632</v>
      </c>
      <c r="AA93" s="31" t="s">
        <v>18633</v>
      </c>
      <c r="AB93" s="31" t="s">
        <v>18634</v>
      </c>
      <c r="AC93" s="31" t="s">
        <v>18635</v>
      </c>
      <c r="AD93" s="31"/>
      <c r="AE93" s="31"/>
      <c r="AF93" s="31"/>
      <c r="AG93" s="31"/>
      <c r="AH93" s="31"/>
      <c r="AI93" s="31" t="n">
        <v>51</v>
      </c>
      <c r="AJ93" s="31" t="n">
        <v>1</v>
      </c>
      <c r="AK93" s="31" t="n">
        <v>1</v>
      </c>
      <c r="AL93" s="31" t="s">
        <v>16769</v>
      </c>
      <c r="AM93" s="31" t="s">
        <v>16770</v>
      </c>
      <c r="AN93" s="31"/>
      <c r="AO93" s="31" t="s">
        <v>18636</v>
      </c>
      <c r="AP93" s="31" t="s">
        <v>18629</v>
      </c>
      <c r="AQ93" s="31" t="s">
        <v>849</v>
      </c>
      <c r="AR93" s="31" t="s">
        <v>16649</v>
      </c>
      <c r="AS93" s="31"/>
      <c r="AT93" s="31"/>
      <c r="AU93" s="31" t="n">
        <v>2738</v>
      </c>
      <c r="AV93" s="31" t="s">
        <v>18637</v>
      </c>
      <c r="AW93" s="35" t="str">
        <f aca="false">HYPERLINK("http://dx.doi.org/10.3390/diagnostics14232738","http://dx.doi.org/10.3390/diagnostics14232738")</f>
        <v>http://dx.doi.org/10.3390/diagnostics14232738</v>
      </c>
      <c r="AX93" s="31"/>
      <c r="AY93" s="31" t="n">
        <v>18</v>
      </c>
      <c r="AZ93" s="31" t="s">
        <v>16829</v>
      </c>
      <c r="BA93" s="31" t="s">
        <v>16366</v>
      </c>
      <c r="BB93" s="31" t="s">
        <v>16830</v>
      </c>
      <c r="BC93" s="31" t="s">
        <v>18638</v>
      </c>
      <c r="BD93" s="31" t="n">
        <v>39682645</v>
      </c>
      <c r="BE93" s="31" t="s">
        <v>16431</v>
      </c>
      <c r="BF93" s="31" t="s">
        <v>16369</v>
      </c>
      <c r="BG93" s="31" t="s">
        <v>18639</v>
      </c>
      <c r="BH93" s="31" t="str">
        <f aca="false">HYPERLINK("https%3A%2F%2Fwww.webofscience.com%2Fwos%2Fwoscc%2Ffull-record%2FWOS:001376966800001","View Full Record in Web of Science")</f>
        <v>View Full Record in Web of Science</v>
      </c>
      <c r="BI93" s="31"/>
      <c r="BJ93" s="31"/>
      <c r="BK93" s="31"/>
      <c r="BL93" s="31"/>
      <c r="BM93" s="31"/>
      <c r="BN93" s="31"/>
      <c r="BO93" s="31"/>
      <c r="BP93" s="31"/>
      <c r="BQ93" s="31"/>
      <c r="BR93" s="31"/>
      <c r="BS93" s="31"/>
      <c r="BT93" s="31"/>
      <c r="BU93" s="31"/>
      <c r="BV93" s="31"/>
      <c r="BW93" s="31"/>
      <c r="BX93" s="31"/>
      <c r="BY93" s="31"/>
      <c r="BZ93" s="31"/>
      <c r="CA93" s="31"/>
      <c r="CB93" s="31"/>
      <c r="CC93" s="31"/>
      <c r="CD93" s="31"/>
      <c r="CE93" s="31"/>
      <c r="CF93" s="31"/>
    </row>
    <row r="94" customFormat="false" ht="15.75" hidden="false" customHeight="true" outlineLevel="0" collapsed="false">
      <c r="A94" s="31" t="s">
        <v>16335</v>
      </c>
      <c r="B94" s="31" t="s">
        <v>18640</v>
      </c>
      <c r="C94" s="31" t="s">
        <v>18641</v>
      </c>
      <c r="D94" s="34" t="s">
        <v>18642</v>
      </c>
      <c r="E94" s="31" t="n">
        <v>2024</v>
      </c>
      <c r="F94" s="33" t="s">
        <v>18643</v>
      </c>
      <c r="G94" s="33" t="s">
        <v>134</v>
      </c>
      <c r="H94" s="32"/>
      <c r="I94" s="34"/>
      <c r="J94" s="34"/>
      <c r="K94" s="34"/>
      <c r="L94" s="34"/>
      <c r="M94" s="34"/>
      <c r="N94" s="34"/>
      <c r="O94" s="34"/>
      <c r="P94" s="34" t="n">
        <v>2</v>
      </c>
      <c r="Q94" s="31" t="n">
        <v>2</v>
      </c>
      <c r="R94" s="31" t="s">
        <v>61</v>
      </c>
      <c r="S94" s="31" t="s">
        <v>62</v>
      </c>
      <c r="T94" s="31" t="s">
        <v>16383</v>
      </c>
      <c r="U94" s="31" t="n">
        <v>12</v>
      </c>
      <c r="V94" s="31" t="s">
        <v>16384</v>
      </c>
      <c r="W94" s="31"/>
      <c r="X94" s="31" t="s">
        <v>18644</v>
      </c>
      <c r="Y94" s="31"/>
      <c r="Z94" s="31" t="s">
        <v>18645</v>
      </c>
      <c r="AA94" s="31" t="s">
        <v>18646</v>
      </c>
      <c r="AB94" s="31" t="s">
        <v>18647</v>
      </c>
      <c r="AC94" s="31" t="s">
        <v>18648</v>
      </c>
      <c r="AD94" s="31" t="s">
        <v>18649</v>
      </c>
      <c r="AE94" s="31" t="s">
        <v>18650</v>
      </c>
      <c r="AF94" s="31"/>
      <c r="AG94" s="31"/>
      <c r="AH94" s="31"/>
      <c r="AI94" s="31" t="n">
        <v>33</v>
      </c>
      <c r="AJ94" s="31" t="n">
        <v>2</v>
      </c>
      <c r="AK94" s="31" t="n">
        <v>6</v>
      </c>
      <c r="AL94" s="31" t="s">
        <v>16395</v>
      </c>
      <c r="AM94" s="31" t="s">
        <v>16396</v>
      </c>
      <c r="AN94" s="31" t="s">
        <v>16397</v>
      </c>
      <c r="AO94" s="31"/>
      <c r="AP94" s="31" t="s">
        <v>16383</v>
      </c>
      <c r="AQ94" s="31" t="s">
        <v>186</v>
      </c>
      <c r="AR94" s="31"/>
      <c r="AS94" s="31" t="n">
        <v>41750</v>
      </c>
      <c r="AT94" s="31" t="n">
        <v>41762</v>
      </c>
      <c r="AU94" s="31"/>
      <c r="AV94" s="31" t="s">
        <v>18651</v>
      </c>
      <c r="AW94" s="35" t="str">
        <f aca="false">HYPERLINK("http://dx.doi.org/10.1109/ACCESS.2024.3378516","http://dx.doi.org/10.1109/ACCESS.2024.3378516")</f>
        <v>http://dx.doi.org/10.1109/ACCESS.2024.3378516</v>
      </c>
      <c r="AX94" s="31"/>
      <c r="AY94" s="31" t="n">
        <v>13</v>
      </c>
      <c r="AZ94" s="31" t="s">
        <v>16399</v>
      </c>
      <c r="BA94" s="31" t="s">
        <v>16366</v>
      </c>
      <c r="BB94" s="31" t="s">
        <v>16400</v>
      </c>
      <c r="BC94" s="31" t="s">
        <v>18652</v>
      </c>
      <c r="BD94" s="31"/>
      <c r="BE94" s="31" t="s">
        <v>16431</v>
      </c>
      <c r="BF94" s="31" t="s">
        <v>16369</v>
      </c>
      <c r="BG94" s="31" t="s">
        <v>18653</v>
      </c>
      <c r="BH94" s="31" t="str">
        <f aca="false">HYPERLINK("https%3A%2F%2Fwww.webofscience.com%2Fwos%2Fwoscc%2Ffull-record%2FWOS:001192230200001","View Full Record in Web of Science")</f>
        <v>View Full Record in Web of Science</v>
      </c>
      <c r="BI94" s="31"/>
      <c r="BJ94" s="31"/>
      <c r="BK94" s="31"/>
      <c r="BL94" s="31"/>
      <c r="BM94" s="31"/>
      <c r="BN94" s="31"/>
      <c r="BO94" s="31"/>
      <c r="BP94" s="31"/>
      <c r="BQ94" s="31"/>
      <c r="BR94" s="31"/>
      <c r="BS94" s="31"/>
      <c r="BT94" s="31"/>
      <c r="BU94" s="31"/>
      <c r="BV94" s="31"/>
      <c r="BW94" s="31"/>
      <c r="BX94" s="31"/>
      <c r="BY94" s="31"/>
      <c r="BZ94" s="31"/>
      <c r="CA94" s="31"/>
      <c r="CB94" s="31"/>
      <c r="CC94" s="31"/>
      <c r="CD94" s="31"/>
      <c r="CE94" s="31"/>
      <c r="CF94" s="31"/>
    </row>
    <row r="95" customFormat="false" ht="15.75" hidden="false" customHeight="true" outlineLevel="0" collapsed="false">
      <c r="A95" s="31" t="s">
        <v>16335</v>
      </c>
      <c r="B95" s="31" t="s">
        <v>18654</v>
      </c>
      <c r="C95" s="31" t="s">
        <v>18655</v>
      </c>
      <c r="D95" s="34" t="s">
        <v>18656</v>
      </c>
      <c r="E95" s="31" t="n">
        <v>2024</v>
      </c>
      <c r="F95" s="33" t="s">
        <v>18657</v>
      </c>
      <c r="G95" s="33" t="s">
        <v>134</v>
      </c>
      <c r="H95" s="32"/>
      <c r="I95" s="34"/>
      <c r="J95" s="34"/>
      <c r="K95" s="34"/>
      <c r="L95" s="34"/>
      <c r="M95" s="34"/>
      <c r="N95" s="34"/>
      <c r="O95" s="34"/>
      <c r="P95" s="34" t="n">
        <v>4</v>
      </c>
      <c r="Q95" s="31" t="n">
        <v>4</v>
      </c>
      <c r="R95" s="31" t="s">
        <v>61</v>
      </c>
      <c r="S95" s="31" t="s">
        <v>62</v>
      </c>
      <c r="T95" s="31" t="s">
        <v>18658</v>
      </c>
      <c r="U95" s="31" t="n">
        <v>70</v>
      </c>
      <c r="V95" s="31" t="s">
        <v>16384</v>
      </c>
      <c r="W95" s="31" t="n">
        <v>1</v>
      </c>
      <c r="X95" s="31" t="s">
        <v>18659</v>
      </c>
      <c r="Y95" s="31"/>
      <c r="Z95" s="31" t="s">
        <v>18660</v>
      </c>
      <c r="AA95" s="31" t="s">
        <v>18661</v>
      </c>
      <c r="AB95" s="31" t="s">
        <v>18662</v>
      </c>
      <c r="AC95" s="31" t="s">
        <v>18663</v>
      </c>
      <c r="AD95" s="31" t="s">
        <v>18664</v>
      </c>
      <c r="AE95" s="31" t="s">
        <v>18665</v>
      </c>
      <c r="AF95" s="31" t="s">
        <v>18666</v>
      </c>
      <c r="AG95" s="31" t="s">
        <v>18667</v>
      </c>
      <c r="AH95" s="31" t="s">
        <v>18668</v>
      </c>
      <c r="AI95" s="31" t="n">
        <v>34</v>
      </c>
      <c r="AJ95" s="31" t="n">
        <v>1</v>
      </c>
      <c r="AK95" s="31" t="n">
        <v>2</v>
      </c>
      <c r="AL95" s="31" t="s">
        <v>16395</v>
      </c>
      <c r="AM95" s="31" t="s">
        <v>16396</v>
      </c>
      <c r="AN95" s="31" t="s">
        <v>18669</v>
      </c>
      <c r="AO95" s="31" t="s">
        <v>18670</v>
      </c>
      <c r="AP95" s="31" t="s">
        <v>18671</v>
      </c>
      <c r="AQ95" s="31" t="s">
        <v>18672</v>
      </c>
      <c r="AR95" s="31" t="s">
        <v>16970</v>
      </c>
      <c r="AS95" s="31" t="n">
        <v>3754</v>
      </c>
      <c r="AT95" s="31" t="n">
        <v>3761</v>
      </c>
      <c r="AU95" s="31"/>
      <c r="AV95" s="31" t="s">
        <v>18673</v>
      </c>
      <c r="AW95" s="35" t="str">
        <f aca="false">HYPERLINK("http://dx.doi.org/10.1109/TCE.2024.3377922","http://dx.doi.org/10.1109/TCE.2024.3377922")</f>
        <v>http://dx.doi.org/10.1109/TCE.2024.3377922</v>
      </c>
      <c r="AX95" s="31"/>
      <c r="AY95" s="31" t="n">
        <v>8</v>
      </c>
      <c r="AZ95" s="31" t="s">
        <v>18674</v>
      </c>
      <c r="BA95" s="31" t="s">
        <v>16366</v>
      </c>
      <c r="BB95" s="31" t="s">
        <v>18675</v>
      </c>
      <c r="BC95" s="31" t="s">
        <v>18676</v>
      </c>
      <c r="BD95" s="31"/>
      <c r="BE95" s="31"/>
      <c r="BF95" s="31" t="s">
        <v>16369</v>
      </c>
      <c r="BG95" s="31" t="s">
        <v>18677</v>
      </c>
      <c r="BH95" s="31" t="str">
        <f aca="false">HYPERLINK("https%3A%2F%2Fwww.webofscience.com%2Fwos%2Fwoscc%2Ffull-record%2FWOS:001244803700402","View Full Record in Web of Science")</f>
        <v>View Full Record in Web of Science</v>
      </c>
      <c r="BI95" s="31"/>
      <c r="BJ95" s="31"/>
      <c r="BK95" s="31"/>
      <c r="BL95" s="31"/>
      <c r="BM95" s="31"/>
      <c r="BN95" s="31"/>
      <c r="BO95" s="31"/>
      <c r="BP95" s="31"/>
      <c r="BQ95" s="31"/>
      <c r="BR95" s="31"/>
      <c r="BS95" s="31"/>
      <c r="BT95" s="31"/>
      <c r="BU95" s="31"/>
      <c r="BV95" s="31"/>
      <c r="BW95" s="31"/>
      <c r="BX95" s="31"/>
      <c r="BY95" s="31"/>
      <c r="BZ95" s="31"/>
      <c r="CA95" s="31"/>
      <c r="CB95" s="31"/>
      <c r="CC95" s="31"/>
      <c r="CD95" s="31"/>
      <c r="CE95" s="31"/>
      <c r="CF95" s="31"/>
    </row>
    <row r="96" customFormat="false" ht="15.75" hidden="false" customHeight="true" outlineLevel="0" collapsed="false">
      <c r="A96" s="31" t="s">
        <v>16335</v>
      </c>
      <c r="B96" s="31" t="s">
        <v>18678</v>
      </c>
      <c r="C96" s="31" t="s">
        <v>18679</v>
      </c>
      <c r="D96" s="34" t="s">
        <v>18680</v>
      </c>
      <c r="E96" s="31" t="n">
        <v>2024</v>
      </c>
      <c r="F96" s="33" t="s">
        <v>18681</v>
      </c>
      <c r="G96" s="33" t="s">
        <v>134</v>
      </c>
      <c r="H96" s="32"/>
      <c r="I96" s="34"/>
      <c r="J96" s="34"/>
      <c r="K96" s="34"/>
      <c r="L96" s="34"/>
      <c r="M96" s="34"/>
      <c r="N96" s="34"/>
      <c r="O96" s="34"/>
      <c r="P96" s="34" t="n">
        <v>6</v>
      </c>
      <c r="Q96" s="31" t="n">
        <v>6</v>
      </c>
      <c r="R96" s="31" t="s">
        <v>61</v>
      </c>
      <c r="S96" s="31" t="s">
        <v>62</v>
      </c>
      <c r="T96" s="31" t="s">
        <v>18082</v>
      </c>
      <c r="U96" s="31" t="n">
        <v>17</v>
      </c>
      <c r="V96" s="31" t="s">
        <v>17599</v>
      </c>
      <c r="W96" s="31" t="n">
        <v>1</v>
      </c>
      <c r="X96" s="31" t="s">
        <v>18682</v>
      </c>
      <c r="Y96" s="31" t="s">
        <v>18683</v>
      </c>
      <c r="Z96" s="31" t="s">
        <v>18684</v>
      </c>
      <c r="AA96" s="31" t="s">
        <v>18685</v>
      </c>
      <c r="AB96" s="31" t="s">
        <v>18686</v>
      </c>
      <c r="AC96" s="31" t="s">
        <v>18687</v>
      </c>
      <c r="AD96" s="31" t="s">
        <v>18688</v>
      </c>
      <c r="AE96" s="31" t="s">
        <v>18689</v>
      </c>
      <c r="AF96" s="31" t="s">
        <v>18690</v>
      </c>
      <c r="AG96" s="31" t="s">
        <v>18691</v>
      </c>
      <c r="AH96" s="31" t="s">
        <v>18692</v>
      </c>
      <c r="AI96" s="31" t="n">
        <v>62</v>
      </c>
      <c r="AJ96" s="31" t="n">
        <v>3</v>
      </c>
      <c r="AK96" s="31" t="n">
        <v>7</v>
      </c>
      <c r="AL96" s="31" t="s">
        <v>16821</v>
      </c>
      <c r="AM96" s="31" t="s">
        <v>17609</v>
      </c>
      <c r="AN96" s="31" t="s">
        <v>18094</v>
      </c>
      <c r="AO96" s="31"/>
      <c r="AP96" s="31" t="s">
        <v>18095</v>
      </c>
      <c r="AQ96" s="31" t="s">
        <v>1044</v>
      </c>
      <c r="AR96" s="31" t="s">
        <v>18693</v>
      </c>
      <c r="AS96" s="31"/>
      <c r="AT96" s="31"/>
      <c r="AU96" s="31" t="n">
        <v>188</v>
      </c>
      <c r="AV96" s="31" t="s">
        <v>18694</v>
      </c>
      <c r="AW96" s="35" t="str">
        <f aca="false">HYPERLINK("http://dx.doi.org/10.1186/s13071-024-06215-7","http://dx.doi.org/10.1186/s13071-024-06215-7")</f>
        <v>http://dx.doi.org/10.1186/s13071-024-06215-7</v>
      </c>
      <c r="AX96" s="31"/>
      <c r="AY96" s="31" t="n">
        <v>26</v>
      </c>
      <c r="AZ96" s="31" t="s">
        <v>16891</v>
      </c>
      <c r="BA96" s="31" t="s">
        <v>16366</v>
      </c>
      <c r="BB96" s="31" t="s">
        <v>16891</v>
      </c>
      <c r="BC96" s="31" t="s">
        <v>18695</v>
      </c>
      <c r="BD96" s="31" t="n">
        <v>38627870</v>
      </c>
      <c r="BE96" s="31" t="s">
        <v>16431</v>
      </c>
      <c r="BF96" s="31" t="s">
        <v>16369</v>
      </c>
      <c r="BG96" s="31" t="s">
        <v>18696</v>
      </c>
      <c r="BH96" s="31" t="str">
        <f aca="false">HYPERLINK("https%3A%2F%2Fwww.webofscience.com%2Fwos%2Fwoscc%2Ffull-record%2FWOS:001204546400001","View Full Record in Web of Science")</f>
        <v>View Full Record in Web of Science</v>
      </c>
      <c r="BI96" s="31"/>
      <c r="BJ96" s="31"/>
      <c r="BK96" s="31"/>
      <c r="BL96" s="31"/>
      <c r="BM96" s="31"/>
      <c r="BN96" s="31"/>
      <c r="BO96" s="31"/>
      <c r="BP96" s="31"/>
      <c r="BQ96" s="31"/>
      <c r="BR96" s="31"/>
      <c r="BS96" s="31"/>
      <c r="BT96" s="31"/>
      <c r="BU96" s="31"/>
      <c r="BV96" s="31"/>
      <c r="BW96" s="31"/>
      <c r="BX96" s="31"/>
      <c r="BY96" s="31"/>
      <c r="BZ96" s="31"/>
      <c r="CA96" s="31"/>
      <c r="CB96" s="31"/>
      <c r="CC96" s="31"/>
      <c r="CD96" s="31"/>
      <c r="CE96" s="31"/>
      <c r="CF96" s="31"/>
    </row>
    <row r="97" customFormat="false" ht="15.75" hidden="false" customHeight="true" outlineLevel="0" collapsed="false">
      <c r="A97" s="31" t="s">
        <v>16335</v>
      </c>
      <c r="B97" s="31" t="s">
        <v>18697</v>
      </c>
      <c r="C97" s="31" t="s">
        <v>18698</v>
      </c>
      <c r="D97" s="34" t="s">
        <v>18699</v>
      </c>
      <c r="E97" s="31" t="n">
        <v>2024</v>
      </c>
      <c r="F97" s="33" t="s">
        <v>18700</v>
      </c>
      <c r="G97" s="33" t="s">
        <v>393</v>
      </c>
      <c r="H97" s="32"/>
      <c r="I97" s="34"/>
      <c r="J97" s="34"/>
      <c r="K97" s="34"/>
      <c r="L97" s="34"/>
      <c r="M97" s="34"/>
      <c r="N97" s="34"/>
      <c r="O97" s="34"/>
      <c r="P97" s="34" t="n">
        <v>0</v>
      </c>
      <c r="Q97" s="31" t="n">
        <v>0</v>
      </c>
      <c r="R97" s="31" t="s">
        <v>61</v>
      </c>
      <c r="S97" s="31" t="s">
        <v>62</v>
      </c>
      <c r="T97" s="31" t="s">
        <v>16875</v>
      </c>
      <c r="U97" s="31" t="n">
        <v>258</v>
      </c>
      <c r="V97" s="31" t="s">
        <v>16349</v>
      </c>
      <c r="W97" s="31"/>
      <c r="X97" s="31" t="s">
        <v>18701</v>
      </c>
      <c r="Y97" s="31" t="s">
        <v>18702</v>
      </c>
      <c r="Z97" s="31" t="s">
        <v>18703</v>
      </c>
      <c r="AA97" s="31" t="s">
        <v>18704</v>
      </c>
      <c r="AB97" s="31" t="s">
        <v>18705</v>
      </c>
      <c r="AC97" s="31" t="s">
        <v>18706</v>
      </c>
      <c r="AD97" s="31" t="s">
        <v>18707</v>
      </c>
      <c r="AE97" s="31" t="s">
        <v>18708</v>
      </c>
      <c r="AF97" s="31" t="s">
        <v>18709</v>
      </c>
      <c r="AG97" s="31" t="s">
        <v>18710</v>
      </c>
      <c r="AH97" s="31" t="s">
        <v>18711</v>
      </c>
      <c r="AI97" s="31" t="n">
        <v>105</v>
      </c>
      <c r="AJ97" s="31" t="n">
        <v>5</v>
      </c>
      <c r="AK97" s="31" t="n">
        <v>6</v>
      </c>
      <c r="AL97" s="31" t="s">
        <v>16356</v>
      </c>
      <c r="AM97" s="31" t="s">
        <v>16357</v>
      </c>
      <c r="AN97" s="31" t="s">
        <v>16886</v>
      </c>
      <c r="AO97" s="31" t="s">
        <v>16887</v>
      </c>
      <c r="AP97" s="31" t="s">
        <v>16888</v>
      </c>
      <c r="AQ97" s="31" t="s">
        <v>1926</v>
      </c>
      <c r="AR97" s="31" t="s">
        <v>16615</v>
      </c>
      <c r="AS97" s="31"/>
      <c r="AT97" s="31"/>
      <c r="AU97" s="31" t="n">
        <v>107347</v>
      </c>
      <c r="AV97" s="31" t="s">
        <v>18712</v>
      </c>
      <c r="AW97" s="35" t="str">
        <f aca="false">HYPERLINK("http://dx.doi.org/10.1016/j.actatropica.2024.107347","http://dx.doi.org/10.1016/j.actatropica.2024.107347")</f>
        <v>http://dx.doi.org/10.1016/j.actatropica.2024.107347</v>
      </c>
      <c r="AX97" s="31" t="s">
        <v>16890</v>
      </c>
      <c r="AY97" s="31" t="n">
        <v>12</v>
      </c>
      <c r="AZ97" s="31" t="s">
        <v>16891</v>
      </c>
      <c r="BA97" s="31" t="s">
        <v>16366</v>
      </c>
      <c r="BB97" s="31" t="s">
        <v>16891</v>
      </c>
      <c r="BC97" s="31" t="s">
        <v>18713</v>
      </c>
      <c r="BD97" s="31" t="n">
        <v>39103110</v>
      </c>
      <c r="BE97" s="31" t="s">
        <v>16494</v>
      </c>
      <c r="BF97" s="31" t="s">
        <v>16369</v>
      </c>
      <c r="BG97" s="31" t="s">
        <v>18714</v>
      </c>
      <c r="BH97" s="31" t="str">
        <f aca="false">HYPERLINK("https%3A%2F%2Fwww.webofscience.com%2Fwos%2Fwoscc%2Ffull-record%2FWOS:001289456500001","View Full Record in Web of Science")</f>
        <v>View Full Record in Web of Science</v>
      </c>
      <c r="BI97" s="31"/>
      <c r="BJ97" s="31"/>
      <c r="BK97" s="31"/>
      <c r="BL97" s="31"/>
      <c r="BM97" s="31"/>
      <c r="BN97" s="31"/>
      <c r="BO97" s="31"/>
      <c r="BP97" s="31"/>
      <c r="BQ97" s="31"/>
      <c r="BR97" s="31"/>
      <c r="BS97" s="31"/>
      <c r="BT97" s="31"/>
      <c r="BU97" s="31"/>
      <c r="BV97" s="31"/>
      <c r="BW97" s="31"/>
      <c r="BX97" s="31"/>
      <c r="BY97" s="31"/>
      <c r="BZ97" s="31"/>
      <c r="CA97" s="31"/>
      <c r="CB97" s="31"/>
      <c r="CC97" s="31"/>
      <c r="CD97" s="31"/>
      <c r="CE97" s="31"/>
      <c r="CF97" s="31"/>
    </row>
    <row r="98" customFormat="false" ht="15.75" hidden="false" customHeight="true" outlineLevel="0" collapsed="false">
      <c r="A98" s="31" t="s">
        <v>16335</v>
      </c>
      <c r="B98" s="31" t="s">
        <v>18715</v>
      </c>
      <c r="C98" s="31" t="s">
        <v>18716</v>
      </c>
      <c r="D98" s="34" t="s">
        <v>18717</v>
      </c>
      <c r="E98" s="31" t="n">
        <v>2024</v>
      </c>
      <c r="F98" s="33" t="s">
        <v>18718</v>
      </c>
      <c r="G98" s="33" t="s">
        <v>290</v>
      </c>
      <c r="H98" s="32"/>
      <c r="I98" s="34"/>
      <c r="J98" s="34"/>
      <c r="K98" s="34"/>
      <c r="L98" s="34"/>
      <c r="M98" s="34"/>
      <c r="N98" s="34"/>
      <c r="O98" s="34"/>
      <c r="P98" s="34" t="n">
        <v>1</v>
      </c>
      <c r="Q98" s="31" t="n">
        <v>2</v>
      </c>
      <c r="R98" s="31" t="s">
        <v>61</v>
      </c>
      <c r="S98" s="31" t="s">
        <v>62</v>
      </c>
      <c r="T98" s="31" t="s">
        <v>18719</v>
      </c>
      <c r="U98" s="31" t="n">
        <v>69</v>
      </c>
      <c r="V98" s="31" t="s">
        <v>18720</v>
      </c>
      <c r="W98" s="31" t="n">
        <v>1</v>
      </c>
      <c r="X98" s="31" t="s">
        <v>18721</v>
      </c>
      <c r="Y98" s="31" t="s">
        <v>18722</v>
      </c>
      <c r="Z98" s="31" t="s">
        <v>18723</v>
      </c>
      <c r="AA98" s="31" t="s">
        <v>18724</v>
      </c>
      <c r="AB98" s="31" t="s">
        <v>18725</v>
      </c>
      <c r="AC98" s="31" t="s">
        <v>18726</v>
      </c>
      <c r="AD98" s="31" t="s">
        <v>18727</v>
      </c>
      <c r="AE98" s="31" t="s">
        <v>18728</v>
      </c>
      <c r="AF98" s="31" t="s">
        <v>18729</v>
      </c>
      <c r="AG98" s="31" t="s">
        <v>18730</v>
      </c>
      <c r="AH98" s="31" t="s">
        <v>18731</v>
      </c>
      <c r="AI98" s="31" t="n">
        <v>45</v>
      </c>
      <c r="AJ98" s="31" t="n">
        <v>1</v>
      </c>
      <c r="AK98" s="31" t="n">
        <v>7</v>
      </c>
      <c r="AL98" s="31" t="s">
        <v>18732</v>
      </c>
      <c r="AM98" s="31" t="s">
        <v>18733</v>
      </c>
      <c r="AN98" s="31" t="s">
        <v>18734</v>
      </c>
      <c r="AO98" s="31" t="s">
        <v>18735</v>
      </c>
      <c r="AP98" s="31" t="s">
        <v>18736</v>
      </c>
      <c r="AQ98" s="31" t="s">
        <v>18737</v>
      </c>
      <c r="AR98" s="31" t="s">
        <v>17248</v>
      </c>
      <c r="AS98" s="31" t="n">
        <v>415</v>
      </c>
      <c r="AT98" s="31" t="n">
        <v>425</v>
      </c>
      <c r="AU98" s="31"/>
      <c r="AV98" s="31" t="s">
        <v>18738</v>
      </c>
      <c r="AW98" s="35" t="str">
        <f aca="false">HYPERLINK("http://dx.doi.org/10.1007/s11686-023-00765-z","http://dx.doi.org/10.1007/s11686-023-00765-z")</f>
        <v>http://dx.doi.org/10.1007/s11686-023-00765-z</v>
      </c>
      <c r="AX98" s="31" t="s">
        <v>18739</v>
      </c>
      <c r="AY98" s="31" t="n">
        <v>11</v>
      </c>
      <c r="AZ98" s="31" t="s">
        <v>18740</v>
      </c>
      <c r="BA98" s="31" t="s">
        <v>16366</v>
      </c>
      <c r="BB98" s="31" t="s">
        <v>18740</v>
      </c>
      <c r="BC98" s="31" t="s">
        <v>18741</v>
      </c>
      <c r="BD98" s="31" t="n">
        <v>38165555</v>
      </c>
      <c r="BE98" s="31" t="s">
        <v>16494</v>
      </c>
      <c r="BF98" s="31" t="s">
        <v>16369</v>
      </c>
      <c r="BG98" s="31" t="s">
        <v>18742</v>
      </c>
      <c r="BH98" s="31" t="str">
        <f aca="false">HYPERLINK("https%3A%2F%2Fwww.webofscience.com%2Fwos%2Fwoscc%2Ffull-record%2FWOS:001132755300001","View Full Record in Web of Science")</f>
        <v>View Full Record in Web of Science</v>
      </c>
      <c r="BI98" s="31"/>
      <c r="BJ98" s="31"/>
      <c r="BK98" s="31"/>
      <c r="BL98" s="31"/>
      <c r="BM98" s="31"/>
      <c r="BN98" s="31"/>
      <c r="BO98" s="31"/>
      <c r="BP98" s="31"/>
      <c r="BQ98" s="31"/>
      <c r="BR98" s="31"/>
      <c r="BS98" s="31"/>
      <c r="BT98" s="31"/>
      <c r="BU98" s="31"/>
      <c r="BV98" s="31"/>
      <c r="BW98" s="31"/>
      <c r="BX98" s="31"/>
      <c r="BY98" s="31"/>
      <c r="BZ98" s="31"/>
      <c r="CA98" s="31"/>
      <c r="CB98" s="31"/>
      <c r="CC98" s="31"/>
      <c r="CD98" s="31"/>
      <c r="CE98" s="31"/>
      <c r="CF98" s="31"/>
    </row>
    <row r="99" customFormat="false" ht="15.75" hidden="false" customHeight="true" outlineLevel="0" collapsed="false">
      <c r="A99" s="31" t="s">
        <v>16335</v>
      </c>
      <c r="B99" s="31" t="s">
        <v>18743</v>
      </c>
      <c r="C99" s="31" t="s">
        <v>18744</v>
      </c>
      <c r="D99" s="34" t="s">
        <v>18745</v>
      </c>
      <c r="E99" s="31" t="n">
        <v>2024</v>
      </c>
      <c r="F99" s="33" t="s">
        <v>18746</v>
      </c>
      <c r="G99" s="33" t="s">
        <v>134</v>
      </c>
      <c r="H99" s="32"/>
      <c r="I99" s="34"/>
      <c r="J99" s="34"/>
      <c r="K99" s="34"/>
      <c r="L99" s="34"/>
      <c r="M99" s="34"/>
      <c r="N99" s="34"/>
      <c r="O99" s="34"/>
      <c r="P99" s="34" t="n">
        <v>2</v>
      </c>
      <c r="Q99" s="31" t="n">
        <v>2</v>
      </c>
      <c r="R99" s="31" t="s">
        <v>61</v>
      </c>
      <c r="S99" s="31" t="s">
        <v>62</v>
      </c>
      <c r="T99" s="31" t="s">
        <v>17042</v>
      </c>
      <c r="U99" s="31" t="n">
        <v>15</v>
      </c>
      <c r="V99" s="31" t="s">
        <v>17043</v>
      </c>
      <c r="W99" s="31" t="n">
        <v>3</v>
      </c>
      <c r="X99" s="31" t="s">
        <v>18747</v>
      </c>
      <c r="Y99" s="31" t="s">
        <v>16930</v>
      </c>
      <c r="Z99" s="31" t="s">
        <v>18748</v>
      </c>
      <c r="AA99" s="31" t="s">
        <v>18749</v>
      </c>
      <c r="AB99" s="31" t="s">
        <v>18750</v>
      </c>
      <c r="AC99" s="31"/>
      <c r="AD99" s="31"/>
      <c r="AE99" s="31"/>
      <c r="AF99" s="31" t="s">
        <v>18751</v>
      </c>
      <c r="AG99" s="31" t="s">
        <v>18751</v>
      </c>
      <c r="AH99" s="31" t="s">
        <v>18752</v>
      </c>
      <c r="AI99" s="31" t="n">
        <v>27</v>
      </c>
      <c r="AJ99" s="31" t="n">
        <v>0</v>
      </c>
      <c r="AK99" s="31" t="n">
        <v>0</v>
      </c>
      <c r="AL99" s="31" t="s">
        <v>17050</v>
      </c>
      <c r="AM99" s="31" t="s">
        <v>17051</v>
      </c>
      <c r="AN99" s="31" t="s">
        <v>17052</v>
      </c>
      <c r="AO99" s="31" t="s">
        <v>17053</v>
      </c>
      <c r="AP99" s="31" t="s">
        <v>17054</v>
      </c>
      <c r="AQ99" s="31" t="s">
        <v>17055</v>
      </c>
      <c r="AR99" s="31" t="s">
        <v>17248</v>
      </c>
      <c r="AS99" s="31" t="n">
        <v>920</v>
      </c>
      <c r="AT99" s="31" t="n">
        <v>932</v>
      </c>
      <c r="AU99" s="31"/>
      <c r="AV99" s="31"/>
      <c r="AW99" s="31"/>
      <c r="AX99" s="31"/>
      <c r="AY99" s="31" t="n">
        <v>13</v>
      </c>
      <c r="AZ99" s="31" t="s">
        <v>17057</v>
      </c>
      <c r="BA99" s="31" t="s">
        <v>16684</v>
      </c>
      <c r="BB99" s="31" t="s">
        <v>16367</v>
      </c>
      <c r="BC99" s="31" t="s">
        <v>18753</v>
      </c>
      <c r="BD99" s="31"/>
      <c r="BE99" s="31"/>
      <c r="BF99" s="31" t="s">
        <v>16369</v>
      </c>
      <c r="BG99" s="31" t="s">
        <v>18754</v>
      </c>
      <c r="BH99" s="31" t="str">
        <f aca="false">HYPERLINK("https%3A%2F%2Fwww.webofscience.com%2Fwos%2Fwoscc%2Ffull-record%2FWOS:001317462700090","View Full Record in Web of Science")</f>
        <v>View Full Record in Web of Science</v>
      </c>
      <c r="BI99" s="31"/>
      <c r="BJ99" s="31"/>
      <c r="BK99" s="31"/>
      <c r="BL99" s="31"/>
      <c r="BM99" s="31"/>
      <c r="BN99" s="31"/>
      <c r="BO99" s="31"/>
      <c r="BP99" s="31"/>
      <c r="BQ99" s="31"/>
      <c r="BR99" s="31"/>
      <c r="BS99" s="31"/>
      <c r="BT99" s="31"/>
      <c r="BU99" s="31"/>
      <c r="BV99" s="31"/>
      <c r="BW99" s="31"/>
      <c r="BX99" s="31"/>
      <c r="BY99" s="31"/>
      <c r="BZ99" s="31"/>
      <c r="CA99" s="31"/>
      <c r="CB99" s="31"/>
      <c r="CC99" s="31"/>
      <c r="CD99" s="31"/>
      <c r="CE99" s="31"/>
      <c r="CF99" s="31"/>
    </row>
    <row r="100" customFormat="false" ht="15.75" hidden="false" customHeight="true" outlineLevel="0" collapsed="false">
      <c r="A100" s="31" t="s">
        <v>16335</v>
      </c>
      <c r="B100" s="31" t="s">
        <v>18755</v>
      </c>
      <c r="C100" s="31" t="s">
        <v>18756</v>
      </c>
      <c r="D100" s="34" t="s">
        <v>18757</v>
      </c>
      <c r="E100" s="31" t="n">
        <v>2024</v>
      </c>
      <c r="F100" s="33" t="s">
        <v>18758</v>
      </c>
      <c r="G100" s="33" t="s">
        <v>134</v>
      </c>
      <c r="H100" s="32"/>
      <c r="I100" s="34"/>
      <c r="J100" s="34"/>
      <c r="K100" s="34"/>
      <c r="L100" s="34"/>
      <c r="M100" s="34"/>
      <c r="N100" s="34"/>
      <c r="O100" s="34"/>
      <c r="P100" s="34" t="n">
        <v>5</v>
      </c>
      <c r="Q100" s="31" t="n">
        <v>5</v>
      </c>
      <c r="R100" s="31" t="s">
        <v>61</v>
      </c>
      <c r="S100" s="31" t="s">
        <v>62</v>
      </c>
      <c r="T100" s="31" t="s">
        <v>18629</v>
      </c>
      <c r="U100" s="31" t="n">
        <v>14</v>
      </c>
      <c r="V100" s="31" t="s">
        <v>4048</v>
      </c>
      <c r="W100" s="31" t="n">
        <v>1</v>
      </c>
      <c r="X100" s="31" t="s">
        <v>18759</v>
      </c>
      <c r="Y100" s="31"/>
      <c r="Z100" s="31" t="s">
        <v>18760</v>
      </c>
      <c r="AA100" s="31" t="s">
        <v>18761</v>
      </c>
      <c r="AB100" s="31" t="s">
        <v>18762</v>
      </c>
      <c r="AC100" s="31" t="s">
        <v>18763</v>
      </c>
      <c r="AD100" s="31" t="s">
        <v>18764</v>
      </c>
      <c r="AE100" s="31" t="s">
        <v>18765</v>
      </c>
      <c r="AF100" s="31" t="s">
        <v>18766</v>
      </c>
      <c r="AG100" s="31" t="s">
        <v>18766</v>
      </c>
      <c r="AH100" s="31" t="s">
        <v>18767</v>
      </c>
      <c r="AI100" s="31" t="n">
        <v>47</v>
      </c>
      <c r="AJ100" s="31" t="n">
        <v>2</v>
      </c>
      <c r="AK100" s="31" t="n">
        <v>5</v>
      </c>
      <c r="AL100" s="31" t="s">
        <v>16769</v>
      </c>
      <c r="AM100" s="31" t="s">
        <v>16770</v>
      </c>
      <c r="AN100" s="31"/>
      <c r="AO100" s="31" t="s">
        <v>18636</v>
      </c>
      <c r="AP100" s="31" t="s">
        <v>18629</v>
      </c>
      <c r="AQ100" s="31" t="s">
        <v>849</v>
      </c>
      <c r="AR100" s="31" t="s">
        <v>14295</v>
      </c>
      <c r="AS100" s="31"/>
      <c r="AT100" s="31"/>
      <c r="AU100" s="31" t="n">
        <v>12</v>
      </c>
      <c r="AV100" s="31" t="s">
        <v>18768</v>
      </c>
      <c r="AW100" s="35" t="str">
        <f aca="false">HYPERLINK("http://dx.doi.org/10.3390/diagnostics14010012","http://dx.doi.org/10.3390/diagnostics14010012")</f>
        <v>http://dx.doi.org/10.3390/diagnostics14010012</v>
      </c>
      <c r="AX100" s="31"/>
      <c r="AY100" s="31" t="n">
        <v>16</v>
      </c>
      <c r="AZ100" s="31" t="s">
        <v>16829</v>
      </c>
      <c r="BA100" s="31" t="s">
        <v>16366</v>
      </c>
      <c r="BB100" s="31" t="s">
        <v>16830</v>
      </c>
      <c r="BC100" s="31" t="s">
        <v>18769</v>
      </c>
      <c r="BD100" s="31" t="n">
        <v>38201321</v>
      </c>
      <c r="BE100" s="31" t="s">
        <v>16832</v>
      </c>
      <c r="BF100" s="31" t="s">
        <v>16369</v>
      </c>
      <c r="BG100" s="31" t="s">
        <v>18770</v>
      </c>
      <c r="BH100" s="31" t="str">
        <f aca="false">HYPERLINK("https%3A%2F%2Fwww.webofscience.com%2Fwos%2Fwoscc%2Ffull-record%2FWOS:001139197000001","View Full Record in Web of Science")</f>
        <v>View Full Record in Web of Science</v>
      </c>
      <c r="BI100" s="31"/>
      <c r="BJ100" s="31"/>
      <c r="BK100" s="31"/>
      <c r="BL100" s="31"/>
      <c r="BM100" s="31"/>
      <c r="BN100" s="31"/>
      <c r="BO100" s="31"/>
      <c r="BP100" s="31"/>
      <c r="BQ100" s="31"/>
      <c r="BR100" s="31"/>
      <c r="BS100" s="31"/>
      <c r="BT100" s="31"/>
      <c r="BU100" s="31"/>
      <c r="BV100" s="31"/>
      <c r="BW100" s="31"/>
      <c r="BX100" s="31"/>
      <c r="BY100" s="31"/>
      <c r="BZ100" s="31"/>
      <c r="CA100" s="31"/>
      <c r="CB100" s="31"/>
      <c r="CC100" s="31"/>
      <c r="CD100" s="31"/>
      <c r="CE100" s="31"/>
      <c r="CF100" s="31"/>
    </row>
    <row r="101" customFormat="false" ht="15.75" hidden="false" customHeight="true" outlineLevel="0" collapsed="false">
      <c r="A101" s="31" t="s">
        <v>16335</v>
      </c>
      <c r="B101" s="31" t="s">
        <v>18771</v>
      </c>
      <c r="C101" s="31" t="s">
        <v>18772</v>
      </c>
      <c r="D101" s="34" t="s">
        <v>18773</v>
      </c>
      <c r="E101" s="31" t="n">
        <v>2024</v>
      </c>
      <c r="F101" s="33" t="s">
        <v>18774</v>
      </c>
      <c r="G101" s="33" t="s">
        <v>134</v>
      </c>
      <c r="H101" s="32"/>
      <c r="I101" s="34"/>
      <c r="J101" s="34"/>
      <c r="K101" s="34"/>
      <c r="L101" s="34"/>
      <c r="M101" s="34"/>
      <c r="N101" s="34"/>
      <c r="O101" s="34"/>
      <c r="P101" s="34" t="n">
        <v>7</v>
      </c>
      <c r="Q101" s="31" t="n">
        <v>7</v>
      </c>
      <c r="R101" s="31" t="s">
        <v>61</v>
      </c>
      <c r="S101" s="31" t="s">
        <v>62</v>
      </c>
      <c r="T101" s="31" t="s">
        <v>16757</v>
      </c>
      <c r="U101" s="31" t="n">
        <v>12</v>
      </c>
      <c r="V101" s="31" t="s">
        <v>4048</v>
      </c>
      <c r="W101" s="31" t="n">
        <v>1</v>
      </c>
      <c r="X101" s="31" t="s">
        <v>18775</v>
      </c>
      <c r="Y101" s="31" t="s">
        <v>18776</v>
      </c>
      <c r="Z101" s="31" t="s">
        <v>18777</v>
      </c>
      <c r="AA101" s="31" t="s">
        <v>18778</v>
      </c>
      <c r="AB101" s="31" t="s">
        <v>18779</v>
      </c>
      <c r="AC101" s="31" t="s">
        <v>18780</v>
      </c>
      <c r="AD101" s="31" t="s">
        <v>18781</v>
      </c>
      <c r="AE101" s="31" t="s">
        <v>18782</v>
      </c>
      <c r="AF101" s="31" t="s">
        <v>18783</v>
      </c>
      <c r="AG101" s="31" t="s">
        <v>18783</v>
      </c>
      <c r="AH101" s="31" t="s">
        <v>18784</v>
      </c>
      <c r="AI101" s="31" t="n">
        <v>63</v>
      </c>
      <c r="AJ101" s="31" t="n">
        <v>2</v>
      </c>
      <c r="AK101" s="31" t="n">
        <v>7</v>
      </c>
      <c r="AL101" s="31" t="s">
        <v>16769</v>
      </c>
      <c r="AM101" s="31" t="s">
        <v>16770</v>
      </c>
      <c r="AN101" s="31"/>
      <c r="AO101" s="31" t="s">
        <v>16771</v>
      </c>
      <c r="AP101" s="31" t="s">
        <v>16757</v>
      </c>
      <c r="AQ101" s="31" t="s">
        <v>16772</v>
      </c>
      <c r="AR101" s="31" t="s">
        <v>14295</v>
      </c>
      <c r="AS101" s="31"/>
      <c r="AT101" s="31"/>
      <c r="AU101" s="31" t="n">
        <v>12</v>
      </c>
      <c r="AV101" s="31" t="s">
        <v>18785</v>
      </c>
      <c r="AW101" s="35" t="str">
        <f aca="false">HYPERLINK("http://dx.doi.org/10.3390/biomedicines12010012","http://dx.doi.org/10.3390/biomedicines12010012")</f>
        <v>http://dx.doi.org/10.3390/biomedicines12010012</v>
      </c>
      <c r="AX101" s="31"/>
      <c r="AY101" s="31" t="n">
        <v>14</v>
      </c>
      <c r="AZ101" s="31" t="s">
        <v>16774</v>
      </c>
      <c r="BA101" s="31" t="s">
        <v>16366</v>
      </c>
      <c r="BB101" s="31" t="s">
        <v>16775</v>
      </c>
      <c r="BC101" s="31" t="s">
        <v>18786</v>
      </c>
      <c r="BD101" s="31" t="n">
        <v>38275373</v>
      </c>
      <c r="BE101" s="31" t="s">
        <v>17143</v>
      </c>
      <c r="BF101" s="31" t="s">
        <v>16369</v>
      </c>
      <c r="BG101" s="31" t="s">
        <v>18787</v>
      </c>
      <c r="BH101" s="31" t="str">
        <f aca="false">HYPERLINK("https%3A%2F%2Fwww.webofscience.com%2Fwos%2Fwoscc%2Ffull-record%2FWOS:001148939600001","View Full Record in Web of Science")</f>
        <v>View Full Record in Web of Science</v>
      </c>
      <c r="BI101" s="31"/>
      <c r="BJ101" s="31"/>
      <c r="BK101" s="31"/>
      <c r="BL101" s="31"/>
      <c r="BM101" s="31"/>
      <c r="BN101" s="31"/>
      <c r="BO101" s="31"/>
      <c r="BP101" s="31"/>
      <c r="BQ101" s="31"/>
      <c r="BR101" s="31"/>
      <c r="BS101" s="31"/>
      <c r="BT101" s="31"/>
      <c r="BU101" s="31"/>
      <c r="BV101" s="31"/>
      <c r="BW101" s="31"/>
      <c r="BX101" s="31"/>
      <c r="BY101" s="31"/>
      <c r="BZ101" s="31"/>
      <c r="CA101" s="31"/>
      <c r="CB101" s="31"/>
      <c r="CC101" s="31"/>
      <c r="CD101" s="31"/>
      <c r="CE101" s="31"/>
      <c r="CF101" s="31"/>
    </row>
    <row r="102" customFormat="false" ht="15.75" hidden="false" customHeight="true" outlineLevel="0" collapsed="false">
      <c r="A102" s="31" t="s">
        <v>16335</v>
      </c>
      <c r="B102" s="31" t="s">
        <v>18788</v>
      </c>
      <c r="C102" s="31" t="s">
        <v>18789</v>
      </c>
      <c r="D102" s="34" t="s">
        <v>18790</v>
      </c>
      <c r="E102" s="31" t="n">
        <v>2024</v>
      </c>
      <c r="F102" s="33" t="s">
        <v>18791</v>
      </c>
      <c r="G102" s="33" t="s">
        <v>134</v>
      </c>
      <c r="H102" s="32"/>
      <c r="I102" s="34"/>
      <c r="J102" s="34"/>
      <c r="K102" s="34"/>
      <c r="L102" s="34"/>
      <c r="M102" s="34"/>
      <c r="N102" s="34"/>
      <c r="O102" s="34"/>
      <c r="P102" s="34" t="n">
        <v>0</v>
      </c>
      <c r="Q102" s="31" t="n">
        <v>0</v>
      </c>
      <c r="R102" s="31" t="s">
        <v>61</v>
      </c>
      <c r="S102" s="31" t="s">
        <v>62</v>
      </c>
      <c r="T102" s="31" t="s">
        <v>16383</v>
      </c>
      <c r="U102" s="31" t="n">
        <v>12</v>
      </c>
      <c r="V102" s="31" t="s">
        <v>16384</v>
      </c>
      <c r="W102" s="31"/>
      <c r="X102" s="31" t="s">
        <v>18792</v>
      </c>
      <c r="Y102" s="31"/>
      <c r="Z102" s="31" t="s">
        <v>18793</v>
      </c>
      <c r="AA102" s="31" t="s">
        <v>18794</v>
      </c>
      <c r="AB102" s="31" t="s">
        <v>18795</v>
      </c>
      <c r="AC102" s="31" t="s">
        <v>18796</v>
      </c>
      <c r="AD102" s="31" t="s">
        <v>18797</v>
      </c>
      <c r="AE102" s="31" t="s">
        <v>18798</v>
      </c>
      <c r="AF102" s="31"/>
      <c r="AG102" s="31"/>
      <c r="AH102" s="31"/>
      <c r="AI102" s="31" t="n">
        <v>56</v>
      </c>
      <c r="AJ102" s="31" t="n">
        <v>1</v>
      </c>
      <c r="AK102" s="31" t="n">
        <v>1</v>
      </c>
      <c r="AL102" s="31" t="s">
        <v>16395</v>
      </c>
      <c r="AM102" s="31" t="s">
        <v>16396</v>
      </c>
      <c r="AN102" s="31" t="s">
        <v>16397</v>
      </c>
      <c r="AO102" s="31"/>
      <c r="AP102" s="31" t="s">
        <v>16383</v>
      </c>
      <c r="AQ102" s="31" t="s">
        <v>186</v>
      </c>
      <c r="AR102" s="31"/>
      <c r="AS102" s="31" t="n">
        <v>135746</v>
      </c>
      <c r="AT102" s="31" t="n">
        <v>135763</v>
      </c>
      <c r="AU102" s="31"/>
      <c r="AV102" s="31" t="s">
        <v>18799</v>
      </c>
      <c r="AW102" s="35" t="str">
        <f aca="false">HYPERLINK("http://dx.doi.org/10.1109/ACCESS.2024.3459411","http://dx.doi.org/10.1109/ACCESS.2024.3459411")</f>
        <v>http://dx.doi.org/10.1109/ACCESS.2024.3459411</v>
      </c>
      <c r="AX102" s="31"/>
      <c r="AY102" s="31" t="n">
        <v>18</v>
      </c>
      <c r="AZ102" s="31" t="s">
        <v>16399</v>
      </c>
      <c r="BA102" s="31" t="s">
        <v>16366</v>
      </c>
      <c r="BB102" s="31" t="s">
        <v>16400</v>
      </c>
      <c r="BC102" s="31" t="s">
        <v>18800</v>
      </c>
      <c r="BD102" s="31"/>
      <c r="BE102" s="31" t="s">
        <v>16431</v>
      </c>
      <c r="BF102" s="31" t="s">
        <v>16369</v>
      </c>
      <c r="BG102" s="31" t="s">
        <v>18801</v>
      </c>
      <c r="BH102" s="31" t="str">
        <f aca="false">HYPERLINK("https%3A%2F%2Fwww.webofscience.com%2Fwos%2Fwoscc%2Ffull-record%2FWOS:001327349900001","View Full Record in Web of Science")</f>
        <v>View Full Record in Web of Science</v>
      </c>
      <c r="BI102" s="31"/>
      <c r="BJ102" s="31"/>
      <c r="BK102" s="31"/>
      <c r="BL102" s="31"/>
      <c r="BM102" s="31"/>
      <c r="BN102" s="31"/>
      <c r="BO102" s="31"/>
      <c r="BP102" s="31"/>
      <c r="BQ102" s="31"/>
      <c r="BR102" s="31"/>
      <c r="BS102" s="31"/>
      <c r="BT102" s="31"/>
      <c r="BU102" s="31"/>
      <c r="BV102" s="31"/>
      <c r="BW102" s="31"/>
      <c r="BX102" s="31"/>
      <c r="BY102" s="31"/>
      <c r="BZ102" s="31"/>
      <c r="CA102" s="31"/>
      <c r="CB102" s="31"/>
      <c r="CC102" s="31"/>
      <c r="CD102" s="31"/>
      <c r="CE102" s="31"/>
      <c r="CF102" s="31"/>
    </row>
    <row r="103" customFormat="false" ht="15.75" hidden="false" customHeight="true" outlineLevel="0" collapsed="false">
      <c r="A103" s="31" t="s">
        <v>16335</v>
      </c>
      <c r="B103" s="31" t="s">
        <v>18802</v>
      </c>
      <c r="C103" s="31" t="s">
        <v>18803</v>
      </c>
      <c r="D103" s="34" t="s">
        <v>18804</v>
      </c>
      <c r="E103" s="31" t="n">
        <v>2024</v>
      </c>
      <c r="F103" s="33" t="s">
        <v>18805</v>
      </c>
      <c r="G103" s="33" t="s">
        <v>134</v>
      </c>
      <c r="H103" s="32"/>
      <c r="I103" s="34"/>
      <c r="J103" s="34"/>
      <c r="K103" s="34"/>
      <c r="L103" s="34"/>
      <c r="M103" s="34"/>
      <c r="N103" s="34"/>
      <c r="O103" s="34"/>
      <c r="P103" s="34" t="n">
        <v>12</v>
      </c>
      <c r="Q103" s="31" t="n">
        <v>12</v>
      </c>
      <c r="R103" s="31" t="s">
        <v>61</v>
      </c>
      <c r="S103" s="31" t="s">
        <v>62</v>
      </c>
      <c r="T103" s="31" t="s">
        <v>18806</v>
      </c>
      <c r="U103" s="31" t="n">
        <v>12</v>
      </c>
      <c r="V103" s="31" t="s">
        <v>18323</v>
      </c>
      <c r="W103" s="31" t="n">
        <v>2</v>
      </c>
      <c r="X103" s="31" t="s">
        <v>18807</v>
      </c>
      <c r="Y103" s="31"/>
      <c r="Z103" s="31" t="s">
        <v>18808</v>
      </c>
      <c r="AA103" s="31" t="s">
        <v>18809</v>
      </c>
      <c r="AB103" s="31" t="s">
        <v>18810</v>
      </c>
      <c r="AC103" s="31" t="s">
        <v>18811</v>
      </c>
      <c r="AD103" s="31" t="s">
        <v>18812</v>
      </c>
      <c r="AE103" s="31" t="s">
        <v>18813</v>
      </c>
      <c r="AF103" s="31" t="s">
        <v>18814</v>
      </c>
      <c r="AG103" s="31" t="s">
        <v>18814</v>
      </c>
      <c r="AH103" s="31" t="s">
        <v>18815</v>
      </c>
      <c r="AI103" s="31" t="n">
        <v>30</v>
      </c>
      <c r="AJ103" s="31" t="n">
        <v>45</v>
      </c>
      <c r="AK103" s="31" t="n">
        <v>168</v>
      </c>
      <c r="AL103" s="31" t="s">
        <v>18329</v>
      </c>
      <c r="AM103" s="31" t="s">
        <v>18330</v>
      </c>
      <c r="AN103" s="31" t="s">
        <v>18816</v>
      </c>
      <c r="AO103" s="31"/>
      <c r="AP103" s="31" t="s">
        <v>18817</v>
      </c>
      <c r="AQ103" s="31" t="s">
        <v>4979</v>
      </c>
      <c r="AR103" s="31" t="s">
        <v>18818</v>
      </c>
      <c r="AS103" s="31"/>
      <c r="AT103" s="31"/>
      <c r="AU103" s="31"/>
      <c r="AV103" s="31" t="s">
        <v>18819</v>
      </c>
      <c r="AW103" s="35" t="str">
        <f aca="false">HYPERLINK("http://dx.doi.org/10.1128/spectrum.01440-23","http://dx.doi.org/10.1128/spectrum.01440-23")</f>
        <v>http://dx.doi.org/10.1128/spectrum.01440-23</v>
      </c>
      <c r="AX103" s="31" t="s">
        <v>18739</v>
      </c>
      <c r="AY103" s="31" t="n">
        <v>11</v>
      </c>
      <c r="AZ103" s="31" t="s">
        <v>18336</v>
      </c>
      <c r="BA103" s="31" t="s">
        <v>16366</v>
      </c>
      <c r="BB103" s="31" t="s">
        <v>18336</v>
      </c>
      <c r="BC103" s="31" t="s">
        <v>18820</v>
      </c>
      <c r="BD103" s="31" t="n">
        <v>38171008</v>
      </c>
      <c r="BE103" s="31" t="s">
        <v>16832</v>
      </c>
      <c r="BF103" s="31" t="s">
        <v>16369</v>
      </c>
      <c r="BG103" s="31" t="s">
        <v>18821</v>
      </c>
      <c r="BH103" s="31" t="str">
        <f aca="false">HYPERLINK("https%3A%2F%2Fwww.webofscience.com%2Fwos%2Fwoscc%2Ffull-record%2FWOS:001135899200001","View Full Record in Web of Science")</f>
        <v>View Full Record in Web of Science</v>
      </c>
      <c r="BI103" s="31"/>
      <c r="BJ103" s="31"/>
      <c r="BK103" s="31"/>
      <c r="BL103" s="31"/>
      <c r="BM103" s="31"/>
      <c r="BN103" s="31"/>
      <c r="BO103" s="31"/>
      <c r="BP103" s="31"/>
      <c r="BQ103" s="31"/>
      <c r="BR103" s="31"/>
      <c r="BS103" s="31"/>
      <c r="BT103" s="31"/>
      <c r="BU103" s="31"/>
      <c r="BV103" s="31"/>
      <c r="BW103" s="31"/>
      <c r="BX103" s="31"/>
      <c r="BY103" s="31"/>
      <c r="BZ103" s="31"/>
      <c r="CA103" s="31"/>
      <c r="CB103" s="31"/>
      <c r="CC103" s="31"/>
      <c r="CD103" s="31"/>
      <c r="CE103" s="31"/>
      <c r="CF103" s="31"/>
    </row>
    <row r="104" customFormat="false" ht="15.75" hidden="false" customHeight="true" outlineLevel="0" collapsed="false">
      <c r="A104" s="31" t="s">
        <v>16335</v>
      </c>
      <c r="B104" s="31" t="s">
        <v>18822</v>
      </c>
      <c r="C104" s="31" t="s">
        <v>18823</v>
      </c>
      <c r="D104" s="34" t="s">
        <v>18824</v>
      </c>
      <c r="E104" s="31" t="n">
        <v>2024</v>
      </c>
      <c r="F104" s="33" t="s">
        <v>18825</v>
      </c>
      <c r="G104" s="33" t="s">
        <v>134</v>
      </c>
      <c r="H104" s="32"/>
      <c r="I104" s="34"/>
      <c r="J104" s="34"/>
      <c r="K104" s="34"/>
      <c r="L104" s="34"/>
      <c r="M104" s="34"/>
      <c r="N104" s="34"/>
      <c r="O104" s="34"/>
      <c r="P104" s="34" t="n">
        <v>0</v>
      </c>
      <c r="Q104" s="31" t="n">
        <v>0</v>
      </c>
      <c r="R104" s="31" t="s">
        <v>61</v>
      </c>
      <c r="S104" s="31" t="s">
        <v>62</v>
      </c>
      <c r="T104" s="31" t="s">
        <v>18253</v>
      </c>
      <c r="U104" s="31" t="n">
        <v>57</v>
      </c>
      <c r="V104" s="31" t="s">
        <v>16349</v>
      </c>
      <c r="W104" s="31"/>
      <c r="X104" s="31" t="s">
        <v>18826</v>
      </c>
      <c r="Y104" s="31"/>
      <c r="Z104" s="31" t="s">
        <v>18827</v>
      </c>
      <c r="AA104" s="31" t="s">
        <v>18828</v>
      </c>
      <c r="AB104" s="31" t="s">
        <v>18829</v>
      </c>
      <c r="AC104" s="31" t="s">
        <v>18830</v>
      </c>
      <c r="AD104" s="31" t="s">
        <v>18831</v>
      </c>
      <c r="AE104" s="31" t="s">
        <v>18832</v>
      </c>
      <c r="AF104" s="31" t="s">
        <v>18833</v>
      </c>
      <c r="AG104" s="31" t="s">
        <v>18833</v>
      </c>
      <c r="AH104" s="31" t="s">
        <v>18834</v>
      </c>
      <c r="AI104" s="31" t="n">
        <v>6</v>
      </c>
      <c r="AJ104" s="31" t="n">
        <v>0</v>
      </c>
      <c r="AK104" s="31" t="n">
        <v>0</v>
      </c>
      <c r="AL104" s="31" t="s">
        <v>16356</v>
      </c>
      <c r="AM104" s="31" t="s">
        <v>16357</v>
      </c>
      <c r="AN104" s="31" t="s">
        <v>18263</v>
      </c>
      <c r="AO104" s="31"/>
      <c r="AP104" s="31" t="s">
        <v>18264</v>
      </c>
      <c r="AQ104" s="31" t="s">
        <v>18265</v>
      </c>
      <c r="AR104" s="31" t="s">
        <v>16649</v>
      </c>
      <c r="AS104" s="31"/>
      <c r="AT104" s="31"/>
      <c r="AU104" s="31" t="n">
        <v>111169</v>
      </c>
      <c r="AV104" s="31" t="s">
        <v>18835</v>
      </c>
      <c r="AW104" s="35" t="str">
        <f aca="false">HYPERLINK("http://dx.doi.org/10.1016/j.dib.2024.111169","http://dx.doi.org/10.1016/j.dib.2024.111169")</f>
        <v>http://dx.doi.org/10.1016/j.dib.2024.111169</v>
      </c>
      <c r="AX104" s="31" t="s">
        <v>18468</v>
      </c>
      <c r="AY104" s="31" t="n">
        <v>6</v>
      </c>
      <c r="AZ104" s="31" t="s">
        <v>16428</v>
      </c>
      <c r="BA104" s="31" t="s">
        <v>16684</v>
      </c>
      <c r="BB104" s="31" t="s">
        <v>16429</v>
      </c>
      <c r="BC104" s="31" t="s">
        <v>18836</v>
      </c>
      <c r="BD104" s="31" t="n">
        <v>39687374</v>
      </c>
      <c r="BE104" s="31" t="s">
        <v>16431</v>
      </c>
      <c r="BF104" s="31" t="s">
        <v>16369</v>
      </c>
      <c r="BG104" s="31" t="s">
        <v>18837</v>
      </c>
      <c r="BH104" s="31" t="str">
        <f aca="false">HYPERLINK("https%3A%2F%2Fwww.webofscience.com%2Fwos%2Fwoscc%2Ffull-record%2FWOS:001373167300001","View Full Record in Web of Science")</f>
        <v>View Full Record in Web of Science</v>
      </c>
      <c r="BI104" s="31"/>
      <c r="BJ104" s="31"/>
      <c r="BK104" s="31"/>
      <c r="BL104" s="31"/>
      <c r="BM104" s="31"/>
      <c r="BN104" s="31"/>
      <c r="BO104" s="31"/>
      <c r="BP104" s="31"/>
      <c r="BQ104" s="31"/>
      <c r="BR104" s="31"/>
      <c r="BS104" s="31"/>
      <c r="BT104" s="31"/>
      <c r="BU104" s="31"/>
      <c r="BV104" s="31"/>
      <c r="BW104" s="31"/>
      <c r="BX104" s="31"/>
      <c r="BY104" s="31"/>
      <c r="BZ104" s="31"/>
      <c r="CA104" s="31"/>
      <c r="CB104" s="31"/>
      <c r="CC104" s="31"/>
      <c r="CD104" s="31"/>
      <c r="CE104" s="31"/>
      <c r="CF104" s="31"/>
    </row>
    <row r="105" customFormat="false" ht="15.75" hidden="false" customHeight="true" outlineLevel="0" collapsed="false">
      <c r="A105" s="31" t="s">
        <v>16335</v>
      </c>
      <c r="B105" s="31" t="s">
        <v>18838</v>
      </c>
      <c r="C105" s="31" t="s">
        <v>18839</v>
      </c>
      <c r="D105" s="34" t="s">
        <v>18840</v>
      </c>
      <c r="E105" s="31" t="n">
        <v>2024</v>
      </c>
      <c r="F105" s="33" t="s">
        <v>18841</v>
      </c>
      <c r="G105" s="33" t="s">
        <v>134</v>
      </c>
      <c r="H105" s="32"/>
      <c r="I105" s="34"/>
      <c r="J105" s="34"/>
      <c r="K105" s="34"/>
      <c r="L105" s="34"/>
      <c r="M105" s="34"/>
      <c r="N105" s="34"/>
      <c r="O105" s="34"/>
      <c r="P105" s="34" t="n">
        <v>0</v>
      </c>
      <c r="Q105" s="31" t="n">
        <v>0</v>
      </c>
      <c r="R105" s="31" t="s">
        <v>61</v>
      </c>
      <c r="S105" s="31" t="s">
        <v>62</v>
      </c>
      <c r="T105" s="31" t="s">
        <v>18842</v>
      </c>
      <c r="U105" s="31" t="n">
        <v>13</v>
      </c>
      <c r="V105" s="31" t="s">
        <v>16814</v>
      </c>
      <c r="W105" s="31" t="n">
        <v>4</v>
      </c>
      <c r="X105" s="31" t="s">
        <v>18843</v>
      </c>
      <c r="Y105" s="31" t="s">
        <v>18844</v>
      </c>
      <c r="Z105" s="31" t="s">
        <v>18845</v>
      </c>
      <c r="AA105" s="31" t="s">
        <v>18846</v>
      </c>
      <c r="AB105" s="31" t="s">
        <v>18847</v>
      </c>
      <c r="AC105" s="31" t="s">
        <v>18848</v>
      </c>
      <c r="AD105" s="31" t="s">
        <v>18849</v>
      </c>
      <c r="AE105" s="31" t="s">
        <v>18850</v>
      </c>
      <c r="AF105" s="31"/>
      <c r="AG105" s="31"/>
      <c r="AH105" s="31"/>
      <c r="AI105" s="31" t="n">
        <v>40</v>
      </c>
      <c r="AJ105" s="31" t="n">
        <v>1</v>
      </c>
      <c r="AK105" s="31" t="n">
        <v>1</v>
      </c>
      <c r="AL105" s="31" t="s">
        <v>16821</v>
      </c>
      <c r="AM105" s="31" t="s">
        <v>16822</v>
      </c>
      <c r="AN105" s="31" t="s">
        <v>18851</v>
      </c>
      <c r="AO105" s="31" t="s">
        <v>18852</v>
      </c>
      <c r="AP105" s="31" t="s">
        <v>18853</v>
      </c>
      <c r="AQ105" s="31" t="s">
        <v>18854</v>
      </c>
      <c r="AR105" s="31" t="s">
        <v>16649</v>
      </c>
      <c r="AS105" s="31" t="n">
        <v>367</v>
      </c>
      <c r="AT105" s="31" t="n">
        <v>379</v>
      </c>
      <c r="AU105" s="31"/>
      <c r="AV105" s="31" t="s">
        <v>18855</v>
      </c>
      <c r="AW105" s="35" t="str">
        <f aca="false">HYPERLINK("http://dx.doi.org/10.1007/s13748-024-00346-9","http://dx.doi.org/10.1007/s13748-024-00346-9")</f>
        <v>http://dx.doi.org/10.1007/s13748-024-00346-9</v>
      </c>
      <c r="AX105" s="31" t="s">
        <v>18291</v>
      </c>
      <c r="AY105" s="31" t="n">
        <v>13</v>
      </c>
      <c r="AZ105" s="31" t="s">
        <v>16365</v>
      </c>
      <c r="BA105" s="31" t="s">
        <v>16684</v>
      </c>
      <c r="BB105" s="31" t="s">
        <v>16367</v>
      </c>
      <c r="BC105" s="31" t="s">
        <v>18856</v>
      </c>
      <c r="BD105" s="31"/>
      <c r="BE105" s="31" t="s">
        <v>16494</v>
      </c>
      <c r="BF105" s="31" t="s">
        <v>16369</v>
      </c>
      <c r="BG105" s="31" t="s">
        <v>18857</v>
      </c>
      <c r="BH105" s="31" t="str">
        <f aca="false">HYPERLINK("https%3A%2F%2Fwww.webofscience.com%2Fwos%2Fwoscc%2Ffull-record%2FWOS:001326396200001","View Full Record in Web of Science")</f>
        <v>View Full Record in Web of Science</v>
      </c>
      <c r="BI105" s="31"/>
      <c r="BJ105" s="31"/>
      <c r="BK105" s="31"/>
      <c r="BL105" s="31"/>
      <c r="BM105" s="31"/>
      <c r="BN105" s="31"/>
      <c r="BO105" s="31"/>
      <c r="BP105" s="31"/>
      <c r="BQ105" s="31"/>
      <c r="BR105" s="31"/>
      <c r="BS105" s="31"/>
      <c r="BT105" s="31"/>
      <c r="BU105" s="31"/>
      <c r="BV105" s="31"/>
      <c r="BW105" s="31"/>
      <c r="BX105" s="31"/>
      <c r="BY105" s="31"/>
      <c r="BZ105" s="31"/>
      <c r="CA105" s="31"/>
      <c r="CB105" s="31"/>
      <c r="CC105" s="31"/>
      <c r="CD105" s="31"/>
      <c r="CE105" s="31"/>
      <c r="CF105" s="31"/>
    </row>
    <row r="106" customFormat="false" ht="15.75" hidden="false" customHeight="true" outlineLevel="0" collapsed="false">
      <c r="A106" s="31" t="s">
        <v>16335</v>
      </c>
      <c r="B106" s="31" t="s">
        <v>18858</v>
      </c>
      <c r="C106" s="31" t="s">
        <v>18859</v>
      </c>
      <c r="D106" s="34" t="s">
        <v>18860</v>
      </c>
      <c r="E106" s="31" t="n">
        <v>2024</v>
      </c>
      <c r="F106" s="33" t="s">
        <v>18861</v>
      </c>
      <c r="G106" s="33" t="s">
        <v>134</v>
      </c>
      <c r="H106" s="32"/>
      <c r="I106" s="34"/>
      <c r="J106" s="34"/>
      <c r="K106" s="34"/>
      <c r="L106" s="34"/>
      <c r="M106" s="34"/>
      <c r="N106" s="34"/>
      <c r="O106" s="34"/>
      <c r="P106" s="34" t="n">
        <v>0</v>
      </c>
      <c r="Q106" s="31" t="n">
        <v>0</v>
      </c>
      <c r="R106" s="31" t="s">
        <v>61</v>
      </c>
      <c r="S106" s="31" t="s">
        <v>62</v>
      </c>
      <c r="T106" s="31" t="s">
        <v>17598</v>
      </c>
      <c r="U106" s="31" t="n">
        <v>23</v>
      </c>
      <c r="V106" s="31" t="s">
        <v>17599</v>
      </c>
      <c r="W106" s="31" t="n">
        <v>1</v>
      </c>
      <c r="X106" s="31" t="s">
        <v>18862</v>
      </c>
      <c r="Y106" s="31"/>
      <c r="Z106" s="31" t="s">
        <v>18863</v>
      </c>
      <c r="AA106" s="31" t="s">
        <v>18864</v>
      </c>
      <c r="AB106" s="31" t="s">
        <v>18865</v>
      </c>
      <c r="AC106" s="31" t="s">
        <v>18866</v>
      </c>
      <c r="AD106" s="31" t="s">
        <v>18867</v>
      </c>
      <c r="AE106" s="31" t="s">
        <v>18868</v>
      </c>
      <c r="AF106" s="31" t="s">
        <v>18869</v>
      </c>
      <c r="AG106" s="31" t="s">
        <v>18869</v>
      </c>
      <c r="AH106" s="31" t="s">
        <v>18870</v>
      </c>
      <c r="AI106" s="31" t="n">
        <v>44</v>
      </c>
      <c r="AJ106" s="31" t="n">
        <v>1</v>
      </c>
      <c r="AK106" s="31" t="n">
        <v>1</v>
      </c>
      <c r="AL106" s="31" t="s">
        <v>16821</v>
      </c>
      <c r="AM106" s="31" t="s">
        <v>17609</v>
      </c>
      <c r="AN106" s="31"/>
      <c r="AO106" s="31" t="s">
        <v>17610</v>
      </c>
      <c r="AP106" s="31" t="s">
        <v>17611</v>
      </c>
      <c r="AQ106" s="31" t="s">
        <v>914</v>
      </c>
      <c r="AR106" s="31" t="s">
        <v>18871</v>
      </c>
      <c r="AS106" s="31"/>
      <c r="AT106" s="31"/>
      <c r="AU106" s="31" t="n">
        <v>299</v>
      </c>
      <c r="AV106" s="31" t="s">
        <v>18872</v>
      </c>
      <c r="AW106" s="35" t="str">
        <f aca="false">HYPERLINK("http://dx.doi.org/10.1186/s12936-024-05025-7","http://dx.doi.org/10.1186/s12936-024-05025-7")</f>
        <v>http://dx.doi.org/10.1186/s12936-024-05025-7</v>
      </c>
      <c r="AX106" s="31"/>
      <c r="AY106" s="31" t="n">
        <v>12</v>
      </c>
      <c r="AZ106" s="31" t="s">
        <v>16862</v>
      </c>
      <c r="BA106" s="31" t="s">
        <v>16366</v>
      </c>
      <c r="BB106" s="31" t="s">
        <v>16862</v>
      </c>
      <c r="BC106" s="31" t="s">
        <v>18873</v>
      </c>
      <c r="BD106" s="31" t="n">
        <v>39375756</v>
      </c>
      <c r="BE106" s="31" t="s">
        <v>16431</v>
      </c>
      <c r="BF106" s="31" t="s">
        <v>16369</v>
      </c>
      <c r="BG106" s="31" t="s">
        <v>18874</v>
      </c>
      <c r="BH106" s="31" t="str">
        <f aca="false">HYPERLINK("https%3A%2F%2Fwww.webofscience.com%2Fwos%2Fwoscc%2Ffull-record%2FWOS:001327746200002","View Full Record in Web of Science")</f>
        <v>View Full Record in Web of Science</v>
      </c>
      <c r="BI106" s="31"/>
      <c r="BJ106" s="31"/>
      <c r="BK106" s="31"/>
      <c r="BL106" s="31"/>
      <c r="BM106" s="31"/>
      <c r="BN106" s="31"/>
      <c r="BO106" s="31"/>
      <c r="BP106" s="31"/>
      <c r="BQ106" s="31"/>
      <c r="BR106" s="31"/>
      <c r="BS106" s="31"/>
      <c r="BT106" s="31"/>
      <c r="BU106" s="31"/>
      <c r="BV106" s="31"/>
      <c r="BW106" s="31"/>
      <c r="BX106" s="31"/>
      <c r="BY106" s="31"/>
      <c r="BZ106" s="31"/>
      <c r="CA106" s="31"/>
      <c r="CB106" s="31"/>
      <c r="CC106" s="31"/>
      <c r="CD106" s="31"/>
      <c r="CE106" s="31"/>
      <c r="CF106" s="31"/>
    </row>
    <row r="107" customFormat="false" ht="15.75" hidden="false" customHeight="true" outlineLevel="0" collapsed="false">
      <c r="A107" s="31" t="s">
        <v>16335</v>
      </c>
      <c r="B107" s="31" t="s">
        <v>18875</v>
      </c>
      <c r="C107" s="31" t="s">
        <v>18876</v>
      </c>
      <c r="D107" s="34" t="s">
        <v>18877</v>
      </c>
      <c r="E107" s="31" t="n">
        <v>2024</v>
      </c>
      <c r="F107" s="33" t="s">
        <v>18878</v>
      </c>
      <c r="G107" s="33" t="s">
        <v>349</v>
      </c>
      <c r="H107" s="32"/>
      <c r="I107" s="34"/>
      <c r="J107" s="34"/>
      <c r="K107" s="34"/>
      <c r="L107" s="34"/>
      <c r="M107" s="34"/>
      <c r="N107" s="34"/>
      <c r="O107" s="34"/>
      <c r="P107" s="34" t="n">
        <v>0</v>
      </c>
      <c r="Q107" s="31" t="n">
        <v>0</v>
      </c>
      <c r="R107" s="31" t="s">
        <v>61</v>
      </c>
      <c r="S107" s="31" t="s">
        <v>62</v>
      </c>
      <c r="T107" s="31" t="s">
        <v>18879</v>
      </c>
      <c r="U107" s="31" t="n">
        <v>68</v>
      </c>
      <c r="V107" s="31" t="s">
        <v>16600</v>
      </c>
      <c r="W107" s="31" t="n">
        <v>10</v>
      </c>
      <c r="X107" s="31" t="s">
        <v>18880</v>
      </c>
      <c r="Y107" s="31" t="s">
        <v>18881</v>
      </c>
      <c r="Z107" s="31" t="s">
        <v>18882</v>
      </c>
      <c r="AA107" s="31" t="s">
        <v>18883</v>
      </c>
      <c r="AB107" s="31" t="s">
        <v>18884</v>
      </c>
      <c r="AC107" s="31" t="s">
        <v>18885</v>
      </c>
      <c r="AD107" s="31" t="s">
        <v>18886</v>
      </c>
      <c r="AE107" s="31" t="s">
        <v>18887</v>
      </c>
      <c r="AF107" s="31"/>
      <c r="AG107" s="31"/>
      <c r="AH107" s="31"/>
      <c r="AI107" s="31" t="n">
        <v>76</v>
      </c>
      <c r="AJ107" s="31" t="n">
        <v>2</v>
      </c>
      <c r="AK107" s="31" t="n">
        <v>3</v>
      </c>
      <c r="AL107" s="31" t="s">
        <v>16990</v>
      </c>
      <c r="AM107" s="31" t="s">
        <v>16991</v>
      </c>
      <c r="AN107" s="31" t="s">
        <v>18888</v>
      </c>
      <c r="AO107" s="31" t="s">
        <v>18889</v>
      </c>
      <c r="AP107" s="31" t="s">
        <v>18890</v>
      </c>
      <c r="AQ107" s="31" t="s">
        <v>18891</v>
      </c>
      <c r="AR107" s="31" t="s">
        <v>16615</v>
      </c>
      <c r="AS107" s="31" t="n">
        <v>2003</v>
      </c>
      <c r="AT107" s="31" t="n">
        <v>2013</v>
      </c>
      <c r="AU107" s="31"/>
      <c r="AV107" s="31" t="s">
        <v>18892</v>
      </c>
      <c r="AW107" s="35" t="str">
        <f aca="false">HYPERLINK("http://dx.doi.org/10.1007/s00484-024-02723-4","http://dx.doi.org/10.1007/s00484-024-02723-4")</f>
        <v>http://dx.doi.org/10.1007/s00484-024-02723-4</v>
      </c>
      <c r="AX107" s="31" t="s">
        <v>18490</v>
      </c>
      <c r="AY107" s="31" t="n">
        <v>11</v>
      </c>
      <c r="AZ107" s="31" t="s">
        <v>18893</v>
      </c>
      <c r="BA107" s="31" t="s">
        <v>16366</v>
      </c>
      <c r="BB107" s="31" t="s">
        <v>18894</v>
      </c>
      <c r="BC107" s="31" t="s">
        <v>18895</v>
      </c>
      <c r="BD107" s="31" t="n">
        <v>38884797</v>
      </c>
      <c r="BE107" s="31"/>
      <c r="BF107" s="31" t="s">
        <v>16369</v>
      </c>
      <c r="BG107" s="31" t="s">
        <v>18896</v>
      </c>
      <c r="BH107" s="31" t="str">
        <f aca="false">HYPERLINK("https%3A%2F%2Fwww.webofscience.com%2Fwos%2Fwoscc%2Ffull-record%2FWOS:001249553100003","View Full Record in Web of Science")</f>
        <v>View Full Record in Web of Science</v>
      </c>
      <c r="BI107" s="31"/>
      <c r="BJ107" s="31"/>
      <c r="BK107" s="31"/>
      <c r="BL107" s="31"/>
      <c r="BM107" s="31"/>
      <c r="BN107" s="31"/>
      <c r="BO107" s="31"/>
      <c r="BP107" s="31"/>
      <c r="BQ107" s="31"/>
      <c r="BR107" s="31"/>
      <c r="BS107" s="31"/>
      <c r="BT107" s="31"/>
      <c r="BU107" s="31"/>
      <c r="BV107" s="31"/>
      <c r="BW107" s="31"/>
      <c r="BX107" s="31"/>
      <c r="BY107" s="31"/>
      <c r="BZ107" s="31"/>
      <c r="CA107" s="31"/>
      <c r="CB107" s="31"/>
      <c r="CC107" s="31"/>
      <c r="CD107" s="31"/>
      <c r="CE107" s="31"/>
      <c r="CF107" s="31"/>
    </row>
    <row r="108" customFormat="false" ht="15.75" hidden="false" customHeight="true" outlineLevel="0" collapsed="false">
      <c r="A108" s="31" t="s">
        <v>16335</v>
      </c>
      <c r="B108" s="31" t="s">
        <v>18897</v>
      </c>
      <c r="C108" s="31" t="s">
        <v>18898</v>
      </c>
      <c r="D108" s="34" t="s">
        <v>18899</v>
      </c>
      <c r="E108" s="31" t="n">
        <v>2024</v>
      </c>
      <c r="F108" s="33" t="s">
        <v>18900</v>
      </c>
      <c r="G108" s="33" t="s">
        <v>134</v>
      </c>
      <c r="H108" s="32"/>
      <c r="I108" s="34"/>
      <c r="J108" s="34"/>
      <c r="K108" s="34"/>
      <c r="L108" s="34"/>
      <c r="M108" s="34"/>
      <c r="N108" s="34"/>
      <c r="O108" s="34"/>
      <c r="P108" s="34" t="n">
        <v>5</v>
      </c>
      <c r="Q108" s="31" t="n">
        <v>5</v>
      </c>
      <c r="R108" s="31" t="s">
        <v>61</v>
      </c>
      <c r="S108" s="31" t="s">
        <v>62</v>
      </c>
      <c r="T108" s="31" t="s">
        <v>18901</v>
      </c>
      <c r="U108" s="31" t="n">
        <v>79</v>
      </c>
      <c r="V108" s="31" t="s">
        <v>16349</v>
      </c>
      <c r="W108" s="31"/>
      <c r="X108" s="31" t="s">
        <v>18902</v>
      </c>
      <c r="Y108" s="31" t="s">
        <v>18903</v>
      </c>
      <c r="Z108" s="31" t="s">
        <v>18904</v>
      </c>
      <c r="AA108" s="31" t="s">
        <v>18905</v>
      </c>
      <c r="AB108" s="31" t="s">
        <v>18906</v>
      </c>
      <c r="AC108" s="31"/>
      <c r="AD108" s="31" t="s">
        <v>18907</v>
      </c>
      <c r="AE108" s="31" t="s">
        <v>18908</v>
      </c>
      <c r="AF108" s="31" t="s">
        <v>18909</v>
      </c>
      <c r="AG108" s="31" t="s">
        <v>18910</v>
      </c>
      <c r="AH108" s="31" t="s">
        <v>18911</v>
      </c>
      <c r="AI108" s="31" t="n">
        <v>89</v>
      </c>
      <c r="AJ108" s="31" t="n">
        <v>3</v>
      </c>
      <c r="AK108" s="31" t="n">
        <v>5</v>
      </c>
      <c r="AL108" s="31" t="s">
        <v>16356</v>
      </c>
      <c r="AM108" s="31" t="s">
        <v>16357</v>
      </c>
      <c r="AN108" s="31" t="s">
        <v>18912</v>
      </c>
      <c r="AO108" s="31" t="s">
        <v>18913</v>
      </c>
      <c r="AP108" s="31" t="s">
        <v>18914</v>
      </c>
      <c r="AQ108" s="31" t="s">
        <v>18915</v>
      </c>
      <c r="AR108" s="31" t="s">
        <v>17248</v>
      </c>
      <c r="AS108" s="31"/>
      <c r="AT108" s="31"/>
      <c r="AU108" s="31" t="n">
        <v>102430</v>
      </c>
      <c r="AV108" s="31" t="s">
        <v>18916</v>
      </c>
      <c r="AW108" s="35" t="str">
        <f aca="false">HYPERLINK("http://dx.doi.org/10.1016/j.ecoinf.2023.102430","http://dx.doi.org/10.1016/j.ecoinf.2023.102430")</f>
        <v>http://dx.doi.org/10.1016/j.ecoinf.2023.102430</v>
      </c>
      <c r="AX108" s="31" t="s">
        <v>16743</v>
      </c>
      <c r="AY108" s="31" t="n">
        <v>12</v>
      </c>
      <c r="AZ108" s="31" t="s">
        <v>18917</v>
      </c>
      <c r="BA108" s="31" t="s">
        <v>16366</v>
      </c>
      <c r="BB108" s="31" t="s">
        <v>17115</v>
      </c>
      <c r="BC108" s="31" t="s">
        <v>18918</v>
      </c>
      <c r="BD108" s="31"/>
      <c r="BE108" s="31" t="s">
        <v>16431</v>
      </c>
      <c r="BF108" s="31" t="s">
        <v>16369</v>
      </c>
      <c r="BG108" s="31" t="s">
        <v>18919</v>
      </c>
      <c r="BH108" s="31" t="str">
        <f aca="false">HYPERLINK("https%3A%2F%2Fwww.webofscience.com%2Fwos%2Fwoscc%2Ffull-record%2FWOS:001145974100001","View Full Record in Web of Science")</f>
        <v>View Full Record in Web of Science</v>
      </c>
      <c r="BI108" s="31"/>
      <c r="BJ108" s="31"/>
      <c r="BK108" s="31"/>
      <c r="BL108" s="31"/>
      <c r="BM108" s="31"/>
      <c r="BN108" s="31"/>
      <c r="BO108" s="31"/>
      <c r="BP108" s="31"/>
      <c r="BQ108" s="31"/>
      <c r="BR108" s="31"/>
      <c r="BS108" s="31"/>
      <c r="BT108" s="31"/>
      <c r="BU108" s="31"/>
      <c r="BV108" s="31"/>
      <c r="BW108" s="31"/>
      <c r="BX108" s="31"/>
      <c r="BY108" s="31"/>
      <c r="BZ108" s="31"/>
      <c r="CA108" s="31"/>
      <c r="CB108" s="31"/>
      <c r="CC108" s="31"/>
      <c r="CD108" s="31"/>
      <c r="CE108" s="31"/>
      <c r="CF108" s="31"/>
    </row>
    <row r="109" customFormat="false" ht="15.75" hidden="false" customHeight="true" outlineLevel="0" collapsed="false">
      <c r="A109" s="31" t="s">
        <v>16335</v>
      </c>
      <c r="B109" s="31" t="s">
        <v>18920</v>
      </c>
      <c r="C109" s="31" t="s">
        <v>18921</v>
      </c>
      <c r="D109" s="34" t="s">
        <v>18922</v>
      </c>
      <c r="E109" s="31" t="n">
        <v>2024</v>
      </c>
      <c r="F109" s="33" t="s">
        <v>18923</v>
      </c>
      <c r="G109" s="33" t="s">
        <v>134</v>
      </c>
      <c r="H109" s="32"/>
      <c r="I109" s="34"/>
      <c r="J109" s="34"/>
      <c r="K109" s="34"/>
      <c r="L109" s="34"/>
      <c r="M109" s="34"/>
      <c r="N109" s="34"/>
      <c r="O109" s="34"/>
      <c r="P109" s="34" t="n">
        <v>0</v>
      </c>
      <c r="Q109" s="31" t="n">
        <v>0</v>
      </c>
      <c r="R109" s="31" t="s">
        <v>61</v>
      </c>
      <c r="S109" s="31" t="s">
        <v>62</v>
      </c>
      <c r="T109" s="31" t="s">
        <v>18924</v>
      </c>
      <c r="U109" s="31" t="n">
        <v>62</v>
      </c>
      <c r="V109" s="31" t="s">
        <v>16443</v>
      </c>
      <c r="W109" s="31" t="n">
        <v>1</v>
      </c>
      <c r="X109" s="31"/>
      <c r="Y109" s="31"/>
      <c r="Z109" s="31" t="s">
        <v>18925</v>
      </c>
      <c r="AA109" s="31" t="s">
        <v>18926</v>
      </c>
      <c r="AB109" s="31" t="s">
        <v>18927</v>
      </c>
      <c r="AC109" s="31" t="s">
        <v>18928</v>
      </c>
      <c r="AD109" s="31" t="s">
        <v>18929</v>
      </c>
      <c r="AE109" s="31" t="s">
        <v>18930</v>
      </c>
      <c r="AF109" s="31"/>
      <c r="AG109" s="31"/>
      <c r="AH109" s="31"/>
      <c r="AI109" s="31" t="n">
        <v>27</v>
      </c>
      <c r="AJ109" s="31" t="n">
        <v>0</v>
      </c>
      <c r="AK109" s="31" t="n">
        <v>1</v>
      </c>
      <c r="AL109" s="31" t="s">
        <v>16453</v>
      </c>
      <c r="AM109" s="31" t="s">
        <v>16454</v>
      </c>
      <c r="AN109" s="31" t="s">
        <v>18931</v>
      </c>
      <c r="AO109" s="31" t="s">
        <v>18932</v>
      </c>
      <c r="AP109" s="31" t="s">
        <v>18933</v>
      </c>
      <c r="AQ109" s="31" t="s">
        <v>7441</v>
      </c>
      <c r="AR109" s="31" t="s">
        <v>14295</v>
      </c>
      <c r="AS109" s="31" t="n">
        <v>195</v>
      </c>
      <c r="AT109" s="31" t="n">
        <v>206</v>
      </c>
      <c r="AU109" s="31"/>
      <c r="AV109" s="31" t="s">
        <v>18934</v>
      </c>
      <c r="AW109" s="35" t="str">
        <f aca="false">HYPERLINK("http://dx.doi.org/10.1007/s11517-023-02926-8","http://dx.doi.org/10.1007/s11517-023-02926-8")</f>
        <v>http://dx.doi.org/10.1007/s11517-023-02926-8</v>
      </c>
      <c r="AX109" s="31" t="s">
        <v>18935</v>
      </c>
      <c r="AY109" s="31" t="n">
        <v>12</v>
      </c>
      <c r="AZ109" s="31" t="s">
        <v>18936</v>
      </c>
      <c r="BA109" s="31" t="s">
        <v>16366</v>
      </c>
      <c r="BB109" s="31" t="s">
        <v>18937</v>
      </c>
      <c r="BC109" s="31" t="s">
        <v>18938</v>
      </c>
      <c r="BD109" s="31" t="n">
        <v>37758871</v>
      </c>
      <c r="BE109" s="31"/>
      <c r="BF109" s="31" t="s">
        <v>16369</v>
      </c>
      <c r="BG109" s="31" t="s">
        <v>18939</v>
      </c>
      <c r="BH109" s="31" t="str">
        <f aca="false">HYPERLINK("https%3A%2F%2Fwww.webofscience.com%2Fwos%2Fwoscc%2Ffull-record%2FWOS:001074192600001","View Full Record in Web of Science")</f>
        <v>View Full Record in Web of Science</v>
      </c>
      <c r="BI109" s="31"/>
      <c r="BJ109" s="31"/>
      <c r="BK109" s="31"/>
      <c r="BL109" s="31"/>
      <c r="BM109" s="31"/>
      <c r="BN109" s="31"/>
      <c r="BO109" s="31"/>
      <c r="BP109" s="31"/>
      <c r="BQ109" s="31"/>
      <c r="BR109" s="31"/>
      <c r="BS109" s="31"/>
      <c r="BT109" s="31"/>
      <c r="BU109" s="31"/>
      <c r="BV109" s="31"/>
      <c r="BW109" s="31"/>
      <c r="BX109" s="31"/>
      <c r="BY109" s="31"/>
      <c r="BZ109" s="31"/>
      <c r="CA109" s="31"/>
      <c r="CB109" s="31"/>
      <c r="CC109" s="31"/>
      <c r="CD109" s="31"/>
      <c r="CE109" s="31"/>
      <c r="CF109" s="31"/>
    </row>
    <row r="110" customFormat="false" ht="15.75" hidden="false" customHeight="true" outlineLevel="0" collapsed="false">
      <c r="A110" s="31" t="s">
        <v>16335</v>
      </c>
      <c r="B110" s="31" t="s">
        <v>18940</v>
      </c>
      <c r="C110" s="31" t="s">
        <v>18941</v>
      </c>
      <c r="D110" s="34" t="s">
        <v>18942</v>
      </c>
      <c r="E110" s="31" t="n">
        <v>2024</v>
      </c>
      <c r="F110" s="33" t="s">
        <v>18943</v>
      </c>
      <c r="G110" s="33" t="s">
        <v>349</v>
      </c>
      <c r="H110" s="32"/>
      <c r="I110" s="34"/>
      <c r="J110" s="34"/>
      <c r="K110" s="34"/>
      <c r="L110" s="34"/>
      <c r="M110" s="34"/>
      <c r="N110" s="34"/>
      <c r="O110" s="34"/>
      <c r="P110" s="34" t="n">
        <v>0</v>
      </c>
      <c r="Q110" s="31" t="n">
        <v>0</v>
      </c>
      <c r="R110" s="31" t="s">
        <v>61</v>
      </c>
      <c r="S110" s="31" t="s">
        <v>62</v>
      </c>
      <c r="T110" s="31" t="s">
        <v>18944</v>
      </c>
      <c r="U110" s="31" t="n">
        <v>19</v>
      </c>
      <c r="V110" s="31" t="s">
        <v>16349</v>
      </c>
      <c r="W110" s="31"/>
      <c r="X110" s="31" t="s">
        <v>18945</v>
      </c>
      <c r="Y110" s="31"/>
      <c r="Z110" s="31" t="s">
        <v>18946</v>
      </c>
      <c r="AA110" s="31" t="s">
        <v>18947</v>
      </c>
      <c r="AB110" s="31" t="s">
        <v>18948</v>
      </c>
      <c r="AC110" s="31" t="s">
        <v>18949</v>
      </c>
      <c r="AD110" s="31" t="s">
        <v>18950</v>
      </c>
      <c r="AE110" s="31" t="s">
        <v>18951</v>
      </c>
      <c r="AF110" s="31"/>
      <c r="AG110" s="31"/>
      <c r="AH110" s="31"/>
      <c r="AI110" s="31" t="n">
        <v>22</v>
      </c>
      <c r="AJ110" s="31" t="n">
        <v>2</v>
      </c>
      <c r="AK110" s="31" t="n">
        <v>2</v>
      </c>
      <c r="AL110" s="31" t="s">
        <v>16356</v>
      </c>
      <c r="AM110" s="31" t="s">
        <v>16357</v>
      </c>
      <c r="AN110" s="31"/>
      <c r="AO110" s="31" t="s">
        <v>18952</v>
      </c>
      <c r="AP110" s="31" t="s">
        <v>18953</v>
      </c>
      <c r="AQ110" s="31" t="s">
        <v>18954</v>
      </c>
      <c r="AR110" s="31" t="s">
        <v>16649</v>
      </c>
      <c r="AS110" s="31"/>
      <c r="AT110" s="31"/>
      <c r="AU110" s="31" t="n">
        <v>100874</v>
      </c>
      <c r="AV110" s="31" t="s">
        <v>18955</v>
      </c>
      <c r="AW110" s="35" t="str">
        <f aca="false">HYPERLINK("http://dx.doi.org/10.1016/j.onehlt.2024.100874","http://dx.doi.org/10.1016/j.onehlt.2024.100874")</f>
        <v>http://dx.doi.org/10.1016/j.onehlt.2024.100874</v>
      </c>
      <c r="AX110" s="31"/>
      <c r="AY110" s="31" t="n">
        <v>12</v>
      </c>
      <c r="AZ110" s="31" t="s">
        <v>17897</v>
      </c>
      <c r="BA110" s="31" t="s">
        <v>16366</v>
      </c>
      <c r="BB110" s="31" t="s">
        <v>17897</v>
      </c>
      <c r="BC110" s="31" t="s">
        <v>18956</v>
      </c>
      <c r="BD110" s="31" t="n">
        <v>39247759</v>
      </c>
      <c r="BE110" s="31" t="s">
        <v>17143</v>
      </c>
      <c r="BF110" s="31" t="s">
        <v>16369</v>
      </c>
      <c r="BG110" s="31" t="s">
        <v>18957</v>
      </c>
      <c r="BH110" s="31" t="str">
        <f aca="false">HYPERLINK("https%3A%2F%2Fwww.webofscience.com%2Fwos%2Fwoscc%2Ffull-record%2FWOS:001297732000001","View Full Record in Web of Science")</f>
        <v>View Full Record in Web of Science</v>
      </c>
      <c r="BI110" s="31"/>
      <c r="BJ110" s="31"/>
      <c r="BK110" s="31"/>
      <c r="BL110" s="31"/>
      <c r="BM110" s="31"/>
      <c r="BN110" s="31"/>
      <c r="BO110" s="31"/>
      <c r="BP110" s="31"/>
      <c r="BQ110" s="31"/>
      <c r="BR110" s="31"/>
      <c r="BS110" s="31"/>
      <c r="BT110" s="31"/>
      <c r="BU110" s="31"/>
      <c r="BV110" s="31"/>
      <c r="BW110" s="31"/>
      <c r="BX110" s="31"/>
      <c r="BY110" s="31"/>
      <c r="BZ110" s="31"/>
      <c r="CA110" s="31"/>
      <c r="CB110" s="31"/>
      <c r="CC110" s="31"/>
      <c r="CD110" s="31"/>
      <c r="CE110" s="31"/>
      <c r="CF110" s="31"/>
    </row>
    <row r="111" customFormat="false" ht="15.75" hidden="false" customHeight="true" outlineLevel="0" collapsed="false">
      <c r="A111" s="31" t="s">
        <v>16335</v>
      </c>
      <c r="B111" s="31" t="s">
        <v>18958</v>
      </c>
      <c r="C111" s="31" t="s">
        <v>18959</v>
      </c>
      <c r="D111" s="34" t="s">
        <v>18960</v>
      </c>
      <c r="E111" s="31" t="n">
        <v>2024</v>
      </c>
      <c r="F111" s="33" t="s">
        <v>18961</v>
      </c>
      <c r="G111" s="33" t="s">
        <v>134</v>
      </c>
      <c r="H111" s="32"/>
      <c r="I111" s="34"/>
      <c r="J111" s="34"/>
      <c r="K111" s="34"/>
      <c r="L111" s="34"/>
      <c r="M111" s="34"/>
      <c r="N111" s="34"/>
      <c r="O111" s="34"/>
      <c r="P111" s="34" t="n">
        <v>0</v>
      </c>
      <c r="Q111" s="31" t="n">
        <v>0</v>
      </c>
      <c r="R111" s="31" t="s">
        <v>61</v>
      </c>
      <c r="S111" s="31" t="s">
        <v>62</v>
      </c>
      <c r="T111" s="31" t="s">
        <v>18962</v>
      </c>
      <c r="U111" s="31" t="n">
        <v>176</v>
      </c>
      <c r="V111" s="31" t="s">
        <v>18274</v>
      </c>
      <c r="W111" s="31"/>
      <c r="X111" s="31" t="s">
        <v>18963</v>
      </c>
      <c r="Y111" s="31" t="s">
        <v>18964</v>
      </c>
      <c r="Z111" s="31" t="s">
        <v>18965</v>
      </c>
      <c r="AA111" s="31" t="s">
        <v>18966</v>
      </c>
      <c r="AB111" s="31" t="s">
        <v>18967</v>
      </c>
      <c r="AC111" s="31" t="s">
        <v>18968</v>
      </c>
      <c r="AD111" s="31" t="s">
        <v>18969</v>
      </c>
      <c r="AE111" s="31" t="s">
        <v>18970</v>
      </c>
      <c r="AF111" s="31" t="s">
        <v>18971</v>
      </c>
      <c r="AG111" s="31" t="s">
        <v>18972</v>
      </c>
      <c r="AH111" s="31" t="s">
        <v>18973</v>
      </c>
      <c r="AI111" s="31" t="n">
        <v>36</v>
      </c>
      <c r="AJ111" s="31" t="n">
        <v>8</v>
      </c>
      <c r="AK111" s="31" t="n">
        <v>11</v>
      </c>
      <c r="AL111" s="31" t="s">
        <v>16575</v>
      </c>
      <c r="AM111" s="31" t="s">
        <v>18284</v>
      </c>
      <c r="AN111" s="31" t="s">
        <v>18974</v>
      </c>
      <c r="AO111" s="31" t="s">
        <v>18975</v>
      </c>
      <c r="AP111" s="31" t="s">
        <v>18962</v>
      </c>
      <c r="AQ111" s="31" t="s">
        <v>14479</v>
      </c>
      <c r="AR111" s="31" t="s">
        <v>17837</v>
      </c>
      <c r="AS111" s="31"/>
      <c r="AT111" s="31"/>
      <c r="AU111" s="31" t="n">
        <v>106339</v>
      </c>
      <c r="AV111" s="31" t="s">
        <v>18976</v>
      </c>
      <c r="AW111" s="35" t="str">
        <f aca="false">HYPERLINK("http://dx.doi.org/10.1016/j.neunet.2024.106339","http://dx.doi.org/10.1016/j.neunet.2024.106339")</f>
        <v>http://dx.doi.org/10.1016/j.neunet.2024.106339</v>
      </c>
      <c r="AX111" s="31" t="s">
        <v>18977</v>
      </c>
      <c r="AY111" s="31" t="n">
        <v>11</v>
      </c>
      <c r="AZ111" s="31" t="s">
        <v>18978</v>
      </c>
      <c r="BA111" s="31" t="s">
        <v>16366</v>
      </c>
      <c r="BB111" s="31" t="s">
        <v>18979</v>
      </c>
      <c r="BC111" s="31" t="s">
        <v>18980</v>
      </c>
      <c r="BD111" s="31" t="n">
        <v>38703420</v>
      </c>
      <c r="BE111" s="31"/>
      <c r="BF111" s="31" t="s">
        <v>16369</v>
      </c>
      <c r="BG111" s="31" t="s">
        <v>18981</v>
      </c>
      <c r="BH111" s="31" t="str">
        <f aca="false">HYPERLINK("https%3A%2F%2Fwww.webofscience.com%2Fwos%2Fwoscc%2Ffull-record%2FWOS:001238515300001","View Full Record in Web of Science")</f>
        <v>View Full Record in Web of Science</v>
      </c>
      <c r="BI111" s="31"/>
      <c r="BJ111" s="31"/>
      <c r="BK111" s="31"/>
      <c r="BL111" s="31"/>
      <c r="BM111" s="31"/>
      <c r="BN111" s="31"/>
      <c r="BO111" s="31"/>
      <c r="BP111" s="31"/>
      <c r="BQ111" s="31"/>
      <c r="BR111" s="31"/>
      <c r="BS111" s="31"/>
      <c r="BT111" s="31"/>
      <c r="BU111" s="31"/>
      <c r="BV111" s="31"/>
      <c r="BW111" s="31"/>
      <c r="BX111" s="31"/>
      <c r="BY111" s="31"/>
      <c r="BZ111" s="31"/>
      <c r="CA111" s="31"/>
      <c r="CB111" s="31"/>
      <c r="CC111" s="31"/>
      <c r="CD111" s="31"/>
      <c r="CE111" s="31"/>
      <c r="CF111" s="31"/>
    </row>
    <row r="112" customFormat="false" ht="15.75" hidden="false" customHeight="true" outlineLevel="0" collapsed="false">
      <c r="A112" s="31" t="s">
        <v>16335</v>
      </c>
      <c r="B112" s="31" t="s">
        <v>18982</v>
      </c>
      <c r="C112" s="31" t="s">
        <v>18983</v>
      </c>
      <c r="D112" s="34" t="s">
        <v>18984</v>
      </c>
      <c r="E112" s="31" t="n">
        <v>2024</v>
      </c>
      <c r="F112" s="33" t="s">
        <v>18985</v>
      </c>
      <c r="G112" s="33" t="s">
        <v>134</v>
      </c>
      <c r="H112" s="32"/>
      <c r="I112" s="34"/>
      <c r="J112" s="34"/>
      <c r="K112" s="34"/>
      <c r="L112" s="34"/>
      <c r="M112" s="34"/>
      <c r="N112" s="34"/>
      <c r="O112" s="34"/>
      <c r="P112" s="34" t="n">
        <v>1</v>
      </c>
      <c r="Q112" s="31" t="n">
        <v>1</v>
      </c>
      <c r="R112" s="31" t="s">
        <v>61</v>
      </c>
      <c r="S112" s="31" t="s">
        <v>62</v>
      </c>
      <c r="T112" s="31" t="s">
        <v>18986</v>
      </c>
      <c r="U112" s="31" t="n">
        <v>16</v>
      </c>
      <c r="V112" s="31" t="s">
        <v>18987</v>
      </c>
      <c r="W112" s="31" t="n">
        <v>765</v>
      </c>
      <c r="X112" s="31"/>
      <c r="Y112" s="31" t="s">
        <v>18988</v>
      </c>
      <c r="Z112" s="31" t="s">
        <v>18989</v>
      </c>
      <c r="AA112" s="31" t="s">
        <v>18990</v>
      </c>
      <c r="AB112" s="31" t="s">
        <v>18991</v>
      </c>
      <c r="AC112" s="31" t="s">
        <v>18992</v>
      </c>
      <c r="AD112" s="31" t="s">
        <v>18993</v>
      </c>
      <c r="AE112" s="31" t="s">
        <v>18994</v>
      </c>
      <c r="AF112" s="31" t="s">
        <v>18995</v>
      </c>
      <c r="AG112" s="31" t="s">
        <v>18996</v>
      </c>
      <c r="AH112" s="31" t="s">
        <v>18997</v>
      </c>
      <c r="AI112" s="31" t="n">
        <v>60</v>
      </c>
      <c r="AJ112" s="31" t="n">
        <v>6</v>
      </c>
      <c r="AK112" s="31" t="n">
        <v>6</v>
      </c>
      <c r="AL112" s="31" t="s">
        <v>18329</v>
      </c>
      <c r="AM112" s="31" t="s">
        <v>18998</v>
      </c>
      <c r="AN112" s="31" t="s">
        <v>18999</v>
      </c>
      <c r="AO112" s="31" t="s">
        <v>19000</v>
      </c>
      <c r="AP112" s="31" t="s">
        <v>19001</v>
      </c>
      <c r="AQ112" s="31" t="s">
        <v>19002</v>
      </c>
      <c r="AR112" s="31" t="s">
        <v>19003</v>
      </c>
      <c r="AS112" s="31"/>
      <c r="AT112" s="31"/>
      <c r="AU112" s="31" t="s">
        <v>19004</v>
      </c>
      <c r="AV112" s="31" t="s">
        <v>19005</v>
      </c>
      <c r="AW112" s="35" t="str">
        <f aca="false">HYPERLINK("http://dx.doi.org/10.1126/scitranslmed.adk7832","http://dx.doi.org/10.1126/scitranslmed.adk7832")</f>
        <v>http://dx.doi.org/10.1126/scitranslmed.adk7832</v>
      </c>
      <c r="AX112" s="31"/>
      <c r="AY112" s="31" t="n">
        <v>14</v>
      </c>
      <c r="AZ112" s="31" t="s">
        <v>19006</v>
      </c>
      <c r="BA112" s="31" t="s">
        <v>16366</v>
      </c>
      <c r="BB112" s="31" t="s">
        <v>19007</v>
      </c>
      <c r="BC112" s="31" t="s">
        <v>19008</v>
      </c>
      <c r="BD112" s="31" t="n">
        <v>39292803</v>
      </c>
      <c r="BE112" s="31"/>
      <c r="BF112" s="31" t="s">
        <v>16369</v>
      </c>
      <c r="BG112" s="31" t="s">
        <v>19009</v>
      </c>
      <c r="BH112" s="31" t="str">
        <f aca="false">HYPERLINK("https%3A%2F%2Fwww.webofscience.com%2Fwos%2Fwoscc%2Ffull-record%2FWOS:001315379200006","View Full Record in Web of Science")</f>
        <v>View Full Record in Web of Science</v>
      </c>
      <c r="BI112" s="31"/>
      <c r="BJ112" s="31"/>
      <c r="BK112" s="31"/>
      <c r="BL112" s="31"/>
      <c r="BM112" s="31"/>
      <c r="BN112" s="31"/>
      <c r="BO112" s="31"/>
      <c r="BP112" s="31"/>
      <c r="BQ112" s="31"/>
      <c r="BR112" s="31"/>
      <c r="BS112" s="31"/>
      <c r="BT112" s="31"/>
      <c r="BU112" s="31"/>
      <c r="BV112" s="31"/>
      <c r="BW112" s="31"/>
      <c r="BX112" s="31"/>
      <c r="BY112" s="31"/>
      <c r="BZ112" s="31"/>
      <c r="CA112" s="31"/>
      <c r="CB112" s="31"/>
      <c r="CC112" s="31"/>
      <c r="CD112" s="31"/>
      <c r="CE112" s="31"/>
      <c r="CF112" s="31"/>
    </row>
    <row r="113" customFormat="false" ht="15.75" hidden="false" customHeight="true" outlineLevel="0" collapsed="false">
      <c r="A113" s="31" t="s">
        <v>16335</v>
      </c>
      <c r="B113" s="31" t="s">
        <v>19010</v>
      </c>
      <c r="C113" s="31" t="s">
        <v>19011</v>
      </c>
      <c r="D113" s="34" t="s">
        <v>19012</v>
      </c>
      <c r="E113" s="31" t="n">
        <v>2024</v>
      </c>
      <c r="F113" s="33" t="s">
        <v>19013</v>
      </c>
      <c r="G113" s="33" t="s">
        <v>134</v>
      </c>
      <c r="H113" s="32"/>
      <c r="I113" s="34"/>
      <c r="J113" s="34"/>
      <c r="K113" s="34"/>
      <c r="L113" s="34"/>
      <c r="M113" s="34"/>
      <c r="N113" s="34"/>
      <c r="O113" s="34"/>
      <c r="P113" s="34" t="n">
        <v>3</v>
      </c>
      <c r="Q113" s="31" t="n">
        <v>3</v>
      </c>
      <c r="R113" s="31" t="s">
        <v>61</v>
      </c>
      <c r="S113" s="31" t="s">
        <v>62</v>
      </c>
      <c r="T113" s="31" t="s">
        <v>19014</v>
      </c>
      <c r="U113" s="31" t="n">
        <v>23</v>
      </c>
      <c r="V113" s="31" t="s">
        <v>17332</v>
      </c>
      <c r="W113" s="31" t="n">
        <v>5</v>
      </c>
      <c r="X113" s="31" t="s">
        <v>19015</v>
      </c>
      <c r="Y113" s="31" t="s">
        <v>19016</v>
      </c>
      <c r="Z113" s="31" t="s">
        <v>19017</v>
      </c>
      <c r="AA113" s="31" t="s">
        <v>19018</v>
      </c>
      <c r="AB113" s="31" t="s">
        <v>19019</v>
      </c>
      <c r="AC113" s="31" t="s">
        <v>19020</v>
      </c>
      <c r="AD113" s="31" t="s">
        <v>19021</v>
      </c>
      <c r="AE113" s="31" t="s">
        <v>19022</v>
      </c>
      <c r="AF113" s="31"/>
      <c r="AG113" s="31"/>
      <c r="AH113" s="31"/>
      <c r="AI113" s="31" t="n">
        <v>114</v>
      </c>
      <c r="AJ113" s="31" t="n">
        <v>7</v>
      </c>
      <c r="AK113" s="31" t="n">
        <v>25</v>
      </c>
      <c r="AL113" s="31" t="s">
        <v>17340</v>
      </c>
      <c r="AM113" s="31" t="s">
        <v>17341</v>
      </c>
      <c r="AN113" s="31" t="s">
        <v>19023</v>
      </c>
      <c r="AO113" s="31" t="s">
        <v>19024</v>
      </c>
      <c r="AP113" s="31" t="s">
        <v>19025</v>
      </c>
      <c r="AQ113" s="31" t="s">
        <v>19026</v>
      </c>
      <c r="AR113" s="31" t="s">
        <v>16801</v>
      </c>
      <c r="AS113" s="31" t="n">
        <v>1745</v>
      </c>
      <c r="AT113" s="31" t="n">
        <v>1776</v>
      </c>
      <c r="AU113" s="31" t="n">
        <v>2330004</v>
      </c>
      <c r="AV113" s="31" t="s">
        <v>19027</v>
      </c>
      <c r="AW113" s="35" t="str">
        <f aca="false">HYPERLINK("http://dx.doi.org/10.1142/S0219622023300045","http://dx.doi.org/10.1142/S0219622023300045")</f>
        <v>http://dx.doi.org/10.1142/S0219622023300045</v>
      </c>
      <c r="AX113" s="31" t="s">
        <v>19028</v>
      </c>
      <c r="AY113" s="31" t="n">
        <v>32</v>
      </c>
      <c r="AZ113" s="31" t="s">
        <v>19029</v>
      </c>
      <c r="BA113" s="31" t="s">
        <v>16366</v>
      </c>
      <c r="BB113" s="31" t="s">
        <v>19030</v>
      </c>
      <c r="BC113" s="31" t="s">
        <v>19031</v>
      </c>
      <c r="BD113" s="31"/>
      <c r="BE113" s="31" t="s">
        <v>17409</v>
      </c>
      <c r="BF113" s="31" t="s">
        <v>16369</v>
      </c>
      <c r="BG113" s="31" t="s">
        <v>19032</v>
      </c>
      <c r="BH113" s="31" t="str">
        <f aca="false">HYPERLINK("https%3A%2F%2Fwww.webofscience.com%2Fwos%2Fwoscc%2Ffull-record%2FWOS:001024597400002","View Full Record in Web of Science")</f>
        <v>View Full Record in Web of Science</v>
      </c>
      <c r="BI113" s="31"/>
      <c r="BJ113" s="31"/>
      <c r="BK113" s="31"/>
      <c r="BL113" s="31"/>
      <c r="BM113" s="31"/>
      <c r="BN113" s="31"/>
      <c r="BO113" s="31"/>
      <c r="BP113" s="31"/>
      <c r="BQ113" s="31"/>
      <c r="BR113" s="31"/>
      <c r="BS113" s="31"/>
      <c r="BT113" s="31"/>
      <c r="BU113" s="31"/>
      <c r="BV113" s="31"/>
      <c r="BW113" s="31"/>
      <c r="BX113" s="31"/>
      <c r="BY113" s="31"/>
      <c r="BZ113" s="31"/>
      <c r="CA113" s="31"/>
      <c r="CB113" s="31"/>
      <c r="CC113" s="31"/>
      <c r="CD113" s="31"/>
      <c r="CE113" s="31"/>
      <c r="CF113" s="31"/>
    </row>
    <row r="114" customFormat="false" ht="15.75" hidden="false" customHeight="true" outlineLevel="0" collapsed="false">
      <c r="A114" s="31" t="s">
        <v>16335</v>
      </c>
      <c r="B114" s="31" t="s">
        <v>19033</v>
      </c>
      <c r="C114" s="31" t="s">
        <v>19034</v>
      </c>
      <c r="D114" s="34" t="s">
        <v>19035</v>
      </c>
      <c r="E114" s="31" t="n">
        <v>2024</v>
      </c>
      <c r="F114" s="33" t="s">
        <v>19036</v>
      </c>
      <c r="G114" s="33" t="s">
        <v>134</v>
      </c>
      <c r="H114" s="32"/>
      <c r="I114" s="34"/>
      <c r="J114" s="34"/>
      <c r="K114" s="34"/>
      <c r="L114" s="34"/>
      <c r="M114" s="34"/>
      <c r="N114" s="34"/>
      <c r="O114" s="34"/>
      <c r="P114" s="34" t="n">
        <v>0</v>
      </c>
      <c r="Q114" s="31" t="n">
        <v>0</v>
      </c>
      <c r="R114" s="31" t="s">
        <v>61</v>
      </c>
      <c r="S114" s="31" t="s">
        <v>62</v>
      </c>
      <c r="T114" s="31" t="s">
        <v>19037</v>
      </c>
      <c r="U114" s="31" t="n">
        <v>10</v>
      </c>
      <c r="V114" s="31" t="s">
        <v>19038</v>
      </c>
      <c r="W114" s="31" t="n">
        <v>11</v>
      </c>
      <c r="X114" s="31" t="s">
        <v>19039</v>
      </c>
      <c r="Y114" s="31" t="s">
        <v>19040</v>
      </c>
      <c r="Z114" s="31" t="s">
        <v>19041</v>
      </c>
      <c r="AA114" s="31" t="s">
        <v>19042</v>
      </c>
      <c r="AB114" s="31" t="s">
        <v>19043</v>
      </c>
      <c r="AC114" s="31" t="s">
        <v>19044</v>
      </c>
      <c r="AD114" s="31" t="s">
        <v>19045</v>
      </c>
      <c r="AE114" s="31" t="s">
        <v>19046</v>
      </c>
      <c r="AF114" s="31" t="s">
        <v>19047</v>
      </c>
      <c r="AG114" s="31" t="s">
        <v>19048</v>
      </c>
      <c r="AH114" s="31" t="s">
        <v>19049</v>
      </c>
      <c r="AI114" s="31" t="n">
        <v>36</v>
      </c>
      <c r="AJ114" s="31" t="n">
        <v>0</v>
      </c>
      <c r="AK114" s="31" t="n">
        <v>0</v>
      </c>
      <c r="AL114" s="31" t="s">
        <v>17507</v>
      </c>
      <c r="AM114" s="31" t="s">
        <v>19050</v>
      </c>
      <c r="AN114" s="31"/>
      <c r="AO114" s="31" t="s">
        <v>19051</v>
      </c>
      <c r="AP114" s="31" t="s">
        <v>19037</v>
      </c>
      <c r="AQ114" s="31" t="s">
        <v>714</v>
      </c>
      <c r="AR114" s="31" t="s">
        <v>19052</v>
      </c>
      <c r="AS114" s="31"/>
      <c r="AT114" s="31"/>
      <c r="AU114" s="31" t="s">
        <v>19053</v>
      </c>
      <c r="AV114" s="31" t="s">
        <v>19054</v>
      </c>
      <c r="AW114" s="35" t="str">
        <f aca="false">HYPERLINK("http://dx.doi.org/10.1016/j.heliyon.2024.e32061","http://dx.doi.org/10.1016/j.heliyon.2024.e32061")</f>
        <v>http://dx.doi.org/10.1016/j.heliyon.2024.e32061</v>
      </c>
      <c r="AX114" s="31" t="s">
        <v>18977</v>
      </c>
      <c r="AY114" s="31" t="n">
        <v>9</v>
      </c>
      <c r="AZ114" s="31" t="s">
        <v>16428</v>
      </c>
      <c r="BA114" s="31" t="s">
        <v>16366</v>
      </c>
      <c r="BB114" s="31" t="s">
        <v>16429</v>
      </c>
      <c r="BC114" s="31" t="s">
        <v>19055</v>
      </c>
      <c r="BD114" s="31" t="n">
        <v>38882365</v>
      </c>
      <c r="BE114" s="31" t="s">
        <v>19056</v>
      </c>
      <c r="BF114" s="31" t="s">
        <v>16369</v>
      </c>
      <c r="BG114" s="31" t="s">
        <v>19057</v>
      </c>
      <c r="BH114" s="31" t="str">
        <f aca="false">HYPERLINK("https%3A%2F%2Fwww.webofscience.com%2Fwos%2Fwoscc%2Ffull-record%2FWOS:001249080900001","View Full Record in Web of Science")</f>
        <v>View Full Record in Web of Science</v>
      </c>
      <c r="BI114" s="31"/>
      <c r="BJ114" s="31"/>
      <c r="BK114" s="31"/>
      <c r="BL114" s="31"/>
      <c r="BM114" s="31"/>
      <c r="BN114" s="31"/>
      <c r="BO114" s="31"/>
      <c r="BP114" s="31"/>
      <c r="BQ114" s="31"/>
      <c r="BR114" s="31"/>
      <c r="BS114" s="31"/>
      <c r="BT114" s="31"/>
      <c r="BU114" s="31"/>
      <c r="BV114" s="31"/>
      <c r="BW114" s="31"/>
      <c r="BX114" s="31"/>
      <c r="BY114" s="31"/>
      <c r="BZ114" s="31"/>
      <c r="CA114" s="31"/>
      <c r="CB114" s="31"/>
      <c r="CC114" s="31"/>
      <c r="CD114" s="31"/>
      <c r="CE114" s="31"/>
      <c r="CF114" s="31"/>
    </row>
    <row r="115" customFormat="false" ht="15.75" hidden="false" customHeight="true" outlineLevel="0" collapsed="false">
      <c r="A115" s="31" t="s">
        <v>16335</v>
      </c>
      <c r="B115" s="31" t="s">
        <v>19058</v>
      </c>
      <c r="C115" s="31" t="s">
        <v>19059</v>
      </c>
      <c r="D115" s="34" t="s">
        <v>19060</v>
      </c>
      <c r="E115" s="31" t="n">
        <v>2024</v>
      </c>
      <c r="F115" s="33" t="s">
        <v>19061</v>
      </c>
      <c r="G115" s="33" t="s">
        <v>134</v>
      </c>
      <c r="H115" s="32"/>
      <c r="I115" s="34"/>
      <c r="J115" s="34"/>
      <c r="K115" s="34"/>
      <c r="L115" s="34"/>
      <c r="M115" s="34"/>
      <c r="N115" s="34"/>
      <c r="O115" s="34"/>
      <c r="P115" s="34" t="n">
        <v>5</v>
      </c>
      <c r="Q115" s="31" t="n">
        <v>5</v>
      </c>
      <c r="R115" s="31" t="s">
        <v>61</v>
      </c>
      <c r="S115" s="31" t="s">
        <v>62</v>
      </c>
      <c r="T115" s="31" t="s">
        <v>19062</v>
      </c>
      <c r="U115" s="31" t="n">
        <v>24</v>
      </c>
      <c r="V115" s="31" t="s">
        <v>17599</v>
      </c>
      <c r="W115" s="31" t="n">
        <v>1</v>
      </c>
      <c r="X115" s="31" t="s">
        <v>19063</v>
      </c>
      <c r="Y115" s="31"/>
      <c r="Z115" s="31" t="s">
        <v>19064</v>
      </c>
      <c r="AA115" s="31" t="s">
        <v>19065</v>
      </c>
      <c r="AB115" s="31" t="s">
        <v>19066</v>
      </c>
      <c r="AC115" s="31" t="s">
        <v>19067</v>
      </c>
      <c r="AD115" s="31" t="s">
        <v>19068</v>
      </c>
      <c r="AE115" s="31" t="s">
        <v>19069</v>
      </c>
      <c r="AF115" s="31" t="s">
        <v>19070</v>
      </c>
      <c r="AG115" s="31" t="s">
        <v>19070</v>
      </c>
      <c r="AH115" s="31" t="s">
        <v>19071</v>
      </c>
      <c r="AI115" s="31" t="n">
        <v>36</v>
      </c>
      <c r="AJ115" s="31" t="n">
        <v>1</v>
      </c>
      <c r="AK115" s="31" t="n">
        <v>1</v>
      </c>
      <c r="AL115" s="31" t="s">
        <v>16821</v>
      </c>
      <c r="AM115" s="31" t="s">
        <v>17609</v>
      </c>
      <c r="AN115" s="31" t="s">
        <v>19072</v>
      </c>
      <c r="AO115" s="31"/>
      <c r="AP115" s="31" t="s">
        <v>19073</v>
      </c>
      <c r="AQ115" s="31" t="s">
        <v>19074</v>
      </c>
      <c r="AR115" s="31" t="s">
        <v>19075</v>
      </c>
      <c r="AS115" s="31"/>
      <c r="AT115" s="31"/>
      <c r="AU115" s="31" t="n">
        <v>152</v>
      </c>
      <c r="AV115" s="31" t="s">
        <v>19076</v>
      </c>
      <c r="AW115" s="35" t="str">
        <f aca="false">HYPERLINK("http://dx.doi.org/10.1186/s12880-024-01333-1","http://dx.doi.org/10.1186/s12880-024-01333-1")</f>
        <v>http://dx.doi.org/10.1186/s12880-024-01333-1</v>
      </c>
      <c r="AX115" s="31"/>
      <c r="AY115" s="31" t="n">
        <v>12</v>
      </c>
      <c r="AZ115" s="31" t="s">
        <v>16998</v>
      </c>
      <c r="BA115" s="31" t="s">
        <v>16366</v>
      </c>
      <c r="BB115" s="31" t="s">
        <v>16998</v>
      </c>
      <c r="BC115" s="31" t="s">
        <v>19077</v>
      </c>
      <c r="BD115" s="31" t="n">
        <v>38890604</v>
      </c>
      <c r="BE115" s="31" t="s">
        <v>16832</v>
      </c>
      <c r="BF115" s="31" t="s">
        <v>16369</v>
      </c>
      <c r="BG115" s="31" t="s">
        <v>19078</v>
      </c>
      <c r="BH115" s="31" t="str">
        <f aca="false">HYPERLINK("https%3A%2F%2Fwww.webofscience.com%2Fwos%2Fwoscc%2Ffull-record%2FWOS:001250654500002","View Full Record in Web of Science")</f>
        <v>View Full Record in Web of Science</v>
      </c>
      <c r="BI115" s="31"/>
      <c r="BJ115" s="31"/>
      <c r="BK115" s="31"/>
      <c r="BL115" s="31"/>
      <c r="BM115" s="31"/>
      <c r="BN115" s="31"/>
      <c r="BO115" s="31"/>
      <c r="BP115" s="31"/>
      <c r="BQ115" s="31"/>
      <c r="BR115" s="31"/>
      <c r="BS115" s="31"/>
      <c r="BT115" s="31"/>
      <c r="BU115" s="31"/>
      <c r="BV115" s="31"/>
      <c r="BW115" s="31"/>
      <c r="BX115" s="31"/>
      <c r="BY115" s="31"/>
      <c r="BZ115" s="31"/>
      <c r="CA115" s="31"/>
      <c r="CB115" s="31"/>
      <c r="CC115" s="31"/>
      <c r="CD115" s="31"/>
      <c r="CE115" s="31"/>
      <c r="CF115" s="31"/>
    </row>
    <row r="116" customFormat="false" ht="15.75" hidden="false" customHeight="true" outlineLevel="0" collapsed="false">
      <c r="A116" s="31" t="s">
        <v>16335</v>
      </c>
      <c r="B116" s="31" t="s">
        <v>19079</v>
      </c>
      <c r="C116" s="31" t="s">
        <v>19080</v>
      </c>
      <c r="D116" s="34" t="s">
        <v>19081</v>
      </c>
      <c r="E116" s="31" t="n">
        <v>2024</v>
      </c>
      <c r="F116" s="33" t="s">
        <v>19082</v>
      </c>
      <c r="G116" s="33" t="s">
        <v>134</v>
      </c>
      <c r="H116" s="32"/>
      <c r="I116" s="34"/>
      <c r="J116" s="34"/>
      <c r="K116" s="34"/>
      <c r="L116" s="34"/>
      <c r="M116" s="34"/>
      <c r="N116" s="34"/>
      <c r="O116" s="34"/>
      <c r="P116" s="34" t="n">
        <v>2</v>
      </c>
      <c r="Q116" s="31" t="n">
        <v>2</v>
      </c>
      <c r="R116" s="31" t="s">
        <v>61</v>
      </c>
      <c r="S116" s="31" t="s">
        <v>62</v>
      </c>
      <c r="T116" s="31" t="s">
        <v>16530</v>
      </c>
      <c r="U116" s="31" t="n">
        <v>31</v>
      </c>
      <c r="V116" s="31" t="s">
        <v>16531</v>
      </c>
      <c r="W116" s="31" t="n">
        <v>3</v>
      </c>
      <c r="X116" s="31" t="s">
        <v>19083</v>
      </c>
      <c r="Y116" s="31" t="s">
        <v>19084</v>
      </c>
      <c r="Z116" s="31" t="s">
        <v>19085</v>
      </c>
      <c r="AA116" s="31" t="s">
        <v>19086</v>
      </c>
      <c r="AB116" s="31" t="s">
        <v>19087</v>
      </c>
      <c r="AC116" s="31" t="s">
        <v>19088</v>
      </c>
      <c r="AD116" s="31" t="s">
        <v>19089</v>
      </c>
      <c r="AE116" s="31"/>
      <c r="AF116" s="31" t="s">
        <v>19090</v>
      </c>
      <c r="AG116" s="31" t="s">
        <v>19091</v>
      </c>
      <c r="AH116" s="31" t="s">
        <v>19092</v>
      </c>
      <c r="AI116" s="31" t="n">
        <v>53</v>
      </c>
      <c r="AJ116" s="31" t="n">
        <v>3</v>
      </c>
      <c r="AK116" s="31" t="n">
        <v>11</v>
      </c>
      <c r="AL116" s="31" t="s">
        <v>16539</v>
      </c>
      <c r="AM116" s="31" t="s">
        <v>16540</v>
      </c>
      <c r="AN116" s="31" t="s">
        <v>16541</v>
      </c>
      <c r="AO116" s="31" t="s">
        <v>16542</v>
      </c>
      <c r="AP116" s="31" t="s">
        <v>16543</v>
      </c>
      <c r="AQ116" s="31" t="s">
        <v>16544</v>
      </c>
      <c r="AR116" s="31" t="s">
        <v>19093</v>
      </c>
      <c r="AS116" s="31"/>
      <c r="AT116" s="31"/>
      <c r="AU116" s="31"/>
      <c r="AV116" s="31" t="s">
        <v>19094</v>
      </c>
      <c r="AW116" s="35" t="str">
        <f aca="false">HYPERLINK("http://dx.doi.org/10.1093/jtm/taae021","http://dx.doi.org/10.1093/jtm/taae021")</f>
        <v>http://dx.doi.org/10.1093/jtm/taae021</v>
      </c>
      <c r="AX116" s="31" t="s">
        <v>19095</v>
      </c>
      <c r="AY116" s="31" t="n">
        <v>10</v>
      </c>
      <c r="AZ116" s="31" t="s">
        <v>16548</v>
      </c>
      <c r="BA116" s="31" t="s">
        <v>16366</v>
      </c>
      <c r="BB116" s="31" t="s">
        <v>16549</v>
      </c>
      <c r="BC116" s="31" t="s">
        <v>19096</v>
      </c>
      <c r="BD116" s="31" t="n">
        <v>38335249</v>
      </c>
      <c r="BE116" s="31" t="s">
        <v>16494</v>
      </c>
      <c r="BF116" s="31" t="s">
        <v>16369</v>
      </c>
      <c r="BG116" s="31" t="s">
        <v>19097</v>
      </c>
      <c r="BH116" s="31" t="str">
        <f aca="false">HYPERLINK("https%3A%2F%2Fwww.webofscience.com%2Fwos%2Fwoscc%2Ffull-record%2FWOS:001181812400001","View Full Record in Web of Science")</f>
        <v>View Full Record in Web of Science</v>
      </c>
      <c r="BI116" s="31"/>
      <c r="BJ116" s="31"/>
      <c r="BK116" s="31"/>
      <c r="BL116" s="31"/>
      <c r="BM116" s="31"/>
      <c r="BN116" s="31"/>
      <c r="BO116" s="31"/>
      <c r="BP116" s="31"/>
      <c r="BQ116" s="31"/>
      <c r="BR116" s="31"/>
      <c r="BS116" s="31"/>
      <c r="BT116" s="31"/>
      <c r="BU116" s="31"/>
      <c r="BV116" s="31"/>
      <c r="BW116" s="31"/>
      <c r="BX116" s="31"/>
      <c r="BY116" s="31"/>
      <c r="BZ116" s="31"/>
      <c r="CA116" s="31"/>
      <c r="CB116" s="31"/>
      <c r="CC116" s="31"/>
      <c r="CD116" s="31"/>
      <c r="CE116" s="31"/>
      <c r="CF116" s="31"/>
    </row>
    <row r="117" customFormat="false" ht="15.75" hidden="false" customHeight="true" outlineLevel="0" collapsed="false">
      <c r="A117" s="31" t="s">
        <v>16335</v>
      </c>
      <c r="B117" s="31" t="s">
        <v>19098</v>
      </c>
      <c r="C117" s="31" t="s">
        <v>19099</v>
      </c>
      <c r="D117" s="34" t="s">
        <v>19100</v>
      </c>
      <c r="E117" s="31" t="n">
        <v>2024</v>
      </c>
      <c r="F117" s="33" t="s">
        <v>19101</v>
      </c>
      <c r="G117" s="33" t="s">
        <v>134</v>
      </c>
      <c r="H117" s="32"/>
      <c r="I117" s="34"/>
      <c r="J117" s="34"/>
      <c r="K117" s="34"/>
      <c r="L117" s="34"/>
      <c r="M117" s="34"/>
      <c r="N117" s="34"/>
      <c r="O117" s="34"/>
      <c r="P117" s="34" t="n">
        <v>0</v>
      </c>
      <c r="Q117" s="31" t="n">
        <v>0</v>
      </c>
      <c r="R117" s="31" t="s">
        <v>61</v>
      </c>
      <c r="S117" s="31" t="s">
        <v>62</v>
      </c>
      <c r="T117" s="31" t="s">
        <v>16844</v>
      </c>
      <c r="U117" s="31" t="n">
        <v>18</v>
      </c>
      <c r="V117" s="31" t="s">
        <v>16845</v>
      </c>
      <c r="W117" s="31" t="n">
        <v>11</v>
      </c>
      <c r="X117" s="31"/>
      <c r="Y117" s="31" t="s">
        <v>19102</v>
      </c>
      <c r="Z117" s="31" t="s">
        <v>19103</v>
      </c>
      <c r="AA117" s="31" t="s">
        <v>19104</v>
      </c>
      <c r="AB117" s="31" t="s">
        <v>19105</v>
      </c>
      <c r="AC117" s="31" t="s">
        <v>19106</v>
      </c>
      <c r="AD117" s="31" t="s">
        <v>19107</v>
      </c>
      <c r="AE117" s="31" t="s">
        <v>19108</v>
      </c>
      <c r="AF117" s="31" t="s">
        <v>19109</v>
      </c>
      <c r="AG117" s="31" t="s">
        <v>19110</v>
      </c>
      <c r="AH117" s="31" t="s">
        <v>19111</v>
      </c>
      <c r="AI117" s="31" t="n">
        <v>66</v>
      </c>
      <c r="AJ117" s="31" t="n">
        <v>4</v>
      </c>
      <c r="AK117" s="31" t="n">
        <v>4</v>
      </c>
      <c r="AL117" s="31" t="s">
        <v>16855</v>
      </c>
      <c r="AM117" s="31" t="s">
        <v>16856</v>
      </c>
      <c r="AN117" s="31" t="s">
        <v>16857</v>
      </c>
      <c r="AO117" s="31"/>
      <c r="AP117" s="31" t="s">
        <v>16858</v>
      </c>
      <c r="AQ117" s="31" t="s">
        <v>16859</v>
      </c>
      <c r="AR117" s="31" t="s">
        <v>17139</v>
      </c>
      <c r="AS117" s="31"/>
      <c r="AT117" s="31"/>
      <c r="AU117" s="31" t="s">
        <v>19112</v>
      </c>
      <c r="AV117" s="31" t="s">
        <v>19113</v>
      </c>
      <c r="AW117" s="35" t="str">
        <f aca="false">HYPERLINK("http://dx.doi.org/10.1371/journal.pntd.0012614","http://dx.doi.org/10.1371/journal.pntd.0012614")</f>
        <v>http://dx.doi.org/10.1371/journal.pntd.0012614</v>
      </c>
      <c r="AX117" s="31"/>
      <c r="AY117" s="31" t="n">
        <v>19</v>
      </c>
      <c r="AZ117" s="31" t="s">
        <v>16862</v>
      </c>
      <c r="BA117" s="31" t="s">
        <v>16366</v>
      </c>
      <c r="BB117" s="31" t="s">
        <v>16862</v>
      </c>
      <c r="BC117" s="31" t="s">
        <v>19114</v>
      </c>
      <c r="BD117" s="31" t="n">
        <v>39499735</v>
      </c>
      <c r="BE117" s="31" t="s">
        <v>16431</v>
      </c>
      <c r="BF117" s="31" t="s">
        <v>16369</v>
      </c>
      <c r="BG117" s="31" t="s">
        <v>19115</v>
      </c>
      <c r="BH117" s="31" t="str">
        <f aca="false">HYPERLINK("https%3A%2F%2Fwww.webofscience.com%2Fwos%2Fwoscc%2Ffull-record%2FWOS:001348735100002","View Full Record in Web of Science")</f>
        <v>View Full Record in Web of Science</v>
      </c>
      <c r="BI117" s="31"/>
      <c r="BJ117" s="31"/>
      <c r="BK117" s="31"/>
      <c r="BL117" s="31"/>
      <c r="BM117" s="31"/>
      <c r="BN117" s="31"/>
      <c r="BO117" s="31"/>
      <c r="BP117" s="31"/>
      <c r="BQ117" s="31"/>
      <c r="BR117" s="31"/>
      <c r="BS117" s="31"/>
      <c r="BT117" s="31"/>
      <c r="BU117" s="31"/>
      <c r="BV117" s="31"/>
      <c r="BW117" s="31"/>
      <c r="BX117" s="31"/>
      <c r="BY117" s="31"/>
      <c r="BZ117" s="31"/>
      <c r="CA117" s="31"/>
      <c r="CB117" s="31"/>
      <c r="CC117" s="31"/>
      <c r="CD117" s="31"/>
      <c r="CE117" s="31"/>
      <c r="CF117" s="31"/>
    </row>
    <row r="118" customFormat="false" ht="15.75" hidden="false" customHeight="true" outlineLevel="0" collapsed="false">
      <c r="A118" s="31" t="s">
        <v>16335</v>
      </c>
      <c r="B118" s="31" t="s">
        <v>19116</v>
      </c>
      <c r="C118" s="31" t="s">
        <v>19117</v>
      </c>
      <c r="D118" s="32" t="s">
        <v>19118</v>
      </c>
      <c r="E118" s="31" t="n">
        <v>2024</v>
      </c>
      <c r="F118" s="33" t="s">
        <v>19119</v>
      </c>
      <c r="G118" s="33" t="s">
        <v>349</v>
      </c>
      <c r="H118" s="32"/>
      <c r="I118" s="34"/>
      <c r="J118" s="34"/>
      <c r="K118" s="34"/>
      <c r="L118" s="34"/>
      <c r="M118" s="34"/>
      <c r="N118" s="34"/>
      <c r="O118" s="34"/>
      <c r="P118" s="34" t="n">
        <v>0</v>
      </c>
      <c r="Q118" s="31" t="n">
        <v>1</v>
      </c>
      <c r="R118" s="31" t="s">
        <v>61</v>
      </c>
      <c r="S118" s="31" t="s">
        <v>62</v>
      </c>
      <c r="T118" s="31" t="s">
        <v>19120</v>
      </c>
      <c r="U118" s="31" t="n">
        <v>121</v>
      </c>
      <c r="V118" s="31" t="s">
        <v>19121</v>
      </c>
      <c r="W118" s="31" t="n">
        <v>2</v>
      </c>
      <c r="X118" s="31" t="s">
        <v>19122</v>
      </c>
      <c r="Y118" s="31" t="s">
        <v>19123</v>
      </c>
      <c r="Z118" s="31" t="s">
        <v>19124</v>
      </c>
      <c r="AA118" s="31" t="s">
        <v>19125</v>
      </c>
      <c r="AB118" s="31" t="s">
        <v>19126</v>
      </c>
      <c r="AC118" s="31" t="s">
        <v>19127</v>
      </c>
      <c r="AD118" s="31" t="s">
        <v>19128</v>
      </c>
      <c r="AE118" s="31" t="s">
        <v>19129</v>
      </c>
      <c r="AF118" s="31" t="s">
        <v>19130</v>
      </c>
      <c r="AG118" s="31" t="s">
        <v>19131</v>
      </c>
      <c r="AH118" s="31" t="s">
        <v>19132</v>
      </c>
      <c r="AI118" s="31" t="n">
        <v>63</v>
      </c>
      <c r="AJ118" s="31" t="n">
        <v>2</v>
      </c>
      <c r="AK118" s="31" t="n">
        <v>7</v>
      </c>
      <c r="AL118" s="31" t="s">
        <v>18329</v>
      </c>
      <c r="AM118" s="31" t="s">
        <v>19133</v>
      </c>
      <c r="AN118" s="31" t="s">
        <v>19134</v>
      </c>
      <c r="AO118" s="31" t="s">
        <v>19135</v>
      </c>
      <c r="AP118" s="31" t="s">
        <v>19136</v>
      </c>
      <c r="AQ118" s="31" t="s">
        <v>19137</v>
      </c>
      <c r="AR118" s="31" t="s">
        <v>19138</v>
      </c>
      <c r="AS118" s="31"/>
      <c r="AT118" s="31"/>
      <c r="AU118" s="31" t="s">
        <v>19139</v>
      </c>
      <c r="AV118" s="31" t="s">
        <v>19140</v>
      </c>
      <c r="AW118" s="35" t="str">
        <f aca="false">HYPERLINK("http://dx.doi.org/10.1073/pnas.2315463120","http://dx.doi.org/10.1073/pnas.2315463120")</f>
        <v>http://dx.doi.org/10.1073/pnas.2315463120</v>
      </c>
      <c r="AX118" s="31"/>
      <c r="AY118" s="31" t="n">
        <v>9</v>
      </c>
      <c r="AZ118" s="31" t="s">
        <v>16428</v>
      </c>
      <c r="BA118" s="31" t="s">
        <v>16366</v>
      </c>
      <c r="BB118" s="31" t="s">
        <v>16429</v>
      </c>
      <c r="BC118" s="31" t="s">
        <v>19141</v>
      </c>
      <c r="BD118" s="31" t="n">
        <v>38181058</v>
      </c>
      <c r="BE118" s="31" t="s">
        <v>16494</v>
      </c>
      <c r="BF118" s="31" t="s">
        <v>16369</v>
      </c>
      <c r="BG118" s="31" t="s">
        <v>19142</v>
      </c>
      <c r="BH118" s="31" t="str">
        <f aca="false">HYPERLINK("https%3A%2F%2Fwww.webofscience.com%2Fwos%2Fwoscc%2Ffull-record%2FWOS:001147157500005","View Full Record in Web of Science")</f>
        <v>View Full Record in Web of Science</v>
      </c>
      <c r="BI118" s="31"/>
      <c r="BJ118" s="31"/>
      <c r="BK118" s="31"/>
      <c r="BL118" s="31"/>
      <c r="BM118" s="31"/>
      <c r="BN118" s="31"/>
      <c r="BO118" s="31"/>
      <c r="BP118" s="31"/>
      <c r="BQ118" s="31"/>
      <c r="BR118" s="31"/>
      <c r="BS118" s="31"/>
      <c r="BT118" s="31"/>
      <c r="BU118" s="31"/>
      <c r="BV118" s="31"/>
      <c r="BW118" s="31"/>
      <c r="BX118" s="31"/>
      <c r="BY118" s="31"/>
      <c r="BZ118" s="31"/>
      <c r="CA118" s="31"/>
      <c r="CB118" s="31"/>
      <c r="CC118" s="31"/>
      <c r="CD118" s="31"/>
      <c r="CE118" s="31"/>
      <c r="CF118" s="31"/>
    </row>
    <row r="119" customFormat="false" ht="15.75" hidden="false" customHeight="true" outlineLevel="0" collapsed="false">
      <c r="A119" s="31" t="s">
        <v>16335</v>
      </c>
      <c r="B119" s="31" t="s">
        <v>19143</v>
      </c>
      <c r="C119" s="31" t="s">
        <v>19144</v>
      </c>
      <c r="D119" s="34" t="s">
        <v>19145</v>
      </c>
      <c r="E119" s="31" t="n">
        <v>2024</v>
      </c>
      <c r="F119" s="33" t="s">
        <v>19146</v>
      </c>
      <c r="G119" s="33" t="s">
        <v>134</v>
      </c>
      <c r="H119" s="32"/>
      <c r="I119" s="34"/>
      <c r="J119" s="34"/>
      <c r="K119" s="34"/>
      <c r="L119" s="34"/>
      <c r="M119" s="34"/>
      <c r="N119" s="34"/>
      <c r="O119" s="34"/>
      <c r="P119" s="34" t="n">
        <v>3</v>
      </c>
      <c r="Q119" s="31" t="n">
        <v>3</v>
      </c>
      <c r="R119" s="31" t="s">
        <v>61</v>
      </c>
      <c r="S119" s="31" t="s">
        <v>62</v>
      </c>
      <c r="T119" s="31" t="s">
        <v>19147</v>
      </c>
      <c r="U119" s="31" t="n">
        <v>10</v>
      </c>
      <c r="V119" s="31" t="s">
        <v>19148</v>
      </c>
      <c r="W119" s="31" t="n">
        <v>2</v>
      </c>
      <c r="X119" s="31" t="s">
        <v>19149</v>
      </c>
      <c r="Y119" s="31" t="s">
        <v>19150</v>
      </c>
      <c r="Z119" s="31" t="s">
        <v>19151</v>
      </c>
      <c r="AA119" s="31" t="s">
        <v>19152</v>
      </c>
      <c r="AB119" s="31" t="s">
        <v>19153</v>
      </c>
      <c r="AC119" s="31" t="s">
        <v>19154</v>
      </c>
      <c r="AD119" s="31" t="s">
        <v>19155</v>
      </c>
      <c r="AE119" s="31" t="s">
        <v>19156</v>
      </c>
      <c r="AF119" s="31" t="s">
        <v>19157</v>
      </c>
      <c r="AG119" s="31" t="s">
        <v>19158</v>
      </c>
      <c r="AH119" s="31" t="s">
        <v>19159</v>
      </c>
      <c r="AI119" s="31" t="n">
        <v>34</v>
      </c>
      <c r="AJ119" s="31" t="n">
        <v>0</v>
      </c>
      <c r="AK119" s="31" t="n">
        <v>8</v>
      </c>
      <c r="AL119" s="31" t="s">
        <v>18329</v>
      </c>
      <c r="AM119" s="31" t="s">
        <v>19160</v>
      </c>
      <c r="AN119" s="31" t="s">
        <v>19161</v>
      </c>
      <c r="AO119" s="31"/>
      <c r="AP119" s="31" t="s">
        <v>19162</v>
      </c>
      <c r="AQ119" s="31" t="s">
        <v>19163</v>
      </c>
      <c r="AR119" s="31" t="s">
        <v>19164</v>
      </c>
      <c r="AS119" s="31" t="n">
        <v>467</v>
      </c>
      <c r="AT119" s="31" t="n">
        <v>474</v>
      </c>
      <c r="AU119" s="31"/>
      <c r="AV119" s="31" t="s">
        <v>19165</v>
      </c>
      <c r="AW119" s="35" t="str">
        <f aca="false">HYPERLINK("http://dx.doi.org/10.1021/acsinfecdis.3c00430","http://dx.doi.org/10.1021/acsinfecdis.3c00430")</f>
        <v>http://dx.doi.org/10.1021/acsinfecdis.3c00430</v>
      </c>
      <c r="AX119" s="31"/>
      <c r="AY119" s="31" t="n">
        <v>8</v>
      </c>
      <c r="AZ119" s="31" t="s">
        <v>19166</v>
      </c>
      <c r="BA119" s="31" t="s">
        <v>16366</v>
      </c>
      <c r="BB119" s="31" t="s">
        <v>19167</v>
      </c>
      <c r="BC119" s="31" t="s">
        <v>19168</v>
      </c>
      <c r="BD119" s="31" t="n">
        <v>38189234</v>
      </c>
      <c r="BE119" s="31"/>
      <c r="BF119" s="31" t="s">
        <v>16369</v>
      </c>
      <c r="BG119" s="31" t="s">
        <v>19169</v>
      </c>
      <c r="BH119" s="31" t="str">
        <f aca="false">HYPERLINK("https%3A%2F%2Fwww.webofscience.com%2Fwos%2Fwoscc%2Ffull-record%2FWOS:001161375100001","View Full Record in Web of Science")</f>
        <v>View Full Record in Web of Science</v>
      </c>
      <c r="BI119" s="31"/>
      <c r="BJ119" s="31"/>
      <c r="BK119" s="31"/>
      <c r="BL119" s="31"/>
      <c r="BM119" s="31"/>
      <c r="BN119" s="31"/>
      <c r="BO119" s="31"/>
      <c r="BP119" s="31"/>
      <c r="BQ119" s="31"/>
      <c r="BR119" s="31"/>
      <c r="BS119" s="31"/>
      <c r="BT119" s="31"/>
      <c r="BU119" s="31"/>
      <c r="BV119" s="31"/>
      <c r="BW119" s="31"/>
      <c r="BX119" s="31"/>
      <c r="BY119" s="31"/>
      <c r="BZ119" s="31"/>
      <c r="CA119" s="31"/>
      <c r="CB119" s="31"/>
      <c r="CC119" s="31"/>
      <c r="CD119" s="31"/>
      <c r="CE119" s="31"/>
      <c r="CF119" s="31"/>
    </row>
    <row r="120" customFormat="false" ht="15.75" hidden="false" customHeight="true" outlineLevel="0" collapsed="false">
      <c r="A120" s="31" t="s">
        <v>16335</v>
      </c>
      <c r="B120" s="31" t="s">
        <v>19170</v>
      </c>
      <c r="C120" s="31" t="s">
        <v>19171</v>
      </c>
      <c r="D120" s="34" t="s">
        <v>19172</v>
      </c>
      <c r="E120" s="31" t="n">
        <v>2024</v>
      </c>
      <c r="F120" s="33" t="s">
        <v>19173</v>
      </c>
      <c r="G120" s="33" t="s">
        <v>134</v>
      </c>
      <c r="H120" s="32"/>
      <c r="I120" s="34"/>
      <c r="J120" s="34"/>
      <c r="K120" s="34"/>
      <c r="L120" s="34"/>
      <c r="M120" s="34"/>
      <c r="N120" s="34"/>
      <c r="O120" s="34"/>
      <c r="P120" s="34" t="n">
        <v>2</v>
      </c>
      <c r="Q120" s="31" t="n">
        <v>2</v>
      </c>
      <c r="R120" s="31" t="s">
        <v>61</v>
      </c>
      <c r="S120" s="31" t="s">
        <v>62</v>
      </c>
      <c r="T120" s="31" t="s">
        <v>16844</v>
      </c>
      <c r="U120" s="31" t="n">
        <v>18</v>
      </c>
      <c r="V120" s="31" t="s">
        <v>16845</v>
      </c>
      <c r="W120" s="31" t="n">
        <v>4</v>
      </c>
      <c r="X120" s="31"/>
      <c r="Y120" s="31" t="s">
        <v>19174</v>
      </c>
      <c r="Z120" s="31" t="s">
        <v>19175</v>
      </c>
      <c r="AA120" s="31" t="s">
        <v>19176</v>
      </c>
      <c r="AB120" s="31" t="s">
        <v>19177</v>
      </c>
      <c r="AC120" s="31" t="s">
        <v>19178</v>
      </c>
      <c r="AD120" s="31" t="s">
        <v>19179</v>
      </c>
      <c r="AE120" s="31" t="s">
        <v>19180</v>
      </c>
      <c r="AF120" s="31" t="s">
        <v>19181</v>
      </c>
      <c r="AG120" s="31" t="s">
        <v>19182</v>
      </c>
      <c r="AH120" s="31" t="s">
        <v>19183</v>
      </c>
      <c r="AI120" s="31" t="n">
        <v>42</v>
      </c>
      <c r="AJ120" s="31" t="n">
        <v>5</v>
      </c>
      <c r="AK120" s="31" t="n">
        <v>6</v>
      </c>
      <c r="AL120" s="31" t="s">
        <v>16855</v>
      </c>
      <c r="AM120" s="31" t="s">
        <v>16856</v>
      </c>
      <c r="AN120" s="31" t="s">
        <v>16857</v>
      </c>
      <c r="AO120" s="31"/>
      <c r="AP120" s="31" t="s">
        <v>16858</v>
      </c>
      <c r="AQ120" s="31" t="s">
        <v>16859</v>
      </c>
      <c r="AR120" s="31" t="s">
        <v>17772</v>
      </c>
      <c r="AS120" s="31"/>
      <c r="AT120" s="31"/>
      <c r="AU120" s="31" t="s">
        <v>19184</v>
      </c>
      <c r="AV120" s="31" t="s">
        <v>19185</v>
      </c>
      <c r="AW120" s="35" t="str">
        <f aca="false">HYPERLINK("http://dx.doi.org/10.1371/journal.pntd.0012041","http://dx.doi.org/10.1371/journal.pntd.0012041")</f>
        <v>http://dx.doi.org/10.1371/journal.pntd.0012041</v>
      </c>
      <c r="AX120" s="31"/>
      <c r="AY120" s="31" t="n">
        <v>21</v>
      </c>
      <c r="AZ120" s="31" t="s">
        <v>16862</v>
      </c>
      <c r="BA120" s="31" t="s">
        <v>16366</v>
      </c>
      <c r="BB120" s="31" t="s">
        <v>16862</v>
      </c>
      <c r="BC120" s="31" t="s">
        <v>19186</v>
      </c>
      <c r="BD120" s="31" t="n">
        <v>38602896</v>
      </c>
      <c r="BE120" s="31" t="s">
        <v>17143</v>
      </c>
      <c r="BF120" s="31" t="s">
        <v>16369</v>
      </c>
      <c r="BG120" s="31" t="s">
        <v>19187</v>
      </c>
      <c r="BH120" s="31" t="str">
        <f aca="false">HYPERLINK("https%3A%2F%2Fwww.webofscience.com%2Fwos%2Fwoscc%2Ffull-record%2FWOS:001202800300003","View Full Record in Web of Science")</f>
        <v>View Full Record in Web of Science</v>
      </c>
      <c r="BI120" s="31"/>
      <c r="BJ120" s="31"/>
      <c r="BK120" s="31"/>
      <c r="BL120" s="31"/>
      <c r="BM120" s="31"/>
      <c r="BN120" s="31"/>
      <c r="BO120" s="31"/>
      <c r="BP120" s="31"/>
      <c r="BQ120" s="31"/>
      <c r="BR120" s="31"/>
      <c r="BS120" s="31"/>
      <c r="BT120" s="31"/>
      <c r="BU120" s="31"/>
      <c r="BV120" s="31"/>
      <c r="BW120" s="31"/>
      <c r="BX120" s="31"/>
      <c r="BY120" s="31"/>
      <c r="BZ120" s="31"/>
      <c r="CA120" s="31"/>
      <c r="CB120" s="31"/>
      <c r="CC120" s="31"/>
      <c r="CD120" s="31"/>
      <c r="CE120" s="31"/>
      <c r="CF120" s="31"/>
    </row>
    <row r="121" customFormat="false" ht="15.75" hidden="false" customHeight="true" outlineLevel="0" collapsed="false">
      <c r="A121" s="31" t="s">
        <v>16335</v>
      </c>
      <c r="B121" s="31" t="s">
        <v>19188</v>
      </c>
      <c r="C121" s="31" t="s">
        <v>19189</v>
      </c>
      <c r="D121" s="34" t="s">
        <v>19190</v>
      </c>
      <c r="E121" s="31" t="n">
        <v>2024</v>
      </c>
      <c r="F121" s="33" t="s">
        <v>19191</v>
      </c>
      <c r="G121" s="33" t="s">
        <v>134</v>
      </c>
      <c r="H121" s="32"/>
      <c r="I121" s="34"/>
      <c r="J121" s="34"/>
      <c r="K121" s="34"/>
      <c r="L121" s="34"/>
      <c r="M121" s="34"/>
      <c r="N121" s="34"/>
      <c r="O121" s="34"/>
      <c r="P121" s="34" t="n">
        <v>0</v>
      </c>
      <c r="Q121" s="31" t="n">
        <v>0</v>
      </c>
      <c r="R121" s="31" t="s">
        <v>61</v>
      </c>
      <c r="S121" s="31" t="s">
        <v>62</v>
      </c>
      <c r="T121" s="31" t="s">
        <v>19192</v>
      </c>
      <c r="U121" s="31" t="n">
        <v>54</v>
      </c>
      <c r="V121" s="31" t="s">
        <v>16475</v>
      </c>
      <c r="W121" s="31" t="n">
        <v>4</v>
      </c>
      <c r="X121" s="31" t="s">
        <v>19193</v>
      </c>
      <c r="Y121" s="31" t="s">
        <v>19194</v>
      </c>
      <c r="Z121" s="31" t="s">
        <v>19195</v>
      </c>
      <c r="AA121" s="31" t="s">
        <v>19196</v>
      </c>
      <c r="AB121" s="31" t="s">
        <v>19197</v>
      </c>
      <c r="AC121" s="31" t="s">
        <v>19198</v>
      </c>
      <c r="AD121" s="31" t="s">
        <v>19199</v>
      </c>
      <c r="AE121" s="31" t="s">
        <v>19200</v>
      </c>
      <c r="AF121" s="31" t="s">
        <v>19201</v>
      </c>
      <c r="AG121" s="31" t="s">
        <v>19202</v>
      </c>
      <c r="AH121" s="31" t="s">
        <v>19203</v>
      </c>
      <c r="AI121" s="31" t="n">
        <v>75</v>
      </c>
      <c r="AJ121" s="31" t="n">
        <v>0</v>
      </c>
      <c r="AK121" s="31" t="n">
        <v>2</v>
      </c>
      <c r="AL121" s="31" t="s">
        <v>16485</v>
      </c>
      <c r="AM121" s="31" t="s">
        <v>16486</v>
      </c>
      <c r="AN121" s="31" t="s">
        <v>19204</v>
      </c>
      <c r="AO121" s="31" t="s">
        <v>19205</v>
      </c>
      <c r="AP121" s="31" t="s">
        <v>19206</v>
      </c>
      <c r="AQ121" s="31" t="s">
        <v>19207</v>
      </c>
      <c r="AR121" s="31" t="s">
        <v>17772</v>
      </c>
      <c r="AS121" s="31"/>
      <c r="AT121" s="31"/>
      <c r="AU121" s="31"/>
      <c r="AV121" s="31" t="s">
        <v>19208</v>
      </c>
      <c r="AW121" s="35" t="str">
        <f aca="false">HYPERLINK("http://dx.doi.org/10.1002/eji.202350784","http://dx.doi.org/10.1002/eji.202350784")</f>
        <v>http://dx.doi.org/10.1002/eji.202350784</v>
      </c>
      <c r="AX121" s="31" t="s">
        <v>19209</v>
      </c>
      <c r="AY121" s="31" t="n">
        <v>13</v>
      </c>
      <c r="AZ121" s="31" t="s">
        <v>19210</v>
      </c>
      <c r="BA121" s="31" t="s">
        <v>16366</v>
      </c>
      <c r="BB121" s="31" t="s">
        <v>19210</v>
      </c>
      <c r="BC121" s="31" t="s">
        <v>19211</v>
      </c>
      <c r="BD121" s="31" t="n">
        <v>38308504</v>
      </c>
      <c r="BE121" s="31" t="s">
        <v>19212</v>
      </c>
      <c r="BF121" s="31" t="s">
        <v>16369</v>
      </c>
      <c r="BG121" s="31" t="s">
        <v>19213</v>
      </c>
      <c r="BH121" s="31" t="str">
        <f aca="false">HYPERLINK("https%3A%2F%2Fwww.webofscience.com%2Fwos%2Fwoscc%2Ffull-record%2FWOS:001155476900001","View Full Record in Web of Science")</f>
        <v>View Full Record in Web of Science</v>
      </c>
      <c r="BI121" s="31"/>
      <c r="BJ121" s="31"/>
      <c r="BK121" s="31"/>
      <c r="BL121" s="31"/>
      <c r="BM121" s="31"/>
      <c r="BN121" s="31"/>
      <c r="BO121" s="31"/>
      <c r="BP121" s="31"/>
      <c r="BQ121" s="31"/>
      <c r="BR121" s="31"/>
      <c r="BS121" s="31"/>
      <c r="BT121" s="31"/>
      <c r="BU121" s="31"/>
      <c r="BV121" s="31"/>
      <c r="BW121" s="31"/>
      <c r="BX121" s="31"/>
      <c r="BY121" s="31"/>
      <c r="BZ121" s="31"/>
      <c r="CA121" s="31"/>
      <c r="CB121" s="31"/>
      <c r="CC121" s="31"/>
      <c r="CD121" s="31"/>
      <c r="CE121" s="31"/>
      <c r="CF121" s="31"/>
    </row>
    <row r="122" customFormat="false" ht="15.75" hidden="false" customHeight="true" outlineLevel="0" collapsed="false">
      <c r="A122" s="31" t="s">
        <v>16335</v>
      </c>
      <c r="B122" s="31" t="s">
        <v>19214</v>
      </c>
      <c r="C122" s="31" t="s">
        <v>19215</v>
      </c>
      <c r="D122" s="34" t="s">
        <v>19216</v>
      </c>
      <c r="E122" s="31" t="n">
        <v>2024</v>
      </c>
      <c r="F122" s="33" t="s">
        <v>19217</v>
      </c>
      <c r="G122" s="33" t="s">
        <v>349</v>
      </c>
      <c r="H122" s="32"/>
      <c r="I122" s="34"/>
      <c r="J122" s="34"/>
      <c r="K122" s="34"/>
      <c r="L122" s="34"/>
      <c r="M122" s="34"/>
      <c r="N122" s="34"/>
      <c r="O122" s="34"/>
      <c r="P122" s="34" t="n">
        <v>1</v>
      </c>
      <c r="Q122" s="31" t="n">
        <v>1</v>
      </c>
      <c r="R122" s="31" t="s">
        <v>61</v>
      </c>
      <c r="S122" s="31" t="s">
        <v>62</v>
      </c>
      <c r="T122" s="31" t="s">
        <v>19218</v>
      </c>
      <c r="U122" s="31" t="n">
        <v>17</v>
      </c>
      <c r="V122" s="31" t="s">
        <v>16384</v>
      </c>
      <c r="W122" s="31"/>
      <c r="X122" s="31" t="s">
        <v>19219</v>
      </c>
      <c r="Y122" s="31" t="s">
        <v>19220</v>
      </c>
      <c r="Z122" s="31" t="s">
        <v>19221</v>
      </c>
      <c r="AA122" s="31" t="s">
        <v>19222</v>
      </c>
      <c r="AB122" s="31" t="s">
        <v>19223</v>
      </c>
      <c r="AC122" s="31" t="s">
        <v>19224</v>
      </c>
      <c r="AD122" s="31" t="s">
        <v>19225</v>
      </c>
      <c r="AE122" s="31" t="s">
        <v>19226</v>
      </c>
      <c r="AF122" s="31" t="s">
        <v>19227</v>
      </c>
      <c r="AG122" s="31" t="s">
        <v>19228</v>
      </c>
      <c r="AH122" s="31" t="s">
        <v>19229</v>
      </c>
      <c r="AI122" s="31" t="n">
        <v>66</v>
      </c>
      <c r="AJ122" s="31" t="n">
        <v>2</v>
      </c>
      <c r="AK122" s="31" t="n">
        <v>2</v>
      </c>
      <c r="AL122" s="31" t="s">
        <v>16395</v>
      </c>
      <c r="AM122" s="31" t="s">
        <v>16396</v>
      </c>
      <c r="AN122" s="31" t="s">
        <v>19230</v>
      </c>
      <c r="AO122" s="31" t="s">
        <v>19231</v>
      </c>
      <c r="AP122" s="31" t="s">
        <v>19232</v>
      </c>
      <c r="AQ122" s="31" t="s">
        <v>19233</v>
      </c>
      <c r="AR122" s="31"/>
      <c r="AS122" s="31" t="n">
        <v>13016</v>
      </c>
      <c r="AT122" s="31" t="n">
        <v>13029</v>
      </c>
      <c r="AU122" s="31"/>
      <c r="AV122" s="31" t="s">
        <v>19234</v>
      </c>
      <c r="AW122" s="35" t="str">
        <f aca="false">HYPERLINK("http://dx.doi.org/10.1109/JSTARS.2024.3421284","http://dx.doi.org/10.1109/JSTARS.2024.3421284")</f>
        <v>http://dx.doi.org/10.1109/JSTARS.2024.3421284</v>
      </c>
      <c r="AX122" s="31"/>
      <c r="AY122" s="31" t="n">
        <v>14</v>
      </c>
      <c r="AZ122" s="31" t="s">
        <v>19235</v>
      </c>
      <c r="BA122" s="31" t="s">
        <v>16366</v>
      </c>
      <c r="BB122" s="31" t="s">
        <v>19236</v>
      </c>
      <c r="BC122" s="31" t="s">
        <v>19237</v>
      </c>
      <c r="BD122" s="31"/>
      <c r="BE122" s="31" t="s">
        <v>16431</v>
      </c>
      <c r="BF122" s="31" t="s">
        <v>16369</v>
      </c>
      <c r="BG122" s="31" t="s">
        <v>19238</v>
      </c>
      <c r="BH122" s="31" t="str">
        <f aca="false">HYPERLINK("https%3A%2F%2Fwww.webofscience.com%2Fwos%2Fwoscc%2Ffull-record%2FWOS:001276418100019","View Full Record in Web of Science")</f>
        <v>View Full Record in Web of Science</v>
      </c>
      <c r="BI122" s="31"/>
      <c r="BJ122" s="31"/>
      <c r="BK122" s="31"/>
      <c r="BL122" s="31"/>
      <c r="BM122" s="31"/>
      <c r="BN122" s="31"/>
      <c r="BO122" s="31"/>
      <c r="BP122" s="31"/>
      <c r="BQ122" s="31"/>
      <c r="BR122" s="31"/>
      <c r="BS122" s="31"/>
      <c r="BT122" s="31"/>
      <c r="BU122" s="31"/>
      <c r="BV122" s="31"/>
      <c r="BW122" s="31"/>
      <c r="BX122" s="31"/>
      <c r="BY122" s="31"/>
      <c r="BZ122" s="31"/>
      <c r="CA122" s="31"/>
      <c r="CB122" s="31"/>
      <c r="CC122" s="31"/>
      <c r="CD122" s="31"/>
      <c r="CE122" s="31"/>
      <c r="CF122" s="31"/>
    </row>
    <row r="123" customFormat="false" ht="15.75" hidden="false" customHeight="true" outlineLevel="0" collapsed="false">
      <c r="A123" s="31" t="s">
        <v>16335</v>
      </c>
      <c r="B123" s="31" t="s">
        <v>19239</v>
      </c>
      <c r="C123" s="31" t="s">
        <v>19240</v>
      </c>
      <c r="D123" s="34" t="s">
        <v>19241</v>
      </c>
      <c r="E123" s="31" t="n">
        <v>2024</v>
      </c>
      <c r="F123" s="33" t="s">
        <v>19242</v>
      </c>
      <c r="G123" s="33" t="s">
        <v>134</v>
      </c>
      <c r="H123" s="32"/>
      <c r="I123" s="34"/>
      <c r="J123" s="34"/>
      <c r="K123" s="34"/>
      <c r="L123" s="34"/>
      <c r="M123" s="34"/>
      <c r="N123" s="34"/>
      <c r="O123" s="34"/>
      <c r="P123" s="34" t="n">
        <v>2</v>
      </c>
      <c r="Q123" s="31" t="n">
        <v>2</v>
      </c>
      <c r="R123" s="31" t="s">
        <v>61</v>
      </c>
      <c r="S123" s="31" t="s">
        <v>62</v>
      </c>
      <c r="T123" s="31" t="s">
        <v>16844</v>
      </c>
      <c r="U123" s="31" t="n">
        <v>18</v>
      </c>
      <c r="V123" s="31" t="s">
        <v>16845</v>
      </c>
      <c r="W123" s="31" t="n">
        <v>4</v>
      </c>
      <c r="X123" s="31"/>
      <c r="Y123" s="31" t="s">
        <v>19243</v>
      </c>
      <c r="Z123" s="31" t="s">
        <v>19244</v>
      </c>
      <c r="AA123" s="31" t="s">
        <v>19245</v>
      </c>
      <c r="AB123" s="31" t="s">
        <v>19246</v>
      </c>
      <c r="AC123" s="31" t="s">
        <v>19247</v>
      </c>
      <c r="AD123" s="31" t="s">
        <v>19248</v>
      </c>
      <c r="AE123" s="31" t="s">
        <v>19249</v>
      </c>
      <c r="AF123" s="31" t="s">
        <v>19250</v>
      </c>
      <c r="AG123" s="31" t="s">
        <v>19251</v>
      </c>
      <c r="AH123" s="31" t="s">
        <v>19252</v>
      </c>
      <c r="AI123" s="31" t="n">
        <v>56</v>
      </c>
      <c r="AJ123" s="31" t="n">
        <v>6</v>
      </c>
      <c r="AK123" s="31" t="n">
        <v>10</v>
      </c>
      <c r="AL123" s="31" t="s">
        <v>16855</v>
      </c>
      <c r="AM123" s="31" t="s">
        <v>16856</v>
      </c>
      <c r="AN123" s="31" t="s">
        <v>16857</v>
      </c>
      <c r="AO123" s="31"/>
      <c r="AP123" s="31" t="s">
        <v>16858</v>
      </c>
      <c r="AQ123" s="31" t="s">
        <v>16859</v>
      </c>
      <c r="AR123" s="31" t="s">
        <v>17772</v>
      </c>
      <c r="AS123" s="31"/>
      <c r="AT123" s="31"/>
      <c r="AU123" s="31" t="s">
        <v>19253</v>
      </c>
      <c r="AV123" s="31" t="s">
        <v>19254</v>
      </c>
      <c r="AW123" s="35" t="str">
        <f aca="false">HYPERLINK("http://dx.doi.org/10.1371/journal.pntd.0012117","http://dx.doi.org/10.1371/journal.pntd.0012117")</f>
        <v>http://dx.doi.org/10.1371/journal.pntd.0012117</v>
      </c>
      <c r="AX123" s="31"/>
      <c r="AY123" s="31" t="n">
        <v>19</v>
      </c>
      <c r="AZ123" s="31" t="s">
        <v>16862</v>
      </c>
      <c r="BA123" s="31" t="s">
        <v>16366</v>
      </c>
      <c r="BB123" s="31" t="s">
        <v>16862</v>
      </c>
      <c r="BC123" s="31" t="s">
        <v>19255</v>
      </c>
      <c r="BD123" s="31" t="n">
        <v>38630833</v>
      </c>
      <c r="BE123" s="31" t="s">
        <v>16832</v>
      </c>
      <c r="BF123" s="31" t="s">
        <v>16369</v>
      </c>
      <c r="BG123" s="31" t="s">
        <v>19256</v>
      </c>
      <c r="BH123" s="31" t="str">
        <f aca="false">HYPERLINK("https%3A%2F%2Fwww.webofscience.com%2Fwos%2Fwoscc%2Ffull-record%2FWOS:001205073300003","View Full Record in Web of Science")</f>
        <v>View Full Record in Web of Science</v>
      </c>
      <c r="BI123" s="31"/>
      <c r="BJ123" s="31"/>
      <c r="BK123" s="31"/>
      <c r="BL123" s="31"/>
      <c r="BM123" s="31"/>
      <c r="BN123" s="31"/>
      <c r="BO123" s="31"/>
      <c r="BP123" s="31"/>
      <c r="BQ123" s="31"/>
      <c r="BR123" s="31"/>
      <c r="BS123" s="31"/>
      <c r="BT123" s="31"/>
      <c r="BU123" s="31"/>
      <c r="BV123" s="31"/>
      <c r="BW123" s="31"/>
      <c r="BX123" s="31"/>
      <c r="BY123" s="31"/>
      <c r="BZ123" s="31"/>
      <c r="CA123" s="31"/>
      <c r="CB123" s="31"/>
      <c r="CC123" s="31"/>
      <c r="CD123" s="31"/>
      <c r="CE123" s="31"/>
      <c r="CF123" s="31"/>
    </row>
    <row r="124" customFormat="false" ht="15.75" hidden="false" customHeight="true" outlineLevel="0" collapsed="false">
      <c r="A124" s="31" t="s">
        <v>16335</v>
      </c>
      <c r="B124" s="31" t="s">
        <v>19257</v>
      </c>
      <c r="C124" s="31" t="s">
        <v>19258</v>
      </c>
      <c r="D124" s="34" t="s">
        <v>19259</v>
      </c>
      <c r="E124" s="31" t="n">
        <v>2024</v>
      </c>
      <c r="F124" s="33" t="s">
        <v>19260</v>
      </c>
      <c r="G124" s="33" t="s">
        <v>134</v>
      </c>
      <c r="H124" s="32"/>
      <c r="I124" s="34"/>
      <c r="J124" s="34"/>
      <c r="K124" s="34"/>
      <c r="L124" s="34"/>
      <c r="M124" s="34"/>
      <c r="N124" s="34"/>
      <c r="O124" s="34"/>
      <c r="P124" s="34" t="n">
        <v>4</v>
      </c>
      <c r="Q124" s="31" t="n">
        <v>4</v>
      </c>
      <c r="R124" s="31" t="s">
        <v>61</v>
      </c>
      <c r="S124" s="31" t="s">
        <v>62</v>
      </c>
      <c r="T124" s="31" t="s">
        <v>16413</v>
      </c>
      <c r="U124" s="31" t="n">
        <v>14</v>
      </c>
      <c r="V124" s="31" t="s">
        <v>16414</v>
      </c>
      <c r="W124" s="31" t="n">
        <v>1</v>
      </c>
      <c r="X124" s="31" t="s">
        <v>19261</v>
      </c>
      <c r="Y124" s="31"/>
      <c r="Z124" s="31" t="s">
        <v>19262</v>
      </c>
      <c r="AA124" s="31" t="s">
        <v>19263</v>
      </c>
      <c r="AB124" s="31" t="s">
        <v>19264</v>
      </c>
      <c r="AC124" s="31" t="s">
        <v>19265</v>
      </c>
      <c r="AD124" s="31" t="s">
        <v>19266</v>
      </c>
      <c r="AE124" s="31" t="s">
        <v>19267</v>
      </c>
      <c r="AF124" s="31" t="s">
        <v>19268</v>
      </c>
      <c r="AG124" s="31" t="s">
        <v>19269</v>
      </c>
      <c r="AH124" s="31" t="s">
        <v>19270</v>
      </c>
      <c r="AI124" s="31" t="n">
        <v>43</v>
      </c>
      <c r="AJ124" s="31" t="n">
        <v>1</v>
      </c>
      <c r="AK124" s="31" t="n">
        <v>1</v>
      </c>
      <c r="AL124" s="31" t="s">
        <v>16421</v>
      </c>
      <c r="AM124" s="31" t="s">
        <v>16422</v>
      </c>
      <c r="AN124" s="31" t="s">
        <v>16423</v>
      </c>
      <c r="AO124" s="31"/>
      <c r="AP124" s="31" t="s">
        <v>16424</v>
      </c>
      <c r="AQ124" s="31" t="s">
        <v>16425</v>
      </c>
      <c r="AR124" s="31" t="s">
        <v>19271</v>
      </c>
      <c r="AS124" s="31"/>
      <c r="AT124" s="31"/>
      <c r="AU124" s="31" t="n">
        <v>13249</v>
      </c>
      <c r="AV124" s="31" t="s">
        <v>19272</v>
      </c>
      <c r="AW124" s="35" t="str">
        <f aca="false">HYPERLINK("http://dx.doi.org/10.1038/s41598-024-63831-0","http://dx.doi.org/10.1038/s41598-024-63831-0")</f>
        <v>http://dx.doi.org/10.1038/s41598-024-63831-0</v>
      </c>
      <c r="AX124" s="31"/>
      <c r="AY124" s="31" t="n">
        <v>16</v>
      </c>
      <c r="AZ124" s="31" t="s">
        <v>16428</v>
      </c>
      <c r="BA124" s="31" t="s">
        <v>16366</v>
      </c>
      <c r="BB124" s="31" t="s">
        <v>16429</v>
      </c>
      <c r="BC124" s="31" t="s">
        <v>19273</v>
      </c>
      <c r="BD124" s="31" t="n">
        <v>38858481</v>
      </c>
      <c r="BE124" s="31" t="s">
        <v>19274</v>
      </c>
      <c r="BF124" s="31" t="s">
        <v>16369</v>
      </c>
      <c r="BG124" s="31" t="s">
        <v>19275</v>
      </c>
      <c r="BH124" s="31" t="str">
        <f aca="false">HYPERLINK("https%3A%2F%2Fwww.webofscience.com%2Fwos%2Fwoscc%2Ffull-record%2FWOS:001244381300103","View Full Record in Web of Science")</f>
        <v>View Full Record in Web of Science</v>
      </c>
      <c r="BI124" s="31"/>
      <c r="BJ124" s="31"/>
      <c r="BK124" s="31"/>
      <c r="BL124" s="31"/>
      <c r="BM124" s="31"/>
      <c r="BN124" s="31"/>
      <c r="BO124" s="31"/>
      <c r="BP124" s="31"/>
      <c r="BQ124" s="31"/>
      <c r="BR124" s="31"/>
      <c r="BS124" s="31"/>
      <c r="BT124" s="31"/>
      <c r="BU124" s="31"/>
      <c r="BV124" s="31"/>
      <c r="BW124" s="31"/>
      <c r="BX124" s="31"/>
      <c r="BY124" s="31"/>
      <c r="BZ124" s="31"/>
      <c r="CA124" s="31"/>
      <c r="CB124" s="31"/>
      <c r="CC124" s="31"/>
      <c r="CD124" s="31"/>
      <c r="CE124" s="31"/>
      <c r="CF124" s="31"/>
    </row>
    <row r="125" customFormat="false" ht="15.75" hidden="false" customHeight="true" outlineLevel="0" collapsed="false">
      <c r="A125" s="31" t="s">
        <v>16335</v>
      </c>
      <c r="B125" s="31" t="s">
        <v>19276</v>
      </c>
      <c r="C125" s="31" t="s">
        <v>19277</v>
      </c>
      <c r="D125" s="34" t="s">
        <v>19278</v>
      </c>
      <c r="E125" s="31" t="n">
        <v>2024</v>
      </c>
      <c r="F125" s="33" t="s">
        <v>19279</v>
      </c>
      <c r="G125" s="33" t="s">
        <v>134</v>
      </c>
      <c r="H125" s="32"/>
      <c r="I125" s="34"/>
      <c r="J125" s="34"/>
      <c r="K125" s="34"/>
      <c r="L125" s="34"/>
      <c r="M125" s="34"/>
      <c r="N125" s="34"/>
      <c r="O125" s="34"/>
      <c r="P125" s="34" t="n">
        <v>0</v>
      </c>
      <c r="Q125" s="31" t="n">
        <v>0</v>
      </c>
      <c r="R125" s="31" t="s">
        <v>61</v>
      </c>
      <c r="S125" s="31" t="s">
        <v>62</v>
      </c>
      <c r="T125" s="31" t="s">
        <v>19280</v>
      </c>
      <c r="U125" s="31" t="n">
        <v>34</v>
      </c>
      <c r="V125" s="31" t="s">
        <v>16475</v>
      </c>
      <c r="W125" s="31" t="n">
        <v>6</v>
      </c>
      <c r="X125" s="31" t="s">
        <v>19281</v>
      </c>
      <c r="Y125" s="31" t="s">
        <v>19282</v>
      </c>
      <c r="Z125" s="31" t="s">
        <v>19283</v>
      </c>
      <c r="AA125" s="31" t="s">
        <v>19284</v>
      </c>
      <c r="AB125" s="31" t="s">
        <v>19285</v>
      </c>
      <c r="AC125" s="31" t="s">
        <v>19286</v>
      </c>
      <c r="AD125" s="31" t="s">
        <v>19287</v>
      </c>
      <c r="AE125" s="31" t="s">
        <v>19288</v>
      </c>
      <c r="AF125" s="31"/>
      <c r="AG125" s="31"/>
      <c r="AH125" s="31"/>
      <c r="AI125" s="31" t="n">
        <v>43</v>
      </c>
      <c r="AJ125" s="31" t="n">
        <v>0</v>
      </c>
      <c r="AK125" s="31" t="n">
        <v>0</v>
      </c>
      <c r="AL125" s="31" t="s">
        <v>16485</v>
      </c>
      <c r="AM125" s="31" t="s">
        <v>16486</v>
      </c>
      <c r="AN125" s="31" t="s">
        <v>19289</v>
      </c>
      <c r="AO125" s="31" t="s">
        <v>19290</v>
      </c>
      <c r="AP125" s="31" t="s">
        <v>19291</v>
      </c>
      <c r="AQ125" s="31" t="s">
        <v>19292</v>
      </c>
      <c r="AR125" s="31" t="s">
        <v>17139</v>
      </c>
      <c r="AS125" s="31"/>
      <c r="AT125" s="31"/>
      <c r="AU125" s="31" t="s">
        <v>19293</v>
      </c>
      <c r="AV125" s="31" t="s">
        <v>19294</v>
      </c>
      <c r="AW125" s="35" t="str">
        <f aca="false">HYPERLINK("http://dx.doi.org/10.1002/ima.23205","http://dx.doi.org/10.1002/ima.23205")</f>
        <v>http://dx.doi.org/10.1002/ima.23205</v>
      </c>
      <c r="AX125" s="31"/>
      <c r="AY125" s="31" t="n">
        <v>16</v>
      </c>
      <c r="AZ125" s="31" t="s">
        <v>19295</v>
      </c>
      <c r="BA125" s="31" t="s">
        <v>16366</v>
      </c>
      <c r="BB125" s="31" t="s">
        <v>19296</v>
      </c>
      <c r="BC125" s="31" t="s">
        <v>19297</v>
      </c>
      <c r="BD125" s="31"/>
      <c r="BE125" s="31" t="s">
        <v>17463</v>
      </c>
      <c r="BF125" s="31" t="s">
        <v>16369</v>
      </c>
      <c r="BG125" s="31" t="s">
        <v>19298</v>
      </c>
      <c r="BH125" s="31" t="str">
        <f aca="false">HYPERLINK("https%3A%2F%2Fwww.webofscience.com%2Fwos%2Fwoscc%2Ffull-record%2FWOS:001368078400001","View Full Record in Web of Science")</f>
        <v>View Full Record in Web of Science</v>
      </c>
      <c r="BI125" s="31"/>
      <c r="BJ125" s="31"/>
      <c r="BK125" s="31"/>
      <c r="BL125" s="31"/>
      <c r="BM125" s="31"/>
      <c r="BN125" s="31"/>
      <c r="BO125" s="31"/>
      <c r="BP125" s="31"/>
      <c r="BQ125" s="31"/>
      <c r="BR125" s="31"/>
      <c r="BS125" s="31"/>
      <c r="BT125" s="31"/>
      <c r="BU125" s="31"/>
      <c r="BV125" s="31"/>
      <c r="BW125" s="31"/>
      <c r="BX125" s="31"/>
      <c r="BY125" s="31"/>
      <c r="BZ125" s="31"/>
      <c r="CA125" s="31"/>
      <c r="CB125" s="31"/>
      <c r="CC125" s="31"/>
      <c r="CD125" s="31"/>
      <c r="CE125" s="31"/>
      <c r="CF125" s="31"/>
    </row>
    <row r="126" customFormat="false" ht="15.75" hidden="false" customHeight="true" outlineLevel="0" collapsed="false">
      <c r="A126" s="31" t="s">
        <v>16335</v>
      </c>
      <c r="B126" s="31" t="s">
        <v>19299</v>
      </c>
      <c r="C126" s="31" t="s">
        <v>19300</v>
      </c>
      <c r="D126" s="34" t="s">
        <v>19301</v>
      </c>
      <c r="E126" s="31" t="n">
        <v>2024</v>
      </c>
      <c r="F126" s="33" t="s">
        <v>19302</v>
      </c>
      <c r="G126" s="33" t="s">
        <v>134</v>
      </c>
      <c r="H126" s="32"/>
      <c r="I126" s="34"/>
      <c r="J126" s="34"/>
      <c r="K126" s="34"/>
      <c r="L126" s="34"/>
      <c r="M126" s="34"/>
      <c r="N126" s="34"/>
      <c r="O126" s="34"/>
      <c r="P126" s="34" t="n">
        <v>2</v>
      </c>
      <c r="Q126" s="31" t="n">
        <v>2</v>
      </c>
      <c r="R126" s="31" t="s">
        <v>61</v>
      </c>
      <c r="S126" s="31" t="s">
        <v>62</v>
      </c>
      <c r="T126" s="31" t="s">
        <v>19303</v>
      </c>
      <c r="U126" s="31" t="n">
        <v>12</v>
      </c>
      <c r="V126" s="31" t="s">
        <v>16928</v>
      </c>
      <c r="W126" s="31"/>
      <c r="X126" s="31" t="s">
        <v>19304</v>
      </c>
      <c r="Y126" s="31"/>
      <c r="Z126" s="31" t="s">
        <v>19305</v>
      </c>
      <c r="AA126" s="31" t="s">
        <v>19306</v>
      </c>
      <c r="AB126" s="31" t="s">
        <v>19307</v>
      </c>
      <c r="AC126" s="31" t="s">
        <v>19308</v>
      </c>
      <c r="AD126" s="31" t="s">
        <v>19309</v>
      </c>
      <c r="AE126" s="31"/>
      <c r="AF126" s="31" t="s">
        <v>19310</v>
      </c>
      <c r="AG126" s="31" t="s">
        <v>19311</v>
      </c>
      <c r="AH126" s="31" t="s">
        <v>19312</v>
      </c>
      <c r="AI126" s="31" t="n">
        <v>36</v>
      </c>
      <c r="AJ126" s="31" t="n">
        <v>2</v>
      </c>
      <c r="AK126" s="31" t="n">
        <v>2</v>
      </c>
      <c r="AL126" s="31" t="s">
        <v>16938</v>
      </c>
      <c r="AM126" s="31" t="s">
        <v>16939</v>
      </c>
      <c r="AN126" s="31" t="s">
        <v>19313</v>
      </c>
      <c r="AO126" s="31"/>
      <c r="AP126" s="31" t="s">
        <v>19314</v>
      </c>
      <c r="AQ126" s="31" t="s">
        <v>14304</v>
      </c>
      <c r="AR126" s="31" t="s">
        <v>19315</v>
      </c>
      <c r="AS126" s="31"/>
      <c r="AT126" s="31"/>
      <c r="AU126" s="31" t="n">
        <v>1392269</v>
      </c>
      <c r="AV126" s="31" t="s">
        <v>19316</v>
      </c>
      <c r="AW126" s="35" t="str">
        <f aca="false">HYPERLINK("http://dx.doi.org/10.3389/fbioe.2024.1392269","http://dx.doi.org/10.3389/fbioe.2024.1392269")</f>
        <v>http://dx.doi.org/10.3389/fbioe.2024.1392269</v>
      </c>
      <c r="AX126" s="31"/>
      <c r="AY126" s="31" t="n">
        <v>11</v>
      </c>
      <c r="AZ126" s="31" t="s">
        <v>19317</v>
      </c>
      <c r="BA126" s="31" t="s">
        <v>16366</v>
      </c>
      <c r="BB126" s="31" t="s">
        <v>19318</v>
      </c>
      <c r="BC126" s="31" t="s">
        <v>19319</v>
      </c>
      <c r="BD126" s="31" t="n">
        <v>39100623</v>
      </c>
      <c r="BE126" s="31" t="s">
        <v>19320</v>
      </c>
      <c r="BF126" s="31" t="s">
        <v>16369</v>
      </c>
      <c r="BG126" s="31" t="s">
        <v>19321</v>
      </c>
      <c r="BH126" s="31" t="str">
        <f aca="false">HYPERLINK("https%3A%2F%2Fwww.webofscience.com%2Fwos%2Fwoscc%2Ffull-record%2FWOS:001282198100001","View Full Record in Web of Science")</f>
        <v>View Full Record in Web of Science</v>
      </c>
      <c r="BI126" s="31"/>
      <c r="BJ126" s="31"/>
      <c r="BK126" s="31"/>
      <c r="BL126" s="31"/>
      <c r="BM126" s="31"/>
      <c r="BN126" s="31"/>
      <c r="BO126" s="31"/>
      <c r="BP126" s="31"/>
      <c r="BQ126" s="31"/>
      <c r="BR126" s="31"/>
      <c r="BS126" s="31"/>
      <c r="BT126" s="31"/>
      <c r="BU126" s="31"/>
      <c r="BV126" s="31"/>
      <c r="BW126" s="31"/>
      <c r="BX126" s="31"/>
      <c r="BY126" s="31"/>
      <c r="BZ126" s="31"/>
      <c r="CA126" s="31"/>
      <c r="CB126" s="31"/>
      <c r="CC126" s="31"/>
      <c r="CD126" s="31"/>
      <c r="CE126" s="31"/>
      <c r="CF126" s="31"/>
    </row>
    <row r="127" customFormat="false" ht="15.75" hidden="false" customHeight="true" outlineLevel="0" collapsed="false">
      <c r="A127" s="31" t="s">
        <v>16335</v>
      </c>
      <c r="B127" s="31" t="s">
        <v>19322</v>
      </c>
      <c r="C127" s="31" t="s">
        <v>19323</v>
      </c>
      <c r="D127" s="34" t="s">
        <v>19324</v>
      </c>
      <c r="E127" s="31" t="n">
        <v>2024</v>
      </c>
      <c r="F127" s="33" t="s">
        <v>19325</v>
      </c>
      <c r="G127" s="33" t="s">
        <v>290</v>
      </c>
      <c r="H127" s="32"/>
      <c r="I127" s="34"/>
      <c r="J127" s="34"/>
      <c r="K127" s="34"/>
      <c r="L127" s="34"/>
      <c r="M127" s="34"/>
      <c r="N127" s="34"/>
      <c r="O127" s="34"/>
      <c r="P127" s="34" t="n">
        <v>1</v>
      </c>
      <c r="Q127" s="31" t="n">
        <v>1</v>
      </c>
      <c r="R127" s="31" t="s">
        <v>61</v>
      </c>
      <c r="S127" s="31" t="s">
        <v>62</v>
      </c>
      <c r="T127" s="31" t="s">
        <v>19326</v>
      </c>
      <c r="U127" s="31" t="n">
        <v>17</v>
      </c>
      <c r="V127" s="31" t="s">
        <v>4048</v>
      </c>
      <c r="W127" s="31" t="n">
        <v>8</v>
      </c>
      <c r="X127" s="31" t="s">
        <v>19327</v>
      </c>
      <c r="Y127" s="31" t="s">
        <v>19328</v>
      </c>
      <c r="Z127" s="31" t="s">
        <v>19329</v>
      </c>
      <c r="AA127" s="31" t="s">
        <v>19330</v>
      </c>
      <c r="AB127" s="31" t="s">
        <v>19331</v>
      </c>
      <c r="AC127" s="31" t="s">
        <v>19332</v>
      </c>
      <c r="AD127" s="31" t="s">
        <v>19333</v>
      </c>
      <c r="AE127" s="31" t="s">
        <v>19334</v>
      </c>
      <c r="AF127" s="31" t="s">
        <v>19335</v>
      </c>
      <c r="AG127" s="31" t="s">
        <v>19336</v>
      </c>
      <c r="AH127" s="31" t="s">
        <v>19337</v>
      </c>
      <c r="AI127" s="31" t="n">
        <v>45</v>
      </c>
      <c r="AJ127" s="31" t="n">
        <v>4</v>
      </c>
      <c r="AK127" s="31" t="n">
        <v>4</v>
      </c>
      <c r="AL127" s="31" t="s">
        <v>16769</v>
      </c>
      <c r="AM127" s="31" t="s">
        <v>16770</v>
      </c>
      <c r="AN127" s="31"/>
      <c r="AO127" s="31" t="s">
        <v>19338</v>
      </c>
      <c r="AP127" s="31" t="s">
        <v>19339</v>
      </c>
      <c r="AQ127" s="31" t="s">
        <v>19340</v>
      </c>
      <c r="AR127" s="31" t="s">
        <v>17837</v>
      </c>
      <c r="AS127" s="31"/>
      <c r="AT127" s="31"/>
      <c r="AU127" s="31" t="n">
        <v>1067</v>
      </c>
      <c r="AV127" s="31" t="s">
        <v>19341</v>
      </c>
      <c r="AW127" s="35" t="str">
        <f aca="false">HYPERLINK("http://dx.doi.org/10.3390/ph17081067","http://dx.doi.org/10.3390/ph17081067")</f>
        <v>http://dx.doi.org/10.3390/ph17081067</v>
      </c>
      <c r="AX127" s="31"/>
      <c r="AY127" s="31" t="n">
        <v>20</v>
      </c>
      <c r="AZ127" s="31" t="s">
        <v>18124</v>
      </c>
      <c r="BA127" s="31" t="s">
        <v>16366</v>
      </c>
      <c r="BB127" s="31" t="s">
        <v>18125</v>
      </c>
      <c r="BC127" s="31" t="s">
        <v>19342</v>
      </c>
      <c r="BD127" s="31" t="n">
        <v>39204173</v>
      </c>
      <c r="BE127" s="31" t="s">
        <v>16832</v>
      </c>
      <c r="BF127" s="31" t="s">
        <v>16369</v>
      </c>
      <c r="BG127" s="31" t="s">
        <v>19343</v>
      </c>
      <c r="BH127" s="31" t="str">
        <f aca="false">HYPERLINK("https%3A%2F%2Fwww.webofscience.com%2Fwos%2Fwoscc%2Ffull-record%2FWOS:001304743300001","View Full Record in Web of Science")</f>
        <v>View Full Record in Web of Science</v>
      </c>
      <c r="BI127" s="31"/>
      <c r="BJ127" s="31"/>
      <c r="BK127" s="31"/>
      <c r="BL127" s="31"/>
      <c r="BM127" s="31"/>
      <c r="BN127" s="31"/>
      <c r="BO127" s="31"/>
      <c r="BP127" s="31"/>
      <c r="BQ127" s="31"/>
      <c r="BR127" s="31"/>
      <c r="BS127" s="31"/>
      <c r="BT127" s="31"/>
      <c r="BU127" s="31"/>
      <c r="BV127" s="31"/>
      <c r="BW127" s="31"/>
      <c r="BX127" s="31"/>
      <c r="BY127" s="31"/>
      <c r="BZ127" s="31"/>
      <c r="CA127" s="31"/>
      <c r="CB127" s="31"/>
      <c r="CC127" s="31"/>
      <c r="CD127" s="31"/>
      <c r="CE127" s="31"/>
      <c r="CF127" s="31"/>
    </row>
    <row r="128" customFormat="false" ht="15.75" hidden="false" customHeight="true" outlineLevel="0" collapsed="false">
      <c r="A128" s="31" t="s">
        <v>16335</v>
      </c>
      <c r="B128" s="31" t="s">
        <v>19344</v>
      </c>
      <c r="C128" s="31" t="s">
        <v>19345</v>
      </c>
      <c r="D128" s="34" t="s">
        <v>19346</v>
      </c>
      <c r="E128" s="31" t="n">
        <v>2024</v>
      </c>
      <c r="F128" s="33" t="s">
        <v>19347</v>
      </c>
      <c r="G128" s="33" t="s">
        <v>134</v>
      </c>
      <c r="H128" s="32"/>
      <c r="I128" s="34"/>
      <c r="J128" s="34"/>
      <c r="K128" s="34"/>
      <c r="L128" s="34"/>
      <c r="M128" s="34"/>
      <c r="N128" s="34"/>
      <c r="O128" s="34"/>
      <c r="P128" s="34" t="n">
        <v>1</v>
      </c>
      <c r="Q128" s="31" t="n">
        <v>1</v>
      </c>
      <c r="R128" s="31" t="s">
        <v>61</v>
      </c>
      <c r="S128" s="31" t="s">
        <v>62</v>
      </c>
      <c r="T128" s="31" t="s">
        <v>18343</v>
      </c>
      <c r="U128" s="31" t="n">
        <v>24</v>
      </c>
      <c r="V128" s="31" t="s">
        <v>4048</v>
      </c>
      <c r="W128" s="31" t="n">
        <v>24</v>
      </c>
      <c r="X128" s="31" t="s">
        <v>19348</v>
      </c>
      <c r="Y128" s="31"/>
      <c r="Z128" s="31" t="s">
        <v>19349</v>
      </c>
      <c r="AA128" s="31" t="s">
        <v>19350</v>
      </c>
      <c r="AB128" s="31" t="s">
        <v>19351</v>
      </c>
      <c r="AC128" s="31" t="s">
        <v>19352</v>
      </c>
      <c r="AD128" s="31" t="s">
        <v>19353</v>
      </c>
      <c r="AE128" s="31" t="s">
        <v>19354</v>
      </c>
      <c r="AF128" s="31" t="s">
        <v>19355</v>
      </c>
      <c r="AG128" s="31" t="s">
        <v>19355</v>
      </c>
      <c r="AH128" s="31" t="s">
        <v>19356</v>
      </c>
      <c r="AI128" s="31" t="n">
        <v>26</v>
      </c>
      <c r="AJ128" s="31" t="n">
        <v>0</v>
      </c>
      <c r="AK128" s="31" t="n">
        <v>0</v>
      </c>
      <c r="AL128" s="31" t="s">
        <v>16769</v>
      </c>
      <c r="AM128" s="31" t="s">
        <v>16770</v>
      </c>
      <c r="AN128" s="31"/>
      <c r="AO128" s="31" t="s">
        <v>18354</v>
      </c>
      <c r="AP128" s="31" t="s">
        <v>18355</v>
      </c>
      <c r="AQ128" s="31" t="s">
        <v>18356</v>
      </c>
      <c r="AR128" s="31" t="s">
        <v>16649</v>
      </c>
      <c r="AS128" s="31"/>
      <c r="AT128" s="31"/>
      <c r="AU128" s="31" t="n">
        <v>8180</v>
      </c>
      <c r="AV128" s="31" t="s">
        <v>19357</v>
      </c>
      <c r="AW128" s="35" t="str">
        <f aca="false">HYPERLINK("http://dx.doi.org/10.3390/s24248180","http://dx.doi.org/10.3390/s24248180")</f>
        <v>http://dx.doi.org/10.3390/s24248180</v>
      </c>
      <c r="AX128" s="31"/>
      <c r="AY128" s="31" t="n">
        <v>20</v>
      </c>
      <c r="AZ128" s="31" t="s">
        <v>18358</v>
      </c>
      <c r="BA128" s="31" t="s">
        <v>16366</v>
      </c>
      <c r="BB128" s="31" t="s">
        <v>18359</v>
      </c>
      <c r="BC128" s="31" t="s">
        <v>19358</v>
      </c>
      <c r="BD128" s="31" t="n">
        <v>39771915</v>
      </c>
      <c r="BE128" s="31" t="s">
        <v>16431</v>
      </c>
      <c r="BF128" s="31" t="s">
        <v>16369</v>
      </c>
      <c r="BG128" s="31" t="s">
        <v>19359</v>
      </c>
      <c r="BH128" s="31" t="str">
        <f aca="false">HYPERLINK("https%3A%2F%2Fwww.webofscience.com%2Fwos%2Fwoscc%2Ffull-record%2FWOS:001386798800001","View Full Record in Web of Science")</f>
        <v>View Full Record in Web of Science</v>
      </c>
      <c r="BI128" s="31"/>
      <c r="BJ128" s="31"/>
      <c r="BK128" s="31"/>
      <c r="BL128" s="31"/>
      <c r="BM128" s="31"/>
      <c r="BN128" s="31"/>
      <c r="BO128" s="31"/>
      <c r="BP128" s="31"/>
      <c r="BQ128" s="31"/>
      <c r="BR128" s="31"/>
      <c r="BS128" s="31"/>
      <c r="BT128" s="31"/>
      <c r="BU128" s="31"/>
      <c r="BV128" s="31"/>
      <c r="BW128" s="31"/>
      <c r="BX128" s="31"/>
      <c r="BY128" s="31"/>
      <c r="BZ128" s="31"/>
      <c r="CA128" s="31"/>
      <c r="CB128" s="31"/>
      <c r="CC128" s="31"/>
      <c r="CD128" s="31"/>
      <c r="CE128" s="31"/>
      <c r="CF128" s="31"/>
    </row>
    <row r="129" customFormat="false" ht="15.75" hidden="false" customHeight="true" outlineLevel="0" collapsed="false">
      <c r="A129" s="31" t="s">
        <v>16335</v>
      </c>
      <c r="B129" s="31" t="s">
        <v>19360</v>
      </c>
      <c r="C129" s="31" t="s">
        <v>19361</v>
      </c>
      <c r="D129" s="34" t="s">
        <v>19362</v>
      </c>
      <c r="E129" s="31" t="n">
        <v>2024</v>
      </c>
      <c r="F129" s="36" t="s">
        <v>19363</v>
      </c>
      <c r="G129" s="33" t="s">
        <v>134</v>
      </c>
      <c r="H129" s="32"/>
      <c r="I129" s="34"/>
      <c r="J129" s="34"/>
      <c r="K129" s="34"/>
      <c r="L129" s="34"/>
      <c r="M129" s="34"/>
      <c r="N129" s="34"/>
      <c r="O129" s="34"/>
      <c r="P129" s="34" t="n">
        <v>4</v>
      </c>
      <c r="Q129" s="31" t="n">
        <v>4</v>
      </c>
      <c r="R129" s="31" t="s">
        <v>61</v>
      </c>
      <c r="S129" s="31" t="s">
        <v>62</v>
      </c>
      <c r="T129" s="31" t="s">
        <v>19364</v>
      </c>
      <c r="U129" s="31" t="n">
        <v>170</v>
      </c>
      <c r="V129" s="31" t="s">
        <v>18274</v>
      </c>
      <c r="W129" s="31"/>
      <c r="X129" s="31" t="s">
        <v>19365</v>
      </c>
      <c r="Y129" s="31"/>
      <c r="Z129" s="31" t="s">
        <v>19366</v>
      </c>
      <c r="AA129" s="31" t="s">
        <v>19367</v>
      </c>
      <c r="AB129" s="31" t="s">
        <v>19368</v>
      </c>
      <c r="AC129" s="31" t="s">
        <v>19369</v>
      </c>
      <c r="AD129" s="31" t="s">
        <v>19370</v>
      </c>
      <c r="AE129" s="31" t="s">
        <v>19371</v>
      </c>
      <c r="AF129" s="31" t="s">
        <v>19372</v>
      </c>
      <c r="AG129" s="31" t="s">
        <v>19373</v>
      </c>
      <c r="AH129" s="31" t="s">
        <v>19374</v>
      </c>
      <c r="AI129" s="31" t="n">
        <v>76</v>
      </c>
      <c r="AJ129" s="31" t="n">
        <v>3</v>
      </c>
      <c r="AK129" s="31" t="n">
        <v>6</v>
      </c>
      <c r="AL129" s="31" t="s">
        <v>16575</v>
      </c>
      <c r="AM129" s="31" t="s">
        <v>18284</v>
      </c>
      <c r="AN129" s="31" t="s">
        <v>19375</v>
      </c>
      <c r="AO129" s="31" t="s">
        <v>19376</v>
      </c>
      <c r="AP129" s="31" t="s">
        <v>19377</v>
      </c>
      <c r="AQ129" s="31" t="s">
        <v>74</v>
      </c>
      <c r="AR129" s="31" t="s">
        <v>17248</v>
      </c>
      <c r="AS129" s="31"/>
      <c r="AT129" s="31"/>
      <c r="AU129" s="31" t="n">
        <v>108055</v>
      </c>
      <c r="AV129" s="31" t="s">
        <v>19378</v>
      </c>
      <c r="AW129" s="35" t="str">
        <f aca="false">HYPERLINK("http://dx.doi.org/10.1016/j.compbiomed.2024.108055","http://dx.doi.org/10.1016/j.compbiomed.2024.108055")</f>
        <v>http://dx.doi.org/10.1016/j.compbiomed.2024.108055</v>
      </c>
      <c r="AX129" s="31" t="s">
        <v>18739</v>
      </c>
      <c r="AY129" s="31" t="n">
        <v>15</v>
      </c>
      <c r="AZ129" s="31" t="s">
        <v>19379</v>
      </c>
      <c r="BA129" s="31" t="s">
        <v>16366</v>
      </c>
      <c r="BB129" s="31" t="s">
        <v>19380</v>
      </c>
      <c r="BC129" s="31" t="s">
        <v>19381</v>
      </c>
      <c r="BD129" s="31" t="n">
        <v>38295480</v>
      </c>
      <c r="BE129" s="31" t="s">
        <v>16494</v>
      </c>
      <c r="BF129" s="31" t="s">
        <v>16369</v>
      </c>
      <c r="BG129" s="31" t="s">
        <v>19382</v>
      </c>
      <c r="BH129" s="31" t="str">
        <f aca="false">HYPERLINK("https%3A%2F%2Fwww.webofscience.com%2Fwos%2Fwoscc%2Ffull-record%2FWOS:001171301500001","View Full Record in Web of Science")</f>
        <v>View Full Record in Web of Science</v>
      </c>
      <c r="BI129" s="31"/>
      <c r="BJ129" s="31"/>
      <c r="BK129" s="31"/>
      <c r="BL129" s="31"/>
      <c r="BM129" s="31"/>
      <c r="BN129" s="31"/>
      <c r="BO129" s="31"/>
      <c r="BP129" s="31"/>
      <c r="BQ129" s="31"/>
      <c r="BR129" s="31"/>
      <c r="BS129" s="31"/>
      <c r="BT129" s="31"/>
      <c r="BU129" s="31"/>
      <c r="BV129" s="31"/>
      <c r="BW129" s="31"/>
      <c r="BX129" s="31"/>
      <c r="BY129" s="31"/>
      <c r="BZ129" s="31"/>
      <c r="CA129" s="31"/>
      <c r="CB129" s="31"/>
      <c r="CC129" s="31"/>
      <c r="CD129" s="31"/>
      <c r="CE129" s="31"/>
      <c r="CF129" s="31"/>
    </row>
    <row r="130" customFormat="false" ht="15.75" hidden="false" customHeight="true" outlineLevel="0" collapsed="false">
      <c r="A130" s="31" t="s">
        <v>16335</v>
      </c>
      <c r="B130" s="31" t="s">
        <v>19383</v>
      </c>
      <c r="C130" s="31" t="s">
        <v>19384</v>
      </c>
      <c r="D130" s="34" t="s">
        <v>19385</v>
      </c>
      <c r="E130" s="31" t="n">
        <v>2024</v>
      </c>
      <c r="F130" s="33" t="s">
        <v>19386</v>
      </c>
      <c r="G130" s="33" t="s">
        <v>134</v>
      </c>
      <c r="H130" s="32"/>
      <c r="I130" s="34"/>
      <c r="J130" s="34"/>
      <c r="K130" s="34"/>
      <c r="L130" s="34"/>
      <c r="M130" s="34"/>
      <c r="N130" s="34"/>
      <c r="O130" s="34"/>
      <c r="P130" s="34" t="n">
        <v>0</v>
      </c>
      <c r="Q130" s="31" t="n">
        <v>0</v>
      </c>
      <c r="R130" s="31" t="s">
        <v>61</v>
      </c>
      <c r="S130" s="31" t="s">
        <v>62</v>
      </c>
      <c r="T130" s="31" t="s">
        <v>19387</v>
      </c>
      <c r="U130" s="31" t="n">
        <v>9</v>
      </c>
      <c r="V130" s="31" t="s">
        <v>4048</v>
      </c>
      <c r="W130" s="31" t="n">
        <v>9</v>
      </c>
      <c r="X130" s="31" t="s">
        <v>19388</v>
      </c>
      <c r="Y130" s="31"/>
      <c r="Z130" s="31" t="s">
        <v>19389</v>
      </c>
      <c r="AA130" s="31" t="s">
        <v>19390</v>
      </c>
      <c r="AB130" s="31" t="s">
        <v>19391</v>
      </c>
      <c r="AC130" s="31" t="s">
        <v>19392</v>
      </c>
      <c r="AD130" s="31" t="s">
        <v>19393</v>
      </c>
      <c r="AE130" s="31" t="s">
        <v>19394</v>
      </c>
      <c r="AF130" s="31" t="s">
        <v>19395</v>
      </c>
      <c r="AG130" s="31" t="s">
        <v>19396</v>
      </c>
      <c r="AH130" s="31" t="s">
        <v>19397</v>
      </c>
      <c r="AI130" s="31" t="n">
        <v>56</v>
      </c>
      <c r="AJ130" s="31" t="n">
        <v>11</v>
      </c>
      <c r="AK130" s="31" t="n">
        <v>11</v>
      </c>
      <c r="AL130" s="31" t="s">
        <v>16769</v>
      </c>
      <c r="AM130" s="31" t="s">
        <v>16770</v>
      </c>
      <c r="AN130" s="31"/>
      <c r="AO130" s="31" t="s">
        <v>19398</v>
      </c>
      <c r="AP130" s="31" t="s">
        <v>19399</v>
      </c>
      <c r="AQ130" s="31" t="s">
        <v>4059</v>
      </c>
      <c r="AR130" s="31" t="s">
        <v>16801</v>
      </c>
      <c r="AS130" s="31"/>
      <c r="AT130" s="31"/>
      <c r="AU130" s="31" t="n">
        <v>216</v>
      </c>
      <c r="AV130" s="31" t="s">
        <v>19400</v>
      </c>
      <c r="AW130" s="35" t="str">
        <f aca="false">HYPERLINK("http://dx.doi.org/10.3390/tropicalmed9090216","http://dx.doi.org/10.3390/tropicalmed9090216")</f>
        <v>http://dx.doi.org/10.3390/tropicalmed9090216</v>
      </c>
      <c r="AX130" s="31"/>
      <c r="AY130" s="31" t="n">
        <v>23</v>
      </c>
      <c r="AZ130" s="31" t="s">
        <v>16862</v>
      </c>
      <c r="BA130" s="31" t="s">
        <v>16366</v>
      </c>
      <c r="BB130" s="31" t="s">
        <v>16862</v>
      </c>
      <c r="BC130" s="31" t="s">
        <v>19401</v>
      </c>
      <c r="BD130" s="31" t="n">
        <v>39330905</v>
      </c>
      <c r="BE130" s="31" t="s">
        <v>16431</v>
      </c>
      <c r="BF130" s="31" t="s">
        <v>16369</v>
      </c>
      <c r="BG130" s="31" t="s">
        <v>19402</v>
      </c>
      <c r="BH130" s="31" t="str">
        <f aca="false">HYPERLINK("https%3A%2F%2Fwww.webofscience.com%2Fwos%2Fwoscc%2Ffull-record%2FWOS:001322854400001","View Full Record in Web of Science")</f>
        <v>View Full Record in Web of Science</v>
      </c>
      <c r="BI130" s="31"/>
      <c r="BJ130" s="31"/>
      <c r="BK130" s="31"/>
      <c r="BL130" s="31"/>
      <c r="BM130" s="31"/>
      <c r="BN130" s="31"/>
      <c r="BO130" s="31"/>
      <c r="BP130" s="31"/>
      <c r="BQ130" s="31"/>
      <c r="BR130" s="31"/>
      <c r="BS130" s="31"/>
      <c r="BT130" s="31"/>
      <c r="BU130" s="31"/>
      <c r="BV130" s="31"/>
      <c r="BW130" s="31"/>
      <c r="BX130" s="31"/>
      <c r="BY130" s="31"/>
      <c r="BZ130" s="31"/>
      <c r="CA130" s="31"/>
      <c r="CB130" s="31"/>
      <c r="CC130" s="31"/>
      <c r="CD130" s="31"/>
      <c r="CE130" s="31"/>
      <c r="CF130" s="31"/>
    </row>
    <row r="131" customFormat="false" ht="15.75" hidden="false" customHeight="true" outlineLevel="0" collapsed="false">
      <c r="A131" s="31" t="s">
        <v>16335</v>
      </c>
      <c r="B131" s="31" t="s">
        <v>19403</v>
      </c>
      <c r="C131" s="31" t="s">
        <v>19404</v>
      </c>
      <c r="D131" s="34" t="s">
        <v>19405</v>
      </c>
      <c r="E131" s="31" t="n">
        <v>2024</v>
      </c>
      <c r="F131" s="33" t="s">
        <v>19406</v>
      </c>
      <c r="G131" s="33" t="s">
        <v>393</v>
      </c>
      <c r="H131" s="32"/>
      <c r="I131" s="34"/>
      <c r="J131" s="34"/>
      <c r="K131" s="34"/>
      <c r="L131" s="34"/>
      <c r="M131" s="34"/>
      <c r="N131" s="34"/>
      <c r="O131" s="34"/>
      <c r="P131" s="34" t="n">
        <v>2</v>
      </c>
      <c r="Q131" s="31" t="n">
        <v>2</v>
      </c>
      <c r="R131" s="31" t="s">
        <v>61</v>
      </c>
      <c r="S131" s="31" t="s">
        <v>62</v>
      </c>
      <c r="T131" s="31" t="s">
        <v>16383</v>
      </c>
      <c r="U131" s="31" t="n">
        <v>12</v>
      </c>
      <c r="V131" s="31" t="s">
        <v>16384</v>
      </c>
      <c r="W131" s="31"/>
      <c r="X131" s="31" t="s">
        <v>19407</v>
      </c>
      <c r="Y131" s="31"/>
      <c r="Z131" s="31" t="s">
        <v>19408</v>
      </c>
      <c r="AA131" s="31" t="s">
        <v>19409</v>
      </c>
      <c r="AB131" s="31" t="s">
        <v>19410</v>
      </c>
      <c r="AC131" s="31" t="s">
        <v>19411</v>
      </c>
      <c r="AD131" s="31" t="s">
        <v>19412</v>
      </c>
      <c r="AE131" s="31" t="s">
        <v>19413</v>
      </c>
      <c r="AF131" s="31"/>
      <c r="AG131" s="31"/>
      <c r="AH131" s="31"/>
      <c r="AI131" s="31" t="n">
        <v>38</v>
      </c>
      <c r="AJ131" s="31" t="n">
        <v>1</v>
      </c>
      <c r="AK131" s="31" t="n">
        <v>5</v>
      </c>
      <c r="AL131" s="31" t="s">
        <v>16395</v>
      </c>
      <c r="AM131" s="31" t="s">
        <v>16396</v>
      </c>
      <c r="AN131" s="31" t="s">
        <v>16397</v>
      </c>
      <c r="AO131" s="31"/>
      <c r="AP131" s="31" t="s">
        <v>16383</v>
      </c>
      <c r="AQ131" s="31" t="s">
        <v>186</v>
      </c>
      <c r="AR131" s="31"/>
      <c r="AS131" s="31" t="n">
        <v>60747</v>
      </c>
      <c r="AT131" s="31" t="n">
        <v>60764</v>
      </c>
      <c r="AU131" s="31"/>
      <c r="AV131" s="31" t="s">
        <v>19414</v>
      </c>
      <c r="AW131" s="35" t="str">
        <f aca="false">HYPERLINK("http://dx.doi.org/10.1109/ACCESS.2024.3393410","http://dx.doi.org/10.1109/ACCESS.2024.3393410")</f>
        <v>http://dx.doi.org/10.1109/ACCESS.2024.3393410</v>
      </c>
      <c r="AX131" s="31"/>
      <c r="AY131" s="31" t="n">
        <v>18</v>
      </c>
      <c r="AZ131" s="31" t="s">
        <v>16399</v>
      </c>
      <c r="BA131" s="31" t="s">
        <v>16366</v>
      </c>
      <c r="BB131" s="31" t="s">
        <v>16400</v>
      </c>
      <c r="BC131" s="31" t="s">
        <v>19415</v>
      </c>
      <c r="BD131" s="31"/>
      <c r="BE131" s="31" t="s">
        <v>16431</v>
      </c>
      <c r="BF131" s="31" t="s">
        <v>16369</v>
      </c>
      <c r="BG131" s="31" t="s">
        <v>19416</v>
      </c>
      <c r="BH131" s="31" t="str">
        <f aca="false">HYPERLINK("https%3A%2F%2Fwww.webofscience.com%2Fwos%2Fwoscc%2Ffull-record%2FWOS:001214289000001","View Full Record in Web of Science")</f>
        <v>View Full Record in Web of Science</v>
      </c>
      <c r="BI131" s="31"/>
      <c r="BJ131" s="31"/>
      <c r="BK131" s="31"/>
      <c r="BL131" s="31"/>
      <c r="BM131" s="31"/>
      <c r="BN131" s="31"/>
      <c r="BO131" s="31"/>
      <c r="BP131" s="31"/>
      <c r="BQ131" s="31"/>
      <c r="BR131" s="31"/>
      <c r="BS131" s="31"/>
      <c r="BT131" s="31"/>
      <c r="BU131" s="31"/>
      <c r="BV131" s="31"/>
      <c r="BW131" s="31"/>
      <c r="BX131" s="31"/>
      <c r="BY131" s="31"/>
      <c r="BZ131" s="31"/>
      <c r="CA131" s="31"/>
      <c r="CB131" s="31"/>
      <c r="CC131" s="31"/>
      <c r="CD131" s="31"/>
      <c r="CE131" s="31"/>
      <c r="CF131" s="31"/>
    </row>
    <row r="132" customFormat="false" ht="15.75" hidden="false" customHeight="true" outlineLevel="0" collapsed="false">
      <c r="A132" s="31" t="s">
        <v>16335</v>
      </c>
      <c r="B132" s="31" t="s">
        <v>19417</v>
      </c>
      <c r="C132" s="31" t="s">
        <v>19418</v>
      </c>
      <c r="D132" s="34" t="s">
        <v>19419</v>
      </c>
      <c r="E132" s="31" t="n">
        <v>2024</v>
      </c>
      <c r="F132" s="33" t="s">
        <v>19420</v>
      </c>
      <c r="G132" s="33" t="s">
        <v>134</v>
      </c>
      <c r="H132" s="32"/>
      <c r="I132" s="34"/>
      <c r="J132" s="34"/>
      <c r="K132" s="34"/>
      <c r="L132" s="34"/>
      <c r="M132" s="34"/>
      <c r="N132" s="34"/>
      <c r="O132" s="34"/>
      <c r="P132" s="34" t="n">
        <v>0</v>
      </c>
      <c r="Q132" s="31" t="n">
        <v>0</v>
      </c>
      <c r="R132" s="31" t="s">
        <v>61</v>
      </c>
      <c r="S132" s="31" t="s">
        <v>62</v>
      </c>
      <c r="T132" s="31" t="s">
        <v>19421</v>
      </c>
      <c r="U132" s="31" t="n">
        <v>27</v>
      </c>
      <c r="V132" s="31" t="s">
        <v>16349</v>
      </c>
      <c r="W132" s="31"/>
      <c r="X132" s="31" t="s">
        <v>19422</v>
      </c>
      <c r="Y132" s="31"/>
      <c r="Z132" s="31" t="s">
        <v>19423</v>
      </c>
      <c r="AA132" s="31" t="s">
        <v>19424</v>
      </c>
      <c r="AB132" s="31" t="s">
        <v>19425</v>
      </c>
      <c r="AC132" s="31" t="s">
        <v>19426</v>
      </c>
      <c r="AD132" s="31" t="s">
        <v>19427</v>
      </c>
      <c r="AE132" s="31"/>
      <c r="AF132" s="31"/>
      <c r="AG132" s="31"/>
      <c r="AH132" s="31" t="s">
        <v>19428</v>
      </c>
      <c r="AI132" s="31" t="n">
        <v>36</v>
      </c>
      <c r="AJ132" s="31" t="n">
        <v>0</v>
      </c>
      <c r="AK132" s="31" t="n">
        <v>0</v>
      </c>
      <c r="AL132" s="31" t="s">
        <v>16356</v>
      </c>
      <c r="AM132" s="31" t="s">
        <v>16357</v>
      </c>
      <c r="AN132" s="31" t="s">
        <v>19429</v>
      </c>
      <c r="AO132" s="31"/>
      <c r="AP132" s="31" t="s">
        <v>19430</v>
      </c>
      <c r="AQ132" s="31" t="s">
        <v>19431</v>
      </c>
      <c r="AR132" s="31" t="s">
        <v>17139</v>
      </c>
      <c r="AS132" s="31"/>
      <c r="AT132" s="31"/>
      <c r="AU132" s="31" t="s">
        <v>19432</v>
      </c>
      <c r="AV132" s="31" t="s">
        <v>19433</v>
      </c>
      <c r="AW132" s="35" t="str">
        <f aca="false">HYPERLINK("http://dx.doi.org/10.1016/j.parepi.2024.e00378","http://dx.doi.org/10.1016/j.parepi.2024.e00378")</f>
        <v>http://dx.doi.org/10.1016/j.parepi.2024.e00378</v>
      </c>
      <c r="AX132" s="31" t="s">
        <v>18427</v>
      </c>
      <c r="AY132" s="31" t="n">
        <v>11</v>
      </c>
      <c r="AZ132" s="31" t="s">
        <v>19434</v>
      </c>
      <c r="BA132" s="31" t="s">
        <v>16684</v>
      </c>
      <c r="BB132" s="31" t="s">
        <v>19434</v>
      </c>
      <c r="BC132" s="31" t="s">
        <v>19435</v>
      </c>
      <c r="BD132" s="31" t="n">
        <v>39291102</v>
      </c>
      <c r="BE132" s="31" t="s">
        <v>17143</v>
      </c>
      <c r="BF132" s="31" t="s">
        <v>16369</v>
      </c>
      <c r="BG132" s="31" t="s">
        <v>19436</v>
      </c>
      <c r="BH132" s="31" t="str">
        <f aca="false">HYPERLINK("https%3A%2F%2Fwww.webofscience.com%2Fwos%2Fwoscc%2Ffull-record%2FWOS:001313194100001","View Full Record in Web of Science")</f>
        <v>View Full Record in Web of Science</v>
      </c>
      <c r="BI132" s="31"/>
      <c r="BJ132" s="31"/>
      <c r="BK132" s="31"/>
      <c r="BL132" s="31"/>
      <c r="BM132" s="31"/>
      <c r="BN132" s="31"/>
      <c r="BO132" s="31"/>
      <c r="BP132" s="31"/>
      <c r="BQ132" s="31"/>
      <c r="BR132" s="31"/>
      <c r="BS132" s="31"/>
      <c r="BT132" s="31"/>
      <c r="BU132" s="31"/>
      <c r="BV132" s="31"/>
      <c r="BW132" s="31"/>
      <c r="BX132" s="31"/>
      <c r="BY132" s="31"/>
      <c r="BZ132" s="31"/>
      <c r="CA132" s="31"/>
      <c r="CB132" s="31"/>
      <c r="CC132" s="31"/>
      <c r="CD132" s="31"/>
      <c r="CE132" s="31"/>
      <c r="CF132" s="31"/>
    </row>
    <row r="133" customFormat="false" ht="15.75" hidden="false" customHeight="true" outlineLevel="0" collapsed="false">
      <c r="A133" s="31" t="s">
        <v>16335</v>
      </c>
      <c r="B133" s="31" t="s">
        <v>19437</v>
      </c>
      <c r="C133" s="31" t="s">
        <v>19438</v>
      </c>
      <c r="D133" s="34" t="s">
        <v>19439</v>
      </c>
      <c r="E133" s="31" t="n">
        <v>2024</v>
      </c>
      <c r="F133" s="33" t="s">
        <v>19440</v>
      </c>
      <c r="G133" s="33" t="s">
        <v>134</v>
      </c>
      <c r="H133" s="32"/>
      <c r="I133" s="34"/>
      <c r="J133" s="34"/>
      <c r="K133" s="34"/>
      <c r="L133" s="34"/>
      <c r="M133" s="34"/>
      <c r="N133" s="34"/>
      <c r="O133" s="34"/>
      <c r="P133" s="34" t="n">
        <v>2</v>
      </c>
      <c r="Q133" s="31" t="n">
        <v>2</v>
      </c>
      <c r="R133" s="31" t="s">
        <v>61</v>
      </c>
      <c r="S133" s="31" t="s">
        <v>62</v>
      </c>
      <c r="T133" s="31" t="s">
        <v>16844</v>
      </c>
      <c r="U133" s="31" t="n">
        <v>18</v>
      </c>
      <c r="V133" s="31" t="s">
        <v>16845</v>
      </c>
      <c r="W133" s="31" t="n">
        <v>6</v>
      </c>
      <c r="X133" s="31"/>
      <c r="Y133" s="31" t="s">
        <v>19441</v>
      </c>
      <c r="Z133" s="31" t="s">
        <v>19442</v>
      </c>
      <c r="AA133" s="31" t="s">
        <v>19443</v>
      </c>
      <c r="AB133" s="31" t="s">
        <v>19444</v>
      </c>
      <c r="AC133" s="31" t="s">
        <v>19445</v>
      </c>
      <c r="AD133" s="31" t="s">
        <v>19446</v>
      </c>
      <c r="AE133" s="31" t="s">
        <v>19447</v>
      </c>
      <c r="AF133" s="31" t="s">
        <v>19448</v>
      </c>
      <c r="AG133" s="31" t="s">
        <v>19449</v>
      </c>
      <c r="AH133" s="31" t="s">
        <v>19450</v>
      </c>
      <c r="AI133" s="31" t="n">
        <v>49</v>
      </c>
      <c r="AJ133" s="31" t="n">
        <v>6</v>
      </c>
      <c r="AK133" s="31" t="n">
        <v>6</v>
      </c>
      <c r="AL133" s="31" t="s">
        <v>16855</v>
      </c>
      <c r="AM133" s="31" t="s">
        <v>16856</v>
      </c>
      <c r="AN133" s="31" t="s">
        <v>16857</v>
      </c>
      <c r="AO133" s="31"/>
      <c r="AP133" s="31" t="s">
        <v>16858</v>
      </c>
      <c r="AQ133" s="31" t="s">
        <v>16859</v>
      </c>
      <c r="AR133" s="31" t="s">
        <v>16683</v>
      </c>
      <c r="AS133" s="31"/>
      <c r="AT133" s="31"/>
      <c r="AU133" s="31" t="s">
        <v>19451</v>
      </c>
      <c r="AV133" s="31" t="s">
        <v>19452</v>
      </c>
      <c r="AW133" s="35" t="str">
        <f aca="false">HYPERLINK("http://dx.doi.org/10.1371/journal.pntd.0012235","http://dx.doi.org/10.1371/journal.pntd.0012235")</f>
        <v>http://dx.doi.org/10.1371/journal.pntd.0012235</v>
      </c>
      <c r="AX133" s="31"/>
      <c r="AY133" s="31" t="n">
        <v>19</v>
      </c>
      <c r="AZ133" s="31" t="s">
        <v>16862</v>
      </c>
      <c r="BA133" s="31" t="s">
        <v>16366</v>
      </c>
      <c r="BB133" s="31" t="s">
        <v>16862</v>
      </c>
      <c r="BC133" s="31" t="s">
        <v>19453</v>
      </c>
      <c r="BD133" s="31" t="n">
        <v>38870200</v>
      </c>
      <c r="BE133" s="31" t="s">
        <v>16431</v>
      </c>
      <c r="BF133" s="31" t="s">
        <v>16369</v>
      </c>
      <c r="BG133" s="31" t="s">
        <v>19454</v>
      </c>
      <c r="BH133" s="31" t="str">
        <f aca="false">HYPERLINK("https%3A%2F%2Fwww.webofscience.com%2Fwos%2Fwoscc%2Ffull-record%2FWOS:001248346000006","View Full Record in Web of Science")</f>
        <v>View Full Record in Web of Science</v>
      </c>
      <c r="BI133" s="31"/>
      <c r="BJ133" s="31"/>
      <c r="BK133" s="31"/>
      <c r="BL133" s="31"/>
      <c r="BM133" s="31"/>
      <c r="BN133" s="31"/>
      <c r="BO133" s="31"/>
      <c r="BP133" s="31"/>
      <c r="BQ133" s="31"/>
      <c r="BR133" s="31"/>
      <c r="BS133" s="31"/>
      <c r="BT133" s="31"/>
      <c r="BU133" s="31"/>
      <c r="BV133" s="31"/>
      <c r="BW133" s="31"/>
      <c r="BX133" s="31"/>
      <c r="BY133" s="31"/>
      <c r="BZ133" s="31"/>
      <c r="CA133" s="31"/>
      <c r="CB133" s="31"/>
      <c r="CC133" s="31"/>
      <c r="CD133" s="31"/>
      <c r="CE133" s="31"/>
      <c r="CF133" s="31"/>
    </row>
    <row r="134" customFormat="false" ht="15.75" hidden="false" customHeight="true" outlineLevel="0" collapsed="false">
      <c r="A134" s="31" t="s">
        <v>16335</v>
      </c>
      <c r="B134" s="31" t="s">
        <v>19455</v>
      </c>
      <c r="C134" s="31" t="s">
        <v>19456</v>
      </c>
      <c r="D134" s="34" t="s">
        <v>19457</v>
      </c>
      <c r="E134" s="31" t="n">
        <v>2024</v>
      </c>
      <c r="F134" s="33" t="s">
        <v>19458</v>
      </c>
      <c r="G134" s="33" t="s">
        <v>134</v>
      </c>
      <c r="H134" s="32"/>
      <c r="I134" s="34"/>
      <c r="J134" s="34"/>
      <c r="K134" s="34"/>
      <c r="L134" s="34"/>
      <c r="M134" s="34"/>
      <c r="N134" s="34"/>
      <c r="O134" s="34"/>
      <c r="P134" s="34" t="n">
        <v>1</v>
      </c>
      <c r="Q134" s="31" t="n">
        <v>1</v>
      </c>
      <c r="R134" s="31" t="s">
        <v>61</v>
      </c>
      <c r="S134" s="31" t="s">
        <v>62</v>
      </c>
      <c r="T134" s="31" t="s">
        <v>19459</v>
      </c>
      <c r="U134" s="31" t="n">
        <v>204</v>
      </c>
      <c r="V134" s="31" t="s">
        <v>16349</v>
      </c>
      <c r="W134" s="31"/>
      <c r="X134" s="31" t="s">
        <v>19460</v>
      </c>
      <c r="Y134" s="31" t="s">
        <v>19461</v>
      </c>
      <c r="Z134" s="31" t="s">
        <v>19462</v>
      </c>
      <c r="AA134" s="31"/>
      <c r="AB134" s="31" t="s">
        <v>19463</v>
      </c>
      <c r="AC134" s="31" t="s">
        <v>19464</v>
      </c>
      <c r="AD134" s="31" t="s">
        <v>19465</v>
      </c>
      <c r="AE134" s="31" t="s">
        <v>19466</v>
      </c>
      <c r="AF134" s="31" t="s">
        <v>19467</v>
      </c>
      <c r="AG134" s="31" t="s">
        <v>19468</v>
      </c>
      <c r="AH134" s="31" t="s">
        <v>19469</v>
      </c>
      <c r="AI134" s="31" t="n">
        <v>51</v>
      </c>
      <c r="AJ134" s="31" t="n">
        <v>10</v>
      </c>
      <c r="AK134" s="31" t="n">
        <v>14</v>
      </c>
      <c r="AL134" s="31" t="s">
        <v>16356</v>
      </c>
      <c r="AM134" s="31" t="s">
        <v>16357</v>
      </c>
      <c r="AN134" s="31" t="s">
        <v>19470</v>
      </c>
      <c r="AO134" s="31" t="s">
        <v>19471</v>
      </c>
      <c r="AP134" s="31" t="s">
        <v>19472</v>
      </c>
      <c r="AQ134" s="31" t="s">
        <v>19473</v>
      </c>
      <c r="AR134" s="31" t="s">
        <v>16801</v>
      </c>
      <c r="AS134" s="31"/>
      <c r="AT134" s="31"/>
      <c r="AU134" s="31" t="n">
        <v>111074</v>
      </c>
      <c r="AV134" s="31" t="s">
        <v>19474</v>
      </c>
      <c r="AW134" s="35" t="str">
        <f aca="false">HYPERLINK("http://dx.doi.org/10.1016/j.microc.2024.111074","http://dx.doi.org/10.1016/j.microc.2024.111074")</f>
        <v>http://dx.doi.org/10.1016/j.microc.2024.111074</v>
      </c>
      <c r="AX134" s="31" t="s">
        <v>19475</v>
      </c>
      <c r="AY134" s="31" t="n">
        <v>8</v>
      </c>
      <c r="AZ134" s="31" t="s">
        <v>17514</v>
      </c>
      <c r="BA134" s="31" t="s">
        <v>16366</v>
      </c>
      <c r="BB134" s="31" t="s">
        <v>17348</v>
      </c>
      <c r="BC134" s="31" t="s">
        <v>19476</v>
      </c>
      <c r="BD134" s="31"/>
      <c r="BE134" s="31"/>
      <c r="BF134" s="31" t="s">
        <v>16369</v>
      </c>
      <c r="BG134" s="31" t="s">
        <v>19477</v>
      </c>
      <c r="BH134" s="31" t="str">
        <f aca="false">HYPERLINK("https%3A%2F%2Fwww.webofscience.com%2Fwos%2Fwoscc%2Ffull-record%2FWOS:001267214900001","View Full Record in Web of Science")</f>
        <v>View Full Record in Web of Science</v>
      </c>
      <c r="BI134" s="31"/>
      <c r="BJ134" s="31"/>
      <c r="BK134" s="31"/>
      <c r="BL134" s="31"/>
      <c r="BM134" s="31"/>
      <c r="BN134" s="31"/>
      <c r="BO134" s="31"/>
      <c r="BP134" s="31"/>
      <c r="BQ134" s="31"/>
      <c r="BR134" s="31"/>
      <c r="BS134" s="31"/>
      <c r="BT134" s="31"/>
      <c r="BU134" s="31"/>
      <c r="BV134" s="31"/>
      <c r="BW134" s="31"/>
      <c r="BX134" s="31"/>
      <c r="BY134" s="31"/>
      <c r="BZ134" s="31"/>
      <c r="CA134" s="31"/>
      <c r="CB134" s="31"/>
      <c r="CC134" s="31"/>
      <c r="CD134" s="31"/>
      <c r="CE134" s="31"/>
      <c r="CF134" s="31"/>
    </row>
    <row r="135" customFormat="false" ht="15.75" hidden="false" customHeight="true" outlineLevel="0" collapsed="false">
      <c r="A135" s="31" t="s">
        <v>16335</v>
      </c>
      <c r="B135" s="31" t="s">
        <v>19478</v>
      </c>
      <c r="C135" s="31" t="s">
        <v>19479</v>
      </c>
      <c r="D135" s="34" t="s">
        <v>19480</v>
      </c>
      <c r="E135" s="31" t="n">
        <v>2024</v>
      </c>
      <c r="F135" s="33" t="s">
        <v>19481</v>
      </c>
      <c r="G135" s="33" t="s">
        <v>134</v>
      </c>
      <c r="H135" s="32"/>
      <c r="I135" s="34"/>
      <c r="J135" s="34"/>
      <c r="K135" s="34"/>
      <c r="L135" s="34"/>
      <c r="M135" s="34"/>
      <c r="N135" s="34"/>
      <c r="O135" s="34"/>
      <c r="P135" s="34" t="n">
        <v>0</v>
      </c>
      <c r="Q135" s="31" t="n">
        <v>0</v>
      </c>
      <c r="R135" s="31" t="s">
        <v>61</v>
      </c>
      <c r="S135" s="31" t="s">
        <v>62</v>
      </c>
      <c r="T135" s="31" t="s">
        <v>19482</v>
      </c>
      <c r="U135" s="31" t="n">
        <v>20</v>
      </c>
      <c r="V135" s="31" t="s">
        <v>16845</v>
      </c>
      <c r="W135" s="31" t="n">
        <v>10</v>
      </c>
      <c r="X135" s="31"/>
      <c r="Y135" s="31" t="s">
        <v>19483</v>
      </c>
      <c r="Z135" s="31" t="s">
        <v>19484</v>
      </c>
      <c r="AA135" s="31" t="s">
        <v>19485</v>
      </c>
      <c r="AB135" s="31" t="s">
        <v>19486</v>
      </c>
      <c r="AC135" s="31" t="s">
        <v>19487</v>
      </c>
      <c r="AD135" s="31" t="s">
        <v>19488</v>
      </c>
      <c r="AE135" s="31" t="s">
        <v>19489</v>
      </c>
      <c r="AF135" s="31" t="s">
        <v>19490</v>
      </c>
      <c r="AG135" s="31" t="s">
        <v>19491</v>
      </c>
      <c r="AH135" s="31" t="s">
        <v>19492</v>
      </c>
      <c r="AI135" s="31" t="n">
        <v>75</v>
      </c>
      <c r="AJ135" s="31" t="n">
        <v>0</v>
      </c>
      <c r="AK135" s="31" t="n">
        <v>0</v>
      </c>
      <c r="AL135" s="31" t="s">
        <v>16855</v>
      </c>
      <c r="AM135" s="31" t="s">
        <v>16856</v>
      </c>
      <c r="AN135" s="31" t="s">
        <v>19493</v>
      </c>
      <c r="AO135" s="31" t="s">
        <v>19494</v>
      </c>
      <c r="AP135" s="31" t="s">
        <v>19495</v>
      </c>
      <c r="AQ135" s="31" t="s">
        <v>19496</v>
      </c>
      <c r="AR135" s="31" t="s">
        <v>16615</v>
      </c>
      <c r="AS135" s="31"/>
      <c r="AT135" s="31"/>
      <c r="AU135" s="31" t="s">
        <v>19497</v>
      </c>
      <c r="AV135" s="31" t="s">
        <v>19498</v>
      </c>
      <c r="AW135" s="35" t="str">
        <f aca="false">HYPERLINK("http://dx.doi.org/10.1371/journal.ppat.1012629","http://dx.doi.org/10.1371/journal.ppat.1012629")</f>
        <v>http://dx.doi.org/10.1371/journal.ppat.1012629</v>
      </c>
      <c r="AX135" s="31"/>
      <c r="AY135" s="31" t="n">
        <v>29</v>
      </c>
      <c r="AZ135" s="31" t="s">
        <v>19499</v>
      </c>
      <c r="BA135" s="31" t="s">
        <v>16366</v>
      </c>
      <c r="BB135" s="31" t="s">
        <v>19499</v>
      </c>
      <c r="BC135" s="31" t="s">
        <v>19500</v>
      </c>
      <c r="BD135" s="31" t="n">
        <v>39432551</v>
      </c>
      <c r="BE135" s="31" t="s">
        <v>16431</v>
      </c>
      <c r="BF135" s="31" t="s">
        <v>16369</v>
      </c>
      <c r="BG135" s="31" t="s">
        <v>19501</v>
      </c>
      <c r="BH135" s="31" t="str">
        <f aca="false">HYPERLINK("https%3A%2F%2Fwww.webofscience.com%2Fwos%2Fwoscc%2Ffull-record%2FWOS:001339618400002","View Full Record in Web of Science")</f>
        <v>View Full Record in Web of Science</v>
      </c>
      <c r="BI135" s="31"/>
      <c r="BJ135" s="31"/>
      <c r="BK135" s="31"/>
      <c r="BL135" s="31"/>
      <c r="BM135" s="31"/>
      <c r="BN135" s="31"/>
      <c r="BO135" s="31"/>
      <c r="BP135" s="31"/>
      <c r="BQ135" s="31"/>
      <c r="BR135" s="31"/>
      <c r="BS135" s="31"/>
      <c r="BT135" s="31"/>
      <c r="BU135" s="31"/>
      <c r="BV135" s="31"/>
      <c r="BW135" s="31"/>
      <c r="BX135" s="31"/>
      <c r="BY135" s="31"/>
      <c r="BZ135" s="31"/>
      <c r="CA135" s="31"/>
      <c r="CB135" s="31"/>
      <c r="CC135" s="31"/>
      <c r="CD135" s="31"/>
      <c r="CE135" s="31"/>
      <c r="CF135" s="31"/>
    </row>
    <row r="136" customFormat="false" ht="15.75" hidden="false" customHeight="true" outlineLevel="0" collapsed="false">
      <c r="A136" s="31" t="s">
        <v>16335</v>
      </c>
      <c r="B136" s="31" t="s">
        <v>19502</v>
      </c>
      <c r="C136" s="31" t="s">
        <v>19503</v>
      </c>
      <c r="D136" s="34" t="s">
        <v>19504</v>
      </c>
      <c r="E136" s="31" t="n">
        <v>2024</v>
      </c>
      <c r="F136" s="33" t="s">
        <v>19505</v>
      </c>
      <c r="G136" s="33" t="s">
        <v>349</v>
      </c>
      <c r="H136" s="32"/>
      <c r="I136" s="34"/>
      <c r="J136" s="34"/>
      <c r="K136" s="34"/>
      <c r="L136" s="34"/>
      <c r="M136" s="34"/>
      <c r="N136" s="34"/>
      <c r="O136" s="34"/>
      <c r="P136" s="34" t="n">
        <v>1</v>
      </c>
      <c r="Q136" s="31" t="n">
        <v>1</v>
      </c>
      <c r="R136" s="31" t="s">
        <v>61</v>
      </c>
      <c r="S136" s="31" t="s">
        <v>62</v>
      </c>
      <c r="T136" s="31" t="s">
        <v>19506</v>
      </c>
      <c r="U136" s="31" t="n">
        <v>78</v>
      </c>
      <c r="V136" s="31" t="s">
        <v>16531</v>
      </c>
      <c r="W136" s="31" t="n">
        <v>3</v>
      </c>
      <c r="X136" s="31" t="s">
        <v>19507</v>
      </c>
      <c r="Y136" s="31"/>
      <c r="Z136" s="31" t="s">
        <v>19508</v>
      </c>
      <c r="AA136" s="31" t="s">
        <v>19509</v>
      </c>
      <c r="AB136" s="31" t="s">
        <v>19510</v>
      </c>
      <c r="AC136" s="31" t="s">
        <v>19511</v>
      </c>
      <c r="AD136" s="31" t="s">
        <v>19512</v>
      </c>
      <c r="AE136" s="31" t="s">
        <v>19513</v>
      </c>
      <c r="AF136" s="31" t="s">
        <v>19514</v>
      </c>
      <c r="AG136" s="31" t="s">
        <v>19515</v>
      </c>
      <c r="AH136" s="31" t="s">
        <v>19516</v>
      </c>
      <c r="AI136" s="31" t="n">
        <v>26</v>
      </c>
      <c r="AJ136" s="31" t="n">
        <v>1</v>
      </c>
      <c r="AK136" s="31" t="n">
        <v>2</v>
      </c>
      <c r="AL136" s="31" t="s">
        <v>16539</v>
      </c>
      <c r="AM136" s="31" t="s">
        <v>16540</v>
      </c>
      <c r="AN136" s="31" t="s">
        <v>19517</v>
      </c>
      <c r="AO136" s="31" t="s">
        <v>19518</v>
      </c>
      <c r="AP136" s="31" t="s">
        <v>19519</v>
      </c>
      <c r="AQ136" s="31" t="s">
        <v>19520</v>
      </c>
      <c r="AR136" s="31" t="s">
        <v>18122</v>
      </c>
      <c r="AS136" s="31" t="n">
        <v>788</v>
      </c>
      <c r="AT136" s="31" t="n">
        <v>796</v>
      </c>
      <c r="AU136" s="31"/>
      <c r="AV136" s="31" t="s">
        <v>19521</v>
      </c>
      <c r="AW136" s="35" t="str">
        <f aca="false">HYPERLINK("http://dx.doi.org/10.1093/cid/ciad637","http://dx.doi.org/10.1093/cid/ciad637")</f>
        <v>http://dx.doi.org/10.1093/cid/ciad637</v>
      </c>
      <c r="AX136" s="31" t="s">
        <v>17220</v>
      </c>
      <c r="AY136" s="31" t="n">
        <v>9</v>
      </c>
      <c r="AZ136" s="31" t="s">
        <v>19522</v>
      </c>
      <c r="BA136" s="31" t="s">
        <v>16366</v>
      </c>
      <c r="BB136" s="31" t="s">
        <v>19522</v>
      </c>
      <c r="BC136" s="31" t="s">
        <v>19523</v>
      </c>
      <c r="BD136" s="31" t="n">
        <v>37823481</v>
      </c>
      <c r="BE136" s="31"/>
      <c r="BF136" s="31" t="s">
        <v>16369</v>
      </c>
      <c r="BG136" s="31" t="s">
        <v>19524</v>
      </c>
      <c r="BH136" s="31" t="str">
        <f aca="false">HYPERLINK("https%3A%2F%2Fwww.webofscience.com%2Fwos%2Fwoscc%2Ffull-record%2FWOS:001103426900001","View Full Record in Web of Science")</f>
        <v>View Full Record in Web of Science</v>
      </c>
      <c r="BI136" s="31"/>
      <c r="BJ136" s="31"/>
      <c r="BK136" s="31"/>
      <c r="BL136" s="31"/>
      <c r="BM136" s="31"/>
      <c r="BN136" s="31"/>
      <c r="BO136" s="31"/>
      <c r="BP136" s="31"/>
      <c r="BQ136" s="31"/>
      <c r="BR136" s="31"/>
      <c r="BS136" s="31"/>
      <c r="BT136" s="31"/>
      <c r="BU136" s="31"/>
      <c r="BV136" s="31"/>
      <c r="BW136" s="31"/>
      <c r="BX136" s="31"/>
      <c r="BY136" s="31"/>
      <c r="BZ136" s="31"/>
      <c r="CA136" s="31"/>
      <c r="CB136" s="31"/>
      <c r="CC136" s="31"/>
      <c r="CD136" s="31"/>
      <c r="CE136" s="31"/>
      <c r="CF136" s="31"/>
    </row>
    <row r="137" customFormat="false" ht="15.75" hidden="false" customHeight="true" outlineLevel="0" collapsed="false">
      <c r="A137" s="31" t="s">
        <v>16335</v>
      </c>
      <c r="B137" s="31" t="s">
        <v>19525</v>
      </c>
      <c r="C137" s="31" t="s">
        <v>19526</v>
      </c>
      <c r="D137" s="34" t="s">
        <v>19527</v>
      </c>
      <c r="E137" s="31" t="n">
        <v>2024</v>
      </c>
      <c r="F137" s="33" t="s">
        <v>19528</v>
      </c>
      <c r="G137" s="33" t="s">
        <v>349</v>
      </c>
      <c r="H137" s="32"/>
      <c r="I137" s="34"/>
      <c r="J137" s="34"/>
      <c r="K137" s="34"/>
      <c r="L137" s="34"/>
      <c r="M137" s="34"/>
      <c r="N137" s="34"/>
      <c r="O137" s="34"/>
      <c r="P137" s="34" t="n">
        <v>0</v>
      </c>
      <c r="Q137" s="31" t="n">
        <v>0</v>
      </c>
      <c r="R137" s="31" t="s">
        <v>61</v>
      </c>
      <c r="S137" s="31" t="s">
        <v>62</v>
      </c>
      <c r="T137" s="31" t="s">
        <v>19529</v>
      </c>
      <c r="U137" s="31" t="n">
        <v>32</v>
      </c>
      <c r="V137" s="31" t="s">
        <v>19530</v>
      </c>
      <c r="W137" s="31" t="n">
        <v>5</v>
      </c>
      <c r="X137" s="31" t="s">
        <v>19531</v>
      </c>
      <c r="Y137" s="31"/>
      <c r="Z137" s="31" t="s">
        <v>19532</v>
      </c>
      <c r="AA137" s="31" t="s">
        <v>19533</v>
      </c>
      <c r="AB137" s="31" t="s">
        <v>19534</v>
      </c>
      <c r="AC137" s="31" t="s">
        <v>19535</v>
      </c>
      <c r="AD137" s="31" t="s">
        <v>19536</v>
      </c>
      <c r="AE137" s="31" t="s">
        <v>19537</v>
      </c>
      <c r="AF137" s="31"/>
      <c r="AG137" s="31"/>
      <c r="AH137" s="31"/>
      <c r="AI137" s="31" t="n">
        <v>24</v>
      </c>
      <c r="AJ137" s="31" t="n">
        <v>2</v>
      </c>
      <c r="AK137" s="31" t="n">
        <v>2</v>
      </c>
      <c r="AL137" s="31" t="s">
        <v>16356</v>
      </c>
      <c r="AM137" s="31" t="s">
        <v>19538</v>
      </c>
      <c r="AN137" s="31" t="s">
        <v>19539</v>
      </c>
      <c r="AO137" s="31" t="s">
        <v>19540</v>
      </c>
      <c r="AP137" s="31" t="s">
        <v>19541</v>
      </c>
      <c r="AQ137" s="31" t="s">
        <v>19542</v>
      </c>
      <c r="AR137" s="31"/>
      <c r="AS137" s="31" t="n">
        <v>3341</v>
      </c>
      <c r="AT137" s="31" t="n">
        <v>3361</v>
      </c>
      <c r="AU137" s="31"/>
      <c r="AV137" s="31" t="s">
        <v>19543</v>
      </c>
      <c r="AW137" s="35" t="str">
        <f aca="false">HYPERLINK("http://dx.doi.org/10.3233/THC-240046","http://dx.doi.org/10.3233/THC-240046")</f>
        <v>http://dx.doi.org/10.3233/THC-240046</v>
      </c>
      <c r="AX137" s="31"/>
      <c r="AY137" s="31" t="n">
        <v>21</v>
      </c>
      <c r="AZ137" s="31" t="s">
        <v>19544</v>
      </c>
      <c r="BA137" s="31" t="s">
        <v>16366</v>
      </c>
      <c r="BB137" s="31" t="s">
        <v>19545</v>
      </c>
      <c r="BC137" s="31" t="s">
        <v>19546</v>
      </c>
      <c r="BD137" s="31" t="n">
        <v>38968030</v>
      </c>
      <c r="BE137" s="31"/>
      <c r="BF137" s="31" t="s">
        <v>16369</v>
      </c>
      <c r="BG137" s="31" t="s">
        <v>19547</v>
      </c>
      <c r="BH137" s="31" t="str">
        <f aca="false">HYPERLINK("https%3A%2F%2Fwww.webofscience.com%2Fwos%2Fwoscc%2Ffull-record%2FWOS:001325887500003","View Full Record in Web of Science")</f>
        <v>View Full Record in Web of Science</v>
      </c>
      <c r="BI137" s="31"/>
      <c r="BJ137" s="31"/>
      <c r="BK137" s="31"/>
      <c r="BL137" s="31"/>
      <c r="BM137" s="31"/>
      <c r="BN137" s="31"/>
      <c r="BO137" s="31"/>
      <c r="BP137" s="31"/>
      <c r="BQ137" s="31"/>
      <c r="BR137" s="31"/>
      <c r="BS137" s="31"/>
      <c r="BT137" s="31"/>
      <c r="BU137" s="31"/>
      <c r="BV137" s="31"/>
      <c r="BW137" s="31"/>
      <c r="BX137" s="31"/>
      <c r="BY137" s="31"/>
      <c r="BZ137" s="31"/>
      <c r="CA137" s="31"/>
      <c r="CB137" s="31"/>
      <c r="CC137" s="31"/>
      <c r="CD137" s="31"/>
      <c r="CE137" s="31"/>
      <c r="CF137" s="31"/>
    </row>
    <row r="138" customFormat="false" ht="15.75" hidden="false" customHeight="true" outlineLevel="0" collapsed="false">
      <c r="A138" s="31" t="s">
        <v>16335</v>
      </c>
      <c r="B138" s="31" t="s">
        <v>19548</v>
      </c>
      <c r="C138" s="31" t="s">
        <v>19549</v>
      </c>
      <c r="D138" s="34" t="s">
        <v>19550</v>
      </c>
      <c r="E138" s="31" t="n">
        <v>2024</v>
      </c>
      <c r="F138" s="33" t="s">
        <v>19551</v>
      </c>
      <c r="G138" s="33" t="s">
        <v>393</v>
      </c>
      <c r="H138" s="32"/>
      <c r="I138" s="34"/>
      <c r="J138" s="34"/>
      <c r="K138" s="34"/>
      <c r="L138" s="34"/>
      <c r="M138" s="34"/>
      <c r="N138" s="34"/>
      <c r="O138" s="34"/>
      <c r="P138" s="34" t="n">
        <v>0</v>
      </c>
      <c r="Q138" s="31" t="n">
        <v>0</v>
      </c>
      <c r="R138" s="31" t="s">
        <v>61</v>
      </c>
      <c r="S138" s="31" t="s">
        <v>62</v>
      </c>
      <c r="T138" s="31" t="s">
        <v>19552</v>
      </c>
      <c r="U138" s="31" t="n">
        <v>11</v>
      </c>
      <c r="V138" s="31" t="s">
        <v>19553</v>
      </c>
      <c r="W138" s="31" t="n">
        <v>1</v>
      </c>
      <c r="X138" s="31" t="s">
        <v>19554</v>
      </c>
      <c r="Y138" s="31"/>
      <c r="Z138" s="31" t="s">
        <v>19555</v>
      </c>
      <c r="AA138" s="31" t="s">
        <v>19556</v>
      </c>
      <c r="AB138" s="31" t="s">
        <v>19557</v>
      </c>
      <c r="AC138" s="31" t="s">
        <v>19558</v>
      </c>
      <c r="AD138" s="31" t="s">
        <v>19559</v>
      </c>
      <c r="AE138" s="31" t="s">
        <v>19560</v>
      </c>
      <c r="AF138" s="31" t="s">
        <v>19561</v>
      </c>
      <c r="AG138" s="31" t="s">
        <v>19562</v>
      </c>
      <c r="AH138" s="31" t="s">
        <v>19563</v>
      </c>
      <c r="AI138" s="31" t="n">
        <v>32</v>
      </c>
      <c r="AJ138" s="31" t="n">
        <v>0</v>
      </c>
      <c r="AK138" s="31" t="n">
        <v>0</v>
      </c>
      <c r="AL138" s="31" t="s">
        <v>16821</v>
      </c>
      <c r="AM138" s="31" t="s">
        <v>19564</v>
      </c>
      <c r="AN138" s="31"/>
      <c r="AO138" s="31" t="s">
        <v>19565</v>
      </c>
      <c r="AP138" s="31" t="s">
        <v>19566</v>
      </c>
      <c r="AQ138" s="31" t="s">
        <v>19567</v>
      </c>
      <c r="AR138" s="31" t="s">
        <v>19568</v>
      </c>
      <c r="AS138" s="31" t="n">
        <v>1</v>
      </c>
      <c r="AT138" s="31" t="n">
        <v>10</v>
      </c>
      <c r="AU138" s="31"/>
      <c r="AV138" s="31" t="s">
        <v>19569</v>
      </c>
      <c r="AW138" s="35" t="str">
        <f aca="false">HYPERLINK("http://dx.doi.org/10.1136/bmjresp-2023-002079","http://dx.doi.org/10.1136/bmjresp-2023-002079")</f>
        <v>http://dx.doi.org/10.1136/bmjresp-2023-002079</v>
      </c>
      <c r="AX138" s="31"/>
      <c r="AY138" s="31" t="n">
        <v>10</v>
      </c>
      <c r="AZ138" s="31" t="s">
        <v>19570</v>
      </c>
      <c r="BA138" s="31" t="s">
        <v>16366</v>
      </c>
      <c r="BB138" s="31" t="s">
        <v>19570</v>
      </c>
      <c r="BC138" s="31" t="s">
        <v>19571</v>
      </c>
      <c r="BD138" s="31" t="n">
        <v>38991950</v>
      </c>
      <c r="BE138" s="31" t="s">
        <v>17143</v>
      </c>
      <c r="BF138" s="31" t="s">
        <v>16369</v>
      </c>
      <c r="BG138" s="31" t="s">
        <v>19572</v>
      </c>
      <c r="BH138" s="31" t="str">
        <f aca="false">HYPERLINK("https%3A%2F%2Fwww.webofscience.com%2Fwos%2Fwoscc%2Ffull-record%2FWOS:001300441300001","View Full Record in Web of Science")</f>
        <v>View Full Record in Web of Science</v>
      </c>
      <c r="BI138" s="31"/>
      <c r="BJ138" s="31"/>
      <c r="BK138" s="31"/>
      <c r="BL138" s="31"/>
      <c r="BM138" s="31"/>
      <c r="BN138" s="31"/>
      <c r="BO138" s="31"/>
      <c r="BP138" s="31"/>
      <c r="BQ138" s="31"/>
      <c r="BR138" s="31"/>
      <c r="BS138" s="31"/>
      <c r="BT138" s="31"/>
      <c r="BU138" s="31"/>
      <c r="BV138" s="31"/>
      <c r="BW138" s="31"/>
      <c r="BX138" s="31"/>
      <c r="BY138" s="31"/>
      <c r="BZ138" s="31"/>
      <c r="CA138" s="31"/>
      <c r="CB138" s="31"/>
      <c r="CC138" s="31"/>
      <c r="CD138" s="31"/>
      <c r="CE138" s="31"/>
      <c r="CF138" s="31"/>
    </row>
    <row r="139" customFormat="false" ht="15.75" hidden="false" customHeight="true" outlineLevel="0" collapsed="false">
      <c r="A139" s="31" t="s">
        <v>16335</v>
      </c>
      <c r="B139" s="31" t="s">
        <v>19573</v>
      </c>
      <c r="C139" s="31" t="s">
        <v>19574</v>
      </c>
      <c r="D139" s="34" t="s">
        <v>19575</v>
      </c>
      <c r="E139" s="31" t="n">
        <v>2024</v>
      </c>
      <c r="F139" s="33" t="s">
        <v>19576</v>
      </c>
      <c r="G139" s="33" t="s">
        <v>290</v>
      </c>
      <c r="H139" s="32"/>
      <c r="I139" s="34"/>
      <c r="J139" s="34"/>
      <c r="K139" s="34"/>
      <c r="L139" s="34"/>
      <c r="M139" s="34"/>
      <c r="N139" s="34"/>
      <c r="O139" s="34"/>
      <c r="P139" s="34" t="n">
        <v>0</v>
      </c>
      <c r="Q139" s="31" t="n">
        <v>0</v>
      </c>
      <c r="R139" s="31" t="s">
        <v>61</v>
      </c>
      <c r="S139" s="31" t="s">
        <v>62</v>
      </c>
      <c r="T139" s="31" t="s">
        <v>19577</v>
      </c>
      <c r="U139" s="31" t="n">
        <v>45</v>
      </c>
      <c r="V139" s="31" t="s">
        <v>16475</v>
      </c>
      <c r="W139" s="31" t="n">
        <v>32</v>
      </c>
      <c r="X139" s="31" t="s">
        <v>19578</v>
      </c>
      <c r="Y139" s="31" t="s">
        <v>19579</v>
      </c>
      <c r="Z139" s="31" t="s">
        <v>19580</v>
      </c>
      <c r="AA139" s="31" t="s">
        <v>19581</v>
      </c>
      <c r="AB139" s="31" t="s">
        <v>19582</v>
      </c>
      <c r="AC139" s="31" t="s">
        <v>19583</v>
      </c>
      <c r="AD139" s="31" t="s">
        <v>19584</v>
      </c>
      <c r="AE139" s="31" t="s">
        <v>19585</v>
      </c>
      <c r="AF139" s="31" t="s">
        <v>19586</v>
      </c>
      <c r="AG139" s="31" t="s">
        <v>19587</v>
      </c>
      <c r="AH139" s="31" t="s">
        <v>19588</v>
      </c>
      <c r="AI139" s="31" t="n">
        <v>40</v>
      </c>
      <c r="AJ139" s="31" t="n">
        <v>7</v>
      </c>
      <c r="AK139" s="31" t="n">
        <v>7</v>
      </c>
      <c r="AL139" s="31" t="s">
        <v>16485</v>
      </c>
      <c r="AM139" s="31" t="s">
        <v>16486</v>
      </c>
      <c r="AN139" s="31" t="s">
        <v>19589</v>
      </c>
      <c r="AO139" s="31" t="s">
        <v>19590</v>
      </c>
      <c r="AP139" s="31" t="s">
        <v>19591</v>
      </c>
      <c r="AQ139" s="31" t="s">
        <v>19592</v>
      </c>
      <c r="AR139" s="31" t="s">
        <v>17191</v>
      </c>
      <c r="AS139" s="31" t="n">
        <v>2825</v>
      </c>
      <c r="AT139" s="31" t="n">
        <v>2834</v>
      </c>
      <c r="AU139" s="31"/>
      <c r="AV139" s="31" t="s">
        <v>19593</v>
      </c>
      <c r="AW139" s="35" t="str">
        <f aca="false">HYPERLINK("http://dx.doi.org/10.1002/jcc.27490","http://dx.doi.org/10.1002/jcc.27490")</f>
        <v>http://dx.doi.org/10.1002/jcc.27490</v>
      </c>
      <c r="AX139" s="31" t="s">
        <v>16890</v>
      </c>
      <c r="AY139" s="31" t="n">
        <v>10</v>
      </c>
      <c r="AZ139" s="31" t="s">
        <v>17347</v>
      </c>
      <c r="BA139" s="31" t="s">
        <v>16366</v>
      </c>
      <c r="BB139" s="31" t="s">
        <v>17348</v>
      </c>
      <c r="BC139" s="31" t="s">
        <v>19594</v>
      </c>
      <c r="BD139" s="31" t="n">
        <v>39189298</v>
      </c>
      <c r="BE139" s="31"/>
      <c r="BF139" s="31" t="s">
        <v>16369</v>
      </c>
      <c r="BG139" s="31" t="s">
        <v>19595</v>
      </c>
      <c r="BH139" s="31" t="str">
        <f aca="false">HYPERLINK("https%3A%2F%2Fwww.webofscience.com%2Fwos%2Fwoscc%2Ffull-record%2FWOS:001298963400001","View Full Record in Web of Science")</f>
        <v>View Full Record in Web of Science</v>
      </c>
      <c r="BI139" s="31"/>
      <c r="BJ139" s="31"/>
      <c r="BK139" s="31"/>
      <c r="BL139" s="31"/>
      <c r="BM139" s="31"/>
      <c r="BN139" s="31"/>
      <c r="BO139" s="31"/>
      <c r="BP139" s="31"/>
      <c r="BQ139" s="31"/>
      <c r="BR139" s="31"/>
      <c r="BS139" s="31"/>
      <c r="BT139" s="31"/>
      <c r="BU139" s="31"/>
      <c r="BV139" s="31"/>
      <c r="BW139" s="31"/>
      <c r="BX139" s="31"/>
      <c r="BY139" s="31"/>
      <c r="BZ139" s="31"/>
      <c r="CA139" s="31"/>
      <c r="CB139" s="31"/>
      <c r="CC139" s="31"/>
      <c r="CD139" s="31"/>
      <c r="CE139" s="31"/>
      <c r="CF139" s="31"/>
    </row>
    <row r="140" customFormat="false" ht="15.75" hidden="false" customHeight="true" outlineLevel="0" collapsed="false">
      <c r="A140" s="31" t="s">
        <v>16335</v>
      </c>
      <c r="B140" s="31" t="s">
        <v>19596</v>
      </c>
      <c r="C140" s="31" t="s">
        <v>19597</v>
      </c>
      <c r="D140" s="34" t="s">
        <v>19598</v>
      </c>
      <c r="E140" s="31" t="n">
        <v>2024</v>
      </c>
      <c r="F140" s="33" t="s">
        <v>19599</v>
      </c>
      <c r="G140" s="33" t="s">
        <v>290</v>
      </c>
      <c r="H140" s="32"/>
      <c r="I140" s="34"/>
      <c r="J140" s="34"/>
      <c r="K140" s="34"/>
      <c r="L140" s="34"/>
      <c r="M140" s="34"/>
      <c r="N140" s="34"/>
      <c r="O140" s="34"/>
      <c r="P140" s="34" t="n">
        <v>1</v>
      </c>
      <c r="Q140" s="31" t="n">
        <v>1</v>
      </c>
      <c r="R140" s="31" t="s">
        <v>61</v>
      </c>
      <c r="S140" s="31" t="s">
        <v>62</v>
      </c>
      <c r="T140" s="31" t="s">
        <v>18208</v>
      </c>
      <c r="U140" s="31" t="n">
        <v>14</v>
      </c>
      <c r="V140" s="31" t="s">
        <v>4048</v>
      </c>
      <c r="W140" s="31" t="n">
        <v>4</v>
      </c>
      <c r="X140" s="31" t="s">
        <v>19600</v>
      </c>
      <c r="Y140" s="31"/>
      <c r="Z140" s="31" t="s">
        <v>19601</v>
      </c>
      <c r="AA140" s="31" t="s">
        <v>19602</v>
      </c>
      <c r="AB140" s="31" t="s">
        <v>19603</v>
      </c>
      <c r="AC140" s="31" t="s">
        <v>19604</v>
      </c>
      <c r="AD140" s="31"/>
      <c r="AE140" s="31" t="s">
        <v>19605</v>
      </c>
      <c r="AF140" s="31" t="s">
        <v>19606</v>
      </c>
      <c r="AG140" s="31" t="s">
        <v>19607</v>
      </c>
      <c r="AH140" s="31" t="s">
        <v>18668</v>
      </c>
      <c r="AI140" s="31" t="n">
        <v>71</v>
      </c>
      <c r="AJ140" s="31" t="n">
        <v>3</v>
      </c>
      <c r="AK140" s="31" t="n">
        <v>14</v>
      </c>
      <c r="AL140" s="31" t="s">
        <v>16769</v>
      </c>
      <c r="AM140" s="31" t="s">
        <v>17023</v>
      </c>
      <c r="AN140" s="31"/>
      <c r="AO140" s="31" t="s">
        <v>18220</v>
      </c>
      <c r="AP140" s="31" t="s">
        <v>18221</v>
      </c>
      <c r="AQ140" s="31" t="s">
        <v>18222</v>
      </c>
      <c r="AR140" s="31" t="s">
        <v>16970</v>
      </c>
      <c r="AS140" s="31"/>
      <c r="AT140" s="31"/>
      <c r="AU140" s="31" t="n">
        <v>1472</v>
      </c>
      <c r="AV140" s="31" t="s">
        <v>19608</v>
      </c>
      <c r="AW140" s="35" t="str">
        <f aca="false">HYPERLINK("http://dx.doi.org/10.3390/app14041472","http://dx.doi.org/10.3390/app14041472")</f>
        <v>http://dx.doi.org/10.3390/app14041472</v>
      </c>
      <c r="AX140" s="31"/>
      <c r="AY140" s="31" t="n">
        <v>17</v>
      </c>
      <c r="AZ140" s="31" t="s">
        <v>18223</v>
      </c>
      <c r="BA140" s="31" t="s">
        <v>16366</v>
      </c>
      <c r="BB140" s="31" t="s">
        <v>18224</v>
      </c>
      <c r="BC140" s="31" t="s">
        <v>19609</v>
      </c>
      <c r="BD140" s="31"/>
      <c r="BE140" s="31" t="s">
        <v>16431</v>
      </c>
      <c r="BF140" s="31" t="s">
        <v>16369</v>
      </c>
      <c r="BG140" s="31" t="s">
        <v>19610</v>
      </c>
      <c r="BH140" s="31" t="str">
        <f aca="false">HYPERLINK("https%3A%2F%2Fwww.webofscience.com%2Fwos%2Fwoscc%2Ffull-record%2FWOS:001169844800001","View Full Record in Web of Science")</f>
        <v>View Full Record in Web of Science</v>
      </c>
      <c r="BI140" s="31"/>
      <c r="BJ140" s="31"/>
      <c r="BK140" s="31"/>
      <c r="BL140" s="31"/>
      <c r="BM140" s="31"/>
      <c r="BN140" s="31"/>
      <c r="BO140" s="31"/>
      <c r="BP140" s="31"/>
      <c r="BQ140" s="31"/>
      <c r="BR140" s="31"/>
      <c r="BS140" s="31"/>
      <c r="BT140" s="31"/>
      <c r="BU140" s="31"/>
      <c r="BV140" s="31"/>
      <c r="BW140" s="31"/>
      <c r="BX140" s="31"/>
      <c r="BY140" s="31"/>
      <c r="BZ140" s="31"/>
      <c r="CA140" s="31"/>
      <c r="CB140" s="31"/>
      <c r="CC140" s="31"/>
      <c r="CD140" s="31"/>
      <c r="CE140" s="31"/>
      <c r="CF140" s="31"/>
    </row>
    <row r="141" customFormat="false" ht="15.75" hidden="false" customHeight="true" outlineLevel="0" collapsed="false">
      <c r="A141" s="31" t="s">
        <v>16335</v>
      </c>
      <c r="B141" s="31" t="s">
        <v>19611</v>
      </c>
      <c r="C141" s="31" t="s">
        <v>19612</v>
      </c>
      <c r="D141" s="34" t="s">
        <v>19613</v>
      </c>
      <c r="E141" s="31" t="n">
        <v>2024</v>
      </c>
      <c r="F141" s="33" t="s">
        <v>19614</v>
      </c>
      <c r="G141" s="33" t="s">
        <v>290</v>
      </c>
      <c r="H141" s="32"/>
      <c r="I141" s="34"/>
      <c r="J141" s="34"/>
      <c r="K141" s="34"/>
      <c r="L141" s="34"/>
      <c r="M141" s="34"/>
      <c r="N141" s="34"/>
      <c r="O141" s="34"/>
      <c r="P141" s="34" t="n">
        <v>0</v>
      </c>
      <c r="Q141" s="31" t="n">
        <v>0</v>
      </c>
      <c r="R141" s="31" t="s">
        <v>61</v>
      </c>
      <c r="S141" s="31" t="s">
        <v>62</v>
      </c>
      <c r="T141" s="31" t="s">
        <v>19615</v>
      </c>
      <c r="U141" s="31" t="n">
        <v>9</v>
      </c>
      <c r="V141" s="31" t="s">
        <v>18105</v>
      </c>
      <c r="W141" s="31" t="n">
        <v>44</v>
      </c>
      <c r="X141" s="31" t="s">
        <v>19616</v>
      </c>
      <c r="Y141" s="31"/>
      <c r="Z141" s="31" t="s">
        <v>19617</v>
      </c>
      <c r="AA141" s="31"/>
      <c r="AB141" s="31" t="s">
        <v>19618</v>
      </c>
      <c r="AC141" s="31" t="s">
        <v>19619</v>
      </c>
      <c r="AD141" s="31"/>
      <c r="AE141" s="31"/>
      <c r="AF141" s="31" t="s">
        <v>19620</v>
      </c>
      <c r="AG141" s="31" t="s">
        <v>19621</v>
      </c>
      <c r="AH141" s="31" t="s">
        <v>19622</v>
      </c>
      <c r="AI141" s="31" t="n">
        <v>33</v>
      </c>
      <c r="AJ141" s="31" t="n">
        <v>0</v>
      </c>
      <c r="AK141" s="31" t="n">
        <v>0</v>
      </c>
      <c r="AL141" s="31" t="s">
        <v>18117</v>
      </c>
      <c r="AM141" s="31" t="s">
        <v>18118</v>
      </c>
      <c r="AN141" s="31" t="s">
        <v>19623</v>
      </c>
      <c r="AO141" s="31"/>
      <c r="AP141" s="31" t="s">
        <v>19615</v>
      </c>
      <c r="AQ141" s="31" t="s">
        <v>19624</v>
      </c>
      <c r="AR141" s="31" t="s">
        <v>17139</v>
      </c>
      <c r="AS141" s="31"/>
      <c r="AT141" s="31"/>
      <c r="AU141" s="31" t="s">
        <v>19625</v>
      </c>
      <c r="AV141" s="31" t="s">
        <v>19626</v>
      </c>
      <c r="AW141" s="35" t="str">
        <f aca="false">HYPERLINK("http://dx.doi.org/10.1002/slct.202405342","http://dx.doi.org/10.1002/slct.202405342")</f>
        <v>http://dx.doi.org/10.1002/slct.202405342</v>
      </c>
      <c r="AX141" s="31"/>
      <c r="AY141" s="31" t="n">
        <v>14</v>
      </c>
      <c r="AZ141" s="31" t="s">
        <v>17347</v>
      </c>
      <c r="BA141" s="31" t="s">
        <v>16366</v>
      </c>
      <c r="BB141" s="31" t="s">
        <v>17348</v>
      </c>
      <c r="BC141" s="31" t="s">
        <v>19627</v>
      </c>
      <c r="BD141" s="31"/>
      <c r="BE141" s="31"/>
      <c r="BF141" s="31" t="s">
        <v>16369</v>
      </c>
      <c r="BG141" s="31" t="s">
        <v>19628</v>
      </c>
      <c r="BH141" s="31" t="str">
        <f aca="false">HYPERLINK("https%3A%2F%2Fwww.webofscience.com%2Fwos%2Fwoscc%2Ffull-record%2FWOS:001369918400001","View Full Record in Web of Science")</f>
        <v>View Full Record in Web of Science</v>
      </c>
      <c r="BI141" s="31"/>
      <c r="BJ141" s="31"/>
      <c r="BK141" s="31"/>
      <c r="BL141" s="31"/>
      <c r="BM141" s="31"/>
      <c r="BN141" s="31"/>
      <c r="BO141" s="31"/>
      <c r="BP141" s="31"/>
      <c r="BQ141" s="31"/>
      <c r="BR141" s="31"/>
      <c r="BS141" s="31"/>
      <c r="BT141" s="31"/>
      <c r="BU141" s="31"/>
      <c r="BV141" s="31"/>
      <c r="BW141" s="31"/>
      <c r="BX141" s="31"/>
      <c r="BY141" s="31"/>
      <c r="BZ141" s="31"/>
      <c r="CA141" s="31"/>
      <c r="CB141" s="31"/>
      <c r="CC141" s="31"/>
      <c r="CD141" s="31"/>
      <c r="CE141" s="31"/>
      <c r="CF141" s="31"/>
    </row>
    <row r="142" customFormat="false" ht="15.75" hidden="false" customHeight="true" outlineLevel="0" collapsed="false">
      <c r="A142" s="31" t="s">
        <v>16335</v>
      </c>
      <c r="B142" s="31" t="s">
        <v>19629</v>
      </c>
      <c r="C142" s="31" t="s">
        <v>19630</v>
      </c>
      <c r="D142" s="34" t="s">
        <v>19631</v>
      </c>
      <c r="E142" s="31" t="n">
        <v>2024</v>
      </c>
      <c r="F142" s="33" t="s">
        <v>19632</v>
      </c>
      <c r="G142" s="33" t="s">
        <v>393</v>
      </c>
      <c r="H142" s="32"/>
      <c r="I142" s="34"/>
      <c r="J142" s="34"/>
      <c r="K142" s="34"/>
      <c r="L142" s="34"/>
      <c r="M142" s="34"/>
      <c r="N142" s="34"/>
      <c r="O142" s="34"/>
      <c r="P142" s="34" t="n">
        <v>2</v>
      </c>
      <c r="Q142" s="31" t="n">
        <v>2</v>
      </c>
      <c r="R142" s="31" t="s">
        <v>61</v>
      </c>
      <c r="S142" s="31" t="s">
        <v>62</v>
      </c>
      <c r="T142" s="31" t="s">
        <v>16383</v>
      </c>
      <c r="U142" s="31" t="n">
        <v>12</v>
      </c>
      <c r="V142" s="31" t="s">
        <v>16384</v>
      </c>
      <c r="W142" s="31"/>
      <c r="X142" s="31" t="s">
        <v>19633</v>
      </c>
      <c r="Y142" s="31" t="s">
        <v>19634</v>
      </c>
      <c r="Z142" s="31" t="s">
        <v>19635</v>
      </c>
      <c r="AA142" s="31" t="s">
        <v>19636</v>
      </c>
      <c r="AB142" s="31" t="s">
        <v>19637</v>
      </c>
      <c r="AC142" s="31" t="s">
        <v>19638</v>
      </c>
      <c r="AD142" s="31" t="s">
        <v>19639</v>
      </c>
      <c r="AE142" s="31" t="s">
        <v>19640</v>
      </c>
      <c r="AF142" s="31"/>
      <c r="AG142" s="31"/>
      <c r="AH142" s="31"/>
      <c r="AI142" s="31" t="n">
        <v>52</v>
      </c>
      <c r="AJ142" s="31" t="n">
        <v>7</v>
      </c>
      <c r="AK142" s="31" t="n">
        <v>13</v>
      </c>
      <c r="AL142" s="31" t="s">
        <v>16395</v>
      </c>
      <c r="AM142" s="31" t="s">
        <v>16396</v>
      </c>
      <c r="AN142" s="31" t="s">
        <v>16397</v>
      </c>
      <c r="AO142" s="31"/>
      <c r="AP142" s="31" t="s">
        <v>16383</v>
      </c>
      <c r="AQ142" s="31" t="s">
        <v>186</v>
      </c>
      <c r="AR142" s="31"/>
      <c r="AS142" s="31" t="n">
        <v>57225</v>
      </c>
      <c r="AT142" s="31" t="n">
        <v>57235</v>
      </c>
      <c r="AU142" s="31"/>
      <c r="AV142" s="31" t="s">
        <v>19641</v>
      </c>
      <c r="AW142" s="35" t="str">
        <f aca="false">HYPERLINK("http://dx.doi.org/10.1109/ACCESS.2024.3390564","http://dx.doi.org/10.1109/ACCESS.2024.3390564")</f>
        <v>http://dx.doi.org/10.1109/ACCESS.2024.3390564</v>
      </c>
      <c r="AX142" s="31"/>
      <c r="AY142" s="31" t="n">
        <v>11</v>
      </c>
      <c r="AZ142" s="31" t="s">
        <v>16399</v>
      </c>
      <c r="BA142" s="31" t="s">
        <v>16366</v>
      </c>
      <c r="BB142" s="31" t="s">
        <v>16400</v>
      </c>
      <c r="BC142" s="31" t="s">
        <v>19642</v>
      </c>
      <c r="BD142" s="31"/>
      <c r="BE142" s="31" t="s">
        <v>16431</v>
      </c>
      <c r="BF142" s="31" t="s">
        <v>16369</v>
      </c>
      <c r="BG142" s="31" t="s">
        <v>19643</v>
      </c>
      <c r="BH142" s="31" t="str">
        <f aca="false">HYPERLINK("https%3A%2F%2Fwww.webofscience.com%2Fwos%2Fwoscc%2Ffull-record%2FWOS:001208890200001","View Full Record in Web of Science")</f>
        <v>View Full Record in Web of Science</v>
      </c>
      <c r="BI142" s="31"/>
      <c r="BJ142" s="31"/>
      <c r="BK142" s="31"/>
      <c r="BL142" s="31"/>
      <c r="BM142" s="31"/>
      <c r="BN142" s="31"/>
      <c r="BO142" s="31"/>
      <c r="BP142" s="31"/>
      <c r="BQ142" s="31"/>
      <c r="BR142" s="31"/>
      <c r="BS142" s="31"/>
      <c r="BT142" s="31"/>
      <c r="BU142" s="31"/>
      <c r="BV142" s="31"/>
      <c r="BW142" s="31"/>
      <c r="BX142" s="31"/>
      <c r="BY142" s="31"/>
      <c r="BZ142" s="31"/>
      <c r="CA142" s="31"/>
      <c r="CB142" s="31"/>
      <c r="CC142" s="31"/>
      <c r="CD142" s="31"/>
      <c r="CE142" s="31"/>
      <c r="CF142" s="31"/>
    </row>
    <row r="143" customFormat="false" ht="15.75" hidden="false" customHeight="true" outlineLevel="0" collapsed="false">
      <c r="A143" s="31" t="s">
        <v>16335</v>
      </c>
      <c r="B143" s="31" t="s">
        <v>19644</v>
      </c>
      <c r="C143" s="31" t="s">
        <v>19645</v>
      </c>
      <c r="D143" s="34" t="s">
        <v>19646</v>
      </c>
      <c r="E143" s="31" t="n">
        <v>2024</v>
      </c>
      <c r="F143" s="33" t="s">
        <v>19647</v>
      </c>
      <c r="G143" s="33" t="s">
        <v>290</v>
      </c>
      <c r="H143" s="32"/>
      <c r="I143" s="34"/>
      <c r="J143" s="34"/>
      <c r="K143" s="34"/>
      <c r="L143" s="34"/>
      <c r="M143" s="34"/>
      <c r="N143" s="34"/>
      <c r="O143" s="34"/>
      <c r="P143" s="34" t="n">
        <v>0</v>
      </c>
      <c r="Q143" s="31" t="n">
        <v>0</v>
      </c>
      <c r="R143" s="31" t="s">
        <v>61</v>
      </c>
      <c r="S143" s="31" t="s">
        <v>62</v>
      </c>
      <c r="T143" s="31" t="s">
        <v>19648</v>
      </c>
      <c r="U143" s="31" t="n">
        <v>10</v>
      </c>
      <c r="V143" s="31" t="s">
        <v>19148</v>
      </c>
      <c r="W143" s="31" t="n">
        <v>1</v>
      </c>
      <c r="X143" s="31"/>
      <c r="Y143" s="31" t="s">
        <v>19649</v>
      </c>
      <c r="Z143" s="31" t="s">
        <v>19650</v>
      </c>
      <c r="AA143" s="31" t="s">
        <v>19651</v>
      </c>
      <c r="AB143" s="31" t="s">
        <v>19652</v>
      </c>
      <c r="AC143" s="31" t="s">
        <v>19653</v>
      </c>
      <c r="AD143" s="31" t="s">
        <v>19654</v>
      </c>
      <c r="AE143" s="31" t="s">
        <v>19655</v>
      </c>
      <c r="AF143" s="31" t="s">
        <v>19656</v>
      </c>
      <c r="AG143" s="31" t="s">
        <v>19657</v>
      </c>
      <c r="AH143" s="31" t="s">
        <v>19658</v>
      </c>
      <c r="AI143" s="31" t="n">
        <v>29</v>
      </c>
      <c r="AJ143" s="31" t="n">
        <v>0</v>
      </c>
      <c r="AK143" s="31" t="n">
        <v>0</v>
      </c>
      <c r="AL143" s="31" t="s">
        <v>18329</v>
      </c>
      <c r="AM143" s="31" t="s">
        <v>19160</v>
      </c>
      <c r="AN143" s="31" t="s">
        <v>19659</v>
      </c>
      <c r="AO143" s="31"/>
      <c r="AP143" s="31" t="s">
        <v>19648</v>
      </c>
      <c r="AQ143" s="31" t="s">
        <v>19660</v>
      </c>
      <c r="AR143" s="31" t="s">
        <v>19661</v>
      </c>
      <c r="AS143" s="31" t="n">
        <v>1177</v>
      </c>
      <c r="AT143" s="31" t="n">
        <v>1187</v>
      </c>
      <c r="AU143" s="31"/>
      <c r="AV143" s="31" t="s">
        <v>19662</v>
      </c>
      <c r="AW143" s="35" t="str">
        <f aca="false">HYPERLINK("http://dx.doi.org/10.1021/acsomega.4c08735","http://dx.doi.org/10.1021/acsomega.4c08735")</f>
        <v>http://dx.doi.org/10.1021/acsomega.4c08735</v>
      </c>
      <c r="AX143" s="31" t="s">
        <v>16651</v>
      </c>
      <c r="AY143" s="31" t="n">
        <v>11</v>
      </c>
      <c r="AZ143" s="31" t="s">
        <v>17347</v>
      </c>
      <c r="BA143" s="31" t="s">
        <v>16366</v>
      </c>
      <c r="BB143" s="31" t="s">
        <v>17348</v>
      </c>
      <c r="BC143" s="31" t="s">
        <v>19663</v>
      </c>
      <c r="BD143" s="31" t="n">
        <v>39829493</v>
      </c>
      <c r="BE143" s="31" t="s">
        <v>16431</v>
      </c>
      <c r="BF143" s="31" t="s">
        <v>16369</v>
      </c>
      <c r="BG143" s="31" t="s">
        <v>19664</v>
      </c>
      <c r="BH143" s="31" t="str">
        <f aca="false">HYPERLINK("https%3A%2F%2Fwww.webofscience.com%2Fwos%2Fwoscc%2Ffull-record%2FWOS:001382607100001","View Full Record in Web of Science")</f>
        <v>View Full Record in Web of Science</v>
      </c>
      <c r="BI143" s="31"/>
      <c r="BJ143" s="31"/>
      <c r="BK143" s="31"/>
      <c r="BL143" s="31"/>
      <c r="BM143" s="31"/>
      <c r="BN143" s="31"/>
      <c r="BO143" s="31"/>
      <c r="BP143" s="31"/>
      <c r="BQ143" s="31"/>
      <c r="BR143" s="31"/>
      <c r="BS143" s="31"/>
      <c r="BT143" s="31"/>
      <c r="BU143" s="31"/>
      <c r="BV143" s="31"/>
      <c r="BW143" s="31"/>
      <c r="BX143" s="31"/>
      <c r="BY143" s="31"/>
      <c r="BZ143" s="31"/>
      <c r="CA143" s="31"/>
      <c r="CB143" s="31"/>
      <c r="CC143" s="31"/>
      <c r="CD143" s="31"/>
      <c r="CE143" s="31"/>
      <c r="CF143" s="31"/>
    </row>
    <row r="144" customFormat="false" ht="15.75" hidden="false" customHeight="true" outlineLevel="0" collapsed="false">
      <c r="A144" s="31" t="s">
        <v>16335</v>
      </c>
      <c r="B144" s="31" t="s">
        <v>19665</v>
      </c>
      <c r="C144" s="31" t="s">
        <v>19666</v>
      </c>
      <c r="D144" s="34" t="s">
        <v>19667</v>
      </c>
      <c r="E144" s="31" t="n">
        <v>2024</v>
      </c>
      <c r="F144" s="33" t="s">
        <v>19668</v>
      </c>
      <c r="G144" s="33" t="s">
        <v>134</v>
      </c>
      <c r="H144" s="32"/>
      <c r="I144" s="34"/>
      <c r="J144" s="34"/>
      <c r="K144" s="34"/>
      <c r="L144" s="34"/>
      <c r="M144" s="34"/>
      <c r="N144" s="34"/>
      <c r="O144" s="34"/>
      <c r="P144" s="34" t="n">
        <v>0</v>
      </c>
      <c r="Q144" s="31" t="n">
        <v>0</v>
      </c>
      <c r="R144" s="31" t="s">
        <v>61</v>
      </c>
      <c r="S144" s="31" t="s">
        <v>62</v>
      </c>
      <c r="T144" s="31" t="s">
        <v>19669</v>
      </c>
      <c r="U144" s="31" t="n">
        <v>15</v>
      </c>
      <c r="V144" s="31" t="s">
        <v>16928</v>
      </c>
      <c r="W144" s="31"/>
      <c r="X144" s="31" t="s">
        <v>19670</v>
      </c>
      <c r="Y144" s="31" t="s">
        <v>19671</v>
      </c>
      <c r="Z144" s="31" t="s">
        <v>19672</v>
      </c>
      <c r="AA144" s="31" t="s">
        <v>19673</v>
      </c>
      <c r="AB144" s="31" t="s">
        <v>19674</v>
      </c>
      <c r="AC144" s="31" t="s">
        <v>19675</v>
      </c>
      <c r="AD144" s="31" t="s">
        <v>19676</v>
      </c>
      <c r="AE144" s="31" t="s">
        <v>19677</v>
      </c>
      <c r="AF144" s="31" t="s">
        <v>19678</v>
      </c>
      <c r="AG144" s="31" t="s">
        <v>19679</v>
      </c>
      <c r="AH144" s="31" t="s">
        <v>19680</v>
      </c>
      <c r="AI144" s="31" t="n">
        <v>39</v>
      </c>
      <c r="AJ144" s="31" t="n">
        <v>3</v>
      </c>
      <c r="AK144" s="31" t="n">
        <v>6</v>
      </c>
      <c r="AL144" s="31" t="s">
        <v>16938</v>
      </c>
      <c r="AM144" s="31" t="s">
        <v>16939</v>
      </c>
      <c r="AN144" s="31"/>
      <c r="AO144" s="31" t="s">
        <v>19681</v>
      </c>
      <c r="AP144" s="31" t="s">
        <v>19682</v>
      </c>
      <c r="AQ144" s="31" t="s">
        <v>4584</v>
      </c>
      <c r="AR144" s="31" t="s">
        <v>19683</v>
      </c>
      <c r="AS144" s="31"/>
      <c r="AT144" s="31"/>
      <c r="AU144" s="31" t="n">
        <v>1364160</v>
      </c>
      <c r="AV144" s="31" t="s">
        <v>19684</v>
      </c>
      <c r="AW144" s="35" t="str">
        <f aca="false">HYPERLINK("http://dx.doi.org/10.3389/fphar.2024.1364160","http://dx.doi.org/10.3389/fphar.2024.1364160")</f>
        <v>http://dx.doi.org/10.3389/fphar.2024.1364160</v>
      </c>
      <c r="AX144" s="31"/>
      <c r="AY144" s="31" t="n">
        <v>18</v>
      </c>
      <c r="AZ144" s="31" t="s">
        <v>18125</v>
      </c>
      <c r="BA144" s="31" t="s">
        <v>16366</v>
      </c>
      <c r="BB144" s="31" t="s">
        <v>18125</v>
      </c>
      <c r="BC144" s="31" t="s">
        <v>19685</v>
      </c>
      <c r="BD144" s="31" t="n">
        <v>38694921</v>
      </c>
      <c r="BE144" s="31" t="s">
        <v>17143</v>
      </c>
      <c r="BF144" s="31" t="s">
        <v>16369</v>
      </c>
      <c r="BG144" s="31" t="s">
        <v>19686</v>
      </c>
      <c r="BH144" s="31" t="str">
        <f aca="false">HYPERLINK("https%3A%2F%2Fwww.webofscience.com%2Fwos%2Fwoscc%2Ffull-record%2FWOS:001214490900001","View Full Record in Web of Science")</f>
        <v>View Full Record in Web of Science</v>
      </c>
      <c r="BI144" s="31"/>
      <c r="BJ144" s="31"/>
      <c r="BK144" s="31"/>
      <c r="BL144" s="31"/>
      <c r="BM144" s="31"/>
      <c r="BN144" s="31"/>
      <c r="BO144" s="31"/>
      <c r="BP144" s="31"/>
      <c r="BQ144" s="31"/>
      <c r="BR144" s="31"/>
      <c r="BS144" s="31"/>
      <c r="BT144" s="31"/>
      <c r="BU144" s="31"/>
      <c r="BV144" s="31"/>
      <c r="BW144" s="31"/>
      <c r="BX144" s="31"/>
      <c r="BY144" s="31"/>
      <c r="BZ144" s="31"/>
      <c r="CA144" s="31"/>
      <c r="CB144" s="31"/>
      <c r="CC144" s="31"/>
      <c r="CD144" s="31"/>
      <c r="CE144" s="31"/>
      <c r="CF144" s="31"/>
    </row>
    <row r="145" customFormat="false" ht="15.75" hidden="false" customHeight="true" outlineLevel="0" collapsed="false">
      <c r="A145" s="31" t="s">
        <v>16335</v>
      </c>
      <c r="B145" s="31" t="s">
        <v>19687</v>
      </c>
      <c r="C145" s="31" t="s">
        <v>19688</v>
      </c>
      <c r="D145" s="34" t="s">
        <v>19689</v>
      </c>
      <c r="E145" s="31" t="n">
        <v>2024</v>
      </c>
      <c r="F145" s="33" t="s">
        <v>19690</v>
      </c>
      <c r="G145" s="33" t="s">
        <v>134</v>
      </c>
      <c r="H145" s="32"/>
      <c r="I145" s="34"/>
      <c r="J145" s="34"/>
      <c r="K145" s="34"/>
      <c r="L145" s="34"/>
      <c r="M145" s="34"/>
      <c r="N145" s="34"/>
      <c r="O145" s="34"/>
      <c r="P145" s="34" t="n">
        <v>0</v>
      </c>
      <c r="Q145" s="31" t="n">
        <v>0</v>
      </c>
      <c r="R145" s="31" t="s">
        <v>61</v>
      </c>
      <c r="S145" s="31" t="s">
        <v>62</v>
      </c>
      <c r="T145" s="31" t="s">
        <v>19691</v>
      </c>
      <c r="U145" s="31" t="n">
        <v>225</v>
      </c>
      <c r="V145" s="31" t="s">
        <v>16349</v>
      </c>
      <c r="W145" s="31"/>
      <c r="X145" s="31" t="s">
        <v>19692</v>
      </c>
      <c r="Y145" s="31"/>
      <c r="Z145" s="31" t="s">
        <v>19693</v>
      </c>
      <c r="AA145" s="31" t="s">
        <v>19694</v>
      </c>
      <c r="AB145" s="31" t="s">
        <v>19695</v>
      </c>
      <c r="AC145" s="31" t="s">
        <v>19696</v>
      </c>
      <c r="AD145" s="31"/>
      <c r="AE145" s="31" t="s">
        <v>19697</v>
      </c>
      <c r="AF145" s="31"/>
      <c r="AG145" s="31"/>
      <c r="AH145" s="31"/>
      <c r="AI145" s="31" t="n">
        <v>37</v>
      </c>
      <c r="AJ145" s="31" t="n">
        <v>0</v>
      </c>
      <c r="AK145" s="31" t="n">
        <v>0</v>
      </c>
      <c r="AL145" s="31" t="s">
        <v>16356</v>
      </c>
      <c r="AM145" s="31" t="s">
        <v>16357</v>
      </c>
      <c r="AN145" s="31" t="s">
        <v>19698</v>
      </c>
      <c r="AO145" s="31" t="s">
        <v>19699</v>
      </c>
      <c r="AP145" s="31" t="s">
        <v>19700</v>
      </c>
      <c r="AQ145" s="31" t="s">
        <v>19701</v>
      </c>
      <c r="AR145" s="31" t="s">
        <v>16615</v>
      </c>
      <c r="AS145" s="31"/>
      <c r="AT145" s="31"/>
      <c r="AU145" s="31" t="n">
        <v>107022</v>
      </c>
      <c r="AV145" s="31" t="s">
        <v>19702</v>
      </c>
      <c r="AW145" s="35" t="str">
        <f aca="false">HYPERLINK("http://dx.doi.org/10.1016/j.mimet.2024.107022","http://dx.doi.org/10.1016/j.mimet.2024.107022")</f>
        <v>http://dx.doi.org/10.1016/j.mimet.2024.107022</v>
      </c>
      <c r="AX145" s="31" t="s">
        <v>16890</v>
      </c>
      <c r="AY145" s="31" t="n">
        <v>8</v>
      </c>
      <c r="AZ145" s="31" t="s">
        <v>19703</v>
      </c>
      <c r="BA145" s="31" t="s">
        <v>16366</v>
      </c>
      <c r="BB145" s="31" t="s">
        <v>19704</v>
      </c>
      <c r="BC145" s="31" t="s">
        <v>19705</v>
      </c>
      <c r="BD145" s="31" t="n">
        <v>39173888</v>
      </c>
      <c r="BE145" s="31"/>
      <c r="BF145" s="31" t="s">
        <v>16369</v>
      </c>
      <c r="BG145" s="31" t="s">
        <v>19706</v>
      </c>
      <c r="BH145" s="31" t="str">
        <f aca="false">HYPERLINK("https%3A%2F%2Fwww.webofscience.com%2Fwos%2Fwoscc%2Ffull-record%2FWOS:001317279500001","View Full Record in Web of Science")</f>
        <v>View Full Record in Web of Science</v>
      </c>
      <c r="BI145" s="31"/>
      <c r="BJ145" s="31"/>
      <c r="BK145" s="31"/>
      <c r="BL145" s="31"/>
      <c r="BM145" s="31"/>
      <c r="BN145" s="31"/>
      <c r="BO145" s="31"/>
      <c r="BP145" s="31"/>
      <c r="BQ145" s="31"/>
      <c r="BR145" s="31"/>
      <c r="BS145" s="31"/>
      <c r="BT145" s="31"/>
      <c r="BU145" s="31"/>
      <c r="BV145" s="31"/>
      <c r="BW145" s="31"/>
      <c r="BX145" s="31"/>
      <c r="BY145" s="31"/>
      <c r="BZ145" s="31"/>
      <c r="CA145" s="31"/>
      <c r="CB145" s="31"/>
      <c r="CC145" s="31"/>
      <c r="CD145" s="31"/>
      <c r="CE145" s="31"/>
      <c r="CF145" s="31"/>
    </row>
    <row r="146" customFormat="false" ht="15.75" hidden="false" customHeight="true" outlineLevel="0" collapsed="false">
      <c r="A146" s="31" t="s">
        <v>16335</v>
      </c>
      <c r="B146" s="31" t="s">
        <v>19707</v>
      </c>
      <c r="C146" s="31" t="s">
        <v>19708</v>
      </c>
      <c r="D146" s="34" t="s">
        <v>19709</v>
      </c>
      <c r="E146" s="31" t="n">
        <v>2024</v>
      </c>
      <c r="F146" s="33" t="s">
        <v>19710</v>
      </c>
      <c r="G146" s="33" t="s">
        <v>393</v>
      </c>
      <c r="H146" s="32"/>
      <c r="I146" s="34"/>
      <c r="J146" s="34"/>
      <c r="K146" s="34"/>
      <c r="L146" s="34"/>
      <c r="M146" s="34"/>
      <c r="N146" s="34"/>
      <c r="O146" s="34"/>
      <c r="P146" s="34" t="n">
        <v>0</v>
      </c>
      <c r="Q146" s="31" t="n">
        <v>0</v>
      </c>
      <c r="R146" s="31" t="s">
        <v>61</v>
      </c>
      <c r="S146" s="31" t="s">
        <v>62</v>
      </c>
      <c r="T146" s="31" t="s">
        <v>16844</v>
      </c>
      <c r="U146" s="31" t="n">
        <v>18</v>
      </c>
      <c r="V146" s="31" t="s">
        <v>16845</v>
      </c>
      <c r="W146" s="31" t="n">
        <v>11</v>
      </c>
      <c r="X146" s="31"/>
      <c r="Y146" s="31" t="s">
        <v>19711</v>
      </c>
      <c r="Z146" s="31" t="s">
        <v>19712</v>
      </c>
      <c r="AA146" s="31" t="s">
        <v>19713</v>
      </c>
      <c r="AB146" s="31" t="s">
        <v>19714</v>
      </c>
      <c r="AC146" s="31" t="s">
        <v>19715</v>
      </c>
      <c r="AD146" s="31"/>
      <c r="AE146" s="31" t="s">
        <v>19716</v>
      </c>
      <c r="AF146" s="31" t="s">
        <v>19717</v>
      </c>
      <c r="AG146" s="31" t="s">
        <v>19718</v>
      </c>
      <c r="AH146" s="31" t="s">
        <v>19719</v>
      </c>
      <c r="AI146" s="31" t="n">
        <v>69</v>
      </c>
      <c r="AJ146" s="31" t="n">
        <v>0</v>
      </c>
      <c r="AK146" s="31" t="n">
        <v>0</v>
      </c>
      <c r="AL146" s="31" t="s">
        <v>16855</v>
      </c>
      <c r="AM146" s="31" t="s">
        <v>16856</v>
      </c>
      <c r="AN146" s="31" t="s">
        <v>16857</v>
      </c>
      <c r="AO146" s="31"/>
      <c r="AP146" s="31" t="s">
        <v>16858</v>
      </c>
      <c r="AQ146" s="31" t="s">
        <v>16859</v>
      </c>
      <c r="AR146" s="31" t="s">
        <v>17139</v>
      </c>
      <c r="AS146" s="31"/>
      <c r="AT146" s="31"/>
      <c r="AU146" s="31" t="s">
        <v>19720</v>
      </c>
      <c r="AV146" s="31" t="s">
        <v>19721</v>
      </c>
      <c r="AW146" s="35" t="str">
        <f aca="false">HYPERLINK("http://dx.doi.org/10.1371/journal.pntd.0012675","http://dx.doi.org/10.1371/journal.pntd.0012675")</f>
        <v>http://dx.doi.org/10.1371/journal.pntd.0012675</v>
      </c>
      <c r="AX146" s="31"/>
      <c r="AY146" s="31" t="n">
        <v>23</v>
      </c>
      <c r="AZ146" s="31" t="s">
        <v>16862</v>
      </c>
      <c r="BA146" s="31" t="s">
        <v>16366</v>
      </c>
      <c r="BB146" s="31" t="s">
        <v>16862</v>
      </c>
      <c r="BC146" s="31" t="s">
        <v>19722</v>
      </c>
      <c r="BD146" s="31" t="n">
        <v>39570981</v>
      </c>
      <c r="BE146" s="31" t="s">
        <v>16431</v>
      </c>
      <c r="BF146" s="31" t="s">
        <v>16369</v>
      </c>
      <c r="BG146" s="31" t="s">
        <v>19723</v>
      </c>
      <c r="BH146" s="31" t="str">
        <f aca="false">HYPERLINK("https%3A%2F%2Fwww.webofscience.com%2Fwos%2Fwoscc%2Ffull-record%2FWOS:001361553200001","View Full Record in Web of Science")</f>
        <v>View Full Record in Web of Science</v>
      </c>
      <c r="BI146" s="31"/>
      <c r="BJ146" s="31"/>
      <c r="BK146" s="31"/>
      <c r="BL146" s="31"/>
      <c r="BM146" s="31"/>
      <c r="BN146" s="31"/>
      <c r="BO146" s="31"/>
      <c r="BP146" s="31"/>
      <c r="BQ146" s="31"/>
      <c r="BR146" s="31"/>
      <c r="BS146" s="31"/>
      <c r="BT146" s="31"/>
      <c r="BU146" s="31"/>
      <c r="BV146" s="31"/>
      <c r="BW146" s="31"/>
      <c r="BX146" s="31"/>
      <c r="BY146" s="31"/>
      <c r="BZ146" s="31"/>
      <c r="CA146" s="31"/>
      <c r="CB146" s="31"/>
      <c r="CC146" s="31"/>
      <c r="CD146" s="31"/>
      <c r="CE146" s="31"/>
      <c r="CF146" s="31"/>
    </row>
    <row r="147" customFormat="false" ht="15.75" hidden="false" customHeight="true" outlineLevel="0" collapsed="false">
      <c r="A147" s="31" t="s">
        <v>16335</v>
      </c>
      <c r="B147" s="31" t="s">
        <v>19724</v>
      </c>
      <c r="C147" s="31" t="s">
        <v>19725</v>
      </c>
      <c r="D147" s="34" t="s">
        <v>19726</v>
      </c>
      <c r="E147" s="31" t="n">
        <v>2024</v>
      </c>
      <c r="F147" s="33" t="s">
        <v>19727</v>
      </c>
      <c r="G147" s="33" t="s">
        <v>349</v>
      </c>
      <c r="H147" s="32"/>
      <c r="I147" s="34"/>
      <c r="J147" s="34"/>
      <c r="K147" s="34"/>
      <c r="L147" s="34"/>
      <c r="M147" s="34"/>
      <c r="N147" s="34"/>
      <c r="O147" s="34"/>
      <c r="P147" s="34" t="n">
        <v>2</v>
      </c>
      <c r="Q147" s="31" t="n">
        <v>2</v>
      </c>
      <c r="R147" s="31" t="s">
        <v>61</v>
      </c>
      <c r="S147" s="31" t="s">
        <v>62</v>
      </c>
      <c r="T147" s="31" t="s">
        <v>17972</v>
      </c>
      <c r="U147" s="31" t="n">
        <v>24</v>
      </c>
      <c r="V147" s="31" t="s">
        <v>17599</v>
      </c>
      <c r="W147" s="31" t="s">
        <v>19728</v>
      </c>
      <c r="X147" s="31" t="s">
        <v>19729</v>
      </c>
      <c r="Y147" s="31" t="s">
        <v>19730</v>
      </c>
      <c r="Z147" s="31" t="s">
        <v>19731</v>
      </c>
      <c r="AA147" s="31" t="s">
        <v>19732</v>
      </c>
      <c r="AB147" s="31" t="s">
        <v>19733</v>
      </c>
      <c r="AC147" s="31" t="s">
        <v>19734</v>
      </c>
      <c r="AD147" s="37" t="s">
        <v>19735</v>
      </c>
      <c r="AE147" s="31" t="s">
        <v>19736</v>
      </c>
      <c r="AF147" s="31" t="s">
        <v>19737</v>
      </c>
      <c r="AG147" s="31" t="s">
        <v>19737</v>
      </c>
      <c r="AH147" s="31" t="s">
        <v>19738</v>
      </c>
      <c r="AI147" s="31" t="n">
        <v>53</v>
      </c>
      <c r="AJ147" s="31" t="n">
        <v>3</v>
      </c>
      <c r="AK147" s="31" t="n">
        <v>11</v>
      </c>
      <c r="AL147" s="31" t="s">
        <v>16821</v>
      </c>
      <c r="AM147" s="31" t="s">
        <v>17609</v>
      </c>
      <c r="AN147" s="31"/>
      <c r="AO147" s="31" t="s">
        <v>17984</v>
      </c>
      <c r="AP147" s="31" t="s">
        <v>17985</v>
      </c>
      <c r="AQ147" s="31" t="s">
        <v>2104</v>
      </c>
      <c r="AR147" s="31" t="s">
        <v>18122</v>
      </c>
      <c r="AS147" s="31"/>
      <c r="AT147" s="31"/>
      <c r="AU147" s="31" t="n">
        <v>334</v>
      </c>
      <c r="AV147" s="31" t="s">
        <v>19739</v>
      </c>
      <c r="AW147" s="35" t="str">
        <f aca="false">HYPERLINK("http://dx.doi.org/10.1186/s12879-024-09220-4","http://dx.doi.org/10.1186/s12879-024-09220-4")</f>
        <v>http://dx.doi.org/10.1186/s12879-024-09220-4</v>
      </c>
      <c r="AX147" s="31"/>
      <c r="AY147" s="31" t="n">
        <v>11</v>
      </c>
      <c r="AZ147" s="31" t="s">
        <v>8184</v>
      </c>
      <c r="BA147" s="31" t="s">
        <v>16366</v>
      </c>
      <c r="BB147" s="31" t="s">
        <v>8184</v>
      </c>
      <c r="BC147" s="31" t="s">
        <v>19740</v>
      </c>
      <c r="BD147" s="31" t="n">
        <v>38509486</v>
      </c>
      <c r="BE147" s="31" t="s">
        <v>16832</v>
      </c>
      <c r="BF147" s="31" t="s">
        <v>16369</v>
      </c>
      <c r="BG147" s="31" t="s">
        <v>19741</v>
      </c>
      <c r="BH147" s="31" t="str">
        <f aca="false">HYPERLINK("https%3A%2F%2Fwww.webofscience.com%2Fwos%2Fwoscc%2Ffull-record%2FWOS:001190554100001","View Full Record in Web of Science")</f>
        <v>View Full Record in Web of Science</v>
      </c>
      <c r="BI147" s="31"/>
      <c r="BJ147" s="31"/>
      <c r="BK147" s="31"/>
      <c r="BL147" s="31"/>
      <c r="BM147" s="31"/>
      <c r="BN147" s="31"/>
      <c r="BO147" s="31"/>
      <c r="BP147" s="31"/>
      <c r="BQ147" s="31"/>
      <c r="BR147" s="31" t="n">
        <v>2</v>
      </c>
      <c r="BS147" s="31" t="s">
        <v>16622</v>
      </c>
      <c r="BT147" s="31"/>
      <c r="BU147" s="31"/>
      <c r="BV147" s="31"/>
      <c r="BW147" s="31"/>
      <c r="BX147" s="31"/>
      <c r="BY147" s="31"/>
      <c r="BZ147" s="31"/>
      <c r="CA147" s="31"/>
      <c r="CB147" s="31"/>
      <c r="CC147" s="31"/>
      <c r="CD147" s="31"/>
      <c r="CE147" s="31"/>
      <c r="CF147" s="31"/>
    </row>
    <row r="148" customFormat="false" ht="15.75" hidden="false" customHeight="true" outlineLevel="0" collapsed="false">
      <c r="A148" s="31" t="s">
        <v>16335</v>
      </c>
      <c r="B148" s="31" t="s">
        <v>19742</v>
      </c>
      <c r="C148" s="31" t="s">
        <v>19743</v>
      </c>
      <c r="D148" s="34" t="s">
        <v>19744</v>
      </c>
      <c r="E148" s="31" t="n">
        <v>2024</v>
      </c>
      <c r="F148" s="33" t="s">
        <v>19745</v>
      </c>
      <c r="G148" s="33" t="s">
        <v>290</v>
      </c>
      <c r="H148" s="32"/>
      <c r="I148" s="34"/>
      <c r="J148" s="34"/>
      <c r="K148" s="34"/>
      <c r="L148" s="34"/>
      <c r="M148" s="34"/>
      <c r="N148" s="34"/>
      <c r="O148" s="34"/>
      <c r="P148" s="34" t="n">
        <v>2</v>
      </c>
      <c r="Q148" s="31" t="n">
        <v>2</v>
      </c>
      <c r="R148" s="31" t="s">
        <v>61</v>
      </c>
      <c r="S148" s="31" t="s">
        <v>62</v>
      </c>
      <c r="T148" s="31" t="s">
        <v>19746</v>
      </c>
      <c r="U148" s="31" t="n">
        <v>15</v>
      </c>
      <c r="V148" s="31" t="s">
        <v>19148</v>
      </c>
      <c r="W148" s="31" t="n">
        <v>8</v>
      </c>
      <c r="X148" s="31" t="s">
        <v>19747</v>
      </c>
      <c r="Y148" s="31" t="s">
        <v>19748</v>
      </c>
      <c r="Z148" s="31" t="s">
        <v>19749</v>
      </c>
      <c r="AA148" s="31" t="s">
        <v>19750</v>
      </c>
      <c r="AB148" s="31" t="s">
        <v>19751</v>
      </c>
      <c r="AC148" s="31" t="s">
        <v>19752</v>
      </c>
      <c r="AD148" s="31" t="s">
        <v>19753</v>
      </c>
      <c r="AE148" s="31" t="s">
        <v>19754</v>
      </c>
      <c r="AF148" s="31"/>
      <c r="AG148" s="31"/>
      <c r="AH148" s="31" t="s">
        <v>19755</v>
      </c>
      <c r="AI148" s="31" t="n">
        <v>27</v>
      </c>
      <c r="AJ148" s="31" t="n">
        <v>4</v>
      </c>
      <c r="AK148" s="31" t="n">
        <v>4</v>
      </c>
      <c r="AL148" s="31" t="s">
        <v>18329</v>
      </c>
      <c r="AM148" s="31" t="s">
        <v>19160</v>
      </c>
      <c r="AN148" s="31" t="s">
        <v>19756</v>
      </c>
      <c r="AO148" s="31"/>
      <c r="AP148" s="31" t="s">
        <v>19757</v>
      </c>
      <c r="AQ148" s="31" t="s">
        <v>19758</v>
      </c>
      <c r="AR148" s="31" t="s">
        <v>19759</v>
      </c>
      <c r="AS148" s="31" t="n">
        <v>1386</v>
      </c>
      <c r="AT148" s="31" t="n">
        <v>1395</v>
      </c>
      <c r="AU148" s="31"/>
      <c r="AV148" s="31" t="s">
        <v>19760</v>
      </c>
      <c r="AW148" s="35" t="str">
        <f aca="false">HYPERLINK("http://dx.doi.org/10.1021/acsmedchemlett.4c00323","http://dx.doi.org/10.1021/acsmedchemlett.4c00323")</f>
        <v>http://dx.doi.org/10.1021/acsmedchemlett.4c00323</v>
      </c>
      <c r="AX148" s="31" t="s">
        <v>19475</v>
      </c>
      <c r="AY148" s="31" t="n">
        <v>10</v>
      </c>
      <c r="AZ148" s="31" t="s">
        <v>19761</v>
      </c>
      <c r="BA148" s="31" t="s">
        <v>16366</v>
      </c>
      <c r="BB148" s="31" t="s">
        <v>18125</v>
      </c>
      <c r="BC148" s="31" t="s">
        <v>19762</v>
      </c>
      <c r="BD148" s="31" t="n">
        <v>39140064</v>
      </c>
      <c r="BE148" s="31" t="s">
        <v>17842</v>
      </c>
      <c r="BF148" s="31" t="s">
        <v>16369</v>
      </c>
      <c r="BG148" s="31" t="s">
        <v>19763</v>
      </c>
      <c r="BH148" s="31" t="str">
        <f aca="false">HYPERLINK("https%3A%2F%2Fwww.webofscience.com%2Fwos%2Fwoscc%2Ffull-record%2FWOS:001272774000001","View Full Record in Web of Science")</f>
        <v>View Full Record in Web of Science</v>
      </c>
      <c r="BI148" s="31"/>
      <c r="BJ148" s="31"/>
      <c r="BK148" s="31"/>
      <c r="BL148" s="31"/>
      <c r="BM148" s="31"/>
      <c r="BN148" s="31"/>
      <c r="BO148" s="31"/>
      <c r="BP148" s="31"/>
      <c r="BQ148" s="31"/>
      <c r="BR148" s="31"/>
      <c r="BS148" s="31"/>
      <c r="BT148" s="31"/>
      <c r="BU148" s="31"/>
      <c r="BV148" s="31"/>
      <c r="BW148" s="31"/>
      <c r="BX148" s="31"/>
      <c r="BY148" s="31"/>
      <c r="BZ148" s="31"/>
      <c r="CA148" s="31"/>
      <c r="CB148" s="31"/>
      <c r="CC148" s="31"/>
      <c r="CD148" s="31"/>
      <c r="CE148" s="31"/>
      <c r="CF148" s="31"/>
    </row>
    <row r="149" customFormat="false" ht="15.75" hidden="false" customHeight="true" outlineLevel="0" collapsed="false">
      <c r="A149" s="31" t="s">
        <v>16335</v>
      </c>
      <c r="B149" s="31" t="s">
        <v>19764</v>
      </c>
      <c r="C149" s="31" t="s">
        <v>19765</v>
      </c>
      <c r="D149" s="34" t="s">
        <v>19766</v>
      </c>
      <c r="E149" s="31" t="n">
        <v>2024</v>
      </c>
      <c r="F149" s="33" t="s">
        <v>19767</v>
      </c>
      <c r="G149" s="33" t="s">
        <v>393</v>
      </c>
      <c r="H149" s="32"/>
      <c r="I149" s="34"/>
      <c r="J149" s="34"/>
      <c r="K149" s="34"/>
      <c r="L149" s="34"/>
      <c r="M149" s="34"/>
      <c r="N149" s="34"/>
      <c r="O149" s="34"/>
      <c r="P149" s="34" t="n">
        <v>2</v>
      </c>
      <c r="Q149" s="31" t="n">
        <v>2</v>
      </c>
      <c r="R149" s="31" t="s">
        <v>61</v>
      </c>
      <c r="S149" s="31" t="s">
        <v>62</v>
      </c>
      <c r="T149" s="31" t="s">
        <v>17972</v>
      </c>
      <c r="U149" s="31" t="n">
        <v>24</v>
      </c>
      <c r="V149" s="31" t="s">
        <v>17599</v>
      </c>
      <c r="W149" s="31" t="n">
        <v>1</v>
      </c>
      <c r="X149" s="31" t="s">
        <v>19768</v>
      </c>
      <c r="Y149" s="31" t="s">
        <v>19769</v>
      </c>
      <c r="Z149" s="31" t="s">
        <v>19770</v>
      </c>
      <c r="AA149" s="31" t="s">
        <v>19771</v>
      </c>
      <c r="AB149" s="31" t="s">
        <v>19772</v>
      </c>
      <c r="AC149" s="31" t="s">
        <v>19773</v>
      </c>
      <c r="AD149" s="31" t="s">
        <v>19774</v>
      </c>
      <c r="AE149" s="31" t="s">
        <v>19775</v>
      </c>
      <c r="AF149" s="31"/>
      <c r="AG149" s="31"/>
      <c r="AH149" s="31"/>
      <c r="AI149" s="31" t="n">
        <v>101</v>
      </c>
      <c r="AJ149" s="31" t="n">
        <v>9</v>
      </c>
      <c r="AK149" s="31" t="n">
        <v>9</v>
      </c>
      <c r="AL149" s="31" t="s">
        <v>16821</v>
      </c>
      <c r="AM149" s="31" t="s">
        <v>17609</v>
      </c>
      <c r="AN149" s="31"/>
      <c r="AO149" s="31" t="s">
        <v>17984</v>
      </c>
      <c r="AP149" s="31" t="s">
        <v>17985</v>
      </c>
      <c r="AQ149" s="31" t="s">
        <v>2104</v>
      </c>
      <c r="AR149" s="31" t="s">
        <v>19776</v>
      </c>
      <c r="AS149" s="31"/>
      <c r="AT149" s="31"/>
      <c r="AU149" s="31" t="n">
        <v>799</v>
      </c>
      <c r="AV149" s="31" t="s">
        <v>19777</v>
      </c>
      <c r="AW149" s="35" t="str">
        <f aca="false">HYPERLINK("http://dx.doi.org/10.1186/s12879-024-09725-y","http://dx.doi.org/10.1186/s12879-024-09725-y")</f>
        <v>http://dx.doi.org/10.1186/s12879-024-09725-y</v>
      </c>
      <c r="AX149" s="31"/>
      <c r="AY149" s="31" t="n">
        <v>13</v>
      </c>
      <c r="AZ149" s="31" t="s">
        <v>8184</v>
      </c>
      <c r="BA149" s="31" t="s">
        <v>16366</v>
      </c>
      <c r="BB149" s="31" t="s">
        <v>8184</v>
      </c>
      <c r="BC149" s="31" t="s">
        <v>19778</v>
      </c>
      <c r="BD149" s="31" t="n">
        <v>39118057</v>
      </c>
      <c r="BE149" s="31" t="s">
        <v>16832</v>
      </c>
      <c r="BF149" s="31" t="s">
        <v>16369</v>
      </c>
      <c r="BG149" s="31" t="s">
        <v>19779</v>
      </c>
      <c r="BH149" s="31" t="str">
        <f aca="false">HYPERLINK("https%3A%2F%2Fwww.webofscience.com%2Fwos%2Fwoscc%2Ffull-record%2FWOS:001287508900001","View Full Record in Web of Science")</f>
        <v>View Full Record in Web of Science</v>
      </c>
      <c r="BI149" s="31"/>
      <c r="BJ149" s="31"/>
      <c r="BK149" s="31"/>
      <c r="BL149" s="31"/>
      <c r="BM149" s="31"/>
      <c r="BN149" s="31"/>
      <c r="BO149" s="31"/>
      <c r="BP149" s="31"/>
      <c r="BQ149" s="31"/>
      <c r="BR149" s="31"/>
      <c r="BS149" s="31"/>
      <c r="BT149" s="31"/>
      <c r="BU149" s="31"/>
      <c r="BV149" s="31"/>
      <c r="BW149" s="31"/>
      <c r="BX149" s="31"/>
      <c r="BY149" s="31"/>
      <c r="BZ149" s="31"/>
      <c r="CA149" s="31"/>
      <c r="CB149" s="31"/>
      <c r="CC149" s="31"/>
      <c r="CD149" s="31"/>
      <c r="CE149" s="31"/>
      <c r="CF149" s="31"/>
    </row>
    <row r="150" customFormat="false" ht="15.75" hidden="false" customHeight="true" outlineLevel="0" collapsed="false">
      <c r="A150" s="31" t="s">
        <v>16335</v>
      </c>
      <c r="B150" s="31" t="s">
        <v>19780</v>
      </c>
      <c r="C150" s="31" t="s">
        <v>19781</v>
      </c>
      <c r="D150" s="34" t="s">
        <v>19782</v>
      </c>
      <c r="E150" s="31" t="n">
        <v>2024</v>
      </c>
      <c r="F150" s="33" t="s">
        <v>19783</v>
      </c>
      <c r="G150" s="33" t="s">
        <v>349</v>
      </c>
      <c r="H150" s="32"/>
      <c r="I150" s="34"/>
      <c r="J150" s="34"/>
      <c r="K150" s="34"/>
      <c r="L150" s="34"/>
      <c r="M150" s="34"/>
      <c r="N150" s="34"/>
      <c r="O150" s="34"/>
      <c r="P150" s="34" t="n">
        <v>0</v>
      </c>
      <c r="Q150" s="31" t="n">
        <v>0</v>
      </c>
      <c r="R150" s="31" t="s">
        <v>61</v>
      </c>
      <c r="S150" s="31" t="s">
        <v>62</v>
      </c>
      <c r="T150" s="31" t="s">
        <v>16413</v>
      </c>
      <c r="U150" s="31" t="n">
        <v>14</v>
      </c>
      <c r="V150" s="31" t="s">
        <v>16414</v>
      </c>
      <c r="W150" s="31" t="n">
        <v>1</v>
      </c>
      <c r="X150" s="31" t="s">
        <v>19784</v>
      </c>
      <c r="Y150" s="31"/>
      <c r="Z150" s="31" t="s">
        <v>19785</v>
      </c>
      <c r="AA150" s="31" t="s">
        <v>19786</v>
      </c>
      <c r="AB150" s="31" t="s">
        <v>19787</v>
      </c>
      <c r="AC150" s="31" t="s">
        <v>19788</v>
      </c>
      <c r="AD150" s="31" t="s">
        <v>19789</v>
      </c>
      <c r="AE150" s="31"/>
      <c r="AF150" s="31" t="s">
        <v>19790</v>
      </c>
      <c r="AG150" s="31" t="s">
        <v>19791</v>
      </c>
      <c r="AH150" s="31" t="s">
        <v>19792</v>
      </c>
      <c r="AI150" s="31" t="n">
        <v>21</v>
      </c>
      <c r="AJ150" s="31" t="n">
        <v>9</v>
      </c>
      <c r="AK150" s="31" t="n">
        <v>9</v>
      </c>
      <c r="AL150" s="31" t="s">
        <v>16421</v>
      </c>
      <c r="AM150" s="31" t="s">
        <v>16422</v>
      </c>
      <c r="AN150" s="31" t="s">
        <v>16423</v>
      </c>
      <c r="AO150" s="31"/>
      <c r="AP150" s="31" t="s">
        <v>16424</v>
      </c>
      <c r="AQ150" s="31" t="s">
        <v>16425</v>
      </c>
      <c r="AR150" s="31" t="s">
        <v>19793</v>
      </c>
      <c r="AS150" s="31"/>
      <c r="AT150" s="31"/>
      <c r="AU150" s="31" t="n">
        <v>32163</v>
      </c>
      <c r="AV150" s="31" t="s">
        <v>19794</v>
      </c>
      <c r="AW150" s="35" t="str">
        <f aca="false">HYPERLINK("http://dx.doi.org/10.1038/s41598-024-81367-1","http://dx.doi.org/10.1038/s41598-024-81367-1")</f>
        <v>http://dx.doi.org/10.1038/s41598-024-81367-1</v>
      </c>
      <c r="AX150" s="31"/>
      <c r="AY150" s="31" t="n">
        <v>17</v>
      </c>
      <c r="AZ150" s="31" t="s">
        <v>16428</v>
      </c>
      <c r="BA150" s="31" t="s">
        <v>16366</v>
      </c>
      <c r="BB150" s="31" t="s">
        <v>16429</v>
      </c>
      <c r="BC150" s="31" t="s">
        <v>19795</v>
      </c>
      <c r="BD150" s="31" t="n">
        <v>39741160</v>
      </c>
      <c r="BE150" s="31" t="s">
        <v>16431</v>
      </c>
      <c r="BF150" s="31" t="s">
        <v>16369</v>
      </c>
      <c r="BG150" s="31" t="s">
        <v>19796</v>
      </c>
      <c r="BH150" s="31" t="str">
        <f aca="false">HYPERLINK("https%3A%2F%2Fwww.webofscience.com%2Fwos%2Fwoscc%2Ffull-record%2FWOS:001386941100011","View Full Record in Web of Science")</f>
        <v>View Full Record in Web of Science</v>
      </c>
      <c r="BI150" s="31"/>
      <c r="BJ150" s="31"/>
      <c r="BK150" s="31"/>
      <c r="BL150" s="31"/>
      <c r="BM150" s="31"/>
      <c r="BN150" s="31"/>
      <c r="BO150" s="31"/>
      <c r="BP150" s="31"/>
      <c r="BQ150" s="31"/>
      <c r="BR150" s="31"/>
      <c r="BS150" s="31"/>
      <c r="BT150" s="31"/>
      <c r="BU150" s="31"/>
      <c r="BV150" s="31"/>
      <c r="BW150" s="31"/>
      <c r="BX150" s="31"/>
      <c r="BY150" s="31"/>
      <c r="BZ150" s="31"/>
      <c r="CA150" s="31"/>
      <c r="CB150" s="31"/>
      <c r="CC150" s="31"/>
      <c r="CD150" s="31"/>
      <c r="CE150" s="31"/>
      <c r="CF150" s="31"/>
    </row>
    <row r="151" customFormat="false" ht="15.75" hidden="false" customHeight="true" outlineLevel="0" collapsed="false">
      <c r="A151" s="31" t="s">
        <v>16335</v>
      </c>
      <c r="B151" s="31" t="s">
        <v>19797</v>
      </c>
      <c r="C151" s="31" t="s">
        <v>19798</v>
      </c>
      <c r="D151" s="34" t="s">
        <v>19799</v>
      </c>
      <c r="E151" s="31" t="n">
        <v>2024</v>
      </c>
      <c r="F151" s="33" t="s">
        <v>19800</v>
      </c>
      <c r="G151" s="33" t="s">
        <v>349</v>
      </c>
      <c r="H151" s="32"/>
      <c r="I151" s="34"/>
      <c r="J151" s="34"/>
      <c r="K151" s="34"/>
      <c r="L151" s="34"/>
      <c r="M151" s="34"/>
      <c r="N151" s="34"/>
      <c r="O151" s="34"/>
      <c r="P151" s="34" t="n">
        <v>0</v>
      </c>
      <c r="Q151" s="31" t="n">
        <v>0</v>
      </c>
      <c r="R151" s="31" t="s">
        <v>61</v>
      </c>
      <c r="S151" s="31" t="s">
        <v>62</v>
      </c>
      <c r="T151" s="31" t="s">
        <v>19387</v>
      </c>
      <c r="U151" s="31" t="n">
        <v>9</v>
      </c>
      <c r="V151" s="31" t="s">
        <v>4048</v>
      </c>
      <c r="W151" s="31" t="n">
        <v>10</v>
      </c>
      <c r="X151" s="31" t="s">
        <v>19801</v>
      </c>
      <c r="Y151" s="31"/>
      <c r="Z151" s="31" t="s">
        <v>19802</v>
      </c>
      <c r="AA151" s="31" t="s">
        <v>19803</v>
      </c>
      <c r="AB151" s="31" t="s">
        <v>19804</v>
      </c>
      <c r="AC151" s="31" t="s">
        <v>19805</v>
      </c>
      <c r="AD151" s="31"/>
      <c r="AE151" s="31" t="s">
        <v>19806</v>
      </c>
      <c r="AF151" s="31"/>
      <c r="AG151" s="31"/>
      <c r="AH151" s="31"/>
      <c r="AI151" s="31" t="n">
        <v>24</v>
      </c>
      <c r="AJ151" s="31" t="n">
        <v>4</v>
      </c>
      <c r="AK151" s="31" t="n">
        <v>4</v>
      </c>
      <c r="AL151" s="31" t="s">
        <v>16769</v>
      </c>
      <c r="AM151" s="31" t="s">
        <v>16770</v>
      </c>
      <c r="AN151" s="31"/>
      <c r="AO151" s="31" t="s">
        <v>19398</v>
      </c>
      <c r="AP151" s="31" t="s">
        <v>19399</v>
      </c>
      <c r="AQ151" s="31" t="s">
        <v>4059</v>
      </c>
      <c r="AR151" s="31" t="s">
        <v>16615</v>
      </c>
      <c r="AS151" s="31"/>
      <c r="AT151" s="31"/>
      <c r="AU151" s="31" t="n">
        <v>250</v>
      </c>
      <c r="AV151" s="31" t="s">
        <v>19807</v>
      </c>
      <c r="AW151" s="35" t="str">
        <f aca="false">HYPERLINK("http://dx.doi.org/10.3390/tropicalmed9100250","http://dx.doi.org/10.3390/tropicalmed9100250")</f>
        <v>http://dx.doi.org/10.3390/tropicalmed9100250</v>
      </c>
      <c r="AX151" s="31"/>
      <c r="AY151" s="31" t="n">
        <v>30</v>
      </c>
      <c r="AZ151" s="31" t="s">
        <v>16862</v>
      </c>
      <c r="BA151" s="31" t="s">
        <v>16366</v>
      </c>
      <c r="BB151" s="31" t="s">
        <v>16862</v>
      </c>
      <c r="BC151" s="31" t="s">
        <v>19808</v>
      </c>
      <c r="BD151" s="31" t="n">
        <v>39453277</v>
      </c>
      <c r="BE151" s="31" t="s">
        <v>16431</v>
      </c>
      <c r="BF151" s="31" t="s">
        <v>16369</v>
      </c>
      <c r="BG151" s="31" t="s">
        <v>19809</v>
      </c>
      <c r="BH151" s="31" t="str">
        <f aca="false">HYPERLINK("https%3A%2F%2Fwww.webofscience.com%2Fwos%2Fwoscc%2Ffull-record%2FWOS:001341969800001","View Full Record in Web of Science")</f>
        <v>View Full Record in Web of Science</v>
      </c>
      <c r="BI151" s="31"/>
      <c r="BJ151" s="31"/>
      <c r="BK151" s="31"/>
      <c r="BL151" s="31"/>
      <c r="BM151" s="31"/>
      <c r="BN151" s="31"/>
      <c r="BO151" s="31"/>
      <c r="BP151" s="31"/>
      <c r="BQ151" s="31"/>
      <c r="BR151" s="31"/>
      <c r="BS151" s="31"/>
      <c r="BT151" s="31"/>
      <c r="BU151" s="31"/>
      <c r="BV151" s="31"/>
      <c r="BW151" s="31"/>
      <c r="BX151" s="31"/>
      <c r="BY151" s="31"/>
      <c r="BZ151" s="31"/>
      <c r="CA151" s="31"/>
      <c r="CB151" s="31"/>
      <c r="CC151" s="31"/>
      <c r="CD151" s="31"/>
      <c r="CE151" s="31"/>
      <c r="CF151" s="31"/>
    </row>
    <row r="152" customFormat="false" ht="15.75" hidden="false" customHeight="true" outlineLevel="0" collapsed="false">
      <c r="A152" s="31" t="s">
        <v>16335</v>
      </c>
      <c r="B152" s="31" t="s">
        <v>19810</v>
      </c>
      <c r="C152" s="31" t="s">
        <v>19811</v>
      </c>
      <c r="D152" s="34" t="s">
        <v>19812</v>
      </c>
      <c r="E152" s="31" t="n">
        <v>2024</v>
      </c>
      <c r="F152" s="33" t="s">
        <v>19813</v>
      </c>
      <c r="G152" s="33" t="s">
        <v>393</v>
      </c>
      <c r="H152" s="32"/>
      <c r="I152" s="34"/>
      <c r="J152" s="34"/>
      <c r="K152" s="34"/>
      <c r="L152" s="34"/>
      <c r="M152" s="34"/>
      <c r="N152" s="34"/>
      <c r="O152" s="34"/>
      <c r="P152" s="34" t="n">
        <v>0</v>
      </c>
      <c r="Q152" s="31" t="n">
        <v>0</v>
      </c>
      <c r="R152" s="31" t="s">
        <v>61</v>
      </c>
      <c r="S152" s="31" t="s">
        <v>62</v>
      </c>
      <c r="T152" s="31" t="s">
        <v>19814</v>
      </c>
      <c r="U152" s="31" t="n">
        <v>38</v>
      </c>
      <c r="V152" s="31" t="s">
        <v>16349</v>
      </c>
      <c r="W152" s="31"/>
      <c r="X152" s="31" t="s">
        <v>19815</v>
      </c>
      <c r="Y152" s="31" t="s">
        <v>19816</v>
      </c>
      <c r="Z152" s="31" t="s">
        <v>19817</v>
      </c>
      <c r="AA152" s="31" t="s">
        <v>19818</v>
      </c>
      <c r="AB152" s="31" t="s">
        <v>19819</v>
      </c>
      <c r="AC152" s="31" t="s">
        <v>19820</v>
      </c>
      <c r="AD152" s="31" t="s">
        <v>19821</v>
      </c>
      <c r="AE152" s="31" t="s">
        <v>19822</v>
      </c>
      <c r="AF152" s="31"/>
      <c r="AG152" s="31"/>
      <c r="AH152" s="31"/>
      <c r="AI152" s="31" t="n">
        <v>38</v>
      </c>
      <c r="AJ152" s="31" t="n">
        <v>4</v>
      </c>
      <c r="AK152" s="31" t="n">
        <v>4</v>
      </c>
      <c r="AL152" s="31" t="s">
        <v>16356</v>
      </c>
      <c r="AM152" s="31" t="s">
        <v>16357</v>
      </c>
      <c r="AN152" s="31" t="s">
        <v>19823</v>
      </c>
      <c r="AO152" s="31"/>
      <c r="AP152" s="31" t="s">
        <v>19824</v>
      </c>
      <c r="AQ152" s="31" t="s">
        <v>19825</v>
      </c>
      <c r="AR152" s="31" t="s">
        <v>19826</v>
      </c>
      <c r="AS152" s="31"/>
      <c r="AT152" s="31"/>
      <c r="AU152" s="31" t="n">
        <v>100483</v>
      </c>
      <c r="AV152" s="31" t="s">
        <v>19827</v>
      </c>
      <c r="AW152" s="35" t="str">
        <f aca="false">HYPERLINK("http://dx.doi.org/10.1016/j.bdr.2024.100483","http://dx.doi.org/10.1016/j.bdr.2024.100483")</f>
        <v>http://dx.doi.org/10.1016/j.bdr.2024.100483</v>
      </c>
      <c r="AX152" s="31" t="s">
        <v>16890</v>
      </c>
      <c r="AY152" s="31" t="n">
        <v>11</v>
      </c>
      <c r="AZ152" s="31" t="s">
        <v>19828</v>
      </c>
      <c r="BA152" s="31" t="s">
        <v>16366</v>
      </c>
      <c r="BB152" s="31" t="s">
        <v>16367</v>
      </c>
      <c r="BC152" s="31" t="s">
        <v>19829</v>
      </c>
      <c r="BD152" s="31"/>
      <c r="BE152" s="31"/>
      <c r="BF152" s="31" t="s">
        <v>16369</v>
      </c>
      <c r="BG152" s="31" t="s">
        <v>19830</v>
      </c>
      <c r="BH152" s="31" t="str">
        <f aca="false">HYPERLINK("https%3A%2F%2Fwww.webofscience.com%2Fwos%2Fwoscc%2Ffull-record%2FWOS:001295711300001","View Full Record in Web of Science")</f>
        <v>View Full Record in Web of Science</v>
      </c>
      <c r="BI152" s="31"/>
      <c r="BJ152" s="31"/>
      <c r="BK152" s="31"/>
      <c r="BL152" s="31"/>
      <c r="BM152" s="31"/>
      <c r="BN152" s="31"/>
      <c r="BO152" s="31"/>
      <c r="BP152" s="31"/>
      <c r="BQ152" s="31"/>
      <c r="BR152" s="31"/>
      <c r="BS152" s="31"/>
      <c r="BT152" s="31"/>
      <c r="BU152" s="31"/>
      <c r="BV152" s="31"/>
      <c r="BW152" s="31"/>
      <c r="BX152" s="31"/>
      <c r="BY152" s="31"/>
      <c r="BZ152" s="31"/>
      <c r="CA152" s="31"/>
      <c r="CB152" s="31"/>
      <c r="CC152" s="31"/>
      <c r="CD152" s="31"/>
      <c r="CE152" s="31"/>
      <c r="CF152" s="31"/>
    </row>
    <row r="153" customFormat="false" ht="15.75" hidden="false" customHeight="true" outlineLevel="0" collapsed="false">
      <c r="A153" s="31" t="s">
        <v>16335</v>
      </c>
      <c r="B153" s="31" t="s">
        <v>19831</v>
      </c>
      <c r="C153" s="31" t="s">
        <v>19832</v>
      </c>
      <c r="D153" s="34" t="s">
        <v>19833</v>
      </c>
      <c r="E153" s="31" t="n">
        <v>2024</v>
      </c>
      <c r="F153" s="33" t="s">
        <v>19834</v>
      </c>
      <c r="G153" s="33" t="s">
        <v>290</v>
      </c>
      <c r="H153" s="32"/>
      <c r="I153" s="34"/>
      <c r="J153" s="34"/>
      <c r="K153" s="34"/>
      <c r="L153" s="34"/>
      <c r="M153" s="34"/>
      <c r="N153" s="34"/>
      <c r="O153" s="34"/>
      <c r="P153" s="34" t="n">
        <v>0</v>
      </c>
      <c r="Q153" s="31" t="n">
        <v>0</v>
      </c>
      <c r="R153" s="31" t="s">
        <v>61</v>
      </c>
      <c r="S153" s="31" t="s">
        <v>62</v>
      </c>
      <c r="T153" s="31" t="s">
        <v>19835</v>
      </c>
      <c r="U153" s="31" t="n">
        <v>12</v>
      </c>
      <c r="V153" s="31" t="s">
        <v>16928</v>
      </c>
      <c r="W153" s="31"/>
      <c r="X153" s="31" t="s">
        <v>19836</v>
      </c>
      <c r="Y153" s="31" t="s">
        <v>19837</v>
      </c>
      <c r="Z153" s="31" t="s">
        <v>19838</v>
      </c>
      <c r="AA153" s="31" t="s">
        <v>19839</v>
      </c>
      <c r="AB153" s="31" t="s">
        <v>19840</v>
      </c>
      <c r="AC153" s="31" t="s">
        <v>19841</v>
      </c>
      <c r="AD153" s="31" t="s">
        <v>19842</v>
      </c>
      <c r="AE153" s="31" t="s">
        <v>19843</v>
      </c>
      <c r="AF153" s="31"/>
      <c r="AG153" s="31"/>
      <c r="AH153" s="31" t="s">
        <v>19844</v>
      </c>
      <c r="AI153" s="31" t="n">
        <v>143</v>
      </c>
      <c r="AJ153" s="31" t="n">
        <v>2</v>
      </c>
      <c r="AK153" s="31" t="n">
        <v>2</v>
      </c>
      <c r="AL153" s="31" t="s">
        <v>16938</v>
      </c>
      <c r="AM153" s="31" t="s">
        <v>16939</v>
      </c>
      <c r="AN153" s="31" t="s">
        <v>19845</v>
      </c>
      <c r="AO153" s="31"/>
      <c r="AP153" s="31" t="s">
        <v>19846</v>
      </c>
      <c r="AQ153" s="31" t="s">
        <v>19847</v>
      </c>
      <c r="AR153" s="31" t="s">
        <v>19661</v>
      </c>
      <c r="AS153" s="31"/>
      <c r="AT153" s="31"/>
      <c r="AU153" s="31" t="n">
        <v>1510029</v>
      </c>
      <c r="AV153" s="31" t="s">
        <v>19848</v>
      </c>
      <c r="AW153" s="35" t="str">
        <f aca="false">HYPERLINK("http://dx.doi.org/10.3389/fchem.2024.1510029","http://dx.doi.org/10.3389/fchem.2024.1510029")</f>
        <v>http://dx.doi.org/10.3389/fchem.2024.1510029</v>
      </c>
      <c r="AX153" s="31"/>
      <c r="AY153" s="31" t="n">
        <v>20</v>
      </c>
      <c r="AZ153" s="31" t="s">
        <v>17347</v>
      </c>
      <c r="BA153" s="31" t="s">
        <v>16366</v>
      </c>
      <c r="BB153" s="31" t="s">
        <v>17348</v>
      </c>
      <c r="BC153" s="31" t="s">
        <v>19849</v>
      </c>
      <c r="BD153" s="31" t="n">
        <v>39776767</v>
      </c>
      <c r="BE153" s="31" t="s">
        <v>16431</v>
      </c>
      <c r="BF153" s="31" t="s">
        <v>16369</v>
      </c>
      <c r="BG153" s="31" t="s">
        <v>19850</v>
      </c>
      <c r="BH153" s="31" t="str">
        <f aca="false">HYPERLINK("https%3A%2F%2Fwww.webofscience.com%2Fwos%2Fwoscc%2Ffull-record%2FWOS:001390467400001","View Full Record in Web of Science")</f>
        <v>View Full Record in Web of Science</v>
      </c>
      <c r="BI153" s="31"/>
      <c r="BJ153" s="31"/>
      <c r="BK153" s="31"/>
      <c r="BL153" s="31"/>
      <c r="BM153" s="31"/>
      <c r="BN153" s="31"/>
      <c r="BO153" s="31"/>
      <c r="BP153" s="31"/>
      <c r="BQ153" s="31"/>
      <c r="BR153" s="31"/>
      <c r="BS153" s="31"/>
      <c r="BT153" s="31"/>
      <c r="BU153" s="31"/>
      <c r="BV153" s="31"/>
      <c r="BW153" s="31"/>
      <c r="BX153" s="31"/>
      <c r="BY153" s="31"/>
      <c r="BZ153" s="31"/>
      <c r="CA153" s="31"/>
      <c r="CB153" s="31"/>
      <c r="CC153" s="31"/>
      <c r="CD153" s="31"/>
      <c r="CE153" s="31"/>
      <c r="CF153" s="31"/>
    </row>
    <row r="154" customFormat="false" ht="15.75" hidden="false" customHeight="true" outlineLevel="0" collapsed="false">
      <c r="A154" s="31" t="s">
        <v>16335</v>
      </c>
      <c r="B154" s="31" t="s">
        <v>19851</v>
      </c>
      <c r="C154" s="31" t="s">
        <v>19852</v>
      </c>
      <c r="D154" s="34" t="s">
        <v>19853</v>
      </c>
      <c r="E154" s="31" t="n">
        <v>2024</v>
      </c>
      <c r="F154" s="33" t="s">
        <v>19854</v>
      </c>
      <c r="G154" s="33" t="s">
        <v>134</v>
      </c>
      <c r="H154" s="32"/>
      <c r="I154" s="34"/>
      <c r="J154" s="34"/>
      <c r="K154" s="34"/>
      <c r="L154" s="34"/>
      <c r="M154" s="34"/>
      <c r="N154" s="34"/>
      <c r="O154" s="34"/>
      <c r="P154" s="34" t="n">
        <v>0</v>
      </c>
      <c r="Q154" s="31" t="n">
        <v>0</v>
      </c>
      <c r="R154" s="31" t="s">
        <v>61</v>
      </c>
      <c r="S154" s="31" t="s">
        <v>62</v>
      </c>
      <c r="T154" s="31" t="s">
        <v>16844</v>
      </c>
      <c r="U154" s="31" t="n">
        <v>18</v>
      </c>
      <c r="V154" s="31" t="s">
        <v>16845</v>
      </c>
      <c r="W154" s="31" t="n">
        <v>4</v>
      </c>
      <c r="X154" s="31"/>
      <c r="Y154" s="31"/>
      <c r="Z154" s="31" t="s">
        <v>19855</v>
      </c>
      <c r="AA154" s="31" t="s">
        <v>19856</v>
      </c>
      <c r="AB154" s="31" t="s">
        <v>19857</v>
      </c>
      <c r="AC154" s="31" t="s">
        <v>19858</v>
      </c>
      <c r="AD154" s="31" t="s">
        <v>19859</v>
      </c>
      <c r="AE154" s="31" t="s">
        <v>19860</v>
      </c>
      <c r="AF154" s="31"/>
      <c r="AG154" s="31"/>
      <c r="AH154" s="31"/>
      <c r="AI154" s="31" t="n">
        <v>14</v>
      </c>
      <c r="AJ154" s="31" t="n">
        <v>1</v>
      </c>
      <c r="AK154" s="31" t="n">
        <v>2</v>
      </c>
      <c r="AL154" s="31" t="s">
        <v>16855</v>
      </c>
      <c r="AM154" s="31" t="s">
        <v>16856</v>
      </c>
      <c r="AN154" s="31" t="s">
        <v>16857</v>
      </c>
      <c r="AO154" s="31"/>
      <c r="AP154" s="31" t="s">
        <v>16858</v>
      </c>
      <c r="AQ154" s="31" t="s">
        <v>16859</v>
      </c>
      <c r="AR154" s="31" t="s">
        <v>17772</v>
      </c>
      <c r="AS154" s="31"/>
      <c r="AT154" s="31"/>
      <c r="AU154" s="31" t="s">
        <v>19861</v>
      </c>
      <c r="AV154" s="31" t="s">
        <v>19862</v>
      </c>
      <c r="AW154" s="35" t="str">
        <f aca="false">HYPERLINK("http://dx.doi.org/10.1371/journal.pntd.0012026","http://dx.doi.org/10.1371/journal.pntd.0012026")</f>
        <v>http://dx.doi.org/10.1371/journal.pntd.0012026</v>
      </c>
      <c r="AX154" s="31"/>
      <c r="AY154" s="31" t="n">
        <v>11</v>
      </c>
      <c r="AZ154" s="31" t="s">
        <v>16862</v>
      </c>
      <c r="BA154" s="31" t="s">
        <v>16366</v>
      </c>
      <c r="BB154" s="31" t="s">
        <v>16862</v>
      </c>
      <c r="BC154" s="31" t="s">
        <v>19863</v>
      </c>
      <c r="BD154" s="31" t="n">
        <v>38626209</v>
      </c>
      <c r="BE154" s="31" t="s">
        <v>17143</v>
      </c>
      <c r="BF154" s="31" t="s">
        <v>16369</v>
      </c>
      <c r="BG154" s="31" t="s">
        <v>19864</v>
      </c>
      <c r="BH154" s="31" t="str">
        <f aca="false">HYPERLINK("https%3A%2F%2Fwww.webofscience.com%2Fwos%2Fwoscc%2Ffull-record%2FWOS:001205088400001","View Full Record in Web of Science")</f>
        <v>View Full Record in Web of Science</v>
      </c>
      <c r="BI154" s="31"/>
      <c r="BJ154" s="31"/>
      <c r="BK154" s="31"/>
      <c r="BL154" s="31"/>
      <c r="BM154" s="31"/>
      <c r="BN154" s="31"/>
      <c r="BO154" s="31"/>
      <c r="BP154" s="31"/>
      <c r="BQ154" s="31"/>
      <c r="BR154" s="31"/>
      <c r="BS154" s="31"/>
      <c r="BT154" s="31"/>
      <c r="BU154" s="31"/>
      <c r="BV154" s="31"/>
      <c r="BW154" s="31"/>
      <c r="BX154" s="31"/>
      <c r="BY154" s="31"/>
      <c r="BZ154" s="31"/>
      <c r="CA154" s="31"/>
      <c r="CB154" s="31"/>
      <c r="CC154" s="31"/>
      <c r="CD154" s="31"/>
      <c r="CE154" s="31"/>
      <c r="CF154" s="31"/>
    </row>
    <row r="155" customFormat="false" ht="15.75" hidden="false" customHeight="true" outlineLevel="0" collapsed="false">
      <c r="A155" s="31" t="s">
        <v>16335</v>
      </c>
      <c r="B155" s="31" t="s">
        <v>19865</v>
      </c>
      <c r="C155" s="31" t="s">
        <v>19866</v>
      </c>
      <c r="D155" s="34" t="s">
        <v>19867</v>
      </c>
      <c r="E155" s="31" t="n">
        <v>2024</v>
      </c>
      <c r="F155" s="33" t="s">
        <v>19868</v>
      </c>
      <c r="G155" s="33" t="s">
        <v>290</v>
      </c>
      <c r="H155" s="32"/>
      <c r="I155" s="34"/>
      <c r="J155" s="34"/>
      <c r="K155" s="34"/>
      <c r="L155" s="34"/>
      <c r="M155" s="34"/>
      <c r="N155" s="34"/>
      <c r="O155" s="34"/>
      <c r="P155" s="34" t="n">
        <v>2</v>
      </c>
      <c r="Q155" s="31" t="n">
        <v>2</v>
      </c>
      <c r="R155" s="31" t="s">
        <v>61</v>
      </c>
      <c r="S155" s="31" t="s">
        <v>62</v>
      </c>
      <c r="T155" s="31" t="s">
        <v>19869</v>
      </c>
      <c r="U155" s="31" t="n">
        <v>24</v>
      </c>
      <c r="V155" s="31" t="s">
        <v>16349</v>
      </c>
      <c r="W155" s="31"/>
      <c r="X155" s="31" t="s">
        <v>19870</v>
      </c>
      <c r="Y155" s="31" t="s">
        <v>19871</v>
      </c>
      <c r="Z155" s="31" t="s">
        <v>19872</v>
      </c>
      <c r="AA155" s="31" t="s">
        <v>19873</v>
      </c>
      <c r="AB155" s="31" t="s">
        <v>19874</v>
      </c>
      <c r="AC155" s="31" t="s">
        <v>19875</v>
      </c>
      <c r="AD155" s="31" t="s">
        <v>19876</v>
      </c>
      <c r="AE155" s="31" t="s">
        <v>19877</v>
      </c>
      <c r="AF155" s="31" t="s">
        <v>19878</v>
      </c>
      <c r="AG155" s="31" t="s">
        <v>19879</v>
      </c>
      <c r="AH155" s="31" t="s">
        <v>19880</v>
      </c>
      <c r="AI155" s="31" t="n">
        <v>48</v>
      </c>
      <c r="AJ155" s="31" t="n">
        <v>2</v>
      </c>
      <c r="AK155" s="31" t="n">
        <v>2</v>
      </c>
      <c r="AL155" s="31" t="s">
        <v>16356</v>
      </c>
      <c r="AM155" s="31" t="s">
        <v>16357</v>
      </c>
      <c r="AN155" s="31" t="s">
        <v>19881</v>
      </c>
      <c r="AO155" s="31"/>
      <c r="AP155" s="31" t="s">
        <v>19882</v>
      </c>
      <c r="AQ155" s="31" t="s">
        <v>19883</v>
      </c>
      <c r="AR155" s="31" t="s">
        <v>16649</v>
      </c>
      <c r="AS155" s="31" t="n">
        <v>334</v>
      </c>
      <c r="AT155" s="31" t="n">
        <v>342</v>
      </c>
      <c r="AU155" s="31"/>
      <c r="AV155" s="31" t="s">
        <v>19884</v>
      </c>
      <c r="AW155" s="35" t="str">
        <f aca="false">HYPERLINK("http://dx.doi.org/10.1016/j.csbj.2024.04.029","http://dx.doi.org/10.1016/j.csbj.2024.04.029")</f>
        <v>http://dx.doi.org/10.1016/j.csbj.2024.04.029</v>
      </c>
      <c r="AX155" s="31" t="s">
        <v>18553</v>
      </c>
      <c r="AY155" s="31" t="n">
        <v>9</v>
      </c>
      <c r="AZ155" s="31" t="s">
        <v>19885</v>
      </c>
      <c r="BA155" s="31" t="s">
        <v>16366</v>
      </c>
      <c r="BB155" s="31" t="s">
        <v>19885</v>
      </c>
      <c r="BC155" s="31" t="s">
        <v>19886</v>
      </c>
      <c r="BD155" s="31" t="n">
        <v>38690550</v>
      </c>
      <c r="BE155" s="31" t="s">
        <v>17143</v>
      </c>
      <c r="BF155" s="31" t="s">
        <v>16369</v>
      </c>
      <c r="BG155" s="31" t="s">
        <v>19887</v>
      </c>
      <c r="BH155" s="31" t="str">
        <f aca="false">HYPERLINK("https%3A%2F%2Fwww.webofscience.com%2Fwos%2Fwoscc%2Ffull-record%2FWOS:001233256100001","View Full Record in Web of Science")</f>
        <v>View Full Record in Web of Science</v>
      </c>
      <c r="BI155" s="31"/>
      <c r="BJ155" s="31"/>
      <c r="BK155" s="31"/>
      <c r="BL155" s="31"/>
      <c r="BM155" s="31"/>
      <c r="BN155" s="31"/>
      <c r="BO155" s="31"/>
      <c r="BP155" s="31"/>
      <c r="BQ155" s="31"/>
      <c r="BR155" s="31"/>
      <c r="BS155" s="31"/>
      <c r="BT155" s="31"/>
      <c r="BU155" s="31"/>
      <c r="BV155" s="31"/>
      <c r="BW155" s="31"/>
      <c r="BX155" s="31"/>
      <c r="BY155" s="31"/>
      <c r="BZ155" s="31"/>
      <c r="CA155" s="31"/>
      <c r="CB155" s="31"/>
      <c r="CC155" s="31"/>
      <c r="CD155" s="31"/>
      <c r="CE155" s="31"/>
      <c r="CF155" s="31"/>
    </row>
    <row r="156" customFormat="false" ht="15.75" hidden="false" customHeight="true" outlineLevel="0" collapsed="false">
      <c r="A156" s="31" t="s">
        <v>16335</v>
      </c>
      <c r="B156" s="31" t="s">
        <v>19888</v>
      </c>
      <c r="C156" s="31" t="s">
        <v>19889</v>
      </c>
      <c r="D156" s="34" t="s">
        <v>19890</v>
      </c>
      <c r="E156" s="31" t="n">
        <v>2024</v>
      </c>
      <c r="F156" s="33" t="s">
        <v>19891</v>
      </c>
      <c r="G156" s="33" t="s">
        <v>134</v>
      </c>
      <c r="H156" s="32"/>
      <c r="I156" s="34"/>
      <c r="J156" s="34"/>
      <c r="K156" s="34"/>
      <c r="L156" s="34"/>
      <c r="M156" s="34"/>
      <c r="N156" s="34"/>
      <c r="O156" s="34"/>
      <c r="P156" s="34" t="n">
        <v>0</v>
      </c>
      <c r="Q156" s="31" t="n">
        <v>0</v>
      </c>
      <c r="R156" s="31" t="s">
        <v>61</v>
      </c>
      <c r="S156" s="31" t="s">
        <v>62</v>
      </c>
      <c r="T156" s="31" t="s">
        <v>16413</v>
      </c>
      <c r="U156" s="31" t="n">
        <v>14</v>
      </c>
      <c r="V156" s="31" t="s">
        <v>16414</v>
      </c>
      <c r="W156" s="31" t="n">
        <v>1</v>
      </c>
      <c r="X156" s="31" t="s">
        <v>19892</v>
      </c>
      <c r="Y156" s="31"/>
      <c r="Z156" s="31" t="s">
        <v>19893</v>
      </c>
      <c r="AA156" s="31" t="s">
        <v>19894</v>
      </c>
      <c r="AB156" s="31" t="s">
        <v>19895</v>
      </c>
      <c r="AC156" s="31" t="s">
        <v>19896</v>
      </c>
      <c r="AD156" s="31"/>
      <c r="AE156" s="31"/>
      <c r="AF156" s="31" t="s">
        <v>19897</v>
      </c>
      <c r="AG156" s="31" t="s">
        <v>19897</v>
      </c>
      <c r="AH156" s="31" t="s">
        <v>19898</v>
      </c>
      <c r="AI156" s="31" t="n">
        <v>34</v>
      </c>
      <c r="AJ156" s="31" t="n">
        <v>2</v>
      </c>
      <c r="AK156" s="31" t="n">
        <v>2</v>
      </c>
      <c r="AL156" s="31" t="s">
        <v>16421</v>
      </c>
      <c r="AM156" s="31" t="s">
        <v>16422</v>
      </c>
      <c r="AN156" s="31" t="s">
        <v>16423</v>
      </c>
      <c r="AO156" s="31"/>
      <c r="AP156" s="31" t="s">
        <v>16424</v>
      </c>
      <c r="AQ156" s="31" t="s">
        <v>16425</v>
      </c>
      <c r="AR156" s="31" t="s">
        <v>18532</v>
      </c>
      <c r="AS156" s="31"/>
      <c r="AT156" s="31"/>
      <c r="AU156" s="31" t="n">
        <v>25851</v>
      </c>
      <c r="AV156" s="31" t="s">
        <v>19899</v>
      </c>
      <c r="AW156" s="35" t="str">
        <f aca="false">HYPERLINK("http://dx.doi.org/10.1038/s41598-024-76089-3","http://dx.doi.org/10.1038/s41598-024-76089-3")</f>
        <v>http://dx.doi.org/10.1038/s41598-024-76089-3</v>
      </c>
      <c r="AX156" s="31"/>
      <c r="AY156" s="31" t="n">
        <v>10</v>
      </c>
      <c r="AZ156" s="31" t="s">
        <v>16428</v>
      </c>
      <c r="BA156" s="31" t="s">
        <v>16366</v>
      </c>
      <c r="BB156" s="31" t="s">
        <v>16429</v>
      </c>
      <c r="BC156" s="31" t="s">
        <v>19900</v>
      </c>
      <c r="BD156" s="31" t="n">
        <v>39468157</v>
      </c>
      <c r="BE156" s="31" t="s">
        <v>16431</v>
      </c>
      <c r="BF156" s="31" t="s">
        <v>16369</v>
      </c>
      <c r="BG156" s="31" t="s">
        <v>19901</v>
      </c>
      <c r="BH156" s="31" t="str">
        <f aca="false">HYPERLINK("https%3A%2F%2Fwww.webofscience.com%2Fwos%2Fwoscc%2Ffull-record%2FWOS:001345716800111","View Full Record in Web of Science")</f>
        <v>View Full Record in Web of Science</v>
      </c>
      <c r="BI156" s="31"/>
      <c r="BJ156" s="31"/>
      <c r="BK156" s="31"/>
      <c r="BL156" s="31"/>
      <c r="BM156" s="31"/>
      <c r="BN156" s="31"/>
      <c r="BO156" s="31"/>
      <c r="BP156" s="31"/>
      <c r="BQ156" s="31"/>
      <c r="BR156" s="31"/>
      <c r="BS156" s="31"/>
      <c r="BT156" s="31"/>
      <c r="BU156" s="31"/>
      <c r="BV156" s="31"/>
      <c r="BW156" s="31"/>
      <c r="BX156" s="31"/>
      <c r="BY156" s="31"/>
      <c r="BZ156" s="31"/>
      <c r="CA156" s="31"/>
      <c r="CB156" s="31"/>
      <c r="CC156" s="31"/>
      <c r="CD156" s="31"/>
      <c r="CE156" s="31"/>
      <c r="CF156" s="31"/>
    </row>
    <row r="157" customFormat="false" ht="15.75" hidden="false" customHeight="true" outlineLevel="0" collapsed="false">
      <c r="A157" s="31" t="s">
        <v>16335</v>
      </c>
      <c r="B157" s="31" t="s">
        <v>19902</v>
      </c>
      <c r="C157" s="31" t="s">
        <v>19903</v>
      </c>
      <c r="D157" s="34" t="s">
        <v>19904</v>
      </c>
      <c r="E157" s="31" t="n">
        <v>2024</v>
      </c>
      <c r="F157" s="33" t="s">
        <v>19905</v>
      </c>
      <c r="G157" s="33" t="s">
        <v>349</v>
      </c>
      <c r="H157" s="32"/>
      <c r="I157" s="34"/>
      <c r="J157" s="34"/>
      <c r="K157" s="34"/>
      <c r="L157" s="34"/>
      <c r="M157" s="34"/>
      <c r="N157" s="34"/>
      <c r="O157" s="34"/>
      <c r="P157" s="34" t="n">
        <v>0</v>
      </c>
      <c r="Q157" s="31" t="n">
        <v>0</v>
      </c>
      <c r="R157" s="31" t="s">
        <v>61</v>
      </c>
      <c r="S157" s="31" t="s">
        <v>62</v>
      </c>
      <c r="T157" s="31" t="s">
        <v>19906</v>
      </c>
      <c r="U157" s="31" t="n">
        <v>46</v>
      </c>
      <c r="V157" s="31" t="s">
        <v>16349</v>
      </c>
      <c r="W157" s="31"/>
      <c r="X157" s="31" t="s">
        <v>19907</v>
      </c>
      <c r="Y157" s="31" t="s">
        <v>19908</v>
      </c>
      <c r="Z157" s="31" t="s">
        <v>19909</v>
      </c>
      <c r="AA157" s="31"/>
      <c r="AB157" s="31" t="s">
        <v>19910</v>
      </c>
      <c r="AC157" s="31" t="s">
        <v>19911</v>
      </c>
      <c r="AD157" s="31"/>
      <c r="AE157" s="31" t="s">
        <v>19912</v>
      </c>
      <c r="AF157" s="31" t="s">
        <v>19913</v>
      </c>
      <c r="AG157" s="31" t="s">
        <v>19913</v>
      </c>
      <c r="AH157" s="31" t="s">
        <v>19914</v>
      </c>
      <c r="AI157" s="31" t="n">
        <v>48</v>
      </c>
      <c r="AJ157" s="31" t="n">
        <v>0</v>
      </c>
      <c r="AK157" s="31" t="n">
        <v>1</v>
      </c>
      <c r="AL157" s="31" t="s">
        <v>16356</v>
      </c>
      <c r="AM157" s="31" t="s">
        <v>16357</v>
      </c>
      <c r="AN157" s="31" t="s">
        <v>19915</v>
      </c>
      <c r="AO157" s="31"/>
      <c r="AP157" s="31" t="s">
        <v>19916</v>
      </c>
      <c r="AQ157" s="31" t="s">
        <v>19917</v>
      </c>
      <c r="AR157" s="31" t="s">
        <v>17139</v>
      </c>
      <c r="AS157" s="31" t="s">
        <v>19918</v>
      </c>
      <c r="AT157" s="31" t="s">
        <v>19919</v>
      </c>
      <c r="AU157" s="31"/>
      <c r="AV157" s="31" t="s">
        <v>19920</v>
      </c>
      <c r="AW157" s="35" t="str">
        <f aca="false">HYPERLINK("http://dx.doi.org/10.1016/j.htct.2023.09.2365","http://dx.doi.org/10.1016/j.htct.2023.09.2365")</f>
        <v>http://dx.doi.org/10.1016/j.htct.2023.09.2365</v>
      </c>
      <c r="AX157" s="31" t="s">
        <v>18468</v>
      </c>
      <c r="AY157" s="31" t="n">
        <v>11</v>
      </c>
      <c r="AZ157" s="31" t="s">
        <v>19921</v>
      </c>
      <c r="BA157" s="31" t="s">
        <v>16684</v>
      </c>
      <c r="BB157" s="31" t="s">
        <v>19921</v>
      </c>
      <c r="BC157" s="31" t="s">
        <v>19922</v>
      </c>
      <c r="BD157" s="31" t="n">
        <v>37996385</v>
      </c>
      <c r="BE157" s="31" t="s">
        <v>16431</v>
      </c>
      <c r="BF157" s="31" t="s">
        <v>16369</v>
      </c>
      <c r="BG157" s="31" t="s">
        <v>19923</v>
      </c>
      <c r="BH157" s="31" t="str">
        <f aca="false">HYPERLINK("https%3A%2F%2Fwww.webofscience.com%2Fwos%2Fwoscc%2Ffull-record%2FWOS:001377265500004","View Full Record in Web of Science")</f>
        <v>View Full Record in Web of Science</v>
      </c>
      <c r="BI157" s="31"/>
      <c r="BJ157" s="31"/>
      <c r="BK157" s="31"/>
      <c r="BL157" s="31"/>
      <c r="BM157" s="31"/>
      <c r="BN157" s="31"/>
      <c r="BO157" s="31"/>
      <c r="BP157" s="31"/>
      <c r="BQ157" s="31"/>
      <c r="BR157" s="31" t="n">
        <v>5</v>
      </c>
      <c r="BS157" s="31"/>
      <c r="BT157" s="31"/>
      <c r="BU157" s="31"/>
      <c r="BV157" s="31"/>
      <c r="BW157" s="31"/>
      <c r="BX157" s="31"/>
      <c r="BY157" s="31"/>
      <c r="BZ157" s="31"/>
      <c r="CA157" s="31"/>
      <c r="CB157" s="31"/>
      <c r="CC157" s="31"/>
      <c r="CD157" s="31"/>
      <c r="CE157" s="31"/>
      <c r="CF157" s="31"/>
    </row>
    <row r="158" customFormat="false" ht="15.75" hidden="false" customHeight="true" outlineLevel="0" collapsed="false">
      <c r="A158" s="31" t="s">
        <v>16335</v>
      </c>
      <c r="B158" s="31" t="s">
        <v>19924</v>
      </c>
      <c r="C158" s="31" t="s">
        <v>19925</v>
      </c>
      <c r="D158" s="34" t="s">
        <v>19926</v>
      </c>
      <c r="E158" s="31" t="n">
        <v>2024</v>
      </c>
      <c r="F158" s="33" t="s">
        <v>19927</v>
      </c>
      <c r="G158" s="33" t="s">
        <v>134</v>
      </c>
      <c r="H158" s="32"/>
      <c r="I158" s="34"/>
      <c r="J158" s="34"/>
      <c r="K158" s="34"/>
      <c r="L158" s="34"/>
      <c r="M158" s="34"/>
      <c r="N158" s="34"/>
      <c r="O158" s="34"/>
      <c r="P158" s="34" t="n">
        <v>0</v>
      </c>
      <c r="Q158" s="31" t="n">
        <v>0</v>
      </c>
      <c r="R158" s="31" t="s">
        <v>61</v>
      </c>
      <c r="S158" s="31" t="s">
        <v>62</v>
      </c>
      <c r="T158" s="31" t="s">
        <v>19928</v>
      </c>
      <c r="U158" s="31" t="n">
        <v>12</v>
      </c>
      <c r="V158" s="31" t="s">
        <v>4048</v>
      </c>
      <c r="W158" s="31" t="n">
        <v>12</v>
      </c>
      <c r="X158" s="31" t="s">
        <v>19929</v>
      </c>
      <c r="Y158" s="31" t="s">
        <v>19930</v>
      </c>
      <c r="Z158" s="31" t="s">
        <v>19931</v>
      </c>
      <c r="AA158" s="31" t="s">
        <v>19932</v>
      </c>
      <c r="AB158" s="31" t="s">
        <v>19933</v>
      </c>
      <c r="AC158" s="31" t="s">
        <v>19934</v>
      </c>
      <c r="AD158" s="31" t="s">
        <v>19935</v>
      </c>
      <c r="AE158" s="31" t="s">
        <v>19936</v>
      </c>
      <c r="AF158" s="31" t="s">
        <v>19937</v>
      </c>
      <c r="AG158" s="31" t="s">
        <v>19938</v>
      </c>
      <c r="AH158" s="31" t="s">
        <v>19939</v>
      </c>
      <c r="AI158" s="31" t="n">
        <v>36</v>
      </c>
      <c r="AJ158" s="31" t="n">
        <v>0</v>
      </c>
      <c r="AK158" s="31" t="n">
        <v>0</v>
      </c>
      <c r="AL158" s="31" t="s">
        <v>16769</v>
      </c>
      <c r="AM158" s="31" t="s">
        <v>16770</v>
      </c>
      <c r="AN158" s="31"/>
      <c r="AO158" s="31" t="s">
        <v>19940</v>
      </c>
      <c r="AP158" s="31" t="s">
        <v>19928</v>
      </c>
      <c r="AQ158" s="31" t="s">
        <v>19941</v>
      </c>
      <c r="AR158" s="31" t="s">
        <v>16649</v>
      </c>
      <c r="AS158" s="31"/>
      <c r="AT158" s="31"/>
      <c r="AU158" s="31" t="n">
        <v>247</v>
      </c>
      <c r="AV158" s="31" t="s">
        <v>19942</v>
      </c>
      <c r="AW158" s="35" t="str">
        <f aca="false">HYPERLINK("http://dx.doi.org/10.3390/technologies12120247","http://dx.doi.org/10.3390/technologies12120247")</f>
        <v>http://dx.doi.org/10.3390/technologies12120247</v>
      </c>
      <c r="AX158" s="31"/>
      <c r="AY158" s="31" t="n">
        <v>12</v>
      </c>
      <c r="AZ158" s="31" t="s">
        <v>19943</v>
      </c>
      <c r="BA158" s="31" t="s">
        <v>16684</v>
      </c>
      <c r="BB158" s="31" t="s">
        <v>18429</v>
      </c>
      <c r="BC158" s="31" t="s">
        <v>19944</v>
      </c>
      <c r="BD158" s="31"/>
      <c r="BE158" s="31" t="s">
        <v>16431</v>
      </c>
      <c r="BF158" s="31" t="s">
        <v>16369</v>
      </c>
      <c r="BG158" s="31" t="s">
        <v>19945</v>
      </c>
      <c r="BH158" s="31" t="str">
        <f aca="false">HYPERLINK("https%3A%2F%2Fwww.webofscience.com%2Fwos%2Fwoscc%2Ffull-record%2FWOS:001383701200001","View Full Record in Web of Science")</f>
        <v>View Full Record in Web of Science</v>
      </c>
      <c r="BI158" s="31"/>
      <c r="BJ158" s="31"/>
      <c r="BK158" s="31"/>
      <c r="BL158" s="31"/>
      <c r="BM158" s="31"/>
      <c r="BN158" s="31"/>
      <c r="BO158" s="31"/>
      <c r="BP158" s="31"/>
      <c r="BQ158" s="31"/>
      <c r="BR158" s="31"/>
      <c r="BS158" s="31"/>
      <c r="BT158" s="31"/>
      <c r="BU158" s="31"/>
      <c r="BV158" s="31"/>
      <c r="BW158" s="31"/>
      <c r="BX158" s="31"/>
      <c r="BY158" s="31"/>
      <c r="BZ158" s="31"/>
      <c r="CA158" s="31"/>
      <c r="CB158" s="31"/>
      <c r="CC158" s="31"/>
      <c r="CD158" s="31"/>
      <c r="CE158" s="31"/>
      <c r="CF158" s="31"/>
    </row>
    <row r="159" customFormat="false" ht="15.75" hidden="false" customHeight="true" outlineLevel="0" collapsed="false">
      <c r="A159" s="31" t="s">
        <v>16335</v>
      </c>
      <c r="B159" s="31" t="s">
        <v>19946</v>
      </c>
      <c r="C159" s="31" t="s">
        <v>19947</v>
      </c>
      <c r="D159" s="34" t="s">
        <v>19948</v>
      </c>
      <c r="E159" s="31" t="n">
        <v>2024</v>
      </c>
      <c r="F159" s="33" t="s">
        <v>19949</v>
      </c>
      <c r="G159" s="33" t="s">
        <v>290</v>
      </c>
      <c r="H159" s="32"/>
      <c r="I159" s="34"/>
      <c r="J159" s="34"/>
      <c r="K159" s="34"/>
      <c r="L159" s="34"/>
      <c r="M159" s="34"/>
      <c r="N159" s="34"/>
      <c r="O159" s="34"/>
      <c r="P159" s="34" t="n">
        <v>2</v>
      </c>
      <c r="Q159" s="31" t="n">
        <v>2</v>
      </c>
      <c r="R159" s="31" t="s">
        <v>61</v>
      </c>
      <c r="S159" s="31" t="s">
        <v>62</v>
      </c>
      <c r="T159" s="31" t="s">
        <v>19950</v>
      </c>
      <c r="U159" s="31" t="n">
        <v>277</v>
      </c>
      <c r="V159" s="31" t="s">
        <v>16632</v>
      </c>
      <c r="W159" s="31"/>
      <c r="X159" s="31" t="s">
        <v>19951</v>
      </c>
      <c r="Y159" s="31" t="s">
        <v>19952</v>
      </c>
      <c r="Z159" s="31" t="s">
        <v>19953</v>
      </c>
      <c r="AA159" s="31" t="s">
        <v>19954</v>
      </c>
      <c r="AB159" s="31" t="s">
        <v>19955</v>
      </c>
      <c r="AC159" s="31" t="s">
        <v>19956</v>
      </c>
      <c r="AD159" s="31"/>
      <c r="AE159" s="31" t="s">
        <v>19957</v>
      </c>
      <c r="AF159" s="31" t="s">
        <v>19958</v>
      </c>
      <c r="AG159" s="31" t="s">
        <v>19959</v>
      </c>
      <c r="AH159" s="31" t="s">
        <v>19960</v>
      </c>
      <c r="AI159" s="31" t="n">
        <v>101</v>
      </c>
      <c r="AJ159" s="31" t="n">
        <v>13</v>
      </c>
      <c r="AK159" s="31" t="n">
        <v>13</v>
      </c>
      <c r="AL159" s="31" t="s">
        <v>16644</v>
      </c>
      <c r="AM159" s="31" t="s">
        <v>16645</v>
      </c>
      <c r="AN159" s="31" t="s">
        <v>19961</v>
      </c>
      <c r="AO159" s="31" t="s">
        <v>19962</v>
      </c>
      <c r="AP159" s="31" t="s">
        <v>19963</v>
      </c>
      <c r="AQ159" s="31" t="s">
        <v>12924</v>
      </c>
      <c r="AR159" s="31" t="s">
        <v>19964</v>
      </c>
      <c r="AS159" s="31"/>
      <c r="AT159" s="31"/>
      <c r="AU159" s="31" t="n">
        <v>116776</v>
      </c>
      <c r="AV159" s="31" t="s">
        <v>19965</v>
      </c>
      <c r="AW159" s="35" t="str">
        <f aca="false">HYPERLINK("http://dx.doi.org/10.1016/j.ejmech.2024.116776","http://dx.doi.org/10.1016/j.ejmech.2024.116776")</f>
        <v>http://dx.doi.org/10.1016/j.ejmech.2024.116776</v>
      </c>
      <c r="AX159" s="31" t="s">
        <v>16890</v>
      </c>
      <c r="AY159" s="31" t="n">
        <v>18</v>
      </c>
      <c r="AZ159" s="31" t="s">
        <v>19761</v>
      </c>
      <c r="BA159" s="31" t="s">
        <v>16366</v>
      </c>
      <c r="BB159" s="31" t="s">
        <v>18125</v>
      </c>
      <c r="BC159" s="31" t="s">
        <v>19966</v>
      </c>
      <c r="BD159" s="31" t="n">
        <v>39173285</v>
      </c>
      <c r="BE159" s="31"/>
      <c r="BF159" s="31" t="s">
        <v>16369</v>
      </c>
      <c r="BG159" s="31" t="s">
        <v>19967</v>
      </c>
      <c r="BH159" s="31" t="str">
        <f aca="false">HYPERLINK("https%3A%2F%2Fwww.webofscience.com%2Fwos%2Fwoscc%2Ffull-record%2FWOS:001302153100001","View Full Record in Web of Science")</f>
        <v>View Full Record in Web of Science</v>
      </c>
      <c r="BI159" s="31"/>
      <c r="BJ159" s="31"/>
      <c r="BK159" s="31"/>
      <c r="BL159" s="31"/>
      <c r="BM159" s="31"/>
      <c r="BN159" s="31"/>
      <c r="BO159" s="31"/>
      <c r="BP159" s="31"/>
      <c r="BQ159" s="31"/>
      <c r="BR159" s="31"/>
      <c r="BS159" s="31"/>
      <c r="BT159" s="31"/>
      <c r="BU159" s="31"/>
      <c r="BV159" s="31"/>
      <c r="BW159" s="31"/>
      <c r="BX159" s="31"/>
      <c r="BY159" s="31"/>
      <c r="BZ159" s="31"/>
      <c r="CA159" s="31"/>
      <c r="CB159" s="31"/>
      <c r="CC159" s="31"/>
      <c r="CD159" s="31"/>
      <c r="CE159" s="31"/>
      <c r="CF159" s="31"/>
    </row>
    <row r="160" customFormat="false" ht="15.75" hidden="false" customHeight="true" outlineLevel="0" collapsed="false">
      <c r="A160" s="31" t="s">
        <v>16335</v>
      </c>
      <c r="B160" s="31" t="s">
        <v>19968</v>
      </c>
      <c r="C160" s="31" t="s">
        <v>19969</v>
      </c>
      <c r="D160" s="34" t="s">
        <v>19970</v>
      </c>
      <c r="E160" s="31" t="n">
        <v>2024</v>
      </c>
      <c r="F160" s="33" t="s">
        <v>19971</v>
      </c>
      <c r="G160" s="33" t="s">
        <v>349</v>
      </c>
      <c r="H160" s="32"/>
      <c r="I160" s="34"/>
      <c r="J160" s="34"/>
      <c r="K160" s="34"/>
      <c r="L160" s="34"/>
      <c r="M160" s="34"/>
      <c r="N160" s="34"/>
      <c r="O160" s="34"/>
      <c r="P160" s="34" t="n">
        <v>0</v>
      </c>
      <c r="Q160" s="31" t="n">
        <v>0</v>
      </c>
      <c r="R160" s="31" t="s">
        <v>61</v>
      </c>
      <c r="S160" s="31" t="s">
        <v>62</v>
      </c>
      <c r="T160" s="31" t="s">
        <v>16530</v>
      </c>
      <c r="U160" s="31" t="n">
        <v>31</v>
      </c>
      <c r="V160" s="31" t="s">
        <v>16531</v>
      </c>
      <c r="W160" s="31" t="n">
        <v>8</v>
      </c>
      <c r="X160" s="31" t="s">
        <v>19972</v>
      </c>
      <c r="Y160" s="31" t="s">
        <v>19973</v>
      </c>
      <c r="Z160" s="31" t="s">
        <v>19974</v>
      </c>
      <c r="AA160" s="31" t="s">
        <v>19975</v>
      </c>
      <c r="AB160" s="31" t="s">
        <v>19976</v>
      </c>
      <c r="AC160" s="31" t="s">
        <v>19977</v>
      </c>
      <c r="AD160" s="31" t="s">
        <v>19978</v>
      </c>
      <c r="AE160" s="31" t="s">
        <v>19979</v>
      </c>
      <c r="AF160" s="31" t="s">
        <v>19980</v>
      </c>
      <c r="AG160" s="31" t="s">
        <v>19981</v>
      </c>
      <c r="AH160" s="31" t="s">
        <v>19982</v>
      </c>
      <c r="AI160" s="31" t="n">
        <v>31</v>
      </c>
      <c r="AJ160" s="31" t="n">
        <v>1</v>
      </c>
      <c r="AK160" s="31" t="n">
        <v>1</v>
      </c>
      <c r="AL160" s="31" t="s">
        <v>16539</v>
      </c>
      <c r="AM160" s="31" t="s">
        <v>16540</v>
      </c>
      <c r="AN160" s="31" t="s">
        <v>16541</v>
      </c>
      <c r="AO160" s="31" t="s">
        <v>16542</v>
      </c>
      <c r="AP160" s="31" t="s">
        <v>16543</v>
      </c>
      <c r="AQ160" s="31" t="s">
        <v>16544</v>
      </c>
      <c r="AR160" s="31" t="s">
        <v>19983</v>
      </c>
      <c r="AS160" s="31"/>
      <c r="AT160" s="31"/>
      <c r="AU160" s="31"/>
      <c r="AV160" s="31" t="s">
        <v>19984</v>
      </c>
      <c r="AW160" s="35" t="str">
        <f aca="false">HYPERLINK("http://dx.doi.org/10.1093/jtm/taae054","http://dx.doi.org/10.1093/jtm/taae054")</f>
        <v>http://dx.doi.org/10.1093/jtm/taae054</v>
      </c>
      <c r="AX160" s="31" t="s">
        <v>18977</v>
      </c>
      <c r="AY160" s="31" t="n">
        <v>9</v>
      </c>
      <c r="AZ160" s="31" t="s">
        <v>16548</v>
      </c>
      <c r="BA160" s="31" t="s">
        <v>16366</v>
      </c>
      <c r="BB160" s="31" t="s">
        <v>16549</v>
      </c>
      <c r="BC160" s="31" t="s">
        <v>19985</v>
      </c>
      <c r="BD160" s="31" t="n">
        <v>38578987</v>
      </c>
      <c r="BE160" s="31"/>
      <c r="BF160" s="31" t="s">
        <v>16369</v>
      </c>
      <c r="BG160" s="31" t="s">
        <v>19986</v>
      </c>
      <c r="BH160" s="31" t="str">
        <f aca="false">HYPERLINK("https%3A%2F%2Fwww.webofscience.com%2Fwos%2Fwoscc%2Ffull-record%2FWOS:001216226400001","View Full Record in Web of Science")</f>
        <v>View Full Record in Web of Science</v>
      </c>
      <c r="BI160" s="31"/>
      <c r="BJ160" s="31"/>
      <c r="BK160" s="31"/>
      <c r="BL160" s="31"/>
      <c r="BM160" s="31"/>
      <c r="BN160" s="31"/>
      <c r="BO160" s="31"/>
      <c r="BP160" s="31"/>
      <c r="BQ160" s="31"/>
      <c r="BR160" s="31"/>
      <c r="BS160" s="31"/>
      <c r="BT160" s="31"/>
      <c r="BU160" s="31"/>
      <c r="BV160" s="31"/>
      <c r="BW160" s="31"/>
      <c r="BX160" s="31"/>
      <c r="BY160" s="31"/>
      <c r="BZ160" s="31"/>
      <c r="CA160" s="31"/>
      <c r="CB160" s="31"/>
      <c r="CC160" s="31"/>
      <c r="CD160" s="31"/>
      <c r="CE160" s="31"/>
      <c r="CF160" s="31"/>
    </row>
    <row r="161" customFormat="false" ht="15.75" hidden="false" customHeight="true" outlineLevel="0" collapsed="false">
      <c r="A161" s="31" t="s">
        <v>16335</v>
      </c>
      <c r="B161" s="31" t="s">
        <v>19987</v>
      </c>
      <c r="C161" s="31" t="s">
        <v>19988</v>
      </c>
      <c r="D161" s="34" t="s">
        <v>19989</v>
      </c>
      <c r="E161" s="31" t="n">
        <v>2024</v>
      </c>
      <c r="F161" s="33" t="s">
        <v>19990</v>
      </c>
      <c r="G161" s="33" t="s">
        <v>349</v>
      </c>
      <c r="H161" s="32"/>
      <c r="I161" s="34"/>
      <c r="J161" s="34"/>
      <c r="K161" s="34"/>
      <c r="L161" s="34"/>
      <c r="M161" s="34"/>
      <c r="N161" s="34"/>
      <c r="O161" s="34"/>
      <c r="P161" s="34" t="n">
        <v>0</v>
      </c>
      <c r="Q161" s="31" t="n">
        <v>0</v>
      </c>
      <c r="R161" s="31" t="s">
        <v>61</v>
      </c>
      <c r="S161" s="31" t="s">
        <v>62</v>
      </c>
      <c r="T161" s="31" t="s">
        <v>19991</v>
      </c>
      <c r="U161" s="31" t="n">
        <v>20</v>
      </c>
      <c r="V161" s="31" t="s">
        <v>16600</v>
      </c>
      <c r="W161" s="31" t="n">
        <v>5</v>
      </c>
      <c r="X161" s="31" t="s">
        <v>19992</v>
      </c>
      <c r="Y161" s="31" t="s">
        <v>19993</v>
      </c>
      <c r="Z161" s="31" t="s">
        <v>19994</v>
      </c>
      <c r="AA161" s="31" t="s">
        <v>19995</v>
      </c>
      <c r="AB161" s="31" t="s">
        <v>19996</v>
      </c>
      <c r="AC161" s="31" t="s">
        <v>19997</v>
      </c>
      <c r="AD161" s="31" t="s">
        <v>19998</v>
      </c>
      <c r="AE161" s="31" t="s">
        <v>19999</v>
      </c>
      <c r="AF161" s="31" t="s">
        <v>20000</v>
      </c>
      <c r="AG161" s="31" t="s">
        <v>20001</v>
      </c>
      <c r="AH161" s="31" t="s">
        <v>20002</v>
      </c>
      <c r="AI161" s="31" t="n">
        <v>61</v>
      </c>
      <c r="AJ161" s="31" t="n">
        <v>9</v>
      </c>
      <c r="AK161" s="31" t="n">
        <v>9</v>
      </c>
      <c r="AL161" s="31" t="s">
        <v>16990</v>
      </c>
      <c r="AM161" s="31" t="s">
        <v>16991</v>
      </c>
      <c r="AN161" s="31" t="s">
        <v>20003</v>
      </c>
      <c r="AO161" s="31" t="s">
        <v>20004</v>
      </c>
      <c r="AP161" s="31" t="s">
        <v>19991</v>
      </c>
      <c r="AQ161" s="31" t="s">
        <v>20005</v>
      </c>
      <c r="AR161" s="31" t="s">
        <v>20006</v>
      </c>
      <c r="AS161" s="31"/>
      <c r="AT161" s="31"/>
      <c r="AU161" s="31" t="n">
        <v>104</v>
      </c>
      <c r="AV161" s="31" t="s">
        <v>20007</v>
      </c>
      <c r="AW161" s="35" t="str">
        <f aca="false">HYPERLINK("http://dx.doi.org/10.1007/s11306-024-02169-0","http://dx.doi.org/10.1007/s11306-024-02169-0")</f>
        <v>http://dx.doi.org/10.1007/s11306-024-02169-0</v>
      </c>
      <c r="AX161" s="31"/>
      <c r="AY161" s="31" t="n">
        <v>17</v>
      </c>
      <c r="AZ161" s="31" t="s">
        <v>20008</v>
      </c>
      <c r="BA161" s="31" t="s">
        <v>16366</v>
      </c>
      <c r="BB161" s="31" t="s">
        <v>20008</v>
      </c>
      <c r="BC161" s="31" t="s">
        <v>20009</v>
      </c>
      <c r="BD161" s="31" t="n">
        <v>39305446</v>
      </c>
      <c r="BE161" s="31"/>
      <c r="BF161" s="31" t="s">
        <v>16369</v>
      </c>
      <c r="BG161" s="31" t="s">
        <v>20010</v>
      </c>
      <c r="BH161" s="31" t="str">
        <f aca="false">HYPERLINK("https%3A%2F%2Fwww.webofscience.com%2Fwos%2Fwoscc%2Ffull-record%2FWOS:001318074800004","View Full Record in Web of Science")</f>
        <v>View Full Record in Web of Science</v>
      </c>
      <c r="BI161" s="31"/>
      <c r="BJ161" s="31"/>
      <c r="BK161" s="31"/>
      <c r="BL161" s="31"/>
      <c r="BM161" s="31"/>
      <c r="BN161" s="31"/>
      <c r="BO161" s="31"/>
      <c r="BP161" s="31"/>
      <c r="BQ161" s="31"/>
      <c r="BR161" s="31"/>
      <c r="BS161" s="31"/>
      <c r="BT161" s="31"/>
      <c r="BU161" s="31"/>
      <c r="BV161" s="31"/>
      <c r="BW161" s="31"/>
      <c r="BX161" s="31"/>
      <c r="BY161" s="31"/>
      <c r="BZ161" s="31"/>
      <c r="CA161" s="31"/>
      <c r="CB161" s="31"/>
      <c r="CC161" s="31"/>
      <c r="CD161" s="31"/>
      <c r="CE161" s="31"/>
      <c r="CF161" s="31"/>
    </row>
    <row r="162" customFormat="false" ht="15.75" hidden="false" customHeight="true" outlineLevel="0" collapsed="false">
      <c r="A162" s="31" t="s">
        <v>16335</v>
      </c>
      <c r="B162" s="31" t="s">
        <v>20011</v>
      </c>
      <c r="C162" s="31" t="s">
        <v>16779</v>
      </c>
      <c r="D162" s="34" t="s">
        <v>20012</v>
      </c>
      <c r="E162" s="31" t="n">
        <v>2024</v>
      </c>
      <c r="F162" s="33" t="s">
        <v>20013</v>
      </c>
      <c r="G162" s="33" t="s">
        <v>134</v>
      </c>
      <c r="H162" s="32"/>
      <c r="I162" s="34"/>
      <c r="J162" s="34"/>
      <c r="K162" s="34"/>
      <c r="L162" s="34"/>
      <c r="M162" s="34"/>
      <c r="N162" s="34"/>
      <c r="O162" s="34"/>
      <c r="P162" s="34" t="n">
        <v>1</v>
      </c>
      <c r="Q162" s="31" t="n">
        <v>1</v>
      </c>
      <c r="R162" s="31" t="s">
        <v>61</v>
      </c>
      <c r="S162" s="31" t="s">
        <v>62</v>
      </c>
      <c r="T162" s="31" t="s">
        <v>20014</v>
      </c>
      <c r="U162" s="31" t="n">
        <v>16</v>
      </c>
      <c r="V162" s="31" t="s">
        <v>4048</v>
      </c>
      <c r="W162" s="31" t="n">
        <v>7</v>
      </c>
      <c r="X162" s="31" t="s">
        <v>20015</v>
      </c>
      <c r="Y162" s="31" t="s">
        <v>20016</v>
      </c>
      <c r="Z162" s="31" t="s">
        <v>20017</v>
      </c>
      <c r="AA162" s="31" t="s">
        <v>16791</v>
      </c>
      <c r="AB162" s="31" t="s">
        <v>20018</v>
      </c>
      <c r="AC162" s="31" t="s">
        <v>16793</v>
      </c>
      <c r="AD162" s="31" t="s">
        <v>16794</v>
      </c>
      <c r="AE162" s="31" t="s">
        <v>20019</v>
      </c>
      <c r="AF162" s="31" t="s">
        <v>20020</v>
      </c>
      <c r="AG162" s="31" t="s">
        <v>20021</v>
      </c>
      <c r="AH162" s="31" t="s">
        <v>20022</v>
      </c>
      <c r="AI162" s="31" t="n">
        <v>51</v>
      </c>
      <c r="AJ162" s="31" t="n">
        <v>1</v>
      </c>
      <c r="AK162" s="31" t="n">
        <v>1</v>
      </c>
      <c r="AL162" s="31" t="s">
        <v>16769</v>
      </c>
      <c r="AM162" s="31" t="s">
        <v>16770</v>
      </c>
      <c r="AN162" s="31"/>
      <c r="AO162" s="31" t="s">
        <v>20023</v>
      </c>
      <c r="AP162" s="31" t="s">
        <v>20014</v>
      </c>
      <c r="AQ162" s="31" t="s">
        <v>20024</v>
      </c>
      <c r="AR162" s="31" t="s">
        <v>20025</v>
      </c>
      <c r="AS162" s="31"/>
      <c r="AT162" s="31"/>
      <c r="AU162" s="31" t="n">
        <v>1088</v>
      </c>
      <c r="AV162" s="31" t="s">
        <v>20026</v>
      </c>
      <c r="AW162" s="35" t="str">
        <f aca="false">HYPERLINK("http://dx.doi.org/10.3390/v16071088","http://dx.doi.org/10.3390/v16071088")</f>
        <v>http://dx.doi.org/10.3390/v16071088</v>
      </c>
      <c r="AX162" s="31"/>
      <c r="AY162" s="31" t="n">
        <v>17</v>
      </c>
      <c r="AZ162" s="31" t="s">
        <v>16914</v>
      </c>
      <c r="BA162" s="31" t="s">
        <v>16366</v>
      </c>
      <c r="BB162" s="31" t="s">
        <v>16914</v>
      </c>
      <c r="BC162" s="31" t="s">
        <v>20027</v>
      </c>
      <c r="BD162" s="31" t="n">
        <v>39066251</v>
      </c>
      <c r="BE162" s="31" t="s">
        <v>17143</v>
      </c>
      <c r="BF162" s="31" t="s">
        <v>16369</v>
      </c>
      <c r="BG162" s="31" t="s">
        <v>20028</v>
      </c>
      <c r="BH162" s="31" t="str">
        <f aca="false">HYPERLINK("https%3A%2F%2Fwww.webofscience.com%2Fwos%2Fwoscc%2Ffull-record%2FWOS:001277192300001","View Full Record in Web of Science")</f>
        <v>View Full Record in Web of Science</v>
      </c>
      <c r="BI162" s="31"/>
      <c r="BJ162" s="31"/>
      <c r="BK162" s="31"/>
      <c r="BL162" s="31"/>
      <c r="BM162" s="31"/>
      <c r="BN162" s="31"/>
      <c r="BO162" s="31"/>
      <c r="BP162" s="31"/>
      <c r="BQ162" s="31"/>
      <c r="BR162" s="31"/>
      <c r="BS162" s="31"/>
      <c r="BT162" s="31"/>
      <c r="BU162" s="31"/>
      <c r="BV162" s="31"/>
      <c r="BW162" s="31"/>
      <c r="BX162" s="31"/>
      <c r="BY162" s="31"/>
      <c r="BZ162" s="31"/>
      <c r="CA162" s="31"/>
      <c r="CB162" s="31"/>
      <c r="CC162" s="31"/>
      <c r="CD162" s="31"/>
      <c r="CE162" s="31"/>
      <c r="CF162" s="31"/>
    </row>
    <row r="163" customFormat="false" ht="15.75" hidden="false" customHeight="true" outlineLevel="0" collapsed="false">
      <c r="A163" s="31" t="s">
        <v>16335</v>
      </c>
      <c r="B163" s="31" t="s">
        <v>20029</v>
      </c>
      <c r="C163" s="31" t="s">
        <v>20030</v>
      </c>
      <c r="D163" s="34" t="s">
        <v>20031</v>
      </c>
      <c r="E163" s="31" t="n">
        <v>2024</v>
      </c>
      <c r="F163" s="33" t="s">
        <v>20032</v>
      </c>
      <c r="G163" s="33" t="s">
        <v>349</v>
      </c>
      <c r="H163" s="32"/>
      <c r="I163" s="34"/>
      <c r="J163" s="34"/>
      <c r="K163" s="34"/>
      <c r="L163" s="34"/>
      <c r="M163" s="34"/>
      <c r="N163" s="34"/>
      <c r="O163" s="34"/>
      <c r="P163" s="34" t="n">
        <v>6</v>
      </c>
      <c r="Q163" s="31" t="n">
        <v>6</v>
      </c>
      <c r="R163" s="31" t="s">
        <v>61</v>
      </c>
      <c r="S163" s="31" t="s">
        <v>62</v>
      </c>
      <c r="T163" s="31" t="s">
        <v>20033</v>
      </c>
      <c r="U163" s="31" t="n">
        <v>237</v>
      </c>
      <c r="V163" s="31" t="s">
        <v>18274</v>
      </c>
      <c r="W163" s="31"/>
      <c r="X163" s="31" t="s">
        <v>20034</v>
      </c>
      <c r="Y163" s="31" t="s">
        <v>20035</v>
      </c>
      <c r="Z163" s="31" t="s">
        <v>20036</v>
      </c>
      <c r="AA163" s="31" t="s">
        <v>20037</v>
      </c>
      <c r="AB163" s="31" t="s">
        <v>20038</v>
      </c>
      <c r="AC163" s="31" t="s">
        <v>20039</v>
      </c>
      <c r="AD163" s="31" t="s">
        <v>20040</v>
      </c>
      <c r="AE163" s="31" t="s">
        <v>20041</v>
      </c>
      <c r="AF163" s="31" t="s">
        <v>20042</v>
      </c>
      <c r="AG163" s="31" t="s">
        <v>20043</v>
      </c>
      <c r="AH163" s="31" t="s">
        <v>20044</v>
      </c>
      <c r="AI163" s="31" t="n">
        <v>75</v>
      </c>
      <c r="AJ163" s="31" t="n">
        <v>6</v>
      </c>
      <c r="AK163" s="31" t="n">
        <v>15</v>
      </c>
      <c r="AL163" s="31" t="s">
        <v>16575</v>
      </c>
      <c r="AM163" s="31" t="s">
        <v>18284</v>
      </c>
      <c r="AN163" s="31" t="s">
        <v>20045</v>
      </c>
      <c r="AO163" s="31" t="s">
        <v>20046</v>
      </c>
      <c r="AP163" s="31" t="s">
        <v>20047</v>
      </c>
      <c r="AQ163" s="31" t="s">
        <v>20048</v>
      </c>
      <c r="AR163" s="31" t="s">
        <v>20049</v>
      </c>
      <c r="AS163" s="31"/>
      <c r="AT163" s="31"/>
      <c r="AU163" s="31" t="n">
        <v>121490</v>
      </c>
      <c r="AV163" s="31" t="s">
        <v>20050</v>
      </c>
      <c r="AW163" s="35" t="str">
        <f aca="false">HYPERLINK("http://dx.doi.org/10.1016/j.eswa.2023.121490","http://dx.doi.org/10.1016/j.eswa.2023.121490")</f>
        <v>http://dx.doi.org/10.1016/j.eswa.2023.121490</v>
      </c>
      <c r="AX163" s="31" t="s">
        <v>18935</v>
      </c>
      <c r="AY163" s="31" t="n">
        <v>16</v>
      </c>
      <c r="AZ163" s="31" t="s">
        <v>20051</v>
      </c>
      <c r="BA163" s="31" t="s">
        <v>16366</v>
      </c>
      <c r="BB163" s="31" t="s">
        <v>20052</v>
      </c>
      <c r="BC163" s="31" t="s">
        <v>20053</v>
      </c>
      <c r="BD163" s="31"/>
      <c r="BE163" s="31"/>
      <c r="BF163" s="31" t="s">
        <v>16369</v>
      </c>
      <c r="BG163" s="31" t="s">
        <v>20054</v>
      </c>
      <c r="BH163" s="31" t="str">
        <f aca="false">HYPERLINK("https%3A%2F%2Fwww.webofscience.com%2Fwos%2Fwoscc%2Ffull-record%2FWOS:001081908500001","View Full Record in Web of Science")</f>
        <v>View Full Record in Web of Science</v>
      </c>
      <c r="BI163" s="31"/>
      <c r="BJ163" s="31"/>
      <c r="BK163" s="31"/>
      <c r="BL163" s="31"/>
      <c r="BM163" s="31"/>
      <c r="BN163" s="31"/>
      <c r="BO163" s="31"/>
      <c r="BP163" s="31"/>
      <c r="BQ163" s="31" t="s">
        <v>20055</v>
      </c>
      <c r="BR163" s="31"/>
      <c r="BS163" s="31"/>
      <c r="BT163" s="31"/>
      <c r="BU163" s="31"/>
      <c r="BV163" s="31"/>
      <c r="BW163" s="31"/>
      <c r="BX163" s="31"/>
      <c r="BY163" s="31"/>
      <c r="BZ163" s="31"/>
      <c r="CA163" s="31"/>
      <c r="CB163" s="31"/>
      <c r="CC163" s="31"/>
      <c r="CD163" s="31"/>
      <c r="CE163" s="31"/>
      <c r="CF163" s="31"/>
    </row>
    <row r="164" customFormat="false" ht="15.75" hidden="false" customHeight="true" outlineLevel="0" collapsed="false">
      <c r="A164" s="31" t="s">
        <v>16335</v>
      </c>
      <c r="B164" s="31" t="s">
        <v>20056</v>
      </c>
      <c r="C164" s="31" t="s">
        <v>20057</v>
      </c>
      <c r="D164" s="34" t="s">
        <v>20058</v>
      </c>
      <c r="E164" s="31" t="n">
        <v>2024</v>
      </c>
      <c r="F164" s="33" t="s">
        <v>20059</v>
      </c>
      <c r="G164" s="33" t="s">
        <v>349</v>
      </c>
      <c r="H164" s="32"/>
      <c r="I164" s="34"/>
      <c r="J164" s="34"/>
      <c r="K164" s="34"/>
      <c r="L164" s="34"/>
      <c r="M164" s="34"/>
      <c r="N164" s="34"/>
      <c r="O164" s="34"/>
      <c r="P164" s="34" t="n">
        <v>1</v>
      </c>
      <c r="Q164" s="31" t="n">
        <v>1</v>
      </c>
      <c r="R164" s="31" t="s">
        <v>61</v>
      </c>
      <c r="S164" s="31" t="s">
        <v>62</v>
      </c>
      <c r="T164" s="31" t="s">
        <v>20060</v>
      </c>
      <c r="U164" s="31" t="n">
        <v>13</v>
      </c>
      <c r="V164" s="31" t="s">
        <v>4048</v>
      </c>
      <c r="W164" s="31" t="n">
        <v>3</v>
      </c>
      <c r="X164" s="31" t="s">
        <v>20061</v>
      </c>
      <c r="Y164" s="31" t="s">
        <v>20062</v>
      </c>
      <c r="Z164" s="31" t="s">
        <v>20063</v>
      </c>
      <c r="AA164" s="31" t="s">
        <v>20064</v>
      </c>
      <c r="AB164" s="31" t="s">
        <v>20065</v>
      </c>
      <c r="AC164" s="31" t="s">
        <v>20066</v>
      </c>
      <c r="AD164" s="31" t="s">
        <v>20067</v>
      </c>
      <c r="AE164" s="31" t="s">
        <v>20068</v>
      </c>
      <c r="AF164" s="31" t="s">
        <v>20069</v>
      </c>
      <c r="AG164" s="31" t="s">
        <v>20070</v>
      </c>
      <c r="AH164" s="31" t="s">
        <v>20071</v>
      </c>
      <c r="AI164" s="31" t="n">
        <v>41</v>
      </c>
      <c r="AJ164" s="31" t="n">
        <v>2</v>
      </c>
      <c r="AK164" s="31" t="n">
        <v>3</v>
      </c>
      <c r="AL164" s="31" t="s">
        <v>16769</v>
      </c>
      <c r="AM164" s="31" t="s">
        <v>16770</v>
      </c>
      <c r="AN164" s="31"/>
      <c r="AO164" s="31" t="s">
        <v>20072</v>
      </c>
      <c r="AP164" s="31" t="s">
        <v>20060</v>
      </c>
      <c r="AQ164" s="31" t="s">
        <v>7737</v>
      </c>
      <c r="AR164" s="31" t="s">
        <v>17248</v>
      </c>
      <c r="AS164" s="31"/>
      <c r="AT164" s="31"/>
      <c r="AU164" s="31" t="n">
        <v>214</v>
      </c>
      <c r="AV164" s="31" t="s">
        <v>20073</v>
      </c>
      <c r="AW164" s="35" t="str">
        <f aca="false">HYPERLINK("http://dx.doi.org/10.3390/pathogens13030214","http://dx.doi.org/10.3390/pathogens13030214")</f>
        <v>http://dx.doi.org/10.3390/pathogens13030214</v>
      </c>
      <c r="AX164" s="31"/>
      <c r="AY164" s="31" t="n">
        <v>18</v>
      </c>
      <c r="AZ164" s="31" t="s">
        <v>18336</v>
      </c>
      <c r="BA164" s="31" t="s">
        <v>16366</v>
      </c>
      <c r="BB164" s="31" t="s">
        <v>18336</v>
      </c>
      <c r="BC164" s="31" t="s">
        <v>20074</v>
      </c>
      <c r="BD164" s="31" t="n">
        <v>38535557</v>
      </c>
      <c r="BE164" s="31" t="s">
        <v>17143</v>
      </c>
      <c r="BF164" s="31" t="s">
        <v>16369</v>
      </c>
      <c r="BG164" s="31" t="s">
        <v>20075</v>
      </c>
      <c r="BH164" s="31" t="str">
        <f aca="false">HYPERLINK("https%3A%2F%2Fwww.webofscience.com%2Fwos%2Fwoscc%2Ffull-record%2FWOS:001192483400001","View Full Record in Web of Science")</f>
        <v>View Full Record in Web of Science</v>
      </c>
      <c r="BI164" s="31"/>
      <c r="BJ164" s="31"/>
      <c r="BK164" s="31"/>
      <c r="BL164" s="31"/>
      <c r="BM164" s="31"/>
      <c r="BN164" s="31"/>
      <c r="BO164" s="31"/>
      <c r="BP164" s="31"/>
      <c r="BQ164" s="31"/>
      <c r="BR164" s="31"/>
      <c r="BS164" s="31"/>
      <c r="BT164" s="31"/>
      <c r="BU164" s="31"/>
      <c r="BV164" s="31"/>
      <c r="BW164" s="31"/>
      <c r="BX164" s="31"/>
      <c r="BY164" s="31"/>
      <c r="BZ164" s="31"/>
      <c r="CA164" s="31"/>
      <c r="CB164" s="31"/>
      <c r="CC164" s="31"/>
      <c r="CD164" s="31"/>
      <c r="CE164" s="31"/>
      <c r="CF164" s="31"/>
    </row>
    <row r="165" customFormat="false" ht="15.75" hidden="false" customHeight="true" outlineLevel="0" collapsed="false">
      <c r="A165" s="31" t="s">
        <v>16335</v>
      </c>
      <c r="B165" s="31" t="s">
        <v>20076</v>
      </c>
      <c r="C165" s="31" t="s">
        <v>20077</v>
      </c>
      <c r="D165" s="34" t="s">
        <v>20078</v>
      </c>
      <c r="E165" s="31" t="n">
        <v>2024</v>
      </c>
      <c r="F165" s="33" t="s">
        <v>20079</v>
      </c>
      <c r="G165" s="33" t="s">
        <v>134</v>
      </c>
      <c r="H165" s="32"/>
      <c r="I165" s="34"/>
      <c r="J165" s="34"/>
      <c r="K165" s="34"/>
      <c r="L165" s="34"/>
      <c r="M165" s="34"/>
      <c r="N165" s="34"/>
      <c r="O165" s="34"/>
      <c r="P165" s="34" t="n">
        <v>6</v>
      </c>
      <c r="Q165" s="31" t="n">
        <v>6</v>
      </c>
      <c r="R165" s="31" t="s">
        <v>61</v>
      </c>
      <c r="S165" s="31" t="s">
        <v>62</v>
      </c>
      <c r="T165" s="31" t="s">
        <v>19280</v>
      </c>
      <c r="U165" s="31" t="n">
        <v>34</v>
      </c>
      <c r="V165" s="31" t="s">
        <v>16475</v>
      </c>
      <c r="W165" s="31" t="n">
        <v>1</v>
      </c>
      <c r="X165" s="31" t="s">
        <v>20080</v>
      </c>
      <c r="Y165" s="31" t="s">
        <v>20081</v>
      </c>
      <c r="Z165" s="31" t="s">
        <v>20082</v>
      </c>
      <c r="AA165" s="31" t="s">
        <v>20083</v>
      </c>
      <c r="AB165" s="31" t="s">
        <v>20084</v>
      </c>
      <c r="AC165" s="31" t="s">
        <v>20085</v>
      </c>
      <c r="AD165" s="31" t="s">
        <v>20086</v>
      </c>
      <c r="AE165" s="31" t="s">
        <v>20087</v>
      </c>
      <c r="AF165" s="31"/>
      <c r="AG165" s="31"/>
      <c r="AH165" s="31"/>
      <c r="AI165" s="31" t="n">
        <v>34</v>
      </c>
      <c r="AJ165" s="31" t="n">
        <v>0</v>
      </c>
      <c r="AK165" s="31" t="n">
        <v>6</v>
      </c>
      <c r="AL165" s="31" t="s">
        <v>16485</v>
      </c>
      <c r="AM165" s="31" t="s">
        <v>16486</v>
      </c>
      <c r="AN165" s="31" t="s">
        <v>19289</v>
      </c>
      <c r="AO165" s="31" t="s">
        <v>19290</v>
      </c>
      <c r="AP165" s="31" t="s">
        <v>19291</v>
      </c>
      <c r="AQ165" s="31" t="s">
        <v>19292</v>
      </c>
      <c r="AR165" s="31" t="s">
        <v>14295</v>
      </c>
      <c r="AS165" s="31"/>
      <c r="AT165" s="31"/>
      <c r="AU165" s="31"/>
      <c r="AV165" s="31" t="s">
        <v>20088</v>
      </c>
      <c r="AW165" s="35" t="str">
        <f aca="false">HYPERLINK("http://dx.doi.org/10.1002/ima.22953","http://dx.doi.org/10.1002/ima.22953")</f>
        <v>http://dx.doi.org/10.1002/ima.22953</v>
      </c>
      <c r="AX165" s="31" t="s">
        <v>20089</v>
      </c>
      <c r="AY165" s="31" t="n">
        <v>18</v>
      </c>
      <c r="AZ165" s="31" t="s">
        <v>19295</v>
      </c>
      <c r="BA165" s="31" t="s">
        <v>16366</v>
      </c>
      <c r="BB165" s="31" t="s">
        <v>19296</v>
      </c>
      <c r="BC165" s="31" t="s">
        <v>20090</v>
      </c>
      <c r="BD165" s="31"/>
      <c r="BE165" s="31"/>
      <c r="BF165" s="31" t="s">
        <v>16369</v>
      </c>
      <c r="BG165" s="31" t="s">
        <v>20091</v>
      </c>
      <c r="BH165" s="31" t="str">
        <f aca="false">HYPERLINK("https%3A%2F%2Fwww.webofscience.com%2Fwos%2Fwoscc%2Ffull-record%2FWOS:001050890500001","View Full Record in Web of Science")</f>
        <v>View Full Record in Web of Science</v>
      </c>
      <c r="BI165" s="31"/>
      <c r="BJ165" s="31"/>
      <c r="BK165" s="31"/>
      <c r="BL165" s="31"/>
      <c r="BM165" s="31"/>
      <c r="BN165" s="31"/>
      <c r="BO165" s="31"/>
      <c r="BP165" s="31"/>
      <c r="BQ165" s="31"/>
      <c r="BR165" s="31"/>
      <c r="BS165" s="31"/>
      <c r="BT165" s="31"/>
      <c r="BU165" s="31"/>
      <c r="BV165" s="31"/>
      <c r="BW165" s="31"/>
      <c r="BX165" s="31"/>
      <c r="BY165" s="31"/>
      <c r="BZ165" s="31"/>
      <c r="CA165" s="31"/>
      <c r="CB165" s="31"/>
      <c r="CC165" s="31"/>
      <c r="CD165" s="31"/>
      <c r="CE165" s="31"/>
      <c r="CF165" s="31"/>
    </row>
    <row r="166" customFormat="false" ht="15.75" hidden="false" customHeight="true" outlineLevel="0" collapsed="false">
      <c r="A166" s="31" t="s">
        <v>16335</v>
      </c>
      <c r="B166" s="31" t="s">
        <v>20092</v>
      </c>
      <c r="C166" s="31" t="s">
        <v>20093</v>
      </c>
      <c r="D166" s="34" t="s">
        <v>20094</v>
      </c>
      <c r="E166" s="31" t="n">
        <v>2024</v>
      </c>
      <c r="F166" s="33" t="s">
        <v>20095</v>
      </c>
      <c r="G166" s="33" t="s">
        <v>134</v>
      </c>
      <c r="H166" s="32"/>
      <c r="I166" s="34"/>
      <c r="J166" s="34"/>
      <c r="K166" s="34"/>
      <c r="L166" s="34"/>
      <c r="M166" s="34"/>
      <c r="N166" s="34"/>
      <c r="O166" s="34"/>
      <c r="P166" s="34" t="n">
        <v>2</v>
      </c>
      <c r="Q166" s="31" t="n">
        <v>2</v>
      </c>
      <c r="R166" s="31" t="s">
        <v>61</v>
      </c>
      <c r="S166" s="31" t="s">
        <v>62</v>
      </c>
      <c r="T166" s="31" t="s">
        <v>20096</v>
      </c>
      <c r="U166" s="31" t="n">
        <v>15</v>
      </c>
      <c r="V166" s="31" t="s">
        <v>4048</v>
      </c>
      <c r="W166" s="31" t="n">
        <v>3</v>
      </c>
      <c r="X166" s="31" t="s">
        <v>20097</v>
      </c>
      <c r="Y166" s="31"/>
      <c r="Z166" s="31" t="s">
        <v>20098</v>
      </c>
      <c r="AA166" s="31" t="s">
        <v>20099</v>
      </c>
      <c r="AB166" s="31" t="s">
        <v>20100</v>
      </c>
      <c r="AC166" s="31" t="s">
        <v>20101</v>
      </c>
      <c r="AD166" s="31"/>
      <c r="AE166" s="31" t="s">
        <v>20102</v>
      </c>
      <c r="AF166" s="31" t="s">
        <v>20103</v>
      </c>
      <c r="AG166" s="31" t="s">
        <v>20103</v>
      </c>
      <c r="AH166" s="31" t="s">
        <v>18668</v>
      </c>
      <c r="AI166" s="31" t="n">
        <v>54</v>
      </c>
      <c r="AJ166" s="31" t="n">
        <v>2</v>
      </c>
      <c r="AK166" s="31" t="n">
        <v>3</v>
      </c>
      <c r="AL166" s="31" t="s">
        <v>16769</v>
      </c>
      <c r="AM166" s="31" t="s">
        <v>16770</v>
      </c>
      <c r="AN166" s="31"/>
      <c r="AO166" s="31" t="s">
        <v>20104</v>
      </c>
      <c r="AP166" s="31" t="s">
        <v>20096</v>
      </c>
      <c r="AQ166" s="31" t="s">
        <v>20105</v>
      </c>
      <c r="AR166" s="31" t="s">
        <v>17248</v>
      </c>
      <c r="AS166" s="31"/>
      <c r="AT166" s="31"/>
      <c r="AU166" s="31" t="n">
        <v>166</v>
      </c>
      <c r="AV166" s="31" t="s">
        <v>20106</v>
      </c>
      <c r="AW166" s="35" t="str">
        <f aca="false">HYPERLINK("http://dx.doi.org/10.3390/info15030166","http://dx.doi.org/10.3390/info15030166")</f>
        <v>http://dx.doi.org/10.3390/info15030166</v>
      </c>
      <c r="AX166" s="31"/>
      <c r="AY166" s="31" t="n">
        <v>17</v>
      </c>
      <c r="AZ166" s="31" t="s">
        <v>17488</v>
      </c>
      <c r="BA166" s="31" t="s">
        <v>16684</v>
      </c>
      <c r="BB166" s="31" t="s">
        <v>16367</v>
      </c>
      <c r="BC166" s="31" t="s">
        <v>20107</v>
      </c>
      <c r="BD166" s="31"/>
      <c r="BE166" s="31" t="s">
        <v>16431</v>
      </c>
      <c r="BF166" s="31" t="s">
        <v>16369</v>
      </c>
      <c r="BG166" s="31" t="s">
        <v>20108</v>
      </c>
      <c r="BH166" s="31" t="str">
        <f aca="false">HYPERLINK("https%3A%2F%2Fwww.webofscience.com%2Fwos%2Fwoscc%2Ffull-record%2FWOS:001192554600001","View Full Record in Web of Science")</f>
        <v>View Full Record in Web of Science</v>
      </c>
      <c r="BI166" s="31"/>
      <c r="BJ166" s="31"/>
      <c r="BK166" s="31"/>
      <c r="BL166" s="31"/>
      <c r="BM166" s="31"/>
      <c r="BN166" s="31"/>
      <c r="BO166" s="31"/>
      <c r="BP166" s="31"/>
      <c r="BQ166" s="31"/>
      <c r="BR166" s="31"/>
      <c r="BS166" s="31"/>
      <c r="BT166" s="31"/>
      <c r="BU166" s="31"/>
      <c r="BV166" s="31"/>
      <c r="BW166" s="31"/>
      <c r="BX166" s="31"/>
      <c r="BY166" s="31"/>
      <c r="BZ166" s="31"/>
      <c r="CA166" s="31"/>
      <c r="CB166" s="31"/>
      <c r="CC166" s="31"/>
      <c r="CD166" s="31"/>
      <c r="CE166" s="31"/>
      <c r="CF166" s="31"/>
    </row>
    <row r="167" customFormat="false" ht="15.75" hidden="false" customHeight="true" outlineLevel="0" collapsed="false">
      <c r="A167" s="31" t="s">
        <v>16335</v>
      </c>
      <c r="B167" s="31" t="s">
        <v>20109</v>
      </c>
      <c r="C167" s="31" t="s">
        <v>20110</v>
      </c>
      <c r="D167" s="34" t="s">
        <v>20111</v>
      </c>
      <c r="E167" s="31" t="n">
        <v>2024</v>
      </c>
      <c r="F167" s="33" t="s">
        <v>20112</v>
      </c>
      <c r="G167" s="33" t="s">
        <v>393</v>
      </c>
      <c r="H167" s="32"/>
      <c r="I167" s="34"/>
      <c r="J167" s="34"/>
      <c r="K167" s="34"/>
      <c r="L167" s="34"/>
      <c r="M167" s="34"/>
      <c r="N167" s="34"/>
      <c r="O167" s="34"/>
      <c r="P167" s="34" t="n">
        <v>1</v>
      </c>
      <c r="Q167" s="31" t="n">
        <v>1</v>
      </c>
      <c r="R167" s="31" t="s">
        <v>61</v>
      </c>
      <c r="S167" s="31" t="s">
        <v>62</v>
      </c>
      <c r="T167" s="31" t="s">
        <v>20113</v>
      </c>
      <c r="U167" s="31" t="n">
        <v>13</v>
      </c>
      <c r="V167" s="31" t="s">
        <v>17599</v>
      </c>
      <c r="W167" s="31" t="n">
        <v>1</v>
      </c>
      <c r="X167" s="31" t="s">
        <v>20114</v>
      </c>
      <c r="Y167" s="31" t="s">
        <v>20115</v>
      </c>
      <c r="Z167" s="31" t="s">
        <v>20116</v>
      </c>
      <c r="AA167" s="31" t="s">
        <v>20117</v>
      </c>
      <c r="AB167" s="31" t="s">
        <v>20118</v>
      </c>
      <c r="AC167" s="31" t="s">
        <v>20119</v>
      </c>
      <c r="AD167" s="31" t="s">
        <v>18307</v>
      </c>
      <c r="AE167" s="31" t="s">
        <v>20120</v>
      </c>
      <c r="AF167" s="31" t="s">
        <v>20121</v>
      </c>
      <c r="AG167" s="31" t="s">
        <v>20122</v>
      </c>
      <c r="AH167" s="31" t="s">
        <v>20123</v>
      </c>
      <c r="AI167" s="31" t="n">
        <v>29</v>
      </c>
      <c r="AJ167" s="31" t="n">
        <v>4</v>
      </c>
      <c r="AK167" s="31" t="n">
        <v>9</v>
      </c>
      <c r="AL167" s="31" t="s">
        <v>16821</v>
      </c>
      <c r="AM167" s="31" t="s">
        <v>17609</v>
      </c>
      <c r="AN167" s="31" t="s">
        <v>20124</v>
      </c>
      <c r="AO167" s="31" t="s">
        <v>20125</v>
      </c>
      <c r="AP167" s="31" t="s">
        <v>20126</v>
      </c>
      <c r="AQ167" s="31" t="s">
        <v>20127</v>
      </c>
      <c r="AR167" s="31" t="s">
        <v>20128</v>
      </c>
      <c r="AS167" s="31"/>
      <c r="AT167" s="31"/>
      <c r="AU167" s="31" t="n">
        <v>24</v>
      </c>
      <c r="AV167" s="31" t="s">
        <v>20129</v>
      </c>
      <c r="AW167" s="35" t="str">
        <f aca="false">HYPERLINK("http://dx.doi.org/10.1186/s40249-024-01191-7","http://dx.doi.org/10.1186/s40249-024-01191-7")</f>
        <v>http://dx.doi.org/10.1186/s40249-024-01191-7</v>
      </c>
      <c r="AX167" s="31"/>
      <c r="AY167" s="31" t="n">
        <v>13</v>
      </c>
      <c r="AZ167" s="31" t="s">
        <v>16862</v>
      </c>
      <c r="BA167" s="31" t="s">
        <v>16366</v>
      </c>
      <c r="BB167" s="31" t="s">
        <v>16862</v>
      </c>
      <c r="BC167" s="31" t="s">
        <v>20130</v>
      </c>
      <c r="BD167" s="31" t="n">
        <v>38475922</v>
      </c>
      <c r="BE167" s="31" t="s">
        <v>16832</v>
      </c>
      <c r="BF167" s="31" t="s">
        <v>16369</v>
      </c>
      <c r="BG167" s="31" t="s">
        <v>20131</v>
      </c>
      <c r="BH167" s="31" t="str">
        <f aca="false">HYPERLINK("https%3A%2F%2Fwww.webofscience.com%2Fwos%2Fwoscc%2Ffull-record%2FWOS:001183967000001","View Full Record in Web of Science")</f>
        <v>View Full Record in Web of Science</v>
      </c>
      <c r="BI167" s="31"/>
      <c r="BJ167" s="31"/>
      <c r="BK167" s="31"/>
      <c r="BL167" s="31"/>
      <c r="BM167" s="31"/>
      <c r="BN167" s="31"/>
      <c r="BO167" s="31"/>
      <c r="BP167" s="31"/>
      <c r="BQ167" s="31"/>
      <c r="BR167" s="31"/>
      <c r="BS167" s="31"/>
      <c r="BT167" s="31"/>
      <c r="BU167" s="31"/>
      <c r="BV167" s="31"/>
      <c r="BW167" s="31"/>
      <c r="BX167" s="31"/>
      <c r="BY167" s="31"/>
      <c r="BZ167" s="31"/>
      <c r="CA167" s="31"/>
      <c r="CB167" s="31"/>
      <c r="CC167" s="31"/>
      <c r="CD167" s="31"/>
      <c r="CE167" s="31"/>
      <c r="CF167" s="31"/>
    </row>
    <row r="168" customFormat="false" ht="15.75" hidden="false" customHeight="true" outlineLevel="0" collapsed="false">
      <c r="A168" s="31" t="s">
        <v>16335</v>
      </c>
      <c r="B168" s="31" t="s">
        <v>20132</v>
      </c>
      <c r="C168" s="31" t="s">
        <v>20133</v>
      </c>
      <c r="D168" s="34" t="s">
        <v>20134</v>
      </c>
      <c r="E168" s="31" t="n">
        <v>2024</v>
      </c>
      <c r="F168" s="33" t="s">
        <v>20135</v>
      </c>
      <c r="G168" s="33" t="s">
        <v>290</v>
      </c>
      <c r="H168" s="32"/>
      <c r="I168" s="34"/>
      <c r="J168" s="34"/>
      <c r="K168" s="34"/>
      <c r="L168" s="34"/>
      <c r="M168" s="34"/>
      <c r="N168" s="34"/>
      <c r="O168" s="34"/>
      <c r="P168" s="34" t="n">
        <v>0</v>
      </c>
      <c r="Q168" s="31" t="n">
        <v>0</v>
      </c>
      <c r="R168" s="31" t="s">
        <v>61</v>
      </c>
      <c r="S168" s="31" t="s">
        <v>62</v>
      </c>
      <c r="T168" s="31" t="s">
        <v>20136</v>
      </c>
      <c r="U168" s="31" t="n">
        <v>64</v>
      </c>
      <c r="V168" s="31" t="s">
        <v>19148</v>
      </c>
      <c r="W168" s="31" t="n">
        <v>15</v>
      </c>
      <c r="X168" s="31"/>
      <c r="Y168" s="31" t="s">
        <v>20137</v>
      </c>
      <c r="Z168" s="31" t="s">
        <v>20138</v>
      </c>
      <c r="AA168" s="31" t="s">
        <v>20139</v>
      </c>
      <c r="AB168" s="31" t="s">
        <v>20140</v>
      </c>
      <c r="AC168" s="31" t="s">
        <v>20141</v>
      </c>
      <c r="AD168" s="31"/>
      <c r="AE168" s="31" t="s">
        <v>20142</v>
      </c>
      <c r="AF168" s="31" t="s">
        <v>20143</v>
      </c>
      <c r="AG168" s="31" t="s">
        <v>20144</v>
      </c>
      <c r="AH168" s="31" t="s">
        <v>20145</v>
      </c>
      <c r="AI168" s="31" t="n">
        <v>44</v>
      </c>
      <c r="AJ168" s="31" t="n">
        <v>4</v>
      </c>
      <c r="AK168" s="31" t="n">
        <v>5</v>
      </c>
      <c r="AL168" s="31" t="s">
        <v>18329</v>
      </c>
      <c r="AM168" s="31" t="s">
        <v>19160</v>
      </c>
      <c r="AN168" s="31" t="s">
        <v>20146</v>
      </c>
      <c r="AO168" s="31" t="s">
        <v>20147</v>
      </c>
      <c r="AP168" s="31" t="s">
        <v>20148</v>
      </c>
      <c r="AQ168" s="31" t="s">
        <v>20149</v>
      </c>
      <c r="AR168" s="31" t="s">
        <v>20150</v>
      </c>
      <c r="AS168" s="31" t="n">
        <v>5922</v>
      </c>
      <c r="AT168" s="31" t="n">
        <v>5930</v>
      </c>
      <c r="AU168" s="31"/>
      <c r="AV168" s="31" t="s">
        <v>20151</v>
      </c>
      <c r="AW168" s="35" t="str">
        <f aca="false">HYPERLINK("http://dx.doi.org/10.1021/acs.jcim.4c00953","http://dx.doi.org/10.1021/acs.jcim.4c00953")</f>
        <v>http://dx.doi.org/10.1021/acs.jcim.4c00953</v>
      </c>
      <c r="AX168" s="31" t="s">
        <v>19475</v>
      </c>
      <c r="AY168" s="31" t="n">
        <v>9</v>
      </c>
      <c r="AZ168" s="31" t="s">
        <v>20152</v>
      </c>
      <c r="BA168" s="31" t="s">
        <v>16366</v>
      </c>
      <c r="BB168" s="31" t="s">
        <v>20153</v>
      </c>
      <c r="BC168" s="31" t="s">
        <v>20154</v>
      </c>
      <c r="BD168" s="31" t="n">
        <v>39013438</v>
      </c>
      <c r="BE168" s="31"/>
      <c r="BF168" s="31" t="s">
        <v>16369</v>
      </c>
      <c r="BG168" s="31" t="s">
        <v>20155</v>
      </c>
      <c r="BH168" s="31" t="str">
        <f aca="false">HYPERLINK("https%3A%2F%2Fwww.webofscience.com%2Fwos%2Fwoscc%2Ffull-record%2FWOS:001271981100001","View Full Record in Web of Science")</f>
        <v>View Full Record in Web of Science</v>
      </c>
      <c r="BI168" s="31"/>
      <c r="BJ168" s="31"/>
      <c r="BK168" s="31"/>
      <c r="BL168" s="31"/>
      <c r="BM168" s="31"/>
      <c r="BN168" s="31"/>
      <c r="BO168" s="31"/>
      <c r="BP168" s="31"/>
      <c r="BQ168" s="31"/>
      <c r="BR168" s="31"/>
      <c r="BS168" s="31"/>
      <c r="BT168" s="31"/>
      <c r="BU168" s="31"/>
      <c r="BV168" s="31"/>
      <c r="BW168" s="31"/>
      <c r="BX168" s="31"/>
      <c r="BY168" s="31"/>
      <c r="BZ168" s="31"/>
      <c r="CA168" s="31"/>
      <c r="CB168" s="31"/>
      <c r="CC168" s="31"/>
      <c r="CD168" s="31"/>
      <c r="CE168" s="31"/>
      <c r="CF168" s="31"/>
    </row>
    <row r="169" customFormat="false" ht="15.75" hidden="false" customHeight="true" outlineLevel="0" collapsed="false">
      <c r="A169" s="31" t="s">
        <v>16335</v>
      </c>
      <c r="B169" s="31" t="s">
        <v>20156</v>
      </c>
      <c r="C169" s="31" t="s">
        <v>20157</v>
      </c>
      <c r="D169" s="32" t="s">
        <v>20158</v>
      </c>
      <c r="E169" s="31" t="n">
        <v>2024</v>
      </c>
      <c r="F169" s="33" t="s">
        <v>20159</v>
      </c>
      <c r="G169" s="33" t="s">
        <v>134</v>
      </c>
      <c r="H169" s="32"/>
      <c r="I169" s="34"/>
      <c r="J169" s="34"/>
      <c r="K169" s="34"/>
      <c r="L169" s="34"/>
      <c r="M169" s="34"/>
      <c r="N169" s="34"/>
      <c r="O169" s="34"/>
      <c r="P169" s="34" t="n">
        <v>0</v>
      </c>
      <c r="Q169" s="31" t="n">
        <v>0</v>
      </c>
      <c r="R169" s="31" t="s">
        <v>61</v>
      </c>
      <c r="S169" s="31" t="s">
        <v>62</v>
      </c>
      <c r="T169" s="31" t="s">
        <v>20160</v>
      </c>
      <c r="U169" s="31" t="n">
        <v>57</v>
      </c>
      <c r="V169" s="31" t="s">
        <v>20161</v>
      </c>
      <c r="W169" s="31"/>
      <c r="X169" s="31" t="s">
        <v>20162</v>
      </c>
      <c r="Y169" s="31"/>
      <c r="Z169" s="31" t="s">
        <v>20163</v>
      </c>
      <c r="AA169" s="31" t="s">
        <v>20164</v>
      </c>
      <c r="AB169" s="31" t="s">
        <v>20165</v>
      </c>
      <c r="AC169" s="31" t="s">
        <v>20166</v>
      </c>
      <c r="AD169" s="31" t="s">
        <v>20167</v>
      </c>
      <c r="AE169" s="31" t="s">
        <v>20168</v>
      </c>
      <c r="AF169" s="31"/>
      <c r="AG169" s="31"/>
      <c r="AH169" s="31"/>
      <c r="AI169" s="31" t="n">
        <v>11</v>
      </c>
      <c r="AJ169" s="31" t="n">
        <v>0</v>
      </c>
      <c r="AK169" s="31" t="n">
        <v>0</v>
      </c>
      <c r="AL169" s="31" t="s">
        <v>20169</v>
      </c>
      <c r="AM169" s="31" t="s">
        <v>20170</v>
      </c>
      <c r="AN169" s="31" t="s">
        <v>20171</v>
      </c>
      <c r="AO169" s="31"/>
      <c r="AP169" s="31" t="s">
        <v>20172</v>
      </c>
      <c r="AQ169" s="31" t="s">
        <v>9476</v>
      </c>
      <c r="AR169" s="31"/>
      <c r="AS169" s="31"/>
      <c r="AT169" s="31"/>
      <c r="AU169" s="31" t="s">
        <v>20173</v>
      </c>
      <c r="AV169" s="31" t="s">
        <v>20174</v>
      </c>
      <c r="AW169" s="35" t="str">
        <f aca="false">HYPERLINK("http://dx.doi.org/10.1590/0037-8682-0586-2023","http://dx.doi.org/10.1590/0037-8682-0586-2023")</f>
        <v>http://dx.doi.org/10.1590/0037-8682-0586-2023</v>
      </c>
      <c r="AX169" s="31"/>
      <c r="AY169" s="31" t="n">
        <v>3</v>
      </c>
      <c r="AZ169" s="31" t="s">
        <v>16891</v>
      </c>
      <c r="BA169" s="31" t="s">
        <v>16366</v>
      </c>
      <c r="BB169" s="31" t="s">
        <v>16891</v>
      </c>
      <c r="BC169" s="31" t="s">
        <v>20175</v>
      </c>
      <c r="BD169" s="31" t="n">
        <v>38359312</v>
      </c>
      <c r="BE169" s="31" t="s">
        <v>17143</v>
      </c>
      <c r="BF169" s="31" t="s">
        <v>16369</v>
      </c>
      <c r="BG169" s="31" t="s">
        <v>20176</v>
      </c>
      <c r="BH169" s="31" t="str">
        <f aca="false">HYPERLINK("https%3A%2F%2Fwww.webofscience.com%2Fwos%2Fwoscc%2Ffull-record%2FWOS:001172928600001","View Full Record in Web of Science")</f>
        <v>View Full Record in Web of Science</v>
      </c>
      <c r="BI169" s="31"/>
      <c r="BJ169" s="31"/>
      <c r="BK169" s="31"/>
      <c r="BL169" s="31"/>
      <c r="BM169" s="31"/>
      <c r="BN169" s="31"/>
      <c r="BO169" s="31"/>
      <c r="BP169" s="31"/>
      <c r="BQ169" s="31"/>
      <c r="BR169" s="31"/>
      <c r="BS169" s="31"/>
      <c r="BT169" s="31"/>
      <c r="BU169" s="31"/>
      <c r="BV169" s="31"/>
      <c r="BW169" s="31"/>
      <c r="BX169" s="31"/>
      <c r="BY169" s="31"/>
      <c r="BZ169" s="31"/>
      <c r="CA169" s="31"/>
      <c r="CB169" s="31"/>
      <c r="CC169" s="31"/>
      <c r="CD169" s="31"/>
      <c r="CE169" s="31"/>
      <c r="CF169" s="31"/>
    </row>
    <row r="170" customFormat="false" ht="15.75" hidden="false" customHeight="true" outlineLevel="0" collapsed="false">
      <c r="A170" s="31" t="s">
        <v>16335</v>
      </c>
      <c r="B170" s="31" t="s">
        <v>20177</v>
      </c>
      <c r="C170" s="31" t="s">
        <v>20178</v>
      </c>
      <c r="D170" s="34" t="s">
        <v>20179</v>
      </c>
      <c r="E170" s="31" t="n">
        <v>2024</v>
      </c>
      <c r="F170" s="33" t="s">
        <v>20180</v>
      </c>
      <c r="G170" s="33" t="s">
        <v>290</v>
      </c>
      <c r="H170" s="32"/>
      <c r="I170" s="34"/>
      <c r="J170" s="34"/>
      <c r="K170" s="34"/>
      <c r="L170" s="34"/>
      <c r="M170" s="34"/>
      <c r="N170" s="34"/>
      <c r="O170" s="34"/>
      <c r="P170" s="34" t="n">
        <v>1</v>
      </c>
      <c r="Q170" s="31" t="n">
        <v>1</v>
      </c>
      <c r="R170" s="31" t="s">
        <v>61</v>
      </c>
      <c r="S170" s="31" t="s">
        <v>62</v>
      </c>
      <c r="T170" s="31" t="s">
        <v>19746</v>
      </c>
      <c r="U170" s="31" t="n">
        <v>15</v>
      </c>
      <c r="V170" s="31" t="s">
        <v>19148</v>
      </c>
      <c r="W170" s="31" t="n">
        <v>9</v>
      </c>
      <c r="X170" s="31" t="s">
        <v>20181</v>
      </c>
      <c r="Y170" s="31"/>
      <c r="Z170" s="31" t="s">
        <v>20182</v>
      </c>
      <c r="AA170" s="31" t="s">
        <v>20183</v>
      </c>
      <c r="AB170" s="31" t="s">
        <v>20184</v>
      </c>
      <c r="AC170" s="31" t="s">
        <v>20185</v>
      </c>
      <c r="AD170" s="31" t="s">
        <v>20186</v>
      </c>
      <c r="AE170" s="31" t="s">
        <v>20187</v>
      </c>
      <c r="AF170" s="31" t="s">
        <v>20188</v>
      </c>
      <c r="AG170" s="31" t="s">
        <v>20189</v>
      </c>
      <c r="AH170" s="31" t="s">
        <v>20190</v>
      </c>
      <c r="AI170" s="31" t="n">
        <v>20</v>
      </c>
      <c r="AJ170" s="31" t="n">
        <v>1</v>
      </c>
      <c r="AK170" s="31" t="n">
        <v>1</v>
      </c>
      <c r="AL170" s="31" t="s">
        <v>18329</v>
      </c>
      <c r="AM170" s="31" t="s">
        <v>19160</v>
      </c>
      <c r="AN170" s="31" t="s">
        <v>19756</v>
      </c>
      <c r="AO170" s="31"/>
      <c r="AP170" s="31" t="s">
        <v>19757</v>
      </c>
      <c r="AQ170" s="31" t="s">
        <v>19758</v>
      </c>
      <c r="AR170" s="31" t="s">
        <v>20191</v>
      </c>
      <c r="AS170" s="31" t="n">
        <v>1645</v>
      </c>
      <c r="AT170" s="31" t="n">
        <v>1650</v>
      </c>
      <c r="AU170" s="31"/>
      <c r="AV170" s="31" t="s">
        <v>20192</v>
      </c>
      <c r="AW170" s="35" t="str">
        <f aca="false">HYPERLINK("http://dx.doi.org/10.1021/acsmedchemlett.4c00131","http://dx.doi.org/10.1021/acsmedchemlett.4c00131")</f>
        <v>http://dx.doi.org/10.1021/acsmedchemlett.4c00131</v>
      </c>
      <c r="AX170" s="31" t="s">
        <v>16890</v>
      </c>
      <c r="AY170" s="31" t="n">
        <v>6</v>
      </c>
      <c r="AZ170" s="31" t="s">
        <v>19761</v>
      </c>
      <c r="BA170" s="31" t="s">
        <v>16366</v>
      </c>
      <c r="BB170" s="31" t="s">
        <v>18125</v>
      </c>
      <c r="BC170" s="31" t="s">
        <v>20193</v>
      </c>
      <c r="BD170" s="31" t="n">
        <v>39291016</v>
      </c>
      <c r="BE170" s="31"/>
      <c r="BF170" s="31" t="s">
        <v>16369</v>
      </c>
      <c r="BG170" s="31" t="s">
        <v>20194</v>
      </c>
      <c r="BH170" s="31" t="str">
        <f aca="false">HYPERLINK("https%3A%2F%2Fwww.webofscience.com%2Fwos%2Fwoscc%2Ffull-record%2FWOS:001282970200001","View Full Record in Web of Science")</f>
        <v>View Full Record in Web of Science</v>
      </c>
      <c r="BI170" s="31"/>
      <c r="BJ170" s="31"/>
      <c r="BK170" s="31"/>
      <c r="BL170" s="31"/>
      <c r="BM170" s="31"/>
      <c r="BN170" s="31"/>
      <c r="BO170" s="31"/>
      <c r="BP170" s="31"/>
      <c r="BQ170" s="31"/>
      <c r="BR170" s="31"/>
      <c r="BS170" s="31"/>
      <c r="BT170" s="31"/>
      <c r="BU170" s="31"/>
      <c r="BV170" s="31"/>
      <c r="BW170" s="31"/>
      <c r="BX170" s="31"/>
      <c r="BY170" s="31"/>
      <c r="BZ170" s="31"/>
      <c r="CA170" s="31"/>
      <c r="CB170" s="31"/>
      <c r="CC170" s="31"/>
      <c r="CD170" s="31"/>
      <c r="CE170" s="31"/>
      <c r="CF170" s="31"/>
    </row>
    <row r="171" customFormat="false" ht="15.75" hidden="false" customHeight="true" outlineLevel="0" collapsed="false">
      <c r="A171" s="31" t="s">
        <v>16335</v>
      </c>
      <c r="B171" s="31" t="s">
        <v>20195</v>
      </c>
      <c r="C171" s="31" t="s">
        <v>20196</v>
      </c>
      <c r="D171" s="34" t="s">
        <v>20197</v>
      </c>
      <c r="E171" s="31" t="n">
        <v>2024</v>
      </c>
      <c r="F171" s="33" t="s">
        <v>20198</v>
      </c>
      <c r="G171" s="33" t="s">
        <v>290</v>
      </c>
      <c r="H171" s="32"/>
      <c r="I171" s="34"/>
      <c r="J171" s="34"/>
      <c r="K171" s="34"/>
      <c r="L171" s="34"/>
      <c r="M171" s="34"/>
      <c r="N171" s="34"/>
      <c r="O171" s="34"/>
      <c r="P171" s="34" t="n">
        <v>1</v>
      </c>
      <c r="Q171" s="31" t="n">
        <v>1</v>
      </c>
      <c r="R171" s="31" t="s">
        <v>61</v>
      </c>
      <c r="S171" s="31" t="s">
        <v>62</v>
      </c>
      <c r="T171" s="31" t="s">
        <v>20199</v>
      </c>
      <c r="U171" s="31" t="n">
        <v>147</v>
      </c>
      <c r="V171" s="31" t="s">
        <v>16349</v>
      </c>
      <c r="W171" s="31"/>
      <c r="X171" s="31" t="s">
        <v>20200</v>
      </c>
      <c r="Y171" s="31" t="s">
        <v>20201</v>
      </c>
      <c r="Z171" s="31" t="s">
        <v>20202</v>
      </c>
      <c r="AA171" s="31" t="s">
        <v>20203</v>
      </c>
      <c r="AB171" s="31" t="s">
        <v>20204</v>
      </c>
      <c r="AC171" s="31" t="s">
        <v>20205</v>
      </c>
      <c r="AD171" s="31" t="s">
        <v>20206</v>
      </c>
      <c r="AE171" s="31" t="s">
        <v>20207</v>
      </c>
      <c r="AF171" s="31" t="s">
        <v>20208</v>
      </c>
      <c r="AG171" s="31" t="s">
        <v>20209</v>
      </c>
      <c r="AH171" s="31" t="s">
        <v>20210</v>
      </c>
      <c r="AI171" s="31" t="n">
        <v>58</v>
      </c>
      <c r="AJ171" s="31" t="n">
        <v>1</v>
      </c>
      <c r="AK171" s="31" t="n">
        <v>4</v>
      </c>
      <c r="AL171" s="31" t="s">
        <v>16356</v>
      </c>
      <c r="AM171" s="31" t="s">
        <v>16357</v>
      </c>
      <c r="AN171" s="31" t="s">
        <v>20211</v>
      </c>
      <c r="AO171" s="31" t="s">
        <v>20212</v>
      </c>
      <c r="AP171" s="31" t="s">
        <v>20213</v>
      </c>
      <c r="AQ171" s="31" t="s">
        <v>966</v>
      </c>
      <c r="AR171" s="31" t="s">
        <v>14295</v>
      </c>
      <c r="AS171" s="31"/>
      <c r="AT171" s="31"/>
      <c r="AU171" s="31" t="n">
        <v>102700</v>
      </c>
      <c r="AV171" s="31" t="s">
        <v>20214</v>
      </c>
      <c r="AW171" s="35" t="str">
        <f aca="false">HYPERLINK("http://dx.doi.org/10.1016/j.artmed.2023.102700","http://dx.doi.org/10.1016/j.artmed.2023.102700")</f>
        <v>http://dx.doi.org/10.1016/j.artmed.2023.102700</v>
      </c>
      <c r="AX171" s="31" t="s">
        <v>17220</v>
      </c>
      <c r="AY171" s="31" t="n">
        <v>11</v>
      </c>
      <c r="AZ171" s="31" t="s">
        <v>20215</v>
      </c>
      <c r="BA171" s="31" t="s">
        <v>16366</v>
      </c>
      <c r="BB171" s="31" t="s">
        <v>20216</v>
      </c>
      <c r="BC171" s="31" t="s">
        <v>20217</v>
      </c>
      <c r="BD171" s="31" t="n">
        <v>38184363</v>
      </c>
      <c r="BE171" s="31" t="s">
        <v>20218</v>
      </c>
      <c r="BF171" s="31" t="s">
        <v>16369</v>
      </c>
      <c r="BG171" s="31" t="s">
        <v>20219</v>
      </c>
      <c r="BH171" s="31" t="str">
        <f aca="false">HYPERLINK("https%3A%2F%2Fwww.webofscience.com%2Fwos%2Fwoscc%2Ffull-record%2FWOS:001128340400001","View Full Record in Web of Science")</f>
        <v>View Full Record in Web of Science</v>
      </c>
      <c r="BI171" s="31"/>
      <c r="BJ171" s="31"/>
      <c r="BK171" s="31"/>
      <c r="BL171" s="31"/>
      <c r="BM171" s="31"/>
      <c r="BN171" s="31"/>
      <c r="BO171" s="31"/>
      <c r="BP171" s="31"/>
      <c r="BQ171" s="31"/>
      <c r="BR171" s="31"/>
      <c r="BS171" s="31"/>
      <c r="BT171" s="31"/>
      <c r="BU171" s="31"/>
      <c r="BV171" s="31"/>
      <c r="BW171" s="31"/>
      <c r="BX171" s="31"/>
      <c r="BY171" s="31"/>
      <c r="BZ171" s="31"/>
      <c r="CA171" s="31"/>
      <c r="CB171" s="31"/>
      <c r="CC171" s="31"/>
      <c r="CD171" s="31"/>
      <c r="CE171" s="31"/>
      <c r="CF171" s="31"/>
    </row>
    <row r="172" customFormat="false" ht="15.75" hidden="false" customHeight="true" outlineLevel="0" collapsed="false">
      <c r="A172" s="31" t="s">
        <v>16335</v>
      </c>
      <c r="B172" s="31" t="s">
        <v>20220</v>
      </c>
      <c r="C172" s="31" t="s">
        <v>20221</v>
      </c>
      <c r="D172" s="34" t="s">
        <v>20222</v>
      </c>
      <c r="E172" s="31" t="n">
        <v>2024</v>
      </c>
      <c r="F172" s="33" t="s">
        <v>20223</v>
      </c>
      <c r="G172" s="33" t="s">
        <v>134</v>
      </c>
      <c r="H172" s="32"/>
      <c r="I172" s="34"/>
      <c r="J172" s="34"/>
      <c r="K172" s="34"/>
      <c r="L172" s="34"/>
      <c r="M172" s="34"/>
      <c r="N172" s="34"/>
      <c r="O172" s="34"/>
      <c r="P172" s="34" t="n">
        <v>1</v>
      </c>
      <c r="Q172" s="31" t="n">
        <v>1</v>
      </c>
      <c r="R172" s="31" t="s">
        <v>61</v>
      </c>
      <c r="S172" s="31" t="s">
        <v>62</v>
      </c>
      <c r="T172" s="31" t="s">
        <v>16927</v>
      </c>
      <c r="U172" s="31" t="n">
        <v>11</v>
      </c>
      <c r="V172" s="31" t="s">
        <v>16928</v>
      </c>
      <c r="W172" s="31"/>
      <c r="X172" s="31" t="s">
        <v>20224</v>
      </c>
      <c r="Y172" s="31" t="s">
        <v>20225</v>
      </c>
      <c r="Z172" s="31" t="s">
        <v>20226</v>
      </c>
      <c r="AA172" s="31" t="s">
        <v>20227</v>
      </c>
      <c r="AB172" s="31" t="s">
        <v>20228</v>
      </c>
      <c r="AC172" s="31" t="s">
        <v>20229</v>
      </c>
      <c r="AD172" s="31" t="s">
        <v>20230</v>
      </c>
      <c r="AE172" s="31"/>
      <c r="AF172" s="31" t="s">
        <v>20231</v>
      </c>
      <c r="AG172" s="31" t="s">
        <v>20232</v>
      </c>
      <c r="AH172" s="31" t="s">
        <v>20233</v>
      </c>
      <c r="AI172" s="31" t="n">
        <v>60</v>
      </c>
      <c r="AJ172" s="31" t="n">
        <v>1</v>
      </c>
      <c r="AK172" s="31" t="n">
        <v>1</v>
      </c>
      <c r="AL172" s="31" t="s">
        <v>16938</v>
      </c>
      <c r="AM172" s="31" t="s">
        <v>16939</v>
      </c>
      <c r="AN172" s="31"/>
      <c r="AO172" s="31" t="s">
        <v>16940</v>
      </c>
      <c r="AP172" s="31" t="s">
        <v>16941</v>
      </c>
      <c r="AQ172" s="31" t="s">
        <v>2015</v>
      </c>
      <c r="AR172" s="31" t="s">
        <v>20234</v>
      </c>
      <c r="AS172" s="31"/>
      <c r="AT172" s="31"/>
      <c r="AU172" s="31" t="n">
        <v>1323859</v>
      </c>
      <c r="AV172" s="31" t="s">
        <v>20235</v>
      </c>
      <c r="AW172" s="35" t="str">
        <f aca="false">HYPERLINK("http://dx.doi.org/10.3389/fmed.2024.1323859","http://dx.doi.org/10.3389/fmed.2024.1323859")</f>
        <v>http://dx.doi.org/10.3389/fmed.2024.1323859</v>
      </c>
      <c r="AX172" s="31"/>
      <c r="AY172" s="31" t="n">
        <v>15</v>
      </c>
      <c r="AZ172" s="31" t="s">
        <v>16829</v>
      </c>
      <c r="BA172" s="31" t="s">
        <v>16366</v>
      </c>
      <c r="BB172" s="31" t="s">
        <v>16830</v>
      </c>
      <c r="BC172" s="31" t="s">
        <v>20236</v>
      </c>
      <c r="BD172" s="31" t="n">
        <v>39568749</v>
      </c>
      <c r="BE172" s="31" t="s">
        <v>16431</v>
      </c>
      <c r="BF172" s="31" t="s">
        <v>16369</v>
      </c>
      <c r="BG172" s="31" t="s">
        <v>20237</v>
      </c>
      <c r="BH172" s="31" t="str">
        <f aca="false">HYPERLINK("https%3A%2F%2Fwww.webofscience.com%2Fwos%2Fwoscc%2Ffull-record%2FWOS:001358026000001","View Full Record in Web of Science")</f>
        <v>View Full Record in Web of Science</v>
      </c>
      <c r="BI172" s="31"/>
      <c r="BJ172" s="31"/>
      <c r="BK172" s="31"/>
      <c r="BL172" s="31"/>
      <c r="BM172" s="31"/>
      <c r="BN172" s="31"/>
      <c r="BO172" s="31"/>
      <c r="BP172" s="31"/>
      <c r="BQ172" s="31"/>
      <c r="BR172" s="31"/>
      <c r="BS172" s="31"/>
      <c r="BT172" s="31"/>
      <c r="BU172" s="31"/>
      <c r="BV172" s="31"/>
      <c r="BW172" s="31"/>
      <c r="BX172" s="31"/>
      <c r="BY172" s="31"/>
      <c r="BZ172" s="31"/>
      <c r="CA172" s="31"/>
      <c r="CB172" s="31"/>
      <c r="CC172" s="31"/>
      <c r="CD172" s="31"/>
      <c r="CE172" s="31"/>
      <c r="CF172" s="31"/>
    </row>
    <row r="173" customFormat="false" ht="15.75" hidden="false" customHeight="true" outlineLevel="0" collapsed="false">
      <c r="A173" s="31" t="s">
        <v>16335</v>
      </c>
      <c r="B173" s="31" t="s">
        <v>20238</v>
      </c>
      <c r="C173" s="31" t="s">
        <v>20239</v>
      </c>
      <c r="D173" s="34" t="s">
        <v>20240</v>
      </c>
      <c r="E173" s="31" t="n">
        <v>2024</v>
      </c>
      <c r="F173" s="33" t="s">
        <v>20241</v>
      </c>
      <c r="G173" s="33" t="s">
        <v>134</v>
      </c>
      <c r="H173" s="32"/>
      <c r="I173" s="34"/>
      <c r="J173" s="34"/>
      <c r="K173" s="34"/>
      <c r="L173" s="34"/>
      <c r="M173" s="34"/>
      <c r="N173" s="34"/>
      <c r="O173" s="34"/>
      <c r="P173" s="34" t="n">
        <v>0</v>
      </c>
      <c r="Q173" s="31" t="n">
        <v>0</v>
      </c>
      <c r="R173" s="31" t="s">
        <v>61</v>
      </c>
      <c r="S173" s="31" t="s">
        <v>62</v>
      </c>
      <c r="T173" s="31" t="s">
        <v>19037</v>
      </c>
      <c r="U173" s="31" t="n">
        <v>10</v>
      </c>
      <c r="V173" s="31" t="s">
        <v>19038</v>
      </c>
      <c r="W173" s="31" t="n">
        <v>16</v>
      </c>
      <c r="X173" s="31" t="s">
        <v>20242</v>
      </c>
      <c r="Y173" s="31" t="s">
        <v>20243</v>
      </c>
      <c r="Z173" s="31" t="s">
        <v>20244</v>
      </c>
      <c r="AA173" s="31" t="s">
        <v>20245</v>
      </c>
      <c r="AB173" s="31" t="s">
        <v>20246</v>
      </c>
      <c r="AC173" s="31" t="s">
        <v>20247</v>
      </c>
      <c r="AD173" s="31" t="s">
        <v>20248</v>
      </c>
      <c r="AE173" s="31"/>
      <c r="AF173" s="31" t="s">
        <v>20249</v>
      </c>
      <c r="AG173" s="31" t="s">
        <v>20250</v>
      </c>
      <c r="AH173" s="31" t="s">
        <v>20251</v>
      </c>
      <c r="AI173" s="31" t="n">
        <v>45</v>
      </c>
      <c r="AJ173" s="31" t="n">
        <v>9</v>
      </c>
      <c r="AK173" s="31" t="n">
        <v>9</v>
      </c>
      <c r="AL173" s="31" t="s">
        <v>17507</v>
      </c>
      <c r="AM173" s="31" t="s">
        <v>19050</v>
      </c>
      <c r="AN173" s="31"/>
      <c r="AO173" s="31" t="s">
        <v>19051</v>
      </c>
      <c r="AP173" s="31" t="s">
        <v>19037</v>
      </c>
      <c r="AQ173" s="31" t="s">
        <v>714</v>
      </c>
      <c r="AR173" s="31" t="s">
        <v>20252</v>
      </c>
      <c r="AS173" s="31"/>
      <c r="AT173" s="31"/>
      <c r="AU173" s="31" t="s">
        <v>20253</v>
      </c>
      <c r="AV173" s="31" t="s">
        <v>20254</v>
      </c>
      <c r="AW173" s="35" t="str">
        <f aca="false">HYPERLINK("http://dx.doi.org/10.1016/j.heliyon.2024.e36300","http://dx.doi.org/10.1016/j.heliyon.2024.e36300")</f>
        <v>http://dx.doi.org/10.1016/j.heliyon.2024.e36300</v>
      </c>
      <c r="AX173" s="31" t="s">
        <v>16890</v>
      </c>
      <c r="AY173" s="31" t="n">
        <v>10</v>
      </c>
      <c r="AZ173" s="31" t="s">
        <v>16428</v>
      </c>
      <c r="BA173" s="31" t="s">
        <v>16366</v>
      </c>
      <c r="BB173" s="31" t="s">
        <v>16429</v>
      </c>
      <c r="BC173" s="31" t="s">
        <v>20255</v>
      </c>
      <c r="BD173" s="31" t="n">
        <v>39262947</v>
      </c>
      <c r="BE173" s="31" t="s">
        <v>19056</v>
      </c>
      <c r="BF173" s="31" t="s">
        <v>16369</v>
      </c>
      <c r="BG173" s="31" t="s">
        <v>20256</v>
      </c>
      <c r="BH173" s="31" t="str">
        <f aca="false">HYPERLINK("https%3A%2F%2Fwww.webofscience.com%2Fwos%2Fwoscc%2Ffull-record%2FWOS:001300333900001","View Full Record in Web of Science")</f>
        <v>View Full Record in Web of Science</v>
      </c>
      <c r="BI173" s="31"/>
      <c r="BJ173" s="31"/>
      <c r="BK173" s="31"/>
      <c r="BL173" s="31"/>
      <c r="BM173" s="31"/>
      <c r="BN173" s="31"/>
      <c r="BO173" s="31"/>
      <c r="BP173" s="31"/>
      <c r="BQ173" s="31"/>
      <c r="BR173" s="31"/>
      <c r="BS173" s="31"/>
      <c r="BT173" s="31"/>
      <c r="BU173" s="31"/>
      <c r="BV173" s="31"/>
      <c r="BW173" s="31"/>
      <c r="BX173" s="31"/>
      <c r="BY173" s="31"/>
      <c r="BZ173" s="31"/>
      <c r="CA173" s="31"/>
      <c r="CB173" s="31"/>
      <c r="CC173" s="31"/>
      <c r="CD173" s="31"/>
      <c r="CE173" s="31"/>
      <c r="CF173" s="31"/>
    </row>
    <row r="174" customFormat="false" ht="15.75" hidden="false" customHeight="true" outlineLevel="0" collapsed="false">
      <c r="A174" s="31" t="s">
        <v>16335</v>
      </c>
      <c r="B174" s="31" t="s">
        <v>20257</v>
      </c>
      <c r="C174" s="31" t="s">
        <v>20258</v>
      </c>
      <c r="D174" s="34" t="s">
        <v>20259</v>
      </c>
      <c r="E174" s="31" t="n">
        <v>2024</v>
      </c>
      <c r="F174" s="33" t="s">
        <v>20260</v>
      </c>
      <c r="G174" s="33" t="s">
        <v>349</v>
      </c>
      <c r="H174" s="32"/>
      <c r="I174" s="34"/>
      <c r="J174" s="34"/>
      <c r="K174" s="34"/>
      <c r="L174" s="34"/>
      <c r="M174" s="34"/>
      <c r="N174" s="34"/>
      <c r="O174" s="34"/>
      <c r="P174" s="34" t="n">
        <v>2</v>
      </c>
      <c r="Q174" s="31" t="n">
        <v>2</v>
      </c>
      <c r="R174" s="31" t="s">
        <v>61</v>
      </c>
      <c r="S174" s="31" t="s">
        <v>62</v>
      </c>
      <c r="T174" s="31" t="s">
        <v>19387</v>
      </c>
      <c r="U174" s="31" t="n">
        <v>9</v>
      </c>
      <c r="V174" s="31" t="s">
        <v>4048</v>
      </c>
      <c r="W174" s="31" t="n">
        <v>4</v>
      </c>
      <c r="X174" s="31" t="s">
        <v>20261</v>
      </c>
      <c r="Y174" s="31"/>
      <c r="Z174" s="31" t="s">
        <v>20262</v>
      </c>
      <c r="AA174" s="31" t="s">
        <v>20263</v>
      </c>
      <c r="AB174" s="31" t="s">
        <v>20264</v>
      </c>
      <c r="AC174" s="31" t="s">
        <v>20265</v>
      </c>
      <c r="AD174" s="31" t="s">
        <v>20266</v>
      </c>
      <c r="AE174" s="31" t="s">
        <v>20267</v>
      </c>
      <c r="AF174" s="31" t="s">
        <v>20268</v>
      </c>
      <c r="AG174" s="31" t="s">
        <v>20269</v>
      </c>
      <c r="AH174" s="31" t="s">
        <v>20270</v>
      </c>
      <c r="AI174" s="31" t="n">
        <v>33</v>
      </c>
      <c r="AJ174" s="31" t="n">
        <v>8</v>
      </c>
      <c r="AK174" s="31" t="n">
        <v>13</v>
      </c>
      <c r="AL174" s="31" t="s">
        <v>16769</v>
      </c>
      <c r="AM174" s="31" t="s">
        <v>16770</v>
      </c>
      <c r="AN174" s="31"/>
      <c r="AO174" s="31" t="s">
        <v>19398</v>
      </c>
      <c r="AP174" s="31" t="s">
        <v>19399</v>
      </c>
      <c r="AQ174" s="31" t="s">
        <v>4059</v>
      </c>
      <c r="AR174" s="31" t="s">
        <v>17772</v>
      </c>
      <c r="AS174" s="31"/>
      <c r="AT174" s="31"/>
      <c r="AU174" s="31" t="n">
        <v>72</v>
      </c>
      <c r="AV174" s="31" t="s">
        <v>20271</v>
      </c>
      <c r="AW174" s="35" t="str">
        <f aca="false">HYPERLINK("http://dx.doi.org/10.3390/tropicalmed9040072","http://dx.doi.org/10.3390/tropicalmed9040072")</f>
        <v>http://dx.doi.org/10.3390/tropicalmed9040072</v>
      </c>
      <c r="AX174" s="31"/>
      <c r="AY174" s="31" t="n">
        <v>12</v>
      </c>
      <c r="AZ174" s="31" t="s">
        <v>16862</v>
      </c>
      <c r="BA174" s="31" t="s">
        <v>16366</v>
      </c>
      <c r="BB174" s="31" t="s">
        <v>16862</v>
      </c>
      <c r="BC174" s="31" t="s">
        <v>20272</v>
      </c>
      <c r="BD174" s="31" t="n">
        <v>38668533</v>
      </c>
      <c r="BE174" s="31" t="s">
        <v>17143</v>
      </c>
      <c r="BF174" s="31" t="s">
        <v>16369</v>
      </c>
      <c r="BG174" s="31" t="s">
        <v>20273</v>
      </c>
      <c r="BH174" s="31" t="str">
        <f aca="false">HYPERLINK("https%3A%2F%2Fwww.webofscience.com%2Fwos%2Fwoscc%2Ffull-record%2FWOS:001210610600001","View Full Record in Web of Science")</f>
        <v>View Full Record in Web of Science</v>
      </c>
      <c r="BI174" s="31"/>
      <c r="BJ174" s="31"/>
      <c r="BK174" s="31"/>
      <c r="BL174" s="31"/>
      <c r="BM174" s="31"/>
      <c r="BN174" s="31"/>
      <c r="BO174" s="31"/>
      <c r="BP174" s="31"/>
      <c r="BQ174" s="31"/>
      <c r="BR174" s="31"/>
      <c r="BS174" s="31"/>
      <c r="BT174" s="31"/>
      <c r="BU174" s="31"/>
      <c r="BV174" s="31"/>
      <c r="BW174" s="31"/>
      <c r="BX174" s="31"/>
      <c r="BY174" s="31"/>
      <c r="BZ174" s="31"/>
      <c r="CA174" s="31"/>
      <c r="CB174" s="31"/>
      <c r="CC174" s="31"/>
      <c r="CD174" s="31"/>
      <c r="CE174" s="31"/>
      <c r="CF174" s="31"/>
    </row>
    <row r="175" customFormat="false" ht="15.75" hidden="false" customHeight="true" outlineLevel="0" collapsed="false">
      <c r="A175" s="31" t="s">
        <v>16335</v>
      </c>
      <c r="B175" s="31" t="s">
        <v>20274</v>
      </c>
      <c r="C175" s="31" t="s">
        <v>20275</v>
      </c>
      <c r="D175" s="34" t="s">
        <v>20276</v>
      </c>
      <c r="E175" s="31" t="n">
        <v>2024</v>
      </c>
      <c r="F175" s="33" t="s">
        <v>20277</v>
      </c>
      <c r="G175" s="33" t="s">
        <v>349</v>
      </c>
      <c r="H175" s="32"/>
      <c r="I175" s="34"/>
      <c r="J175" s="34"/>
      <c r="K175" s="34"/>
      <c r="L175" s="34"/>
      <c r="M175" s="34"/>
      <c r="N175" s="34"/>
      <c r="O175" s="34"/>
      <c r="P175" s="34" t="n">
        <v>0</v>
      </c>
      <c r="Q175" s="31" t="n">
        <v>0</v>
      </c>
      <c r="R175" s="31" t="s">
        <v>61</v>
      </c>
      <c r="S175" s="31" t="s">
        <v>62</v>
      </c>
      <c r="T175" s="31" t="s">
        <v>18519</v>
      </c>
      <c r="U175" s="31" t="n">
        <v>19</v>
      </c>
      <c r="V175" s="31" t="s">
        <v>16845</v>
      </c>
      <c r="W175" s="31" t="n">
        <v>5</v>
      </c>
      <c r="X175" s="31"/>
      <c r="Y175" s="31" t="s">
        <v>20278</v>
      </c>
      <c r="Z175" s="31" t="s">
        <v>20279</v>
      </c>
      <c r="AA175" s="31" t="s">
        <v>20280</v>
      </c>
      <c r="AB175" s="31" t="s">
        <v>20281</v>
      </c>
      <c r="AC175" s="31" t="s">
        <v>20282</v>
      </c>
      <c r="AD175" s="31" t="s">
        <v>20283</v>
      </c>
      <c r="AE175" s="31" t="s">
        <v>20284</v>
      </c>
      <c r="AF175" s="31" t="s">
        <v>20285</v>
      </c>
      <c r="AG175" s="31" t="s">
        <v>20286</v>
      </c>
      <c r="AH175" s="31" t="s">
        <v>20287</v>
      </c>
      <c r="AI175" s="31" t="n">
        <v>44</v>
      </c>
      <c r="AJ175" s="31" t="n">
        <v>2</v>
      </c>
      <c r="AK175" s="31" t="n">
        <v>2</v>
      </c>
      <c r="AL175" s="31" t="s">
        <v>16855</v>
      </c>
      <c r="AM175" s="31" t="s">
        <v>16856</v>
      </c>
      <c r="AN175" s="31" t="s">
        <v>18530</v>
      </c>
      <c r="AO175" s="31"/>
      <c r="AP175" s="31" t="s">
        <v>18519</v>
      </c>
      <c r="AQ175" s="31" t="s">
        <v>18531</v>
      </c>
      <c r="AR175" s="31" t="s">
        <v>20288</v>
      </c>
      <c r="AS175" s="31"/>
      <c r="AT175" s="31"/>
      <c r="AU175" s="31" t="s">
        <v>20289</v>
      </c>
      <c r="AV175" s="31" t="s">
        <v>20290</v>
      </c>
      <c r="AW175" s="35" t="str">
        <f aca="false">HYPERLINK("http://dx.doi.org/10.1371/journal.pone.0299386","http://dx.doi.org/10.1371/journal.pone.0299386")</f>
        <v>http://dx.doi.org/10.1371/journal.pone.0299386</v>
      </c>
      <c r="AX175" s="31"/>
      <c r="AY175" s="31" t="n">
        <v>22</v>
      </c>
      <c r="AZ175" s="31" t="s">
        <v>16428</v>
      </c>
      <c r="BA175" s="31" t="s">
        <v>16366</v>
      </c>
      <c r="BB175" s="31" t="s">
        <v>16429</v>
      </c>
      <c r="BC175" s="31" t="s">
        <v>20291</v>
      </c>
      <c r="BD175" s="31" t="n">
        <v>38753678</v>
      </c>
      <c r="BE175" s="31" t="s">
        <v>16832</v>
      </c>
      <c r="BF175" s="31" t="s">
        <v>16369</v>
      </c>
      <c r="BG175" s="31" t="s">
        <v>20292</v>
      </c>
      <c r="BH175" s="31" t="str">
        <f aca="false">HYPERLINK("https%3A%2F%2Fwww.webofscience.com%2Fwos%2Fwoscc%2Ffull-record%2FWOS:001227144600053","View Full Record in Web of Science")</f>
        <v>View Full Record in Web of Science</v>
      </c>
      <c r="BI175" s="31"/>
      <c r="BJ175" s="31"/>
      <c r="BK175" s="31"/>
      <c r="BL175" s="31"/>
      <c r="BM175" s="31"/>
      <c r="BN175" s="31"/>
      <c r="BO175" s="31"/>
      <c r="BP175" s="31"/>
      <c r="BQ175" s="31"/>
      <c r="BR175" s="31"/>
      <c r="BS175" s="31"/>
      <c r="BT175" s="31"/>
      <c r="BU175" s="31"/>
      <c r="BV175" s="31"/>
      <c r="BW175" s="31"/>
      <c r="BX175" s="31"/>
      <c r="BY175" s="31"/>
      <c r="BZ175" s="31"/>
      <c r="CA175" s="31"/>
      <c r="CB175" s="31"/>
      <c r="CC175" s="31"/>
      <c r="CD175" s="31"/>
      <c r="CE175" s="31"/>
      <c r="CF175" s="31"/>
    </row>
    <row r="176" customFormat="false" ht="15.75" hidden="false" customHeight="true" outlineLevel="0" collapsed="false">
      <c r="A176" s="31" t="s">
        <v>16335</v>
      </c>
      <c r="B176" s="31" t="s">
        <v>20293</v>
      </c>
      <c r="C176" s="31" t="s">
        <v>20294</v>
      </c>
      <c r="D176" s="34" t="s">
        <v>20295</v>
      </c>
      <c r="E176" s="31" t="n">
        <v>2024</v>
      </c>
      <c r="F176" s="33" t="s">
        <v>20296</v>
      </c>
      <c r="G176" s="33" t="s">
        <v>349</v>
      </c>
      <c r="H176" s="32"/>
      <c r="I176" s="34"/>
      <c r="J176" s="34"/>
      <c r="K176" s="34"/>
      <c r="L176" s="34"/>
      <c r="M176" s="34"/>
      <c r="N176" s="34"/>
      <c r="O176" s="34"/>
      <c r="P176" s="34" t="n">
        <v>1</v>
      </c>
      <c r="Q176" s="31" t="n">
        <v>1</v>
      </c>
      <c r="R176" s="31" t="s">
        <v>61</v>
      </c>
      <c r="S176" s="31" t="s">
        <v>62</v>
      </c>
      <c r="T176" s="31" t="s">
        <v>17758</v>
      </c>
      <c r="U176" s="31" t="n">
        <v>111</v>
      </c>
      <c r="V176" s="31" t="s">
        <v>17759</v>
      </c>
      <c r="W176" s="31" t="n">
        <v>1</v>
      </c>
      <c r="X176" s="31"/>
      <c r="Y176" s="31" t="s">
        <v>20297</v>
      </c>
      <c r="Z176" s="31" t="s">
        <v>20298</v>
      </c>
      <c r="AA176" s="31" t="s">
        <v>20299</v>
      </c>
      <c r="AB176" s="31" t="s">
        <v>20300</v>
      </c>
      <c r="AC176" s="31" t="s">
        <v>20247</v>
      </c>
      <c r="AD176" s="31"/>
      <c r="AE176" s="31" t="s">
        <v>20301</v>
      </c>
      <c r="AF176" s="31" t="s">
        <v>20302</v>
      </c>
      <c r="AG176" s="31" t="s">
        <v>20303</v>
      </c>
      <c r="AH176" s="31" t="s">
        <v>20304</v>
      </c>
      <c r="AI176" s="31" t="n">
        <v>35</v>
      </c>
      <c r="AJ176" s="31" t="n">
        <v>4</v>
      </c>
      <c r="AK176" s="31" t="n">
        <v>6</v>
      </c>
      <c r="AL176" s="31" t="s">
        <v>17767</v>
      </c>
      <c r="AM176" s="31" t="s">
        <v>17768</v>
      </c>
      <c r="AN176" s="31" t="s">
        <v>17769</v>
      </c>
      <c r="AO176" s="31" t="s">
        <v>17770</v>
      </c>
      <c r="AP176" s="31" t="s">
        <v>17771</v>
      </c>
      <c r="AQ176" s="31" t="s">
        <v>617</v>
      </c>
      <c r="AR176" s="31" t="s">
        <v>20025</v>
      </c>
      <c r="AS176" s="31" t="n">
        <v>73</v>
      </c>
      <c r="AT176" s="31" t="n">
        <v>79</v>
      </c>
      <c r="AU176" s="31"/>
      <c r="AV176" s="31" t="s">
        <v>20305</v>
      </c>
      <c r="AW176" s="35" t="str">
        <f aca="false">HYPERLINK("http://dx.doi.org/10.4269/ajtmh.23-0751","http://dx.doi.org/10.4269/ajtmh.23-0751")</f>
        <v>http://dx.doi.org/10.4269/ajtmh.23-0751</v>
      </c>
      <c r="AX176" s="31"/>
      <c r="AY176" s="31" t="n">
        <v>7</v>
      </c>
      <c r="AZ176" s="31" t="s">
        <v>17774</v>
      </c>
      <c r="BA176" s="31" t="s">
        <v>16366</v>
      </c>
      <c r="BB176" s="31" t="s">
        <v>17774</v>
      </c>
      <c r="BC176" s="31" t="s">
        <v>20306</v>
      </c>
      <c r="BD176" s="31" t="n">
        <v>38772355</v>
      </c>
      <c r="BE176" s="31"/>
      <c r="BF176" s="31" t="s">
        <v>16369</v>
      </c>
      <c r="BG176" s="31" t="s">
        <v>20307</v>
      </c>
      <c r="BH176" s="31" t="str">
        <f aca="false">HYPERLINK("https%3A%2F%2Fwww.webofscience.com%2Fwos%2Fwoscc%2Ffull-record%2FWOS:001272128900012","View Full Record in Web of Science")</f>
        <v>View Full Record in Web of Science</v>
      </c>
      <c r="BI176" s="31"/>
      <c r="BJ176" s="31"/>
      <c r="BK176" s="31"/>
      <c r="BL176" s="31"/>
      <c r="BM176" s="31"/>
      <c r="BN176" s="31"/>
      <c r="BO176" s="31"/>
      <c r="BP176" s="31"/>
      <c r="BQ176" s="31"/>
      <c r="BR176" s="31"/>
      <c r="BS176" s="31"/>
      <c r="BT176" s="31"/>
      <c r="BU176" s="31"/>
      <c r="BV176" s="31"/>
      <c r="BW176" s="31"/>
      <c r="BX176" s="31"/>
      <c r="BY176" s="31"/>
      <c r="BZ176" s="31"/>
      <c r="CA176" s="31"/>
      <c r="CB176" s="31"/>
      <c r="CC176" s="31"/>
      <c r="CD176" s="31"/>
      <c r="CE176" s="31"/>
      <c r="CF176" s="31"/>
    </row>
    <row r="177" customFormat="false" ht="15.75" hidden="false" customHeight="true" outlineLevel="0" collapsed="false">
      <c r="A177" s="31" t="s">
        <v>16335</v>
      </c>
      <c r="B177" s="31" t="s">
        <v>20308</v>
      </c>
      <c r="C177" s="31" t="s">
        <v>20309</v>
      </c>
      <c r="D177" s="34" t="s">
        <v>20310</v>
      </c>
      <c r="E177" s="31" t="n">
        <v>2024</v>
      </c>
      <c r="F177" s="33" t="s">
        <v>20311</v>
      </c>
      <c r="G177" s="33" t="s">
        <v>349</v>
      </c>
      <c r="H177" s="32"/>
      <c r="I177" s="34"/>
      <c r="J177" s="34"/>
      <c r="K177" s="34"/>
      <c r="L177" s="34"/>
      <c r="M177" s="34"/>
      <c r="N177" s="34"/>
      <c r="O177" s="34"/>
      <c r="P177" s="34" t="n">
        <v>0</v>
      </c>
      <c r="Q177" s="31" t="n">
        <v>0</v>
      </c>
      <c r="R177" s="31" t="s">
        <v>61</v>
      </c>
      <c r="S177" s="31" t="s">
        <v>62</v>
      </c>
      <c r="T177" s="31" t="s">
        <v>20312</v>
      </c>
      <c r="U177" s="31" t="n">
        <v>123</v>
      </c>
      <c r="V177" s="31" t="s">
        <v>16600</v>
      </c>
      <c r="W177" s="31" t="n">
        <v>9</v>
      </c>
      <c r="X177" s="31" t="s">
        <v>20313</v>
      </c>
      <c r="Y177" s="31" t="s">
        <v>20314</v>
      </c>
      <c r="Z177" s="31" t="s">
        <v>20315</v>
      </c>
      <c r="AA177" s="31" t="s">
        <v>20316</v>
      </c>
      <c r="AB177" s="31" t="s">
        <v>20317</v>
      </c>
      <c r="AC177" s="31" t="s">
        <v>20318</v>
      </c>
      <c r="AD177" s="31" t="s">
        <v>20319</v>
      </c>
      <c r="AE177" s="31" t="s">
        <v>20320</v>
      </c>
      <c r="AF177" s="31"/>
      <c r="AG177" s="31"/>
      <c r="AH177" s="31"/>
      <c r="AI177" s="31" t="n">
        <v>51</v>
      </c>
      <c r="AJ177" s="31" t="n">
        <v>1</v>
      </c>
      <c r="AK177" s="31" t="n">
        <v>1</v>
      </c>
      <c r="AL177" s="31" t="s">
        <v>16990</v>
      </c>
      <c r="AM177" s="31" t="s">
        <v>16991</v>
      </c>
      <c r="AN177" s="31" t="s">
        <v>20321</v>
      </c>
      <c r="AO177" s="31" t="s">
        <v>20322</v>
      </c>
      <c r="AP177" s="31" t="s">
        <v>20323</v>
      </c>
      <c r="AQ177" s="31" t="s">
        <v>20324</v>
      </c>
      <c r="AR177" s="31" t="s">
        <v>16801</v>
      </c>
      <c r="AS177" s="31"/>
      <c r="AT177" s="31"/>
      <c r="AU177" s="31" t="n">
        <v>316</v>
      </c>
      <c r="AV177" s="31" t="s">
        <v>20325</v>
      </c>
      <c r="AW177" s="35" t="str">
        <f aca="false">HYPERLINK("http://dx.doi.org/10.1007/s00436-024-08331-w","http://dx.doi.org/10.1007/s00436-024-08331-w")</f>
        <v>http://dx.doi.org/10.1007/s00436-024-08331-w</v>
      </c>
      <c r="AX177" s="31"/>
      <c r="AY177" s="31" t="n">
        <v>10</v>
      </c>
      <c r="AZ177" s="31" t="s">
        <v>20326</v>
      </c>
      <c r="BA177" s="31" t="s">
        <v>16366</v>
      </c>
      <c r="BB177" s="31" t="s">
        <v>20326</v>
      </c>
      <c r="BC177" s="31" t="s">
        <v>20327</v>
      </c>
      <c r="BD177" s="31" t="n">
        <v>39230789</v>
      </c>
      <c r="BE177" s="31"/>
      <c r="BF177" s="31" t="s">
        <v>16369</v>
      </c>
      <c r="BG177" s="31" t="s">
        <v>20328</v>
      </c>
      <c r="BH177" s="31" t="str">
        <f aca="false">HYPERLINK("https%3A%2F%2Fwww.webofscience.com%2Fwos%2Fwoscc%2Ffull-record%2FWOS:001304485900001","View Full Record in Web of Science")</f>
        <v>View Full Record in Web of Science</v>
      </c>
      <c r="BI177" s="31"/>
      <c r="BJ177" s="31"/>
      <c r="BK177" s="31"/>
      <c r="BL177" s="31"/>
      <c r="BM177" s="31"/>
      <c r="BN177" s="31"/>
      <c r="BO177" s="31"/>
      <c r="BP177" s="31"/>
      <c r="BQ177" s="31"/>
      <c r="BR177" s="31"/>
      <c r="BS177" s="31"/>
      <c r="BT177" s="31"/>
      <c r="BU177" s="31"/>
      <c r="BV177" s="31"/>
      <c r="BW177" s="31"/>
      <c r="BX177" s="31"/>
      <c r="BY177" s="31"/>
      <c r="BZ177" s="31"/>
      <c r="CA177" s="31"/>
      <c r="CB177" s="31"/>
      <c r="CC177" s="31"/>
      <c r="CD177" s="31"/>
      <c r="CE177" s="31"/>
      <c r="CF177" s="31"/>
    </row>
    <row r="178" customFormat="false" ht="15.75" hidden="false" customHeight="true" outlineLevel="0" collapsed="false">
      <c r="A178" s="31" t="s">
        <v>16335</v>
      </c>
      <c r="B178" s="31" t="s">
        <v>20329</v>
      </c>
      <c r="C178" s="31" t="s">
        <v>20330</v>
      </c>
      <c r="D178" s="34" t="s">
        <v>20331</v>
      </c>
      <c r="E178" s="31" t="n">
        <v>2024</v>
      </c>
      <c r="F178" s="33" t="s">
        <v>20332</v>
      </c>
      <c r="G178" s="33" t="s">
        <v>349</v>
      </c>
      <c r="H178" s="32"/>
      <c r="I178" s="34"/>
      <c r="J178" s="34"/>
      <c r="K178" s="34"/>
      <c r="L178" s="34"/>
      <c r="M178" s="34"/>
      <c r="N178" s="34"/>
      <c r="O178" s="34"/>
      <c r="P178" s="34" t="n">
        <v>0</v>
      </c>
      <c r="Q178" s="31" t="n">
        <v>0</v>
      </c>
      <c r="R178" s="31" t="s">
        <v>61</v>
      </c>
      <c r="S178" s="31" t="s">
        <v>62</v>
      </c>
      <c r="T178" s="31" t="s">
        <v>20333</v>
      </c>
      <c r="U178" s="31" t="n">
        <v>10</v>
      </c>
      <c r="V178" s="31" t="s">
        <v>20334</v>
      </c>
      <c r="W178" s="31"/>
      <c r="X178" s="31" t="s">
        <v>20335</v>
      </c>
      <c r="Y178" s="31" t="s">
        <v>20336</v>
      </c>
      <c r="Z178" s="31" t="s">
        <v>20337</v>
      </c>
      <c r="AA178" s="31" t="s">
        <v>15818</v>
      </c>
      <c r="AB178" s="31" t="s">
        <v>20338</v>
      </c>
      <c r="AC178" s="31" t="s">
        <v>20339</v>
      </c>
      <c r="AD178" s="31" t="s">
        <v>20340</v>
      </c>
      <c r="AE178" s="31" t="s">
        <v>20341</v>
      </c>
      <c r="AF178" s="31"/>
      <c r="AG178" s="31"/>
      <c r="AH178" s="31"/>
      <c r="AI178" s="31" t="n">
        <v>49</v>
      </c>
      <c r="AJ178" s="31" t="n">
        <v>2</v>
      </c>
      <c r="AK178" s="31" t="n">
        <v>2</v>
      </c>
      <c r="AL178" s="31" t="s">
        <v>16821</v>
      </c>
      <c r="AM178" s="31" t="s">
        <v>20342</v>
      </c>
      <c r="AN178" s="31" t="s">
        <v>20343</v>
      </c>
      <c r="AO178" s="31"/>
      <c r="AP178" s="31" t="s">
        <v>20344</v>
      </c>
      <c r="AQ178" s="31" t="s">
        <v>20345</v>
      </c>
      <c r="AR178" s="31"/>
      <c r="AS178" s="31"/>
      <c r="AT178" s="31"/>
      <c r="AU178" s="31" t="n">
        <v>20552076241278900</v>
      </c>
      <c r="AV178" s="31" t="s">
        <v>20346</v>
      </c>
      <c r="AW178" s="35" t="str">
        <f aca="false">HYPERLINK("http://dx.doi.org/10.1177/20552076241278939","http://dx.doi.org/10.1177/20552076241278939")</f>
        <v>http://dx.doi.org/10.1177/20552076241278939</v>
      </c>
      <c r="AX178" s="31"/>
      <c r="AY178" s="31" t="n">
        <v>15</v>
      </c>
      <c r="AZ178" s="31" t="s">
        <v>20347</v>
      </c>
      <c r="BA178" s="31" t="s">
        <v>16584</v>
      </c>
      <c r="BB178" s="31" t="s">
        <v>20348</v>
      </c>
      <c r="BC178" s="31" t="s">
        <v>20349</v>
      </c>
      <c r="BD178" s="31" t="n">
        <v>39507013</v>
      </c>
      <c r="BE178" s="31" t="s">
        <v>20350</v>
      </c>
      <c r="BF178" s="31" t="s">
        <v>16369</v>
      </c>
      <c r="BG178" s="31" t="s">
        <v>20351</v>
      </c>
      <c r="BH178" s="31" t="str">
        <f aca="false">HYPERLINK("https%3A%2F%2Fwww.webofscience.com%2Fwos%2Fwoscc%2Ffull-record%2FWOS:001349019500001","View Full Record in Web of Science")</f>
        <v>View Full Record in Web of Science</v>
      </c>
      <c r="BI178" s="31"/>
      <c r="BJ178" s="31"/>
      <c r="BK178" s="31"/>
      <c r="BL178" s="31"/>
      <c r="BM178" s="31"/>
      <c r="BN178" s="31"/>
      <c r="BO178" s="31"/>
      <c r="BP178" s="31"/>
      <c r="BQ178" s="31"/>
      <c r="BR178" s="31"/>
      <c r="BS178" s="31"/>
      <c r="BT178" s="31"/>
      <c r="BU178" s="31"/>
      <c r="BV178" s="31"/>
      <c r="BW178" s="31"/>
      <c r="BX178" s="31"/>
      <c r="BY178" s="31"/>
      <c r="BZ178" s="31"/>
      <c r="CA178" s="31"/>
      <c r="CB178" s="31"/>
      <c r="CC178" s="31"/>
      <c r="CD178" s="31"/>
      <c r="CE178" s="31"/>
      <c r="CF178" s="31"/>
    </row>
    <row r="179" customFormat="false" ht="15.75" hidden="false" customHeight="true" outlineLevel="0" collapsed="false">
      <c r="A179" s="31" t="s">
        <v>16335</v>
      </c>
      <c r="B179" s="31" t="s">
        <v>20352</v>
      </c>
      <c r="C179" s="31" t="s">
        <v>20353</v>
      </c>
      <c r="D179" s="34" t="s">
        <v>20354</v>
      </c>
      <c r="E179" s="31" t="n">
        <v>2024</v>
      </c>
      <c r="F179" s="33" t="s">
        <v>20355</v>
      </c>
      <c r="G179" s="33" t="s">
        <v>349</v>
      </c>
      <c r="H179" s="32"/>
      <c r="I179" s="34"/>
      <c r="J179" s="34"/>
      <c r="K179" s="34"/>
      <c r="L179" s="34"/>
      <c r="M179" s="34"/>
      <c r="N179" s="34"/>
      <c r="O179" s="34"/>
      <c r="P179" s="34" t="n">
        <v>3</v>
      </c>
      <c r="Q179" s="31" t="n">
        <v>3</v>
      </c>
      <c r="R179" s="31" t="s">
        <v>61</v>
      </c>
      <c r="S179" s="31" t="s">
        <v>62</v>
      </c>
      <c r="T179" s="31" t="s">
        <v>18629</v>
      </c>
      <c r="U179" s="31" t="n">
        <v>14</v>
      </c>
      <c r="V179" s="31" t="s">
        <v>4048</v>
      </c>
      <c r="W179" s="31" t="n">
        <v>4</v>
      </c>
      <c r="X179" s="31" t="s">
        <v>20356</v>
      </c>
      <c r="Y179" s="31" t="s">
        <v>20016</v>
      </c>
      <c r="Z179" s="31" t="s">
        <v>20357</v>
      </c>
      <c r="AA179" s="31" t="s">
        <v>20358</v>
      </c>
      <c r="AB179" s="31" t="s">
        <v>20359</v>
      </c>
      <c r="AC179" s="31" t="s">
        <v>20360</v>
      </c>
      <c r="AD179" s="31" t="s">
        <v>20361</v>
      </c>
      <c r="AE179" s="31" t="s">
        <v>20362</v>
      </c>
      <c r="AF179" s="31"/>
      <c r="AG179" s="31"/>
      <c r="AH179" s="31"/>
      <c r="AI179" s="31" t="n">
        <v>32</v>
      </c>
      <c r="AJ179" s="31" t="n">
        <v>14</v>
      </c>
      <c r="AK179" s="31" t="n">
        <v>28</v>
      </c>
      <c r="AL179" s="31" t="s">
        <v>16769</v>
      </c>
      <c r="AM179" s="31" t="s">
        <v>16770</v>
      </c>
      <c r="AN179" s="31"/>
      <c r="AO179" s="31" t="s">
        <v>18636</v>
      </c>
      <c r="AP179" s="31" t="s">
        <v>18629</v>
      </c>
      <c r="AQ179" s="31" t="s">
        <v>849</v>
      </c>
      <c r="AR179" s="31" t="s">
        <v>16970</v>
      </c>
      <c r="AS179" s="31"/>
      <c r="AT179" s="31"/>
      <c r="AU179" s="31" t="n">
        <v>385</v>
      </c>
      <c r="AV179" s="31" t="s">
        <v>20363</v>
      </c>
      <c r="AW179" s="35" t="str">
        <f aca="false">HYPERLINK("http://dx.doi.org/10.3390/diagnostics14040385","http://dx.doi.org/10.3390/diagnostics14040385")</f>
        <v>http://dx.doi.org/10.3390/diagnostics14040385</v>
      </c>
      <c r="AX179" s="31"/>
      <c r="AY179" s="31" t="n">
        <v>13</v>
      </c>
      <c r="AZ179" s="31" t="s">
        <v>16829</v>
      </c>
      <c r="BA179" s="31" t="s">
        <v>16366</v>
      </c>
      <c r="BB179" s="31" t="s">
        <v>16830</v>
      </c>
      <c r="BC179" s="31" t="s">
        <v>20364</v>
      </c>
      <c r="BD179" s="31" t="n">
        <v>38396424</v>
      </c>
      <c r="BE179" s="31" t="s">
        <v>16832</v>
      </c>
      <c r="BF179" s="31" t="s">
        <v>16369</v>
      </c>
      <c r="BG179" s="31" t="s">
        <v>20365</v>
      </c>
      <c r="BH179" s="31" t="str">
        <f aca="false">HYPERLINK("https%3A%2F%2Fwww.webofscience.com%2Fwos%2Fwoscc%2Ffull-record%2FWOS:001170290400001","View Full Record in Web of Science")</f>
        <v>View Full Record in Web of Science</v>
      </c>
      <c r="BI179" s="31"/>
      <c r="BJ179" s="31"/>
      <c r="BK179" s="31"/>
      <c r="BL179" s="31"/>
      <c r="BM179" s="31"/>
      <c r="BN179" s="31"/>
      <c r="BO179" s="31"/>
      <c r="BP179" s="31"/>
      <c r="BQ179" s="31"/>
      <c r="BR179" s="31"/>
      <c r="BS179" s="31"/>
      <c r="BT179" s="31"/>
      <c r="BU179" s="31"/>
      <c r="BV179" s="31"/>
      <c r="BW179" s="31"/>
      <c r="BX179" s="31"/>
      <c r="BY179" s="31"/>
      <c r="BZ179" s="31"/>
      <c r="CA179" s="31"/>
      <c r="CB179" s="31"/>
      <c r="CC179" s="31"/>
      <c r="CD179" s="31"/>
      <c r="CE179" s="31"/>
      <c r="CF179" s="31"/>
    </row>
    <row r="180" customFormat="false" ht="15.75" hidden="false" customHeight="true" outlineLevel="0" collapsed="false">
      <c r="A180" s="31" t="s">
        <v>16335</v>
      </c>
      <c r="B180" s="31" t="s">
        <v>20366</v>
      </c>
      <c r="C180" s="31" t="s">
        <v>20367</v>
      </c>
      <c r="D180" s="34" t="s">
        <v>20368</v>
      </c>
      <c r="E180" s="31" t="n">
        <v>2024</v>
      </c>
      <c r="F180" s="33" t="s">
        <v>20369</v>
      </c>
      <c r="G180" s="33" t="s">
        <v>349</v>
      </c>
      <c r="H180" s="32"/>
      <c r="I180" s="34"/>
      <c r="J180" s="34"/>
      <c r="K180" s="34"/>
      <c r="L180" s="34"/>
      <c r="M180" s="34"/>
      <c r="N180" s="34"/>
      <c r="O180" s="34"/>
      <c r="P180" s="34" t="n">
        <v>2</v>
      </c>
      <c r="Q180" s="31" t="n">
        <v>2</v>
      </c>
      <c r="R180" s="31" t="s">
        <v>61</v>
      </c>
      <c r="S180" s="31" t="s">
        <v>62</v>
      </c>
      <c r="T180" s="31" t="s">
        <v>20370</v>
      </c>
      <c r="U180" s="31" t="n">
        <v>11</v>
      </c>
      <c r="V180" s="31" t="s">
        <v>16698</v>
      </c>
      <c r="W180" s="31" t="n">
        <v>2</v>
      </c>
      <c r="X180" s="31" t="s">
        <v>20371</v>
      </c>
      <c r="Y180" s="31" t="s">
        <v>20372</v>
      </c>
      <c r="Z180" s="31" t="s">
        <v>20373</v>
      </c>
      <c r="AA180" s="31" t="s">
        <v>20374</v>
      </c>
      <c r="AB180" s="31" t="s">
        <v>20375</v>
      </c>
      <c r="AC180" s="31" t="s">
        <v>20376</v>
      </c>
      <c r="AD180" s="31" t="s">
        <v>20377</v>
      </c>
      <c r="AE180" s="31" t="s">
        <v>20378</v>
      </c>
      <c r="AF180" s="31" t="s">
        <v>20379</v>
      </c>
      <c r="AG180" s="31" t="s">
        <v>20380</v>
      </c>
      <c r="AH180" s="31" t="s">
        <v>20381</v>
      </c>
      <c r="AI180" s="31" t="n">
        <v>52</v>
      </c>
      <c r="AJ180" s="31" t="n">
        <v>4</v>
      </c>
      <c r="AK180" s="31" t="n">
        <v>4</v>
      </c>
      <c r="AL180" s="31" t="s">
        <v>16709</v>
      </c>
      <c r="AM180" s="31" t="s">
        <v>16710</v>
      </c>
      <c r="AN180" s="31" t="s">
        <v>20382</v>
      </c>
      <c r="AO180" s="31"/>
      <c r="AP180" s="31" t="s">
        <v>20370</v>
      </c>
      <c r="AQ180" s="31" t="s">
        <v>20383</v>
      </c>
      <c r="AR180" s="31"/>
      <c r="AS180" s="31" t="n">
        <v>432</v>
      </c>
      <c r="AT180" s="31" t="n">
        <v>458</v>
      </c>
      <c r="AU180" s="31"/>
      <c r="AV180" s="31" t="s">
        <v>20384</v>
      </c>
      <c r="AW180" s="35" t="str">
        <f aca="false">HYPERLINK("http://dx.doi.org/10.3934/publichealth.2024022","http://dx.doi.org/10.3934/publichealth.2024022")</f>
        <v>http://dx.doi.org/10.3934/publichealth.2024022</v>
      </c>
      <c r="AX180" s="31"/>
      <c r="AY180" s="31" t="n">
        <v>27</v>
      </c>
      <c r="AZ180" s="31" t="s">
        <v>18469</v>
      </c>
      <c r="BA180" s="31" t="s">
        <v>16684</v>
      </c>
      <c r="BB180" s="31" t="s">
        <v>18469</v>
      </c>
      <c r="BC180" s="31" t="s">
        <v>20385</v>
      </c>
      <c r="BD180" s="31" t="n">
        <v>39027393</v>
      </c>
      <c r="BE180" s="31" t="s">
        <v>16832</v>
      </c>
      <c r="BF180" s="31" t="s">
        <v>16369</v>
      </c>
      <c r="BG180" s="31" t="s">
        <v>20386</v>
      </c>
      <c r="BH180" s="31" t="str">
        <f aca="false">HYPERLINK("https%3A%2F%2Fwww.webofscience.com%2Fwos%2Fwoscc%2Ffull-record%2FWOS:001197968300001","View Full Record in Web of Science")</f>
        <v>View Full Record in Web of Science</v>
      </c>
      <c r="BI180" s="31"/>
      <c r="BJ180" s="31"/>
      <c r="BK180" s="31"/>
      <c r="BL180" s="31"/>
      <c r="BM180" s="31"/>
      <c r="BN180" s="31"/>
      <c r="BO180" s="31"/>
      <c r="BP180" s="31"/>
      <c r="BQ180" s="31"/>
      <c r="BR180" s="31"/>
      <c r="BS180" s="31"/>
      <c r="BT180" s="31"/>
      <c r="BU180" s="31"/>
      <c r="BV180" s="31"/>
      <c r="BW180" s="31"/>
      <c r="BX180" s="31"/>
      <c r="BY180" s="31"/>
      <c r="BZ180" s="31"/>
      <c r="CA180" s="31"/>
      <c r="CB180" s="31"/>
      <c r="CC180" s="31"/>
      <c r="CD180" s="31"/>
      <c r="CE180" s="31"/>
      <c r="CF180" s="31"/>
    </row>
    <row r="181" customFormat="false" ht="15.75" hidden="false" customHeight="true" outlineLevel="0" collapsed="false">
      <c r="A181" s="31" t="s">
        <v>16335</v>
      </c>
      <c r="B181" s="31" t="s">
        <v>20387</v>
      </c>
      <c r="C181" s="31" t="s">
        <v>20388</v>
      </c>
      <c r="D181" s="34" t="s">
        <v>20389</v>
      </c>
      <c r="E181" s="31" t="n">
        <v>2024</v>
      </c>
      <c r="F181" s="33" t="s">
        <v>20390</v>
      </c>
      <c r="G181" s="33" t="s">
        <v>134</v>
      </c>
      <c r="H181" s="32"/>
      <c r="I181" s="34"/>
      <c r="J181" s="34"/>
      <c r="K181" s="34"/>
      <c r="L181" s="34"/>
      <c r="M181" s="34"/>
      <c r="N181" s="34"/>
      <c r="O181" s="34"/>
      <c r="P181" s="34" t="n">
        <v>3</v>
      </c>
      <c r="Q181" s="31" t="n">
        <v>3</v>
      </c>
      <c r="R181" s="31" t="s">
        <v>61</v>
      </c>
      <c r="S181" s="31" t="s">
        <v>62</v>
      </c>
      <c r="T181" s="31" t="s">
        <v>16413</v>
      </c>
      <c r="U181" s="31" t="n">
        <v>14</v>
      </c>
      <c r="V181" s="31" t="s">
        <v>16414</v>
      </c>
      <c r="W181" s="31" t="n">
        <v>1</v>
      </c>
      <c r="X181" s="31" t="s">
        <v>20391</v>
      </c>
      <c r="Y181" s="31" t="s">
        <v>20392</v>
      </c>
      <c r="Z181" s="31" t="s">
        <v>20393</v>
      </c>
      <c r="AA181" s="31" t="s">
        <v>20394</v>
      </c>
      <c r="AB181" s="31" t="s">
        <v>20395</v>
      </c>
      <c r="AC181" s="31" t="s">
        <v>20396</v>
      </c>
      <c r="AD181" s="31" t="s">
        <v>20397</v>
      </c>
      <c r="AE181" s="31" t="s">
        <v>20398</v>
      </c>
      <c r="AF181" s="31" t="s">
        <v>20399</v>
      </c>
      <c r="AG181" s="31" t="s">
        <v>20400</v>
      </c>
      <c r="AH181" s="31" t="s">
        <v>20401</v>
      </c>
      <c r="AI181" s="31" t="n">
        <v>53</v>
      </c>
      <c r="AJ181" s="31" t="n">
        <v>2</v>
      </c>
      <c r="AK181" s="31" t="n">
        <v>2</v>
      </c>
      <c r="AL181" s="31" t="s">
        <v>16421</v>
      </c>
      <c r="AM181" s="31" t="s">
        <v>16422</v>
      </c>
      <c r="AN181" s="31" t="s">
        <v>16423</v>
      </c>
      <c r="AO181" s="31"/>
      <c r="AP181" s="31" t="s">
        <v>16424</v>
      </c>
      <c r="AQ181" s="31" t="s">
        <v>16425</v>
      </c>
      <c r="AR181" s="31" t="s">
        <v>20402</v>
      </c>
      <c r="AS181" s="31"/>
      <c r="AT181" s="31"/>
      <c r="AU181" s="31" t="n">
        <v>21546</v>
      </c>
      <c r="AV181" s="31" t="s">
        <v>20403</v>
      </c>
      <c r="AW181" s="35" t="str">
        <f aca="false">HYPERLINK("http://dx.doi.org/10.1038/s41598-024-71889-z","http://dx.doi.org/10.1038/s41598-024-71889-z")</f>
        <v>http://dx.doi.org/10.1038/s41598-024-71889-z</v>
      </c>
      <c r="AX181" s="31"/>
      <c r="AY181" s="31" t="n">
        <v>9</v>
      </c>
      <c r="AZ181" s="31" t="s">
        <v>16428</v>
      </c>
      <c r="BA181" s="31" t="s">
        <v>16366</v>
      </c>
      <c r="BB181" s="31" t="s">
        <v>16429</v>
      </c>
      <c r="BC181" s="31" t="s">
        <v>20404</v>
      </c>
      <c r="BD181" s="31" t="n">
        <v>39278957</v>
      </c>
      <c r="BE181" s="31" t="s">
        <v>19274</v>
      </c>
      <c r="BF181" s="31" t="s">
        <v>16369</v>
      </c>
      <c r="BG181" s="31" t="s">
        <v>20405</v>
      </c>
      <c r="BH181" s="31" t="str">
        <f aca="false">HYPERLINK("https%3A%2F%2Fwww.webofscience.com%2Fwos%2Fwoscc%2Ffull-record%2FWOS:001312686700002","View Full Record in Web of Science")</f>
        <v>View Full Record in Web of Science</v>
      </c>
      <c r="BI181" s="31"/>
      <c r="BJ181" s="31"/>
      <c r="BK181" s="31"/>
      <c r="BL181" s="31"/>
      <c r="BM181" s="31"/>
      <c r="BN181" s="31"/>
      <c r="BO181" s="31"/>
      <c r="BP181" s="31"/>
      <c r="BQ181" s="31"/>
      <c r="BR181" s="31"/>
      <c r="BS181" s="31"/>
      <c r="BT181" s="31"/>
      <c r="BU181" s="31"/>
      <c r="BV181" s="31"/>
      <c r="BW181" s="31"/>
      <c r="BX181" s="31"/>
      <c r="BY181" s="31"/>
      <c r="BZ181" s="31"/>
      <c r="CA181" s="31"/>
      <c r="CB181" s="31"/>
      <c r="CC181" s="31"/>
      <c r="CD181" s="31"/>
      <c r="CE181" s="31"/>
      <c r="CF181" s="31"/>
    </row>
    <row r="182" customFormat="false" ht="15.75" hidden="false" customHeight="true" outlineLevel="0" collapsed="false">
      <c r="A182" s="31" t="s">
        <v>16335</v>
      </c>
      <c r="B182" s="31" t="s">
        <v>20406</v>
      </c>
      <c r="C182" s="31" t="s">
        <v>20407</v>
      </c>
      <c r="D182" s="34" t="s">
        <v>20408</v>
      </c>
      <c r="E182" s="31" t="n">
        <v>2024</v>
      </c>
      <c r="F182" s="33" t="s">
        <v>20409</v>
      </c>
      <c r="G182" s="33" t="s">
        <v>134</v>
      </c>
      <c r="H182" s="32"/>
      <c r="I182" s="34"/>
      <c r="J182" s="34"/>
      <c r="K182" s="34"/>
      <c r="L182" s="34"/>
      <c r="M182" s="34"/>
      <c r="N182" s="34"/>
      <c r="O182" s="34"/>
      <c r="P182" s="34" t="n">
        <v>0</v>
      </c>
      <c r="Q182" s="31" t="n">
        <v>0</v>
      </c>
      <c r="R182" s="31" t="s">
        <v>61</v>
      </c>
      <c r="S182" s="31" t="s">
        <v>62</v>
      </c>
      <c r="T182" s="31" t="s">
        <v>20410</v>
      </c>
      <c r="U182" s="31" t="n">
        <v>25</v>
      </c>
      <c r="V182" s="31" t="s">
        <v>16600</v>
      </c>
      <c r="W182" s="31" t="n">
        <v>1</v>
      </c>
      <c r="X182" s="31" t="s">
        <v>20411</v>
      </c>
      <c r="Y182" s="31" t="s">
        <v>20412</v>
      </c>
      <c r="Z182" s="31" t="s">
        <v>20413</v>
      </c>
      <c r="AA182" s="31" t="s">
        <v>20414</v>
      </c>
      <c r="AB182" s="31" t="s">
        <v>20415</v>
      </c>
      <c r="AC182" s="31" t="s">
        <v>20416</v>
      </c>
      <c r="AD182" s="31" t="s">
        <v>20417</v>
      </c>
      <c r="AE182" s="31" t="s">
        <v>20418</v>
      </c>
      <c r="AF182" s="31"/>
      <c r="AG182" s="31"/>
      <c r="AH182" s="31"/>
      <c r="AI182" s="31" t="n">
        <v>50</v>
      </c>
      <c r="AJ182" s="31" t="n">
        <v>0</v>
      </c>
      <c r="AK182" s="31" t="n">
        <v>0</v>
      </c>
      <c r="AL182" s="31" t="s">
        <v>16990</v>
      </c>
      <c r="AM182" s="31" t="s">
        <v>16991</v>
      </c>
      <c r="AN182" s="31" t="s">
        <v>20419</v>
      </c>
      <c r="AO182" s="31" t="s">
        <v>20420</v>
      </c>
      <c r="AP182" s="31" t="s">
        <v>20421</v>
      </c>
      <c r="AQ182" s="31" t="s">
        <v>20422</v>
      </c>
      <c r="AR182" s="31" t="s">
        <v>20423</v>
      </c>
      <c r="AS182" s="31"/>
      <c r="AT182" s="31"/>
      <c r="AU182" s="31" t="n">
        <v>55</v>
      </c>
      <c r="AV182" s="31" t="s">
        <v>20424</v>
      </c>
      <c r="AW182" s="35" t="str">
        <f aca="false">HYPERLINK("http://dx.doi.org/10.1007/s11220-024-00503-3","http://dx.doi.org/10.1007/s11220-024-00503-3")</f>
        <v>http://dx.doi.org/10.1007/s11220-024-00503-3</v>
      </c>
      <c r="AX182" s="31"/>
      <c r="AY182" s="31" t="n">
        <v>23</v>
      </c>
      <c r="AZ182" s="31" t="s">
        <v>20425</v>
      </c>
      <c r="BA182" s="31" t="s">
        <v>16684</v>
      </c>
      <c r="BB182" s="31" t="s">
        <v>20425</v>
      </c>
      <c r="BC182" s="31" t="s">
        <v>20426</v>
      </c>
      <c r="BD182" s="31"/>
      <c r="BE182" s="31"/>
      <c r="BF182" s="31" t="s">
        <v>16369</v>
      </c>
      <c r="BG182" s="31" t="s">
        <v>20427</v>
      </c>
      <c r="BH182" s="31" t="str">
        <f aca="false">HYPERLINK("https%3A%2F%2Fwww.webofscience.com%2Fwos%2Fwoscc%2Ffull-record%2FWOS:001308524100001","View Full Record in Web of Science")</f>
        <v>View Full Record in Web of Science</v>
      </c>
      <c r="BI182" s="31"/>
      <c r="BJ182" s="31"/>
      <c r="BK182" s="31"/>
      <c r="BL182" s="31"/>
      <c r="BM182" s="31"/>
      <c r="BN182" s="31"/>
      <c r="BO182" s="31"/>
      <c r="BP182" s="31"/>
      <c r="BQ182" s="31"/>
      <c r="BR182" s="31"/>
      <c r="BS182" s="31"/>
      <c r="BT182" s="31"/>
      <c r="BU182" s="31"/>
      <c r="BV182" s="31"/>
      <c r="BW182" s="31"/>
      <c r="BX182" s="31"/>
      <c r="BY182" s="31"/>
      <c r="BZ182" s="31"/>
      <c r="CA182" s="31"/>
      <c r="CB182" s="31"/>
      <c r="CC182" s="31"/>
      <c r="CD182" s="31"/>
      <c r="CE182" s="31"/>
      <c r="CF182" s="31"/>
    </row>
    <row r="183" customFormat="false" ht="15.75" hidden="false" customHeight="true" outlineLevel="0" collapsed="false">
      <c r="A183" s="31" t="s">
        <v>16335</v>
      </c>
      <c r="B183" s="31" t="s">
        <v>20428</v>
      </c>
      <c r="C183" s="31" t="s">
        <v>20429</v>
      </c>
      <c r="D183" s="34" t="s">
        <v>20430</v>
      </c>
      <c r="E183" s="31" t="n">
        <v>2024</v>
      </c>
      <c r="F183" s="33" t="s">
        <v>20431</v>
      </c>
      <c r="G183" s="33" t="s">
        <v>349</v>
      </c>
      <c r="H183" s="32"/>
      <c r="I183" s="34"/>
      <c r="J183" s="34"/>
      <c r="K183" s="34"/>
      <c r="L183" s="34"/>
      <c r="M183" s="34"/>
      <c r="N183" s="34"/>
      <c r="O183" s="34"/>
      <c r="P183" s="34" t="n">
        <v>0</v>
      </c>
      <c r="Q183" s="31" t="n">
        <v>0</v>
      </c>
      <c r="R183" s="31" t="s">
        <v>61</v>
      </c>
      <c r="S183" s="31" t="s">
        <v>62</v>
      </c>
      <c r="T183" s="31" t="s">
        <v>20432</v>
      </c>
      <c r="U183" s="31" t="n">
        <v>257</v>
      </c>
      <c r="V183" s="31" t="s">
        <v>20433</v>
      </c>
      <c r="W183" s="31"/>
      <c r="X183" s="31" t="s">
        <v>20434</v>
      </c>
      <c r="Y183" s="31" t="s">
        <v>20435</v>
      </c>
      <c r="Z183" s="31" t="s">
        <v>20436</v>
      </c>
      <c r="AA183" s="31" t="s">
        <v>20437</v>
      </c>
      <c r="AB183" s="31" t="s">
        <v>20438</v>
      </c>
      <c r="AC183" s="31" t="s">
        <v>20439</v>
      </c>
      <c r="AD183" s="31" t="s">
        <v>20440</v>
      </c>
      <c r="AE183" s="31"/>
      <c r="AF183" s="31"/>
      <c r="AG183" s="31"/>
      <c r="AH183" s="31"/>
      <c r="AI183" s="31" t="n">
        <v>37</v>
      </c>
      <c r="AJ183" s="31" t="n">
        <v>8</v>
      </c>
      <c r="AK183" s="31" t="n">
        <v>8</v>
      </c>
      <c r="AL183" s="31" t="s">
        <v>20441</v>
      </c>
      <c r="AM183" s="31" t="s">
        <v>20442</v>
      </c>
      <c r="AN183" s="31" t="s">
        <v>20443</v>
      </c>
      <c r="AO183" s="31" t="s">
        <v>20444</v>
      </c>
      <c r="AP183" s="31" t="s">
        <v>20445</v>
      </c>
      <c r="AQ183" s="31" t="s">
        <v>20446</v>
      </c>
      <c r="AR183" s="31" t="s">
        <v>16649</v>
      </c>
      <c r="AS183" s="31"/>
      <c r="AT183" s="31"/>
      <c r="AU183" s="31" t="n">
        <v>108459</v>
      </c>
      <c r="AV183" s="31" t="s">
        <v>20447</v>
      </c>
      <c r="AW183" s="35" t="str">
        <f aca="false">HYPERLINK("http://dx.doi.org/10.1016/j.cmpb.2024.108459","http://dx.doi.org/10.1016/j.cmpb.2024.108459")</f>
        <v>http://dx.doi.org/10.1016/j.cmpb.2024.108459</v>
      </c>
      <c r="AX183" s="31" t="s">
        <v>18291</v>
      </c>
      <c r="AY183" s="31" t="n">
        <v>14</v>
      </c>
      <c r="AZ183" s="31" t="s">
        <v>20448</v>
      </c>
      <c r="BA183" s="31" t="s">
        <v>16366</v>
      </c>
      <c r="BB183" s="31" t="s">
        <v>20216</v>
      </c>
      <c r="BC183" s="31" t="s">
        <v>20449</v>
      </c>
      <c r="BD183" s="31" t="n">
        <v>39426139</v>
      </c>
      <c r="BE183" s="31"/>
      <c r="BF183" s="31" t="s">
        <v>16369</v>
      </c>
      <c r="BG183" s="31" t="s">
        <v>20450</v>
      </c>
      <c r="BH183" s="31" t="str">
        <f aca="false">HYPERLINK("https%3A%2F%2Fwww.webofscience.com%2Fwos%2Fwoscc%2Ffull-record%2FWOS:001338844700001","View Full Record in Web of Science")</f>
        <v>View Full Record in Web of Science</v>
      </c>
      <c r="BI183" s="31"/>
      <c r="BJ183" s="31"/>
      <c r="BK183" s="31"/>
      <c r="BL183" s="31"/>
      <c r="BM183" s="31"/>
      <c r="BN183" s="31"/>
      <c r="BO183" s="31"/>
      <c r="BP183" s="31"/>
      <c r="BQ183" s="31"/>
      <c r="BR183" s="31"/>
      <c r="BS183" s="31"/>
      <c r="BT183" s="31"/>
      <c r="BU183" s="31"/>
      <c r="BV183" s="31"/>
      <c r="BW183" s="31"/>
      <c r="BX183" s="31"/>
      <c r="BY183" s="31"/>
      <c r="BZ183" s="31"/>
      <c r="CA183" s="31"/>
      <c r="CB183" s="31"/>
      <c r="CC183" s="31"/>
      <c r="CD183" s="31"/>
      <c r="CE183" s="31"/>
      <c r="CF183" s="31"/>
    </row>
    <row r="184" customFormat="false" ht="15.75" hidden="false" customHeight="true" outlineLevel="0" collapsed="false">
      <c r="A184" s="31" t="s">
        <v>16335</v>
      </c>
      <c r="B184" s="31" t="s">
        <v>20451</v>
      </c>
      <c r="C184" s="31" t="s">
        <v>20452</v>
      </c>
      <c r="D184" s="34" t="s">
        <v>20453</v>
      </c>
      <c r="E184" s="31" t="n">
        <v>2024</v>
      </c>
      <c r="F184" s="33" t="s">
        <v>20454</v>
      </c>
      <c r="G184" s="33" t="s">
        <v>134</v>
      </c>
      <c r="H184" s="32"/>
      <c r="I184" s="34"/>
      <c r="J184" s="34"/>
      <c r="K184" s="34"/>
      <c r="L184" s="34"/>
      <c r="M184" s="34"/>
      <c r="N184" s="34"/>
      <c r="O184" s="34"/>
      <c r="P184" s="34" t="n">
        <v>0</v>
      </c>
      <c r="Q184" s="31" t="n">
        <v>0</v>
      </c>
      <c r="R184" s="31" t="s">
        <v>61</v>
      </c>
      <c r="S184" s="31" t="s">
        <v>62</v>
      </c>
      <c r="T184" s="31" t="s">
        <v>18208</v>
      </c>
      <c r="U184" s="31" t="n">
        <v>14</v>
      </c>
      <c r="V184" s="31" t="s">
        <v>4048</v>
      </c>
      <c r="W184" s="31" t="n">
        <v>18</v>
      </c>
      <c r="X184" s="31" t="s">
        <v>20455</v>
      </c>
      <c r="Y184" s="31" t="s">
        <v>20456</v>
      </c>
      <c r="Z184" s="31" t="s">
        <v>20457</v>
      </c>
      <c r="AA184" s="31" t="s">
        <v>20458</v>
      </c>
      <c r="AB184" s="31" t="s">
        <v>20459</v>
      </c>
      <c r="AC184" s="31" t="s">
        <v>20460</v>
      </c>
      <c r="AD184" s="31" t="s">
        <v>20461</v>
      </c>
      <c r="AE184" s="31" t="s">
        <v>20462</v>
      </c>
      <c r="AF184" s="31" t="s">
        <v>20463</v>
      </c>
      <c r="AG184" s="31" t="s">
        <v>20464</v>
      </c>
      <c r="AH184" s="31" t="s">
        <v>20465</v>
      </c>
      <c r="AI184" s="31" t="n">
        <v>70</v>
      </c>
      <c r="AJ184" s="31" t="n">
        <v>2</v>
      </c>
      <c r="AK184" s="31" t="n">
        <v>2</v>
      </c>
      <c r="AL184" s="31" t="s">
        <v>16769</v>
      </c>
      <c r="AM184" s="31" t="s">
        <v>16770</v>
      </c>
      <c r="AN184" s="31"/>
      <c r="AO184" s="31" t="s">
        <v>18220</v>
      </c>
      <c r="AP184" s="31" t="s">
        <v>18221</v>
      </c>
      <c r="AQ184" s="31" t="s">
        <v>18222</v>
      </c>
      <c r="AR184" s="31" t="s">
        <v>16801</v>
      </c>
      <c r="AS184" s="31"/>
      <c r="AT184" s="31"/>
      <c r="AU184" s="31" t="n">
        <v>8402</v>
      </c>
      <c r="AV184" s="31" t="s">
        <v>20466</v>
      </c>
      <c r="AW184" s="35" t="str">
        <f aca="false">HYPERLINK("http://dx.doi.org/10.3390/app14188402","http://dx.doi.org/10.3390/app14188402")</f>
        <v>http://dx.doi.org/10.3390/app14188402</v>
      </c>
      <c r="AX184" s="31"/>
      <c r="AY184" s="31" t="n">
        <v>21</v>
      </c>
      <c r="AZ184" s="31" t="s">
        <v>18223</v>
      </c>
      <c r="BA184" s="31" t="s">
        <v>16366</v>
      </c>
      <c r="BB184" s="31" t="s">
        <v>18224</v>
      </c>
      <c r="BC184" s="31" t="s">
        <v>20467</v>
      </c>
      <c r="BD184" s="31"/>
      <c r="BE184" s="31" t="s">
        <v>16431</v>
      </c>
      <c r="BF184" s="31" t="s">
        <v>16369</v>
      </c>
      <c r="BG184" s="31" t="s">
        <v>20468</v>
      </c>
      <c r="BH184" s="31" t="str">
        <f aca="false">HYPERLINK("https%3A%2F%2Fwww.webofscience.com%2Fwos%2Fwoscc%2Ffull-record%2FWOS:001323638300001","View Full Record in Web of Science")</f>
        <v>View Full Record in Web of Science</v>
      </c>
      <c r="BI184" s="31"/>
      <c r="BJ184" s="31"/>
      <c r="BK184" s="31"/>
      <c r="BL184" s="31"/>
      <c r="BM184" s="31"/>
      <c r="BN184" s="31"/>
      <c r="BO184" s="31"/>
      <c r="BP184" s="31"/>
      <c r="BQ184" s="31"/>
      <c r="BR184" s="31"/>
      <c r="BS184" s="31"/>
      <c r="BT184" s="31"/>
      <c r="BU184" s="31"/>
      <c r="BV184" s="31"/>
      <c r="BW184" s="31"/>
      <c r="BX184" s="31"/>
      <c r="BY184" s="31"/>
      <c r="BZ184" s="31"/>
      <c r="CA184" s="31"/>
      <c r="CB184" s="31"/>
      <c r="CC184" s="31"/>
      <c r="CD184" s="31"/>
      <c r="CE184" s="31"/>
      <c r="CF184" s="31"/>
    </row>
    <row r="185" customFormat="false" ht="15.75" hidden="false" customHeight="true" outlineLevel="0" collapsed="false">
      <c r="A185" s="31" t="s">
        <v>16335</v>
      </c>
      <c r="B185" s="31" t="s">
        <v>20469</v>
      </c>
      <c r="C185" s="31" t="s">
        <v>20470</v>
      </c>
      <c r="D185" s="34" t="s">
        <v>20471</v>
      </c>
      <c r="E185" s="31" t="n">
        <v>2024</v>
      </c>
      <c r="F185" s="33" t="s">
        <v>20472</v>
      </c>
      <c r="G185" s="33" t="s">
        <v>134</v>
      </c>
      <c r="H185" s="32"/>
      <c r="I185" s="34"/>
      <c r="J185" s="34"/>
      <c r="K185" s="34"/>
      <c r="L185" s="34"/>
      <c r="M185" s="34"/>
      <c r="N185" s="34"/>
      <c r="O185" s="34"/>
      <c r="P185" s="34" t="n">
        <v>3</v>
      </c>
      <c r="Q185" s="31" t="n">
        <v>3</v>
      </c>
      <c r="R185" s="31" t="s">
        <v>61</v>
      </c>
      <c r="S185" s="31" t="s">
        <v>62</v>
      </c>
      <c r="T185" s="31" t="s">
        <v>18629</v>
      </c>
      <c r="U185" s="31" t="n">
        <v>14</v>
      </c>
      <c r="V185" s="31" t="s">
        <v>4048</v>
      </c>
      <c r="W185" s="31" t="n">
        <v>7</v>
      </c>
      <c r="X185" s="31" t="s">
        <v>20473</v>
      </c>
      <c r="Y185" s="31" t="s">
        <v>20474</v>
      </c>
      <c r="Z185" s="31" t="s">
        <v>20475</v>
      </c>
      <c r="AA185" s="31" t="s">
        <v>20476</v>
      </c>
      <c r="AB185" s="31" t="s">
        <v>20477</v>
      </c>
      <c r="AC185" s="31" t="s">
        <v>20478</v>
      </c>
      <c r="AD185" s="31"/>
      <c r="AE185" s="31" t="s">
        <v>20479</v>
      </c>
      <c r="AF185" s="31"/>
      <c r="AG185" s="31"/>
      <c r="AH185" s="31"/>
      <c r="AI185" s="31" t="n">
        <v>62</v>
      </c>
      <c r="AJ185" s="31" t="n">
        <v>1</v>
      </c>
      <c r="AK185" s="31" t="n">
        <v>2</v>
      </c>
      <c r="AL185" s="31" t="s">
        <v>16769</v>
      </c>
      <c r="AM185" s="31" t="s">
        <v>16770</v>
      </c>
      <c r="AN185" s="31"/>
      <c r="AO185" s="31" t="s">
        <v>18636</v>
      </c>
      <c r="AP185" s="31" t="s">
        <v>18629</v>
      </c>
      <c r="AQ185" s="31" t="s">
        <v>849</v>
      </c>
      <c r="AR185" s="31" t="s">
        <v>17772</v>
      </c>
      <c r="AS185" s="31"/>
      <c r="AT185" s="31"/>
      <c r="AU185" s="31" t="n">
        <v>690</v>
      </c>
      <c r="AV185" s="31" t="s">
        <v>20480</v>
      </c>
      <c r="AW185" s="35" t="str">
        <f aca="false">HYPERLINK("http://dx.doi.org/10.3390/diagnostics14070690","http://dx.doi.org/10.3390/diagnostics14070690")</f>
        <v>http://dx.doi.org/10.3390/diagnostics14070690</v>
      </c>
      <c r="AX185" s="31"/>
      <c r="AY185" s="31" t="n">
        <v>19</v>
      </c>
      <c r="AZ185" s="31" t="s">
        <v>16829</v>
      </c>
      <c r="BA185" s="31" t="s">
        <v>16366</v>
      </c>
      <c r="BB185" s="31" t="s">
        <v>16830</v>
      </c>
      <c r="BC185" s="31" t="s">
        <v>20481</v>
      </c>
      <c r="BD185" s="31" t="n">
        <v>38611603</v>
      </c>
      <c r="BE185" s="31" t="s">
        <v>17143</v>
      </c>
      <c r="BF185" s="31" t="s">
        <v>16369</v>
      </c>
      <c r="BG185" s="31" t="s">
        <v>20482</v>
      </c>
      <c r="BH185" s="31" t="str">
        <f aca="false">HYPERLINK("https%3A%2F%2Fwww.webofscience.com%2Fwos%2Fwoscc%2Ffull-record%2FWOS:001200858700001","View Full Record in Web of Science")</f>
        <v>View Full Record in Web of Science</v>
      </c>
      <c r="BI185" s="31"/>
      <c r="BJ185" s="31"/>
      <c r="BK185" s="31"/>
      <c r="BL185" s="31"/>
      <c r="BM185" s="31"/>
      <c r="BN185" s="31"/>
      <c r="BO185" s="31"/>
      <c r="BP185" s="31"/>
      <c r="BQ185" s="31"/>
      <c r="BR185" s="31"/>
      <c r="BS185" s="31"/>
      <c r="BT185" s="31"/>
      <c r="BU185" s="31"/>
      <c r="BV185" s="31"/>
      <c r="BW185" s="31"/>
      <c r="BX185" s="31"/>
      <c r="BY185" s="31"/>
      <c r="BZ185" s="31"/>
      <c r="CA185" s="31"/>
      <c r="CB185" s="31"/>
      <c r="CC185" s="31"/>
      <c r="CD185" s="31"/>
      <c r="CE185" s="31"/>
      <c r="CF185" s="31"/>
    </row>
    <row r="186" customFormat="false" ht="15.75" hidden="false" customHeight="true" outlineLevel="0" collapsed="false">
      <c r="A186" s="31" t="s">
        <v>16335</v>
      </c>
      <c r="B186" s="31" t="s">
        <v>20483</v>
      </c>
      <c r="C186" s="31" t="s">
        <v>20484</v>
      </c>
      <c r="D186" s="34" t="s">
        <v>20485</v>
      </c>
      <c r="E186" s="31" t="n">
        <v>2024</v>
      </c>
      <c r="F186" s="33" t="s">
        <v>20486</v>
      </c>
      <c r="G186" s="33" t="s">
        <v>349</v>
      </c>
      <c r="H186" s="32"/>
      <c r="I186" s="34"/>
      <c r="J186" s="34"/>
      <c r="K186" s="34"/>
      <c r="L186" s="34"/>
      <c r="M186" s="34"/>
      <c r="N186" s="34"/>
      <c r="O186" s="34"/>
      <c r="P186" s="34" t="n">
        <v>0</v>
      </c>
      <c r="Q186" s="31" t="n">
        <v>0</v>
      </c>
      <c r="R186" s="31" t="s">
        <v>61</v>
      </c>
      <c r="S186" s="31" t="s">
        <v>62</v>
      </c>
      <c r="T186" s="31" t="s">
        <v>16844</v>
      </c>
      <c r="U186" s="31" t="n">
        <v>18</v>
      </c>
      <c r="V186" s="31" t="s">
        <v>16845</v>
      </c>
      <c r="W186" s="31" t="n">
        <v>9</v>
      </c>
      <c r="X186" s="31"/>
      <c r="Y186" s="31" t="s">
        <v>20487</v>
      </c>
      <c r="Z186" s="31" t="s">
        <v>20488</v>
      </c>
      <c r="AA186" s="31" t="s">
        <v>20489</v>
      </c>
      <c r="AB186" s="31" t="s">
        <v>20490</v>
      </c>
      <c r="AC186" s="31" t="s">
        <v>20491</v>
      </c>
      <c r="AD186" s="31"/>
      <c r="AE186" s="31" t="s">
        <v>20492</v>
      </c>
      <c r="AF186" s="31" t="s">
        <v>20493</v>
      </c>
      <c r="AG186" s="31" t="s">
        <v>20494</v>
      </c>
      <c r="AH186" s="31" t="s">
        <v>20495</v>
      </c>
      <c r="AI186" s="31" t="n">
        <v>108</v>
      </c>
      <c r="AJ186" s="31" t="n">
        <v>4</v>
      </c>
      <c r="AK186" s="31" t="n">
        <v>4</v>
      </c>
      <c r="AL186" s="31" t="s">
        <v>16855</v>
      </c>
      <c r="AM186" s="31" t="s">
        <v>16856</v>
      </c>
      <c r="AN186" s="31" t="s">
        <v>16857</v>
      </c>
      <c r="AO186" s="31"/>
      <c r="AP186" s="31" t="s">
        <v>16858</v>
      </c>
      <c r="AQ186" s="31" t="s">
        <v>16859</v>
      </c>
      <c r="AR186" s="31" t="s">
        <v>16801</v>
      </c>
      <c r="AS186" s="31"/>
      <c r="AT186" s="31"/>
      <c r="AU186" s="31" t="s">
        <v>20496</v>
      </c>
      <c r="AV186" s="31" t="s">
        <v>20497</v>
      </c>
      <c r="AW186" s="35" t="str">
        <f aca="false">HYPERLINK("http://dx.doi.org/10.1371/journal.pntd.0012488","http://dx.doi.org/10.1371/journal.pntd.0012488")</f>
        <v>http://dx.doi.org/10.1371/journal.pntd.0012488</v>
      </c>
      <c r="AX186" s="31"/>
      <c r="AY186" s="31" t="n">
        <v>24</v>
      </c>
      <c r="AZ186" s="31" t="s">
        <v>16862</v>
      </c>
      <c r="BA186" s="31" t="s">
        <v>16366</v>
      </c>
      <c r="BB186" s="31" t="s">
        <v>16862</v>
      </c>
      <c r="BC186" s="31" t="s">
        <v>20498</v>
      </c>
      <c r="BD186" s="31" t="n">
        <v>39283940</v>
      </c>
      <c r="BE186" s="31" t="s">
        <v>17194</v>
      </c>
      <c r="BF186" s="31" t="s">
        <v>16369</v>
      </c>
      <c r="BG186" s="31" t="s">
        <v>20499</v>
      </c>
      <c r="BH186" s="31" t="str">
        <f aca="false">HYPERLINK("https%3A%2F%2Fwww.webofscience.com%2Fwos%2Fwoscc%2Ffull-record%2FWOS:001313989100003","View Full Record in Web of Science")</f>
        <v>View Full Record in Web of Science</v>
      </c>
      <c r="BI186" s="31"/>
      <c r="BJ186" s="31"/>
      <c r="BK186" s="31"/>
      <c r="BL186" s="31"/>
      <c r="BM186" s="31"/>
      <c r="BN186" s="31"/>
      <c r="BO186" s="31"/>
      <c r="BP186" s="31"/>
      <c r="BQ186" s="31"/>
      <c r="BR186" s="31"/>
      <c r="BS186" s="31"/>
      <c r="BT186" s="31"/>
      <c r="BU186" s="31"/>
      <c r="BV186" s="31"/>
      <c r="BW186" s="31"/>
      <c r="BX186" s="31"/>
      <c r="BY186" s="31"/>
      <c r="BZ186" s="31"/>
      <c r="CA186" s="31"/>
      <c r="CB186" s="31"/>
      <c r="CC186" s="31"/>
      <c r="CD186" s="31"/>
      <c r="CE186" s="31"/>
      <c r="CF186" s="31"/>
    </row>
    <row r="187" customFormat="false" ht="15.75" hidden="false" customHeight="true" outlineLevel="0" collapsed="false">
      <c r="A187" s="31" t="s">
        <v>16335</v>
      </c>
      <c r="B187" s="31" t="s">
        <v>20500</v>
      </c>
      <c r="C187" s="31" t="s">
        <v>20501</v>
      </c>
      <c r="D187" s="34" t="s">
        <v>20502</v>
      </c>
      <c r="E187" s="31" t="n">
        <v>2024</v>
      </c>
      <c r="F187" s="33" t="s">
        <v>20503</v>
      </c>
      <c r="G187" s="33" t="s">
        <v>134</v>
      </c>
      <c r="H187" s="32"/>
      <c r="I187" s="34"/>
      <c r="J187" s="34"/>
      <c r="K187" s="34"/>
      <c r="L187" s="34"/>
      <c r="M187" s="34"/>
      <c r="N187" s="34"/>
      <c r="O187" s="34"/>
      <c r="P187" s="34" t="n">
        <v>0</v>
      </c>
      <c r="Q187" s="31" t="n">
        <v>0</v>
      </c>
      <c r="R187" s="31" t="s">
        <v>61</v>
      </c>
      <c r="S187" s="31" t="s">
        <v>62</v>
      </c>
      <c r="T187" s="31" t="s">
        <v>20504</v>
      </c>
      <c r="U187" s="31" t="n">
        <v>12</v>
      </c>
      <c r="V187" s="31" t="s">
        <v>20505</v>
      </c>
      <c r="W187" s="31"/>
      <c r="X187" s="31" t="s">
        <v>20506</v>
      </c>
      <c r="Y187" s="31" t="s">
        <v>20507</v>
      </c>
      <c r="Z187" s="31" t="s">
        <v>20508</v>
      </c>
      <c r="AA187" s="31" t="s">
        <v>20509</v>
      </c>
      <c r="AB187" s="31" t="s">
        <v>20510</v>
      </c>
      <c r="AC187" s="31" t="s">
        <v>20511</v>
      </c>
      <c r="AD187" s="31" t="s">
        <v>20512</v>
      </c>
      <c r="AE187" s="31" t="s">
        <v>20513</v>
      </c>
      <c r="AF187" s="31"/>
      <c r="AG187" s="31"/>
      <c r="AH187" s="31"/>
      <c r="AI187" s="31" t="n">
        <v>37</v>
      </c>
      <c r="AJ187" s="31" t="n">
        <v>0</v>
      </c>
      <c r="AK187" s="31" t="n">
        <v>0</v>
      </c>
      <c r="AL187" s="31" t="s">
        <v>16821</v>
      </c>
      <c r="AM187" s="31" t="s">
        <v>20514</v>
      </c>
      <c r="AN187" s="31" t="s">
        <v>20515</v>
      </c>
      <c r="AO187" s="31"/>
      <c r="AP187" s="31" t="s">
        <v>20504</v>
      </c>
      <c r="AQ187" s="31" t="s">
        <v>2022</v>
      </c>
      <c r="AR187" s="31" t="s">
        <v>20516</v>
      </c>
      <c r="AS187" s="31"/>
      <c r="AT187" s="31"/>
      <c r="AU187" s="31" t="s">
        <v>20517</v>
      </c>
      <c r="AV187" s="31" t="s">
        <v>20518</v>
      </c>
      <c r="AW187" s="35" t="str">
        <f aca="false">HYPERLINK("http://dx.doi.org/10.7717/peerj.18301","http://dx.doi.org/10.7717/peerj.18301")</f>
        <v>http://dx.doi.org/10.7717/peerj.18301</v>
      </c>
      <c r="AX187" s="31"/>
      <c r="AY187" s="31" t="n">
        <v>21</v>
      </c>
      <c r="AZ187" s="31" t="s">
        <v>16428</v>
      </c>
      <c r="BA187" s="31" t="s">
        <v>16366</v>
      </c>
      <c r="BB187" s="31" t="s">
        <v>16429</v>
      </c>
      <c r="BC187" s="31" t="s">
        <v>20519</v>
      </c>
      <c r="BD187" s="31" t="n">
        <v>39619204</v>
      </c>
      <c r="BE187" s="31" t="s">
        <v>16431</v>
      </c>
      <c r="BF187" s="31" t="s">
        <v>16369</v>
      </c>
      <c r="BG187" s="31" t="s">
        <v>20520</v>
      </c>
      <c r="BH187" s="31" t="str">
        <f aca="false">HYPERLINK("https%3A%2F%2Fwww.webofscience.com%2Fwos%2Fwoscc%2Ffull-record%2FWOS:001375059100006","View Full Record in Web of Science")</f>
        <v>View Full Record in Web of Science</v>
      </c>
      <c r="BI187" s="31"/>
      <c r="BJ187" s="31"/>
      <c r="BK187" s="31"/>
      <c r="BL187" s="31"/>
      <c r="BM187" s="31"/>
      <c r="BN187" s="31"/>
      <c r="BO187" s="31"/>
      <c r="BP187" s="31"/>
      <c r="BQ187" s="31"/>
      <c r="BR187" s="31"/>
      <c r="BS187" s="31"/>
      <c r="BT187" s="31"/>
      <c r="BU187" s="31"/>
      <c r="BV187" s="31"/>
      <c r="BW187" s="31"/>
      <c r="BX187" s="31"/>
      <c r="BY187" s="31"/>
      <c r="BZ187" s="31"/>
      <c r="CA187" s="31"/>
      <c r="CB187" s="31"/>
      <c r="CC187" s="31"/>
      <c r="CD187" s="31"/>
      <c r="CE187" s="31"/>
      <c r="CF187" s="31"/>
    </row>
    <row r="188" customFormat="false" ht="15.75" hidden="false" customHeight="true" outlineLevel="0" collapsed="false">
      <c r="A188" s="31" t="s">
        <v>16335</v>
      </c>
      <c r="B188" s="31" t="s">
        <v>20521</v>
      </c>
      <c r="C188" s="31" t="s">
        <v>20522</v>
      </c>
      <c r="D188" s="34" t="s">
        <v>20523</v>
      </c>
      <c r="E188" s="31" t="n">
        <v>2024</v>
      </c>
      <c r="F188" s="33" t="s">
        <v>20524</v>
      </c>
      <c r="G188" s="33" t="s">
        <v>349</v>
      </c>
      <c r="H188" s="32"/>
      <c r="I188" s="34"/>
      <c r="J188" s="34"/>
      <c r="K188" s="34"/>
      <c r="L188" s="34"/>
      <c r="M188" s="34"/>
      <c r="N188" s="34"/>
      <c r="O188" s="34"/>
      <c r="P188" s="34" t="n">
        <v>1</v>
      </c>
      <c r="Q188" s="31" t="n">
        <v>1</v>
      </c>
      <c r="R188" s="31" t="s">
        <v>61</v>
      </c>
      <c r="S188" s="31" t="s">
        <v>62</v>
      </c>
      <c r="T188" s="31" t="s">
        <v>18901</v>
      </c>
      <c r="U188" s="31" t="n">
        <v>81</v>
      </c>
      <c r="V188" s="31" t="s">
        <v>16349</v>
      </c>
      <c r="W188" s="31"/>
      <c r="X188" s="31" t="s">
        <v>20525</v>
      </c>
      <c r="Y188" s="31" t="s">
        <v>20526</v>
      </c>
      <c r="Z188" s="31" t="s">
        <v>20527</v>
      </c>
      <c r="AA188" s="31" t="s">
        <v>20528</v>
      </c>
      <c r="AB188" s="31" t="s">
        <v>20529</v>
      </c>
      <c r="AC188" s="31" t="s">
        <v>20530</v>
      </c>
      <c r="AD188" s="31" t="s">
        <v>20531</v>
      </c>
      <c r="AE188" s="31" t="s">
        <v>20532</v>
      </c>
      <c r="AF188" s="31" t="s">
        <v>20533</v>
      </c>
      <c r="AG188" s="31" t="s">
        <v>20534</v>
      </c>
      <c r="AH188" s="31" t="s">
        <v>20535</v>
      </c>
      <c r="AI188" s="31" t="n">
        <v>82</v>
      </c>
      <c r="AJ188" s="31" t="n">
        <v>2</v>
      </c>
      <c r="AK188" s="31" t="n">
        <v>4</v>
      </c>
      <c r="AL188" s="31" t="s">
        <v>16356</v>
      </c>
      <c r="AM188" s="31" t="s">
        <v>16357</v>
      </c>
      <c r="AN188" s="31" t="s">
        <v>18912</v>
      </c>
      <c r="AO188" s="31" t="s">
        <v>18913</v>
      </c>
      <c r="AP188" s="31" t="s">
        <v>18914</v>
      </c>
      <c r="AQ188" s="31" t="s">
        <v>18915</v>
      </c>
      <c r="AR188" s="31" t="s">
        <v>20025</v>
      </c>
      <c r="AS188" s="31"/>
      <c r="AT188" s="31"/>
      <c r="AU188" s="31" t="n">
        <v>102610</v>
      </c>
      <c r="AV188" s="31" t="s">
        <v>20536</v>
      </c>
      <c r="AW188" s="35" t="str">
        <f aca="false">HYPERLINK("http://dx.doi.org/10.1016/j.ecoinf.2024.102610","http://dx.doi.org/10.1016/j.ecoinf.2024.102610")</f>
        <v>http://dx.doi.org/10.1016/j.ecoinf.2024.102610</v>
      </c>
      <c r="AX188" s="31" t="s">
        <v>18553</v>
      </c>
      <c r="AY188" s="31" t="n">
        <v>12</v>
      </c>
      <c r="AZ188" s="31" t="s">
        <v>18917</v>
      </c>
      <c r="BA188" s="31" t="s">
        <v>16366</v>
      </c>
      <c r="BB188" s="31" t="s">
        <v>17115</v>
      </c>
      <c r="BC188" s="31" t="s">
        <v>20537</v>
      </c>
      <c r="BD188" s="31"/>
      <c r="BE188" s="31" t="s">
        <v>16431</v>
      </c>
      <c r="BF188" s="31" t="s">
        <v>16369</v>
      </c>
      <c r="BG188" s="31" t="s">
        <v>20538</v>
      </c>
      <c r="BH188" s="31" t="str">
        <f aca="false">HYPERLINK("https%3A%2F%2Fwww.webofscience.com%2Fwos%2Fwoscc%2Ffull-record%2FWOS:001235341200001","View Full Record in Web of Science")</f>
        <v>View Full Record in Web of Science</v>
      </c>
      <c r="BI188" s="31"/>
      <c r="BJ188" s="31"/>
      <c r="BK188" s="31"/>
      <c r="BL188" s="31"/>
      <c r="BM188" s="31"/>
      <c r="BN188" s="31"/>
      <c r="BO188" s="31"/>
      <c r="BP188" s="31"/>
      <c r="BQ188" s="31"/>
      <c r="BR188" s="31"/>
      <c r="BS188" s="31"/>
      <c r="BT188" s="31"/>
      <c r="BU188" s="31"/>
      <c r="BV188" s="31"/>
      <c r="BW188" s="31"/>
      <c r="BX188" s="31"/>
      <c r="BY188" s="31"/>
      <c r="BZ188" s="31"/>
      <c r="CA188" s="31"/>
      <c r="CB188" s="31"/>
      <c r="CC188" s="31"/>
      <c r="CD188" s="31"/>
      <c r="CE188" s="31"/>
      <c r="CF188" s="31"/>
    </row>
    <row r="189" customFormat="false" ht="15.75" hidden="false" customHeight="true" outlineLevel="0" collapsed="false">
      <c r="A189" s="31" t="s">
        <v>16335</v>
      </c>
      <c r="B189" s="31" t="s">
        <v>20539</v>
      </c>
      <c r="C189" s="31" t="s">
        <v>20540</v>
      </c>
      <c r="D189" s="34" t="s">
        <v>20541</v>
      </c>
      <c r="E189" s="31" t="n">
        <v>2024</v>
      </c>
      <c r="F189" s="33" t="s">
        <v>20542</v>
      </c>
      <c r="G189" s="33" t="s">
        <v>134</v>
      </c>
      <c r="H189" s="32"/>
      <c r="I189" s="34"/>
      <c r="J189" s="34"/>
      <c r="K189" s="34"/>
      <c r="L189" s="34"/>
      <c r="M189" s="34"/>
      <c r="N189" s="34"/>
      <c r="O189" s="34"/>
      <c r="P189" s="34" t="n">
        <v>1</v>
      </c>
      <c r="Q189" s="31" t="n">
        <v>1</v>
      </c>
      <c r="R189" s="31" t="s">
        <v>61</v>
      </c>
      <c r="S189" s="31" t="s">
        <v>62</v>
      </c>
      <c r="T189" s="31" t="s">
        <v>16413</v>
      </c>
      <c r="U189" s="31" t="n">
        <v>14</v>
      </c>
      <c r="V189" s="31" t="s">
        <v>16414</v>
      </c>
      <c r="W189" s="31" t="n">
        <v>1</v>
      </c>
      <c r="X189" s="31" t="s">
        <v>20543</v>
      </c>
      <c r="Y189" s="31"/>
      <c r="Z189" s="31" t="s">
        <v>20544</v>
      </c>
      <c r="AA189" s="31" t="s">
        <v>20545</v>
      </c>
      <c r="AB189" s="31" t="s">
        <v>20546</v>
      </c>
      <c r="AC189" s="31" t="s">
        <v>20547</v>
      </c>
      <c r="AD189" s="31" t="s">
        <v>20548</v>
      </c>
      <c r="AE189" s="31"/>
      <c r="AF189" s="31" t="s">
        <v>20549</v>
      </c>
      <c r="AG189" s="31" t="s">
        <v>20550</v>
      </c>
      <c r="AH189" s="31" t="s">
        <v>20551</v>
      </c>
      <c r="AI189" s="31" t="n">
        <v>41</v>
      </c>
      <c r="AJ189" s="31" t="n">
        <v>4</v>
      </c>
      <c r="AK189" s="31" t="n">
        <v>4</v>
      </c>
      <c r="AL189" s="31" t="s">
        <v>16421</v>
      </c>
      <c r="AM189" s="31" t="s">
        <v>16422</v>
      </c>
      <c r="AN189" s="31" t="s">
        <v>16423</v>
      </c>
      <c r="AO189" s="31"/>
      <c r="AP189" s="31" t="s">
        <v>16424</v>
      </c>
      <c r="AQ189" s="31" t="s">
        <v>16425</v>
      </c>
      <c r="AR189" s="31" t="s">
        <v>20552</v>
      </c>
      <c r="AS189" s="31"/>
      <c r="AT189" s="31"/>
      <c r="AU189" s="31" t="n">
        <v>23647</v>
      </c>
      <c r="AV189" s="31" t="s">
        <v>20553</v>
      </c>
      <c r="AW189" s="35" t="str">
        <f aca="false">HYPERLINK("http://dx.doi.org/10.1038/s41598-024-71856-8","http://dx.doi.org/10.1038/s41598-024-71856-8")</f>
        <v>http://dx.doi.org/10.1038/s41598-024-71856-8</v>
      </c>
      <c r="AX189" s="31"/>
      <c r="AY189" s="31" t="n">
        <v>16</v>
      </c>
      <c r="AZ189" s="31" t="s">
        <v>16428</v>
      </c>
      <c r="BA189" s="31" t="s">
        <v>16366</v>
      </c>
      <c r="BB189" s="31" t="s">
        <v>16429</v>
      </c>
      <c r="BC189" s="31" t="s">
        <v>20554</v>
      </c>
      <c r="BD189" s="31" t="n">
        <v>39384771</v>
      </c>
      <c r="BE189" s="31" t="s">
        <v>16431</v>
      </c>
      <c r="BF189" s="31" t="s">
        <v>16369</v>
      </c>
      <c r="BG189" s="31" t="s">
        <v>20555</v>
      </c>
      <c r="BH189" s="31" t="str">
        <f aca="false">HYPERLINK("https%3A%2F%2Fwww.webofscience.com%2Fwos%2Fwoscc%2Ffull-record%2FWOS:001336386800007","View Full Record in Web of Science")</f>
        <v>View Full Record in Web of Science</v>
      </c>
      <c r="BI189" s="31"/>
      <c r="BJ189" s="31"/>
      <c r="BK189" s="31"/>
      <c r="BL189" s="31"/>
      <c r="BM189" s="31"/>
      <c r="BN189" s="31"/>
      <c r="BO189" s="31"/>
      <c r="BP189" s="31"/>
      <c r="BQ189" s="31"/>
      <c r="BR189" s="31"/>
      <c r="BS189" s="31"/>
      <c r="BT189" s="31"/>
      <c r="BU189" s="31"/>
      <c r="BV189" s="31"/>
      <c r="BW189" s="31"/>
      <c r="BX189" s="31"/>
      <c r="BY189" s="31"/>
      <c r="BZ189" s="31"/>
      <c r="CA189" s="31"/>
      <c r="CB189" s="31"/>
      <c r="CC189" s="31"/>
      <c r="CD189" s="31"/>
      <c r="CE189" s="31"/>
      <c r="CF189" s="31"/>
    </row>
    <row r="190" customFormat="false" ht="15.75" hidden="false" customHeight="true" outlineLevel="0" collapsed="false">
      <c r="A190" s="31" t="s">
        <v>16335</v>
      </c>
      <c r="B190" s="31" t="s">
        <v>20556</v>
      </c>
      <c r="C190" s="31" t="s">
        <v>20557</v>
      </c>
      <c r="D190" s="34" t="s">
        <v>20558</v>
      </c>
      <c r="E190" s="31" t="n">
        <v>2024</v>
      </c>
      <c r="F190" s="33" t="s">
        <v>20559</v>
      </c>
      <c r="G190" s="33" t="s">
        <v>349</v>
      </c>
      <c r="H190" s="32"/>
      <c r="I190" s="34"/>
      <c r="J190" s="34"/>
      <c r="K190" s="34"/>
      <c r="L190" s="34"/>
      <c r="M190" s="34"/>
      <c r="N190" s="34"/>
      <c r="O190" s="34"/>
      <c r="P190" s="34" t="n">
        <v>0</v>
      </c>
      <c r="Q190" s="31" t="n">
        <v>0</v>
      </c>
      <c r="R190" s="31" t="s">
        <v>61</v>
      </c>
      <c r="S190" s="31" t="s">
        <v>62</v>
      </c>
      <c r="T190" s="31" t="s">
        <v>20560</v>
      </c>
      <c r="U190" s="31" t="n">
        <v>46</v>
      </c>
      <c r="V190" s="31" t="s">
        <v>20561</v>
      </c>
      <c r="W190" s="31"/>
      <c r="X190" s="31" t="s">
        <v>20562</v>
      </c>
      <c r="Y190" s="31" t="s">
        <v>20563</v>
      </c>
      <c r="Z190" s="31" t="s">
        <v>20564</v>
      </c>
      <c r="AA190" s="31" t="s">
        <v>20565</v>
      </c>
      <c r="AB190" s="31" t="s">
        <v>20566</v>
      </c>
      <c r="AC190" s="31" t="s">
        <v>20567</v>
      </c>
      <c r="AD190" s="31"/>
      <c r="AE190" s="31" t="s">
        <v>20568</v>
      </c>
      <c r="AF190" s="31" t="s">
        <v>20569</v>
      </c>
      <c r="AG190" s="31" t="s">
        <v>20570</v>
      </c>
      <c r="AH190" s="31" t="s">
        <v>20571</v>
      </c>
      <c r="AI190" s="31" t="n">
        <v>35</v>
      </c>
      <c r="AJ190" s="31" t="n">
        <v>0</v>
      </c>
      <c r="AK190" s="31" t="n">
        <v>0</v>
      </c>
      <c r="AL190" s="31" t="s">
        <v>20572</v>
      </c>
      <c r="AM190" s="31" t="s">
        <v>20573</v>
      </c>
      <c r="AN190" s="31" t="s">
        <v>20574</v>
      </c>
      <c r="AO190" s="31"/>
      <c r="AP190" s="31" t="s">
        <v>20575</v>
      </c>
      <c r="AQ190" s="31" t="s">
        <v>20576</v>
      </c>
      <c r="AR190" s="31"/>
      <c r="AS190" s="31"/>
      <c r="AT190" s="31"/>
      <c r="AU190" s="31" t="s">
        <v>20577</v>
      </c>
      <c r="AV190" s="31" t="s">
        <v>20578</v>
      </c>
      <c r="AW190" s="35" t="str">
        <f aca="false">HYPERLINK("http://dx.doi.org/10.4178/epih.e2024039","http://dx.doi.org/10.4178/epih.e2024039")</f>
        <v>http://dx.doi.org/10.4178/epih.e2024039</v>
      </c>
      <c r="AX190" s="31"/>
      <c r="AY190" s="31" t="n">
        <v>10</v>
      </c>
      <c r="AZ190" s="31" t="s">
        <v>16583</v>
      </c>
      <c r="BA190" s="31" t="s">
        <v>16366</v>
      </c>
      <c r="BB190" s="31" t="s">
        <v>16583</v>
      </c>
      <c r="BC190" s="31" t="s">
        <v>20579</v>
      </c>
      <c r="BD190" s="31" t="n">
        <v>38514196</v>
      </c>
      <c r="BE190" s="31" t="s">
        <v>17143</v>
      </c>
      <c r="BF190" s="31" t="s">
        <v>16369</v>
      </c>
      <c r="BG190" s="31" t="s">
        <v>20580</v>
      </c>
      <c r="BH190" s="31" t="str">
        <f aca="false">HYPERLINK("https%3A%2F%2Fwww.webofscience.com%2Fwos%2Fwoscc%2Ffull-record%2FWOS:001299685200011","View Full Record in Web of Science")</f>
        <v>View Full Record in Web of Science</v>
      </c>
      <c r="BI190" s="31"/>
      <c r="BJ190" s="31"/>
      <c r="BK190" s="31"/>
      <c r="BL190" s="31"/>
      <c r="BM190" s="31"/>
      <c r="BN190" s="31"/>
      <c r="BO190" s="31"/>
      <c r="BP190" s="31"/>
      <c r="BQ190" s="31"/>
      <c r="BR190" s="31"/>
      <c r="BS190" s="31"/>
      <c r="BT190" s="31"/>
      <c r="BU190" s="31"/>
      <c r="BV190" s="31"/>
      <c r="BW190" s="31"/>
      <c r="BX190" s="31"/>
      <c r="BY190" s="31"/>
      <c r="BZ190" s="31"/>
      <c r="CA190" s="31"/>
      <c r="CB190" s="31"/>
      <c r="CC190" s="31"/>
      <c r="CD190" s="31"/>
      <c r="CE190" s="31"/>
      <c r="CF190" s="31"/>
    </row>
    <row r="191" customFormat="false" ht="15.75" hidden="false" customHeight="true" outlineLevel="0" collapsed="false">
      <c r="A191" s="31" t="s">
        <v>16335</v>
      </c>
      <c r="B191" s="31" t="s">
        <v>20581</v>
      </c>
      <c r="C191" s="31" t="s">
        <v>20582</v>
      </c>
      <c r="D191" s="34" t="s">
        <v>20583</v>
      </c>
      <c r="E191" s="31" t="n">
        <v>2024</v>
      </c>
      <c r="F191" s="33" t="s">
        <v>20584</v>
      </c>
      <c r="G191" s="33" t="s">
        <v>349</v>
      </c>
      <c r="H191" s="32"/>
      <c r="I191" s="34"/>
      <c r="J191" s="34"/>
      <c r="K191" s="34"/>
      <c r="L191" s="34"/>
      <c r="M191" s="34"/>
      <c r="N191" s="34"/>
      <c r="O191" s="34"/>
      <c r="P191" s="34" t="n">
        <v>0</v>
      </c>
      <c r="Q191" s="31" t="n">
        <v>0</v>
      </c>
      <c r="R191" s="31" t="s">
        <v>61</v>
      </c>
      <c r="S191" s="31" t="s">
        <v>62</v>
      </c>
      <c r="T191" s="31" t="s">
        <v>20585</v>
      </c>
      <c r="U191" s="31" t="n">
        <v>10</v>
      </c>
      <c r="V191" s="31" t="s">
        <v>20505</v>
      </c>
      <c r="W191" s="31"/>
      <c r="X191" s="31" t="s">
        <v>20586</v>
      </c>
      <c r="Y191" s="31" t="s">
        <v>20587</v>
      </c>
      <c r="Z191" s="31" t="s">
        <v>20588</v>
      </c>
      <c r="AA191" s="31" t="s">
        <v>20589</v>
      </c>
      <c r="AB191" s="31" t="s">
        <v>20590</v>
      </c>
      <c r="AC191" s="31" t="s">
        <v>20591</v>
      </c>
      <c r="AD191" s="31" t="s">
        <v>20592</v>
      </c>
      <c r="AE191" s="31"/>
      <c r="AF191" s="31" t="s">
        <v>20593</v>
      </c>
      <c r="AG191" s="31" t="s">
        <v>20593</v>
      </c>
      <c r="AH191" s="31" t="s">
        <v>20594</v>
      </c>
      <c r="AI191" s="31" t="n">
        <v>39</v>
      </c>
      <c r="AJ191" s="31" t="n">
        <v>0</v>
      </c>
      <c r="AK191" s="31" t="n">
        <v>0</v>
      </c>
      <c r="AL191" s="31" t="s">
        <v>16821</v>
      </c>
      <c r="AM191" s="31" t="s">
        <v>20514</v>
      </c>
      <c r="AN191" s="31"/>
      <c r="AO191" s="31" t="s">
        <v>20595</v>
      </c>
      <c r="AP191" s="31" t="s">
        <v>20596</v>
      </c>
      <c r="AQ191" s="31" t="s">
        <v>1624</v>
      </c>
      <c r="AR191" s="31" t="s">
        <v>20597</v>
      </c>
      <c r="AS191" s="31"/>
      <c r="AT191" s="31"/>
      <c r="AU191" s="31" t="s">
        <v>20598</v>
      </c>
      <c r="AV191" s="31" t="s">
        <v>20599</v>
      </c>
      <c r="AW191" s="35" t="str">
        <f aca="false">HYPERLINK("http://dx.doi.org/10.7717/peerj-cs.2443","http://dx.doi.org/10.7717/peerj-cs.2443")</f>
        <v>http://dx.doi.org/10.7717/peerj-cs.2443</v>
      </c>
      <c r="AX191" s="31"/>
      <c r="AY191" s="31" t="n">
        <v>18</v>
      </c>
      <c r="AZ191" s="31" t="s">
        <v>19828</v>
      </c>
      <c r="BA191" s="31" t="s">
        <v>16366</v>
      </c>
      <c r="BB191" s="31" t="s">
        <v>16367</v>
      </c>
      <c r="BC191" s="31" t="s">
        <v>20600</v>
      </c>
      <c r="BD191" s="31" t="n">
        <v>39650519</v>
      </c>
      <c r="BE191" s="31" t="s">
        <v>16431</v>
      </c>
      <c r="BF191" s="31" t="s">
        <v>16369</v>
      </c>
      <c r="BG191" s="31" t="s">
        <v>20601</v>
      </c>
      <c r="BH191" s="31" t="str">
        <f aca="false">HYPERLINK("https%3A%2F%2Fwww.webofscience.com%2Fwos%2Fwoscc%2Ffull-record%2FWOS:001356730500002","View Full Record in Web of Science")</f>
        <v>View Full Record in Web of Science</v>
      </c>
      <c r="BI191" s="31"/>
      <c r="BJ191" s="31"/>
      <c r="BK191" s="31"/>
      <c r="BL191" s="31"/>
      <c r="BM191" s="31"/>
      <c r="BN191" s="31"/>
      <c r="BO191" s="31"/>
      <c r="BP191" s="31"/>
      <c r="BQ191" s="31"/>
      <c r="BR191" s="31"/>
      <c r="BS191" s="31"/>
      <c r="BT191" s="31"/>
      <c r="BU191" s="31"/>
      <c r="BV191" s="31"/>
      <c r="BW191" s="31"/>
      <c r="BX191" s="31"/>
      <c r="BY191" s="31"/>
      <c r="BZ191" s="31"/>
      <c r="CA191" s="31"/>
      <c r="CB191" s="31"/>
      <c r="CC191" s="31"/>
      <c r="CD191" s="31"/>
      <c r="CE191" s="31"/>
      <c r="CF191" s="31"/>
    </row>
    <row r="192" customFormat="false" ht="15.75" hidden="false" customHeight="true" outlineLevel="0" collapsed="false">
      <c r="A192" s="31" t="s">
        <v>16335</v>
      </c>
      <c r="B192" s="31" t="s">
        <v>20602</v>
      </c>
      <c r="C192" s="31" t="s">
        <v>20603</v>
      </c>
      <c r="D192" s="34" t="s">
        <v>20604</v>
      </c>
      <c r="E192" s="31" t="n">
        <v>2024</v>
      </c>
      <c r="F192" s="33" t="s">
        <v>20605</v>
      </c>
      <c r="G192" s="33" t="s">
        <v>349</v>
      </c>
      <c r="H192" s="32"/>
      <c r="I192" s="34"/>
      <c r="J192" s="34"/>
      <c r="K192" s="34"/>
      <c r="L192" s="34"/>
      <c r="M192" s="34"/>
      <c r="N192" s="34"/>
      <c r="O192" s="34"/>
      <c r="P192" s="34" t="n">
        <v>0</v>
      </c>
      <c r="Q192" s="31" t="n">
        <v>0</v>
      </c>
      <c r="R192" s="31" t="s">
        <v>61</v>
      </c>
      <c r="S192" s="31" t="s">
        <v>62</v>
      </c>
      <c r="T192" s="31" t="s">
        <v>20606</v>
      </c>
      <c r="U192" s="31" t="n">
        <v>30</v>
      </c>
      <c r="V192" s="31" t="s">
        <v>20607</v>
      </c>
      <c r="W192" s="31" t="n">
        <v>9</v>
      </c>
      <c r="X192" s="31"/>
      <c r="Y192" s="31"/>
      <c r="Z192" s="31" t="s">
        <v>20608</v>
      </c>
      <c r="AA192" s="31" t="s">
        <v>20609</v>
      </c>
      <c r="AB192" s="31" t="s">
        <v>20610</v>
      </c>
      <c r="AC192" s="31" t="s">
        <v>20611</v>
      </c>
      <c r="AD192" s="31" t="s">
        <v>20612</v>
      </c>
      <c r="AE192" s="31" t="s">
        <v>20613</v>
      </c>
      <c r="AF192" s="31" t="s">
        <v>20614</v>
      </c>
      <c r="AG192" s="31" t="s">
        <v>20615</v>
      </c>
      <c r="AH192" s="31" t="s">
        <v>20616</v>
      </c>
      <c r="AI192" s="31" t="n">
        <v>28</v>
      </c>
      <c r="AJ192" s="31" t="n">
        <v>3</v>
      </c>
      <c r="AK192" s="31" t="n">
        <v>3</v>
      </c>
      <c r="AL192" s="31" t="s">
        <v>20617</v>
      </c>
      <c r="AM192" s="31" t="s">
        <v>20618</v>
      </c>
      <c r="AN192" s="31" t="s">
        <v>20619</v>
      </c>
      <c r="AO192" s="31" t="s">
        <v>20620</v>
      </c>
      <c r="AP192" s="31" t="s">
        <v>20621</v>
      </c>
      <c r="AQ192" s="31" t="s">
        <v>20622</v>
      </c>
      <c r="AR192" s="31" t="s">
        <v>16801</v>
      </c>
      <c r="AS192" s="31"/>
      <c r="AT192" s="31"/>
      <c r="AU192" s="31"/>
      <c r="AV192" s="31" t="s">
        <v>20623</v>
      </c>
      <c r="AW192" s="35" t="str">
        <f aca="false">HYPERLINK("http://dx.doi.org/10.3201/eid3009.240082","http://dx.doi.org/10.3201/eid3009.240082")</f>
        <v>http://dx.doi.org/10.3201/eid3009.240082</v>
      </c>
      <c r="AX192" s="31"/>
      <c r="AY192" s="31" t="n">
        <v>246</v>
      </c>
      <c r="AZ192" s="31" t="s">
        <v>20624</v>
      </c>
      <c r="BA192" s="31" t="s">
        <v>16366</v>
      </c>
      <c r="BB192" s="31" t="s">
        <v>20624</v>
      </c>
      <c r="BC192" s="31" t="s">
        <v>20625</v>
      </c>
      <c r="BD192" s="31" t="n">
        <v>39173668</v>
      </c>
      <c r="BE192" s="31" t="s">
        <v>17143</v>
      </c>
      <c r="BF192" s="31" t="s">
        <v>16369</v>
      </c>
      <c r="BG192" s="31" t="s">
        <v>20626</v>
      </c>
      <c r="BH192" s="31" t="str">
        <f aca="false">HYPERLINK("https%3A%2F%2Fwww.webofscience.com%2Fwos%2Fwoscc%2Ffull-record%2FWOS:001318637500014","View Full Record in Web of Science")</f>
        <v>View Full Record in Web of Science</v>
      </c>
      <c r="BI192" s="31"/>
      <c r="BJ192" s="31"/>
      <c r="BK192" s="31"/>
      <c r="BL192" s="31"/>
      <c r="BM192" s="31"/>
      <c r="BN192" s="31"/>
      <c r="BO192" s="31"/>
      <c r="BP192" s="31"/>
      <c r="BQ192" s="31"/>
      <c r="BR192" s="31"/>
      <c r="BS192" s="31"/>
      <c r="BT192" s="31"/>
      <c r="BU192" s="31"/>
      <c r="BV192" s="31"/>
      <c r="BW192" s="31"/>
      <c r="BX192" s="31"/>
      <c r="BY192" s="31"/>
      <c r="BZ192" s="31"/>
      <c r="CA192" s="31"/>
      <c r="CB192" s="31"/>
      <c r="CC192" s="31"/>
      <c r="CD192" s="31"/>
      <c r="CE192" s="31"/>
      <c r="CF192" s="31"/>
    </row>
    <row r="193" customFormat="false" ht="15.75" hidden="false" customHeight="true" outlineLevel="0" collapsed="false">
      <c r="A193" s="31" t="s">
        <v>16335</v>
      </c>
      <c r="B193" s="31" t="s">
        <v>20627</v>
      </c>
      <c r="C193" s="31" t="s">
        <v>20628</v>
      </c>
      <c r="D193" s="34" t="s">
        <v>20629</v>
      </c>
      <c r="E193" s="31" t="n">
        <v>2024</v>
      </c>
      <c r="F193" s="33" t="s">
        <v>20630</v>
      </c>
      <c r="G193" s="33" t="s">
        <v>134</v>
      </c>
      <c r="H193" s="32"/>
      <c r="I193" s="34"/>
      <c r="J193" s="34"/>
      <c r="K193" s="34"/>
      <c r="L193" s="34"/>
      <c r="M193" s="34"/>
      <c r="N193" s="34"/>
      <c r="O193" s="34"/>
      <c r="P193" s="34" t="n">
        <v>0</v>
      </c>
      <c r="Q193" s="31" t="n">
        <v>0</v>
      </c>
      <c r="R193" s="31" t="s">
        <v>61</v>
      </c>
      <c r="S193" s="31" t="s">
        <v>62</v>
      </c>
      <c r="T193" s="31" t="s">
        <v>16413</v>
      </c>
      <c r="U193" s="31" t="n">
        <v>14</v>
      </c>
      <c r="V193" s="31" t="s">
        <v>16414</v>
      </c>
      <c r="W193" s="31" t="n">
        <v>1</v>
      </c>
      <c r="X193" s="31"/>
      <c r="Y193" s="31" t="s">
        <v>20631</v>
      </c>
      <c r="Z193" s="31" t="s">
        <v>20632</v>
      </c>
      <c r="AA193" s="31" t="s">
        <v>20633</v>
      </c>
      <c r="AB193" s="31" t="s">
        <v>20634</v>
      </c>
      <c r="AC193" s="31" t="s">
        <v>20635</v>
      </c>
      <c r="AD193" s="31" t="s">
        <v>20636</v>
      </c>
      <c r="AE193" s="31"/>
      <c r="AF193" s="31" t="s">
        <v>20637</v>
      </c>
      <c r="AG193" s="31" t="s">
        <v>20570</v>
      </c>
      <c r="AH193" s="31" t="s">
        <v>20638</v>
      </c>
      <c r="AI193" s="31" t="n">
        <v>51</v>
      </c>
      <c r="AJ193" s="31" t="n">
        <v>3</v>
      </c>
      <c r="AK193" s="31" t="n">
        <v>4</v>
      </c>
      <c r="AL193" s="31" t="s">
        <v>16421</v>
      </c>
      <c r="AM193" s="31" t="s">
        <v>16422</v>
      </c>
      <c r="AN193" s="31" t="s">
        <v>16423</v>
      </c>
      <c r="AO193" s="31"/>
      <c r="AP193" s="31" t="s">
        <v>16424</v>
      </c>
      <c r="AQ193" s="31" t="s">
        <v>16425</v>
      </c>
      <c r="AR193" s="31" t="s">
        <v>20639</v>
      </c>
      <c r="AS193" s="31"/>
      <c r="AT193" s="31"/>
      <c r="AU193" s="31" t="n">
        <v>11485</v>
      </c>
      <c r="AV193" s="31" t="s">
        <v>20640</v>
      </c>
      <c r="AW193" s="35" t="str">
        <f aca="false">HYPERLINK("http://dx.doi.org/10.1038/s41598-024-62521-1","http://dx.doi.org/10.1038/s41598-024-62521-1")</f>
        <v>http://dx.doi.org/10.1038/s41598-024-62521-1</v>
      </c>
      <c r="AX193" s="31"/>
      <c r="AY193" s="31" t="n">
        <v>9</v>
      </c>
      <c r="AZ193" s="31" t="s">
        <v>16428</v>
      </c>
      <c r="BA193" s="31" t="s">
        <v>16366</v>
      </c>
      <c r="BB193" s="31" t="s">
        <v>16429</v>
      </c>
      <c r="BC193" s="31" t="s">
        <v>20641</v>
      </c>
      <c r="BD193" s="31" t="n">
        <v>38769391</v>
      </c>
      <c r="BE193" s="31" t="s">
        <v>16832</v>
      </c>
      <c r="BF193" s="31" t="s">
        <v>16369</v>
      </c>
      <c r="BG193" s="31" t="s">
        <v>20642</v>
      </c>
      <c r="BH193" s="31" t="str">
        <f aca="false">HYPERLINK("https%3A%2F%2Fwww.webofscience.com%2Fwos%2Fwoscc%2Ffull-record%2FWOS:001228252900053","View Full Record in Web of Science")</f>
        <v>View Full Record in Web of Science</v>
      </c>
      <c r="BI193" s="31"/>
      <c r="BJ193" s="31"/>
      <c r="BK193" s="31"/>
      <c r="BL193" s="31"/>
      <c r="BM193" s="31"/>
      <c r="BN193" s="31"/>
      <c r="BO193" s="31"/>
      <c r="BP193" s="31"/>
      <c r="BQ193" s="31"/>
      <c r="BR193" s="31"/>
      <c r="BS193" s="31"/>
      <c r="BT193" s="31"/>
      <c r="BU193" s="31"/>
      <c r="BV193" s="31"/>
      <c r="BW193" s="31"/>
      <c r="BX193" s="31"/>
      <c r="BY193" s="31"/>
      <c r="BZ193" s="31"/>
      <c r="CA193" s="31"/>
      <c r="CB193" s="31"/>
      <c r="CC193" s="31"/>
      <c r="CD193" s="31"/>
      <c r="CE193" s="31"/>
      <c r="CF193" s="31"/>
    </row>
    <row r="194" customFormat="false" ht="15.75" hidden="false" customHeight="true" outlineLevel="0" collapsed="false">
      <c r="A194" s="31" t="s">
        <v>16335</v>
      </c>
      <c r="B194" s="31" t="s">
        <v>20643</v>
      </c>
      <c r="C194" s="31" t="s">
        <v>20644</v>
      </c>
      <c r="D194" s="34" t="s">
        <v>20645</v>
      </c>
      <c r="E194" s="31" t="n">
        <v>2024</v>
      </c>
      <c r="F194" s="33" t="s">
        <v>20646</v>
      </c>
      <c r="G194" s="33" t="s">
        <v>134</v>
      </c>
      <c r="H194" s="32"/>
      <c r="I194" s="34"/>
      <c r="J194" s="34"/>
      <c r="K194" s="34"/>
      <c r="L194" s="34"/>
      <c r="M194" s="34"/>
      <c r="N194" s="34"/>
      <c r="O194" s="34"/>
      <c r="P194" s="34" t="n">
        <v>1</v>
      </c>
      <c r="Q194" s="31" t="n">
        <v>1</v>
      </c>
      <c r="R194" s="31" t="s">
        <v>61</v>
      </c>
      <c r="S194" s="31" t="s">
        <v>62</v>
      </c>
      <c r="T194" s="31" t="s">
        <v>16844</v>
      </c>
      <c r="U194" s="31" t="n">
        <v>18</v>
      </c>
      <c r="V194" s="31" t="s">
        <v>16845</v>
      </c>
      <c r="W194" s="31" t="n">
        <v>2</v>
      </c>
      <c r="X194" s="31"/>
      <c r="Y194" s="31" t="s">
        <v>20647</v>
      </c>
      <c r="Z194" s="31" t="s">
        <v>20648</v>
      </c>
      <c r="AA194" s="31" t="s">
        <v>20649</v>
      </c>
      <c r="AB194" s="31" t="s">
        <v>20650</v>
      </c>
      <c r="AC194" s="31" t="s">
        <v>20651</v>
      </c>
      <c r="AD194" s="31" t="s">
        <v>20652</v>
      </c>
      <c r="AE194" s="31" t="s">
        <v>20653</v>
      </c>
      <c r="AF194" s="31" t="s">
        <v>20654</v>
      </c>
      <c r="AG194" s="31" t="s">
        <v>20655</v>
      </c>
      <c r="AH194" s="31" t="s">
        <v>20656</v>
      </c>
      <c r="AI194" s="31" t="n">
        <v>34</v>
      </c>
      <c r="AJ194" s="31" t="n">
        <v>3</v>
      </c>
      <c r="AK194" s="31" t="n">
        <v>5</v>
      </c>
      <c r="AL194" s="31" t="s">
        <v>16855</v>
      </c>
      <c r="AM194" s="31" t="s">
        <v>16856</v>
      </c>
      <c r="AN194" s="31" t="s">
        <v>16857</v>
      </c>
      <c r="AO194" s="31"/>
      <c r="AP194" s="31" t="s">
        <v>16858</v>
      </c>
      <c r="AQ194" s="31" t="s">
        <v>16859</v>
      </c>
      <c r="AR194" s="31" t="s">
        <v>16970</v>
      </c>
      <c r="AS194" s="31"/>
      <c r="AT194" s="31"/>
      <c r="AU194" s="31" t="s">
        <v>20657</v>
      </c>
      <c r="AV194" s="31" t="s">
        <v>20658</v>
      </c>
      <c r="AW194" s="35" t="str">
        <f aca="false">HYPERLINK("http://dx.doi.org/10.1371/journal.pntd.0011967","http://dx.doi.org/10.1371/journal.pntd.0011967")</f>
        <v>http://dx.doi.org/10.1371/journal.pntd.0011967</v>
      </c>
      <c r="AX194" s="31"/>
      <c r="AY194" s="31" t="n">
        <v>16</v>
      </c>
      <c r="AZ194" s="31" t="s">
        <v>16862</v>
      </c>
      <c r="BA194" s="31" t="s">
        <v>16366</v>
      </c>
      <c r="BB194" s="31" t="s">
        <v>16862</v>
      </c>
      <c r="BC194" s="31" t="s">
        <v>20659</v>
      </c>
      <c r="BD194" s="31" t="n">
        <v>38394298</v>
      </c>
      <c r="BE194" s="31" t="s">
        <v>16431</v>
      </c>
      <c r="BF194" s="31" t="s">
        <v>16369</v>
      </c>
      <c r="BG194" s="31" t="s">
        <v>20660</v>
      </c>
      <c r="BH194" s="31" t="str">
        <f aca="false">HYPERLINK("https%3A%2F%2Fwww.webofscience.com%2Fwos%2Fwoscc%2Ffull-record%2FWOS:001177196300002","View Full Record in Web of Science")</f>
        <v>View Full Record in Web of Science</v>
      </c>
      <c r="BI194" s="31"/>
      <c r="BJ194" s="31"/>
      <c r="BK194" s="31"/>
      <c r="BL194" s="31"/>
      <c r="BM194" s="31"/>
      <c r="BN194" s="31"/>
      <c r="BO194" s="31"/>
      <c r="BP194" s="31"/>
      <c r="BQ194" s="31"/>
      <c r="BR194" s="31"/>
      <c r="BS194" s="31"/>
      <c r="BT194" s="31"/>
      <c r="BU194" s="31"/>
      <c r="BV194" s="31"/>
      <c r="BW194" s="31"/>
      <c r="BX194" s="31"/>
      <c r="BY194" s="31"/>
      <c r="BZ194" s="31"/>
      <c r="CA194" s="31"/>
      <c r="CB194" s="31"/>
      <c r="CC194" s="31"/>
      <c r="CD194" s="31"/>
      <c r="CE194" s="31"/>
      <c r="CF194" s="31"/>
    </row>
    <row r="195" customFormat="false" ht="15.75" hidden="false" customHeight="true" outlineLevel="0" collapsed="false">
      <c r="A195" s="31" t="s">
        <v>16335</v>
      </c>
      <c r="B195" s="31" t="s">
        <v>20661</v>
      </c>
      <c r="C195" s="31" t="s">
        <v>20662</v>
      </c>
      <c r="D195" s="34" t="s">
        <v>20663</v>
      </c>
      <c r="E195" s="31" t="n">
        <v>2024</v>
      </c>
      <c r="F195" s="33" t="s">
        <v>20664</v>
      </c>
      <c r="G195" s="33" t="s">
        <v>134</v>
      </c>
      <c r="H195" s="32"/>
      <c r="I195" s="34"/>
      <c r="J195" s="34"/>
      <c r="K195" s="34"/>
      <c r="L195" s="34"/>
      <c r="M195" s="34"/>
      <c r="N195" s="34"/>
      <c r="O195" s="34"/>
      <c r="P195" s="34" t="n">
        <v>1</v>
      </c>
      <c r="Q195" s="31" t="n">
        <v>1</v>
      </c>
      <c r="R195" s="31" t="s">
        <v>61</v>
      </c>
      <c r="S195" s="31" t="s">
        <v>62</v>
      </c>
      <c r="T195" s="31" t="s">
        <v>19280</v>
      </c>
      <c r="U195" s="31" t="n">
        <v>34</v>
      </c>
      <c r="V195" s="31" t="s">
        <v>16475</v>
      </c>
      <c r="W195" s="31" t="n">
        <v>1</v>
      </c>
      <c r="X195" s="31" t="s">
        <v>20665</v>
      </c>
      <c r="Y195" s="31"/>
      <c r="Z195" s="31" t="s">
        <v>20666</v>
      </c>
      <c r="AA195" s="31" t="s">
        <v>20667</v>
      </c>
      <c r="AB195" s="31" t="s">
        <v>20668</v>
      </c>
      <c r="AC195" s="31" t="s">
        <v>20669</v>
      </c>
      <c r="AD195" s="31" t="s">
        <v>20670</v>
      </c>
      <c r="AE195" s="31" t="s">
        <v>20671</v>
      </c>
      <c r="AF195" s="31"/>
      <c r="AG195" s="31"/>
      <c r="AH195" s="31"/>
      <c r="AI195" s="31" t="n">
        <v>65</v>
      </c>
      <c r="AJ195" s="31" t="n">
        <v>5</v>
      </c>
      <c r="AK195" s="31" t="n">
        <v>10</v>
      </c>
      <c r="AL195" s="31" t="s">
        <v>16485</v>
      </c>
      <c r="AM195" s="31" t="s">
        <v>16486</v>
      </c>
      <c r="AN195" s="31" t="s">
        <v>19289</v>
      </c>
      <c r="AO195" s="31" t="s">
        <v>19290</v>
      </c>
      <c r="AP195" s="31" t="s">
        <v>19291</v>
      </c>
      <c r="AQ195" s="31" t="s">
        <v>19292</v>
      </c>
      <c r="AR195" s="31" t="s">
        <v>14295</v>
      </c>
      <c r="AS195" s="31"/>
      <c r="AT195" s="31"/>
      <c r="AU195" s="31" t="s">
        <v>20672</v>
      </c>
      <c r="AV195" s="31" t="s">
        <v>20673</v>
      </c>
      <c r="AW195" s="35" t="str">
        <f aca="false">HYPERLINK("http://dx.doi.org/10.1002/ima.23020","http://dx.doi.org/10.1002/ima.23020")</f>
        <v>http://dx.doi.org/10.1002/ima.23020</v>
      </c>
      <c r="AX195" s="31"/>
      <c r="AY195" s="31" t="n">
        <v>15</v>
      </c>
      <c r="AZ195" s="31" t="s">
        <v>19295</v>
      </c>
      <c r="BA195" s="31" t="s">
        <v>16366</v>
      </c>
      <c r="BB195" s="31" t="s">
        <v>19296</v>
      </c>
      <c r="BC195" s="31" t="s">
        <v>20674</v>
      </c>
      <c r="BD195" s="31"/>
      <c r="BE195" s="31" t="s">
        <v>16494</v>
      </c>
      <c r="BF195" s="31" t="s">
        <v>16369</v>
      </c>
      <c r="BG195" s="31" t="s">
        <v>20675</v>
      </c>
      <c r="BH195" s="31" t="str">
        <f aca="false">HYPERLINK("https%3A%2F%2Fwww.webofscience.com%2Fwos%2Fwoscc%2Ffull-record%2FWOS:001137986700001","View Full Record in Web of Science")</f>
        <v>View Full Record in Web of Science</v>
      </c>
      <c r="BI195" s="31"/>
      <c r="BJ195" s="31"/>
      <c r="BK195" s="31"/>
      <c r="BL195" s="31"/>
      <c r="BM195" s="31"/>
      <c r="BN195" s="31"/>
      <c r="BO195" s="31"/>
      <c r="BP195" s="31"/>
      <c r="BQ195" s="31"/>
      <c r="BR195" s="31"/>
      <c r="BS195" s="31"/>
      <c r="BT195" s="31"/>
      <c r="BU195" s="31"/>
      <c r="BV195" s="31"/>
      <c r="BW195" s="31"/>
      <c r="BX195" s="31"/>
      <c r="BY195" s="31"/>
      <c r="BZ195" s="31"/>
      <c r="CA195" s="31"/>
      <c r="CB195" s="31"/>
      <c r="CC195" s="31"/>
      <c r="CD195" s="31"/>
      <c r="CE195" s="31"/>
      <c r="CF195" s="31"/>
    </row>
    <row r="196" customFormat="false" ht="15.75" hidden="false" customHeight="true" outlineLevel="0" collapsed="false">
      <c r="A196" s="31" t="s">
        <v>16335</v>
      </c>
      <c r="B196" s="31" t="s">
        <v>20676</v>
      </c>
      <c r="C196" s="31" t="s">
        <v>20677</v>
      </c>
      <c r="D196" s="34" t="s">
        <v>20678</v>
      </c>
      <c r="E196" s="31" t="n">
        <v>2024</v>
      </c>
      <c r="F196" s="33" t="s">
        <v>20679</v>
      </c>
      <c r="G196" s="33" t="s">
        <v>134</v>
      </c>
      <c r="H196" s="32"/>
      <c r="I196" s="34"/>
      <c r="J196" s="34"/>
      <c r="K196" s="34"/>
      <c r="L196" s="34"/>
      <c r="M196" s="34"/>
      <c r="N196" s="34"/>
      <c r="O196" s="34"/>
      <c r="P196" s="34" t="n">
        <v>0</v>
      </c>
      <c r="Q196" s="31" t="n">
        <v>0</v>
      </c>
      <c r="R196" s="31" t="s">
        <v>61</v>
      </c>
      <c r="S196" s="31" t="s">
        <v>62</v>
      </c>
      <c r="T196" s="31" t="s">
        <v>20680</v>
      </c>
      <c r="U196" s="31" t="n">
        <v>19</v>
      </c>
      <c r="V196" s="31" t="s">
        <v>18105</v>
      </c>
      <c r="W196" s="31" t="n">
        <v>23</v>
      </c>
      <c r="X196" s="31" t="s">
        <v>20681</v>
      </c>
      <c r="Y196" s="31" t="s">
        <v>20682</v>
      </c>
      <c r="Z196" s="31" t="s">
        <v>20683</v>
      </c>
      <c r="AA196" s="31" t="s">
        <v>20684</v>
      </c>
      <c r="AB196" s="31" t="s">
        <v>20685</v>
      </c>
      <c r="AC196" s="31" t="s">
        <v>20686</v>
      </c>
      <c r="AD196" s="31" t="s">
        <v>20687</v>
      </c>
      <c r="AE196" s="31" t="s">
        <v>20688</v>
      </c>
      <c r="AF196" s="31" t="s">
        <v>20689</v>
      </c>
      <c r="AG196" s="31" t="s">
        <v>20690</v>
      </c>
      <c r="AH196" s="31" t="s">
        <v>20691</v>
      </c>
      <c r="AI196" s="31" t="n">
        <v>65</v>
      </c>
      <c r="AJ196" s="31" t="n">
        <v>0</v>
      </c>
      <c r="AK196" s="31" t="n">
        <v>0</v>
      </c>
      <c r="AL196" s="31" t="s">
        <v>18117</v>
      </c>
      <c r="AM196" s="31" t="s">
        <v>18118</v>
      </c>
      <c r="AN196" s="31" t="s">
        <v>20692</v>
      </c>
      <c r="AO196" s="31" t="s">
        <v>20693</v>
      </c>
      <c r="AP196" s="31" t="s">
        <v>20694</v>
      </c>
      <c r="AQ196" s="31" t="s">
        <v>20695</v>
      </c>
      <c r="AR196" s="31" t="s">
        <v>20696</v>
      </c>
      <c r="AS196" s="31"/>
      <c r="AT196" s="31"/>
      <c r="AU196" s="31"/>
      <c r="AV196" s="31" t="s">
        <v>20697</v>
      </c>
      <c r="AW196" s="35" t="str">
        <f aca="false">HYPERLINK("http://dx.doi.org/10.1002/asia.202400826","http://dx.doi.org/10.1002/asia.202400826")</f>
        <v>http://dx.doi.org/10.1002/asia.202400826</v>
      </c>
      <c r="AX196" s="31" t="s">
        <v>18291</v>
      </c>
      <c r="AY196" s="31" t="n">
        <v>9</v>
      </c>
      <c r="AZ196" s="31" t="s">
        <v>17347</v>
      </c>
      <c r="BA196" s="31" t="s">
        <v>16366</v>
      </c>
      <c r="BB196" s="31" t="s">
        <v>17348</v>
      </c>
      <c r="BC196" s="31" t="s">
        <v>20698</v>
      </c>
      <c r="BD196" s="31" t="n">
        <v>39222039</v>
      </c>
      <c r="BE196" s="31"/>
      <c r="BF196" s="31" t="s">
        <v>16369</v>
      </c>
      <c r="BG196" s="31" t="s">
        <v>20699</v>
      </c>
      <c r="BH196" s="31" t="str">
        <f aca="false">HYPERLINK("https%3A%2F%2Fwww.webofscience.com%2Fwos%2Fwoscc%2Ffull-record%2FWOS:001341482900001","View Full Record in Web of Science")</f>
        <v>View Full Record in Web of Science</v>
      </c>
      <c r="BI196" s="31"/>
      <c r="BJ196" s="31"/>
      <c r="BK196" s="31"/>
      <c r="BL196" s="31"/>
      <c r="BM196" s="31"/>
      <c r="BN196" s="31"/>
      <c r="BO196" s="31"/>
      <c r="BP196" s="31"/>
      <c r="BQ196" s="31"/>
      <c r="BR196" s="31"/>
      <c r="BS196" s="31"/>
      <c r="BT196" s="31"/>
      <c r="BU196" s="31"/>
      <c r="BV196" s="31"/>
      <c r="BW196" s="31"/>
      <c r="BX196" s="31"/>
      <c r="BY196" s="31"/>
      <c r="BZ196" s="31"/>
      <c r="CA196" s="31"/>
      <c r="CB196" s="31"/>
      <c r="CC196" s="31"/>
      <c r="CD196" s="31"/>
      <c r="CE196" s="31"/>
      <c r="CF196" s="31"/>
    </row>
    <row r="197" customFormat="false" ht="15.75" hidden="false" customHeight="true" outlineLevel="0" collapsed="false">
      <c r="A197" s="31" t="s">
        <v>16335</v>
      </c>
      <c r="B197" s="31" t="s">
        <v>20700</v>
      </c>
      <c r="C197" s="31" t="s">
        <v>20701</v>
      </c>
      <c r="D197" s="34" t="s">
        <v>20702</v>
      </c>
      <c r="E197" s="31" t="n">
        <v>2024</v>
      </c>
      <c r="F197" s="33" t="s">
        <v>20703</v>
      </c>
      <c r="G197" s="33" t="s">
        <v>393</v>
      </c>
      <c r="H197" s="32"/>
      <c r="I197" s="34"/>
      <c r="J197" s="34"/>
      <c r="K197" s="34"/>
      <c r="L197" s="34"/>
      <c r="M197" s="34"/>
      <c r="N197" s="34"/>
      <c r="O197" s="34"/>
      <c r="P197" s="34" t="n">
        <v>1</v>
      </c>
      <c r="Q197" s="31" t="n">
        <v>1</v>
      </c>
      <c r="R197" s="33" t="s">
        <v>20704</v>
      </c>
      <c r="S197" s="31" t="s">
        <v>62</v>
      </c>
      <c r="T197" s="31" t="s">
        <v>20705</v>
      </c>
      <c r="U197" s="31" t="n">
        <v>15</v>
      </c>
      <c r="V197" s="31" t="s">
        <v>16414</v>
      </c>
      <c r="W197" s="31" t="n">
        <v>1</v>
      </c>
      <c r="X197" s="31"/>
      <c r="Y197" s="31" t="s">
        <v>20706</v>
      </c>
      <c r="Z197" s="31" t="s">
        <v>20707</v>
      </c>
      <c r="AA197" s="31" t="s">
        <v>20708</v>
      </c>
      <c r="AB197" s="31" t="s">
        <v>20709</v>
      </c>
      <c r="AC197" s="31" t="s">
        <v>20710</v>
      </c>
      <c r="AD197" s="31" t="s">
        <v>20711</v>
      </c>
      <c r="AE197" s="31" t="s">
        <v>20712</v>
      </c>
      <c r="AF197" s="31" t="s">
        <v>20713</v>
      </c>
      <c r="AG197" s="31" t="s">
        <v>20714</v>
      </c>
      <c r="AH197" s="31" t="s">
        <v>20715</v>
      </c>
      <c r="AI197" s="31" t="n">
        <v>145</v>
      </c>
      <c r="AJ197" s="31" t="n">
        <v>2</v>
      </c>
      <c r="AK197" s="31" t="n">
        <v>2</v>
      </c>
      <c r="AL197" s="31" t="s">
        <v>16421</v>
      </c>
      <c r="AM197" s="31" t="s">
        <v>16422</v>
      </c>
      <c r="AN197" s="31"/>
      <c r="AO197" s="31" t="s">
        <v>20716</v>
      </c>
      <c r="AP197" s="31" t="s">
        <v>20717</v>
      </c>
      <c r="AQ197" s="31" t="s">
        <v>759</v>
      </c>
      <c r="AR197" s="31" t="s">
        <v>20516</v>
      </c>
      <c r="AS197" s="31"/>
      <c r="AT197" s="31"/>
      <c r="AU197" s="31" t="n">
        <v>10274</v>
      </c>
      <c r="AV197" s="31" t="s">
        <v>20718</v>
      </c>
      <c r="AW197" s="35" t="str">
        <f aca="false">HYPERLINK("http://dx.doi.org/10.1038/s41467-024-54496-4","http://dx.doi.org/10.1038/s41467-024-54496-4")</f>
        <v>http://dx.doi.org/10.1038/s41467-024-54496-4</v>
      </c>
      <c r="AX197" s="31"/>
      <c r="AY197" s="31" t="n">
        <v>17</v>
      </c>
      <c r="AZ197" s="31" t="s">
        <v>16428</v>
      </c>
      <c r="BA197" s="31" t="s">
        <v>16366</v>
      </c>
      <c r="BB197" s="31" t="s">
        <v>16429</v>
      </c>
      <c r="BC197" s="31" t="s">
        <v>20719</v>
      </c>
      <c r="BD197" s="31" t="n">
        <v>39604349</v>
      </c>
      <c r="BE197" s="31" t="s">
        <v>16431</v>
      </c>
      <c r="BF197" s="31" t="s">
        <v>16369</v>
      </c>
      <c r="BG197" s="31" t="s">
        <v>20720</v>
      </c>
      <c r="BH197" s="31" t="str">
        <f aca="false">HYPERLINK("https%3A%2F%2Fwww.webofscience.com%2Fwos%2Fwoscc%2Ffull-record%2FWOS:001366217500012","View Full Record in Web of Science")</f>
        <v>View Full Record in Web of Science</v>
      </c>
      <c r="BI197" s="31"/>
      <c r="BJ197" s="31"/>
      <c r="BK197" s="31"/>
      <c r="BL197" s="31"/>
      <c r="BM197" s="31"/>
      <c r="BN197" s="31"/>
      <c r="BO197" s="31"/>
      <c r="BP197" s="31"/>
      <c r="BQ197" s="31"/>
      <c r="BR197" s="31"/>
      <c r="BS197" s="31"/>
      <c r="BT197" s="31"/>
      <c r="BU197" s="31"/>
      <c r="BV197" s="31"/>
      <c r="BW197" s="31"/>
      <c r="BX197" s="31"/>
      <c r="BY197" s="31"/>
      <c r="BZ197" s="31"/>
      <c r="CA197" s="31"/>
      <c r="CB197" s="31"/>
      <c r="CC197" s="31"/>
      <c r="CD197" s="31"/>
      <c r="CE197" s="31"/>
      <c r="CF197" s="31"/>
    </row>
    <row r="198" customFormat="false" ht="15.75" hidden="false" customHeight="true" outlineLevel="0" collapsed="false">
      <c r="A198" s="31" t="s">
        <v>16335</v>
      </c>
      <c r="B198" s="31" t="s">
        <v>20721</v>
      </c>
      <c r="C198" s="31" t="s">
        <v>20722</v>
      </c>
      <c r="D198" s="34" t="s">
        <v>20723</v>
      </c>
      <c r="E198" s="31" t="n">
        <v>2024</v>
      </c>
      <c r="F198" s="33" t="s">
        <v>20724</v>
      </c>
      <c r="G198" s="33" t="s">
        <v>134</v>
      </c>
      <c r="H198" s="32"/>
      <c r="I198" s="34"/>
      <c r="J198" s="34"/>
      <c r="K198" s="34"/>
      <c r="L198" s="34"/>
      <c r="M198" s="34"/>
      <c r="N198" s="34"/>
      <c r="O198" s="34"/>
      <c r="P198" s="34" t="n">
        <v>0</v>
      </c>
      <c r="Q198" s="31" t="n">
        <v>0</v>
      </c>
      <c r="R198" s="31" t="s">
        <v>17525</v>
      </c>
      <c r="S198" s="31" t="s">
        <v>62</v>
      </c>
      <c r="T198" s="31" t="s">
        <v>18253</v>
      </c>
      <c r="U198" s="31" t="n">
        <v>57</v>
      </c>
      <c r="V198" s="31" t="s">
        <v>16349</v>
      </c>
      <c r="W198" s="31"/>
      <c r="X198" s="31" t="s">
        <v>20725</v>
      </c>
      <c r="Y198" s="31"/>
      <c r="Z198" s="31" t="s">
        <v>20726</v>
      </c>
      <c r="AA198" s="31"/>
      <c r="AB198" s="31" t="s">
        <v>20727</v>
      </c>
      <c r="AC198" s="31" t="s">
        <v>20728</v>
      </c>
      <c r="AD198" s="31" t="s">
        <v>20729</v>
      </c>
      <c r="AE198" s="31" t="s">
        <v>20730</v>
      </c>
      <c r="AF198" s="31" t="s">
        <v>20731</v>
      </c>
      <c r="AG198" s="31" t="s">
        <v>20732</v>
      </c>
      <c r="AH198" s="31" t="s">
        <v>20733</v>
      </c>
      <c r="AI198" s="31" t="n">
        <v>8</v>
      </c>
      <c r="AJ198" s="31" t="n">
        <v>0</v>
      </c>
      <c r="AK198" s="31" t="n">
        <v>0</v>
      </c>
      <c r="AL198" s="31" t="s">
        <v>16356</v>
      </c>
      <c r="AM198" s="31" t="s">
        <v>16357</v>
      </c>
      <c r="AN198" s="31" t="s">
        <v>18263</v>
      </c>
      <c r="AO198" s="31"/>
      <c r="AP198" s="31" t="s">
        <v>18264</v>
      </c>
      <c r="AQ198" s="31" t="s">
        <v>18265</v>
      </c>
      <c r="AR198" s="31" t="s">
        <v>16649</v>
      </c>
      <c r="AS198" s="31"/>
      <c r="AT198" s="31"/>
      <c r="AU198" s="31" t="n">
        <v>110950</v>
      </c>
      <c r="AV198" s="31" t="s">
        <v>20734</v>
      </c>
      <c r="AW198" s="35" t="str">
        <f aca="false">HYPERLINK("http://dx.doi.org/10.1016/j.dib.2024.110950","http://dx.doi.org/10.1016/j.dib.2024.110950")</f>
        <v>http://dx.doi.org/10.1016/j.dib.2024.110950</v>
      </c>
      <c r="AX198" s="31" t="s">
        <v>18291</v>
      </c>
      <c r="AY198" s="31" t="n">
        <v>7</v>
      </c>
      <c r="AZ198" s="31" t="s">
        <v>16428</v>
      </c>
      <c r="BA198" s="31" t="s">
        <v>16684</v>
      </c>
      <c r="BB198" s="31" t="s">
        <v>16429</v>
      </c>
      <c r="BC198" s="31" t="s">
        <v>20735</v>
      </c>
      <c r="BD198" s="31"/>
      <c r="BE198" s="31" t="s">
        <v>16431</v>
      </c>
      <c r="BF198" s="31" t="s">
        <v>16369</v>
      </c>
      <c r="BG198" s="31" t="s">
        <v>20736</v>
      </c>
      <c r="BH198" s="31" t="str">
        <f aca="false">HYPERLINK("https%3A%2F%2Fwww.webofscience.com%2Fwos%2Fwoscc%2Ffull-record%2FWOS:001338673100001","View Full Record in Web of Science")</f>
        <v>View Full Record in Web of Science</v>
      </c>
      <c r="BI198" s="31"/>
      <c r="BJ198" s="31"/>
      <c r="BK198" s="31"/>
      <c r="BL198" s="31"/>
      <c r="BM198" s="31"/>
      <c r="BN198" s="31"/>
      <c r="BO198" s="31"/>
      <c r="BP198" s="31"/>
      <c r="BQ198" s="31"/>
      <c r="BR198" s="31"/>
      <c r="BS198" s="31"/>
      <c r="BT198" s="31"/>
      <c r="BU198" s="31"/>
      <c r="BV198" s="31"/>
      <c r="BW198" s="31"/>
      <c r="BX198" s="31"/>
      <c r="BY198" s="31"/>
      <c r="BZ198" s="31"/>
      <c r="CA198" s="31"/>
      <c r="CB198" s="31"/>
      <c r="CC198" s="31"/>
      <c r="CD198" s="31"/>
      <c r="CE198" s="31"/>
      <c r="CF198" s="31"/>
    </row>
    <row r="199" customFormat="false" ht="15.75" hidden="false" customHeight="true" outlineLevel="0" collapsed="false">
      <c r="A199" s="31" t="s">
        <v>16335</v>
      </c>
      <c r="B199" s="31" t="s">
        <v>20737</v>
      </c>
      <c r="C199" s="31" t="s">
        <v>20738</v>
      </c>
      <c r="D199" s="34" t="s">
        <v>20739</v>
      </c>
      <c r="E199" s="31" t="n">
        <v>2024</v>
      </c>
      <c r="F199" s="33" t="s">
        <v>20740</v>
      </c>
      <c r="G199" s="33" t="s">
        <v>134</v>
      </c>
      <c r="H199" s="32"/>
      <c r="I199" s="34"/>
      <c r="J199" s="34"/>
      <c r="K199" s="34"/>
      <c r="L199" s="34"/>
      <c r="M199" s="34"/>
      <c r="N199" s="34"/>
      <c r="O199" s="34"/>
      <c r="P199" s="34" t="n">
        <v>12</v>
      </c>
      <c r="Q199" s="31" t="n">
        <v>12</v>
      </c>
      <c r="R199" s="31" t="s">
        <v>16529</v>
      </c>
      <c r="S199" s="31" t="s">
        <v>62</v>
      </c>
      <c r="T199" s="31" t="s">
        <v>20741</v>
      </c>
      <c r="U199" s="31"/>
      <c r="V199" s="31" t="s">
        <v>16600</v>
      </c>
      <c r="W199" s="31"/>
      <c r="X199" s="31" t="s">
        <v>20742</v>
      </c>
      <c r="Y199" s="31" t="s">
        <v>20743</v>
      </c>
      <c r="Z199" s="31" t="s">
        <v>20744</v>
      </c>
      <c r="AA199" s="31" t="s">
        <v>20745</v>
      </c>
      <c r="AB199" s="31" t="s">
        <v>20746</v>
      </c>
      <c r="AC199" s="31" t="s">
        <v>20747</v>
      </c>
      <c r="AD199" s="31" t="s">
        <v>20748</v>
      </c>
      <c r="AE199" s="31" t="s">
        <v>20749</v>
      </c>
      <c r="AF199" s="31" t="s">
        <v>20750</v>
      </c>
      <c r="AG199" s="31" t="s">
        <v>20750</v>
      </c>
      <c r="AH199" s="31" t="s">
        <v>20751</v>
      </c>
      <c r="AI199" s="31" t="n">
        <v>79</v>
      </c>
      <c r="AJ199" s="31" t="n">
        <v>9</v>
      </c>
      <c r="AK199" s="31" t="n">
        <v>9</v>
      </c>
      <c r="AL199" s="31" t="s">
        <v>16990</v>
      </c>
      <c r="AM199" s="31" t="s">
        <v>16991</v>
      </c>
      <c r="AN199" s="31" t="s">
        <v>20752</v>
      </c>
      <c r="AO199" s="31" t="s">
        <v>20753</v>
      </c>
      <c r="AP199" s="31" t="s">
        <v>20741</v>
      </c>
      <c r="AQ199" s="31" t="s">
        <v>20754</v>
      </c>
      <c r="AR199" s="31" t="s">
        <v>20755</v>
      </c>
      <c r="AS199" s="31"/>
      <c r="AT199" s="31"/>
      <c r="AU199" s="31"/>
      <c r="AV199" s="31" t="s">
        <v>20756</v>
      </c>
      <c r="AW199" s="35" t="str">
        <f aca="false">HYPERLINK("http://dx.doi.org/10.1007/s11468-024-02491-2","http://dx.doi.org/10.1007/s11468-024-02491-2")</f>
        <v>http://dx.doi.org/10.1007/s11468-024-02491-2</v>
      </c>
      <c r="AX199" s="31" t="s">
        <v>16890</v>
      </c>
      <c r="AY199" s="31" t="n">
        <v>25</v>
      </c>
      <c r="AZ199" s="31" t="s">
        <v>20757</v>
      </c>
      <c r="BA199" s="31" t="s">
        <v>16366</v>
      </c>
      <c r="BB199" s="31" t="s">
        <v>20758</v>
      </c>
      <c r="BC199" s="31" t="s">
        <v>20759</v>
      </c>
      <c r="BD199" s="31"/>
      <c r="BE199" s="31"/>
      <c r="BF199" s="31" t="s">
        <v>16369</v>
      </c>
      <c r="BG199" s="31" t="s">
        <v>20760</v>
      </c>
      <c r="BH199" s="31" t="str">
        <f aca="false">HYPERLINK("https%3A%2F%2Fwww.webofscience.com%2Fwos%2Fwoscc%2Ffull-record%2FWOS:001293514100002","View Full Record in Web of Science")</f>
        <v>View Full Record in Web of Science</v>
      </c>
      <c r="BI199" s="31"/>
      <c r="BJ199" s="31"/>
      <c r="BK199" s="31"/>
      <c r="BL199" s="31"/>
      <c r="BM199" s="31"/>
      <c r="BN199" s="31"/>
      <c r="BO199" s="31"/>
      <c r="BP199" s="31"/>
      <c r="BQ199" s="31"/>
      <c r="BR199" s="31"/>
      <c r="BS199" s="31"/>
      <c r="BT199" s="31"/>
      <c r="BU199" s="31"/>
      <c r="BV199" s="31"/>
      <c r="BW199" s="31"/>
      <c r="BX199" s="31"/>
      <c r="BY199" s="31"/>
      <c r="BZ199" s="31"/>
      <c r="CA199" s="31"/>
      <c r="CB199" s="31"/>
      <c r="CC199" s="31"/>
      <c r="CD199" s="31"/>
      <c r="CE199" s="31"/>
      <c r="CF199" s="31"/>
    </row>
    <row r="200" customFormat="false" ht="15.75" hidden="false" customHeight="true" outlineLevel="0" collapsed="false">
      <c r="A200" s="31" t="s">
        <v>16335</v>
      </c>
      <c r="B200" s="31" t="s">
        <v>20761</v>
      </c>
      <c r="C200" s="31" t="s">
        <v>20762</v>
      </c>
      <c r="D200" s="34" t="s">
        <v>20763</v>
      </c>
      <c r="E200" s="31" t="n">
        <v>2024</v>
      </c>
      <c r="F200" s="33" t="s">
        <v>20764</v>
      </c>
      <c r="G200" s="33" t="s">
        <v>134</v>
      </c>
      <c r="H200" s="32"/>
      <c r="I200" s="34"/>
      <c r="J200" s="34"/>
      <c r="K200" s="34"/>
      <c r="L200" s="34"/>
      <c r="M200" s="34"/>
      <c r="N200" s="34"/>
      <c r="O200" s="34"/>
      <c r="P200" s="34" t="n">
        <v>1</v>
      </c>
      <c r="Q200" s="31" t="n">
        <v>1</v>
      </c>
      <c r="R200" s="31" t="s">
        <v>16529</v>
      </c>
      <c r="S200" s="31" t="s">
        <v>62</v>
      </c>
      <c r="T200" s="31" t="s">
        <v>20765</v>
      </c>
      <c r="U200" s="31"/>
      <c r="V200" s="31" t="s">
        <v>16600</v>
      </c>
      <c r="W200" s="31"/>
      <c r="X200" s="31" t="s">
        <v>20766</v>
      </c>
      <c r="Y200" s="31" t="s">
        <v>20767</v>
      </c>
      <c r="Z200" s="31" t="s">
        <v>20768</v>
      </c>
      <c r="AA200" s="31" t="s">
        <v>20769</v>
      </c>
      <c r="AB200" s="31" t="s">
        <v>20770</v>
      </c>
      <c r="AC200" s="31" t="s">
        <v>20771</v>
      </c>
      <c r="AD200" s="31" t="s">
        <v>20772</v>
      </c>
      <c r="AE200" s="31" t="s">
        <v>20773</v>
      </c>
      <c r="AF200" s="31"/>
      <c r="AG200" s="31"/>
      <c r="AH200" s="31"/>
      <c r="AI200" s="31" t="n">
        <v>55</v>
      </c>
      <c r="AJ200" s="31" t="n">
        <v>2</v>
      </c>
      <c r="AK200" s="31" t="n">
        <v>3</v>
      </c>
      <c r="AL200" s="31" t="s">
        <v>16609</v>
      </c>
      <c r="AM200" s="31" t="s">
        <v>16610</v>
      </c>
      <c r="AN200" s="31" t="s">
        <v>20774</v>
      </c>
      <c r="AO200" s="31" t="s">
        <v>20775</v>
      </c>
      <c r="AP200" s="31" t="s">
        <v>20776</v>
      </c>
      <c r="AQ200" s="31" t="s">
        <v>20777</v>
      </c>
      <c r="AR200" s="31" t="s">
        <v>20778</v>
      </c>
      <c r="AS200" s="31"/>
      <c r="AT200" s="31"/>
      <c r="AU200" s="31"/>
      <c r="AV200" s="31" t="s">
        <v>20779</v>
      </c>
      <c r="AW200" s="35" t="str">
        <f aca="false">HYPERLINK("http://dx.doi.org/10.1007/s11042-023-17866-6","http://dx.doi.org/10.1007/s11042-023-17866-6")</f>
        <v>http://dx.doi.org/10.1007/s11042-023-17866-6</v>
      </c>
      <c r="AX200" s="31" t="s">
        <v>18739</v>
      </c>
      <c r="AY200" s="31" t="n">
        <v>23</v>
      </c>
      <c r="AZ200" s="31" t="s">
        <v>20780</v>
      </c>
      <c r="BA200" s="31" t="s">
        <v>16366</v>
      </c>
      <c r="BB200" s="31" t="s">
        <v>16973</v>
      </c>
      <c r="BC200" s="31" t="s">
        <v>20781</v>
      </c>
      <c r="BD200" s="31"/>
      <c r="BE200" s="31"/>
      <c r="BF200" s="31" t="s">
        <v>16369</v>
      </c>
      <c r="BG200" s="31" t="s">
        <v>20782</v>
      </c>
      <c r="BH200" s="31" t="str">
        <f aca="false">HYPERLINK("https%3A%2F%2Fwww.webofscience.com%2Fwos%2Fwoscc%2Ffull-record%2FWOS:001139001200006","View Full Record in Web of Science")</f>
        <v>View Full Record in Web of Science</v>
      </c>
      <c r="BI200" s="31"/>
      <c r="BJ200" s="31"/>
      <c r="BK200" s="31"/>
      <c r="BL200" s="31"/>
      <c r="BM200" s="31"/>
      <c r="BN200" s="31"/>
      <c r="BO200" s="31"/>
      <c r="BP200" s="31"/>
      <c r="BQ200" s="31"/>
      <c r="BR200" s="31"/>
      <c r="BS200" s="31"/>
      <c r="BT200" s="31"/>
      <c r="BU200" s="31"/>
      <c r="BV200" s="31"/>
      <c r="BW200" s="31"/>
      <c r="BX200" s="31"/>
      <c r="BY200" s="31"/>
      <c r="BZ200" s="31"/>
      <c r="CA200" s="31"/>
      <c r="CB200" s="31"/>
      <c r="CC200" s="31"/>
      <c r="CD200" s="31"/>
      <c r="CE200" s="31"/>
      <c r="CF200" s="31"/>
    </row>
    <row r="201" customFormat="false" ht="15.75" hidden="false" customHeight="true" outlineLevel="0" collapsed="false">
      <c r="A201" s="31" t="s">
        <v>16335</v>
      </c>
      <c r="B201" s="31" t="s">
        <v>20783</v>
      </c>
      <c r="C201" s="31" t="s">
        <v>20784</v>
      </c>
      <c r="D201" s="34" t="s">
        <v>20785</v>
      </c>
      <c r="E201" s="31" t="n">
        <v>2024</v>
      </c>
      <c r="F201" s="33" t="s">
        <v>20786</v>
      </c>
      <c r="G201" s="33" t="s">
        <v>349</v>
      </c>
      <c r="H201" s="32"/>
      <c r="I201" s="34"/>
      <c r="J201" s="34"/>
      <c r="K201" s="34"/>
      <c r="L201" s="34"/>
      <c r="M201" s="34"/>
      <c r="N201" s="34"/>
      <c r="O201" s="34"/>
      <c r="P201" s="34" t="n">
        <v>0</v>
      </c>
      <c r="Q201" s="31" t="n">
        <v>0</v>
      </c>
      <c r="R201" s="31" t="s">
        <v>16529</v>
      </c>
      <c r="S201" s="31" t="s">
        <v>62</v>
      </c>
      <c r="T201" s="31" t="s">
        <v>20787</v>
      </c>
      <c r="U201" s="31"/>
      <c r="V201" s="31" t="s">
        <v>17879</v>
      </c>
      <c r="W201" s="31"/>
      <c r="X201" s="31" t="s">
        <v>20788</v>
      </c>
      <c r="Y201" s="31" t="s">
        <v>20789</v>
      </c>
      <c r="Z201" s="31" t="s">
        <v>20790</v>
      </c>
      <c r="AA201" s="31" t="s">
        <v>20791</v>
      </c>
      <c r="AB201" s="31" t="s">
        <v>20792</v>
      </c>
      <c r="AC201" s="31" t="s">
        <v>20793</v>
      </c>
      <c r="AD201" s="31"/>
      <c r="AE201" s="31" t="s">
        <v>20794</v>
      </c>
      <c r="AF201" s="31" t="s">
        <v>20795</v>
      </c>
      <c r="AG201" s="31" t="s">
        <v>20796</v>
      </c>
      <c r="AH201" s="31" t="s">
        <v>20797</v>
      </c>
      <c r="AI201" s="31" t="n">
        <v>55</v>
      </c>
      <c r="AJ201" s="31" t="n">
        <v>0</v>
      </c>
      <c r="AK201" s="31" t="n">
        <v>0</v>
      </c>
      <c r="AL201" s="31" t="s">
        <v>17507</v>
      </c>
      <c r="AM201" s="31" t="s">
        <v>20798</v>
      </c>
      <c r="AN201" s="31" t="s">
        <v>20799</v>
      </c>
      <c r="AO201" s="31" t="s">
        <v>20800</v>
      </c>
      <c r="AP201" s="31" t="s">
        <v>20787</v>
      </c>
      <c r="AQ201" s="31" t="s">
        <v>20326</v>
      </c>
      <c r="AR201" s="31" t="s">
        <v>20801</v>
      </c>
      <c r="AS201" s="31"/>
      <c r="AT201" s="31"/>
      <c r="AU201" s="31"/>
      <c r="AV201" s="31" t="s">
        <v>20802</v>
      </c>
      <c r="AW201" s="35" t="str">
        <f aca="false">HYPERLINK("http://dx.doi.org/10.1017/S0031182024001598","http://dx.doi.org/10.1017/S0031182024001598")</f>
        <v>http://dx.doi.org/10.1017/S0031182024001598</v>
      </c>
      <c r="AX201" s="31" t="s">
        <v>16651</v>
      </c>
      <c r="AY201" s="31" t="n">
        <v>9</v>
      </c>
      <c r="AZ201" s="31" t="s">
        <v>20326</v>
      </c>
      <c r="BA201" s="31" t="s">
        <v>16366</v>
      </c>
      <c r="BB201" s="31" t="s">
        <v>20326</v>
      </c>
      <c r="BC201" s="31" t="s">
        <v>20803</v>
      </c>
      <c r="BD201" s="31" t="n">
        <v>39670465</v>
      </c>
      <c r="BE201" s="31" t="s">
        <v>16431</v>
      </c>
      <c r="BF201" s="31" t="s">
        <v>16369</v>
      </c>
      <c r="BG201" s="31" t="s">
        <v>20804</v>
      </c>
      <c r="BH201" s="31" t="str">
        <f aca="false">HYPERLINK("https%3A%2F%2Fwww.webofscience.com%2Fwos%2Fwoscc%2Ffull-record%2FWOS:001401741700001","View Full Record in Web of Science")</f>
        <v>View Full Record in Web of Science</v>
      </c>
      <c r="BI201" s="31"/>
      <c r="BJ201" s="31"/>
      <c r="BK201" s="31"/>
      <c r="BL201" s="31"/>
      <c r="BM201" s="31"/>
      <c r="BN201" s="31"/>
      <c r="BO201" s="31"/>
      <c r="BP201" s="31"/>
      <c r="BQ201" s="31"/>
      <c r="BR201" s="31"/>
      <c r="BS201" s="31"/>
      <c r="BT201" s="31"/>
      <c r="BU201" s="31"/>
      <c r="BV201" s="31"/>
      <c r="BW201" s="31"/>
      <c r="BX201" s="31"/>
      <c r="BY201" s="31"/>
      <c r="BZ201" s="31"/>
      <c r="CA201" s="31"/>
      <c r="CB201" s="31"/>
      <c r="CC201" s="31"/>
      <c r="CD201" s="31"/>
      <c r="CE201" s="31"/>
      <c r="CF201" s="31"/>
    </row>
    <row r="202" customFormat="false" ht="15.75" hidden="false" customHeight="true" outlineLevel="0" collapsed="false">
      <c r="A202" s="38"/>
      <c r="B202" s="38"/>
      <c r="C202" s="38"/>
      <c r="D202" s="39"/>
      <c r="E202" s="38"/>
      <c r="F202" s="40"/>
      <c r="G202" s="40"/>
      <c r="H202" s="41"/>
      <c r="I202" s="39"/>
      <c r="J202" s="39"/>
      <c r="K202" s="39"/>
      <c r="L202" s="39"/>
      <c r="M202" s="39"/>
      <c r="N202" s="39"/>
      <c r="O202" s="39"/>
      <c r="P202" s="39"/>
      <c r="Q202" s="38"/>
      <c r="R202" s="38"/>
      <c r="S202" s="38"/>
      <c r="T202" s="38"/>
      <c r="U202" s="38"/>
      <c r="V202" s="38"/>
      <c r="W202" s="38"/>
      <c r="X202" s="38"/>
      <c r="Y202" s="38"/>
      <c r="Z202" s="38"/>
      <c r="AA202" s="38"/>
      <c r="AB202" s="38"/>
      <c r="AC202" s="38"/>
      <c r="AD202" s="38"/>
      <c r="AE202" s="38"/>
      <c r="AF202" s="38"/>
      <c r="AG202" s="38"/>
      <c r="AH202" s="38"/>
      <c r="AI202" s="38"/>
      <c r="AJ202" s="38"/>
      <c r="AK202" s="38"/>
      <c r="AL202" s="38"/>
      <c r="AM202" s="38"/>
      <c r="AN202" s="38"/>
      <c r="AO202" s="38"/>
      <c r="AP202" s="38"/>
      <c r="AQ202" s="38"/>
      <c r="AR202" s="38"/>
      <c r="AS202" s="38"/>
      <c r="AT202" s="38"/>
      <c r="AU202" s="38"/>
      <c r="AV202" s="38"/>
      <c r="AW202" s="42"/>
      <c r="AX202" s="38"/>
      <c r="AY202" s="38"/>
      <c r="AZ202" s="38"/>
      <c r="BA202" s="38"/>
      <c r="BB202" s="38"/>
      <c r="BC202" s="38"/>
      <c r="BD202" s="38"/>
      <c r="BE202" s="38"/>
      <c r="BF202" s="38"/>
      <c r="BG202" s="38"/>
      <c r="BH202" s="38"/>
      <c r="BI202" s="38"/>
      <c r="BJ202" s="38"/>
      <c r="BK202" s="38"/>
      <c r="BL202" s="38"/>
      <c r="BM202" s="38"/>
      <c r="BN202" s="38"/>
      <c r="BO202" s="38"/>
      <c r="BP202" s="38"/>
      <c r="BQ202" s="38"/>
      <c r="BR202" s="38"/>
      <c r="BS202" s="38"/>
      <c r="BT202" s="38"/>
      <c r="BU202" s="38"/>
      <c r="BV202" s="38"/>
      <c r="BW202" s="38"/>
      <c r="BX202" s="38"/>
      <c r="BY202" s="38"/>
      <c r="BZ202" s="38"/>
      <c r="CA202" s="38"/>
      <c r="CB202" s="38"/>
      <c r="CC202" s="38"/>
      <c r="CD202" s="38"/>
      <c r="CE202" s="38"/>
      <c r="CF202" s="38"/>
      <c r="CG202" s="18"/>
      <c r="CH202" s="18"/>
      <c r="CI202" s="18"/>
      <c r="CJ202" s="18"/>
      <c r="CK202" s="18"/>
      <c r="CL202" s="18"/>
      <c r="CM202" s="18"/>
      <c r="CN202" s="18"/>
      <c r="CO202" s="18"/>
      <c r="CP202" s="18"/>
      <c r="CQ202" s="18"/>
      <c r="CR202" s="18"/>
      <c r="CS202" s="18"/>
      <c r="CT202" s="18"/>
      <c r="CU202" s="18"/>
      <c r="CV202" s="18"/>
      <c r="CW202" s="18"/>
      <c r="CX202" s="18"/>
      <c r="CY202" s="18"/>
      <c r="CZ202" s="18"/>
    </row>
    <row r="203" customFormat="false" ht="15.75" hidden="false" customHeight="true" outlineLevel="0" collapsed="false">
      <c r="A203" s="31" t="s">
        <v>16335</v>
      </c>
      <c r="B203" s="31" t="s">
        <v>20805</v>
      </c>
      <c r="C203" s="31" t="s">
        <v>20806</v>
      </c>
      <c r="D203" s="32" t="s">
        <v>20807</v>
      </c>
      <c r="E203" s="31" t="n">
        <v>2023</v>
      </c>
      <c r="F203" s="33" t="s">
        <v>20808</v>
      </c>
      <c r="G203" s="33" t="s">
        <v>134</v>
      </c>
      <c r="H203" s="32" t="s">
        <v>20809</v>
      </c>
      <c r="I203" s="32" t="s">
        <v>20809</v>
      </c>
      <c r="J203" s="32" t="s">
        <v>16752</v>
      </c>
      <c r="K203" s="32" t="s">
        <v>16409</v>
      </c>
      <c r="L203" s="32" t="s">
        <v>3754</v>
      </c>
      <c r="M203" s="32" t="s">
        <v>20810</v>
      </c>
      <c r="N203" s="32" t="s">
        <v>20811</v>
      </c>
      <c r="O203" s="32" t="s">
        <v>20812</v>
      </c>
      <c r="P203" s="34" t="n">
        <v>0</v>
      </c>
      <c r="Q203" s="31" t="n">
        <v>0</v>
      </c>
      <c r="R203" s="31" t="s">
        <v>61</v>
      </c>
      <c r="S203" s="31" t="s">
        <v>62</v>
      </c>
      <c r="T203" s="31" t="s">
        <v>20813</v>
      </c>
      <c r="U203" s="31" t="n">
        <v>8</v>
      </c>
      <c r="V203" s="31" t="s">
        <v>20814</v>
      </c>
      <c r="W203" s="31"/>
      <c r="X203" s="31" t="s">
        <v>20815</v>
      </c>
      <c r="Y203" s="31" t="s">
        <v>20816</v>
      </c>
      <c r="Z203" s="31" t="s">
        <v>20817</v>
      </c>
      <c r="AA203" s="31" t="s">
        <v>20818</v>
      </c>
      <c r="AB203" s="31" t="s">
        <v>20819</v>
      </c>
      <c r="AC203" s="31" t="s">
        <v>20820</v>
      </c>
      <c r="AD203" s="31" t="s">
        <v>20821</v>
      </c>
      <c r="AE203" s="31" t="s">
        <v>20822</v>
      </c>
      <c r="AF203" s="31" t="s">
        <v>20823</v>
      </c>
      <c r="AG203" s="31" t="s">
        <v>20823</v>
      </c>
      <c r="AH203" s="31" t="s">
        <v>20824</v>
      </c>
      <c r="AI203" s="31" t="n">
        <v>63</v>
      </c>
      <c r="AJ203" s="31" t="n">
        <v>1</v>
      </c>
      <c r="AK203" s="31" t="n">
        <v>4</v>
      </c>
      <c r="AL203" s="31" t="s">
        <v>20825</v>
      </c>
      <c r="AM203" s="31" t="s">
        <v>20826</v>
      </c>
      <c r="AN203" s="31" t="s">
        <v>20827</v>
      </c>
      <c r="AO203" s="31"/>
      <c r="AP203" s="31" t="s">
        <v>20813</v>
      </c>
      <c r="AQ203" s="31" t="s">
        <v>20828</v>
      </c>
      <c r="AR203" s="31" t="s">
        <v>20829</v>
      </c>
      <c r="AS203" s="31"/>
      <c r="AT203" s="31"/>
      <c r="AU203" s="31" t="n">
        <v>206</v>
      </c>
      <c r="AV203" s="31" t="s">
        <v>20830</v>
      </c>
      <c r="AW203" s="35" t="str">
        <f aca="false">HYPERLINK("http://dx.doi.org/10.1139/facets-2022-0206","http://dx.doi.org/10.1139/facets-2022-0206")</f>
        <v>http://dx.doi.org/10.1139/facets-2022-0206</v>
      </c>
      <c r="AX203" s="31"/>
      <c r="AY203" s="31" t="n">
        <v>12</v>
      </c>
      <c r="AZ203" s="31" t="s">
        <v>16428</v>
      </c>
      <c r="BA203" s="31" t="s">
        <v>16366</v>
      </c>
      <c r="BB203" s="31" t="s">
        <v>16429</v>
      </c>
      <c r="BC203" s="31" t="s">
        <v>20831</v>
      </c>
      <c r="BD203" s="31"/>
      <c r="BE203" s="31" t="s">
        <v>16431</v>
      </c>
      <c r="BF203" s="31" t="s">
        <v>16369</v>
      </c>
      <c r="BG203" s="31" t="s">
        <v>20832</v>
      </c>
      <c r="BH203" s="31" t="str">
        <f aca="false">HYPERLINK("https%3A%2F%2Fwww.webofscience.com%2Fwos%2Fwoscc%2Ffull-record%2FWOS:001046039200001","View Full Record in Web of Science")</f>
        <v>View Full Record in Web of Science</v>
      </c>
      <c r="BI203" s="31"/>
      <c r="BJ203" s="31"/>
      <c r="BK203" s="31"/>
      <c r="BL203" s="31"/>
      <c r="BM203" s="31"/>
      <c r="BN203" s="31"/>
      <c r="BO203" s="31"/>
      <c r="BP203" s="31"/>
      <c r="BQ203" s="31"/>
      <c r="BR203" s="31"/>
      <c r="BS203" s="31"/>
      <c r="BT203" s="31"/>
      <c r="BU203" s="31"/>
      <c r="BV203" s="31"/>
      <c r="BW203" s="31"/>
      <c r="BX203" s="31"/>
      <c r="BY203" s="31"/>
      <c r="BZ203" s="31"/>
      <c r="CA203" s="31"/>
      <c r="CB203" s="31"/>
      <c r="CC203" s="31"/>
      <c r="CD203" s="31"/>
      <c r="CE203" s="31"/>
      <c r="CF203" s="31"/>
    </row>
    <row r="204" customFormat="false" ht="15.75" hidden="false" customHeight="true" outlineLevel="0" collapsed="false">
      <c r="A204" s="31" t="s">
        <v>16335</v>
      </c>
      <c r="B204" s="31" t="s">
        <v>20833</v>
      </c>
      <c r="C204" s="31" t="s">
        <v>20834</v>
      </c>
      <c r="D204" s="32" t="s">
        <v>20835</v>
      </c>
      <c r="E204" s="31" t="n">
        <v>2023</v>
      </c>
      <c r="F204" s="33" t="s">
        <v>20836</v>
      </c>
      <c r="G204" s="33" t="s">
        <v>134</v>
      </c>
      <c r="H204" s="32" t="s">
        <v>20837</v>
      </c>
      <c r="I204" s="32" t="s">
        <v>5021</v>
      </c>
      <c r="J204" s="32" t="s">
        <v>20838</v>
      </c>
      <c r="K204" s="32" t="s">
        <v>20839</v>
      </c>
      <c r="L204" s="32" t="s">
        <v>3754</v>
      </c>
      <c r="M204" s="32" t="s">
        <v>20840</v>
      </c>
      <c r="N204" s="32" t="s">
        <v>20841</v>
      </c>
      <c r="O204" s="32" t="s">
        <v>20842</v>
      </c>
      <c r="P204" s="34" t="n">
        <v>13</v>
      </c>
      <c r="Q204" s="31" t="n">
        <v>13</v>
      </c>
      <c r="R204" s="31" t="s">
        <v>61</v>
      </c>
      <c r="S204" s="31" t="s">
        <v>62</v>
      </c>
      <c r="T204" s="31" t="s">
        <v>20765</v>
      </c>
      <c r="U204" s="31" t="n">
        <v>82</v>
      </c>
      <c r="V204" s="31" t="s">
        <v>16600</v>
      </c>
      <c r="W204" s="31" t="n">
        <v>4</v>
      </c>
      <c r="X204" s="31" t="s">
        <v>20843</v>
      </c>
      <c r="Y204" s="31"/>
      <c r="Z204" s="31" t="s">
        <v>20844</v>
      </c>
      <c r="AA204" s="31" t="s">
        <v>20845</v>
      </c>
      <c r="AB204" s="31" t="s">
        <v>20846</v>
      </c>
      <c r="AC204" s="31" t="s">
        <v>20847</v>
      </c>
      <c r="AD204" s="31" t="s">
        <v>20848</v>
      </c>
      <c r="AE204" s="31" t="s">
        <v>20849</v>
      </c>
      <c r="AF204" s="31" t="s">
        <v>20850</v>
      </c>
      <c r="AG204" s="31" t="s">
        <v>20851</v>
      </c>
      <c r="AH204" s="31" t="s">
        <v>20852</v>
      </c>
      <c r="AI204" s="31" t="n">
        <v>35</v>
      </c>
      <c r="AJ204" s="31" t="n">
        <v>0</v>
      </c>
      <c r="AK204" s="31" t="n">
        <v>12</v>
      </c>
      <c r="AL204" s="31" t="s">
        <v>16609</v>
      </c>
      <c r="AM204" s="31" t="s">
        <v>16610</v>
      </c>
      <c r="AN204" s="31" t="s">
        <v>20774</v>
      </c>
      <c r="AO204" s="31" t="s">
        <v>20775</v>
      </c>
      <c r="AP204" s="31" t="s">
        <v>20776</v>
      </c>
      <c r="AQ204" s="31" t="s">
        <v>20777</v>
      </c>
      <c r="AR204" s="31" t="s">
        <v>16970</v>
      </c>
      <c r="AS204" s="31" t="n">
        <v>5189</v>
      </c>
      <c r="AT204" s="31" t="n">
        <v>5205</v>
      </c>
      <c r="AU204" s="31"/>
      <c r="AV204" s="31" t="s">
        <v>20853</v>
      </c>
      <c r="AW204" s="35" t="str">
        <f aca="false">HYPERLINK("http://dx.doi.org/10.1007/s11042-022-13367-0","http://dx.doi.org/10.1007/s11042-022-13367-0")</f>
        <v>http://dx.doi.org/10.1007/s11042-022-13367-0</v>
      </c>
      <c r="AX204" s="31" t="s">
        <v>20854</v>
      </c>
      <c r="AY204" s="31" t="n">
        <v>17</v>
      </c>
      <c r="AZ204" s="31" t="s">
        <v>20780</v>
      </c>
      <c r="BA204" s="31" t="s">
        <v>16366</v>
      </c>
      <c r="BB204" s="31" t="s">
        <v>16973</v>
      </c>
      <c r="BC204" s="31" t="s">
        <v>20855</v>
      </c>
      <c r="BD204" s="31"/>
      <c r="BE204" s="31"/>
      <c r="BF204" s="31" t="s">
        <v>16369</v>
      </c>
      <c r="BG204" s="31" t="s">
        <v>20856</v>
      </c>
      <c r="BH204" s="31" t="str">
        <f aca="false">HYPERLINK("https%3A%2F%2Fwww.webofscience.com%2Fwos%2Fwoscc%2Ffull-record%2FWOS:000814042800003","View Full Record in Web of Science")</f>
        <v>View Full Record in Web of Science</v>
      </c>
      <c r="BI204" s="31"/>
      <c r="BJ204" s="31"/>
      <c r="BK204" s="31"/>
      <c r="BL204" s="31"/>
      <c r="BM204" s="31"/>
      <c r="BN204" s="31"/>
      <c r="BO204" s="31"/>
      <c r="BP204" s="31"/>
      <c r="BQ204" s="31"/>
      <c r="BR204" s="31"/>
      <c r="BS204" s="31"/>
      <c r="BT204" s="31"/>
      <c r="BU204" s="31"/>
      <c r="BV204" s="31"/>
      <c r="BW204" s="31"/>
      <c r="BX204" s="31"/>
      <c r="BY204" s="31"/>
      <c r="BZ204" s="31"/>
      <c r="CA204" s="31"/>
      <c r="CB204" s="31"/>
      <c r="CC204" s="31"/>
      <c r="CD204" s="31"/>
      <c r="CE204" s="31"/>
      <c r="CF204" s="31"/>
    </row>
    <row r="205" customFormat="false" ht="15.75" hidden="false" customHeight="true" outlineLevel="0" collapsed="false">
      <c r="A205" s="31" t="s">
        <v>16335</v>
      </c>
      <c r="B205" s="31" t="s">
        <v>20857</v>
      </c>
      <c r="C205" s="31" t="s">
        <v>20858</v>
      </c>
      <c r="D205" s="34" t="s">
        <v>20859</v>
      </c>
      <c r="E205" s="31" t="n">
        <v>2023</v>
      </c>
      <c r="F205" s="33" t="s">
        <v>20860</v>
      </c>
      <c r="G205" s="33" t="s">
        <v>134</v>
      </c>
      <c r="H205" s="32" t="s">
        <v>5021</v>
      </c>
      <c r="I205" s="32" t="s">
        <v>5021</v>
      </c>
      <c r="J205" s="32" t="s">
        <v>16752</v>
      </c>
      <c r="K205" s="32" t="s">
        <v>16409</v>
      </c>
      <c r="L205" s="32" t="s">
        <v>3754</v>
      </c>
      <c r="M205" s="32" t="s">
        <v>20861</v>
      </c>
      <c r="N205" s="32" t="s">
        <v>20862</v>
      </c>
      <c r="O205" s="32" t="s">
        <v>20863</v>
      </c>
      <c r="P205" s="34" t="n">
        <v>1</v>
      </c>
      <c r="Q205" s="31" t="n">
        <v>1</v>
      </c>
      <c r="R205" s="31" t="s">
        <v>61</v>
      </c>
      <c r="S205" s="31" t="s">
        <v>62</v>
      </c>
      <c r="T205" s="31" t="s">
        <v>20864</v>
      </c>
      <c r="U205" s="31" t="n">
        <v>35</v>
      </c>
      <c r="V205" s="31" t="s">
        <v>17332</v>
      </c>
      <c r="W205" s="31" t="n">
        <v>4</v>
      </c>
      <c r="X205" s="31" t="s">
        <v>20865</v>
      </c>
      <c r="Y205" s="31" t="s">
        <v>20866</v>
      </c>
      <c r="Z205" s="31" t="s">
        <v>20867</v>
      </c>
      <c r="AA205" s="31"/>
      <c r="AB205" s="31" t="s">
        <v>20868</v>
      </c>
      <c r="AC205" s="31" t="s">
        <v>20869</v>
      </c>
      <c r="AD205" s="31" t="s">
        <v>20870</v>
      </c>
      <c r="AE205" s="31" t="s">
        <v>20871</v>
      </c>
      <c r="AF205" s="31" t="s">
        <v>20872</v>
      </c>
      <c r="AG205" s="31" t="s">
        <v>20873</v>
      </c>
      <c r="AH205" s="31" t="s">
        <v>20874</v>
      </c>
      <c r="AI205" s="31" t="n">
        <v>36</v>
      </c>
      <c r="AJ205" s="31" t="n">
        <v>0</v>
      </c>
      <c r="AK205" s="31" t="n">
        <v>1</v>
      </c>
      <c r="AL205" s="31" t="s">
        <v>17340</v>
      </c>
      <c r="AM205" s="31" t="s">
        <v>17341</v>
      </c>
      <c r="AN205" s="31" t="s">
        <v>20875</v>
      </c>
      <c r="AO205" s="31" t="s">
        <v>20876</v>
      </c>
      <c r="AP205" s="31" t="s">
        <v>20877</v>
      </c>
      <c r="AQ205" s="31" t="s">
        <v>20878</v>
      </c>
      <c r="AR205" s="31" t="s">
        <v>17837</v>
      </c>
      <c r="AS205" s="31"/>
      <c r="AT205" s="31"/>
      <c r="AU205" s="31"/>
      <c r="AV205" s="31" t="s">
        <v>20879</v>
      </c>
      <c r="AW205" s="35" t="str">
        <f aca="false">HYPERLINK("http://dx.doi.org/10.4015/S1016237223500047","http://dx.doi.org/10.4015/S1016237223500047")</f>
        <v>http://dx.doi.org/10.4015/S1016237223500047</v>
      </c>
      <c r="AX205" s="31" t="s">
        <v>20880</v>
      </c>
      <c r="AY205" s="31" t="n">
        <v>12</v>
      </c>
      <c r="AZ205" s="31" t="s">
        <v>18428</v>
      </c>
      <c r="BA205" s="31" t="s">
        <v>16684</v>
      </c>
      <c r="BB205" s="31" t="s">
        <v>18429</v>
      </c>
      <c r="BC205" s="31" t="s">
        <v>20881</v>
      </c>
      <c r="BD205" s="31"/>
      <c r="BE205" s="31" t="s">
        <v>16494</v>
      </c>
      <c r="BF205" s="31" t="s">
        <v>16369</v>
      </c>
      <c r="BG205" s="31" t="s">
        <v>20882</v>
      </c>
      <c r="BH205" s="31" t="str">
        <f aca="false">HYPERLINK("https%3A%2F%2Fwww.webofscience.com%2Fwos%2Fwoscc%2Ffull-record%2FWOS:000980032900001","View Full Record in Web of Science")</f>
        <v>View Full Record in Web of Science</v>
      </c>
      <c r="BI205" s="31"/>
      <c r="BJ205" s="31"/>
      <c r="BK205" s="31"/>
      <c r="BL205" s="31"/>
      <c r="BM205" s="31"/>
      <c r="BN205" s="31"/>
      <c r="BO205" s="31"/>
      <c r="BP205" s="31"/>
      <c r="BQ205" s="31"/>
      <c r="BR205" s="31"/>
      <c r="BS205" s="31"/>
      <c r="BT205" s="31"/>
      <c r="BU205" s="31"/>
      <c r="BV205" s="31"/>
      <c r="BW205" s="31"/>
      <c r="BX205" s="31"/>
      <c r="BY205" s="31"/>
      <c r="BZ205" s="31"/>
      <c r="CA205" s="31"/>
      <c r="CB205" s="31"/>
      <c r="CC205" s="31"/>
      <c r="CD205" s="31"/>
      <c r="CE205" s="31"/>
      <c r="CF205" s="31"/>
    </row>
    <row r="206" customFormat="false" ht="15.75" hidden="false" customHeight="true" outlineLevel="0" collapsed="false">
      <c r="A206" s="31" t="s">
        <v>16335</v>
      </c>
      <c r="B206" s="31" t="s">
        <v>20883</v>
      </c>
      <c r="C206" s="31" t="s">
        <v>20884</v>
      </c>
      <c r="D206" s="32" t="s">
        <v>20885</v>
      </c>
      <c r="E206" s="31" t="n">
        <v>2023</v>
      </c>
      <c r="F206" s="33" t="s">
        <v>20886</v>
      </c>
      <c r="G206" s="33" t="s">
        <v>134</v>
      </c>
      <c r="H206" s="32" t="s">
        <v>3920</v>
      </c>
      <c r="I206" s="32"/>
      <c r="J206" s="32" t="s">
        <v>20887</v>
      </c>
      <c r="K206" s="32"/>
      <c r="L206" s="34"/>
      <c r="M206" s="34"/>
      <c r="N206" s="34"/>
      <c r="O206" s="34"/>
      <c r="P206" s="34" t="n">
        <v>1</v>
      </c>
      <c r="Q206" s="31" t="n">
        <v>1</v>
      </c>
      <c r="R206" s="31" t="s">
        <v>61</v>
      </c>
      <c r="S206" s="31" t="s">
        <v>62</v>
      </c>
      <c r="T206" s="31" t="s">
        <v>20888</v>
      </c>
      <c r="U206" s="31" t="n">
        <v>30</v>
      </c>
      <c r="V206" s="31" t="s">
        <v>20889</v>
      </c>
      <c r="W206" s="31" t="n">
        <v>1</v>
      </c>
      <c r="X206" s="31" t="s">
        <v>20890</v>
      </c>
      <c r="Y206" s="31" t="s">
        <v>20891</v>
      </c>
      <c r="Z206" s="31" t="s">
        <v>20892</v>
      </c>
      <c r="AA206" s="31" t="s">
        <v>20893</v>
      </c>
      <c r="AB206" s="31" t="s">
        <v>20894</v>
      </c>
      <c r="AC206" s="31" t="s">
        <v>20895</v>
      </c>
      <c r="AD206" s="31"/>
      <c r="AE206" s="31"/>
      <c r="AF206" s="31"/>
      <c r="AG206" s="31"/>
      <c r="AH206" s="31"/>
      <c r="AI206" s="31" t="n">
        <v>50</v>
      </c>
      <c r="AJ206" s="31" t="n">
        <v>0</v>
      </c>
      <c r="AK206" s="31" t="n">
        <v>4</v>
      </c>
      <c r="AL206" s="31" t="s">
        <v>20896</v>
      </c>
      <c r="AM206" s="31" t="s">
        <v>20897</v>
      </c>
      <c r="AN206" s="31" t="s">
        <v>20898</v>
      </c>
      <c r="AO206" s="31"/>
      <c r="AP206" s="31" t="s">
        <v>20899</v>
      </c>
      <c r="AQ206" s="31" t="s">
        <v>20900</v>
      </c>
      <c r="AR206" s="31"/>
      <c r="AS206" s="31"/>
      <c r="AT206" s="31"/>
      <c r="AU206" s="31" t="n">
        <v>30096</v>
      </c>
      <c r="AV206" s="31"/>
      <c r="AW206" s="31"/>
      <c r="AX206" s="31"/>
      <c r="AY206" s="31" t="n">
        <v>15</v>
      </c>
      <c r="AZ206" s="31" t="s">
        <v>16428</v>
      </c>
      <c r="BA206" s="31" t="s">
        <v>16684</v>
      </c>
      <c r="BB206" s="31" t="s">
        <v>16429</v>
      </c>
      <c r="BC206" s="31" t="s">
        <v>20901</v>
      </c>
      <c r="BD206" s="31"/>
      <c r="BE206" s="31"/>
      <c r="BF206" s="31" t="s">
        <v>16369</v>
      </c>
      <c r="BG206" s="31" t="s">
        <v>20902</v>
      </c>
      <c r="BH206" s="31" t="str">
        <f aca="false">HYPERLINK("https%3A%2F%2Fwww.webofscience.com%2Fwos%2Fwoscc%2Ffull-record%2FWOS:000957639000017","View Full Record in Web of Science")</f>
        <v>View Full Record in Web of Science</v>
      </c>
      <c r="BI206" s="31"/>
      <c r="BJ206" s="31"/>
      <c r="BK206" s="31"/>
      <c r="BL206" s="31"/>
      <c r="BM206" s="31"/>
      <c r="BN206" s="31"/>
      <c r="BO206" s="31"/>
      <c r="BP206" s="31"/>
      <c r="BQ206" s="31"/>
      <c r="BR206" s="31"/>
      <c r="BS206" s="31"/>
      <c r="BT206" s="31"/>
      <c r="BU206" s="31"/>
      <c r="BV206" s="31"/>
      <c r="BW206" s="31"/>
      <c r="BX206" s="31"/>
      <c r="BY206" s="31"/>
      <c r="BZ206" s="31"/>
      <c r="CA206" s="31"/>
      <c r="CB206" s="31"/>
      <c r="CC206" s="31"/>
      <c r="CD206" s="31"/>
      <c r="CE206" s="31"/>
      <c r="CF206" s="31"/>
    </row>
    <row r="207" customFormat="false" ht="15.75" hidden="false" customHeight="true" outlineLevel="0" collapsed="false">
      <c r="A207" s="31" t="s">
        <v>16335</v>
      </c>
      <c r="B207" s="31" t="s">
        <v>20903</v>
      </c>
      <c r="C207" s="31" t="s">
        <v>20904</v>
      </c>
      <c r="D207" s="34" t="s">
        <v>20905</v>
      </c>
      <c r="E207" s="31" t="n">
        <v>2023</v>
      </c>
      <c r="F207" s="33" t="s">
        <v>20906</v>
      </c>
      <c r="G207" s="33" t="s">
        <v>134</v>
      </c>
      <c r="H207" s="32" t="s">
        <v>17036</v>
      </c>
      <c r="I207" s="32" t="s">
        <v>20907</v>
      </c>
      <c r="J207" s="32" t="s">
        <v>20908</v>
      </c>
      <c r="K207" s="32" t="s">
        <v>16409</v>
      </c>
      <c r="L207" s="32" t="s">
        <v>3754</v>
      </c>
      <c r="M207" s="32" t="s">
        <v>20909</v>
      </c>
      <c r="N207" s="32" t="s">
        <v>20910</v>
      </c>
      <c r="O207" s="32" t="s">
        <v>20911</v>
      </c>
      <c r="P207" s="34" t="n">
        <v>10</v>
      </c>
      <c r="Q207" s="31" t="n">
        <v>10</v>
      </c>
      <c r="R207" s="31" t="s">
        <v>61</v>
      </c>
      <c r="S207" s="31" t="s">
        <v>62</v>
      </c>
      <c r="T207" s="31" t="s">
        <v>20912</v>
      </c>
      <c r="U207" s="31" t="n">
        <v>4</v>
      </c>
      <c r="V207" s="31" t="s">
        <v>19038</v>
      </c>
      <c r="W207" s="31" t="n">
        <v>9</v>
      </c>
      <c r="X207" s="31"/>
      <c r="Y207" s="31" t="s">
        <v>20913</v>
      </c>
      <c r="Z207" s="31" t="s">
        <v>20914</v>
      </c>
      <c r="AA207" s="31" t="s">
        <v>20915</v>
      </c>
      <c r="AB207" s="31" t="s">
        <v>20916</v>
      </c>
      <c r="AC207" s="31" t="s">
        <v>20917</v>
      </c>
      <c r="AD207" s="31" t="s">
        <v>20918</v>
      </c>
      <c r="AE207" s="31" t="s">
        <v>20919</v>
      </c>
      <c r="AF207" s="31"/>
      <c r="AG207" s="31"/>
      <c r="AH207" s="31"/>
      <c r="AI207" s="31" t="n">
        <v>64</v>
      </c>
      <c r="AJ207" s="31" t="n">
        <v>4</v>
      </c>
      <c r="AK207" s="31" t="n">
        <v>9</v>
      </c>
      <c r="AL207" s="31" t="s">
        <v>17507</v>
      </c>
      <c r="AM207" s="31" t="s">
        <v>19050</v>
      </c>
      <c r="AN207" s="31" t="s">
        <v>20920</v>
      </c>
      <c r="AO207" s="31"/>
      <c r="AP207" s="31" t="s">
        <v>20912</v>
      </c>
      <c r="AQ207" s="31" t="s">
        <v>20921</v>
      </c>
      <c r="AR207" s="31" t="s">
        <v>20922</v>
      </c>
      <c r="AS207" s="31"/>
      <c r="AT207" s="31"/>
      <c r="AU207" s="31" t="n">
        <v>100806</v>
      </c>
      <c r="AV207" s="31" t="s">
        <v>20923</v>
      </c>
      <c r="AW207" s="35" t="str">
        <f aca="false">HYPERLINK("http://dx.doi.org/10.1016/j.patter.2023.100806","http://dx.doi.org/10.1016/j.patter.2023.100806")</f>
        <v>http://dx.doi.org/10.1016/j.patter.2023.100806</v>
      </c>
      <c r="AX207" s="31" t="s">
        <v>18935</v>
      </c>
      <c r="AY207" s="31" t="n">
        <v>10</v>
      </c>
      <c r="AZ207" s="31" t="s">
        <v>20924</v>
      </c>
      <c r="BA207" s="31" t="s">
        <v>16684</v>
      </c>
      <c r="BB207" s="31" t="s">
        <v>16367</v>
      </c>
      <c r="BC207" s="31" t="s">
        <v>20925</v>
      </c>
      <c r="BD207" s="31" t="n">
        <v>37720337</v>
      </c>
      <c r="BE207" s="31" t="s">
        <v>16832</v>
      </c>
      <c r="BF207" s="31" t="s">
        <v>16369</v>
      </c>
      <c r="BG207" s="31" t="s">
        <v>20926</v>
      </c>
      <c r="BH207" s="31" t="str">
        <f aca="false">HYPERLINK("https%3A%2F%2Fwww.webofscience.com%2Fwos%2Fwoscc%2Ffull-record%2FWOS:001075150800001","View Full Record in Web of Science")</f>
        <v>View Full Record in Web of Science</v>
      </c>
      <c r="BI207" s="31"/>
      <c r="BJ207" s="31"/>
      <c r="BK207" s="31"/>
      <c r="BL207" s="31"/>
      <c r="BM207" s="31"/>
      <c r="BN207" s="31"/>
      <c r="BO207" s="31"/>
      <c r="BP207" s="31"/>
      <c r="BQ207" s="31"/>
      <c r="BR207" s="31"/>
      <c r="BS207" s="31"/>
      <c r="BT207" s="31"/>
      <c r="BU207" s="31"/>
      <c r="BV207" s="31"/>
      <c r="BW207" s="31"/>
      <c r="BX207" s="31"/>
      <c r="BY207" s="31"/>
      <c r="BZ207" s="31"/>
      <c r="CA207" s="31"/>
      <c r="CB207" s="31"/>
      <c r="CC207" s="31"/>
      <c r="CD207" s="31"/>
      <c r="CE207" s="31"/>
      <c r="CF207" s="31"/>
    </row>
    <row r="208" customFormat="false" ht="15.75" hidden="false" customHeight="true" outlineLevel="0" collapsed="false">
      <c r="A208" s="31" t="s">
        <v>16335</v>
      </c>
      <c r="B208" s="31" t="s">
        <v>20927</v>
      </c>
      <c r="C208" s="31" t="s">
        <v>20928</v>
      </c>
      <c r="D208" s="34" t="s">
        <v>20929</v>
      </c>
      <c r="E208" s="31" t="n">
        <v>2023</v>
      </c>
      <c r="F208" s="33" t="s">
        <v>20930</v>
      </c>
      <c r="G208" s="33" t="s">
        <v>134</v>
      </c>
      <c r="H208" s="32" t="s">
        <v>5004</v>
      </c>
      <c r="I208" s="32" t="s">
        <v>5004</v>
      </c>
      <c r="J208" s="32" t="s">
        <v>20887</v>
      </c>
      <c r="K208" s="32" t="s">
        <v>16409</v>
      </c>
      <c r="L208" s="32" t="s">
        <v>3754</v>
      </c>
      <c r="M208" s="32" t="s">
        <v>20931</v>
      </c>
      <c r="N208" s="32" t="s">
        <v>20932</v>
      </c>
      <c r="O208" s="32" t="s">
        <v>20933</v>
      </c>
      <c r="P208" s="34" t="n">
        <v>5</v>
      </c>
      <c r="Q208" s="31" t="n">
        <v>5</v>
      </c>
      <c r="R208" s="31" t="s">
        <v>61</v>
      </c>
      <c r="S208" s="31" t="s">
        <v>62</v>
      </c>
      <c r="T208" s="31" t="s">
        <v>20934</v>
      </c>
      <c r="U208" s="31" t="n">
        <v>40</v>
      </c>
      <c r="V208" s="31" t="s">
        <v>20935</v>
      </c>
      <c r="W208" s="31" t="n">
        <v>2</v>
      </c>
      <c r="X208" s="31" t="s">
        <v>20936</v>
      </c>
      <c r="Y208" s="31"/>
      <c r="Z208" s="31" t="s">
        <v>20937</v>
      </c>
      <c r="AA208" s="31" t="s">
        <v>20938</v>
      </c>
      <c r="AB208" s="31" t="s">
        <v>20939</v>
      </c>
      <c r="AC208" s="31" t="s">
        <v>18687</v>
      </c>
      <c r="AD208" s="31" t="s">
        <v>20940</v>
      </c>
      <c r="AE208" s="31" t="s">
        <v>18798</v>
      </c>
      <c r="AF208" s="31"/>
      <c r="AG208" s="31"/>
      <c r="AH208" s="31"/>
      <c r="AI208" s="31" t="n">
        <v>31</v>
      </c>
      <c r="AJ208" s="31" t="n">
        <v>0</v>
      </c>
      <c r="AK208" s="31" t="n">
        <v>3</v>
      </c>
      <c r="AL208" s="31" t="s">
        <v>20941</v>
      </c>
      <c r="AM208" s="31" t="s">
        <v>20942</v>
      </c>
      <c r="AN208" s="31" t="s">
        <v>20943</v>
      </c>
      <c r="AO208" s="31"/>
      <c r="AP208" s="31" t="s">
        <v>20944</v>
      </c>
      <c r="AQ208" s="31" t="s">
        <v>20945</v>
      </c>
      <c r="AR208" s="31" t="s">
        <v>16683</v>
      </c>
      <c r="AS208" s="31" t="n">
        <v>208</v>
      </c>
      <c r="AT208" s="31" t="n">
        <v>219</v>
      </c>
      <c r="AU208" s="31"/>
      <c r="AV208" s="31" t="s">
        <v>20946</v>
      </c>
      <c r="AW208" s="35" t="str">
        <f aca="false">HYPERLINK("http://dx.doi.org/10.47665/tb.40.2.013","http://dx.doi.org/10.47665/tb.40.2.013")</f>
        <v>http://dx.doi.org/10.47665/tb.40.2.013</v>
      </c>
      <c r="AX208" s="31"/>
      <c r="AY208" s="31" t="n">
        <v>12</v>
      </c>
      <c r="AZ208" s="31" t="s">
        <v>16891</v>
      </c>
      <c r="BA208" s="31" t="s">
        <v>16366</v>
      </c>
      <c r="BB208" s="31" t="s">
        <v>16891</v>
      </c>
      <c r="BC208" s="31" t="s">
        <v>20947</v>
      </c>
      <c r="BD208" s="31" t="n">
        <v>37650409</v>
      </c>
      <c r="BE208" s="31" t="s">
        <v>17463</v>
      </c>
      <c r="BF208" s="31" t="s">
        <v>16369</v>
      </c>
      <c r="BG208" s="31" t="s">
        <v>20948</v>
      </c>
      <c r="BH208" s="31" t="str">
        <f aca="false">HYPERLINK("https%3A%2F%2Fwww.webofscience.com%2Fwos%2Fwoscc%2Ffull-record%2FWOS:001050653700001","View Full Record in Web of Science")</f>
        <v>View Full Record in Web of Science</v>
      </c>
      <c r="BI208" s="31"/>
      <c r="BJ208" s="31"/>
      <c r="BK208" s="31"/>
      <c r="BL208" s="31"/>
      <c r="BM208" s="31"/>
      <c r="BN208" s="31"/>
      <c r="BO208" s="31"/>
      <c r="BP208" s="31"/>
      <c r="BQ208" s="31"/>
      <c r="BR208" s="31"/>
      <c r="BS208" s="31"/>
      <c r="BT208" s="31"/>
      <c r="BU208" s="31"/>
      <c r="BV208" s="31"/>
      <c r="BW208" s="31"/>
      <c r="BX208" s="31"/>
      <c r="BY208" s="31"/>
      <c r="BZ208" s="31"/>
      <c r="CA208" s="31"/>
      <c r="CB208" s="31"/>
      <c r="CC208" s="31"/>
      <c r="CD208" s="31"/>
      <c r="CE208" s="31"/>
      <c r="CF208" s="31"/>
    </row>
    <row r="209" customFormat="false" ht="15.75" hidden="false" customHeight="true" outlineLevel="0" collapsed="false">
      <c r="A209" s="31" t="s">
        <v>16335</v>
      </c>
      <c r="B209" s="31" t="s">
        <v>20949</v>
      </c>
      <c r="C209" s="31" t="s">
        <v>20950</v>
      </c>
      <c r="D209" s="34" t="s">
        <v>20951</v>
      </c>
      <c r="E209" s="31" t="n">
        <v>2023</v>
      </c>
      <c r="F209" s="33" t="s">
        <v>20952</v>
      </c>
      <c r="G209" s="33" t="s">
        <v>134</v>
      </c>
      <c r="H209" s="32" t="s">
        <v>20953</v>
      </c>
      <c r="I209" s="32"/>
      <c r="J209" s="32" t="s">
        <v>20908</v>
      </c>
      <c r="K209" s="32" t="s">
        <v>16409</v>
      </c>
      <c r="L209" s="32" t="s">
        <v>3754</v>
      </c>
      <c r="M209" s="32" t="s">
        <v>20954</v>
      </c>
      <c r="N209" s="32" t="s">
        <v>20955</v>
      </c>
      <c r="O209" s="32" t="s">
        <v>20956</v>
      </c>
      <c r="P209" s="34" t="n">
        <v>2</v>
      </c>
      <c r="Q209" s="31" t="n">
        <v>2</v>
      </c>
      <c r="R209" s="31" t="s">
        <v>61</v>
      </c>
      <c r="S209" s="31" t="s">
        <v>62</v>
      </c>
      <c r="T209" s="31" t="s">
        <v>20957</v>
      </c>
      <c r="U209" s="31" t="n">
        <v>10</v>
      </c>
      <c r="V209" s="31" t="s">
        <v>16349</v>
      </c>
      <c r="W209" s="31"/>
      <c r="X209" s="31" t="s">
        <v>20958</v>
      </c>
      <c r="Y209" s="31"/>
      <c r="Z209" s="31" t="s">
        <v>20959</v>
      </c>
      <c r="AA209" s="31" t="s">
        <v>20960</v>
      </c>
      <c r="AB209" s="31" t="s">
        <v>20961</v>
      </c>
      <c r="AC209" s="31" t="s">
        <v>20962</v>
      </c>
      <c r="AD209" s="31"/>
      <c r="AE209" s="31"/>
      <c r="AF209" s="31" t="s">
        <v>20963</v>
      </c>
      <c r="AG209" s="31" t="s">
        <v>20964</v>
      </c>
      <c r="AH209" s="31" t="s">
        <v>20965</v>
      </c>
      <c r="AI209" s="31" t="n">
        <v>15</v>
      </c>
      <c r="AJ209" s="31" t="n">
        <v>0</v>
      </c>
      <c r="AK209" s="31" t="n">
        <v>1</v>
      </c>
      <c r="AL209" s="31" t="s">
        <v>16356</v>
      </c>
      <c r="AM209" s="31" t="s">
        <v>16357</v>
      </c>
      <c r="AN209" s="31"/>
      <c r="AO209" s="31" t="s">
        <v>20966</v>
      </c>
      <c r="AP209" s="31" t="s">
        <v>20957</v>
      </c>
      <c r="AQ209" s="31" t="s">
        <v>201</v>
      </c>
      <c r="AR209" s="31"/>
      <c r="AS209" s="31"/>
      <c r="AT209" s="31"/>
      <c r="AU209" s="31" t="n">
        <v>102189</v>
      </c>
      <c r="AV209" s="31" t="s">
        <v>20967</v>
      </c>
      <c r="AW209" s="35" t="str">
        <f aca="false">HYPERLINK("http://dx.doi.org/10.1016/j.mex.2023.102189","http://dx.doi.org/10.1016/j.mex.2023.102189")</f>
        <v>http://dx.doi.org/10.1016/j.mex.2023.102189</v>
      </c>
      <c r="AX209" s="31"/>
      <c r="AY209" s="31" t="n">
        <v>11</v>
      </c>
      <c r="AZ209" s="31" t="s">
        <v>16428</v>
      </c>
      <c r="BA209" s="31" t="s">
        <v>16684</v>
      </c>
      <c r="BB209" s="31" t="s">
        <v>16429</v>
      </c>
      <c r="BC209" s="31" t="s">
        <v>20968</v>
      </c>
      <c r="BD209" s="31" t="n">
        <v>37168772</v>
      </c>
      <c r="BE209" s="31" t="s">
        <v>17143</v>
      </c>
      <c r="BF209" s="31" t="s">
        <v>16369</v>
      </c>
      <c r="BG209" s="31" t="s">
        <v>20969</v>
      </c>
      <c r="BH209" s="31" t="str">
        <f aca="false">HYPERLINK("https%3A%2F%2Fwww.webofscience.com%2Fwos%2Fwoscc%2Ffull-record%2FWOS:001144334400001","View Full Record in Web of Science")</f>
        <v>View Full Record in Web of Science</v>
      </c>
      <c r="BI209" s="31"/>
      <c r="BJ209" s="31"/>
      <c r="BK209" s="31"/>
      <c r="BL209" s="31"/>
      <c r="BM209" s="31"/>
      <c r="BN209" s="31"/>
      <c r="BO209" s="31"/>
      <c r="BP209" s="31"/>
      <c r="BQ209" s="31"/>
      <c r="BR209" s="31"/>
      <c r="BS209" s="31"/>
      <c r="BT209" s="31"/>
      <c r="BU209" s="31"/>
      <c r="BV209" s="31"/>
      <c r="BW209" s="31"/>
      <c r="BX209" s="31"/>
      <c r="BY209" s="31"/>
      <c r="BZ209" s="31"/>
      <c r="CA209" s="31"/>
      <c r="CB209" s="31"/>
      <c r="CC209" s="31"/>
      <c r="CD209" s="31"/>
      <c r="CE209" s="31"/>
      <c r="CF209" s="31"/>
    </row>
    <row r="210" customFormat="false" ht="15.75" hidden="false" customHeight="true" outlineLevel="0" collapsed="false">
      <c r="A210" s="31" t="s">
        <v>16335</v>
      </c>
      <c r="B210" s="31" t="s">
        <v>20970</v>
      </c>
      <c r="C210" s="31" t="s">
        <v>20971</v>
      </c>
      <c r="D210" s="34" t="s">
        <v>20972</v>
      </c>
      <c r="E210" s="31" t="n">
        <v>2023</v>
      </c>
      <c r="F210" s="33" t="s">
        <v>20973</v>
      </c>
      <c r="G210" s="33" t="s">
        <v>349</v>
      </c>
      <c r="H210" s="32" t="s">
        <v>20974</v>
      </c>
      <c r="I210" s="32" t="s">
        <v>20975</v>
      </c>
      <c r="J210" s="32" t="s">
        <v>20976</v>
      </c>
      <c r="K210" s="32" t="s">
        <v>16840</v>
      </c>
      <c r="L210" s="32" t="s">
        <v>3754</v>
      </c>
      <c r="M210" s="32" t="s">
        <v>20977</v>
      </c>
      <c r="N210" s="32" t="s">
        <v>20978</v>
      </c>
      <c r="O210" s="32" t="s">
        <v>20979</v>
      </c>
      <c r="P210" s="34" t="n">
        <v>12</v>
      </c>
      <c r="Q210" s="31" t="n">
        <v>12</v>
      </c>
      <c r="R210" s="31" t="s">
        <v>61</v>
      </c>
      <c r="S210" s="31" t="s">
        <v>62</v>
      </c>
      <c r="T210" s="31" t="s">
        <v>20980</v>
      </c>
      <c r="U210" s="31" t="n">
        <v>167</v>
      </c>
      <c r="V210" s="31" t="s">
        <v>18274</v>
      </c>
      <c r="W210" s="31"/>
      <c r="X210" s="31" t="s">
        <v>20981</v>
      </c>
      <c r="Y210" s="31" t="s">
        <v>20982</v>
      </c>
      <c r="Z210" s="31" t="s">
        <v>20983</v>
      </c>
      <c r="AA210" s="31" t="s">
        <v>20984</v>
      </c>
      <c r="AB210" s="31" t="s">
        <v>20985</v>
      </c>
      <c r="AC210" s="31" t="s">
        <v>20986</v>
      </c>
      <c r="AD210" s="31" t="s">
        <v>20987</v>
      </c>
      <c r="AE210" s="31" t="s">
        <v>20988</v>
      </c>
      <c r="AF210" s="31"/>
      <c r="AG210" s="31"/>
      <c r="AH210" s="31"/>
      <c r="AI210" s="31" t="n">
        <v>84</v>
      </c>
      <c r="AJ210" s="31" t="n">
        <v>3</v>
      </c>
      <c r="AK210" s="31" t="n">
        <v>12</v>
      </c>
      <c r="AL210" s="31" t="s">
        <v>16575</v>
      </c>
      <c r="AM210" s="31" t="s">
        <v>18284</v>
      </c>
      <c r="AN210" s="31" t="s">
        <v>20989</v>
      </c>
      <c r="AO210" s="31" t="s">
        <v>20990</v>
      </c>
      <c r="AP210" s="31" t="s">
        <v>20991</v>
      </c>
      <c r="AQ210" s="31" t="s">
        <v>20992</v>
      </c>
      <c r="AR210" s="31" t="s">
        <v>16970</v>
      </c>
      <c r="AS210" s="31"/>
      <c r="AT210" s="31"/>
      <c r="AU210" s="31" t="n">
        <v>113124</v>
      </c>
      <c r="AV210" s="31" t="s">
        <v>20993</v>
      </c>
      <c r="AW210" s="35" t="str">
        <f aca="false">HYPERLINK("http://dx.doi.org/10.1016/j.chaos.2023.113124","http://dx.doi.org/10.1016/j.chaos.2023.113124")</f>
        <v>http://dx.doi.org/10.1016/j.chaos.2023.113124</v>
      </c>
      <c r="AX210" s="31" t="s">
        <v>20994</v>
      </c>
      <c r="AY210" s="31" t="n">
        <v>14</v>
      </c>
      <c r="AZ210" s="31" t="s">
        <v>20995</v>
      </c>
      <c r="BA210" s="31" t="s">
        <v>16366</v>
      </c>
      <c r="BB210" s="31" t="s">
        <v>20996</v>
      </c>
      <c r="BC210" s="31" t="s">
        <v>20997</v>
      </c>
      <c r="BD210" s="31"/>
      <c r="BE210" s="31" t="s">
        <v>17409</v>
      </c>
      <c r="BF210" s="31" t="s">
        <v>16369</v>
      </c>
      <c r="BG210" s="31" t="s">
        <v>20998</v>
      </c>
      <c r="BH210" s="31" t="str">
        <f aca="false">HYPERLINK("https%3A%2F%2Fwww.webofscience.com%2Fwos%2Fwoscc%2Ffull-record%2FWOS:000977828500001","View Full Record in Web of Science")</f>
        <v>View Full Record in Web of Science</v>
      </c>
      <c r="BI210" s="31"/>
      <c r="BJ210" s="31"/>
      <c r="BK210" s="31"/>
      <c r="BL210" s="31"/>
      <c r="BM210" s="31"/>
      <c r="BN210" s="31"/>
      <c r="BO210" s="31"/>
      <c r="BP210" s="31"/>
      <c r="BQ210" s="31"/>
      <c r="BR210" s="31"/>
      <c r="BS210" s="31"/>
      <c r="BT210" s="31"/>
      <c r="BU210" s="31"/>
      <c r="BV210" s="31"/>
      <c r="BW210" s="31"/>
      <c r="BX210" s="31"/>
      <c r="BY210" s="31"/>
      <c r="BZ210" s="31"/>
      <c r="CA210" s="31"/>
      <c r="CB210" s="31"/>
      <c r="CC210" s="31"/>
      <c r="CD210" s="31"/>
      <c r="CE210" s="31"/>
      <c r="CF210" s="31"/>
    </row>
    <row r="211" customFormat="false" ht="15.75" hidden="false" customHeight="true" outlineLevel="0" collapsed="false">
      <c r="A211" s="31" t="s">
        <v>16335</v>
      </c>
      <c r="B211" s="31" t="s">
        <v>20999</v>
      </c>
      <c r="C211" s="31" t="s">
        <v>21000</v>
      </c>
      <c r="D211" s="34" t="s">
        <v>21001</v>
      </c>
      <c r="E211" s="31" t="n">
        <v>2023</v>
      </c>
      <c r="F211" s="33" t="s">
        <v>21002</v>
      </c>
      <c r="G211" s="33" t="s">
        <v>134</v>
      </c>
      <c r="H211" s="32" t="s">
        <v>17036</v>
      </c>
      <c r="I211" s="32" t="s">
        <v>17036</v>
      </c>
      <c r="J211" s="32" t="s">
        <v>21003</v>
      </c>
      <c r="K211" s="32" t="s">
        <v>16409</v>
      </c>
      <c r="L211" s="32" t="s">
        <v>21004</v>
      </c>
      <c r="M211" s="32" t="s">
        <v>21005</v>
      </c>
      <c r="N211" s="32" t="s">
        <v>21006</v>
      </c>
      <c r="O211" s="34"/>
      <c r="P211" s="34" t="n">
        <v>4</v>
      </c>
      <c r="Q211" s="31" t="n">
        <v>4</v>
      </c>
      <c r="R211" s="31" t="s">
        <v>61</v>
      </c>
      <c r="S211" s="31" t="s">
        <v>62</v>
      </c>
      <c r="T211" s="31" t="s">
        <v>16927</v>
      </c>
      <c r="U211" s="31" t="n">
        <v>10</v>
      </c>
      <c r="V211" s="31" t="s">
        <v>16928</v>
      </c>
      <c r="W211" s="31"/>
      <c r="X211" s="31" t="s">
        <v>21007</v>
      </c>
      <c r="Y211" s="31"/>
      <c r="Z211" s="31" t="s">
        <v>21008</v>
      </c>
      <c r="AA211" s="31" t="s">
        <v>21009</v>
      </c>
      <c r="AB211" s="31" t="s">
        <v>21010</v>
      </c>
      <c r="AC211" s="31" t="s">
        <v>21011</v>
      </c>
      <c r="AD211" s="31" t="s">
        <v>21012</v>
      </c>
      <c r="AE211" s="31" t="s">
        <v>21013</v>
      </c>
      <c r="AF211" s="31"/>
      <c r="AG211" s="31"/>
      <c r="AH211" s="31"/>
      <c r="AI211" s="31" t="n">
        <v>15</v>
      </c>
      <c r="AJ211" s="31" t="n">
        <v>1</v>
      </c>
      <c r="AK211" s="31" t="n">
        <v>11</v>
      </c>
      <c r="AL211" s="31" t="s">
        <v>16938</v>
      </c>
      <c r="AM211" s="31" t="s">
        <v>16939</v>
      </c>
      <c r="AN211" s="31"/>
      <c r="AO211" s="31" t="s">
        <v>16940</v>
      </c>
      <c r="AP211" s="31" t="s">
        <v>16941</v>
      </c>
      <c r="AQ211" s="31" t="s">
        <v>2015</v>
      </c>
      <c r="AR211" s="31" t="s">
        <v>21014</v>
      </c>
      <c r="AS211" s="31"/>
      <c r="AT211" s="31"/>
      <c r="AU211" s="31" t="n">
        <v>1117192</v>
      </c>
      <c r="AV211" s="31" t="s">
        <v>21015</v>
      </c>
      <c r="AW211" s="35" t="str">
        <f aca="false">HYPERLINK("http://dx.doi.org/10.3389/fmed.2023.1117192","http://dx.doi.org/10.3389/fmed.2023.1117192")</f>
        <v>http://dx.doi.org/10.3389/fmed.2023.1117192</v>
      </c>
      <c r="AX211" s="31"/>
      <c r="AY211" s="31" t="n">
        <v>8</v>
      </c>
      <c r="AZ211" s="31" t="s">
        <v>16829</v>
      </c>
      <c r="BA211" s="31" t="s">
        <v>16366</v>
      </c>
      <c r="BB211" s="31" t="s">
        <v>16830</v>
      </c>
      <c r="BC211" s="31" t="s">
        <v>21016</v>
      </c>
      <c r="BD211" s="31" t="n">
        <v>37457573</v>
      </c>
      <c r="BE211" s="31" t="s">
        <v>21017</v>
      </c>
      <c r="BF211" s="31" t="s">
        <v>16369</v>
      </c>
      <c r="BG211" s="31" t="s">
        <v>21018</v>
      </c>
      <c r="BH211" s="31" t="str">
        <f aca="false">HYPERLINK("https%3A%2F%2Fwww.webofscience.com%2Fwos%2Fwoscc%2Ffull-record%2FWOS:001024690200001","View Full Record in Web of Science")</f>
        <v>View Full Record in Web of Science</v>
      </c>
      <c r="BI211" s="31"/>
      <c r="BJ211" s="31"/>
      <c r="BK211" s="31"/>
      <c r="BL211" s="31"/>
      <c r="BM211" s="31"/>
      <c r="BN211" s="31"/>
      <c r="BO211" s="31"/>
      <c r="BP211" s="31"/>
      <c r="BQ211" s="31"/>
      <c r="BR211" s="31"/>
      <c r="BS211" s="31"/>
      <c r="BT211" s="31"/>
      <c r="BU211" s="31"/>
      <c r="BV211" s="31"/>
      <c r="BW211" s="31"/>
      <c r="BX211" s="31"/>
      <c r="BY211" s="31"/>
      <c r="BZ211" s="31"/>
      <c r="CA211" s="31"/>
      <c r="CB211" s="31"/>
      <c r="CC211" s="31"/>
      <c r="CD211" s="31"/>
      <c r="CE211" s="31"/>
      <c r="CF211" s="31"/>
    </row>
    <row r="212" customFormat="false" ht="15.75" hidden="false" customHeight="true" outlineLevel="0" collapsed="false">
      <c r="A212" s="31" t="s">
        <v>16335</v>
      </c>
      <c r="B212" s="31" t="s">
        <v>21019</v>
      </c>
      <c r="C212" s="31" t="s">
        <v>21020</v>
      </c>
      <c r="D212" s="34" t="s">
        <v>21021</v>
      </c>
      <c r="E212" s="31" t="n">
        <v>2023</v>
      </c>
      <c r="F212" s="33" t="s">
        <v>21022</v>
      </c>
      <c r="G212" s="33" t="s">
        <v>393</v>
      </c>
      <c r="H212" s="32" t="s">
        <v>17123</v>
      </c>
      <c r="I212" s="32" t="s">
        <v>4101</v>
      </c>
      <c r="J212" s="32" t="s">
        <v>21023</v>
      </c>
      <c r="K212" s="32" t="s">
        <v>16409</v>
      </c>
      <c r="L212" s="32" t="s">
        <v>21024</v>
      </c>
      <c r="M212" s="32" t="s">
        <v>21025</v>
      </c>
      <c r="N212" s="34"/>
      <c r="O212" s="34"/>
      <c r="P212" s="34" t="n">
        <v>6</v>
      </c>
      <c r="Q212" s="31" t="n">
        <v>6</v>
      </c>
      <c r="R212" s="31" t="s">
        <v>61</v>
      </c>
      <c r="S212" s="31" t="s">
        <v>62</v>
      </c>
      <c r="T212" s="31" t="s">
        <v>21026</v>
      </c>
      <c r="U212" s="31" t="n">
        <v>11</v>
      </c>
      <c r="V212" s="31" t="s">
        <v>4048</v>
      </c>
      <c r="W212" s="31" t="n">
        <v>13</v>
      </c>
      <c r="X212" s="31" t="s">
        <v>21027</v>
      </c>
      <c r="Y212" s="31" t="s">
        <v>21028</v>
      </c>
      <c r="Z212" s="31" t="s">
        <v>21029</v>
      </c>
      <c r="AA212" s="31" t="s">
        <v>21030</v>
      </c>
      <c r="AB212" s="31" t="s">
        <v>21031</v>
      </c>
      <c r="AC212" s="31" t="s">
        <v>21032</v>
      </c>
      <c r="AD212" s="31" t="s">
        <v>21033</v>
      </c>
      <c r="AE212" s="31"/>
      <c r="AF212" s="31" t="s">
        <v>21034</v>
      </c>
      <c r="AG212" s="31" t="s">
        <v>21035</v>
      </c>
      <c r="AH212" s="31" t="s">
        <v>21036</v>
      </c>
      <c r="AI212" s="31" t="n">
        <v>33</v>
      </c>
      <c r="AJ212" s="31" t="n">
        <v>3</v>
      </c>
      <c r="AK212" s="31" t="n">
        <v>8</v>
      </c>
      <c r="AL212" s="31" t="s">
        <v>16769</v>
      </c>
      <c r="AM212" s="31" t="s">
        <v>16770</v>
      </c>
      <c r="AN212" s="31"/>
      <c r="AO212" s="31" t="s">
        <v>21037</v>
      </c>
      <c r="AP212" s="31" t="s">
        <v>21038</v>
      </c>
      <c r="AQ212" s="31" t="s">
        <v>21039</v>
      </c>
      <c r="AR212" s="31" t="s">
        <v>20025</v>
      </c>
      <c r="AS212" s="31"/>
      <c r="AT212" s="31"/>
      <c r="AU212" s="31" t="n">
        <v>1896</v>
      </c>
      <c r="AV212" s="31" t="s">
        <v>21040</v>
      </c>
      <c r="AW212" s="35" t="str">
        <f aca="false">HYPERLINK("http://dx.doi.org/10.3390/healthcare11131896","http://dx.doi.org/10.3390/healthcare11131896")</f>
        <v>http://dx.doi.org/10.3390/healthcare11131896</v>
      </c>
      <c r="AX212" s="31"/>
      <c r="AY212" s="31" t="n">
        <v>17</v>
      </c>
      <c r="AZ212" s="31" t="s">
        <v>21041</v>
      </c>
      <c r="BA212" s="31" t="s">
        <v>16584</v>
      </c>
      <c r="BB212" s="31" t="s">
        <v>18469</v>
      </c>
      <c r="BC212" s="31" t="s">
        <v>21042</v>
      </c>
      <c r="BD212" s="31" t="n">
        <v>37444730</v>
      </c>
      <c r="BE212" s="31" t="s">
        <v>19320</v>
      </c>
      <c r="BF212" s="31" t="s">
        <v>16369</v>
      </c>
      <c r="BG212" s="31" t="s">
        <v>21043</v>
      </c>
      <c r="BH212" s="31" t="str">
        <f aca="false">HYPERLINK("https%3A%2F%2Fwww.webofscience.com%2Fwos%2Fwoscc%2Ffull-record%2FWOS:001031049500001","View Full Record in Web of Science")</f>
        <v>View Full Record in Web of Science</v>
      </c>
      <c r="BI212" s="31"/>
      <c r="BJ212" s="31"/>
      <c r="BK212" s="31"/>
      <c r="BL212" s="31"/>
      <c r="BM212" s="31"/>
      <c r="BN212" s="31"/>
      <c r="BO212" s="31"/>
      <c r="BP212" s="31"/>
      <c r="BQ212" s="31"/>
      <c r="BR212" s="31"/>
      <c r="BS212" s="31"/>
      <c r="BT212" s="31"/>
      <c r="BU212" s="31"/>
      <c r="BV212" s="31"/>
      <c r="BW212" s="31"/>
      <c r="BX212" s="31"/>
      <c r="BY212" s="31"/>
      <c r="BZ212" s="31"/>
      <c r="CA212" s="31"/>
      <c r="CB212" s="31"/>
      <c r="CC212" s="31"/>
      <c r="CD212" s="31"/>
      <c r="CE212" s="31"/>
      <c r="CF212" s="31"/>
    </row>
    <row r="213" customFormat="false" ht="15.75" hidden="false" customHeight="true" outlineLevel="0" collapsed="false">
      <c r="A213" s="31" t="s">
        <v>16335</v>
      </c>
      <c r="B213" s="31" t="s">
        <v>21044</v>
      </c>
      <c r="C213" s="31" t="s">
        <v>21045</v>
      </c>
      <c r="D213" s="34" t="s">
        <v>21046</v>
      </c>
      <c r="E213" s="31" t="n">
        <v>2023</v>
      </c>
      <c r="F213" s="33" t="s">
        <v>21047</v>
      </c>
      <c r="G213" s="33" t="s">
        <v>134</v>
      </c>
      <c r="H213" s="32" t="s">
        <v>16721</v>
      </c>
      <c r="I213" s="32" t="s">
        <v>3715</v>
      </c>
      <c r="J213" s="32" t="s">
        <v>20908</v>
      </c>
      <c r="K213" s="32" t="s">
        <v>16409</v>
      </c>
      <c r="L213" s="32" t="s">
        <v>3754</v>
      </c>
      <c r="M213" s="32" t="s">
        <v>16410</v>
      </c>
      <c r="N213" s="32" t="s">
        <v>21048</v>
      </c>
      <c r="O213" s="32" t="s">
        <v>21049</v>
      </c>
      <c r="P213" s="34" t="n">
        <v>9</v>
      </c>
      <c r="Q213" s="31" t="n">
        <v>9</v>
      </c>
      <c r="R213" s="31" t="s">
        <v>61</v>
      </c>
      <c r="S213" s="31" t="s">
        <v>62</v>
      </c>
      <c r="T213" s="31" t="s">
        <v>21026</v>
      </c>
      <c r="U213" s="31" t="n">
        <v>11</v>
      </c>
      <c r="V213" s="31" t="s">
        <v>4048</v>
      </c>
      <c r="W213" s="31" t="n">
        <v>12</v>
      </c>
      <c r="X213" s="31" t="s">
        <v>21050</v>
      </c>
      <c r="Y213" s="31" t="s">
        <v>21051</v>
      </c>
      <c r="Z213" s="31" t="s">
        <v>21052</v>
      </c>
      <c r="AA213" s="31" t="s">
        <v>21053</v>
      </c>
      <c r="AB213" s="31" t="s">
        <v>21054</v>
      </c>
      <c r="AC213" s="31" t="s">
        <v>21055</v>
      </c>
      <c r="AD213" s="31" t="s">
        <v>21056</v>
      </c>
      <c r="AE213" s="31" t="s">
        <v>21057</v>
      </c>
      <c r="AF213" s="31"/>
      <c r="AG213" s="31"/>
      <c r="AH213" s="31"/>
      <c r="AI213" s="31" t="n">
        <v>50</v>
      </c>
      <c r="AJ213" s="31" t="n">
        <v>6</v>
      </c>
      <c r="AK213" s="31" t="n">
        <v>17</v>
      </c>
      <c r="AL213" s="31" t="s">
        <v>16769</v>
      </c>
      <c r="AM213" s="31" t="s">
        <v>16770</v>
      </c>
      <c r="AN213" s="31"/>
      <c r="AO213" s="31" t="s">
        <v>21037</v>
      </c>
      <c r="AP213" s="31" t="s">
        <v>21038</v>
      </c>
      <c r="AQ213" s="31" t="s">
        <v>21039</v>
      </c>
      <c r="AR213" s="31" t="s">
        <v>16683</v>
      </c>
      <c r="AS213" s="31"/>
      <c r="AT213" s="31"/>
      <c r="AU213" s="31" t="n">
        <v>1779</v>
      </c>
      <c r="AV213" s="31" t="s">
        <v>21058</v>
      </c>
      <c r="AW213" s="35" t="str">
        <f aca="false">HYPERLINK("http://dx.doi.org/10.3390/healthcare11121779","http://dx.doi.org/10.3390/healthcare11121779")</f>
        <v>http://dx.doi.org/10.3390/healthcare11121779</v>
      </c>
      <c r="AX213" s="31"/>
      <c r="AY213" s="31" t="n">
        <v>18</v>
      </c>
      <c r="AZ213" s="31" t="s">
        <v>21041</v>
      </c>
      <c r="BA213" s="31" t="s">
        <v>16584</v>
      </c>
      <c r="BB213" s="31" t="s">
        <v>18469</v>
      </c>
      <c r="BC213" s="31" t="s">
        <v>21059</v>
      </c>
      <c r="BD213" s="31" t="n">
        <v>37372897</v>
      </c>
      <c r="BE213" s="31" t="s">
        <v>17143</v>
      </c>
      <c r="BF213" s="31" t="s">
        <v>16369</v>
      </c>
      <c r="BG213" s="31" t="s">
        <v>21060</v>
      </c>
      <c r="BH213" s="31" t="str">
        <f aca="false">HYPERLINK("https%3A%2F%2Fwww.webofscience.com%2Fwos%2Fwoscc%2Ffull-record%2FWOS:001015013500001","View Full Record in Web of Science")</f>
        <v>View Full Record in Web of Science</v>
      </c>
      <c r="BI213" s="31"/>
      <c r="BJ213" s="31"/>
      <c r="BK213" s="31"/>
      <c r="BL213" s="31"/>
      <c r="BM213" s="31"/>
      <c r="BN213" s="31"/>
      <c r="BO213" s="31"/>
      <c r="BP213" s="31"/>
      <c r="BQ213" s="31"/>
      <c r="BR213" s="31"/>
      <c r="BS213" s="31"/>
      <c r="BT213" s="31"/>
      <c r="BU213" s="31"/>
      <c r="BV213" s="31"/>
      <c r="BW213" s="31"/>
      <c r="BX213" s="31"/>
      <c r="BY213" s="31"/>
      <c r="BZ213" s="31"/>
      <c r="CA213" s="31"/>
      <c r="CB213" s="31"/>
      <c r="CC213" s="31"/>
      <c r="CD213" s="31"/>
      <c r="CE213" s="31"/>
      <c r="CF213" s="31"/>
    </row>
    <row r="214" customFormat="false" ht="15.75" hidden="false" customHeight="true" outlineLevel="0" collapsed="false">
      <c r="A214" s="31" t="s">
        <v>16335</v>
      </c>
      <c r="B214" s="31" t="s">
        <v>21061</v>
      </c>
      <c r="C214" s="31" t="s">
        <v>21062</v>
      </c>
      <c r="D214" s="32" t="s">
        <v>21063</v>
      </c>
      <c r="E214" s="31" t="n">
        <v>2023</v>
      </c>
      <c r="F214" s="33" t="s">
        <v>21064</v>
      </c>
      <c r="G214" s="33" t="s">
        <v>290</v>
      </c>
      <c r="H214" s="32" t="s">
        <v>4101</v>
      </c>
      <c r="I214" s="32" t="s">
        <v>4101</v>
      </c>
      <c r="J214" s="34"/>
      <c r="K214" s="32" t="s">
        <v>16753</v>
      </c>
      <c r="L214" s="34"/>
      <c r="M214" s="34"/>
      <c r="N214" s="34"/>
      <c r="O214" s="34"/>
      <c r="P214" s="34" t="n">
        <v>2</v>
      </c>
      <c r="Q214" s="31" t="n">
        <v>3</v>
      </c>
      <c r="R214" s="31" t="s">
        <v>61</v>
      </c>
      <c r="S214" s="31" t="s">
        <v>62</v>
      </c>
      <c r="T214" s="31" t="s">
        <v>21065</v>
      </c>
      <c r="U214" s="31" t="n">
        <v>15</v>
      </c>
      <c r="V214" s="31" t="s">
        <v>21066</v>
      </c>
      <c r="W214" s="31" t="n">
        <v>22</v>
      </c>
      <c r="X214" s="31" t="s">
        <v>21067</v>
      </c>
      <c r="Y214" s="31" t="s">
        <v>21068</v>
      </c>
      <c r="Z214" s="31" t="s">
        <v>21069</v>
      </c>
      <c r="AA214" s="31" t="s">
        <v>21070</v>
      </c>
      <c r="AB214" s="31" t="s">
        <v>21071</v>
      </c>
      <c r="AC214" s="31" t="s">
        <v>21072</v>
      </c>
      <c r="AD214" s="31" t="s">
        <v>21073</v>
      </c>
      <c r="AE214" s="31" t="s">
        <v>21074</v>
      </c>
      <c r="AF214" s="31" t="s">
        <v>21075</v>
      </c>
      <c r="AG214" s="31" t="s">
        <v>21076</v>
      </c>
      <c r="AH214" s="31" t="s">
        <v>21077</v>
      </c>
      <c r="AI214" s="31" t="n">
        <v>107</v>
      </c>
      <c r="AJ214" s="31" t="n">
        <v>3</v>
      </c>
      <c r="AK214" s="31" t="n">
        <v>11</v>
      </c>
      <c r="AL214" s="31" t="s">
        <v>2626</v>
      </c>
      <c r="AM214" s="31" t="s">
        <v>21078</v>
      </c>
      <c r="AN214" s="31" t="s">
        <v>21079</v>
      </c>
      <c r="AO214" s="31" t="s">
        <v>21080</v>
      </c>
      <c r="AP214" s="31" t="s">
        <v>21081</v>
      </c>
      <c r="AQ214" s="31" t="s">
        <v>21082</v>
      </c>
      <c r="AR214" s="31" t="s">
        <v>17139</v>
      </c>
      <c r="AS214" s="31" t="n">
        <v>2033</v>
      </c>
      <c r="AT214" s="31" t="n">
        <v>2050</v>
      </c>
      <c r="AU214" s="31"/>
      <c r="AV214" s="31" t="s">
        <v>21083</v>
      </c>
      <c r="AW214" s="35" t="str">
        <f aca="false">HYPERLINK("http://dx.doi.org/10.4155/fmc-2023-0152","http://dx.doi.org/10.4155/fmc-2023-0152")</f>
        <v>http://dx.doi.org/10.4155/fmc-2023-0152</v>
      </c>
      <c r="AX214" s="31" t="s">
        <v>17220</v>
      </c>
      <c r="AY214" s="31" t="n">
        <v>18</v>
      </c>
      <c r="AZ214" s="31" t="s">
        <v>19761</v>
      </c>
      <c r="BA214" s="31" t="s">
        <v>16366</v>
      </c>
      <c r="BB214" s="31" t="s">
        <v>18125</v>
      </c>
      <c r="BC214" s="31" t="s">
        <v>21084</v>
      </c>
      <c r="BD214" s="31" t="n">
        <v>37937522</v>
      </c>
      <c r="BE214" s="31"/>
      <c r="BF214" s="31" t="s">
        <v>16369</v>
      </c>
      <c r="BG214" s="31" t="s">
        <v>21085</v>
      </c>
      <c r="BH214" s="31" t="str">
        <f aca="false">HYPERLINK("https%3A%2F%2Fwww.webofscience.com%2Fwos%2Fwoscc%2Ffull-record%2FWOS:001101243500001","View Full Record in Web of Science")</f>
        <v>View Full Record in Web of Science</v>
      </c>
      <c r="BI214" s="31"/>
      <c r="BJ214" s="31"/>
      <c r="BK214" s="31"/>
      <c r="BL214" s="31"/>
      <c r="BM214" s="31"/>
      <c r="BN214" s="31"/>
      <c r="BO214" s="31"/>
      <c r="BP214" s="31"/>
      <c r="BQ214" s="31"/>
      <c r="BR214" s="31"/>
      <c r="BS214" s="31"/>
      <c r="BT214" s="31"/>
      <c r="BU214" s="31"/>
      <c r="BV214" s="31"/>
      <c r="BW214" s="31"/>
      <c r="BX214" s="31"/>
      <c r="BY214" s="31"/>
      <c r="BZ214" s="31"/>
      <c r="CA214" s="31"/>
      <c r="CB214" s="31"/>
      <c r="CC214" s="31"/>
      <c r="CD214" s="31"/>
      <c r="CE214" s="31"/>
      <c r="CF214" s="31"/>
    </row>
    <row r="215" customFormat="false" ht="15.75" hidden="false" customHeight="true" outlineLevel="0" collapsed="false">
      <c r="A215" s="31" t="s">
        <v>16335</v>
      </c>
      <c r="B215" s="31" t="s">
        <v>21086</v>
      </c>
      <c r="C215" s="31" t="s">
        <v>21087</v>
      </c>
      <c r="D215" s="34" t="s">
        <v>21088</v>
      </c>
      <c r="E215" s="31" t="n">
        <v>2023</v>
      </c>
      <c r="F215" s="33" t="s">
        <v>21089</v>
      </c>
      <c r="G215" s="33" t="s">
        <v>349</v>
      </c>
      <c r="H215" s="32" t="s">
        <v>21090</v>
      </c>
      <c r="I215" s="32" t="s">
        <v>21091</v>
      </c>
      <c r="J215" s="32" t="s">
        <v>21092</v>
      </c>
      <c r="K215" s="32" t="s">
        <v>16840</v>
      </c>
      <c r="L215" s="32" t="s">
        <v>3754</v>
      </c>
      <c r="M215" s="32" t="s">
        <v>21093</v>
      </c>
      <c r="N215" s="34"/>
      <c r="O215" s="34"/>
      <c r="P215" s="34" t="n">
        <v>4</v>
      </c>
      <c r="Q215" s="31" t="n">
        <v>4</v>
      </c>
      <c r="R215" s="31" t="s">
        <v>61</v>
      </c>
      <c r="S215" s="31" t="s">
        <v>62</v>
      </c>
      <c r="T215" s="31" t="s">
        <v>16844</v>
      </c>
      <c r="U215" s="31" t="n">
        <v>17</v>
      </c>
      <c r="V215" s="31" t="s">
        <v>16845</v>
      </c>
      <c r="W215" s="31" t="n">
        <v>1</v>
      </c>
      <c r="X215" s="31"/>
      <c r="Y215" s="31" t="s">
        <v>21094</v>
      </c>
      <c r="Z215" s="31" t="s">
        <v>21095</v>
      </c>
      <c r="AA215" s="31" t="s">
        <v>21096</v>
      </c>
      <c r="AB215" s="31" t="s">
        <v>21097</v>
      </c>
      <c r="AC215" s="31"/>
      <c r="AD215" s="31" t="s">
        <v>21098</v>
      </c>
      <c r="AE215" s="31" t="s">
        <v>21099</v>
      </c>
      <c r="AF215" s="31"/>
      <c r="AG215" s="31"/>
      <c r="AH215" s="31"/>
      <c r="AI215" s="31" t="n">
        <v>40</v>
      </c>
      <c r="AJ215" s="31" t="n">
        <v>3</v>
      </c>
      <c r="AK215" s="31" t="n">
        <v>9</v>
      </c>
      <c r="AL215" s="31" t="s">
        <v>16855</v>
      </c>
      <c r="AM215" s="31" t="s">
        <v>16856</v>
      </c>
      <c r="AN215" s="31" t="s">
        <v>16857</v>
      </c>
      <c r="AO215" s="31"/>
      <c r="AP215" s="31" t="s">
        <v>16858</v>
      </c>
      <c r="AQ215" s="31" t="s">
        <v>16859</v>
      </c>
      <c r="AR215" s="31" t="s">
        <v>14295</v>
      </c>
      <c r="AS215" s="31"/>
      <c r="AT215" s="31"/>
      <c r="AU215" s="31" t="s">
        <v>21100</v>
      </c>
      <c r="AV215" s="31" t="s">
        <v>21101</v>
      </c>
      <c r="AW215" s="35" t="str">
        <f aca="false">HYPERLINK("http://dx.doi.org/10.1371/journal.pntd.0011047","http://dx.doi.org/10.1371/journal.pntd.0011047")</f>
        <v>http://dx.doi.org/10.1371/journal.pntd.0011047</v>
      </c>
      <c r="AX215" s="31"/>
      <c r="AY215" s="31" t="n">
        <v>13</v>
      </c>
      <c r="AZ215" s="31" t="s">
        <v>16862</v>
      </c>
      <c r="BA215" s="31" t="s">
        <v>16366</v>
      </c>
      <c r="BB215" s="31" t="s">
        <v>16862</v>
      </c>
      <c r="BC215" s="31" t="s">
        <v>21102</v>
      </c>
      <c r="BD215" s="31" t="n">
        <v>36638136</v>
      </c>
      <c r="BE215" s="31" t="s">
        <v>17168</v>
      </c>
      <c r="BF215" s="31" t="s">
        <v>16369</v>
      </c>
      <c r="BG215" s="31" t="s">
        <v>21103</v>
      </c>
      <c r="BH215" s="31" t="str">
        <f aca="false">HYPERLINK("https%3A%2F%2Fwww.webofscience.com%2Fwos%2Fwoscc%2Ffull-record%2FWOS:000937101600001","View Full Record in Web of Science")</f>
        <v>View Full Record in Web of Science</v>
      </c>
      <c r="BI215" s="31"/>
      <c r="BJ215" s="31"/>
      <c r="BK215" s="31"/>
      <c r="BL215" s="31"/>
      <c r="BM215" s="31"/>
      <c r="BN215" s="31"/>
      <c r="BO215" s="31"/>
      <c r="BP215" s="31"/>
      <c r="BQ215" s="31"/>
      <c r="BR215" s="31"/>
      <c r="BS215" s="31"/>
      <c r="BT215" s="31"/>
      <c r="BU215" s="31"/>
      <c r="BV215" s="31"/>
      <c r="BW215" s="31"/>
      <c r="BX215" s="31"/>
      <c r="BY215" s="31"/>
      <c r="BZ215" s="31"/>
      <c r="CA215" s="31"/>
      <c r="CB215" s="31"/>
      <c r="CC215" s="31"/>
      <c r="CD215" s="31"/>
      <c r="CE215" s="31"/>
      <c r="CF215" s="31"/>
    </row>
    <row r="216" customFormat="false" ht="15.75" hidden="false" customHeight="true" outlineLevel="0" collapsed="false">
      <c r="A216" s="31" t="s">
        <v>16335</v>
      </c>
      <c r="B216" s="31" t="s">
        <v>21104</v>
      </c>
      <c r="C216" s="31" t="s">
        <v>21105</v>
      </c>
      <c r="D216" s="34" t="s">
        <v>21106</v>
      </c>
      <c r="E216" s="31" t="n">
        <v>2023</v>
      </c>
      <c r="F216" s="33" t="s">
        <v>21107</v>
      </c>
      <c r="G216" s="33" t="s">
        <v>134</v>
      </c>
      <c r="H216" s="32" t="s">
        <v>21108</v>
      </c>
      <c r="I216" s="32" t="s">
        <v>3715</v>
      </c>
      <c r="J216" s="32" t="s">
        <v>21109</v>
      </c>
      <c r="K216" s="32" t="s">
        <v>16409</v>
      </c>
      <c r="L216" s="32" t="s">
        <v>3754</v>
      </c>
      <c r="M216" s="32" t="s">
        <v>21110</v>
      </c>
      <c r="N216" s="32" t="s">
        <v>21111</v>
      </c>
      <c r="O216" s="34"/>
      <c r="P216" s="34" t="n">
        <v>8</v>
      </c>
      <c r="Q216" s="31" t="n">
        <v>8</v>
      </c>
      <c r="R216" s="31" t="s">
        <v>61</v>
      </c>
      <c r="S216" s="31" t="s">
        <v>62</v>
      </c>
      <c r="T216" s="31" t="s">
        <v>21112</v>
      </c>
      <c r="U216" s="31" t="n">
        <v>9</v>
      </c>
      <c r="V216" s="31" t="s">
        <v>4048</v>
      </c>
      <c r="W216" s="31" t="n">
        <v>3</v>
      </c>
      <c r="X216" s="31" t="s">
        <v>21113</v>
      </c>
      <c r="Y216" s="31"/>
      <c r="Z216" s="31" t="s">
        <v>21114</v>
      </c>
      <c r="AA216" s="31" t="s">
        <v>21115</v>
      </c>
      <c r="AB216" s="31" t="s">
        <v>21116</v>
      </c>
      <c r="AC216" s="31" t="s">
        <v>21117</v>
      </c>
      <c r="AD216" s="31" t="s">
        <v>21118</v>
      </c>
      <c r="AE216" s="31" t="s">
        <v>21119</v>
      </c>
      <c r="AF216" s="31"/>
      <c r="AG216" s="31"/>
      <c r="AH216" s="31"/>
      <c r="AI216" s="31" t="n">
        <v>32</v>
      </c>
      <c r="AJ216" s="31" t="n">
        <v>3</v>
      </c>
      <c r="AK216" s="31" t="n">
        <v>7</v>
      </c>
      <c r="AL216" s="31" t="s">
        <v>16769</v>
      </c>
      <c r="AM216" s="31" t="s">
        <v>16770</v>
      </c>
      <c r="AN216" s="31"/>
      <c r="AO216" s="31" t="s">
        <v>21120</v>
      </c>
      <c r="AP216" s="31" t="s">
        <v>21121</v>
      </c>
      <c r="AQ216" s="31" t="s">
        <v>21122</v>
      </c>
      <c r="AR216" s="31" t="s">
        <v>17248</v>
      </c>
      <c r="AS216" s="31"/>
      <c r="AT216" s="31"/>
      <c r="AU216" s="31" t="n">
        <v>64</v>
      </c>
      <c r="AV216" s="31" t="s">
        <v>21123</v>
      </c>
      <c r="AW216" s="35" t="str">
        <f aca="false">HYPERLINK("http://dx.doi.org/10.3390/jimaging9030064","http://dx.doi.org/10.3390/jimaging9030064")</f>
        <v>http://dx.doi.org/10.3390/jimaging9030064</v>
      </c>
      <c r="AX216" s="31"/>
      <c r="AY216" s="31" t="n">
        <v>16</v>
      </c>
      <c r="AZ216" s="31" t="s">
        <v>21124</v>
      </c>
      <c r="BA216" s="31" t="s">
        <v>16684</v>
      </c>
      <c r="BB216" s="31" t="s">
        <v>21124</v>
      </c>
      <c r="BC216" s="31" t="s">
        <v>21125</v>
      </c>
      <c r="BD216" s="31" t="n">
        <v>36976115</v>
      </c>
      <c r="BE216" s="31" t="s">
        <v>17143</v>
      </c>
      <c r="BF216" s="31" t="s">
        <v>16369</v>
      </c>
      <c r="BG216" s="31" t="s">
        <v>21126</v>
      </c>
      <c r="BH216" s="31" t="str">
        <f aca="false">HYPERLINK("https%3A%2F%2Fwww.webofscience.com%2Fwos%2Fwoscc%2Ffull-record%2FWOS:000956700300001","View Full Record in Web of Science")</f>
        <v>View Full Record in Web of Science</v>
      </c>
      <c r="BI216" s="31"/>
      <c r="BJ216" s="31"/>
      <c r="BK216" s="31"/>
      <c r="BL216" s="31"/>
      <c r="BM216" s="31"/>
      <c r="BN216" s="31"/>
      <c r="BO216" s="31"/>
      <c r="BP216" s="31"/>
      <c r="BQ216" s="31"/>
      <c r="BR216" s="31"/>
      <c r="BS216" s="31"/>
      <c r="BT216" s="31"/>
      <c r="BU216" s="31"/>
      <c r="BV216" s="31"/>
      <c r="BW216" s="31"/>
      <c r="BX216" s="31"/>
      <c r="BY216" s="31"/>
      <c r="BZ216" s="31"/>
      <c r="CA216" s="31"/>
      <c r="CB216" s="31"/>
      <c r="CC216" s="31"/>
      <c r="CD216" s="31"/>
      <c r="CE216" s="31"/>
      <c r="CF216" s="31"/>
    </row>
    <row r="217" customFormat="false" ht="15.75" hidden="false" customHeight="true" outlineLevel="0" collapsed="false">
      <c r="A217" s="31" t="s">
        <v>16335</v>
      </c>
      <c r="B217" s="31" t="s">
        <v>21127</v>
      </c>
      <c r="C217" s="31" t="s">
        <v>21128</v>
      </c>
      <c r="D217" s="34" t="s">
        <v>21129</v>
      </c>
      <c r="E217" s="31" t="n">
        <v>2023</v>
      </c>
      <c r="F217" s="33" t="s">
        <v>21130</v>
      </c>
      <c r="G217" s="33" t="s">
        <v>134</v>
      </c>
      <c r="H217" s="32" t="s">
        <v>4101</v>
      </c>
      <c r="I217" s="32" t="s">
        <v>4101</v>
      </c>
      <c r="J217" s="32" t="s">
        <v>20908</v>
      </c>
      <c r="K217" s="32" t="s">
        <v>21131</v>
      </c>
      <c r="L217" s="32" t="s">
        <v>3754</v>
      </c>
      <c r="M217" s="32" t="s">
        <v>21132</v>
      </c>
      <c r="N217" s="32" t="s">
        <v>21133</v>
      </c>
      <c r="O217" s="34"/>
      <c r="P217" s="34" t="n">
        <v>4</v>
      </c>
      <c r="Q217" s="31" t="n">
        <v>4</v>
      </c>
      <c r="R217" s="31" t="s">
        <v>61</v>
      </c>
      <c r="S217" s="31" t="s">
        <v>62</v>
      </c>
      <c r="T217" s="31" t="s">
        <v>21134</v>
      </c>
      <c r="U217" s="31" t="n">
        <v>17</v>
      </c>
      <c r="V217" s="31" t="s">
        <v>17234</v>
      </c>
      <c r="W217" s="31" t="n">
        <v>7</v>
      </c>
      <c r="X217" s="31" t="s">
        <v>21135</v>
      </c>
      <c r="Y217" s="31" t="s">
        <v>21136</v>
      </c>
      <c r="Z217" s="31" t="s">
        <v>21137</v>
      </c>
      <c r="AA217" s="31" t="s">
        <v>21138</v>
      </c>
      <c r="AB217" s="31" t="s">
        <v>21139</v>
      </c>
      <c r="AC217" s="31" t="s">
        <v>21140</v>
      </c>
      <c r="AD217" s="31" t="s">
        <v>21141</v>
      </c>
      <c r="AE217" s="31" t="s">
        <v>21142</v>
      </c>
      <c r="AF217" s="31"/>
      <c r="AG217" s="31"/>
      <c r="AH217" s="31"/>
      <c r="AI217" s="31" t="n">
        <v>30</v>
      </c>
      <c r="AJ217" s="31" t="n">
        <v>1</v>
      </c>
      <c r="AK217" s="31" t="n">
        <v>3</v>
      </c>
      <c r="AL217" s="31" t="s">
        <v>16821</v>
      </c>
      <c r="AM217" s="31" t="s">
        <v>17244</v>
      </c>
      <c r="AN217" s="31" t="s">
        <v>21143</v>
      </c>
      <c r="AO217" s="31" t="s">
        <v>21144</v>
      </c>
      <c r="AP217" s="31" t="s">
        <v>21145</v>
      </c>
      <c r="AQ217" s="31" t="s">
        <v>21146</v>
      </c>
      <c r="AR217" s="31" t="s">
        <v>16615</v>
      </c>
      <c r="AS217" s="31" t="n">
        <v>3595</v>
      </c>
      <c r="AT217" s="31" t="n">
        <v>3601</v>
      </c>
      <c r="AU217" s="31"/>
      <c r="AV217" s="31" t="s">
        <v>21147</v>
      </c>
      <c r="AW217" s="35" t="str">
        <f aca="false">HYPERLINK("http://dx.doi.org/10.1007/s11760-023-02585-0","http://dx.doi.org/10.1007/s11760-023-02585-0")</f>
        <v>http://dx.doi.org/10.1007/s11760-023-02585-0</v>
      </c>
      <c r="AX217" s="31" t="s">
        <v>20880</v>
      </c>
      <c r="AY217" s="31" t="n">
        <v>7</v>
      </c>
      <c r="AZ217" s="31" t="s">
        <v>21148</v>
      </c>
      <c r="BA217" s="31" t="s">
        <v>16366</v>
      </c>
      <c r="BB217" s="31" t="s">
        <v>21149</v>
      </c>
      <c r="BC217" s="31" t="s">
        <v>21150</v>
      </c>
      <c r="BD217" s="31"/>
      <c r="BE217" s="31"/>
      <c r="BF217" s="31" t="s">
        <v>16369</v>
      </c>
      <c r="BG217" s="31" t="s">
        <v>21151</v>
      </c>
      <c r="BH217" s="31" t="str">
        <f aca="false">HYPERLINK("https%3A%2F%2Fwww.webofscience.com%2Fwos%2Fwoscc%2Ffull-record%2FWOS:000974770200002","View Full Record in Web of Science")</f>
        <v>View Full Record in Web of Science</v>
      </c>
      <c r="BI217" s="31"/>
      <c r="BJ217" s="31"/>
      <c r="BK217" s="31"/>
      <c r="BL217" s="31"/>
      <c r="BM217" s="31"/>
      <c r="BN217" s="31"/>
      <c r="BO217" s="31"/>
      <c r="BP217" s="31"/>
      <c r="BQ217" s="31"/>
      <c r="BR217" s="31"/>
      <c r="BS217" s="31"/>
      <c r="BT217" s="31"/>
      <c r="BU217" s="31"/>
      <c r="BV217" s="31"/>
      <c r="BW217" s="31"/>
      <c r="BX217" s="31"/>
      <c r="BY217" s="31"/>
      <c r="BZ217" s="31"/>
      <c r="CA217" s="31"/>
      <c r="CB217" s="31"/>
      <c r="CC217" s="31"/>
      <c r="CD217" s="31"/>
      <c r="CE217" s="31"/>
      <c r="CF217" s="31"/>
    </row>
    <row r="218" customFormat="false" ht="15.75" hidden="false" customHeight="true" outlineLevel="0" collapsed="false">
      <c r="A218" s="31" t="s">
        <v>16335</v>
      </c>
      <c r="B218" s="31" t="s">
        <v>21152</v>
      </c>
      <c r="C218" s="31" t="s">
        <v>21153</v>
      </c>
      <c r="D218" s="34" t="s">
        <v>21154</v>
      </c>
      <c r="E218" s="31" t="n">
        <v>2023</v>
      </c>
      <c r="F218" s="33" t="s">
        <v>21155</v>
      </c>
      <c r="G218" s="33" t="s">
        <v>134</v>
      </c>
      <c r="H218" s="32" t="s">
        <v>21156</v>
      </c>
      <c r="I218" s="34"/>
      <c r="J218" s="32" t="s">
        <v>21157</v>
      </c>
      <c r="K218" s="32" t="s">
        <v>21158</v>
      </c>
      <c r="L218" s="32" t="s">
        <v>3754</v>
      </c>
      <c r="M218" s="32" t="s">
        <v>21159</v>
      </c>
      <c r="N218" s="34"/>
      <c r="O218" s="34"/>
      <c r="P218" s="34" t="n">
        <v>6</v>
      </c>
      <c r="Q218" s="31" t="n">
        <v>6</v>
      </c>
      <c r="R218" s="31" t="s">
        <v>61</v>
      </c>
      <c r="S218" s="31" t="s">
        <v>62</v>
      </c>
      <c r="T218" s="31" t="s">
        <v>21160</v>
      </c>
      <c r="U218" s="31" t="n">
        <v>35</v>
      </c>
      <c r="V218" s="31" t="s">
        <v>16349</v>
      </c>
      <c r="W218" s="31" t="n">
        <v>7</v>
      </c>
      <c r="X218" s="31" t="s">
        <v>21161</v>
      </c>
      <c r="Y218" s="31"/>
      <c r="Z218" s="31" t="s">
        <v>21162</v>
      </c>
      <c r="AA218" s="31" t="s">
        <v>21163</v>
      </c>
      <c r="AB218" s="31" t="s">
        <v>21164</v>
      </c>
      <c r="AC218" s="31" t="s">
        <v>21165</v>
      </c>
      <c r="AD218" s="31" t="s">
        <v>21166</v>
      </c>
      <c r="AE218" s="31" t="s">
        <v>21167</v>
      </c>
      <c r="AF218" s="31" t="s">
        <v>21168</v>
      </c>
      <c r="AG218" s="31" t="s">
        <v>21169</v>
      </c>
      <c r="AH218" s="31" t="s">
        <v>21170</v>
      </c>
      <c r="AI218" s="31" t="n">
        <v>69</v>
      </c>
      <c r="AJ218" s="31" t="n">
        <v>3</v>
      </c>
      <c r="AK218" s="31" t="n">
        <v>7</v>
      </c>
      <c r="AL218" s="31" t="s">
        <v>16356</v>
      </c>
      <c r="AM218" s="31" t="s">
        <v>16357</v>
      </c>
      <c r="AN218" s="31" t="s">
        <v>21171</v>
      </c>
      <c r="AO218" s="31" t="s">
        <v>21172</v>
      </c>
      <c r="AP218" s="31" t="s">
        <v>21173</v>
      </c>
      <c r="AQ218" s="31" t="s">
        <v>21174</v>
      </c>
      <c r="AR218" s="31" t="s">
        <v>20025</v>
      </c>
      <c r="AS218" s="31"/>
      <c r="AT218" s="31"/>
      <c r="AU218" s="31" t="n">
        <v>101616</v>
      </c>
      <c r="AV218" s="31" t="s">
        <v>21175</v>
      </c>
      <c r="AW218" s="35" t="str">
        <f aca="false">HYPERLINK("http://dx.doi.org/10.1016/j.jksuci.2023.101616","http://dx.doi.org/10.1016/j.jksuci.2023.101616")</f>
        <v>http://dx.doi.org/10.1016/j.jksuci.2023.101616</v>
      </c>
      <c r="AX218" s="31" t="s">
        <v>21176</v>
      </c>
      <c r="AY218" s="31" t="n">
        <v>21</v>
      </c>
      <c r="AZ218" s="31" t="s">
        <v>17488</v>
      </c>
      <c r="BA218" s="31" t="s">
        <v>16366</v>
      </c>
      <c r="BB218" s="31" t="s">
        <v>16367</v>
      </c>
      <c r="BC218" s="31" t="s">
        <v>21177</v>
      </c>
      <c r="BD218" s="31"/>
      <c r="BE218" s="31" t="s">
        <v>16431</v>
      </c>
      <c r="BF218" s="31" t="s">
        <v>16369</v>
      </c>
      <c r="BG218" s="31" t="s">
        <v>21178</v>
      </c>
      <c r="BH218" s="31" t="str">
        <f aca="false">HYPERLINK("https%3A%2F%2Fwww.webofscience.com%2Fwos%2Fwoscc%2Ffull-record%2FWOS:001090317300001","View Full Record in Web of Science")</f>
        <v>View Full Record in Web of Science</v>
      </c>
      <c r="BI218" s="31"/>
      <c r="BJ218" s="31"/>
      <c r="BK218" s="31"/>
      <c r="BL218" s="31"/>
      <c r="BM218" s="31"/>
      <c r="BN218" s="31"/>
      <c r="BO218" s="31"/>
      <c r="BP218" s="31"/>
      <c r="BQ218" s="31"/>
      <c r="BR218" s="31"/>
      <c r="BS218" s="31"/>
      <c r="BT218" s="31"/>
      <c r="BU218" s="31"/>
      <c r="BV218" s="31"/>
      <c r="BW218" s="31"/>
      <c r="BX218" s="31"/>
      <c r="BY218" s="31"/>
      <c r="BZ218" s="31"/>
      <c r="CA218" s="31"/>
      <c r="CB218" s="31"/>
      <c r="CC218" s="31"/>
      <c r="CD218" s="31"/>
      <c r="CE218" s="31"/>
      <c r="CF218" s="31"/>
    </row>
    <row r="219" customFormat="false" ht="15.75" hidden="false" customHeight="true" outlineLevel="0" collapsed="false">
      <c r="A219" s="31" t="s">
        <v>16335</v>
      </c>
      <c r="B219" s="31" t="s">
        <v>21179</v>
      </c>
      <c r="C219" s="31" t="s">
        <v>21180</v>
      </c>
      <c r="D219" s="34" t="s">
        <v>21181</v>
      </c>
      <c r="E219" s="31" t="n">
        <v>2023</v>
      </c>
      <c r="F219" s="33" t="s">
        <v>21182</v>
      </c>
      <c r="G219" s="33" t="s">
        <v>134</v>
      </c>
      <c r="H219" s="32" t="s">
        <v>4101</v>
      </c>
      <c r="I219" s="32" t="s">
        <v>4101</v>
      </c>
      <c r="J219" s="32" t="s">
        <v>20908</v>
      </c>
      <c r="K219" s="32" t="s">
        <v>21131</v>
      </c>
      <c r="L219" s="34"/>
      <c r="M219" s="34"/>
      <c r="N219" s="34"/>
      <c r="O219" s="34"/>
      <c r="P219" s="34" t="n">
        <v>0</v>
      </c>
      <c r="Q219" s="31" t="n">
        <v>0</v>
      </c>
      <c r="R219" s="31" t="s">
        <v>61</v>
      </c>
      <c r="S219" s="31" t="s">
        <v>62</v>
      </c>
      <c r="T219" s="31" t="s">
        <v>21183</v>
      </c>
      <c r="U219" s="31" t="n">
        <v>21</v>
      </c>
      <c r="V219" s="31" t="s">
        <v>16384</v>
      </c>
      <c r="W219" s="31" t="n">
        <v>2</v>
      </c>
      <c r="X219" s="31" t="s">
        <v>21184</v>
      </c>
      <c r="Y219" s="31" t="s">
        <v>21185</v>
      </c>
      <c r="Z219" s="31" t="s">
        <v>21186</v>
      </c>
      <c r="AA219" s="31" t="s">
        <v>21187</v>
      </c>
      <c r="AB219" s="31" t="s">
        <v>21188</v>
      </c>
      <c r="AC219" s="31" t="s">
        <v>21189</v>
      </c>
      <c r="AD219" s="31" t="s">
        <v>21190</v>
      </c>
      <c r="AE219" s="31" t="s">
        <v>21191</v>
      </c>
      <c r="AF219" s="31"/>
      <c r="AG219" s="31"/>
      <c r="AH219" s="31"/>
      <c r="AI219" s="31" t="n">
        <v>109</v>
      </c>
      <c r="AJ219" s="31" t="n">
        <v>1</v>
      </c>
      <c r="AK219" s="31" t="n">
        <v>12</v>
      </c>
      <c r="AL219" s="31" t="s">
        <v>16395</v>
      </c>
      <c r="AM219" s="31" t="s">
        <v>16396</v>
      </c>
      <c r="AN219" s="31" t="s">
        <v>21192</v>
      </c>
      <c r="AO219" s="31"/>
      <c r="AP219" s="31" t="s">
        <v>21193</v>
      </c>
      <c r="AQ219" s="31" t="s">
        <v>21194</v>
      </c>
      <c r="AR219" s="31" t="s">
        <v>16970</v>
      </c>
      <c r="AS219" s="31" t="n">
        <v>310</v>
      </c>
      <c r="AT219" s="31" t="n">
        <v>319</v>
      </c>
      <c r="AU219" s="31"/>
      <c r="AV219" s="31" t="s">
        <v>21195</v>
      </c>
      <c r="AW219" s="35" t="str">
        <f aca="false">HYPERLINK("http://dx.doi.org/10.1109/TLA.2023.10015224","http://dx.doi.org/10.1109/TLA.2023.10015224")</f>
        <v>http://dx.doi.org/10.1109/TLA.2023.10015224</v>
      </c>
      <c r="AX219" s="31"/>
      <c r="AY219" s="31" t="n">
        <v>10</v>
      </c>
      <c r="AZ219" s="31" t="s">
        <v>21196</v>
      </c>
      <c r="BA219" s="31" t="s">
        <v>16366</v>
      </c>
      <c r="BB219" s="31" t="s">
        <v>16973</v>
      </c>
      <c r="BC219" s="31" t="s">
        <v>21197</v>
      </c>
      <c r="BD219" s="31"/>
      <c r="BE219" s="31"/>
      <c r="BF219" s="31" t="s">
        <v>16369</v>
      </c>
      <c r="BG219" s="31" t="s">
        <v>21198</v>
      </c>
      <c r="BH219" s="31" t="str">
        <f aca="false">HYPERLINK("https%3A%2F%2Fwww.webofscience.com%2Fwos%2Fwoscc%2Ffull-record%2FWOS:000912447500016","View Full Record in Web of Science")</f>
        <v>View Full Record in Web of Science</v>
      </c>
      <c r="BI219" s="31"/>
      <c r="BJ219" s="31"/>
      <c r="BK219" s="31"/>
      <c r="BL219" s="31"/>
      <c r="BM219" s="31"/>
      <c r="BN219" s="31"/>
      <c r="BO219" s="31"/>
      <c r="BP219" s="31"/>
      <c r="BQ219" s="31"/>
      <c r="BR219" s="31"/>
      <c r="BS219" s="31"/>
      <c r="BT219" s="31"/>
      <c r="BU219" s="31"/>
      <c r="BV219" s="31"/>
      <c r="BW219" s="31"/>
      <c r="BX219" s="31"/>
      <c r="BY219" s="31"/>
      <c r="BZ219" s="31"/>
      <c r="CA219" s="31"/>
      <c r="CB219" s="31"/>
      <c r="CC219" s="31"/>
      <c r="CD219" s="31"/>
      <c r="CE219" s="31"/>
      <c r="CF219" s="31"/>
    </row>
    <row r="220" customFormat="false" ht="159" hidden="false" customHeight="true" outlineLevel="0" collapsed="false">
      <c r="A220" s="31" t="s">
        <v>16335</v>
      </c>
      <c r="B220" s="31" t="s">
        <v>21199</v>
      </c>
      <c r="C220" s="31" t="s">
        <v>21200</v>
      </c>
      <c r="D220" s="34" t="s">
        <v>21201</v>
      </c>
      <c r="E220" s="31" t="n">
        <v>2023</v>
      </c>
      <c r="F220" s="33" t="s">
        <v>21202</v>
      </c>
      <c r="G220" s="33" t="s">
        <v>134</v>
      </c>
      <c r="H220" s="32" t="s">
        <v>21203</v>
      </c>
      <c r="I220" s="32"/>
      <c r="J220" s="32" t="s">
        <v>20908</v>
      </c>
      <c r="K220" s="32" t="s">
        <v>16409</v>
      </c>
      <c r="L220" s="32" t="s">
        <v>3754</v>
      </c>
      <c r="M220" s="32" t="s">
        <v>21204</v>
      </c>
      <c r="N220" s="32" t="s">
        <v>21205</v>
      </c>
      <c r="O220" s="32" t="s">
        <v>21206</v>
      </c>
      <c r="P220" s="34" t="n">
        <v>10</v>
      </c>
      <c r="Q220" s="31" t="n">
        <v>10</v>
      </c>
      <c r="R220" s="31" t="s">
        <v>61</v>
      </c>
      <c r="S220" s="31" t="s">
        <v>62</v>
      </c>
      <c r="T220" s="31" t="s">
        <v>18629</v>
      </c>
      <c r="U220" s="31" t="n">
        <v>13</v>
      </c>
      <c r="V220" s="31" t="s">
        <v>4048</v>
      </c>
      <c r="W220" s="31" t="n">
        <v>3</v>
      </c>
      <c r="X220" s="31" t="s">
        <v>21207</v>
      </c>
      <c r="Y220" s="31" t="s">
        <v>19040</v>
      </c>
      <c r="Z220" s="31" t="s">
        <v>21208</v>
      </c>
      <c r="AA220" s="31" t="s">
        <v>21209</v>
      </c>
      <c r="AB220" s="31" t="s">
        <v>21210</v>
      </c>
      <c r="AC220" s="31" t="s">
        <v>21211</v>
      </c>
      <c r="AD220" s="31" t="s">
        <v>21212</v>
      </c>
      <c r="AE220" s="31" t="s">
        <v>21213</v>
      </c>
      <c r="AF220" s="31" t="s">
        <v>21214</v>
      </c>
      <c r="AG220" s="31" t="s">
        <v>21215</v>
      </c>
      <c r="AH220" s="31" t="s">
        <v>21216</v>
      </c>
      <c r="AI220" s="31" t="n">
        <v>30</v>
      </c>
      <c r="AJ220" s="31" t="n">
        <v>1</v>
      </c>
      <c r="AK220" s="31" t="n">
        <v>14</v>
      </c>
      <c r="AL220" s="31" t="s">
        <v>16769</v>
      </c>
      <c r="AM220" s="31" t="s">
        <v>16770</v>
      </c>
      <c r="AN220" s="31"/>
      <c r="AO220" s="31" t="s">
        <v>18636</v>
      </c>
      <c r="AP220" s="31" t="s">
        <v>18629</v>
      </c>
      <c r="AQ220" s="31" t="s">
        <v>849</v>
      </c>
      <c r="AR220" s="31" t="s">
        <v>16970</v>
      </c>
      <c r="AS220" s="31"/>
      <c r="AT220" s="31"/>
      <c r="AU220" s="31" t="n">
        <v>404</v>
      </c>
      <c r="AV220" s="31" t="s">
        <v>21217</v>
      </c>
      <c r="AW220" s="35" t="str">
        <f aca="false">HYPERLINK("http://dx.doi.org/10.3390/diagnostics13030404","http://dx.doi.org/10.3390/diagnostics13030404")</f>
        <v>http://dx.doi.org/10.3390/diagnostics13030404</v>
      </c>
      <c r="AX220" s="31"/>
      <c r="AY220" s="31" t="n">
        <v>20</v>
      </c>
      <c r="AZ220" s="31" t="s">
        <v>16829</v>
      </c>
      <c r="BA220" s="31" t="s">
        <v>16366</v>
      </c>
      <c r="BB220" s="31" t="s">
        <v>16830</v>
      </c>
      <c r="BC220" s="31" t="s">
        <v>21218</v>
      </c>
      <c r="BD220" s="31" t="n">
        <v>36766509</v>
      </c>
      <c r="BE220" s="31" t="s">
        <v>17143</v>
      </c>
      <c r="BF220" s="31" t="s">
        <v>16369</v>
      </c>
      <c r="BG220" s="31" t="s">
        <v>21219</v>
      </c>
      <c r="BH220" s="31" t="str">
        <f aca="false">HYPERLINK("https%3A%2F%2Fwww.webofscience.com%2Fwos%2Fwoscc%2Ffull-record%2FWOS:000929417000001","View Full Record in Web of Science")</f>
        <v>View Full Record in Web of Science</v>
      </c>
      <c r="BI220" s="31"/>
      <c r="BJ220" s="31"/>
      <c r="BK220" s="31"/>
      <c r="BL220" s="31"/>
      <c r="BM220" s="31"/>
      <c r="BN220" s="31"/>
      <c r="BO220" s="31"/>
      <c r="BP220" s="31"/>
      <c r="BQ220" s="31"/>
      <c r="BR220" s="31"/>
      <c r="BS220" s="31"/>
      <c r="BT220" s="31"/>
      <c r="BU220" s="31"/>
      <c r="BV220" s="31"/>
      <c r="BW220" s="31"/>
      <c r="BX220" s="31"/>
      <c r="BY220" s="31"/>
      <c r="BZ220" s="31"/>
      <c r="CA220" s="31"/>
      <c r="CB220" s="31"/>
      <c r="CC220" s="31"/>
      <c r="CD220" s="31"/>
      <c r="CE220" s="31"/>
      <c r="CF220" s="31"/>
    </row>
    <row r="221" customFormat="false" ht="15.75" hidden="false" customHeight="true" outlineLevel="0" collapsed="false">
      <c r="A221" s="31" t="s">
        <v>16335</v>
      </c>
      <c r="B221" s="31" t="s">
        <v>21220</v>
      </c>
      <c r="C221" s="31" t="s">
        <v>21221</v>
      </c>
      <c r="D221" s="34" t="s">
        <v>21222</v>
      </c>
      <c r="E221" s="31" t="n">
        <v>2023</v>
      </c>
      <c r="F221" s="33" t="s">
        <v>21223</v>
      </c>
      <c r="G221" s="33" t="s">
        <v>349</v>
      </c>
      <c r="H221" s="32" t="s">
        <v>21224</v>
      </c>
      <c r="I221" s="32" t="s">
        <v>21225</v>
      </c>
      <c r="J221" s="34"/>
      <c r="K221" s="32" t="s">
        <v>16840</v>
      </c>
      <c r="L221" s="32" t="s">
        <v>3754</v>
      </c>
      <c r="M221" s="32" t="s">
        <v>21226</v>
      </c>
      <c r="N221" s="34"/>
      <c r="O221" s="34"/>
      <c r="P221" s="34" t="n">
        <v>11</v>
      </c>
      <c r="Q221" s="31" t="n">
        <v>11</v>
      </c>
      <c r="R221" s="31" t="s">
        <v>61</v>
      </c>
      <c r="S221" s="31" t="s">
        <v>62</v>
      </c>
      <c r="T221" s="31" t="s">
        <v>18629</v>
      </c>
      <c r="U221" s="31" t="n">
        <v>13</v>
      </c>
      <c r="V221" s="31" t="s">
        <v>4048</v>
      </c>
      <c r="W221" s="31" t="n">
        <v>6</v>
      </c>
      <c r="X221" s="31" t="s">
        <v>21227</v>
      </c>
      <c r="Y221" s="31" t="s">
        <v>21228</v>
      </c>
      <c r="Z221" s="31" t="s">
        <v>21229</v>
      </c>
      <c r="AA221" s="31" t="s">
        <v>21230</v>
      </c>
      <c r="AB221" s="31" t="s">
        <v>21231</v>
      </c>
      <c r="AC221" s="31" t="s">
        <v>21232</v>
      </c>
      <c r="AD221" s="31" t="s">
        <v>21233</v>
      </c>
      <c r="AE221" s="31" t="s">
        <v>21234</v>
      </c>
      <c r="AF221" s="31" t="s">
        <v>21235</v>
      </c>
      <c r="AG221" s="31" t="s">
        <v>21236</v>
      </c>
      <c r="AH221" s="31" t="s">
        <v>21237</v>
      </c>
      <c r="AI221" s="31" t="n">
        <v>53</v>
      </c>
      <c r="AJ221" s="31" t="n">
        <v>7</v>
      </c>
      <c r="AK221" s="31" t="n">
        <v>24</v>
      </c>
      <c r="AL221" s="31" t="s">
        <v>16769</v>
      </c>
      <c r="AM221" s="31" t="s">
        <v>16770</v>
      </c>
      <c r="AN221" s="31"/>
      <c r="AO221" s="31" t="s">
        <v>18636</v>
      </c>
      <c r="AP221" s="31" t="s">
        <v>18629</v>
      </c>
      <c r="AQ221" s="31" t="s">
        <v>849</v>
      </c>
      <c r="AR221" s="31" t="s">
        <v>17248</v>
      </c>
      <c r="AS221" s="31"/>
      <c r="AT221" s="31"/>
      <c r="AU221" s="31" t="n">
        <v>1093</v>
      </c>
      <c r="AV221" s="31" t="s">
        <v>21238</v>
      </c>
      <c r="AW221" s="35" t="str">
        <f aca="false">HYPERLINK("http://dx.doi.org/10.3390/diagnostics13061093","http://dx.doi.org/10.3390/diagnostics13061093")</f>
        <v>http://dx.doi.org/10.3390/diagnostics13061093</v>
      </c>
      <c r="AX221" s="31"/>
      <c r="AY221" s="31" t="n">
        <v>15</v>
      </c>
      <c r="AZ221" s="31" t="s">
        <v>16829</v>
      </c>
      <c r="BA221" s="31" t="s">
        <v>16366</v>
      </c>
      <c r="BB221" s="31" t="s">
        <v>16830</v>
      </c>
      <c r="BC221" s="31" t="s">
        <v>21239</v>
      </c>
      <c r="BD221" s="31" t="n">
        <v>36980401</v>
      </c>
      <c r="BE221" s="31" t="s">
        <v>16832</v>
      </c>
      <c r="BF221" s="31" t="s">
        <v>16369</v>
      </c>
      <c r="BG221" s="31" t="s">
        <v>21240</v>
      </c>
      <c r="BH221" s="31" t="str">
        <f aca="false">HYPERLINK("https%3A%2F%2Fwww.webofscience.com%2Fwos%2Fwoscc%2Ffull-record%2FWOS:000959175300001","View Full Record in Web of Science")</f>
        <v>View Full Record in Web of Science</v>
      </c>
      <c r="BI221" s="31"/>
      <c r="BJ221" s="31"/>
      <c r="BK221" s="31"/>
      <c r="BL221" s="31"/>
      <c r="BM221" s="31"/>
      <c r="BN221" s="31"/>
      <c r="BO221" s="31"/>
      <c r="BP221" s="31"/>
      <c r="BQ221" s="31"/>
      <c r="BR221" s="31"/>
      <c r="BS221" s="31"/>
      <c r="BT221" s="31"/>
      <c r="BU221" s="31"/>
      <c r="BV221" s="31"/>
      <c r="BW221" s="31"/>
      <c r="BX221" s="31"/>
      <c r="BY221" s="31"/>
      <c r="BZ221" s="31"/>
      <c r="CA221" s="31"/>
      <c r="CB221" s="31"/>
      <c r="CC221" s="31"/>
      <c r="CD221" s="31"/>
      <c r="CE221" s="31"/>
      <c r="CF221" s="31"/>
    </row>
    <row r="222" customFormat="false" ht="15.75" hidden="false" customHeight="true" outlineLevel="0" collapsed="false">
      <c r="A222" s="31" t="s">
        <v>16335</v>
      </c>
      <c r="B222" s="31" t="s">
        <v>21241</v>
      </c>
      <c r="C222" s="31" t="s">
        <v>21242</v>
      </c>
      <c r="D222" s="34" t="s">
        <v>21243</v>
      </c>
      <c r="E222" s="31" t="n">
        <v>2023</v>
      </c>
      <c r="F222" s="33" t="s">
        <v>21244</v>
      </c>
      <c r="G222" s="33" t="s">
        <v>134</v>
      </c>
      <c r="H222" s="32" t="s">
        <v>21245</v>
      </c>
      <c r="I222" s="32" t="s">
        <v>21246</v>
      </c>
      <c r="J222" s="32" t="s">
        <v>21247</v>
      </c>
      <c r="K222" s="32" t="s">
        <v>21248</v>
      </c>
      <c r="L222" s="32" t="s">
        <v>3754</v>
      </c>
      <c r="M222" s="32" t="s">
        <v>21249</v>
      </c>
      <c r="N222" s="34"/>
      <c r="O222" s="34"/>
      <c r="P222" s="34" t="n">
        <v>6</v>
      </c>
      <c r="Q222" s="31" t="n">
        <v>6</v>
      </c>
      <c r="R222" s="31" t="s">
        <v>61</v>
      </c>
      <c r="S222" s="31" t="s">
        <v>62</v>
      </c>
      <c r="T222" s="31" t="s">
        <v>16844</v>
      </c>
      <c r="U222" s="31" t="n">
        <v>17</v>
      </c>
      <c r="V222" s="31" t="s">
        <v>16845</v>
      </c>
      <c r="W222" s="31" t="n">
        <v>8</v>
      </c>
      <c r="X222" s="31"/>
      <c r="Y222" s="31" t="s">
        <v>21250</v>
      </c>
      <c r="Z222" s="31" t="s">
        <v>21251</v>
      </c>
      <c r="AA222" s="31" t="s">
        <v>21252</v>
      </c>
      <c r="AB222" s="31" t="s">
        <v>21253</v>
      </c>
      <c r="AC222" s="31" t="s">
        <v>21254</v>
      </c>
      <c r="AD222" s="31"/>
      <c r="AE222" s="31" t="s">
        <v>21255</v>
      </c>
      <c r="AF222" s="31" t="s">
        <v>21256</v>
      </c>
      <c r="AG222" s="31" t="s">
        <v>21257</v>
      </c>
      <c r="AH222" s="31" t="s">
        <v>21258</v>
      </c>
      <c r="AI222" s="31" t="n">
        <v>26</v>
      </c>
      <c r="AJ222" s="31" t="n">
        <v>3</v>
      </c>
      <c r="AK222" s="31" t="n">
        <v>13</v>
      </c>
      <c r="AL222" s="31" t="s">
        <v>16855</v>
      </c>
      <c r="AM222" s="31" t="s">
        <v>16856</v>
      </c>
      <c r="AN222" s="31" t="s">
        <v>16857</v>
      </c>
      <c r="AO222" s="31"/>
      <c r="AP222" s="31" t="s">
        <v>16858</v>
      </c>
      <c r="AQ222" s="31" t="s">
        <v>16859</v>
      </c>
      <c r="AR222" s="31" t="s">
        <v>17837</v>
      </c>
      <c r="AS222" s="31"/>
      <c r="AT222" s="31"/>
      <c r="AU222" s="31" t="s">
        <v>21259</v>
      </c>
      <c r="AV222" s="31" t="s">
        <v>21260</v>
      </c>
      <c r="AW222" s="35" t="str">
        <f aca="false">HYPERLINK("http://dx.doi.org/10.1371/journal.pntd.0011230","http://dx.doi.org/10.1371/journal.pntd.0011230")</f>
        <v>http://dx.doi.org/10.1371/journal.pntd.0011230</v>
      </c>
      <c r="AX222" s="31"/>
      <c r="AY222" s="31" t="n">
        <v>12</v>
      </c>
      <c r="AZ222" s="31" t="s">
        <v>16862</v>
      </c>
      <c r="BA222" s="31" t="s">
        <v>16366</v>
      </c>
      <c r="BB222" s="31" t="s">
        <v>16862</v>
      </c>
      <c r="BC222" s="31" t="s">
        <v>21261</v>
      </c>
      <c r="BD222" s="31" t="n">
        <v>37578966</v>
      </c>
      <c r="BE222" s="31" t="s">
        <v>17168</v>
      </c>
      <c r="BF222" s="31" t="s">
        <v>16369</v>
      </c>
      <c r="BG222" s="31" t="s">
        <v>21262</v>
      </c>
      <c r="BH222" s="31" t="str">
        <f aca="false">HYPERLINK("https%3A%2F%2Fwww.webofscience.com%2Fwos%2Fwoscc%2Ffull-record%2FWOS:001050824300004","View Full Record in Web of Science")</f>
        <v>View Full Record in Web of Science</v>
      </c>
      <c r="BI222" s="31"/>
      <c r="BJ222" s="31"/>
      <c r="BK222" s="31"/>
      <c r="BL222" s="31"/>
      <c r="BM222" s="31"/>
      <c r="BN222" s="31"/>
      <c r="BO222" s="31"/>
      <c r="BP222" s="31"/>
      <c r="BQ222" s="31"/>
      <c r="BR222" s="31"/>
      <c r="BS222" s="31"/>
      <c r="BT222" s="31"/>
      <c r="BU222" s="31"/>
      <c r="BV222" s="31"/>
      <c r="BW222" s="31"/>
      <c r="BX222" s="31"/>
      <c r="BY222" s="31"/>
      <c r="BZ222" s="31"/>
      <c r="CA222" s="31"/>
      <c r="CB222" s="31"/>
      <c r="CC222" s="31"/>
      <c r="CD222" s="31"/>
      <c r="CE222" s="31"/>
      <c r="CF222" s="31"/>
    </row>
    <row r="223" customFormat="false" ht="15.75" hidden="false" customHeight="true" outlineLevel="0" collapsed="false">
      <c r="A223" s="31" t="s">
        <v>16335</v>
      </c>
      <c r="B223" s="31" t="s">
        <v>21263</v>
      </c>
      <c r="C223" s="31" t="s">
        <v>21264</v>
      </c>
      <c r="D223" s="34" t="s">
        <v>21265</v>
      </c>
      <c r="E223" s="31" t="n">
        <v>2023</v>
      </c>
      <c r="F223" s="33" t="s">
        <v>21266</v>
      </c>
      <c r="G223" s="33" t="s">
        <v>349</v>
      </c>
      <c r="H223" s="32" t="s">
        <v>21267</v>
      </c>
      <c r="I223" s="32" t="s">
        <v>3715</v>
      </c>
      <c r="J223" s="32" t="s">
        <v>21268</v>
      </c>
      <c r="K223" s="32" t="s">
        <v>16840</v>
      </c>
      <c r="L223" s="32" t="s">
        <v>3754</v>
      </c>
      <c r="M223" s="32" t="s">
        <v>21269</v>
      </c>
      <c r="N223" s="34"/>
      <c r="O223" s="32" t="s">
        <v>21270</v>
      </c>
      <c r="P223" s="34" t="n">
        <v>8</v>
      </c>
      <c r="Q223" s="31" t="n">
        <v>8</v>
      </c>
      <c r="R223" s="31" t="s">
        <v>61</v>
      </c>
      <c r="S223" s="31" t="s">
        <v>62</v>
      </c>
      <c r="T223" s="31" t="s">
        <v>16844</v>
      </c>
      <c r="U223" s="31" t="n">
        <v>17</v>
      </c>
      <c r="V223" s="31" t="s">
        <v>16845</v>
      </c>
      <c r="W223" s="31" t="n">
        <v>3</v>
      </c>
      <c r="X223" s="31"/>
      <c r="Y223" s="31" t="s">
        <v>21271</v>
      </c>
      <c r="Z223" s="31" t="s">
        <v>21272</v>
      </c>
      <c r="AA223" s="31" t="s">
        <v>21273</v>
      </c>
      <c r="AB223" s="31" t="s">
        <v>21274</v>
      </c>
      <c r="AC223" s="31" t="s">
        <v>21275</v>
      </c>
      <c r="AD223" s="31" t="s">
        <v>21276</v>
      </c>
      <c r="AE223" s="31" t="s">
        <v>21277</v>
      </c>
      <c r="AF223" s="31" t="s">
        <v>21278</v>
      </c>
      <c r="AG223" s="31" t="s">
        <v>21279</v>
      </c>
      <c r="AH223" s="31" t="s">
        <v>21280</v>
      </c>
      <c r="AI223" s="31" t="n">
        <v>42</v>
      </c>
      <c r="AJ223" s="31" t="n">
        <v>2</v>
      </c>
      <c r="AK223" s="31" t="n">
        <v>9</v>
      </c>
      <c r="AL223" s="31" t="s">
        <v>16855</v>
      </c>
      <c r="AM223" s="31" t="s">
        <v>16856</v>
      </c>
      <c r="AN223" s="31" t="s">
        <v>16857</v>
      </c>
      <c r="AO223" s="31"/>
      <c r="AP223" s="31" t="s">
        <v>16858</v>
      </c>
      <c r="AQ223" s="31" t="s">
        <v>16859</v>
      </c>
      <c r="AR223" s="31" t="s">
        <v>17248</v>
      </c>
      <c r="AS223" s="31"/>
      <c r="AT223" s="31"/>
      <c r="AU223" s="31" t="s">
        <v>21281</v>
      </c>
      <c r="AV223" s="31" t="s">
        <v>21282</v>
      </c>
      <c r="AW223" s="35" t="str">
        <f aca="false">HYPERLINK("http://dx.doi.org/10.1371/journal.pntd.0011161","http://dx.doi.org/10.1371/journal.pntd.0011161")</f>
        <v>http://dx.doi.org/10.1371/journal.pntd.0011161</v>
      </c>
      <c r="AX223" s="31"/>
      <c r="AY223" s="31" t="n">
        <v>14</v>
      </c>
      <c r="AZ223" s="31" t="s">
        <v>16862</v>
      </c>
      <c r="BA223" s="31" t="s">
        <v>16366</v>
      </c>
      <c r="BB223" s="31" t="s">
        <v>16862</v>
      </c>
      <c r="BC223" s="31" t="s">
        <v>21283</v>
      </c>
      <c r="BD223" s="31" t="n">
        <v>36921001</v>
      </c>
      <c r="BE223" s="31" t="s">
        <v>17143</v>
      </c>
      <c r="BF223" s="31" t="s">
        <v>16369</v>
      </c>
      <c r="BG223" s="31" t="s">
        <v>21284</v>
      </c>
      <c r="BH223" s="31" t="str">
        <f aca="false">HYPERLINK("https%3A%2F%2Fwww.webofscience.com%2Fwos%2Fwoscc%2Ffull-record%2FWOS:000950147500002","View Full Record in Web of Science")</f>
        <v>View Full Record in Web of Science</v>
      </c>
      <c r="BI223" s="31"/>
      <c r="BJ223" s="31"/>
      <c r="BK223" s="31"/>
      <c r="BL223" s="31"/>
      <c r="BM223" s="31"/>
      <c r="BN223" s="31"/>
      <c r="BO223" s="31"/>
      <c r="BP223" s="31"/>
      <c r="BQ223" s="31"/>
      <c r="BR223" s="31"/>
      <c r="BS223" s="31"/>
      <c r="BT223" s="31"/>
      <c r="BU223" s="31"/>
      <c r="BV223" s="31"/>
      <c r="BW223" s="31"/>
      <c r="BX223" s="31"/>
      <c r="BY223" s="31"/>
      <c r="BZ223" s="31"/>
      <c r="CA223" s="31"/>
      <c r="CB223" s="31"/>
      <c r="CC223" s="31"/>
      <c r="CD223" s="31"/>
      <c r="CE223" s="31"/>
      <c r="CF223" s="31"/>
    </row>
    <row r="224" customFormat="false" ht="15.75" hidden="false" customHeight="true" outlineLevel="0" collapsed="false">
      <c r="A224" s="31" t="s">
        <v>16335</v>
      </c>
      <c r="B224" s="31" t="s">
        <v>21285</v>
      </c>
      <c r="C224" s="31" t="s">
        <v>21286</v>
      </c>
      <c r="D224" s="34" t="s">
        <v>21287</v>
      </c>
      <c r="E224" s="31" t="n">
        <v>2023</v>
      </c>
      <c r="F224" s="33" t="s">
        <v>21288</v>
      </c>
      <c r="G224" s="33" t="s">
        <v>134</v>
      </c>
      <c r="H224" s="32" t="s">
        <v>21289</v>
      </c>
      <c r="I224" s="32" t="s">
        <v>21289</v>
      </c>
      <c r="J224" s="32" t="s">
        <v>16782</v>
      </c>
      <c r="K224" s="32" t="s">
        <v>16840</v>
      </c>
      <c r="L224" s="32" t="s">
        <v>3754</v>
      </c>
      <c r="M224" s="32" t="s">
        <v>21290</v>
      </c>
      <c r="N224" s="32" t="s">
        <v>21291</v>
      </c>
      <c r="O224" s="32" t="s">
        <v>21292</v>
      </c>
      <c r="P224" s="34" t="n">
        <v>0</v>
      </c>
      <c r="Q224" s="31" t="n">
        <v>0</v>
      </c>
      <c r="R224" s="31" t="s">
        <v>61</v>
      </c>
      <c r="S224" s="31" t="s">
        <v>62</v>
      </c>
      <c r="T224" s="31" t="s">
        <v>21293</v>
      </c>
      <c r="U224" s="31" t="n">
        <v>102</v>
      </c>
      <c r="V224" s="31" t="s">
        <v>21294</v>
      </c>
      <c r="W224" s="31" t="n">
        <v>13</v>
      </c>
      <c r="X224" s="31" t="s">
        <v>21295</v>
      </c>
      <c r="Y224" s="31" t="s">
        <v>21296</v>
      </c>
      <c r="Z224" s="31" t="s">
        <v>21297</v>
      </c>
      <c r="AA224" s="31" t="s">
        <v>21298</v>
      </c>
      <c r="AB224" s="31" t="s">
        <v>21299</v>
      </c>
      <c r="AC224" s="31" t="s">
        <v>21300</v>
      </c>
      <c r="AD224" s="31"/>
      <c r="AE224" s="31"/>
      <c r="AF224" s="31"/>
      <c r="AG224" s="31"/>
      <c r="AH224" s="31"/>
      <c r="AI224" s="31" t="n">
        <v>93</v>
      </c>
      <c r="AJ224" s="31" t="n">
        <v>1</v>
      </c>
      <c r="AK224" s="31" t="n">
        <v>6</v>
      </c>
      <c r="AL224" s="31" t="s">
        <v>17680</v>
      </c>
      <c r="AM224" s="31" t="s">
        <v>21301</v>
      </c>
      <c r="AN224" s="31" t="s">
        <v>21302</v>
      </c>
      <c r="AO224" s="31" t="s">
        <v>21303</v>
      </c>
      <c r="AP224" s="31" t="s">
        <v>21293</v>
      </c>
      <c r="AQ224" s="31" t="s">
        <v>21304</v>
      </c>
      <c r="AR224" s="31" t="s">
        <v>21305</v>
      </c>
      <c r="AS224" s="31"/>
      <c r="AT224" s="31"/>
      <c r="AU224" s="31"/>
      <c r="AV224" s="31" t="s">
        <v>21306</v>
      </c>
      <c r="AW224" s="35" t="str">
        <f aca="false">HYPERLINK("http://dx.doi.org/10.1097/MD.0000000000033296","http://dx.doi.org/10.1097/MD.0000000000033296")</f>
        <v>http://dx.doi.org/10.1097/MD.0000000000033296</v>
      </c>
      <c r="AX224" s="31"/>
      <c r="AY224" s="31" t="n">
        <v>14</v>
      </c>
      <c r="AZ224" s="31" t="s">
        <v>16829</v>
      </c>
      <c r="BA224" s="31" t="s">
        <v>16366</v>
      </c>
      <c r="BB224" s="31" t="s">
        <v>16830</v>
      </c>
      <c r="BC224" s="31" t="s">
        <v>21307</v>
      </c>
      <c r="BD224" s="31" t="n">
        <v>37000053</v>
      </c>
      <c r="BE224" s="31" t="s">
        <v>16832</v>
      </c>
      <c r="BF224" s="31" t="s">
        <v>16369</v>
      </c>
      <c r="BG224" s="31" t="s">
        <v>21308</v>
      </c>
      <c r="BH224" s="31" t="str">
        <f aca="false">HYPERLINK("https%3A%2F%2Fwww.webofscience.com%2Fwos%2Fwoscc%2Ffull-record%2FWOS:000999760800055","View Full Record in Web of Science")</f>
        <v>View Full Record in Web of Science</v>
      </c>
      <c r="BI224" s="31"/>
      <c r="BJ224" s="31"/>
      <c r="BK224" s="31"/>
      <c r="BL224" s="31"/>
      <c r="BM224" s="31"/>
      <c r="BN224" s="31"/>
      <c r="BO224" s="31"/>
      <c r="BP224" s="31"/>
      <c r="BQ224" s="31"/>
      <c r="BR224" s="31"/>
      <c r="BS224" s="31"/>
      <c r="BT224" s="31"/>
      <c r="BU224" s="31"/>
      <c r="BV224" s="31"/>
      <c r="BW224" s="31"/>
      <c r="BX224" s="31"/>
      <c r="BY224" s="31"/>
      <c r="BZ224" s="31"/>
      <c r="CA224" s="31"/>
      <c r="CB224" s="31"/>
      <c r="CC224" s="31"/>
      <c r="CD224" s="31"/>
      <c r="CE224" s="31"/>
      <c r="CF224" s="31"/>
    </row>
    <row r="225" customFormat="false" ht="168" hidden="false" customHeight="true" outlineLevel="0" collapsed="false">
      <c r="A225" s="31" t="s">
        <v>16335</v>
      </c>
      <c r="B225" s="31" t="s">
        <v>21309</v>
      </c>
      <c r="C225" s="31" t="s">
        <v>21310</v>
      </c>
      <c r="D225" s="34" t="s">
        <v>21311</v>
      </c>
      <c r="E225" s="31" t="n">
        <v>2023</v>
      </c>
      <c r="F225" s="33" t="s">
        <v>21312</v>
      </c>
      <c r="G225" s="33" t="s">
        <v>134</v>
      </c>
      <c r="H225" s="32" t="s">
        <v>4573</v>
      </c>
      <c r="I225" s="32" t="s">
        <v>21313</v>
      </c>
      <c r="J225" s="32" t="s">
        <v>21092</v>
      </c>
      <c r="K225" s="32" t="s">
        <v>21314</v>
      </c>
      <c r="L225" s="32" t="s">
        <v>3754</v>
      </c>
      <c r="M225" s="32" t="s">
        <v>21315</v>
      </c>
      <c r="N225" s="32" t="s">
        <v>21316</v>
      </c>
      <c r="O225" s="32" t="s">
        <v>21317</v>
      </c>
      <c r="P225" s="34" t="n">
        <v>4</v>
      </c>
      <c r="Q225" s="31" t="n">
        <v>4</v>
      </c>
      <c r="R225" s="31" t="s">
        <v>61</v>
      </c>
      <c r="S225" s="31" t="s">
        <v>62</v>
      </c>
      <c r="T225" s="31" t="s">
        <v>21318</v>
      </c>
      <c r="U225" s="31" t="n">
        <v>37</v>
      </c>
      <c r="V225" s="31" t="s">
        <v>21319</v>
      </c>
      <c r="W225" s="31" t="n">
        <v>3</v>
      </c>
      <c r="X225" s="31" t="s">
        <v>21320</v>
      </c>
      <c r="Y225" s="31" t="s">
        <v>21321</v>
      </c>
      <c r="Z225" s="31" t="s">
        <v>21322</v>
      </c>
      <c r="AA225" s="31" t="s">
        <v>21323</v>
      </c>
      <c r="AB225" s="31" t="s">
        <v>21324</v>
      </c>
      <c r="AC225" s="31" t="s">
        <v>21325</v>
      </c>
      <c r="AD225" s="31" t="s">
        <v>21326</v>
      </c>
      <c r="AE225" s="31" t="s">
        <v>21327</v>
      </c>
      <c r="AF225" s="31"/>
      <c r="AG225" s="31"/>
      <c r="AH225" s="31"/>
      <c r="AI225" s="31" t="n">
        <v>45</v>
      </c>
      <c r="AJ225" s="31" t="n">
        <v>0</v>
      </c>
      <c r="AK225" s="31" t="n">
        <v>2</v>
      </c>
      <c r="AL225" s="31" t="s">
        <v>21328</v>
      </c>
      <c r="AM225" s="31" t="s">
        <v>21329</v>
      </c>
      <c r="AN225" s="31" t="s">
        <v>21330</v>
      </c>
      <c r="AO225" s="31" t="s">
        <v>21331</v>
      </c>
      <c r="AP225" s="31" t="s">
        <v>21332</v>
      </c>
      <c r="AQ225" s="31" t="s">
        <v>21333</v>
      </c>
      <c r="AR225" s="31" t="s">
        <v>21334</v>
      </c>
      <c r="AS225" s="31" t="n">
        <v>200</v>
      </c>
      <c r="AT225" s="31" t="n">
        <v>206</v>
      </c>
      <c r="AU225" s="31"/>
      <c r="AV225" s="31" t="s">
        <v>21335</v>
      </c>
      <c r="AW225" s="35" t="str">
        <f aca="false">HYPERLINK("http://dx.doi.org/10.4103/sjopt.sjopt_106_22","http://dx.doi.org/10.4103/sjopt.sjopt_106_22")</f>
        <v>http://dx.doi.org/10.4103/sjopt.sjopt_106_22</v>
      </c>
      <c r="AX225" s="31"/>
      <c r="AY225" s="31" t="n">
        <v>7</v>
      </c>
      <c r="AZ225" s="31" t="s">
        <v>21336</v>
      </c>
      <c r="BA225" s="31" t="s">
        <v>16684</v>
      </c>
      <c r="BB225" s="31" t="s">
        <v>21336</v>
      </c>
      <c r="BC225" s="31" t="s">
        <v>21337</v>
      </c>
      <c r="BD225" s="31" t="n">
        <v>38074296</v>
      </c>
      <c r="BE225" s="31" t="s">
        <v>18202</v>
      </c>
      <c r="BF225" s="31" t="s">
        <v>16369</v>
      </c>
      <c r="BG225" s="31" t="s">
        <v>21338</v>
      </c>
      <c r="BH225" s="31" t="str">
        <f aca="false">HYPERLINK("https%3A%2F%2Fwww.webofscience.com%2Fwos%2Fwoscc%2Ffull-record%2FWOS:001193667700006","View Full Record in Web of Science")</f>
        <v>View Full Record in Web of Science</v>
      </c>
      <c r="BI225" s="31"/>
      <c r="BJ225" s="31"/>
      <c r="BK225" s="31"/>
      <c r="BL225" s="31"/>
      <c r="BM225" s="31"/>
      <c r="BN225" s="31"/>
      <c r="BO225" s="31"/>
      <c r="BP225" s="31"/>
      <c r="BQ225" s="31"/>
      <c r="BR225" s="31"/>
      <c r="BS225" s="31"/>
      <c r="BT225" s="31"/>
      <c r="BU225" s="31"/>
      <c r="BV225" s="31"/>
      <c r="BW225" s="31"/>
      <c r="BX225" s="31"/>
      <c r="BY225" s="31"/>
      <c r="BZ225" s="31"/>
      <c r="CA225" s="31"/>
      <c r="CB225" s="31"/>
      <c r="CC225" s="31"/>
      <c r="CD225" s="31"/>
      <c r="CE225" s="31"/>
      <c r="CF225" s="31"/>
    </row>
    <row r="226" customFormat="false" ht="15.75" hidden="false" customHeight="true" outlineLevel="0" collapsed="false">
      <c r="A226" s="31" t="s">
        <v>16335</v>
      </c>
      <c r="B226" s="31" t="s">
        <v>21339</v>
      </c>
      <c r="C226" s="31" t="s">
        <v>21340</v>
      </c>
      <c r="D226" s="34" t="s">
        <v>21341</v>
      </c>
      <c r="E226" s="31" t="n">
        <v>2023</v>
      </c>
      <c r="F226" s="33" t="s">
        <v>21342</v>
      </c>
      <c r="G226" s="33" t="s">
        <v>349</v>
      </c>
      <c r="H226" s="32" t="s">
        <v>3920</v>
      </c>
      <c r="I226" s="32" t="s">
        <v>16559</v>
      </c>
      <c r="J226" s="32" t="s">
        <v>17442</v>
      </c>
      <c r="K226" s="32" t="s">
        <v>16840</v>
      </c>
      <c r="L226" s="32" t="s">
        <v>3754</v>
      </c>
      <c r="M226" s="32" t="s">
        <v>21343</v>
      </c>
      <c r="N226" s="34"/>
      <c r="O226" s="34"/>
      <c r="P226" s="34" t="n">
        <v>5</v>
      </c>
      <c r="Q226" s="31" t="n">
        <v>5</v>
      </c>
      <c r="R226" s="31" t="s">
        <v>61</v>
      </c>
      <c r="S226" s="31" t="s">
        <v>62</v>
      </c>
      <c r="T226" s="31" t="s">
        <v>18414</v>
      </c>
      <c r="U226" s="31" t="n">
        <v>85</v>
      </c>
      <c r="V226" s="31" t="s">
        <v>18415</v>
      </c>
      <c r="W226" s="31"/>
      <c r="X226" s="31" t="s">
        <v>21344</v>
      </c>
      <c r="Y226" s="31" t="s">
        <v>21345</v>
      </c>
      <c r="Z226" s="31" t="s">
        <v>21346</v>
      </c>
      <c r="AA226" s="31"/>
      <c r="AB226" s="31" t="s">
        <v>21347</v>
      </c>
      <c r="AC226" s="31" t="s">
        <v>21348</v>
      </c>
      <c r="AD226" s="31" t="s">
        <v>21349</v>
      </c>
      <c r="AE226" s="31" t="s">
        <v>21350</v>
      </c>
      <c r="AF226" s="31"/>
      <c r="AG226" s="31"/>
      <c r="AH226" s="31"/>
      <c r="AI226" s="31" t="n">
        <v>35</v>
      </c>
      <c r="AJ226" s="31" t="n">
        <v>3</v>
      </c>
      <c r="AK226" s="31" t="n">
        <v>13</v>
      </c>
      <c r="AL226" s="31" t="s">
        <v>2626</v>
      </c>
      <c r="AM226" s="31" t="s">
        <v>18422</v>
      </c>
      <c r="AN226" s="31" t="s">
        <v>18423</v>
      </c>
      <c r="AO226" s="31" t="s">
        <v>18424</v>
      </c>
      <c r="AP226" s="31" t="s">
        <v>18425</v>
      </c>
      <c r="AQ226" s="31" t="s">
        <v>7616</v>
      </c>
      <c r="AR226" s="31" t="s">
        <v>17837</v>
      </c>
      <c r="AS226" s="31"/>
      <c r="AT226" s="31"/>
      <c r="AU226" s="31" t="n">
        <v>104809</v>
      </c>
      <c r="AV226" s="31" t="s">
        <v>21351</v>
      </c>
      <c r="AW226" s="35" t="str">
        <f aca="false">HYPERLINK("http://dx.doi.org/10.1016/j.bspc.2023.104809","http://dx.doi.org/10.1016/j.bspc.2023.104809")</f>
        <v>http://dx.doi.org/10.1016/j.bspc.2023.104809</v>
      </c>
      <c r="AX226" s="31" t="s">
        <v>21352</v>
      </c>
      <c r="AY226" s="31" t="n">
        <v>13</v>
      </c>
      <c r="AZ226" s="31" t="s">
        <v>18428</v>
      </c>
      <c r="BA226" s="31" t="s">
        <v>16366</v>
      </c>
      <c r="BB226" s="31" t="s">
        <v>18429</v>
      </c>
      <c r="BC226" s="31" t="s">
        <v>21353</v>
      </c>
      <c r="BD226" s="31"/>
      <c r="BE226" s="31"/>
      <c r="BF226" s="31" t="s">
        <v>16369</v>
      </c>
      <c r="BG226" s="31" t="s">
        <v>21354</v>
      </c>
      <c r="BH226" s="31" t="str">
        <f aca="false">HYPERLINK("https%3A%2F%2Fwww.webofscience.com%2Fwos%2Fwoscc%2Ffull-record%2FWOS:000971528100001","View Full Record in Web of Science")</f>
        <v>View Full Record in Web of Science</v>
      </c>
      <c r="BI226" s="31"/>
      <c r="BJ226" s="31"/>
      <c r="BK226" s="31"/>
      <c r="BL226" s="31"/>
      <c r="BM226" s="31"/>
      <c r="BN226" s="31"/>
      <c r="BO226" s="31"/>
      <c r="BP226" s="31"/>
      <c r="BQ226" s="31"/>
      <c r="BR226" s="31"/>
      <c r="BS226" s="31"/>
      <c r="BT226" s="31"/>
      <c r="BU226" s="31"/>
      <c r="BV226" s="31"/>
      <c r="BW226" s="31"/>
      <c r="BX226" s="31"/>
      <c r="BY226" s="31"/>
      <c r="BZ226" s="31"/>
      <c r="CA226" s="31"/>
      <c r="CB226" s="31"/>
      <c r="CC226" s="31"/>
      <c r="CD226" s="31"/>
      <c r="CE226" s="31"/>
      <c r="CF226" s="31"/>
    </row>
    <row r="227" customFormat="false" ht="15.75" hidden="false" customHeight="true" outlineLevel="0" collapsed="false">
      <c r="A227" s="31" t="s">
        <v>16335</v>
      </c>
      <c r="B227" s="31" t="s">
        <v>21355</v>
      </c>
      <c r="C227" s="31" t="s">
        <v>21356</v>
      </c>
      <c r="D227" s="34" t="s">
        <v>21357</v>
      </c>
      <c r="E227" s="31" t="n">
        <v>2023</v>
      </c>
      <c r="F227" s="33" t="s">
        <v>21358</v>
      </c>
      <c r="G227" s="33" t="s">
        <v>134</v>
      </c>
      <c r="H227" s="32" t="s">
        <v>21359</v>
      </c>
      <c r="I227" s="32" t="s">
        <v>16559</v>
      </c>
      <c r="J227" s="32" t="s">
        <v>21360</v>
      </c>
      <c r="K227" s="32" t="s">
        <v>21361</v>
      </c>
      <c r="L227" s="32" t="s">
        <v>3754</v>
      </c>
      <c r="M227" s="32" t="s">
        <v>21362</v>
      </c>
      <c r="N227" s="34"/>
      <c r="O227" s="32" t="s">
        <v>21363</v>
      </c>
      <c r="P227" s="34" t="n">
        <v>16</v>
      </c>
      <c r="Q227" s="31" t="n">
        <v>16</v>
      </c>
      <c r="R227" s="31" t="s">
        <v>61</v>
      </c>
      <c r="S227" s="31" t="s">
        <v>62</v>
      </c>
      <c r="T227" s="31" t="s">
        <v>21364</v>
      </c>
      <c r="U227" s="31" t="n">
        <v>4</v>
      </c>
      <c r="V227" s="31" t="s">
        <v>19038</v>
      </c>
      <c r="W227" s="31" t="n">
        <v>9</v>
      </c>
      <c r="X227" s="31"/>
      <c r="Y227" s="31" t="s">
        <v>21365</v>
      </c>
      <c r="Z227" s="31" t="s">
        <v>21366</v>
      </c>
      <c r="AA227" s="31" t="s">
        <v>21367</v>
      </c>
      <c r="AB227" s="31" t="s">
        <v>21368</v>
      </c>
      <c r="AC227" s="31" t="s">
        <v>21369</v>
      </c>
      <c r="AD227" s="31" t="s">
        <v>21370</v>
      </c>
      <c r="AE227" s="31" t="s">
        <v>21371</v>
      </c>
      <c r="AF227" s="31" t="s">
        <v>21372</v>
      </c>
      <c r="AG227" s="31" t="s">
        <v>21373</v>
      </c>
      <c r="AH227" s="31" t="s">
        <v>21374</v>
      </c>
      <c r="AI227" s="31" t="n">
        <v>75</v>
      </c>
      <c r="AJ227" s="31" t="n">
        <v>0</v>
      </c>
      <c r="AK227" s="31" t="n">
        <v>3</v>
      </c>
      <c r="AL227" s="31" t="s">
        <v>17507</v>
      </c>
      <c r="AM227" s="31" t="s">
        <v>19050</v>
      </c>
      <c r="AN227" s="31" t="s">
        <v>21375</v>
      </c>
      <c r="AO227" s="31"/>
      <c r="AP227" s="31" t="s">
        <v>21376</v>
      </c>
      <c r="AQ227" s="31" t="s">
        <v>21377</v>
      </c>
      <c r="AR227" s="31" t="s">
        <v>20922</v>
      </c>
      <c r="AS227" s="31" t="n">
        <v>635</v>
      </c>
      <c r="AT227" s="31" t="s">
        <v>21378</v>
      </c>
      <c r="AU227" s="31"/>
      <c r="AV227" s="31" t="s">
        <v>21379</v>
      </c>
      <c r="AW227" s="35" t="str">
        <f aca="false">HYPERLINK("http://dx.doi.org/10.1016/j.medj.2023.06.007","http://dx.doi.org/10.1016/j.medj.2023.06.007")</f>
        <v>http://dx.doi.org/10.1016/j.medj.2023.06.007</v>
      </c>
      <c r="AX227" s="31" t="s">
        <v>18935</v>
      </c>
      <c r="AY227" s="31" t="n">
        <v>26</v>
      </c>
      <c r="AZ227" s="31" t="s">
        <v>21380</v>
      </c>
      <c r="BA227" s="31" t="s">
        <v>16684</v>
      </c>
      <c r="BB227" s="31" t="s">
        <v>21381</v>
      </c>
      <c r="BC227" s="31" t="s">
        <v>21382</v>
      </c>
      <c r="BD227" s="31" t="n">
        <v>37597512</v>
      </c>
      <c r="BE227" s="31" t="s">
        <v>17842</v>
      </c>
      <c r="BF227" s="31" t="s">
        <v>16369</v>
      </c>
      <c r="BG227" s="31" t="s">
        <v>21383</v>
      </c>
      <c r="BH227" s="31" t="str">
        <f aca="false">HYPERLINK("https%3A%2F%2Fwww.webofscience.com%2Fwos%2Fwoscc%2Ffull-record%2FWOS:001076655200001","View Full Record in Web of Science")</f>
        <v>View Full Record in Web of Science</v>
      </c>
      <c r="BI227" s="31"/>
      <c r="BJ227" s="31"/>
      <c r="BK227" s="31"/>
      <c r="BL227" s="31"/>
      <c r="BM227" s="31"/>
      <c r="BN227" s="31"/>
      <c r="BO227" s="31"/>
      <c r="BP227" s="31"/>
      <c r="BQ227" s="31"/>
      <c r="BR227" s="31"/>
      <c r="BS227" s="31"/>
      <c r="BT227" s="31"/>
      <c r="BU227" s="31"/>
      <c r="BV227" s="31"/>
      <c r="BW227" s="31"/>
      <c r="BX227" s="31"/>
      <c r="BY227" s="31" t="s">
        <v>21384</v>
      </c>
      <c r="BZ227" s="31"/>
      <c r="CA227" s="31"/>
      <c r="CB227" s="31"/>
      <c r="CC227" s="31"/>
      <c r="CD227" s="31"/>
      <c r="CE227" s="31"/>
      <c r="CF227" s="31"/>
    </row>
    <row r="228" customFormat="false" ht="15.75" hidden="false" customHeight="true" outlineLevel="0" collapsed="false">
      <c r="A228" s="31" t="s">
        <v>16335</v>
      </c>
      <c r="B228" s="31" t="s">
        <v>21385</v>
      </c>
      <c r="C228" s="31" t="s">
        <v>21386</v>
      </c>
      <c r="D228" s="34" t="s">
        <v>21387</v>
      </c>
      <c r="E228" s="31" t="n">
        <v>2023</v>
      </c>
      <c r="F228" s="33" t="s">
        <v>21388</v>
      </c>
      <c r="G228" s="33" t="s">
        <v>134</v>
      </c>
      <c r="H228" s="32" t="s">
        <v>4728</v>
      </c>
      <c r="I228" s="32" t="s">
        <v>21389</v>
      </c>
      <c r="J228" s="32" t="s">
        <v>20908</v>
      </c>
      <c r="K228" s="32" t="s">
        <v>16409</v>
      </c>
      <c r="L228" s="32" t="s">
        <v>3754</v>
      </c>
      <c r="M228" s="32" t="s">
        <v>21390</v>
      </c>
      <c r="N228" s="32" t="s">
        <v>21391</v>
      </c>
      <c r="O228" s="34"/>
      <c r="P228" s="34" t="n">
        <v>12</v>
      </c>
      <c r="Q228" s="31" t="n">
        <v>12</v>
      </c>
      <c r="R228" s="31" t="s">
        <v>61</v>
      </c>
      <c r="S228" s="31" t="s">
        <v>62</v>
      </c>
      <c r="T228" s="31" t="s">
        <v>21392</v>
      </c>
      <c r="U228" s="31" t="n">
        <v>45</v>
      </c>
      <c r="V228" s="31" t="s">
        <v>20334</v>
      </c>
      <c r="W228" s="31" t="n">
        <v>5</v>
      </c>
      <c r="X228" s="31" t="s">
        <v>21393</v>
      </c>
      <c r="Y228" s="31" t="s">
        <v>21394</v>
      </c>
      <c r="Z228" s="31" t="s">
        <v>21395</v>
      </c>
      <c r="AA228" s="31" t="s">
        <v>21396</v>
      </c>
      <c r="AB228" s="31" t="s">
        <v>21397</v>
      </c>
      <c r="AC228" s="31" t="s">
        <v>21398</v>
      </c>
      <c r="AD228" s="31" t="s">
        <v>21399</v>
      </c>
      <c r="AE228" s="31" t="s">
        <v>21400</v>
      </c>
      <c r="AF228" s="31"/>
      <c r="AG228" s="31"/>
      <c r="AH228" s="31"/>
      <c r="AI228" s="31" t="n">
        <v>42</v>
      </c>
      <c r="AJ228" s="31" t="n">
        <v>2</v>
      </c>
      <c r="AK228" s="31" t="n">
        <v>15</v>
      </c>
      <c r="AL228" s="31" t="s">
        <v>16821</v>
      </c>
      <c r="AM228" s="31" t="s">
        <v>20342</v>
      </c>
      <c r="AN228" s="31" t="s">
        <v>21401</v>
      </c>
      <c r="AO228" s="31" t="s">
        <v>21402</v>
      </c>
      <c r="AP228" s="31" t="s">
        <v>21403</v>
      </c>
      <c r="AQ228" s="31" t="s">
        <v>21404</v>
      </c>
      <c r="AR228" s="31" t="s">
        <v>17248</v>
      </c>
      <c r="AS228" s="31" t="n">
        <v>975</v>
      </c>
      <c r="AT228" s="31" t="n">
        <v>985</v>
      </c>
      <c r="AU228" s="31"/>
      <c r="AV228" s="31" t="s">
        <v>21405</v>
      </c>
      <c r="AW228" s="35" t="str">
        <f aca="false">HYPERLINK("http://dx.doi.org/10.1177/01423312221147335","http://dx.doi.org/10.1177/01423312221147335")</f>
        <v>http://dx.doi.org/10.1177/01423312221147335</v>
      </c>
      <c r="AX228" s="31" t="s">
        <v>20994</v>
      </c>
      <c r="AY228" s="31" t="n">
        <v>11</v>
      </c>
      <c r="AZ228" s="31" t="s">
        <v>21406</v>
      </c>
      <c r="BA228" s="31" t="s">
        <v>16366</v>
      </c>
      <c r="BB228" s="31" t="s">
        <v>21406</v>
      </c>
      <c r="BC228" s="31" t="s">
        <v>21407</v>
      </c>
      <c r="BD228" s="31"/>
      <c r="BE228" s="31"/>
      <c r="BF228" s="31" t="s">
        <v>16369</v>
      </c>
      <c r="BG228" s="31" t="s">
        <v>21408</v>
      </c>
      <c r="BH228" s="31" t="str">
        <f aca="false">HYPERLINK("https%3A%2F%2Fwww.webofscience.com%2Fwos%2Fwoscc%2Ffull-record%2FWOS:000916508900001","View Full Record in Web of Science")</f>
        <v>View Full Record in Web of Science</v>
      </c>
      <c r="BI228" s="31"/>
      <c r="BJ228" s="31"/>
      <c r="BK228" s="31"/>
      <c r="BL228" s="31"/>
      <c r="BM228" s="31"/>
      <c r="BN228" s="31"/>
      <c r="BO228" s="31"/>
      <c r="BP228" s="31"/>
      <c r="BQ228" s="31"/>
      <c r="BR228" s="31"/>
      <c r="BS228" s="31"/>
      <c r="BT228" s="31"/>
      <c r="BU228" s="31"/>
      <c r="BV228" s="31"/>
      <c r="BW228" s="31"/>
      <c r="BX228" s="31"/>
      <c r="BY228" s="31"/>
      <c r="BZ228" s="31"/>
      <c r="CA228" s="31"/>
      <c r="CB228" s="31"/>
      <c r="CC228" s="31"/>
      <c r="CD228" s="31"/>
      <c r="CE228" s="31"/>
      <c r="CF228" s="31"/>
    </row>
    <row r="229" customFormat="false" ht="15.75" hidden="false" customHeight="true" outlineLevel="0" collapsed="false">
      <c r="A229" s="31" t="s">
        <v>16335</v>
      </c>
      <c r="B229" s="31" t="s">
        <v>21409</v>
      </c>
      <c r="C229" s="31" t="s">
        <v>21410</v>
      </c>
      <c r="D229" s="34" t="s">
        <v>21411</v>
      </c>
      <c r="E229" s="31" t="n">
        <v>2023</v>
      </c>
      <c r="F229" s="33" t="s">
        <v>21412</v>
      </c>
      <c r="G229" s="33" t="s">
        <v>349</v>
      </c>
      <c r="H229" s="32" t="s">
        <v>21413</v>
      </c>
      <c r="I229" s="32" t="s">
        <v>3715</v>
      </c>
      <c r="J229" s="32" t="s">
        <v>20908</v>
      </c>
      <c r="K229" s="32" t="s">
        <v>16409</v>
      </c>
      <c r="L229" s="32" t="s">
        <v>3754</v>
      </c>
      <c r="M229" s="32" t="s">
        <v>21414</v>
      </c>
      <c r="N229" s="32" t="s">
        <v>21415</v>
      </c>
      <c r="O229" s="34"/>
      <c r="P229" s="34" t="n">
        <v>10</v>
      </c>
      <c r="Q229" s="31" t="n">
        <v>10</v>
      </c>
      <c r="R229" s="31" t="s">
        <v>61</v>
      </c>
      <c r="S229" s="31" t="s">
        <v>62</v>
      </c>
      <c r="T229" s="31" t="s">
        <v>16383</v>
      </c>
      <c r="U229" s="31" t="n">
        <v>11</v>
      </c>
      <c r="V229" s="31" t="s">
        <v>16384</v>
      </c>
      <c r="W229" s="31"/>
      <c r="X229" s="31" t="s">
        <v>21416</v>
      </c>
      <c r="Y229" s="31" t="s">
        <v>21417</v>
      </c>
      <c r="Z229" s="31" t="s">
        <v>21418</v>
      </c>
      <c r="AA229" s="31" t="s">
        <v>21419</v>
      </c>
      <c r="AB229" s="31" t="s">
        <v>21420</v>
      </c>
      <c r="AC229" s="31" t="s">
        <v>21421</v>
      </c>
      <c r="AD229" s="31" t="s">
        <v>21422</v>
      </c>
      <c r="AE229" s="31" t="s">
        <v>21423</v>
      </c>
      <c r="AF229" s="31" t="s">
        <v>21424</v>
      </c>
      <c r="AG229" s="31" t="s">
        <v>21425</v>
      </c>
      <c r="AH229" s="31" t="s">
        <v>21426</v>
      </c>
      <c r="AI229" s="31" t="n">
        <v>56</v>
      </c>
      <c r="AJ229" s="31" t="n">
        <v>1</v>
      </c>
      <c r="AK229" s="31" t="n">
        <v>15</v>
      </c>
      <c r="AL229" s="31" t="s">
        <v>16395</v>
      </c>
      <c r="AM229" s="31" t="s">
        <v>16396</v>
      </c>
      <c r="AN229" s="31" t="s">
        <v>16397</v>
      </c>
      <c r="AO229" s="31"/>
      <c r="AP229" s="31" t="s">
        <v>16383</v>
      </c>
      <c r="AQ229" s="31" t="s">
        <v>186</v>
      </c>
      <c r="AR229" s="31"/>
      <c r="AS229" s="31" t="n">
        <v>4117</v>
      </c>
      <c r="AT229" s="31" t="n">
        <v>4130</v>
      </c>
      <c r="AU229" s="31"/>
      <c r="AV229" s="31" t="s">
        <v>21427</v>
      </c>
      <c r="AW229" s="35" t="str">
        <f aca="false">HYPERLINK("http://dx.doi.org/10.1109/ACCESS.2023.3234279","http://dx.doi.org/10.1109/ACCESS.2023.3234279")</f>
        <v>http://dx.doi.org/10.1109/ACCESS.2023.3234279</v>
      </c>
      <c r="AX229" s="31"/>
      <c r="AY229" s="31" t="n">
        <v>14</v>
      </c>
      <c r="AZ229" s="31" t="s">
        <v>16399</v>
      </c>
      <c r="BA229" s="31" t="s">
        <v>16366</v>
      </c>
      <c r="BB229" s="31" t="s">
        <v>16400</v>
      </c>
      <c r="BC229" s="31" t="s">
        <v>21428</v>
      </c>
      <c r="BD229" s="31"/>
      <c r="BE229" s="31" t="s">
        <v>16431</v>
      </c>
      <c r="BF229" s="31" t="s">
        <v>16369</v>
      </c>
      <c r="BG229" s="31" t="s">
        <v>21429</v>
      </c>
      <c r="BH229" s="31" t="str">
        <f aca="false">HYPERLINK("https%3A%2F%2Fwww.webofscience.com%2Fwos%2Fwoscc%2Ffull-record%2FWOS:000917680000001","View Full Record in Web of Science")</f>
        <v>View Full Record in Web of Science</v>
      </c>
      <c r="BI229" s="31"/>
      <c r="BJ229" s="31"/>
      <c r="BK229" s="31"/>
      <c r="BL229" s="31"/>
      <c r="BM229" s="31"/>
      <c r="BN229" s="31"/>
      <c r="BO229" s="31"/>
      <c r="BP229" s="31"/>
      <c r="BQ229" s="31"/>
      <c r="BR229" s="31"/>
      <c r="BS229" s="31"/>
      <c r="BT229" s="31"/>
      <c r="BU229" s="31"/>
      <c r="BV229" s="31"/>
      <c r="BW229" s="31"/>
      <c r="BX229" s="31"/>
      <c r="BY229" s="31"/>
      <c r="BZ229" s="31"/>
      <c r="CA229" s="31"/>
      <c r="CB229" s="31"/>
      <c r="CC229" s="31"/>
      <c r="CD229" s="31"/>
      <c r="CE229" s="31"/>
      <c r="CF229" s="31"/>
    </row>
    <row r="230" customFormat="false" ht="15.75" hidden="false" customHeight="true" outlineLevel="0" collapsed="false">
      <c r="A230" s="31" t="s">
        <v>16335</v>
      </c>
      <c r="B230" s="31" t="s">
        <v>21430</v>
      </c>
      <c r="C230" s="31" t="s">
        <v>21431</v>
      </c>
      <c r="D230" s="34" t="s">
        <v>21432</v>
      </c>
      <c r="E230" s="31" t="n">
        <v>2023</v>
      </c>
      <c r="F230" s="33" t="s">
        <v>21433</v>
      </c>
      <c r="G230" s="33" t="s">
        <v>349</v>
      </c>
      <c r="H230" s="32" t="s">
        <v>3920</v>
      </c>
      <c r="I230" s="32"/>
      <c r="J230" s="32" t="s">
        <v>21434</v>
      </c>
      <c r="K230" s="32" t="s">
        <v>16840</v>
      </c>
      <c r="L230" s="32" t="s">
        <v>3754</v>
      </c>
      <c r="M230" s="32" t="s">
        <v>21435</v>
      </c>
      <c r="N230" s="32" t="s">
        <v>21436</v>
      </c>
      <c r="O230" s="34"/>
      <c r="P230" s="34" t="n">
        <v>0</v>
      </c>
      <c r="Q230" s="31" t="n">
        <v>0</v>
      </c>
      <c r="R230" s="31" t="s">
        <v>61</v>
      </c>
      <c r="S230" s="31" t="s">
        <v>62</v>
      </c>
      <c r="T230" s="31" t="s">
        <v>21437</v>
      </c>
      <c r="U230" s="31" t="n">
        <v>39</v>
      </c>
      <c r="V230" s="31" t="s">
        <v>21438</v>
      </c>
      <c r="W230" s="31" t="n">
        <v>6</v>
      </c>
      <c r="X230" s="31" t="s">
        <v>21439</v>
      </c>
      <c r="Y230" s="31"/>
      <c r="Z230" s="31" t="s">
        <v>21440</v>
      </c>
      <c r="AA230" s="31" t="s">
        <v>21441</v>
      </c>
      <c r="AB230" s="31" t="s">
        <v>21442</v>
      </c>
      <c r="AC230" s="31" t="s">
        <v>21443</v>
      </c>
      <c r="AD230" s="31" t="s">
        <v>21444</v>
      </c>
      <c r="AE230" s="31" t="s">
        <v>21445</v>
      </c>
      <c r="AF230" s="31" t="s">
        <v>21446</v>
      </c>
      <c r="AG230" s="31" t="s">
        <v>21447</v>
      </c>
      <c r="AH230" s="31" t="s">
        <v>21448</v>
      </c>
      <c r="AI230" s="31" t="n">
        <v>35</v>
      </c>
      <c r="AJ230" s="31" t="n">
        <v>4</v>
      </c>
      <c r="AK230" s="31" t="n">
        <v>6</v>
      </c>
      <c r="AL230" s="31" t="s">
        <v>21449</v>
      </c>
      <c r="AM230" s="31" t="s">
        <v>21450</v>
      </c>
      <c r="AN230" s="31" t="s">
        <v>21451</v>
      </c>
      <c r="AO230" s="31"/>
      <c r="AP230" s="31" t="s">
        <v>21452</v>
      </c>
      <c r="AQ230" s="31" t="s">
        <v>21453</v>
      </c>
      <c r="AR230" s="31" t="s">
        <v>17139</v>
      </c>
      <c r="AS230" s="31" t="n">
        <v>1383</v>
      </c>
      <c r="AT230" s="31" t="n">
        <v>1401</v>
      </c>
      <c r="AU230" s="31"/>
      <c r="AV230" s="31" t="s">
        <v>21454</v>
      </c>
      <c r="AW230" s="35" t="str">
        <f aca="false">HYPERLINK("http://dx.doi.org/10.6688/JISE.202311_39(6).0009","http://dx.doi.org/10.6688/JISE.202311_39(6).0009")</f>
        <v>http://dx.doi.org/10.6688/JISE.202311_39(6).0009</v>
      </c>
      <c r="AX230" s="31"/>
      <c r="AY230" s="31" t="n">
        <v>19</v>
      </c>
      <c r="AZ230" s="31" t="s">
        <v>17488</v>
      </c>
      <c r="BA230" s="31" t="s">
        <v>16366</v>
      </c>
      <c r="BB230" s="31" t="s">
        <v>16367</v>
      </c>
      <c r="BC230" s="31" t="s">
        <v>21455</v>
      </c>
      <c r="BD230" s="31"/>
      <c r="BE230" s="31"/>
      <c r="BF230" s="31" t="s">
        <v>16369</v>
      </c>
      <c r="BG230" s="31" t="s">
        <v>21456</v>
      </c>
      <c r="BH230" s="31" t="str">
        <f aca="false">HYPERLINK("https%3A%2F%2Fwww.webofscience.com%2Fwos%2Fwoscc%2Ffull-record%2FWOS:001133548500007","View Full Record in Web of Science")</f>
        <v>View Full Record in Web of Science</v>
      </c>
      <c r="BI230" s="31"/>
      <c r="BJ230" s="31"/>
      <c r="BK230" s="31"/>
      <c r="BL230" s="31"/>
      <c r="BM230" s="31"/>
      <c r="BN230" s="31"/>
      <c r="BO230" s="31"/>
      <c r="BP230" s="31"/>
      <c r="BQ230" s="31"/>
      <c r="BR230" s="31"/>
      <c r="BS230" s="31"/>
      <c r="BT230" s="31"/>
      <c r="BU230" s="31"/>
      <c r="BV230" s="31"/>
      <c r="BW230" s="31"/>
      <c r="BX230" s="31"/>
      <c r="BY230" s="31"/>
      <c r="BZ230" s="31"/>
      <c r="CA230" s="31"/>
      <c r="CB230" s="31"/>
      <c r="CC230" s="31"/>
      <c r="CD230" s="31"/>
      <c r="CE230" s="31"/>
      <c r="CF230" s="31"/>
    </row>
    <row r="231" customFormat="false" ht="15.75" hidden="false" customHeight="true" outlineLevel="0" collapsed="false">
      <c r="A231" s="31" t="s">
        <v>16335</v>
      </c>
      <c r="B231" s="31" t="s">
        <v>21457</v>
      </c>
      <c r="C231" s="31" t="s">
        <v>21458</v>
      </c>
      <c r="D231" s="34" t="s">
        <v>21459</v>
      </c>
      <c r="E231" s="31" t="n">
        <v>2023</v>
      </c>
      <c r="F231" s="33" t="s">
        <v>21460</v>
      </c>
      <c r="G231" s="33" t="s">
        <v>134</v>
      </c>
      <c r="H231" s="32" t="s">
        <v>21461</v>
      </c>
      <c r="I231" s="32" t="s">
        <v>21462</v>
      </c>
      <c r="J231" s="32" t="s">
        <v>21109</v>
      </c>
      <c r="K231" s="32" t="s">
        <v>16409</v>
      </c>
      <c r="L231" s="32" t="s">
        <v>3754</v>
      </c>
      <c r="M231" s="32" t="s">
        <v>16410</v>
      </c>
      <c r="N231" s="32" t="s">
        <v>21463</v>
      </c>
      <c r="O231" s="34"/>
      <c r="P231" s="34" t="n">
        <v>3</v>
      </c>
      <c r="Q231" s="31" t="n">
        <v>3</v>
      </c>
      <c r="R231" s="31" t="s">
        <v>61</v>
      </c>
      <c r="S231" s="31" t="s">
        <v>62</v>
      </c>
      <c r="T231" s="31" t="s">
        <v>21464</v>
      </c>
      <c r="U231" s="31" t="n">
        <v>4</v>
      </c>
      <c r="V231" s="31" t="s">
        <v>16384</v>
      </c>
      <c r="W231" s="31"/>
      <c r="X231" s="31" t="s">
        <v>21465</v>
      </c>
      <c r="Y231" s="31" t="s">
        <v>21466</v>
      </c>
      <c r="Z231" s="31" t="s">
        <v>21467</v>
      </c>
      <c r="AA231" s="31" t="s">
        <v>21468</v>
      </c>
      <c r="AB231" s="31" t="s">
        <v>21469</v>
      </c>
      <c r="AC231" s="31" t="s">
        <v>21470</v>
      </c>
      <c r="AD231" s="31" t="s">
        <v>21471</v>
      </c>
      <c r="AE231" s="31" t="s">
        <v>21472</v>
      </c>
      <c r="AF231" s="31" t="s">
        <v>21473</v>
      </c>
      <c r="AG231" s="31" t="s">
        <v>21473</v>
      </c>
      <c r="AH231" s="31" t="s">
        <v>18668</v>
      </c>
      <c r="AI231" s="31" t="n">
        <v>38</v>
      </c>
      <c r="AJ231" s="31" t="n">
        <v>1</v>
      </c>
      <c r="AK231" s="31" t="n">
        <v>5</v>
      </c>
      <c r="AL231" s="31" t="s">
        <v>16395</v>
      </c>
      <c r="AM231" s="31" t="s">
        <v>16396</v>
      </c>
      <c r="AN231" s="31"/>
      <c r="AO231" s="31" t="s">
        <v>21474</v>
      </c>
      <c r="AP231" s="31" t="s">
        <v>21475</v>
      </c>
      <c r="AQ231" s="31" t="s">
        <v>21476</v>
      </c>
      <c r="AR231" s="31"/>
      <c r="AS231" s="31" t="n">
        <v>226</v>
      </c>
      <c r="AT231" s="31" t="n">
        <v>233</v>
      </c>
      <c r="AU231" s="31"/>
      <c r="AV231" s="31" t="s">
        <v>21477</v>
      </c>
      <c r="AW231" s="35" t="str">
        <f aca="false">HYPERLINK("http://dx.doi.org/10.1109/OJEMB.2023.3328435","http://dx.doi.org/10.1109/OJEMB.2023.3328435")</f>
        <v>http://dx.doi.org/10.1109/OJEMB.2023.3328435</v>
      </c>
      <c r="AX231" s="31"/>
      <c r="AY231" s="31" t="n">
        <v>8</v>
      </c>
      <c r="AZ231" s="31" t="s">
        <v>18428</v>
      </c>
      <c r="BA231" s="31" t="s">
        <v>16684</v>
      </c>
      <c r="BB231" s="31" t="s">
        <v>18429</v>
      </c>
      <c r="BC231" s="31" t="s">
        <v>21478</v>
      </c>
      <c r="BD231" s="31" t="n">
        <v>38059069</v>
      </c>
      <c r="BE231" s="31" t="s">
        <v>17143</v>
      </c>
      <c r="BF231" s="31" t="s">
        <v>16369</v>
      </c>
      <c r="BG231" s="31" t="s">
        <v>21479</v>
      </c>
      <c r="BH231" s="31" t="str">
        <f aca="false">HYPERLINK("https%3A%2F%2Fwww.webofscience.com%2Fwos%2Fwoscc%2Ffull-record%2FWOS:001123407400002","View Full Record in Web of Science")</f>
        <v>View Full Record in Web of Science</v>
      </c>
      <c r="BI231" s="31"/>
      <c r="BJ231" s="31"/>
      <c r="BK231" s="31"/>
      <c r="BL231" s="31"/>
      <c r="BM231" s="31"/>
      <c r="BN231" s="31"/>
      <c r="BO231" s="31"/>
      <c r="BP231" s="31"/>
      <c r="BQ231" s="31"/>
      <c r="BR231" s="31"/>
      <c r="BS231" s="31"/>
      <c r="BT231" s="31"/>
      <c r="BU231" s="31"/>
      <c r="BV231" s="31"/>
      <c r="BW231" s="31"/>
      <c r="BX231" s="31"/>
      <c r="BY231" s="31"/>
      <c r="BZ231" s="31"/>
      <c r="CA231" s="31"/>
      <c r="CB231" s="31"/>
      <c r="CC231" s="31"/>
      <c r="CD231" s="31"/>
      <c r="CE231" s="31"/>
      <c r="CF231" s="31"/>
    </row>
    <row r="232" customFormat="false" ht="15.75" hidden="false" customHeight="true" outlineLevel="0" collapsed="false">
      <c r="A232" s="31" t="s">
        <v>16335</v>
      </c>
      <c r="B232" s="31" t="s">
        <v>21480</v>
      </c>
      <c r="C232" s="31" t="s">
        <v>21481</v>
      </c>
      <c r="D232" s="34" t="s">
        <v>21482</v>
      </c>
      <c r="E232" s="31" t="n">
        <v>2023</v>
      </c>
      <c r="F232" s="33" t="s">
        <v>21483</v>
      </c>
      <c r="G232" s="33" t="s">
        <v>290</v>
      </c>
      <c r="H232" s="32" t="s">
        <v>21484</v>
      </c>
      <c r="I232" s="32"/>
      <c r="J232" s="32" t="s">
        <v>21485</v>
      </c>
      <c r="K232" s="32" t="s">
        <v>21486</v>
      </c>
      <c r="L232" s="34"/>
      <c r="M232" s="34"/>
      <c r="N232" s="34"/>
      <c r="O232" s="34"/>
      <c r="P232" s="34" t="n">
        <v>25</v>
      </c>
      <c r="Q232" s="31" t="n">
        <v>27</v>
      </c>
      <c r="R232" s="31" t="s">
        <v>61</v>
      </c>
      <c r="S232" s="31" t="s">
        <v>62</v>
      </c>
      <c r="T232" s="31" t="s">
        <v>20705</v>
      </c>
      <c r="U232" s="31" t="n">
        <v>14</v>
      </c>
      <c r="V232" s="31" t="s">
        <v>16414</v>
      </c>
      <c r="W232" s="31" t="n">
        <v>1</v>
      </c>
      <c r="X232" s="31"/>
      <c r="Y232" s="31"/>
      <c r="Z232" s="31" t="s">
        <v>21487</v>
      </c>
      <c r="AA232" s="31" t="s">
        <v>21488</v>
      </c>
      <c r="AB232" s="31" t="s">
        <v>21489</v>
      </c>
      <c r="AC232" s="31" t="s">
        <v>21490</v>
      </c>
      <c r="AD232" s="31" t="s">
        <v>21491</v>
      </c>
      <c r="AE232" s="31" t="s">
        <v>21492</v>
      </c>
      <c r="AF232" s="31" t="s">
        <v>21493</v>
      </c>
      <c r="AG232" s="31" t="s">
        <v>21494</v>
      </c>
      <c r="AH232" s="31" t="s">
        <v>21495</v>
      </c>
      <c r="AI232" s="31" t="n">
        <v>44</v>
      </c>
      <c r="AJ232" s="31" t="n">
        <v>9</v>
      </c>
      <c r="AK232" s="31" t="n">
        <v>24</v>
      </c>
      <c r="AL232" s="31" t="s">
        <v>16421</v>
      </c>
      <c r="AM232" s="31" t="s">
        <v>16422</v>
      </c>
      <c r="AN232" s="31"/>
      <c r="AO232" s="31" t="s">
        <v>20716</v>
      </c>
      <c r="AP232" s="31" t="s">
        <v>20717</v>
      </c>
      <c r="AQ232" s="31" t="s">
        <v>759</v>
      </c>
      <c r="AR232" s="31" t="s">
        <v>21496</v>
      </c>
      <c r="AS232" s="31"/>
      <c r="AT232" s="31"/>
      <c r="AU232" s="31" t="n">
        <v>5736</v>
      </c>
      <c r="AV232" s="31" t="s">
        <v>21497</v>
      </c>
      <c r="AW232" s="35" t="str">
        <f aca="false">HYPERLINK("http://dx.doi.org/10.1038/s41467-023-41512-2","http://dx.doi.org/10.1038/s41467-023-41512-2")</f>
        <v>http://dx.doi.org/10.1038/s41467-023-41512-2</v>
      </c>
      <c r="AX232" s="31"/>
      <c r="AY232" s="31" t="n">
        <v>11</v>
      </c>
      <c r="AZ232" s="31" t="s">
        <v>16428</v>
      </c>
      <c r="BA232" s="31" t="s">
        <v>16366</v>
      </c>
      <c r="BB232" s="31" t="s">
        <v>16429</v>
      </c>
      <c r="BC232" s="31" t="s">
        <v>21498</v>
      </c>
      <c r="BD232" s="31" t="n">
        <v>37714843</v>
      </c>
      <c r="BE232" s="31" t="s">
        <v>21499</v>
      </c>
      <c r="BF232" s="31" t="s">
        <v>16369</v>
      </c>
      <c r="BG232" s="31" t="s">
        <v>21500</v>
      </c>
      <c r="BH232" s="31" t="str">
        <f aca="false">HYPERLINK("https%3A%2F%2Fwww.webofscience.com%2Fwos%2Fwoscc%2Ffull-record%2FWOS:001070435900011","View Full Record in Web of Science")</f>
        <v>View Full Record in Web of Science</v>
      </c>
      <c r="BI232" s="31"/>
      <c r="BJ232" s="31"/>
      <c r="BK232" s="31"/>
      <c r="BL232" s="31"/>
      <c r="BM232" s="31"/>
      <c r="BN232" s="31"/>
      <c r="BO232" s="31"/>
      <c r="BP232" s="31"/>
      <c r="BQ232" s="31"/>
      <c r="BR232" s="31"/>
      <c r="BS232" s="31"/>
      <c r="BT232" s="31"/>
      <c r="BU232" s="31"/>
      <c r="BV232" s="31"/>
      <c r="BW232" s="31"/>
      <c r="BX232" s="31"/>
      <c r="BY232" s="31"/>
      <c r="BZ232" s="31"/>
      <c r="CA232" s="31"/>
      <c r="CB232" s="31"/>
      <c r="CC232" s="31"/>
      <c r="CD232" s="31"/>
      <c r="CE232" s="31"/>
      <c r="CF232" s="31"/>
    </row>
    <row r="233" customFormat="false" ht="15.75" hidden="false" customHeight="true" outlineLevel="0" collapsed="false">
      <c r="A233" s="31" t="s">
        <v>16335</v>
      </c>
      <c r="B233" s="31" t="s">
        <v>21501</v>
      </c>
      <c r="C233" s="31" t="s">
        <v>21502</v>
      </c>
      <c r="D233" s="34" t="s">
        <v>21503</v>
      </c>
      <c r="E233" s="31" t="n">
        <v>2023</v>
      </c>
      <c r="F233" s="33" t="s">
        <v>21504</v>
      </c>
      <c r="G233" s="33" t="s">
        <v>134</v>
      </c>
      <c r="H233" s="32" t="s">
        <v>17036</v>
      </c>
      <c r="I233" s="34"/>
      <c r="J233" s="32" t="s">
        <v>21505</v>
      </c>
      <c r="K233" s="32" t="s">
        <v>21506</v>
      </c>
      <c r="L233" s="32" t="s">
        <v>3754</v>
      </c>
      <c r="M233" s="32" t="s">
        <v>21507</v>
      </c>
      <c r="N233" s="32" t="s">
        <v>21508</v>
      </c>
      <c r="O233" s="32" t="s">
        <v>21509</v>
      </c>
      <c r="P233" s="34" t="n">
        <v>1</v>
      </c>
      <c r="Q233" s="31" t="n">
        <v>1</v>
      </c>
      <c r="R233" s="31" t="s">
        <v>61</v>
      </c>
      <c r="S233" s="31" t="s">
        <v>62</v>
      </c>
      <c r="T233" s="31" t="s">
        <v>18059</v>
      </c>
      <c r="U233" s="31" t="n">
        <v>24</v>
      </c>
      <c r="V233" s="31" t="s">
        <v>17599</v>
      </c>
      <c r="W233" s="31" t="n">
        <v>1</v>
      </c>
      <c r="X233" s="31" t="s">
        <v>21510</v>
      </c>
      <c r="Y233" s="31"/>
      <c r="Z233" s="31" t="s">
        <v>21511</v>
      </c>
      <c r="AA233" s="31" t="s">
        <v>21512</v>
      </c>
      <c r="AB233" s="31" t="s">
        <v>21513</v>
      </c>
      <c r="AC233" s="31" t="s">
        <v>21514</v>
      </c>
      <c r="AD233" s="31" t="s">
        <v>21515</v>
      </c>
      <c r="AE233" s="31" t="s">
        <v>21516</v>
      </c>
      <c r="AF233" s="31" t="s">
        <v>21517</v>
      </c>
      <c r="AG233" s="31" t="s">
        <v>21517</v>
      </c>
      <c r="AH233" s="31" t="s">
        <v>21518</v>
      </c>
      <c r="AI233" s="31" t="n">
        <v>35</v>
      </c>
      <c r="AJ233" s="31" t="n">
        <v>2</v>
      </c>
      <c r="AK233" s="31" t="n">
        <v>15</v>
      </c>
      <c r="AL233" s="31" t="s">
        <v>16821</v>
      </c>
      <c r="AM233" s="31" t="s">
        <v>17609</v>
      </c>
      <c r="AN233" s="31" t="s">
        <v>18070</v>
      </c>
      <c r="AO233" s="31"/>
      <c r="AP233" s="31" t="s">
        <v>18059</v>
      </c>
      <c r="AQ233" s="31" t="s">
        <v>18071</v>
      </c>
      <c r="AR233" s="31" t="s">
        <v>21519</v>
      </c>
      <c r="AS233" s="31"/>
      <c r="AT233" s="31"/>
      <c r="AU233" s="31" t="n">
        <v>455</v>
      </c>
      <c r="AV233" s="31" t="s">
        <v>21520</v>
      </c>
      <c r="AW233" s="35" t="str">
        <f aca="false">HYPERLINK("http://dx.doi.org/10.1186/s12859-023-05582-9","http://dx.doi.org/10.1186/s12859-023-05582-9")</f>
        <v>http://dx.doi.org/10.1186/s12859-023-05582-9</v>
      </c>
      <c r="AX233" s="31"/>
      <c r="AY233" s="31" t="n">
        <v>21</v>
      </c>
      <c r="AZ233" s="31" t="s">
        <v>18074</v>
      </c>
      <c r="BA233" s="31" t="s">
        <v>16366</v>
      </c>
      <c r="BB233" s="31" t="s">
        <v>18075</v>
      </c>
      <c r="BC233" s="31" t="s">
        <v>21521</v>
      </c>
      <c r="BD233" s="31" t="n">
        <v>38041071</v>
      </c>
      <c r="BE233" s="31" t="s">
        <v>16431</v>
      </c>
      <c r="BF233" s="31" t="s">
        <v>16369</v>
      </c>
      <c r="BG233" s="31" t="s">
        <v>21522</v>
      </c>
      <c r="BH233" s="31" t="str">
        <f aca="false">HYPERLINK("https%3A%2F%2Fwww.webofscience.com%2Fwos%2Fwoscc%2Ffull-record%2FWOS:001112065000001","View Full Record in Web of Science")</f>
        <v>View Full Record in Web of Science</v>
      </c>
      <c r="BI233" s="31"/>
      <c r="BJ233" s="31"/>
      <c r="BK233" s="31"/>
      <c r="BL233" s="31"/>
      <c r="BM233" s="31"/>
      <c r="BN233" s="31"/>
      <c r="BO233" s="31"/>
      <c r="BP233" s="31"/>
      <c r="BQ233" s="31"/>
      <c r="BR233" s="31"/>
      <c r="BS233" s="31"/>
      <c r="BT233" s="31"/>
      <c r="BU233" s="31"/>
      <c r="BV233" s="31"/>
      <c r="BW233" s="31"/>
      <c r="BX233" s="31"/>
      <c r="BY233" s="31"/>
      <c r="BZ233" s="31"/>
      <c r="CA233" s="31"/>
      <c r="CB233" s="31"/>
      <c r="CC233" s="31"/>
      <c r="CD233" s="31"/>
      <c r="CE233" s="31"/>
      <c r="CF233" s="31"/>
    </row>
    <row r="234" customFormat="false" ht="15.75" hidden="false" customHeight="true" outlineLevel="0" collapsed="false">
      <c r="A234" s="31" t="s">
        <v>16335</v>
      </c>
      <c r="B234" s="31" t="s">
        <v>21523</v>
      </c>
      <c r="C234" s="31" t="s">
        <v>21524</v>
      </c>
      <c r="D234" s="34" t="s">
        <v>21525</v>
      </c>
      <c r="E234" s="31" t="n">
        <v>2023</v>
      </c>
      <c r="F234" s="33" t="s">
        <v>21526</v>
      </c>
      <c r="G234" s="33" t="s">
        <v>349</v>
      </c>
      <c r="H234" s="32" t="s">
        <v>21527</v>
      </c>
      <c r="I234" s="32" t="s">
        <v>4101</v>
      </c>
      <c r="J234" s="32" t="s">
        <v>21528</v>
      </c>
      <c r="K234" s="32" t="s">
        <v>21529</v>
      </c>
      <c r="L234" s="34"/>
      <c r="M234" s="34"/>
      <c r="N234" s="34"/>
      <c r="O234" s="34"/>
      <c r="P234" s="34" t="n">
        <v>17</v>
      </c>
      <c r="Q234" s="31" t="n">
        <v>17</v>
      </c>
      <c r="R234" s="31" t="s">
        <v>61</v>
      </c>
      <c r="S234" s="31" t="s">
        <v>62</v>
      </c>
      <c r="T234" s="31" t="s">
        <v>21530</v>
      </c>
      <c r="U234" s="31" t="n">
        <v>6</v>
      </c>
      <c r="V234" s="31" t="s">
        <v>16414</v>
      </c>
      <c r="W234" s="31" t="n">
        <v>6</v>
      </c>
      <c r="X234" s="31"/>
      <c r="Y234" s="31" t="s">
        <v>21531</v>
      </c>
      <c r="Z234" s="31" t="s">
        <v>21532</v>
      </c>
      <c r="AA234" s="31" t="s">
        <v>21533</v>
      </c>
      <c r="AB234" s="31" t="s">
        <v>17159</v>
      </c>
      <c r="AC234" s="31" t="s">
        <v>17160</v>
      </c>
      <c r="AD234" s="31"/>
      <c r="AE234" s="31" t="s">
        <v>21534</v>
      </c>
      <c r="AF234" s="31" t="s">
        <v>21535</v>
      </c>
      <c r="AG234" s="31" t="s">
        <v>21536</v>
      </c>
      <c r="AH234" s="31" t="s">
        <v>21537</v>
      </c>
      <c r="AI234" s="31" t="n">
        <v>56</v>
      </c>
      <c r="AJ234" s="31" t="n">
        <v>3</v>
      </c>
      <c r="AK234" s="31" t="n">
        <v>30</v>
      </c>
      <c r="AL234" s="31" t="s">
        <v>16421</v>
      </c>
      <c r="AM234" s="31" t="s">
        <v>16422</v>
      </c>
      <c r="AN234" s="31" t="s">
        <v>21538</v>
      </c>
      <c r="AO234" s="31"/>
      <c r="AP234" s="31" t="s">
        <v>21539</v>
      </c>
      <c r="AQ234" s="31" t="s">
        <v>21540</v>
      </c>
      <c r="AR234" s="31" t="s">
        <v>16683</v>
      </c>
      <c r="AS234" s="31" t="n">
        <v>652</v>
      </c>
      <c r="AT234" s="31" t="s">
        <v>21378</v>
      </c>
      <c r="AU234" s="31"/>
      <c r="AV234" s="31" t="s">
        <v>21541</v>
      </c>
      <c r="AW234" s="35" t="str">
        <f aca="false">HYPERLINK("http://dx.doi.org/10.1038/s41893-023-01080-1","http://dx.doi.org/10.1038/s41893-023-01080-1")</f>
        <v>http://dx.doi.org/10.1038/s41893-023-01080-1</v>
      </c>
      <c r="AX234" s="31" t="s">
        <v>21352</v>
      </c>
      <c r="AY234" s="31" t="n">
        <v>13</v>
      </c>
      <c r="AZ234" s="31" t="s">
        <v>21542</v>
      </c>
      <c r="BA234" s="31" t="s">
        <v>16584</v>
      </c>
      <c r="BB234" s="31" t="s">
        <v>21543</v>
      </c>
      <c r="BC234" s="31" t="s">
        <v>21544</v>
      </c>
      <c r="BD234" s="31" t="n">
        <v>37538395</v>
      </c>
      <c r="BE234" s="31" t="s">
        <v>21545</v>
      </c>
      <c r="BF234" s="31" t="s">
        <v>16369</v>
      </c>
      <c r="BG234" s="31" t="s">
        <v>21546</v>
      </c>
      <c r="BH234" s="31" t="str">
        <f aca="false">HYPERLINK("https%3A%2F%2Fwww.webofscience.com%2Fwos%2Fwoscc%2Ffull-record%2FWOS:000948642200003","View Full Record in Web of Science")</f>
        <v>View Full Record in Web of Science</v>
      </c>
      <c r="BI234" s="31"/>
      <c r="BJ234" s="31"/>
      <c r="BK234" s="31"/>
      <c r="BL234" s="31"/>
      <c r="BM234" s="31"/>
      <c r="BN234" s="31"/>
      <c r="BO234" s="31"/>
      <c r="BP234" s="31"/>
      <c r="BQ234" s="31"/>
      <c r="BR234" s="31"/>
      <c r="BS234" s="31"/>
      <c r="BT234" s="31"/>
      <c r="BU234" s="31"/>
      <c r="BV234" s="31"/>
      <c r="BW234" s="31"/>
      <c r="BX234" s="31"/>
      <c r="BY234" s="31"/>
      <c r="BZ234" s="31"/>
      <c r="CA234" s="31"/>
      <c r="CB234" s="31"/>
      <c r="CC234" s="31"/>
      <c r="CD234" s="31"/>
      <c r="CE234" s="31"/>
      <c r="CF234" s="31"/>
    </row>
    <row r="235" customFormat="false" ht="127.5" hidden="false" customHeight="true" outlineLevel="0" collapsed="false">
      <c r="A235" s="31" t="s">
        <v>16335</v>
      </c>
      <c r="B235" s="31" t="s">
        <v>21547</v>
      </c>
      <c r="C235" s="31" t="s">
        <v>21548</v>
      </c>
      <c r="D235" s="34" t="s">
        <v>21549</v>
      </c>
      <c r="E235" s="31" t="n">
        <v>2023</v>
      </c>
      <c r="F235" s="33" t="s">
        <v>21550</v>
      </c>
      <c r="G235" s="33" t="s">
        <v>134</v>
      </c>
      <c r="H235" s="32" t="s">
        <v>17036</v>
      </c>
      <c r="I235" s="32" t="s">
        <v>21551</v>
      </c>
      <c r="J235" s="32" t="s">
        <v>21552</v>
      </c>
      <c r="K235" s="32" t="s">
        <v>16409</v>
      </c>
      <c r="L235" s="32" t="s">
        <v>3754</v>
      </c>
      <c r="M235" s="32" t="s">
        <v>21553</v>
      </c>
      <c r="N235" s="34"/>
      <c r="O235" s="32" t="s">
        <v>21554</v>
      </c>
      <c r="P235" s="34" t="n">
        <v>2</v>
      </c>
      <c r="Q235" s="31" t="n">
        <v>2</v>
      </c>
      <c r="R235" s="31" t="s">
        <v>61</v>
      </c>
      <c r="S235" s="31" t="s">
        <v>62</v>
      </c>
      <c r="T235" s="31" t="s">
        <v>21555</v>
      </c>
      <c r="U235" s="31" t="n">
        <v>28</v>
      </c>
      <c r="V235" s="31" t="s">
        <v>17599</v>
      </c>
      <c r="W235" s="31" t="n">
        <v>1</v>
      </c>
      <c r="X235" s="31" t="s">
        <v>21556</v>
      </c>
      <c r="Y235" s="31" t="s">
        <v>21557</v>
      </c>
      <c r="Z235" s="31" t="s">
        <v>21558</v>
      </c>
      <c r="AA235" s="31" t="s">
        <v>21559</v>
      </c>
      <c r="AB235" s="31" t="s">
        <v>21560</v>
      </c>
      <c r="AC235" s="31" t="s">
        <v>21561</v>
      </c>
      <c r="AD235" s="31" t="s">
        <v>21562</v>
      </c>
      <c r="AE235" s="31" t="s">
        <v>21563</v>
      </c>
      <c r="AF235" s="31"/>
      <c r="AG235" s="31"/>
      <c r="AH235" s="31"/>
      <c r="AI235" s="31" t="n">
        <v>40</v>
      </c>
      <c r="AJ235" s="31" t="n">
        <v>0</v>
      </c>
      <c r="AK235" s="31" t="n">
        <v>8</v>
      </c>
      <c r="AL235" s="31" t="s">
        <v>16821</v>
      </c>
      <c r="AM235" s="31" t="s">
        <v>17609</v>
      </c>
      <c r="AN235" s="31" t="s">
        <v>21564</v>
      </c>
      <c r="AO235" s="31" t="s">
        <v>21565</v>
      </c>
      <c r="AP235" s="31" t="s">
        <v>21566</v>
      </c>
      <c r="AQ235" s="31" t="s">
        <v>21567</v>
      </c>
      <c r="AR235" s="31" t="s">
        <v>21568</v>
      </c>
      <c r="AS235" s="31"/>
      <c r="AT235" s="31"/>
      <c r="AU235" s="31" t="n">
        <v>76</v>
      </c>
      <c r="AV235" s="31" t="s">
        <v>21569</v>
      </c>
      <c r="AW235" s="35" t="str">
        <f aca="false">HYPERLINK("http://dx.doi.org/10.1186/s40001-022-00980-w","http://dx.doi.org/10.1186/s40001-022-00980-w")</f>
        <v>http://dx.doi.org/10.1186/s40001-022-00980-w</v>
      </c>
      <c r="AX235" s="31"/>
      <c r="AY235" s="31" t="n">
        <v>9</v>
      </c>
      <c r="AZ235" s="31" t="s">
        <v>21380</v>
      </c>
      <c r="BA235" s="31" t="s">
        <v>16366</v>
      </c>
      <c r="BB235" s="31" t="s">
        <v>21381</v>
      </c>
      <c r="BC235" s="31" t="s">
        <v>21570</v>
      </c>
      <c r="BD235" s="31" t="n">
        <v>36782344</v>
      </c>
      <c r="BE235" s="31" t="s">
        <v>17143</v>
      </c>
      <c r="BF235" s="31" t="s">
        <v>16369</v>
      </c>
      <c r="BG235" s="31" t="s">
        <v>21571</v>
      </c>
      <c r="BH235" s="31" t="str">
        <f aca="false">HYPERLINK("https%3A%2F%2Fwww.webofscience.com%2Fwos%2Fwoscc%2Ffull-record%2FWOS:000934357600003","View Full Record in Web of Science")</f>
        <v>View Full Record in Web of Science</v>
      </c>
      <c r="BI235" s="31"/>
      <c r="BJ235" s="31"/>
      <c r="BK235" s="31"/>
      <c r="BL235" s="31"/>
      <c r="BM235" s="31"/>
      <c r="BN235" s="31"/>
      <c r="BO235" s="31"/>
      <c r="BP235" s="31"/>
      <c r="BQ235" s="31"/>
      <c r="BR235" s="31"/>
      <c r="BS235" s="31"/>
      <c r="BT235" s="31"/>
      <c r="BU235" s="31"/>
      <c r="BV235" s="31"/>
      <c r="BW235" s="31"/>
      <c r="BX235" s="31"/>
      <c r="BY235" s="31"/>
      <c r="BZ235" s="31"/>
      <c r="CA235" s="31"/>
      <c r="CB235" s="31"/>
      <c r="CC235" s="31"/>
      <c r="CD235" s="31"/>
      <c r="CE235" s="31"/>
      <c r="CF235" s="31"/>
    </row>
    <row r="236" customFormat="false" ht="131.25" hidden="false" customHeight="true" outlineLevel="0" collapsed="false">
      <c r="A236" s="31" t="s">
        <v>16335</v>
      </c>
      <c r="B236" s="31" t="s">
        <v>21572</v>
      </c>
      <c r="C236" s="31" t="s">
        <v>21573</v>
      </c>
      <c r="D236" s="34" t="s">
        <v>21574</v>
      </c>
      <c r="E236" s="31" t="n">
        <v>2023</v>
      </c>
      <c r="F236" s="33" t="s">
        <v>21575</v>
      </c>
      <c r="G236" s="33" t="s">
        <v>134</v>
      </c>
      <c r="H236" s="32" t="s">
        <v>16751</v>
      </c>
      <c r="I236" s="32" t="s">
        <v>16751</v>
      </c>
      <c r="J236" s="32" t="s">
        <v>21109</v>
      </c>
      <c r="K236" s="32" t="s">
        <v>16409</v>
      </c>
      <c r="L236" s="32" t="s">
        <v>3754</v>
      </c>
      <c r="M236" s="32" t="s">
        <v>21576</v>
      </c>
      <c r="N236" s="32" t="s">
        <v>21577</v>
      </c>
      <c r="O236" s="32" t="s">
        <v>21578</v>
      </c>
      <c r="P236" s="34" t="n">
        <v>8</v>
      </c>
      <c r="Q236" s="31" t="n">
        <v>8</v>
      </c>
      <c r="R236" s="31" t="s">
        <v>61</v>
      </c>
      <c r="S236" s="31" t="s">
        <v>62</v>
      </c>
      <c r="T236" s="31" t="s">
        <v>21579</v>
      </c>
      <c r="U236" s="31" t="n">
        <v>14</v>
      </c>
      <c r="V236" s="31" t="s">
        <v>16928</v>
      </c>
      <c r="W236" s="31"/>
      <c r="X236" s="31" t="s">
        <v>21580</v>
      </c>
      <c r="Y236" s="31" t="s">
        <v>21581</v>
      </c>
      <c r="Z236" s="31" t="s">
        <v>21582</v>
      </c>
      <c r="AA236" s="31" t="s">
        <v>21583</v>
      </c>
      <c r="AB236" s="31" t="s">
        <v>21584</v>
      </c>
      <c r="AC236" s="31" t="s">
        <v>21585</v>
      </c>
      <c r="AD236" s="31" t="s">
        <v>21586</v>
      </c>
      <c r="AE236" s="31" t="s">
        <v>21587</v>
      </c>
      <c r="AF236" s="31" t="s">
        <v>21588</v>
      </c>
      <c r="AG236" s="31" t="s">
        <v>21588</v>
      </c>
      <c r="AH236" s="31" t="s">
        <v>21589</v>
      </c>
      <c r="AI236" s="31" t="n">
        <v>71</v>
      </c>
      <c r="AJ236" s="31" t="n">
        <v>2</v>
      </c>
      <c r="AK236" s="31" t="n">
        <v>10</v>
      </c>
      <c r="AL236" s="31" t="s">
        <v>16938</v>
      </c>
      <c r="AM236" s="31" t="s">
        <v>16939</v>
      </c>
      <c r="AN236" s="31"/>
      <c r="AO236" s="31" t="s">
        <v>21590</v>
      </c>
      <c r="AP236" s="31" t="s">
        <v>21591</v>
      </c>
      <c r="AQ236" s="31" t="s">
        <v>21592</v>
      </c>
      <c r="AR236" s="31" t="s">
        <v>21593</v>
      </c>
      <c r="AS236" s="31"/>
      <c r="AT236" s="31"/>
      <c r="AU236" s="31" t="n">
        <v>1240936</v>
      </c>
      <c r="AV236" s="31" t="s">
        <v>21594</v>
      </c>
      <c r="AW236" s="35" t="str">
        <f aca="false">HYPERLINK("http://dx.doi.org/10.3389/fmicb.2023.1240936","http://dx.doi.org/10.3389/fmicb.2023.1240936")</f>
        <v>http://dx.doi.org/10.3389/fmicb.2023.1240936</v>
      </c>
      <c r="AX236" s="31"/>
      <c r="AY236" s="31" t="n">
        <v>13</v>
      </c>
      <c r="AZ236" s="31" t="s">
        <v>18336</v>
      </c>
      <c r="BA236" s="31" t="s">
        <v>16366</v>
      </c>
      <c r="BB236" s="31" t="s">
        <v>18336</v>
      </c>
      <c r="BC236" s="31" t="s">
        <v>21595</v>
      </c>
      <c r="BD236" s="31" t="n">
        <v>38075929</v>
      </c>
      <c r="BE236" s="31" t="s">
        <v>17143</v>
      </c>
      <c r="BF236" s="31" t="s">
        <v>16369</v>
      </c>
      <c r="BG236" s="31" t="s">
        <v>21596</v>
      </c>
      <c r="BH236" s="31" t="str">
        <f aca="false">HYPERLINK("https%3A%2F%2Fwww.webofscience.com%2Fwos%2Fwoscc%2Ffull-record%2FWOS:001119025300001","View Full Record in Web of Science")</f>
        <v>View Full Record in Web of Science</v>
      </c>
      <c r="BI236" s="31"/>
      <c r="BJ236" s="31"/>
      <c r="BK236" s="31"/>
      <c r="BL236" s="31"/>
      <c r="BM236" s="31"/>
      <c r="BN236" s="31"/>
      <c r="BO236" s="31"/>
      <c r="BP236" s="31"/>
      <c r="BQ236" s="31"/>
      <c r="BR236" s="31"/>
      <c r="BS236" s="31"/>
      <c r="BT236" s="31"/>
      <c r="BU236" s="31"/>
      <c r="BV236" s="31"/>
      <c r="BW236" s="31"/>
      <c r="BX236" s="31"/>
      <c r="BY236" s="31"/>
      <c r="BZ236" s="31"/>
      <c r="CA236" s="31"/>
      <c r="CB236" s="31"/>
      <c r="CC236" s="31"/>
      <c r="CD236" s="31"/>
      <c r="CE236" s="31"/>
      <c r="CF236" s="31"/>
    </row>
    <row r="237" customFormat="false" ht="15.75" hidden="false" customHeight="true" outlineLevel="0" collapsed="false">
      <c r="A237" s="31" t="s">
        <v>16335</v>
      </c>
      <c r="B237" s="31" t="s">
        <v>21597</v>
      </c>
      <c r="C237" s="31" t="s">
        <v>21598</v>
      </c>
      <c r="D237" s="34" t="s">
        <v>21599</v>
      </c>
      <c r="E237" s="31" t="n">
        <v>2023</v>
      </c>
      <c r="F237" s="33" t="s">
        <v>21600</v>
      </c>
      <c r="G237" s="33" t="s">
        <v>134</v>
      </c>
      <c r="H237" s="32" t="s">
        <v>21601</v>
      </c>
      <c r="I237" s="34"/>
      <c r="J237" s="32" t="s">
        <v>20908</v>
      </c>
      <c r="K237" s="32" t="s">
        <v>16409</v>
      </c>
      <c r="L237" s="32" t="s">
        <v>3754</v>
      </c>
      <c r="M237" s="32" t="s">
        <v>21602</v>
      </c>
      <c r="N237" s="32" t="s">
        <v>21603</v>
      </c>
      <c r="O237" s="34"/>
      <c r="P237" s="34" t="n">
        <v>14</v>
      </c>
      <c r="Q237" s="31" t="n">
        <v>14</v>
      </c>
      <c r="R237" s="31" t="s">
        <v>61</v>
      </c>
      <c r="S237" s="31" t="s">
        <v>62</v>
      </c>
      <c r="T237" s="31" t="s">
        <v>16413</v>
      </c>
      <c r="U237" s="31" t="n">
        <v>13</v>
      </c>
      <c r="V237" s="31" t="s">
        <v>16414</v>
      </c>
      <c r="W237" s="31" t="n">
        <v>1</v>
      </c>
      <c r="X237" s="31"/>
      <c r="Y237" s="31" t="s">
        <v>21604</v>
      </c>
      <c r="Z237" s="31" t="s">
        <v>21605</v>
      </c>
      <c r="AA237" s="31" t="s">
        <v>21606</v>
      </c>
      <c r="AB237" s="31" t="s">
        <v>21607</v>
      </c>
      <c r="AC237" s="31" t="s">
        <v>21608</v>
      </c>
      <c r="AD237" s="31" t="s">
        <v>21609</v>
      </c>
      <c r="AE237" s="31" t="s">
        <v>21610</v>
      </c>
      <c r="AF237" s="31"/>
      <c r="AG237" s="31"/>
      <c r="AH237" s="31"/>
      <c r="AI237" s="31" t="n">
        <v>36</v>
      </c>
      <c r="AJ237" s="31" t="n">
        <v>0</v>
      </c>
      <c r="AK237" s="31" t="n">
        <v>1</v>
      </c>
      <c r="AL237" s="31" t="s">
        <v>16421</v>
      </c>
      <c r="AM237" s="31" t="s">
        <v>16422</v>
      </c>
      <c r="AN237" s="31" t="s">
        <v>16423</v>
      </c>
      <c r="AO237" s="31"/>
      <c r="AP237" s="31" t="s">
        <v>16424</v>
      </c>
      <c r="AQ237" s="31" t="s">
        <v>16425</v>
      </c>
      <c r="AR237" s="31" t="s">
        <v>21611</v>
      </c>
      <c r="AS237" s="31"/>
      <c r="AT237" s="31"/>
      <c r="AU237" s="31" t="n">
        <v>13377</v>
      </c>
      <c r="AV237" s="31" t="s">
        <v>21612</v>
      </c>
      <c r="AW237" s="35" t="str">
        <f aca="false">HYPERLINK("http://dx.doi.org/10.1038/s41598-023-40317-z","http://dx.doi.org/10.1038/s41598-023-40317-z")</f>
        <v>http://dx.doi.org/10.1038/s41598-023-40317-z</v>
      </c>
      <c r="AX237" s="31"/>
      <c r="AY237" s="31" t="n">
        <v>11</v>
      </c>
      <c r="AZ237" s="31" t="s">
        <v>16428</v>
      </c>
      <c r="BA237" s="31" t="s">
        <v>16366</v>
      </c>
      <c r="BB237" s="31" t="s">
        <v>16429</v>
      </c>
      <c r="BC237" s="31" t="s">
        <v>21613</v>
      </c>
      <c r="BD237" s="31" t="n">
        <v>37591916</v>
      </c>
      <c r="BE237" s="31" t="s">
        <v>16832</v>
      </c>
      <c r="BF237" s="31" t="s">
        <v>16369</v>
      </c>
      <c r="BG237" s="31" t="s">
        <v>21614</v>
      </c>
      <c r="BH237" s="31" t="str">
        <f aca="false">HYPERLINK("https%3A%2F%2Fwww.webofscience.com%2Fwos%2Fwoscc%2Ffull-record%2FWOS:001064718300036","View Full Record in Web of Science")</f>
        <v>View Full Record in Web of Science</v>
      </c>
      <c r="BI237" s="31"/>
      <c r="BJ237" s="31"/>
      <c r="BK237" s="31"/>
      <c r="BL237" s="31"/>
      <c r="BM237" s="31"/>
      <c r="BN237" s="31"/>
      <c r="BO237" s="31"/>
      <c r="BP237" s="31"/>
      <c r="BQ237" s="31"/>
      <c r="BR237" s="31"/>
      <c r="BS237" s="31"/>
      <c r="BT237" s="31"/>
      <c r="BU237" s="31"/>
      <c r="BV237" s="31"/>
      <c r="BW237" s="31"/>
      <c r="BX237" s="31"/>
      <c r="BY237" s="31"/>
      <c r="BZ237" s="31"/>
      <c r="CA237" s="31"/>
      <c r="CB237" s="31"/>
      <c r="CC237" s="31"/>
      <c r="CD237" s="31"/>
      <c r="CE237" s="31"/>
      <c r="CF237" s="31"/>
    </row>
    <row r="238" customFormat="false" ht="15.75" hidden="false" customHeight="true" outlineLevel="0" collapsed="false">
      <c r="A238" s="31" t="s">
        <v>16335</v>
      </c>
      <c r="B238" s="31" t="s">
        <v>21615</v>
      </c>
      <c r="C238" s="31" t="s">
        <v>21616</v>
      </c>
      <c r="D238" s="34" t="s">
        <v>21617</v>
      </c>
      <c r="E238" s="31" t="n">
        <v>2023</v>
      </c>
      <c r="F238" s="33" t="s">
        <v>21618</v>
      </c>
      <c r="G238" s="33" t="s">
        <v>134</v>
      </c>
      <c r="H238" s="32" t="s">
        <v>3876</v>
      </c>
      <c r="I238" s="32" t="s">
        <v>3876</v>
      </c>
      <c r="J238" s="32" t="s">
        <v>20908</v>
      </c>
      <c r="K238" s="32" t="s">
        <v>16409</v>
      </c>
      <c r="L238" s="32" t="s">
        <v>3754</v>
      </c>
      <c r="M238" s="32" t="s">
        <v>21619</v>
      </c>
      <c r="N238" s="32" t="s">
        <v>21620</v>
      </c>
      <c r="O238" s="34"/>
      <c r="P238" s="34" t="n">
        <v>1</v>
      </c>
      <c r="Q238" s="31" t="n">
        <v>1</v>
      </c>
      <c r="R238" s="31" t="s">
        <v>61</v>
      </c>
      <c r="S238" s="31" t="s">
        <v>62</v>
      </c>
      <c r="T238" s="31" t="s">
        <v>18343</v>
      </c>
      <c r="U238" s="31" t="n">
        <v>23</v>
      </c>
      <c r="V238" s="31" t="s">
        <v>4048</v>
      </c>
      <c r="W238" s="31" t="n">
        <v>18</v>
      </c>
      <c r="X238" s="31" t="s">
        <v>21621</v>
      </c>
      <c r="Y238" s="31" t="s">
        <v>21622</v>
      </c>
      <c r="Z238" s="31" t="s">
        <v>21623</v>
      </c>
      <c r="AA238" s="31" t="s">
        <v>21624</v>
      </c>
      <c r="AB238" s="31" t="s">
        <v>21625</v>
      </c>
      <c r="AC238" s="31" t="s">
        <v>21626</v>
      </c>
      <c r="AD238" s="31" t="s">
        <v>21627</v>
      </c>
      <c r="AE238" s="31" t="s">
        <v>21628</v>
      </c>
      <c r="AF238" s="31" t="s">
        <v>21629</v>
      </c>
      <c r="AG238" s="31" t="s">
        <v>21630</v>
      </c>
      <c r="AH238" s="31" t="s">
        <v>21631</v>
      </c>
      <c r="AI238" s="31" t="n">
        <v>62</v>
      </c>
      <c r="AJ238" s="31" t="n">
        <v>0</v>
      </c>
      <c r="AK238" s="31" t="n">
        <v>5</v>
      </c>
      <c r="AL238" s="31" t="s">
        <v>16769</v>
      </c>
      <c r="AM238" s="31" t="s">
        <v>17023</v>
      </c>
      <c r="AN238" s="31"/>
      <c r="AO238" s="31" t="s">
        <v>18354</v>
      </c>
      <c r="AP238" s="31" t="s">
        <v>18355</v>
      </c>
      <c r="AQ238" s="31" t="s">
        <v>18356</v>
      </c>
      <c r="AR238" s="31" t="s">
        <v>16801</v>
      </c>
      <c r="AS238" s="31"/>
      <c r="AT238" s="31"/>
      <c r="AU238" s="31" t="n">
        <v>7932</v>
      </c>
      <c r="AV238" s="31" t="s">
        <v>21632</v>
      </c>
      <c r="AW238" s="35" t="str">
        <f aca="false">HYPERLINK("http://dx.doi.org/10.3390/s23187932","http://dx.doi.org/10.3390/s23187932")</f>
        <v>http://dx.doi.org/10.3390/s23187932</v>
      </c>
      <c r="AX238" s="31"/>
      <c r="AY238" s="31" t="n">
        <v>17</v>
      </c>
      <c r="AZ238" s="31" t="s">
        <v>18358</v>
      </c>
      <c r="BA238" s="31" t="s">
        <v>16366</v>
      </c>
      <c r="BB238" s="31" t="s">
        <v>18359</v>
      </c>
      <c r="BC238" s="31" t="s">
        <v>21633</v>
      </c>
      <c r="BD238" s="31" t="n">
        <v>37765989</v>
      </c>
      <c r="BE238" s="31" t="s">
        <v>16832</v>
      </c>
      <c r="BF238" s="31" t="s">
        <v>16369</v>
      </c>
      <c r="BG238" s="31" t="s">
        <v>21634</v>
      </c>
      <c r="BH238" s="31" t="str">
        <f aca="false">HYPERLINK("https%3A%2F%2Fwww.webofscience.com%2Fwos%2Fwoscc%2Ffull-record%2FWOS:001079995900001","View Full Record in Web of Science")</f>
        <v>View Full Record in Web of Science</v>
      </c>
      <c r="BI238" s="31"/>
      <c r="BJ238" s="31"/>
      <c r="BK238" s="31"/>
      <c r="BL238" s="31"/>
      <c r="BM238" s="31"/>
      <c r="BN238" s="31"/>
      <c r="BO238" s="31"/>
      <c r="BP238" s="31"/>
      <c r="BQ238" s="31"/>
      <c r="BR238" s="31"/>
      <c r="BS238" s="31"/>
      <c r="BT238" s="31"/>
      <c r="BU238" s="31"/>
      <c r="BV238" s="31"/>
      <c r="BW238" s="31"/>
      <c r="BX238" s="31"/>
      <c r="BY238" s="31"/>
      <c r="BZ238" s="31"/>
      <c r="CA238" s="31"/>
      <c r="CB238" s="31"/>
      <c r="CC238" s="31"/>
      <c r="CD238" s="31"/>
      <c r="CE238" s="31"/>
      <c r="CF238" s="31"/>
    </row>
    <row r="239" customFormat="false" ht="15.75" hidden="false" customHeight="true" outlineLevel="0" collapsed="false">
      <c r="A239" s="31" t="s">
        <v>16335</v>
      </c>
      <c r="B239" s="31" t="s">
        <v>21635</v>
      </c>
      <c r="C239" s="31" t="s">
        <v>21636</v>
      </c>
      <c r="D239" s="34" t="s">
        <v>21637</v>
      </c>
      <c r="E239" s="31" t="n">
        <v>2023</v>
      </c>
      <c r="F239" s="33" t="s">
        <v>21638</v>
      </c>
      <c r="G239" s="33" t="s">
        <v>290</v>
      </c>
      <c r="H239" s="32" t="s">
        <v>4101</v>
      </c>
      <c r="I239" s="34"/>
      <c r="J239" s="34"/>
      <c r="K239" s="32" t="s">
        <v>17573</v>
      </c>
      <c r="L239" s="34"/>
      <c r="M239" s="34"/>
      <c r="N239" s="34"/>
      <c r="O239" s="34"/>
      <c r="P239" s="34" t="n">
        <v>2</v>
      </c>
      <c r="Q239" s="31" t="n">
        <v>2</v>
      </c>
      <c r="R239" s="31" t="s">
        <v>61</v>
      </c>
      <c r="S239" s="31" t="s">
        <v>62</v>
      </c>
      <c r="T239" s="31" t="s">
        <v>18104</v>
      </c>
      <c r="U239" s="31" t="n">
        <v>18</v>
      </c>
      <c r="V239" s="31" t="s">
        <v>18105</v>
      </c>
      <c r="W239" s="31" t="n">
        <v>6</v>
      </c>
      <c r="X239" s="31" t="s">
        <v>21639</v>
      </c>
      <c r="Y239" s="31" t="s">
        <v>21640</v>
      </c>
      <c r="Z239" s="31" t="s">
        <v>21641</v>
      </c>
      <c r="AA239" s="31" t="s">
        <v>21642</v>
      </c>
      <c r="AB239" s="31" t="s">
        <v>21643</v>
      </c>
      <c r="AC239" s="31" t="s">
        <v>21644</v>
      </c>
      <c r="AD239" s="31" t="s">
        <v>21645</v>
      </c>
      <c r="AE239" s="31" t="s">
        <v>21646</v>
      </c>
      <c r="AF239" s="31" t="s">
        <v>21647</v>
      </c>
      <c r="AG239" s="31" t="s">
        <v>21648</v>
      </c>
      <c r="AH239" s="31" t="s">
        <v>21649</v>
      </c>
      <c r="AI239" s="31" t="n">
        <v>56</v>
      </c>
      <c r="AJ239" s="31" t="n">
        <v>3</v>
      </c>
      <c r="AK239" s="31" t="n">
        <v>19</v>
      </c>
      <c r="AL239" s="31" t="s">
        <v>18117</v>
      </c>
      <c r="AM239" s="31" t="s">
        <v>18118</v>
      </c>
      <c r="AN239" s="31" t="s">
        <v>18119</v>
      </c>
      <c r="AO239" s="31" t="s">
        <v>18120</v>
      </c>
      <c r="AP239" s="31" t="s">
        <v>18104</v>
      </c>
      <c r="AQ239" s="31" t="s">
        <v>18121</v>
      </c>
      <c r="AR239" s="31" t="s">
        <v>21650</v>
      </c>
      <c r="AS239" s="31"/>
      <c r="AT239" s="31"/>
      <c r="AU239" s="31"/>
      <c r="AV239" s="31" t="s">
        <v>21651</v>
      </c>
      <c r="AW239" s="35" t="str">
        <f aca="false">HYPERLINK("http://dx.doi.org/10.1002/cmdc.202200434","http://dx.doi.org/10.1002/cmdc.202200434")</f>
        <v>http://dx.doi.org/10.1002/cmdc.202200434</v>
      </c>
      <c r="AX239" s="31" t="s">
        <v>21652</v>
      </c>
      <c r="AY239" s="31" t="n">
        <v>12</v>
      </c>
      <c r="AZ239" s="31" t="s">
        <v>18124</v>
      </c>
      <c r="BA239" s="31" t="s">
        <v>16366</v>
      </c>
      <c r="BB239" s="31" t="s">
        <v>18125</v>
      </c>
      <c r="BC239" s="31" t="s">
        <v>21653</v>
      </c>
      <c r="BD239" s="31" t="n">
        <v>36692246</v>
      </c>
      <c r="BE239" s="31"/>
      <c r="BF239" s="31" t="s">
        <v>16369</v>
      </c>
      <c r="BG239" s="31" t="s">
        <v>21654</v>
      </c>
      <c r="BH239" s="31" t="str">
        <f aca="false">HYPERLINK("https%3A%2F%2Fwww.webofscience.com%2Fwos%2Fwoscc%2Ffull-record%2FWOS:000924845300001","View Full Record in Web of Science")</f>
        <v>View Full Record in Web of Science</v>
      </c>
      <c r="BI239" s="31"/>
      <c r="BJ239" s="31"/>
      <c r="BK239" s="31"/>
      <c r="BL239" s="31"/>
      <c r="BM239" s="31"/>
      <c r="BN239" s="31"/>
      <c r="BO239" s="31"/>
      <c r="BP239" s="31"/>
      <c r="BQ239" s="31"/>
      <c r="BR239" s="31"/>
      <c r="BS239" s="31"/>
      <c r="BT239" s="31"/>
      <c r="BU239" s="31"/>
      <c r="BV239" s="31"/>
      <c r="BW239" s="31"/>
      <c r="BX239" s="31"/>
      <c r="BY239" s="31"/>
      <c r="BZ239" s="31"/>
      <c r="CA239" s="31"/>
      <c r="CB239" s="31"/>
      <c r="CC239" s="31"/>
      <c r="CD239" s="31"/>
      <c r="CE239" s="31"/>
      <c r="CF239" s="31"/>
    </row>
    <row r="240" customFormat="false" ht="15.75" hidden="false" customHeight="true" outlineLevel="0" collapsed="false">
      <c r="A240" s="31" t="s">
        <v>16335</v>
      </c>
      <c r="B240" s="31" t="s">
        <v>21655</v>
      </c>
      <c r="C240" s="31" t="s">
        <v>21656</v>
      </c>
      <c r="D240" s="34" t="s">
        <v>21657</v>
      </c>
      <c r="E240" s="31" t="n">
        <v>2023</v>
      </c>
      <c r="F240" s="33" t="s">
        <v>21658</v>
      </c>
      <c r="G240" s="33" t="s">
        <v>134</v>
      </c>
      <c r="H240" s="32" t="s">
        <v>21659</v>
      </c>
      <c r="I240" s="32" t="s">
        <v>16341</v>
      </c>
      <c r="J240" s="32" t="s">
        <v>21660</v>
      </c>
      <c r="K240" s="34"/>
      <c r="L240" s="34"/>
      <c r="M240" s="34"/>
      <c r="N240" s="34"/>
      <c r="O240" s="34"/>
      <c r="P240" s="34" t="n">
        <v>9</v>
      </c>
      <c r="Q240" s="31" t="n">
        <v>9</v>
      </c>
      <c r="R240" s="31" t="s">
        <v>61</v>
      </c>
      <c r="S240" s="31" t="s">
        <v>62</v>
      </c>
      <c r="T240" s="31" t="s">
        <v>21661</v>
      </c>
      <c r="U240" s="31" t="n">
        <v>55</v>
      </c>
      <c r="V240" s="31" t="s">
        <v>16600</v>
      </c>
      <c r="W240" s="31" t="n">
        <v>1</v>
      </c>
      <c r="X240" s="31" t="s">
        <v>21662</v>
      </c>
      <c r="Y240" s="31"/>
      <c r="Z240" s="31" t="s">
        <v>21663</v>
      </c>
      <c r="AA240" s="31" t="s">
        <v>21664</v>
      </c>
      <c r="AB240" s="31" t="s">
        <v>21665</v>
      </c>
      <c r="AC240" s="31" t="s">
        <v>21666</v>
      </c>
      <c r="AD240" s="31" t="s">
        <v>21667</v>
      </c>
      <c r="AE240" s="31" t="s">
        <v>21668</v>
      </c>
      <c r="AF240" s="31" t="s">
        <v>21669</v>
      </c>
      <c r="AG240" s="31" t="s">
        <v>21670</v>
      </c>
      <c r="AH240" s="31" t="s">
        <v>21671</v>
      </c>
      <c r="AI240" s="31" t="n">
        <v>46</v>
      </c>
      <c r="AJ240" s="31" t="n">
        <v>5</v>
      </c>
      <c r="AK240" s="31" t="n">
        <v>26</v>
      </c>
      <c r="AL240" s="31" t="s">
        <v>16609</v>
      </c>
      <c r="AM240" s="31" t="s">
        <v>16610</v>
      </c>
      <c r="AN240" s="31" t="s">
        <v>21672</v>
      </c>
      <c r="AO240" s="31" t="s">
        <v>21673</v>
      </c>
      <c r="AP240" s="31" t="s">
        <v>21674</v>
      </c>
      <c r="AQ240" s="31" t="s">
        <v>21675</v>
      </c>
      <c r="AR240" s="31" t="s">
        <v>16970</v>
      </c>
      <c r="AS240" s="31" t="n">
        <v>53</v>
      </c>
      <c r="AT240" s="31" t="n">
        <v>79</v>
      </c>
      <c r="AU240" s="31"/>
      <c r="AV240" s="31" t="s">
        <v>21676</v>
      </c>
      <c r="AW240" s="35" t="str">
        <f aca="false">HYPERLINK("http://dx.doi.org/10.1007/s11063-021-10425-w","http://dx.doi.org/10.1007/s11063-021-10425-w")</f>
        <v>http://dx.doi.org/10.1007/s11063-021-10425-w</v>
      </c>
      <c r="AX240" s="31" t="s">
        <v>21677</v>
      </c>
      <c r="AY240" s="31" t="n">
        <v>27</v>
      </c>
      <c r="AZ240" s="31" t="s">
        <v>16365</v>
      </c>
      <c r="BA240" s="31" t="s">
        <v>16366</v>
      </c>
      <c r="BB240" s="31" t="s">
        <v>16367</v>
      </c>
      <c r="BC240" s="31" t="s">
        <v>21678</v>
      </c>
      <c r="BD240" s="31" t="n">
        <v>33551665</v>
      </c>
      <c r="BE240" s="31" t="s">
        <v>21679</v>
      </c>
      <c r="BF240" s="31" t="s">
        <v>16369</v>
      </c>
      <c r="BG240" s="31" t="s">
        <v>21680</v>
      </c>
      <c r="BH240" s="31" t="str">
        <f aca="false">HYPERLINK("https%3A%2F%2Fwww.webofscience.com%2Fwos%2Fwoscc%2Ffull-record%2FWOS:000613994700001","View Full Record in Web of Science")</f>
        <v>View Full Record in Web of Science</v>
      </c>
      <c r="BI240" s="31"/>
      <c r="BJ240" s="31"/>
      <c r="BK240" s="31"/>
      <c r="BL240" s="31"/>
      <c r="BM240" s="31"/>
      <c r="BN240" s="31"/>
      <c r="BO240" s="31"/>
      <c r="BP240" s="31"/>
      <c r="BQ240" s="31"/>
      <c r="BR240" s="31"/>
      <c r="BS240" s="31" t="s">
        <v>16622</v>
      </c>
      <c r="BT240" s="31"/>
      <c r="BU240" s="31"/>
      <c r="BV240" s="31"/>
      <c r="BW240" s="31"/>
      <c r="BX240" s="31"/>
      <c r="BY240" s="31"/>
      <c r="BZ240" s="31"/>
      <c r="CA240" s="31"/>
      <c r="CB240" s="31"/>
      <c r="CC240" s="31"/>
      <c r="CD240" s="31"/>
      <c r="CE240" s="31"/>
      <c r="CF240" s="31"/>
    </row>
    <row r="241" customFormat="false" ht="15.75" hidden="false" customHeight="true" outlineLevel="0" collapsed="false">
      <c r="A241" s="31" t="s">
        <v>16335</v>
      </c>
      <c r="B241" s="31" t="s">
        <v>21681</v>
      </c>
      <c r="C241" s="31" t="s">
        <v>21682</v>
      </c>
      <c r="D241" s="34" t="s">
        <v>21683</v>
      </c>
      <c r="E241" s="31" t="n">
        <v>2023</v>
      </c>
      <c r="F241" s="33" t="s">
        <v>21684</v>
      </c>
      <c r="G241" s="33" t="s">
        <v>290</v>
      </c>
      <c r="H241" s="32" t="s">
        <v>16721</v>
      </c>
      <c r="I241" s="32"/>
      <c r="J241" s="34"/>
      <c r="K241" s="32" t="s">
        <v>21685</v>
      </c>
      <c r="L241" s="34"/>
      <c r="M241" s="32" t="s">
        <v>21686</v>
      </c>
      <c r="N241" s="34"/>
      <c r="O241" s="34"/>
      <c r="P241" s="34" t="n">
        <v>2</v>
      </c>
      <c r="Q241" s="31" t="n">
        <v>2</v>
      </c>
      <c r="R241" s="31" t="s">
        <v>61</v>
      </c>
      <c r="S241" s="31" t="s">
        <v>62</v>
      </c>
      <c r="T241" s="31" t="s">
        <v>18059</v>
      </c>
      <c r="U241" s="31" t="n">
        <v>24</v>
      </c>
      <c r="V241" s="31" t="s">
        <v>17599</v>
      </c>
      <c r="W241" s="31" t="n">
        <v>1</v>
      </c>
      <c r="X241" s="31" t="s">
        <v>21687</v>
      </c>
      <c r="Y241" s="31"/>
      <c r="Z241" s="31" t="s">
        <v>21688</v>
      </c>
      <c r="AA241" s="31" t="s">
        <v>21689</v>
      </c>
      <c r="AB241" s="31" t="s">
        <v>21690</v>
      </c>
      <c r="AC241" s="31" t="s">
        <v>21691</v>
      </c>
      <c r="AD241" s="31"/>
      <c r="AE241" s="31"/>
      <c r="AF241" s="31"/>
      <c r="AG241" s="31"/>
      <c r="AH241" s="31"/>
      <c r="AI241" s="31" t="n">
        <v>21</v>
      </c>
      <c r="AJ241" s="31" t="n">
        <v>6</v>
      </c>
      <c r="AK241" s="31" t="n">
        <v>21</v>
      </c>
      <c r="AL241" s="31" t="s">
        <v>16821</v>
      </c>
      <c r="AM241" s="31" t="s">
        <v>17609</v>
      </c>
      <c r="AN241" s="31" t="s">
        <v>18070</v>
      </c>
      <c r="AO241" s="31"/>
      <c r="AP241" s="31" t="s">
        <v>18059</v>
      </c>
      <c r="AQ241" s="31" t="s">
        <v>18071</v>
      </c>
      <c r="AR241" s="31" t="s">
        <v>21692</v>
      </c>
      <c r="AS241" s="31"/>
      <c r="AT241" s="31"/>
      <c r="AU241" s="31" t="n">
        <v>165</v>
      </c>
      <c r="AV241" s="31" t="s">
        <v>21693</v>
      </c>
      <c r="AW241" s="35" t="str">
        <f aca="false">HYPERLINK("http://dx.doi.org/10.1186/s12859-022-05076-0","http://dx.doi.org/10.1186/s12859-022-05076-0")</f>
        <v>http://dx.doi.org/10.1186/s12859-022-05076-0</v>
      </c>
      <c r="AX241" s="31"/>
      <c r="AY241" s="31" t="n">
        <v>11</v>
      </c>
      <c r="AZ241" s="31" t="s">
        <v>18074</v>
      </c>
      <c r="BA241" s="31" t="s">
        <v>16366</v>
      </c>
      <c r="BB241" s="31" t="s">
        <v>18075</v>
      </c>
      <c r="BC241" s="31" t="s">
        <v>21694</v>
      </c>
      <c r="BD241" s="31" t="n">
        <v>37095460</v>
      </c>
      <c r="BE241" s="31" t="s">
        <v>16832</v>
      </c>
      <c r="BF241" s="31" t="s">
        <v>16369</v>
      </c>
      <c r="BG241" s="31" t="s">
        <v>21695</v>
      </c>
      <c r="BH241" s="31" t="str">
        <f aca="false">HYPERLINK("https%3A%2F%2Fwww.webofscience.com%2Fwos%2Fwoscc%2Ffull-record%2FWOS:000978374700002","View Full Record in Web of Science")</f>
        <v>View Full Record in Web of Science</v>
      </c>
      <c r="BI241" s="31"/>
      <c r="BJ241" s="31"/>
      <c r="BK241" s="31"/>
      <c r="BL241" s="31"/>
      <c r="BM241" s="31"/>
      <c r="BN241" s="31"/>
      <c r="BO241" s="31"/>
      <c r="BP241" s="31"/>
      <c r="BQ241" s="31"/>
      <c r="BR241" s="31"/>
      <c r="BS241" s="31"/>
      <c r="BT241" s="31"/>
      <c r="BU241" s="31"/>
      <c r="BV241" s="31"/>
      <c r="BW241" s="31"/>
      <c r="BX241" s="31"/>
      <c r="BY241" s="31"/>
      <c r="BZ241" s="31"/>
      <c r="CA241" s="31"/>
      <c r="CB241" s="31"/>
      <c r="CC241" s="31"/>
      <c r="CD241" s="31"/>
      <c r="CE241" s="31"/>
      <c r="CF241" s="31"/>
    </row>
    <row r="242" customFormat="false" ht="15.75" hidden="false" customHeight="true" outlineLevel="0" collapsed="false">
      <c r="A242" s="31" t="s">
        <v>16335</v>
      </c>
      <c r="B242" s="31" t="s">
        <v>21696</v>
      </c>
      <c r="C242" s="31" t="s">
        <v>21697</v>
      </c>
      <c r="D242" s="34" t="s">
        <v>21698</v>
      </c>
      <c r="E242" s="31" t="n">
        <v>2023</v>
      </c>
      <c r="F242" s="33" t="s">
        <v>21699</v>
      </c>
      <c r="G242" s="33" t="s">
        <v>290</v>
      </c>
      <c r="H242" s="32" t="s">
        <v>21700</v>
      </c>
      <c r="I242" s="34"/>
      <c r="J242" s="32" t="s">
        <v>21701</v>
      </c>
      <c r="K242" s="32" t="s">
        <v>16409</v>
      </c>
      <c r="L242" s="32" t="s">
        <v>3754</v>
      </c>
      <c r="M242" s="32" t="s">
        <v>21702</v>
      </c>
      <c r="N242" s="34"/>
      <c r="O242" s="34"/>
      <c r="P242" s="34" t="n">
        <v>3</v>
      </c>
      <c r="Q242" s="31" t="n">
        <v>3</v>
      </c>
      <c r="R242" s="31" t="s">
        <v>61</v>
      </c>
      <c r="S242" s="31" t="s">
        <v>62</v>
      </c>
      <c r="T242" s="31" t="s">
        <v>21703</v>
      </c>
      <c r="U242" s="31" t="n">
        <v>14</v>
      </c>
      <c r="V242" s="31" t="s">
        <v>16928</v>
      </c>
      <c r="W242" s="31"/>
      <c r="X242" s="31" t="s">
        <v>21704</v>
      </c>
      <c r="Y242" s="31" t="s">
        <v>21705</v>
      </c>
      <c r="Z242" s="31" t="s">
        <v>21706</v>
      </c>
      <c r="AA242" s="31" t="s">
        <v>21707</v>
      </c>
      <c r="AB242" s="31" t="s">
        <v>21708</v>
      </c>
      <c r="AC242" s="31" t="s">
        <v>21709</v>
      </c>
      <c r="AD242" s="31" t="s">
        <v>21710</v>
      </c>
      <c r="AE242" s="31" t="s">
        <v>21711</v>
      </c>
      <c r="AF242" s="31" t="s">
        <v>21712</v>
      </c>
      <c r="AG242" s="31" t="s">
        <v>21713</v>
      </c>
      <c r="AH242" s="31" t="s">
        <v>21714</v>
      </c>
      <c r="AI242" s="31" t="n">
        <v>92</v>
      </c>
      <c r="AJ242" s="31" t="n">
        <v>4</v>
      </c>
      <c r="AK242" s="31" t="n">
        <v>12</v>
      </c>
      <c r="AL242" s="31" t="s">
        <v>16938</v>
      </c>
      <c r="AM242" s="31" t="s">
        <v>16939</v>
      </c>
      <c r="AN242" s="31" t="s">
        <v>21715</v>
      </c>
      <c r="AO242" s="31"/>
      <c r="AP242" s="31" t="s">
        <v>21716</v>
      </c>
      <c r="AQ242" s="31" t="s">
        <v>21717</v>
      </c>
      <c r="AR242" s="31" t="s">
        <v>21718</v>
      </c>
      <c r="AS242" s="31"/>
      <c r="AT242" s="31"/>
      <c r="AU242" s="31" t="n">
        <v>1173328</v>
      </c>
      <c r="AV242" s="31" t="s">
        <v>21719</v>
      </c>
      <c r="AW242" s="35" t="str">
        <f aca="false">HYPERLINK("http://dx.doi.org/10.3389/fpls.2023.1173328","http://dx.doi.org/10.3389/fpls.2023.1173328")</f>
        <v>http://dx.doi.org/10.3389/fpls.2023.1173328</v>
      </c>
      <c r="AX242" s="31"/>
      <c r="AY242" s="31" t="n">
        <v>14</v>
      </c>
      <c r="AZ242" s="31" t="s">
        <v>18382</v>
      </c>
      <c r="BA242" s="31" t="s">
        <v>16366</v>
      </c>
      <c r="BB242" s="31" t="s">
        <v>18382</v>
      </c>
      <c r="BC242" s="31" t="s">
        <v>21720</v>
      </c>
      <c r="BD242" s="31" t="n">
        <v>37304721</v>
      </c>
      <c r="BE242" s="31" t="s">
        <v>17143</v>
      </c>
      <c r="BF242" s="31" t="s">
        <v>16369</v>
      </c>
      <c r="BG242" s="31" t="s">
        <v>21721</v>
      </c>
      <c r="BH242" s="31" t="str">
        <f aca="false">HYPERLINK("https%3A%2F%2Fwww.webofscience.com%2Fwos%2Fwoscc%2Ffull-record%2FWOS:001002938500001","View Full Record in Web of Science")</f>
        <v>View Full Record in Web of Science</v>
      </c>
      <c r="BI242" s="31"/>
      <c r="BJ242" s="31"/>
      <c r="BK242" s="31"/>
      <c r="BL242" s="31"/>
      <c r="BM242" s="31"/>
      <c r="BN242" s="31"/>
      <c r="BO242" s="31"/>
      <c r="BP242" s="31"/>
      <c r="BQ242" s="31"/>
      <c r="BR242" s="31"/>
      <c r="BS242" s="31"/>
      <c r="BT242" s="31"/>
      <c r="BU242" s="31"/>
      <c r="BV242" s="31"/>
      <c r="BW242" s="31"/>
      <c r="BX242" s="31"/>
      <c r="BY242" s="31"/>
      <c r="BZ242" s="31"/>
      <c r="CA242" s="31"/>
      <c r="CB242" s="31"/>
      <c r="CC242" s="31"/>
      <c r="CD242" s="31"/>
      <c r="CE242" s="31"/>
      <c r="CF242" s="31"/>
    </row>
    <row r="243" customFormat="false" ht="15.75" hidden="false" customHeight="true" outlineLevel="0" collapsed="false">
      <c r="A243" s="31" t="s">
        <v>16335</v>
      </c>
      <c r="B243" s="31" t="s">
        <v>21722</v>
      </c>
      <c r="C243" s="31" t="s">
        <v>21723</v>
      </c>
      <c r="D243" s="34" t="s">
        <v>21724</v>
      </c>
      <c r="E243" s="31" t="n">
        <v>2023</v>
      </c>
      <c r="F243" s="33" t="s">
        <v>21725</v>
      </c>
      <c r="G243" s="33" t="s">
        <v>134</v>
      </c>
      <c r="H243" s="32" t="s">
        <v>3920</v>
      </c>
      <c r="I243" s="32" t="s">
        <v>3920</v>
      </c>
      <c r="J243" s="32" t="s">
        <v>21109</v>
      </c>
      <c r="K243" s="32" t="s">
        <v>16840</v>
      </c>
      <c r="L243" s="32" t="s">
        <v>3754</v>
      </c>
      <c r="M243" s="32" t="s">
        <v>21726</v>
      </c>
      <c r="N243" s="32"/>
      <c r="O243" s="34"/>
      <c r="P243" s="34" t="n">
        <v>6</v>
      </c>
      <c r="Q243" s="31" t="n">
        <v>6</v>
      </c>
      <c r="R243" s="31" t="s">
        <v>61</v>
      </c>
      <c r="S243" s="31" t="s">
        <v>62</v>
      </c>
      <c r="T243" s="31" t="s">
        <v>18629</v>
      </c>
      <c r="U243" s="31" t="n">
        <v>13</v>
      </c>
      <c r="V243" s="31" t="s">
        <v>4048</v>
      </c>
      <c r="W243" s="31" t="n">
        <v>2</v>
      </c>
      <c r="X243" s="31" t="s">
        <v>21727</v>
      </c>
      <c r="Y243" s="31" t="s">
        <v>21728</v>
      </c>
      <c r="Z243" s="31" t="s">
        <v>21729</v>
      </c>
      <c r="AA243" s="31" t="s">
        <v>18646</v>
      </c>
      <c r="AB243" s="31" t="s">
        <v>21730</v>
      </c>
      <c r="AC243" s="31" t="s">
        <v>21731</v>
      </c>
      <c r="AD243" s="31" t="s">
        <v>18649</v>
      </c>
      <c r="AE243" s="31" t="s">
        <v>21732</v>
      </c>
      <c r="AF243" s="31"/>
      <c r="AG243" s="31"/>
      <c r="AH243" s="31"/>
      <c r="AI243" s="31" t="n">
        <v>92</v>
      </c>
      <c r="AJ243" s="31" t="n">
        <v>3</v>
      </c>
      <c r="AK243" s="31" t="n">
        <v>10</v>
      </c>
      <c r="AL243" s="31" t="s">
        <v>16769</v>
      </c>
      <c r="AM243" s="31" t="s">
        <v>16770</v>
      </c>
      <c r="AN243" s="31"/>
      <c r="AO243" s="31" t="s">
        <v>18636</v>
      </c>
      <c r="AP243" s="31" t="s">
        <v>18629</v>
      </c>
      <c r="AQ243" s="31" t="s">
        <v>849</v>
      </c>
      <c r="AR243" s="31" t="s">
        <v>14295</v>
      </c>
      <c r="AS243" s="31"/>
      <c r="AT243" s="31"/>
      <c r="AU243" s="31" t="n">
        <v>220</v>
      </c>
      <c r="AV243" s="31" t="s">
        <v>21733</v>
      </c>
      <c r="AW243" s="35" t="str">
        <f aca="false">HYPERLINK("http://dx.doi.org/10.3390/diagnostics13020220","http://dx.doi.org/10.3390/diagnostics13020220")</f>
        <v>http://dx.doi.org/10.3390/diagnostics13020220</v>
      </c>
      <c r="AX243" s="31"/>
      <c r="AY243" s="31" t="n">
        <v>20</v>
      </c>
      <c r="AZ243" s="31" t="s">
        <v>16829</v>
      </c>
      <c r="BA243" s="31" t="s">
        <v>16366</v>
      </c>
      <c r="BB243" s="31" t="s">
        <v>16830</v>
      </c>
      <c r="BC243" s="31" t="s">
        <v>21734</v>
      </c>
      <c r="BD243" s="31" t="n">
        <v>36673030</v>
      </c>
      <c r="BE243" s="31" t="s">
        <v>16832</v>
      </c>
      <c r="BF243" s="31" t="s">
        <v>16369</v>
      </c>
      <c r="BG243" s="31" t="s">
        <v>21735</v>
      </c>
      <c r="BH243" s="31" t="str">
        <f aca="false">HYPERLINK("https%3A%2F%2Fwww.webofscience.com%2Fwos%2Fwoscc%2Ffull-record%2FWOS:000914551400001","View Full Record in Web of Science")</f>
        <v>View Full Record in Web of Science</v>
      </c>
      <c r="BI243" s="31"/>
      <c r="BJ243" s="31"/>
      <c r="BK243" s="31"/>
      <c r="BL243" s="31"/>
      <c r="BM243" s="31"/>
      <c r="BN243" s="31"/>
      <c r="BO243" s="31"/>
      <c r="BP243" s="31"/>
      <c r="BQ243" s="31"/>
      <c r="BR243" s="31"/>
      <c r="BS243" s="31"/>
      <c r="BT243" s="31"/>
      <c r="BU243" s="31"/>
      <c r="BV243" s="31"/>
      <c r="BW243" s="31"/>
      <c r="BX243" s="31"/>
      <c r="BY243" s="31"/>
      <c r="BZ243" s="31"/>
      <c r="CA243" s="31"/>
      <c r="CB243" s="31"/>
      <c r="CC243" s="31"/>
      <c r="CD243" s="31"/>
      <c r="CE243" s="31"/>
      <c r="CF243" s="31"/>
    </row>
    <row r="244" customFormat="false" ht="15.75" hidden="false" customHeight="true" outlineLevel="0" collapsed="false">
      <c r="A244" s="31" t="s">
        <v>16335</v>
      </c>
      <c r="B244" s="31" t="s">
        <v>21736</v>
      </c>
      <c r="C244" s="31" t="s">
        <v>21737</v>
      </c>
      <c r="D244" s="34" t="s">
        <v>21738</v>
      </c>
      <c r="E244" s="31" t="n">
        <v>2023</v>
      </c>
      <c r="F244" s="33" t="s">
        <v>21739</v>
      </c>
      <c r="G244" s="33" t="s">
        <v>393</v>
      </c>
      <c r="H244" s="32" t="s">
        <v>21740</v>
      </c>
      <c r="I244" s="34"/>
      <c r="J244" s="32" t="s">
        <v>21741</v>
      </c>
      <c r="K244" s="32" t="s">
        <v>21742</v>
      </c>
      <c r="L244" s="32" t="s">
        <v>3754</v>
      </c>
      <c r="M244" s="32" t="s">
        <v>21743</v>
      </c>
      <c r="N244" s="32" t="s">
        <v>21744</v>
      </c>
      <c r="O244" s="34"/>
      <c r="P244" s="34" t="n">
        <v>2</v>
      </c>
      <c r="Q244" s="31" t="n">
        <v>2</v>
      </c>
      <c r="R244" s="31" t="s">
        <v>61</v>
      </c>
      <c r="S244" s="31" t="s">
        <v>62</v>
      </c>
      <c r="T244" s="31" t="s">
        <v>16413</v>
      </c>
      <c r="U244" s="31" t="n">
        <v>13</v>
      </c>
      <c r="V244" s="31" t="s">
        <v>16414</v>
      </c>
      <c r="W244" s="31" t="n">
        <v>1</v>
      </c>
      <c r="X244" s="31"/>
      <c r="Y244" s="31" t="s">
        <v>21745</v>
      </c>
      <c r="Z244" s="31" t="s">
        <v>21746</v>
      </c>
      <c r="AA244" s="31" t="s">
        <v>21747</v>
      </c>
      <c r="AB244" s="31" t="s">
        <v>21748</v>
      </c>
      <c r="AC244" s="31" t="s">
        <v>21749</v>
      </c>
      <c r="AD244" s="31" t="s">
        <v>21750</v>
      </c>
      <c r="AE244" s="31" t="s">
        <v>21751</v>
      </c>
      <c r="AF244" s="31" t="s">
        <v>21752</v>
      </c>
      <c r="AG244" s="31" t="s">
        <v>21753</v>
      </c>
      <c r="AH244" s="31" t="s">
        <v>21754</v>
      </c>
      <c r="AI244" s="31" t="n">
        <v>43</v>
      </c>
      <c r="AJ244" s="31" t="n">
        <v>3</v>
      </c>
      <c r="AK244" s="31" t="n">
        <v>4</v>
      </c>
      <c r="AL244" s="31" t="s">
        <v>16421</v>
      </c>
      <c r="AM244" s="31" t="s">
        <v>16422</v>
      </c>
      <c r="AN244" s="31" t="s">
        <v>16423</v>
      </c>
      <c r="AO244" s="31"/>
      <c r="AP244" s="31" t="s">
        <v>16424</v>
      </c>
      <c r="AQ244" s="31" t="s">
        <v>16425</v>
      </c>
      <c r="AR244" s="31" t="s">
        <v>21755</v>
      </c>
      <c r="AS244" s="31"/>
      <c r="AT244" s="31"/>
      <c r="AU244" s="31" t="n">
        <v>21662</v>
      </c>
      <c r="AV244" s="31" t="s">
        <v>21756</v>
      </c>
      <c r="AW244" s="35" t="str">
        <f aca="false">HYPERLINK("http://dx.doi.org/10.1038/s41598-023-49011-6","http://dx.doi.org/10.1038/s41598-023-49011-6")</f>
        <v>http://dx.doi.org/10.1038/s41598-023-49011-6</v>
      </c>
      <c r="AX244" s="31"/>
      <c r="AY244" s="31" t="n">
        <v>12</v>
      </c>
      <c r="AZ244" s="31" t="s">
        <v>16428</v>
      </c>
      <c r="BA244" s="31" t="s">
        <v>16366</v>
      </c>
      <c r="BB244" s="31" t="s">
        <v>16429</v>
      </c>
      <c r="BC244" s="31" t="s">
        <v>21757</v>
      </c>
      <c r="BD244" s="31" t="n">
        <v>38066189</v>
      </c>
      <c r="BE244" s="31" t="s">
        <v>17143</v>
      </c>
      <c r="BF244" s="31" t="s">
        <v>16369</v>
      </c>
      <c r="BG244" s="31" t="s">
        <v>21758</v>
      </c>
      <c r="BH244" s="31" t="str">
        <f aca="false">HYPERLINK("https%3A%2F%2Fwww.webofscience.com%2Fwos%2Fwoscc%2Ffull-record%2FWOS:001156939700026","View Full Record in Web of Science")</f>
        <v>View Full Record in Web of Science</v>
      </c>
      <c r="BI244" s="31"/>
      <c r="BJ244" s="31"/>
      <c r="BK244" s="31"/>
      <c r="BL244" s="31"/>
      <c r="BM244" s="31"/>
      <c r="BN244" s="31"/>
      <c r="BO244" s="31"/>
      <c r="BP244" s="31"/>
      <c r="BQ244" s="31"/>
      <c r="BR244" s="31"/>
      <c r="BS244" s="31"/>
      <c r="BT244" s="31"/>
      <c r="BU244" s="31"/>
      <c r="BV244" s="31"/>
      <c r="BW244" s="31"/>
      <c r="BX244" s="31"/>
      <c r="BY244" s="31"/>
      <c r="BZ244" s="31"/>
      <c r="CA244" s="31"/>
      <c r="CB244" s="31"/>
      <c r="CC244" s="31"/>
      <c r="CD244" s="31"/>
      <c r="CE244" s="31"/>
      <c r="CF244" s="31"/>
    </row>
    <row r="245" customFormat="false" ht="15.75" hidden="false" customHeight="true" outlineLevel="0" collapsed="false">
      <c r="A245" s="31" t="s">
        <v>16335</v>
      </c>
      <c r="B245" s="31" t="s">
        <v>21759</v>
      </c>
      <c r="C245" s="31" t="s">
        <v>21760</v>
      </c>
      <c r="D245" s="34" t="s">
        <v>21761</v>
      </c>
      <c r="E245" s="31" t="n">
        <v>2023</v>
      </c>
      <c r="F245" s="33" t="s">
        <v>21762</v>
      </c>
      <c r="G245" s="33" t="s">
        <v>290</v>
      </c>
      <c r="H245" s="32" t="s">
        <v>21763</v>
      </c>
      <c r="I245" s="34"/>
      <c r="J245" s="34"/>
      <c r="K245" s="32" t="s">
        <v>16409</v>
      </c>
      <c r="L245" s="34"/>
      <c r="M245" s="34"/>
      <c r="N245" s="34"/>
      <c r="O245" s="34"/>
      <c r="P245" s="34" t="n">
        <v>3</v>
      </c>
      <c r="Q245" s="31" t="n">
        <v>3</v>
      </c>
      <c r="R245" s="31" t="s">
        <v>61</v>
      </c>
      <c r="S245" s="31" t="s">
        <v>62</v>
      </c>
      <c r="T245" s="31" t="s">
        <v>19746</v>
      </c>
      <c r="U245" s="31" t="n">
        <v>14</v>
      </c>
      <c r="V245" s="31" t="s">
        <v>19148</v>
      </c>
      <c r="W245" s="31" t="n">
        <v>12</v>
      </c>
      <c r="X245" s="31" t="s">
        <v>21764</v>
      </c>
      <c r="Y245" s="31" t="s">
        <v>21765</v>
      </c>
      <c r="Z245" s="31" t="s">
        <v>21766</v>
      </c>
      <c r="AA245" s="31" t="s">
        <v>21767</v>
      </c>
      <c r="AB245" s="31" t="s">
        <v>21768</v>
      </c>
      <c r="AC245" s="31" t="s">
        <v>21769</v>
      </c>
      <c r="AD245" s="31" t="s">
        <v>21770</v>
      </c>
      <c r="AE245" s="31" t="s">
        <v>21771</v>
      </c>
      <c r="AF245" s="31" t="s">
        <v>21772</v>
      </c>
      <c r="AG245" s="31" t="s">
        <v>21773</v>
      </c>
      <c r="AH245" s="31" t="s">
        <v>21774</v>
      </c>
      <c r="AI245" s="31" t="n">
        <v>28</v>
      </c>
      <c r="AJ245" s="31" t="n">
        <v>1</v>
      </c>
      <c r="AK245" s="31" t="n">
        <v>4</v>
      </c>
      <c r="AL245" s="31" t="s">
        <v>18329</v>
      </c>
      <c r="AM245" s="31" t="s">
        <v>19160</v>
      </c>
      <c r="AN245" s="31" t="s">
        <v>19756</v>
      </c>
      <c r="AO245" s="31"/>
      <c r="AP245" s="31" t="s">
        <v>19757</v>
      </c>
      <c r="AQ245" s="31" t="s">
        <v>19758</v>
      </c>
      <c r="AR245" s="31" t="s">
        <v>21775</v>
      </c>
      <c r="AS245" s="31" t="n">
        <v>1733</v>
      </c>
      <c r="AT245" s="31" t="n">
        <v>1741</v>
      </c>
      <c r="AU245" s="31"/>
      <c r="AV245" s="31" t="s">
        <v>21776</v>
      </c>
      <c r="AW245" s="35" t="str">
        <f aca="false">HYPERLINK("http://dx.doi.org/10.1021/acsmedchemlett.3c00369","http://dx.doi.org/10.1021/acsmedchemlett.3c00369")</f>
        <v>http://dx.doi.org/10.1021/acsmedchemlett.3c00369</v>
      </c>
      <c r="AX245" s="31"/>
      <c r="AY245" s="31" t="n">
        <v>9</v>
      </c>
      <c r="AZ245" s="31" t="s">
        <v>19761</v>
      </c>
      <c r="BA245" s="31" t="s">
        <v>16366</v>
      </c>
      <c r="BB245" s="31" t="s">
        <v>18125</v>
      </c>
      <c r="BC245" s="31" t="s">
        <v>21777</v>
      </c>
      <c r="BD245" s="31" t="n">
        <v>38116432</v>
      </c>
      <c r="BE245" s="31" t="s">
        <v>17842</v>
      </c>
      <c r="BF245" s="31" t="s">
        <v>16369</v>
      </c>
      <c r="BG245" s="31" t="s">
        <v>21778</v>
      </c>
      <c r="BH245" s="31" t="str">
        <f aca="false">HYPERLINK("https%3A%2F%2Fwww.webofscience.com%2Fwos%2Fwoscc%2Ffull-record%2FWOS:001142883800001","View Full Record in Web of Science")</f>
        <v>View Full Record in Web of Science</v>
      </c>
      <c r="BI245" s="31"/>
      <c r="BJ245" s="31"/>
      <c r="BK245" s="31"/>
      <c r="BL245" s="31"/>
      <c r="BM245" s="31"/>
      <c r="BN245" s="31"/>
      <c r="BO245" s="31"/>
      <c r="BP245" s="31"/>
      <c r="BQ245" s="31"/>
      <c r="BR245" s="31"/>
      <c r="BS245" s="31"/>
      <c r="BT245" s="31"/>
      <c r="BU245" s="31"/>
      <c r="BV245" s="31"/>
      <c r="BW245" s="31"/>
      <c r="BX245" s="31"/>
      <c r="BY245" s="31"/>
      <c r="BZ245" s="31"/>
      <c r="CA245" s="31"/>
      <c r="CB245" s="31"/>
      <c r="CC245" s="31"/>
      <c r="CD245" s="31"/>
      <c r="CE245" s="31"/>
      <c r="CF245" s="31"/>
    </row>
    <row r="246" customFormat="false" ht="15.75" hidden="false" customHeight="true" outlineLevel="0" collapsed="false">
      <c r="A246" s="31" t="s">
        <v>16335</v>
      </c>
      <c r="B246" s="31" t="s">
        <v>21779</v>
      </c>
      <c r="C246" s="31" t="s">
        <v>21780</v>
      </c>
      <c r="D246" s="34" t="s">
        <v>21781</v>
      </c>
      <c r="E246" s="31" t="n">
        <v>2023</v>
      </c>
      <c r="F246" s="33" t="s">
        <v>21782</v>
      </c>
      <c r="G246" s="33" t="s">
        <v>134</v>
      </c>
      <c r="H246" s="32" t="s">
        <v>21783</v>
      </c>
      <c r="I246" s="32" t="s">
        <v>21784</v>
      </c>
      <c r="J246" s="32" t="s">
        <v>21109</v>
      </c>
      <c r="K246" s="32" t="s">
        <v>16409</v>
      </c>
      <c r="L246" s="32" t="s">
        <v>3754</v>
      </c>
      <c r="M246" s="32" t="s">
        <v>16410</v>
      </c>
      <c r="N246" s="32" t="s">
        <v>21785</v>
      </c>
      <c r="O246" s="34"/>
      <c r="P246" s="34" t="n">
        <v>30</v>
      </c>
      <c r="Q246" s="31" t="n">
        <v>30</v>
      </c>
      <c r="R246" s="31" t="s">
        <v>61</v>
      </c>
      <c r="S246" s="31" t="s">
        <v>62</v>
      </c>
      <c r="T246" s="31" t="s">
        <v>18343</v>
      </c>
      <c r="U246" s="31" t="n">
        <v>23</v>
      </c>
      <c r="V246" s="31" t="s">
        <v>4048</v>
      </c>
      <c r="W246" s="31" t="n">
        <v>3</v>
      </c>
      <c r="X246" s="31" t="s">
        <v>21786</v>
      </c>
      <c r="Y246" s="31" t="s">
        <v>21787</v>
      </c>
      <c r="Z246" s="31" t="s">
        <v>21788</v>
      </c>
      <c r="AA246" s="31" t="s">
        <v>21789</v>
      </c>
      <c r="AB246" s="31" t="s">
        <v>21790</v>
      </c>
      <c r="AC246" s="31" t="s">
        <v>21791</v>
      </c>
      <c r="AD246" s="31" t="s">
        <v>21792</v>
      </c>
      <c r="AE246" s="31" t="s">
        <v>21793</v>
      </c>
      <c r="AF246" s="31" t="s">
        <v>21794</v>
      </c>
      <c r="AG246" s="31" t="s">
        <v>21795</v>
      </c>
      <c r="AH246" s="31" t="s">
        <v>21796</v>
      </c>
      <c r="AI246" s="31" t="n">
        <v>56</v>
      </c>
      <c r="AJ246" s="31" t="n">
        <v>2</v>
      </c>
      <c r="AK246" s="31" t="n">
        <v>12</v>
      </c>
      <c r="AL246" s="31" t="s">
        <v>16769</v>
      </c>
      <c r="AM246" s="31" t="s">
        <v>16770</v>
      </c>
      <c r="AN246" s="31"/>
      <c r="AO246" s="31" t="s">
        <v>18354</v>
      </c>
      <c r="AP246" s="31" t="s">
        <v>18355</v>
      </c>
      <c r="AQ246" s="31" t="s">
        <v>18356</v>
      </c>
      <c r="AR246" s="31" t="s">
        <v>16970</v>
      </c>
      <c r="AS246" s="31"/>
      <c r="AT246" s="31"/>
      <c r="AU246" s="31" t="n">
        <v>1501</v>
      </c>
      <c r="AV246" s="31" t="s">
        <v>21797</v>
      </c>
      <c r="AW246" s="35" t="str">
        <f aca="false">HYPERLINK("http://dx.doi.org/10.3390/s23031501","http://dx.doi.org/10.3390/s23031501")</f>
        <v>http://dx.doi.org/10.3390/s23031501</v>
      </c>
      <c r="AX246" s="31"/>
      <c r="AY246" s="31" t="n">
        <v>21</v>
      </c>
      <c r="AZ246" s="31" t="s">
        <v>18358</v>
      </c>
      <c r="BA246" s="31" t="s">
        <v>16366</v>
      </c>
      <c r="BB246" s="31" t="s">
        <v>18359</v>
      </c>
      <c r="BC246" s="31" t="s">
        <v>21798</v>
      </c>
      <c r="BD246" s="31" t="n">
        <v>36772541</v>
      </c>
      <c r="BE246" s="31" t="s">
        <v>17143</v>
      </c>
      <c r="BF246" s="31" t="s">
        <v>16369</v>
      </c>
      <c r="BG246" s="31" t="s">
        <v>21799</v>
      </c>
      <c r="BH246" s="31" t="str">
        <f aca="false">HYPERLINK("https%3A%2F%2Fwww.webofscience.com%2Fwos%2Fwoscc%2Ffull-record%2FWOS:000929622100001","View Full Record in Web of Science")</f>
        <v>View Full Record in Web of Science</v>
      </c>
      <c r="BI246" s="31"/>
      <c r="BJ246" s="31"/>
      <c r="BK246" s="31"/>
      <c r="BL246" s="31"/>
      <c r="BM246" s="31"/>
      <c r="BN246" s="31"/>
      <c r="BO246" s="31"/>
      <c r="BP246" s="31"/>
      <c r="BQ246" s="31"/>
      <c r="BR246" s="31"/>
      <c r="BS246" s="31"/>
      <c r="BT246" s="31"/>
      <c r="BU246" s="31"/>
      <c r="BV246" s="31"/>
      <c r="BW246" s="31"/>
      <c r="BX246" s="31"/>
      <c r="BY246" s="31"/>
      <c r="BZ246" s="31"/>
      <c r="CA246" s="31"/>
      <c r="CB246" s="31"/>
      <c r="CC246" s="31"/>
      <c r="CD246" s="31"/>
      <c r="CE246" s="31"/>
      <c r="CF246" s="31"/>
    </row>
    <row r="247" customFormat="false" ht="15.75" hidden="false" customHeight="true" outlineLevel="0" collapsed="false">
      <c r="A247" s="31" t="s">
        <v>16335</v>
      </c>
      <c r="B247" s="31" t="s">
        <v>21800</v>
      </c>
      <c r="C247" s="31" t="s">
        <v>21801</v>
      </c>
      <c r="D247" s="34" t="s">
        <v>21802</v>
      </c>
      <c r="E247" s="31" t="n">
        <v>2023</v>
      </c>
      <c r="F247" s="33" t="s">
        <v>21803</v>
      </c>
      <c r="G247" s="33" t="s">
        <v>134</v>
      </c>
      <c r="H247" s="32" t="s">
        <v>21783</v>
      </c>
      <c r="I247" s="32" t="s">
        <v>21784</v>
      </c>
      <c r="J247" s="32" t="s">
        <v>21109</v>
      </c>
      <c r="K247" s="32" t="s">
        <v>16409</v>
      </c>
      <c r="L247" s="34"/>
      <c r="M247" s="34"/>
      <c r="N247" s="32" t="s">
        <v>21804</v>
      </c>
      <c r="O247" s="34"/>
      <c r="P247" s="34" t="n">
        <v>1</v>
      </c>
      <c r="Q247" s="31" t="n">
        <v>1</v>
      </c>
      <c r="R247" s="31" t="s">
        <v>61</v>
      </c>
      <c r="S247" s="31" t="s">
        <v>62</v>
      </c>
      <c r="T247" s="31" t="s">
        <v>21805</v>
      </c>
      <c r="U247" s="31" t="n">
        <v>79</v>
      </c>
      <c r="V247" s="31" t="s">
        <v>21806</v>
      </c>
      <c r="W247" s="31" t="n">
        <v>8</v>
      </c>
      <c r="X247" s="31" t="s">
        <v>21807</v>
      </c>
      <c r="Y247" s="31" t="s">
        <v>21808</v>
      </c>
      <c r="Z247" s="31" t="s">
        <v>21809</v>
      </c>
      <c r="AA247" s="31" t="s">
        <v>21810</v>
      </c>
      <c r="AB247" s="31" t="s">
        <v>21811</v>
      </c>
      <c r="AC247" s="31" t="s">
        <v>21812</v>
      </c>
      <c r="AD247" s="31" t="s">
        <v>21813</v>
      </c>
      <c r="AE247" s="31" t="s">
        <v>21814</v>
      </c>
      <c r="AF247" s="31"/>
      <c r="AG247" s="31"/>
      <c r="AH247" s="31"/>
      <c r="AI247" s="31" t="n">
        <v>43</v>
      </c>
      <c r="AJ247" s="31" t="n">
        <v>2</v>
      </c>
      <c r="AK247" s="31" t="n">
        <v>4</v>
      </c>
      <c r="AL247" s="31" t="s">
        <v>21815</v>
      </c>
      <c r="AM247" s="31" t="s">
        <v>21816</v>
      </c>
      <c r="AN247" s="31" t="s">
        <v>21817</v>
      </c>
      <c r="AO247" s="31"/>
      <c r="AP247" s="31" t="s">
        <v>21818</v>
      </c>
      <c r="AQ247" s="31" t="s">
        <v>21819</v>
      </c>
      <c r="AR247" s="31" t="s">
        <v>17837</v>
      </c>
      <c r="AS247" s="31" t="n">
        <v>406</v>
      </c>
      <c r="AT247" s="31" t="n">
        <v>412</v>
      </c>
      <c r="AU247" s="31"/>
      <c r="AV247" s="31" t="s">
        <v>21820</v>
      </c>
      <c r="AW247" s="35" t="str">
        <f aca="false">HYPERLINK("http://dx.doi.org/10.21521/mw.6804","http://dx.doi.org/10.21521/mw.6804")</f>
        <v>http://dx.doi.org/10.21521/mw.6804</v>
      </c>
      <c r="AX247" s="31"/>
      <c r="AY247" s="31" t="n">
        <v>7</v>
      </c>
      <c r="AZ247" s="31" t="s">
        <v>21821</v>
      </c>
      <c r="BA247" s="31" t="s">
        <v>16366</v>
      </c>
      <c r="BB247" s="31" t="s">
        <v>21821</v>
      </c>
      <c r="BC247" s="31" t="s">
        <v>21822</v>
      </c>
      <c r="BD247" s="31"/>
      <c r="BE247" s="31" t="s">
        <v>16431</v>
      </c>
      <c r="BF247" s="31" t="s">
        <v>16369</v>
      </c>
      <c r="BG247" s="31" t="s">
        <v>21823</v>
      </c>
      <c r="BH247" s="31" t="str">
        <f aca="false">HYPERLINK("https%3A%2F%2Fwww.webofscience.com%2Fwos%2Fwoscc%2Ffull-record%2FWOS:001042181200005","View Full Record in Web of Science")</f>
        <v>View Full Record in Web of Science</v>
      </c>
      <c r="BI247" s="31"/>
      <c r="BJ247" s="31"/>
      <c r="BK247" s="31"/>
      <c r="BL247" s="31"/>
      <c r="BM247" s="31"/>
      <c r="BN247" s="31"/>
      <c r="BO247" s="31"/>
      <c r="BP247" s="31"/>
      <c r="BQ247" s="31"/>
      <c r="BR247" s="31"/>
      <c r="BS247" s="31"/>
      <c r="BT247" s="31"/>
      <c r="BU247" s="31"/>
      <c r="BV247" s="31"/>
      <c r="BW247" s="31"/>
      <c r="BX247" s="31"/>
      <c r="BY247" s="31"/>
      <c r="BZ247" s="31"/>
      <c r="CA247" s="31"/>
      <c r="CB247" s="31"/>
      <c r="CC247" s="31"/>
      <c r="CD247" s="31"/>
      <c r="CE247" s="31"/>
      <c r="CF247" s="31"/>
    </row>
    <row r="248" customFormat="false" ht="15.75" hidden="false" customHeight="true" outlineLevel="0" collapsed="false">
      <c r="A248" s="31" t="s">
        <v>16335</v>
      </c>
      <c r="B248" s="31" t="s">
        <v>21824</v>
      </c>
      <c r="C248" s="31" t="s">
        <v>21825</v>
      </c>
      <c r="D248" s="34" t="s">
        <v>21826</v>
      </c>
      <c r="E248" s="31" t="n">
        <v>2023</v>
      </c>
      <c r="F248" s="33" t="s">
        <v>21827</v>
      </c>
      <c r="G248" s="33" t="s">
        <v>134</v>
      </c>
      <c r="H248" s="32" t="s">
        <v>17089</v>
      </c>
      <c r="I248" s="32" t="s">
        <v>3715</v>
      </c>
      <c r="J248" s="34"/>
      <c r="K248" s="32" t="s">
        <v>16409</v>
      </c>
      <c r="L248" s="34"/>
      <c r="M248" s="34"/>
      <c r="N248" s="32" t="s">
        <v>21828</v>
      </c>
      <c r="O248" s="34"/>
      <c r="P248" s="34" t="n">
        <v>4</v>
      </c>
      <c r="Q248" s="31" t="n">
        <v>4</v>
      </c>
      <c r="R248" s="31" t="s">
        <v>61</v>
      </c>
      <c r="S248" s="31" t="s">
        <v>62</v>
      </c>
      <c r="T248" s="31" t="s">
        <v>16383</v>
      </c>
      <c r="U248" s="31" t="n">
        <v>11</v>
      </c>
      <c r="V248" s="31" t="s">
        <v>16384</v>
      </c>
      <c r="W248" s="31"/>
      <c r="X248" s="31" t="s">
        <v>21829</v>
      </c>
      <c r="Y248" s="31" t="s">
        <v>21830</v>
      </c>
      <c r="Z248" s="31" t="s">
        <v>21831</v>
      </c>
      <c r="AA248" s="31" t="s">
        <v>21832</v>
      </c>
      <c r="AB248" s="31" t="s">
        <v>21833</v>
      </c>
      <c r="AC248" s="31" t="s">
        <v>21834</v>
      </c>
      <c r="AD248" s="31" t="s">
        <v>21835</v>
      </c>
      <c r="AE248" s="31" t="s">
        <v>21836</v>
      </c>
      <c r="AF248" s="31" t="s">
        <v>21837</v>
      </c>
      <c r="AG248" s="31" t="s">
        <v>21838</v>
      </c>
      <c r="AH248" s="31" t="s">
        <v>21839</v>
      </c>
      <c r="AI248" s="31" t="n">
        <v>40</v>
      </c>
      <c r="AJ248" s="31" t="n">
        <v>2</v>
      </c>
      <c r="AK248" s="31" t="n">
        <v>13</v>
      </c>
      <c r="AL248" s="31" t="s">
        <v>16395</v>
      </c>
      <c r="AM248" s="31" t="s">
        <v>16396</v>
      </c>
      <c r="AN248" s="31" t="s">
        <v>16397</v>
      </c>
      <c r="AO248" s="31"/>
      <c r="AP248" s="31" t="s">
        <v>16383</v>
      </c>
      <c r="AQ248" s="31" t="s">
        <v>186</v>
      </c>
      <c r="AR248" s="31"/>
      <c r="AS248" s="31" t="n">
        <v>15945</v>
      </c>
      <c r="AT248" s="31" t="n">
        <v>15953</v>
      </c>
      <c r="AU248" s="31"/>
      <c r="AV248" s="31" t="s">
        <v>21840</v>
      </c>
      <c r="AW248" s="35" t="str">
        <f aca="false">HYPERLINK("http://dx.doi.org/10.1109/ACCESS.2023.3245025","http://dx.doi.org/10.1109/ACCESS.2023.3245025")</f>
        <v>http://dx.doi.org/10.1109/ACCESS.2023.3245025</v>
      </c>
      <c r="AX248" s="31"/>
      <c r="AY248" s="31" t="n">
        <v>9</v>
      </c>
      <c r="AZ248" s="31" t="s">
        <v>16399</v>
      </c>
      <c r="BA248" s="31" t="s">
        <v>16366</v>
      </c>
      <c r="BB248" s="31" t="s">
        <v>16400</v>
      </c>
      <c r="BC248" s="31" t="s">
        <v>21841</v>
      </c>
      <c r="BD248" s="31"/>
      <c r="BE248" s="31" t="s">
        <v>16431</v>
      </c>
      <c r="BF248" s="31" t="s">
        <v>16369</v>
      </c>
      <c r="BG248" s="31" t="s">
        <v>21842</v>
      </c>
      <c r="BH248" s="31" t="str">
        <f aca="false">HYPERLINK("https%3A%2F%2Fwww.webofscience.com%2Fwos%2Fwoscc%2Ffull-record%2FWOS:000944938000001","View Full Record in Web of Science")</f>
        <v>View Full Record in Web of Science</v>
      </c>
      <c r="BI248" s="31"/>
      <c r="BJ248" s="31"/>
      <c r="BK248" s="31"/>
      <c r="BL248" s="31"/>
      <c r="BM248" s="31"/>
      <c r="BN248" s="31"/>
      <c r="BO248" s="31"/>
      <c r="BP248" s="31"/>
      <c r="BQ248" s="31"/>
      <c r="BR248" s="31"/>
      <c r="BS248" s="31"/>
      <c r="BT248" s="31"/>
      <c r="BU248" s="31"/>
      <c r="BV248" s="31"/>
      <c r="BW248" s="31"/>
      <c r="BX248" s="31"/>
      <c r="BY248" s="31"/>
      <c r="BZ248" s="31"/>
      <c r="CA248" s="31"/>
      <c r="CB248" s="31"/>
      <c r="CC248" s="31"/>
      <c r="CD248" s="31"/>
      <c r="CE248" s="31"/>
      <c r="CF248" s="31"/>
    </row>
    <row r="249" customFormat="false" ht="15.75" hidden="false" customHeight="true" outlineLevel="0" collapsed="false">
      <c r="A249" s="31" t="s">
        <v>16335</v>
      </c>
      <c r="B249" s="31" t="s">
        <v>21843</v>
      </c>
      <c r="C249" s="31" t="s">
        <v>21844</v>
      </c>
      <c r="D249" s="34" t="s">
        <v>21845</v>
      </c>
      <c r="E249" s="31" t="n">
        <v>2023</v>
      </c>
      <c r="F249" s="33" t="s">
        <v>21846</v>
      </c>
      <c r="G249" s="33" t="s">
        <v>134</v>
      </c>
      <c r="H249" s="32" t="s">
        <v>21847</v>
      </c>
      <c r="I249" s="34"/>
      <c r="J249" s="32" t="s">
        <v>21848</v>
      </c>
      <c r="K249" s="32" t="s">
        <v>16409</v>
      </c>
      <c r="L249" s="32" t="s">
        <v>3754</v>
      </c>
      <c r="M249" s="32" t="s">
        <v>21849</v>
      </c>
      <c r="N249" s="32" t="s">
        <v>21850</v>
      </c>
      <c r="O249" s="34"/>
      <c r="P249" s="34" t="n">
        <v>5</v>
      </c>
      <c r="Q249" s="31" t="n">
        <v>5</v>
      </c>
      <c r="R249" s="31" t="s">
        <v>61</v>
      </c>
      <c r="S249" s="31" t="s">
        <v>62</v>
      </c>
      <c r="T249" s="31" t="s">
        <v>21851</v>
      </c>
      <c r="U249" s="31" t="n">
        <v>11</v>
      </c>
      <c r="V249" s="31" t="s">
        <v>17387</v>
      </c>
      <c r="W249" s="31" t="n">
        <v>3</v>
      </c>
      <c r="X249" s="31" t="s">
        <v>21852</v>
      </c>
      <c r="Y249" s="31" t="s">
        <v>21853</v>
      </c>
      <c r="Z249" s="31" t="s">
        <v>21854</v>
      </c>
      <c r="AA249" s="31" t="s">
        <v>21855</v>
      </c>
      <c r="AB249" s="31" t="s">
        <v>21856</v>
      </c>
      <c r="AC249" s="31" t="s">
        <v>21857</v>
      </c>
      <c r="AD249" s="31" t="s">
        <v>21858</v>
      </c>
      <c r="AE249" s="31" t="s">
        <v>21859</v>
      </c>
      <c r="AF249" s="31" t="s">
        <v>21860</v>
      </c>
      <c r="AG249" s="31" t="s">
        <v>21861</v>
      </c>
      <c r="AH249" s="31" t="s">
        <v>21862</v>
      </c>
      <c r="AI249" s="31" t="n">
        <v>51</v>
      </c>
      <c r="AJ249" s="31" t="n">
        <v>1</v>
      </c>
      <c r="AK249" s="31" t="n">
        <v>8</v>
      </c>
      <c r="AL249" s="31" t="s">
        <v>17398</v>
      </c>
      <c r="AM249" s="31" t="s">
        <v>17399</v>
      </c>
      <c r="AN249" s="31" t="s">
        <v>21863</v>
      </c>
      <c r="AO249" s="31" t="s">
        <v>21864</v>
      </c>
      <c r="AP249" s="31" t="s">
        <v>21865</v>
      </c>
      <c r="AQ249" s="31" t="s">
        <v>21866</v>
      </c>
      <c r="AR249" s="31" t="s">
        <v>17404</v>
      </c>
      <c r="AS249" s="31" t="n">
        <v>351</v>
      </c>
      <c r="AT249" s="31" t="n">
        <v>368</v>
      </c>
      <c r="AU249" s="31"/>
      <c r="AV249" s="31" t="s">
        <v>21867</v>
      </c>
      <c r="AW249" s="35" t="str">
        <f aca="false">HYPERLINK("http://dx.doi.org/10.1080/21681163.2022.2111715","http://dx.doi.org/10.1080/21681163.2022.2111715")</f>
        <v>http://dx.doi.org/10.1080/21681163.2022.2111715</v>
      </c>
      <c r="AX249" s="31" t="s">
        <v>21868</v>
      </c>
      <c r="AY249" s="31" t="n">
        <v>18</v>
      </c>
      <c r="AZ249" s="31" t="s">
        <v>18428</v>
      </c>
      <c r="BA249" s="31" t="s">
        <v>16684</v>
      </c>
      <c r="BB249" s="31" t="s">
        <v>18429</v>
      </c>
      <c r="BC249" s="31" t="s">
        <v>21869</v>
      </c>
      <c r="BD249" s="31"/>
      <c r="BE249" s="31"/>
      <c r="BF249" s="31" t="s">
        <v>16369</v>
      </c>
      <c r="BG249" s="31" t="s">
        <v>21870</v>
      </c>
      <c r="BH249" s="31" t="str">
        <f aca="false">HYPERLINK("https%3A%2F%2Fwww.webofscience.com%2Fwos%2Fwoscc%2Ffull-record%2FWOS:000842277300001","View Full Record in Web of Science")</f>
        <v>View Full Record in Web of Science</v>
      </c>
      <c r="BI249" s="31"/>
      <c r="BJ249" s="31"/>
      <c r="BK249" s="31"/>
      <c r="BL249" s="31"/>
      <c r="BM249" s="31"/>
      <c r="BN249" s="31"/>
      <c r="BO249" s="31"/>
      <c r="BP249" s="31"/>
      <c r="BQ249" s="31"/>
      <c r="BR249" s="31"/>
      <c r="BS249" s="31"/>
      <c r="BT249" s="31"/>
      <c r="BU249" s="31"/>
      <c r="BV249" s="31"/>
      <c r="BW249" s="31"/>
      <c r="BX249" s="31"/>
      <c r="BY249" s="31"/>
      <c r="BZ249" s="31"/>
      <c r="CA249" s="31"/>
      <c r="CB249" s="31"/>
      <c r="CC249" s="31"/>
      <c r="CD249" s="31"/>
      <c r="CE249" s="31"/>
      <c r="CF249" s="31"/>
    </row>
    <row r="250" customFormat="false" ht="15.75" hidden="false" customHeight="true" outlineLevel="0" collapsed="false">
      <c r="A250" s="31" t="s">
        <v>16335</v>
      </c>
      <c r="B250" s="31" t="s">
        <v>21871</v>
      </c>
      <c r="C250" s="31" t="s">
        <v>21872</v>
      </c>
      <c r="D250" s="34" t="s">
        <v>21873</v>
      </c>
      <c r="E250" s="31" t="n">
        <v>2023</v>
      </c>
      <c r="F250" s="33" t="s">
        <v>21874</v>
      </c>
      <c r="G250" s="33" t="s">
        <v>134</v>
      </c>
      <c r="H250" s="32" t="s">
        <v>21875</v>
      </c>
      <c r="I250" s="32" t="s">
        <v>21876</v>
      </c>
      <c r="J250" s="34"/>
      <c r="K250" s="32" t="s">
        <v>16753</v>
      </c>
      <c r="L250" s="32" t="s">
        <v>21877</v>
      </c>
      <c r="M250" s="32" t="s">
        <v>21878</v>
      </c>
      <c r="N250" s="34"/>
      <c r="O250" s="34"/>
      <c r="P250" s="34" t="n">
        <v>0</v>
      </c>
      <c r="Q250" s="31" t="n">
        <v>1</v>
      </c>
      <c r="R250" s="31" t="s">
        <v>61</v>
      </c>
      <c r="S250" s="31" t="s">
        <v>62</v>
      </c>
      <c r="T250" s="31" t="s">
        <v>18082</v>
      </c>
      <c r="U250" s="31" t="n">
        <v>16</v>
      </c>
      <c r="V250" s="31" t="s">
        <v>17599</v>
      </c>
      <c r="W250" s="31" t="n">
        <v>1</v>
      </c>
      <c r="X250" s="31" t="s">
        <v>21879</v>
      </c>
      <c r="Y250" s="31" t="s">
        <v>21880</v>
      </c>
      <c r="Z250" s="31" t="s">
        <v>21881</v>
      </c>
      <c r="AA250" s="31" t="s">
        <v>21882</v>
      </c>
      <c r="AB250" s="31" t="s">
        <v>21883</v>
      </c>
      <c r="AC250" s="31" t="s">
        <v>21884</v>
      </c>
      <c r="AD250" s="31" t="s">
        <v>21885</v>
      </c>
      <c r="AE250" s="31" t="s">
        <v>21886</v>
      </c>
      <c r="AF250" s="31" t="s">
        <v>21887</v>
      </c>
      <c r="AG250" s="31" t="s">
        <v>21888</v>
      </c>
      <c r="AH250" s="31" t="s">
        <v>21889</v>
      </c>
      <c r="AI250" s="31" t="n">
        <v>31</v>
      </c>
      <c r="AJ250" s="31" t="n">
        <v>1</v>
      </c>
      <c r="AK250" s="31" t="n">
        <v>5</v>
      </c>
      <c r="AL250" s="31" t="s">
        <v>16821</v>
      </c>
      <c r="AM250" s="31" t="s">
        <v>17609</v>
      </c>
      <c r="AN250" s="31" t="s">
        <v>18094</v>
      </c>
      <c r="AO250" s="31"/>
      <c r="AP250" s="31" t="s">
        <v>18095</v>
      </c>
      <c r="AQ250" s="31" t="s">
        <v>1044</v>
      </c>
      <c r="AR250" s="31" t="s">
        <v>18142</v>
      </c>
      <c r="AS250" s="31"/>
      <c r="AT250" s="31"/>
      <c r="AU250" s="31" t="n">
        <v>20</v>
      </c>
      <c r="AV250" s="31" t="s">
        <v>21890</v>
      </c>
      <c r="AW250" s="35" t="str">
        <f aca="false">HYPERLINK("http://dx.doi.org/10.1186/s13071-022-05604-0","http://dx.doi.org/10.1186/s13071-022-05604-0")</f>
        <v>http://dx.doi.org/10.1186/s13071-022-05604-0</v>
      </c>
      <c r="AX250" s="31"/>
      <c r="AY250" s="31" t="n">
        <v>13</v>
      </c>
      <c r="AZ250" s="31" t="s">
        <v>16891</v>
      </c>
      <c r="BA250" s="31" t="s">
        <v>16366</v>
      </c>
      <c r="BB250" s="31" t="s">
        <v>16891</v>
      </c>
      <c r="BC250" s="31" t="s">
        <v>21891</v>
      </c>
      <c r="BD250" s="31" t="n">
        <v>36658630</v>
      </c>
      <c r="BE250" s="31" t="s">
        <v>16832</v>
      </c>
      <c r="BF250" s="31" t="s">
        <v>16369</v>
      </c>
      <c r="BG250" s="31" t="s">
        <v>21892</v>
      </c>
      <c r="BH250" s="31" t="str">
        <f aca="false">HYPERLINK("https%3A%2F%2Fwww.webofscience.com%2Fwos%2Fwoscc%2Ffull-record%2FWOS:000918153300001","View Full Record in Web of Science")</f>
        <v>View Full Record in Web of Science</v>
      </c>
      <c r="BI250" s="31"/>
      <c r="BJ250" s="31"/>
      <c r="BK250" s="31"/>
      <c r="BL250" s="31"/>
      <c r="BM250" s="31"/>
      <c r="BN250" s="31"/>
      <c r="BO250" s="31"/>
      <c r="BP250" s="31"/>
      <c r="BQ250" s="31"/>
      <c r="BR250" s="31"/>
      <c r="BS250" s="31"/>
      <c r="BT250" s="31"/>
      <c r="BU250" s="31"/>
      <c r="BV250" s="31"/>
      <c r="BW250" s="31"/>
      <c r="BX250" s="31"/>
      <c r="BY250" s="31"/>
      <c r="BZ250" s="31"/>
      <c r="CA250" s="31"/>
      <c r="CB250" s="31"/>
      <c r="CC250" s="31"/>
      <c r="CD250" s="31"/>
      <c r="CE250" s="31"/>
      <c r="CF250" s="31"/>
    </row>
    <row r="251" customFormat="false" ht="15.75" hidden="false" customHeight="true" outlineLevel="0" collapsed="false">
      <c r="A251" s="31" t="s">
        <v>16335</v>
      </c>
      <c r="B251" s="31" t="s">
        <v>21893</v>
      </c>
      <c r="C251" s="31" t="s">
        <v>21894</v>
      </c>
      <c r="D251" s="34" t="s">
        <v>21895</v>
      </c>
      <c r="E251" s="31" t="n">
        <v>2023</v>
      </c>
      <c r="F251" s="33" t="s">
        <v>21896</v>
      </c>
      <c r="G251" s="33" t="s">
        <v>134</v>
      </c>
      <c r="H251" s="32" t="s">
        <v>4101</v>
      </c>
      <c r="I251" s="32" t="s">
        <v>4101</v>
      </c>
      <c r="J251" s="32" t="s">
        <v>21897</v>
      </c>
      <c r="K251" s="32" t="s">
        <v>21898</v>
      </c>
      <c r="L251" s="34"/>
      <c r="M251" s="34"/>
      <c r="N251" s="34"/>
      <c r="O251" s="32" t="s">
        <v>21899</v>
      </c>
      <c r="P251" s="34" t="n">
        <v>3</v>
      </c>
      <c r="Q251" s="31" t="n">
        <v>3</v>
      </c>
      <c r="R251" s="31" t="s">
        <v>61</v>
      </c>
      <c r="S251" s="31" t="s">
        <v>62</v>
      </c>
      <c r="T251" s="31" t="s">
        <v>21900</v>
      </c>
      <c r="U251" s="31" t="n">
        <v>98</v>
      </c>
      <c r="V251" s="31" t="s">
        <v>21901</v>
      </c>
      <c r="W251" s="31" t="n">
        <v>3</v>
      </c>
      <c r="X251" s="31" t="s">
        <v>21902</v>
      </c>
      <c r="Y251" s="31" t="s">
        <v>21903</v>
      </c>
      <c r="Z251" s="31" t="s">
        <v>21904</v>
      </c>
      <c r="AA251" s="31" t="s">
        <v>21905</v>
      </c>
      <c r="AB251" s="31" t="s">
        <v>21906</v>
      </c>
      <c r="AC251" s="31" t="s">
        <v>21907</v>
      </c>
      <c r="AD251" s="31" t="s">
        <v>21908</v>
      </c>
      <c r="AE251" s="31" t="s">
        <v>21909</v>
      </c>
      <c r="AF251" s="31" t="s">
        <v>21910</v>
      </c>
      <c r="AG251" s="31" t="s">
        <v>21911</v>
      </c>
      <c r="AH251" s="31" t="s">
        <v>21912</v>
      </c>
      <c r="AI251" s="31" t="n">
        <v>33</v>
      </c>
      <c r="AJ251" s="31" t="n">
        <v>0</v>
      </c>
      <c r="AK251" s="31" t="n">
        <v>3</v>
      </c>
      <c r="AL251" s="31" t="s">
        <v>16990</v>
      </c>
      <c r="AM251" s="31" t="s">
        <v>21913</v>
      </c>
      <c r="AN251" s="31" t="s">
        <v>21914</v>
      </c>
      <c r="AO251" s="31" t="s">
        <v>21915</v>
      </c>
      <c r="AP251" s="31" t="s">
        <v>21916</v>
      </c>
      <c r="AQ251" s="31" t="s">
        <v>21917</v>
      </c>
      <c r="AR251" s="31" t="s">
        <v>21918</v>
      </c>
      <c r="AS251" s="31" t="n">
        <v>331</v>
      </c>
      <c r="AT251" s="31" t="n">
        <v>338</v>
      </c>
      <c r="AU251" s="31"/>
      <c r="AV251" s="31" t="s">
        <v>21919</v>
      </c>
      <c r="AW251" s="35" t="str">
        <f aca="false">HYPERLINK("http://dx.doi.org/10.1016/j.abd.2022.05.005","http://dx.doi.org/10.1016/j.abd.2022.05.005")</f>
        <v>http://dx.doi.org/10.1016/j.abd.2022.05.005</v>
      </c>
      <c r="AX251" s="31" t="s">
        <v>20880</v>
      </c>
      <c r="AY251" s="31" t="n">
        <v>8</v>
      </c>
      <c r="AZ251" s="31" t="s">
        <v>21920</v>
      </c>
      <c r="BA251" s="31" t="s">
        <v>16366</v>
      </c>
      <c r="BB251" s="31" t="s">
        <v>21920</v>
      </c>
      <c r="BC251" s="31" t="s">
        <v>21921</v>
      </c>
      <c r="BD251" s="31" t="n">
        <v>36890048</v>
      </c>
      <c r="BE251" s="31" t="s">
        <v>17143</v>
      </c>
      <c r="BF251" s="31" t="s">
        <v>16369</v>
      </c>
      <c r="BG251" s="31" t="s">
        <v>21922</v>
      </c>
      <c r="BH251" s="31" t="str">
        <f aca="false">HYPERLINK("https%3A%2F%2Fwww.webofscience.com%2Fwos%2Fwoscc%2Ffull-record%2FWOS:000989039400001","View Full Record in Web of Science")</f>
        <v>View Full Record in Web of Science</v>
      </c>
      <c r="BI251" s="31"/>
      <c r="BJ251" s="31"/>
      <c r="BK251" s="31"/>
      <c r="BL251" s="31"/>
      <c r="BM251" s="31"/>
      <c r="BN251" s="31"/>
      <c r="BO251" s="31"/>
      <c r="BP251" s="31"/>
      <c r="BQ251" s="31"/>
      <c r="BR251" s="31"/>
      <c r="BS251" s="31"/>
      <c r="BT251" s="31"/>
      <c r="BU251" s="31"/>
      <c r="BV251" s="31"/>
      <c r="BW251" s="31"/>
      <c r="BX251" s="31"/>
      <c r="BY251" s="31"/>
      <c r="BZ251" s="31"/>
      <c r="CA251" s="31"/>
      <c r="CB251" s="31"/>
      <c r="CC251" s="31"/>
      <c r="CD251" s="31"/>
      <c r="CE251" s="31"/>
      <c r="CF251" s="31"/>
    </row>
    <row r="252" customFormat="false" ht="15.75" hidden="false" customHeight="true" outlineLevel="0" collapsed="false">
      <c r="A252" s="31" t="s">
        <v>16335</v>
      </c>
      <c r="B252" s="31" t="s">
        <v>21923</v>
      </c>
      <c r="C252" s="31" t="s">
        <v>21924</v>
      </c>
      <c r="D252" s="34" t="s">
        <v>21925</v>
      </c>
      <c r="E252" s="31" t="n">
        <v>2023</v>
      </c>
      <c r="F252" s="33" t="s">
        <v>21926</v>
      </c>
      <c r="G252" s="33" t="s">
        <v>393</v>
      </c>
      <c r="H252" s="32" t="s">
        <v>21927</v>
      </c>
      <c r="I252" s="32" t="s">
        <v>21928</v>
      </c>
      <c r="J252" s="34"/>
      <c r="K252" s="34"/>
      <c r="L252" s="34"/>
      <c r="M252" s="34"/>
      <c r="N252" s="34"/>
      <c r="O252" s="34"/>
      <c r="P252" s="34" t="n">
        <v>3</v>
      </c>
      <c r="Q252" s="31" t="n">
        <v>3</v>
      </c>
      <c r="R252" s="31" t="s">
        <v>61</v>
      </c>
      <c r="S252" s="31" t="s">
        <v>62</v>
      </c>
      <c r="T252" s="31" t="s">
        <v>21929</v>
      </c>
      <c r="U252" s="31" t="n">
        <v>72</v>
      </c>
      <c r="V252" s="31" t="s">
        <v>16384</v>
      </c>
      <c r="W252" s="31"/>
      <c r="X252" s="31" t="s">
        <v>21930</v>
      </c>
      <c r="Y252" s="31" t="s">
        <v>21931</v>
      </c>
      <c r="Z252" s="31" t="s">
        <v>21932</v>
      </c>
      <c r="AA252" s="31" t="s">
        <v>21933</v>
      </c>
      <c r="AB252" s="31" t="s">
        <v>21934</v>
      </c>
      <c r="AC252" s="31" t="s">
        <v>21935</v>
      </c>
      <c r="AD252" s="31" t="s">
        <v>21936</v>
      </c>
      <c r="AE252" s="31" t="s">
        <v>21937</v>
      </c>
      <c r="AF252" s="31" t="s">
        <v>21938</v>
      </c>
      <c r="AG252" s="31" t="s">
        <v>21939</v>
      </c>
      <c r="AH252" s="31" t="s">
        <v>21940</v>
      </c>
      <c r="AI252" s="31" t="n">
        <v>74</v>
      </c>
      <c r="AJ252" s="31" t="n">
        <v>2</v>
      </c>
      <c r="AK252" s="31" t="n">
        <v>14</v>
      </c>
      <c r="AL252" s="31" t="s">
        <v>16395</v>
      </c>
      <c r="AM252" s="31" t="s">
        <v>16396</v>
      </c>
      <c r="AN252" s="31" t="s">
        <v>21941</v>
      </c>
      <c r="AO252" s="31" t="s">
        <v>21942</v>
      </c>
      <c r="AP252" s="31" t="s">
        <v>21943</v>
      </c>
      <c r="AQ252" s="31" t="s">
        <v>21944</v>
      </c>
      <c r="AR252" s="31"/>
      <c r="AS252" s="31"/>
      <c r="AT252" s="31"/>
      <c r="AU252" s="31" t="n">
        <v>2509613</v>
      </c>
      <c r="AV252" s="31" t="s">
        <v>21945</v>
      </c>
      <c r="AW252" s="35" t="str">
        <f aca="false">HYPERLINK("http://dx.doi.org/10.1109/TIM.2023.3265119","http://dx.doi.org/10.1109/TIM.2023.3265119")</f>
        <v>http://dx.doi.org/10.1109/TIM.2023.3265119</v>
      </c>
      <c r="AX252" s="31"/>
      <c r="AY252" s="31" t="n">
        <v>13</v>
      </c>
      <c r="AZ252" s="31" t="s">
        <v>21946</v>
      </c>
      <c r="BA252" s="31" t="s">
        <v>16366</v>
      </c>
      <c r="BB252" s="31" t="s">
        <v>21947</v>
      </c>
      <c r="BC252" s="31" t="s">
        <v>21948</v>
      </c>
      <c r="BD252" s="31"/>
      <c r="BE252" s="31" t="s">
        <v>17409</v>
      </c>
      <c r="BF252" s="31" t="s">
        <v>16369</v>
      </c>
      <c r="BG252" s="31" t="s">
        <v>21949</v>
      </c>
      <c r="BH252" s="31" t="str">
        <f aca="false">HYPERLINK("https%3A%2F%2Fwww.webofscience.com%2Fwos%2Fwoscc%2Ffull-record%2FWOS:000975100200016","View Full Record in Web of Science")</f>
        <v>View Full Record in Web of Science</v>
      </c>
      <c r="BI252" s="31"/>
      <c r="BJ252" s="31"/>
      <c r="BK252" s="31"/>
      <c r="BL252" s="31"/>
      <c r="BM252" s="31"/>
      <c r="BN252" s="31"/>
      <c r="BO252" s="31"/>
      <c r="BP252" s="31"/>
      <c r="BQ252" s="31"/>
      <c r="BR252" s="31"/>
      <c r="BS252" s="31"/>
      <c r="BT252" s="31"/>
      <c r="BU252" s="31"/>
      <c r="BV252" s="31"/>
      <c r="BW252" s="31"/>
      <c r="BX252" s="31"/>
      <c r="BY252" s="31"/>
      <c r="BZ252" s="31"/>
      <c r="CA252" s="31"/>
      <c r="CB252" s="31"/>
      <c r="CC252" s="31"/>
      <c r="CD252" s="31"/>
      <c r="CE252" s="31"/>
      <c r="CF252" s="31"/>
    </row>
    <row r="253" customFormat="false" ht="15.75" hidden="false" customHeight="true" outlineLevel="0" collapsed="false">
      <c r="A253" s="31" t="s">
        <v>16335</v>
      </c>
      <c r="B253" s="31" t="s">
        <v>21950</v>
      </c>
      <c r="C253" s="31" t="s">
        <v>21951</v>
      </c>
      <c r="D253" s="34" t="s">
        <v>21952</v>
      </c>
      <c r="E253" s="31" t="n">
        <v>2023</v>
      </c>
      <c r="F253" s="33" t="s">
        <v>21953</v>
      </c>
      <c r="G253" s="33" t="s">
        <v>134</v>
      </c>
      <c r="H253" s="32" t="s">
        <v>21954</v>
      </c>
      <c r="I253" s="32" t="s">
        <v>17036</v>
      </c>
      <c r="J253" s="32" t="s">
        <v>21955</v>
      </c>
      <c r="K253" s="32" t="s">
        <v>16753</v>
      </c>
      <c r="L253" s="32" t="s">
        <v>3754</v>
      </c>
      <c r="M253" s="32" t="s">
        <v>21956</v>
      </c>
      <c r="N253" s="32"/>
      <c r="O253" s="34"/>
      <c r="P253" s="34" t="n">
        <v>0</v>
      </c>
      <c r="Q253" s="31" t="n">
        <v>0</v>
      </c>
      <c r="R253" s="31" t="s">
        <v>61</v>
      </c>
      <c r="S253" s="31" t="s">
        <v>62</v>
      </c>
      <c r="T253" s="31" t="s">
        <v>21957</v>
      </c>
      <c r="U253" s="31" t="n">
        <v>22</v>
      </c>
      <c r="V253" s="31" t="s">
        <v>17599</v>
      </c>
      <c r="W253" s="31" t="n">
        <v>1</v>
      </c>
      <c r="X253" s="31" t="s">
        <v>21958</v>
      </c>
      <c r="Y253" s="31" t="s">
        <v>21959</v>
      </c>
      <c r="Z253" s="31" t="s">
        <v>21960</v>
      </c>
      <c r="AA253" s="31" t="s">
        <v>21961</v>
      </c>
      <c r="AB253" s="31" t="s">
        <v>21962</v>
      </c>
      <c r="AC253" s="31" t="s">
        <v>21963</v>
      </c>
      <c r="AD253" s="31" t="s">
        <v>21964</v>
      </c>
      <c r="AE253" s="31" t="s">
        <v>21965</v>
      </c>
      <c r="AF253" s="31"/>
      <c r="AG253" s="31"/>
      <c r="AH253" s="31"/>
      <c r="AI253" s="31" t="n">
        <v>79</v>
      </c>
      <c r="AJ253" s="31" t="n">
        <v>0</v>
      </c>
      <c r="AK253" s="31" t="n">
        <v>7</v>
      </c>
      <c r="AL253" s="31" t="s">
        <v>16821</v>
      </c>
      <c r="AM253" s="31" t="s">
        <v>17609</v>
      </c>
      <c r="AN253" s="31" t="s">
        <v>21966</v>
      </c>
      <c r="AO253" s="31"/>
      <c r="AP253" s="31" t="s">
        <v>21967</v>
      </c>
      <c r="AQ253" s="31" t="s">
        <v>2052</v>
      </c>
      <c r="AR253" s="31" t="s">
        <v>21968</v>
      </c>
      <c r="AS253" s="31"/>
      <c r="AT253" s="31"/>
      <c r="AU253" s="31" t="n">
        <v>12</v>
      </c>
      <c r="AV253" s="31" t="s">
        <v>21969</v>
      </c>
      <c r="AW253" s="35" t="str">
        <f aca="false">HYPERLINK("http://dx.doi.org/10.1186/s12942-023-00331-w","http://dx.doi.org/10.1186/s12942-023-00331-w")</f>
        <v>http://dx.doi.org/10.1186/s12942-023-00331-w</v>
      </c>
      <c r="AX253" s="31"/>
      <c r="AY253" s="31" t="n">
        <v>19</v>
      </c>
      <c r="AZ253" s="31" t="s">
        <v>16583</v>
      </c>
      <c r="BA253" s="31" t="s">
        <v>16584</v>
      </c>
      <c r="BB253" s="31" t="s">
        <v>16583</v>
      </c>
      <c r="BC253" s="31" t="s">
        <v>21970</v>
      </c>
      <c r="BD253" s="31" t="n">
        <v>37268933</v>
      </c>
      <c r="BE253" s="31" t="s">
        <v>17143</v>
      </c>
      <c r="BF253" s="31" t="s">
        <v>16369</v>
      </c>
      <c r="BG253" s="31" t="s">
        <v>21971</v>
      </c>
      <c r="BH253" s="31" t="str">
        <f aca="false">HYPERLINK("https%3A%2F%2Fwww.webofscience.com%2Fwos%2Fwoscc%2Ffull-record%2FWOS:000998677200001","View Full Record in Web of Science")</f>
        <v>View Full Record in Web of Science</v>
      </c>
      <c r="BI253" s="31"/>
      <c r="BJ253" s="31"/>
      <c r="BK253" s="31"/>
      <c r="BL253" s="31"/>
      <c r="BM253" s="31"/>
      <c r="BN253" s="31"/>
      <c r="BO253" s="31"/>
      <c r="BP253" s="31"/>
      <c r="BQ253" s="31"/>
      <c r="BR253" s="31"/>
      <c r="BS253" s="31"/>
      <c r="BT253" s="31"/>
      <c r="BU253" s="31"/>
      <c r="BV253" s="31"/>
      <c r="BW253" s="31"/>
      <c r="BX253" s="31"/>
      <c r="BY253" s="31"/>
      <c r="BZ253" s="31"/>
      <c r="CA253" s="31"/>
      <c r="CB253" s="31"/>
      <c r="CC253" s="31"/>
      <c r="CD253" s="31"/>
      <c r="CE253" s="31"/>
      <c r="CF253" s="31"/>
    </row>
    <row r="254" customFormat="false" ht="15.75" hidden="false" customHeight="true" outlineLevel="0" collapsed="false">
      <c r="A254" s="31" t="s">
        <v>16335</v>
      </c>
      <c r="B254" s="31" t="s">
        <v>21972</v>
      </c>
      <c r="C254" s="31" t="s">
        <v>21973</v>
      </c>
      <c r="D254" s="34" t="s">
        <v>21974</v>
      </c>
      <c r="E254" s="31" t="n">
        <v>2023</v>
      </c>
      <c r="F254" s="33" t="s">
        <v>21975</v>
      </c>
      <c r="G254" s="33" t="s">
        <v>134</v>
      </c>
      <c r="H254" s="32" t="s">
        <v>3920</v>
      </c>
      <c r="I254" s="34"/>
      <c r="J254" s="32" t="s">
        <v>21109</v>
      </c>
      <c r="K254" s="32" t="s">
        <v>16409</v>
      </c>
      <c r="L254" s="34"/>
      <c r="M254" s="32" t="s">
        <v>21956</v>
      </c>
      <c r="N254" s="34"/>
      <c r="O254" s="34"/>
      <c r="P254" s="34" t="n">
        <v>4</v>
      </c>
      <c r="Q254" s="31" t="n">
        <v>4</v>
      </c>
      <c r="R254" s="31" t="s">
        <v>61</v>
      </c>
      <c r="S254" s="31" t="s">
        <v>62</v>
      </c>
      <c r="T254" s="31" t="s">
        <v>16954</v>
      </c>
      <c r="U254" s="31" t="n">
        <v>40</v>
      </c>
      <c r="V254" s="31" t="s">
        <v>16955</v>
      </c>
      <c r="W254" s="31" t="n">
        <v>1</v>
      </c>
      <c r="X254" s="31" t="s">
        <v>21976</v>
      </c>
      <c r="Y254" s="31"/>
      <c r="Z254" s="31" t="s">
        <v>21977</v>
      </c>
      <c r="AA254" s="31" t="s">
        <v>16959</v>
      </c>
      <c r="AB254" s="31" t="s">
        <v>16960</v>
      </c>
      <c r="AC254" s="31" t="s">
        <v>16961</v>
      </c>
      <c r="AD254" s="31" t="s">
        <v>21978</v>
      </c>
      <c r="AE254" s="31" t="s">
        <v>21979</v>
      </c>
      <c r="AF254" s="31"/>
      <c r="AG254" s="31"/>
      <c r="AH254" s="31"/>
      <c r="AI254" s="31" t="n">
        <v>32</v>
      </c>
      <c r="AJ254" s="31" t="n">
        <v>0</v>
      </c>
      <c r="AK254" s="31" t="n">
        <v>8</v>
      </c>
      <c r="AL254" s="31" t="s">
        <v>16964</v>
      </c>
      <c r="AM254" s="31" t="s">
        <v>16965</v>
      </c>
      <c r="AN254" s="31" t="s">
        <v>16966</v>
      </c>
      <c r="AO254" s="31" t="s">
        <v>16967</v>
      </c>
      <c r="AP254" s="31" t="s">
        <v>16968</v>
      </c>
      <c r="AQ254" s="31" t="s">
        <v>16969</v>
      </c>
      <c r="AR254" s="31" t="s">
        <v>16970</v>
      </c>
      <c r="AS254" s="31" t="n">
        <v>91</v>
      </c>
      <c r="AT254" s="31" t="n">
        <v>99</v>
      </c>
      <c r="AU254" s="31"/>
      <c r="AV254" s="31" t="s">
        <v>21980</v>
      </c>
      <c r="AW254" s="35" t="str">
        <f aca="false">HYPERLINK("http://dx.doi.org/10.18280/ts.400108","http://dx.doi.org/10.18280/ts.400108")</f>
        <v>http://dx.doi.org/10.18280/ts.400108</v>
      </c>
      <c r="AX254" s="31"/>
      <c r="AY254" s="31" t="n">
        <v>9</v>
      </c>
      <c r="AZ254" s="31" t="s">
        <v>16972</v>
      </c>
      <c r="BA254" s="31" t="s">
        <v>16366</v>
      </c>
      <c r="BB254" s="31" t="s">
        <v>16973</v>
      </c>
      <c r="BC254" s="31" t="s">
        <v>21981</v>
      </c>
      <c r="BD254" s="31"/>
      <c r="BE254" s="31" t="s">
        <v>17463</v>
      </c>
      <c r="BF254" s="31" t="s">
        <v>16369</v>
      </c>
      <c r="BG254" s="31" t="s">
        <v>21982</v>
      </c>
      <c r="BH254" s="31" t="str">
        <f aca="false">HYPERLINK("https%3A%2F%2Fwww.webofscience.com%2Fwos%2Fwoscc%2Ffull-record%2FWOS:000957612200008","View Full Record in Web of Science")</f>
        <v>View Full Record in Web of Science</v>
      </c>
      <c r="BI254" s="31"/>
      <c r="BJ254" s="31"/>
      <c r="BK254" s="31"/>
      <c r="BL254" s="31"/>
      <c r="BM254" s="31"/>
      <c r="BN254" s="31"/>
      <c r="BO254" s="31"/>
      <c r="BP254" s="31"/>
      <c r="BQ254" s="31"/>
      <c r="BR254" s="31"/>
      <c r="BS254" s="31"/>
      <c r="BT254" s="31"/>
      <c r="BU254" s="31"/>
      <c r="BV254" s="31"/>
      <c r="BW254" s="31"/>
      <c r="BX254" s="31"/>
      <c r="BY254" s="31"/>
      <c r="BZ254" s="31"/>
      <c r="CA254" s="31"/>
      <c r="CB254" s="31"/>
      <c r="CC254" s="31"/>
      <c r="CD254" s="31"/>
      <c r="CE254" s="31"/>
      <c r="CF254" s="31"/>
    </row>
    <row r="255" customFormat="false" ht="15.75" hidden="false" customHeight="true" outlineLevel="0" collapsed="false">
      <c r="A255" s="31" t="s">
        <v>16335</v>
      </c>
      <c r="B255" s="31" t="s">
        <v>21983</v>
      </c>
      <c r="C255" s="31" t="s">
        <v>21984</v>
      </c>
      <c r="D255" s="34" t="s">
        <v>21985</v>
      </c>
      <c r="E255" s="31" t="n">
        <v>2023</v>
      </c>
      <c r="F255" s="33" t="s">
        <v>21986</v>
      </c>
      <c r="G255" s="33" t="s">
        <v>134</v>
      </c>
      <c r="H255" s="32" t="s">
        <v>21987</v>
      </c>
      <c r="I255" s="32" t="s">
        <v>21988</v>
      </c>
      <c r="J255" s="32" t="s">
        <v>21989</v>
      </c>
      <c r="K255" s="32" t="s">
        <v>16409</v>
      </c>
      <c r="L255" s="34"/>
      <c r="M255" s="34"/>
      <c r="N255" s="34"/>
      <c r="O255" s="34"/>
      <c r="P255" s="34" t="n">
        <v>5</v>
      </c>
      <c r="Q255" s="31" t="n">
        <v>5</v>
      </c>
      <c r="R255" s="31" t="s">
        <v>61</v>
      </c>
      <c r="S255" s="31" t="s">
        <v>62</v>
      </c>
      <c r="T255" s="31" t="s">
        <v>17598</v>
      </c>
      <c r="U255" s="31" t="n">
        <v>22</v>
      </c>
      <c r="V255" s="31" t="s">
        <v>17599</v>
      </c>
      <c r="W255" s="31" t="n">
        <v>1</v>
      </c>
      <c r="X255" s="31" t="s">
        <v>21990</v>
      </c>
      <c r="Y255" s="31" t="s">
        <v>21991</v>
      </c>
      <c r="Z255" s="31" t="s">
        <v>21992</v>
      </c>
      <c r="AA255" s="31" t="s">
        <v>21993</v>
      </c>
      <c r="AB255" s="31" t="s">
        <v>21994</v>
      </c>
      <c r="AC255" s="31" t="s">
        <v>21995</v>
      </c>
      <c r="AD255" s="31" t="s">
        <v>21996</v>
      </c>
      <c r="AE255" s="31" t="s">
        <v>21997</v>
      </c>
      <c r="AF255" s="31" t="s">
        <v>21998</v>
      </c>
      <c r="AG255" s="31" t="s">
        <v>21999</v>
      </c>
      <c r="AH255" s="31" t="s">
        <v>22000</v>
      </c>
      <c r="AI255" s="31" t="n">
        <v>24</v>
      </c>
      <c r="AJ255" s="31" t="n">
        <v>0</v>
      </c>
      <c r="AK255" s="31" t="n">
        <v>5</v>
      </c>
      <c r="AL255" s="31" t="s">
        <v>16821</v>
      </c>
      <c r="AM255" s="31" t="s">
        <v>17609</v>
      </c>
      <c r="AN255" s="31"/>
      <c r="AO255" s="31" t="s">
        <v>17610</v>
      </c>
      <c r="AP255" s="31" t="s">
        <v>17611</v>
      </c>
      <c r="AQ255" s="31" t="s">
        <v>914</v>
      </c>
      <c r="AR255" s="31" t="s">
        <v>22001</v>
      </c>
      <c r="AS255" s="31"/>
      <c r="AT255" s="31"/>
      <c r="AU255" s="31" t="n">
        <v>33</v>
      </c>
      <c r="AV255" s="31" t="s">
        <v>22002</v>
      </c>
      <c r="AW255" s="35" t="str">
        <f aca="false">HYPERLINK("http://dx.doi.org/10.1186/s12936-023-04446-0","http://dx.doi.org/10.1186/s12936-023-04446-0")</f>
        <v>http://dx.doi.org/10.1186/s12936-023-04446-0</v>
      </c>
      <c r="AX255" s="31"/>
      <c r="AY255" s="31" t="n">
        <v>10</v>
      </c>
      <c r="AZ255" s="31" t="s">
        <v>16862</v>
      </c>
      <c r="BA255" s="31" t="s">
        <v>16366</v>
      </c>
      <c r="BB255" s="31" t="s">
        <v>16862</v>
      </c>
      <c r="BC255" s="31" t="s">
        <v>22003</v>
      </c>
      <c r="BD255" s="31" t="n">
        <v>36707822</v>
      </c>
      <c r="BE255" s="31" t="s">
        <v>17143</v>
      </c>
      <c r="BF255" s="31" t="s">
        <v>16369</v>
      </c>
      <c r="BG255" s="31" t="s">
        <v>22004</v>
      </c>
      <c r="BH255" s="31" t="str">
        <f aca="false">HYPERLINK("https%3A%2F%2Fwww.webofscience.com%2Fwos%2Fwoscc%2Ffull-record%2FWOS:000923246300004","View Full Record in Web of Science")</f>
        <v>View Full Record in Web of Science</v>
      </c>
      <c r="BI255" s="31"/>
      <c r="BJ255" s="31"/>
      <c r="BK255" s="31"/>
      <c r="BL255" s="31"/>
      <c r="BM255" s="31"/>
      <c r="BN255" s="31"/>
      <c r="BO255" s="31"/>
      <c r="BP255" s="31"/>
      <c r="BQ255" s="31"/>
      <c r="BR255" s="31"/>
      <c r="BS255" s="31"/>
      <c r="BT255" s="31"/>
      <c r="BU255" s="31"/>
      <c r="BV255" s="31"/>
      <c r="BW255" s="31"/>
      <c r="BX255" s="31"/>
      <c r="BY255" s="31"/>
      <c r="BZ255" s="31"/>
      <c r="CA255" s="31"/>
      <c r="CB255" s="31"/>
      <c r="CC255" s="31"/>
      <c r="CD255" s="31"/>
      <c r="CE255" s="31"/>
      <c r="CF255" s="31"/>
    </row>
    <row r="256" customFormat="false" ht="15.75" hidden="false" customHeight="true" outlineLevel="0" collapsed="false">
      <c r="A256" s="31" t="s">
        <v>16335</v>
      </c>
      <c r="B256" s="31" t="s">
        <v>22005</v>
      </c>
      <c r="C256" s="31" t="s">
        <v>22006</v>
      </c>
      <c r="D256" s="34" t="s">
        <v>22007</v>
      </c>
      <c r="E256" s="31" t="n">
        <v>2023</v>
      </c>
      <c r="F256" s="33" t="s">
        <v>22008</v>
      </c>
      <c r="G256" s="33" t="s">
        <v>134</v>
      </c>
      <c r="H256" s="32" t="s">
        <v>22009</v>
      </c>
      <c r="I256" s="34"/>
      <c r="J256" s="32" t="s">
        <v>21109</v>
      </c>
      <c r="K256" s="32" t="s">
        <v>16409</v>
      </c>
      <c r="L256" s="32" t="s">
        <v>3754</v>
      </c>
      <c r="M256" s="32" t="s">
        <v>22010</v>
      </c>
      <c r="N256" s="32" t="s">
        <v>22011</v>
      </c>
      <c r="O256" s="34"/>
      <c r="P256" s="34" t="n">
        <v>14</v>
      </c>
      <c r="Q256" s="31" t="n">
        <v>14</v>
      </c>
      <c r="R256" s="31" t="s">
        <v>61</v>
      </c>
      <c r="S256" s="31" t="s">
        <v>62</v>
      </c>
      <c r="T256" s="31" t="s">
        <v>18629</v>
      </c>
      <c r="U256" s="31" t="n">
        <v>13</v>
      </c>
      <c r="V256" s="31" t="s">
        <v>4048</v>
      </c>
      <c r="W256" s="31" t="n">
        <v>3</v>
      </c>
      <c r="X256" s="31" t="s">
        <v>22012</v>
      </c>
      <c r="Y256" s="31" t="s">
        <v>22013</v>
      </c>
      <c r="Z256" s="31" t="s">
        <v>22014</v>
      </c>
      <c r="AA256" s="31" t="s">
        <v>22015</v>
      </c>
      <c r="AB256" s="31" t="s">
        <v>22016</v>
      </c>
      <c r="AC256" s="31" t="s">
        <v>22017</v>
      </c>
      <c r="AD256" s="31" t="s">
        <v>22018</v>
      </c>
      <c r="AE256" s="31" t="s">
        <v>22019</v>
      </c>
      <c r="AF256" s="31" t="s">
        <v>22020</v>
      </c>
      <c r="AG256" s="31" t="s">
        <v>22021</v>
      </c>
      <c r="AH256" s="31" t="s">
        <v>22022</v>
      </c>
      <c r="AI256" s="31" t="n">
        <v>55</v>
      </c>
      <c r="AJ256" s="31" t="n">
        <v>2</v>
      </c>
      <c r="AK256" s="31" t="n">
        <v>8</v>
      </c>
      <c r="AL256" s="31" t="s">
        <v>16769</v>
      </c>
      <c r="AM256" s="31" t="s">
        <v>16770</v>
      </c>
      <c r="AN256" s="31"/>
      <c r="AO256" s="31" t="s">
        <v>18636</v>
      </c>
      <c r="AP256" s="31" t="s">
        <v>18629</v>
      </c>
      <c r="AQ256" s="31" t="s">
        <v>849</v>
      </c>
      <c r="AR256" s="31" t="s">
        <v>16970</v>
      </c>
      <c r="AS256" s="31"/>
      <c r="AT256" s="31"/>
      <c r="AU256" s="31" t="n">
        <v>534</v>
      </c>
      <c r="AV256" s="31" t="s">
        <v>22023</v>
      </c>
      <c r="AW256" s="35" t="str">
        <f aca="false">HYPERLINK("http://dx.doi.org/10.3390/diagnostics13030534","http://dx.doi.org/10.3390/diagnostics13030534")</f>
        <v>http://dx.doi.org/10.3390/diagnostics13030534</v>
      </c>
      <c r="AX256" s="31"/>
      <c r="AY256" s="31" t="n">
        <v>16</v>
      </c>
      <c r="AZ256" s="31" t="s">
        <v>16829</v>
      </c>
      <c r="BA256" s="31" t="s">
        <v>16366</v>
      </c>
      <c r="BB256" s="31" t="s">
        <v>16830</v>
      </c>
      <c r="BC256" s="31" t="s">
        <v>22024</v>
      </c>
      <c r="BD256" s="31" t="n">
        <v>36766640</v>
      </c>
      <c r="BE256" s="31" t="s">
        <v>17143</v>
      </c>
      <c r="BF256" s="31" t="s">
        <v>16369</v>
      </c>
      <c r="BG256" s="31" t="s">
        <v>22025</v>
      </c>
      <c r="BH256" s="31" t="str">
        <f aca="false">HYPERLINK("https%3A%2F%2Fwww.webofscience.com%2Fwos%2Fwoscc%2Ffull-record%2FWOS:000929350000001","View Full Record in Web of Science")</f>
        <v>View Full Record in Web of Science</v>
      </c>
      <c r="BI256" s="31"/>
      <c r="BJ256" s="31"/>
      <c r="BK256" s="31"/>
      <c r="BL256" s="31"/>
      <c r="BM256" s="31"/>
      <c r="BN256" s="31"/>
      <c r="BO256" s="31"/>
      <c r="BP256" s="31"/>
      <c r="BQ256" s="31"/>
      <c r="BR256" s="31"/>
      <c r="BS256" s="31"/>
      <c r="BT256" s="31"/>
      <c r="BU256" s="31"/>
      <c r="BV256" s="31"/>
      <c r="BW256" s="31"/>
      <c r="BX256" s="31"/>
      <c r="BY256" s="31"/>
      <c r="BZ256" s="31"/>
      <c r="CA256" s="31"/>
      <c r="CB256" s="31"/>
      <c r="CC256" s="31"/>
      <c r="CD256" s="31"/>
      <c r="CE256" s="31"/>
      <c r="CF256" s="31"/>
    </row>
    <row r="257" customFormat="false" ht="15.75" hidden="false" customHeight="true" outlineLevel="0" collapsed="false">
      <c r="A257" s="31" t="s">
        <v>16335</v>
      </c>
      <c r="B257" s="31" t="s">
        <v>22026</v>
      </c>
      <c r="C257" s="31" t="s">
        <v>22027</v>
      </c>
      <c r="D257" s="34" t="s">
        <v>22028</v>
      </c>
      <c r="E257" s="31" t="n">
        <v>2023</v>
      </c>
      <c r="F257" s="33" t="s">
        <v>22029</v>
      </c>
      <c r="G257" s="33" t="s">
        <v>393</v>
      </c>
      <c r="H257" s="32" t="s">
        <v>60</v>
      </c>
      <c r="I257" s="32" t="s">
        <v>60</v>
      </c>
      <c r="J257" s="34"/>
      <c r="K257" s="32" t="s">
        <v>22030</v>
      </c>
      <c r="L257" s="34"/>
      <c r="M257" s="34"/>
      <c r="N257" s="34"/>
      <c r="O257" s="34"/>
      <c r="P257" s="34" t="n">
        <v>6</v>
      </c>
      <c r="Q257" s="31" t="n">
        <v>6</v>
      </c>
      <c r="R257" s="31" t="s">
        <v>61</v>
      </c>
      <c r="S257" s="31" t="s">
        <v>62</v>
      </c>
      <c r="T257" s="31" t="s">
        <v>22031</v>
      </c>
      <c r="U257" s="31" t="n">
        <v>21</v>
      </c>
      <c r="V257" s="31" t="s">
        <v>18415</v>
      </c>
      <c r="W257" s="31"/>
      <c r="X257" s="31" t="s">
        <v>22032</v>
      </c>
      <c r="Y257" s="31" t="s">
        <v>22033</v>
      </c>
      <c r="Z257" s="31" t="s">
        <v>22034</v>
      </c>
      <c r="AA257" s="31" t="s">
        <v>22035</v>
      </c>
      <c r="AB257" s="31" t="s">
        <v>22036</v>
      </c>
      <c r="AC257" s="31" t="s">
        <v>22037</v>
      </c>
      <c r="AD257" s="31" t="s">
        <v>22038</v>
      </c>
      <c r="AE257" s="31" t="s">
        <v>22039</v>
      </c>
      <c r="AF257" s="31"/>
      <c r="AG257" s="31"/>
      <c r="AH257" s="31"/>
      <c r="AI257" s="31" t="n">
        <v>47</v>
      </c>
      <c r="AJ257" s="31" t="n">
        <v>0</v>
      </c>
      <c r="AK257" s="31" t="n">
        <v>1</v>
      </c>
      <c r="AL257" s="31" t="s">
        <v>2626</v>
      </c>
      <c r="AM257" s="31" t="s">
        <v>18422</v>
      </c>
      <c r="AN257" s="31" t="s">
        <v>22040</v>
      </c>
      <c r="AO257" s="31"/>
      <c r="AP257" s="31" t="s">
        <v>22041</v>
      </c>
      <c r="AQ257" s="31" t="s">
        <v>22042</v>
      </c>
      <c r="AR257" s="31" t="s">
        <v>17772</v>
      </c>
      <c r="AS257" s="31" t="n">
        <v>21</v>
      </c>
      <c r="AT257" s="31" t="n">
        <v>27</v>
      </c>
      <c r="AU257" s="31"/>
      <c r="AV257" s="31" t="s">
        <v>22043</v>
      </c>
      <c r="AW257" s="35" t="str">
        <f aca="false">HYPERLINK("http://dx.doi.org/10.1016/j.ijpddr.2022.11.006","http://dx.doi.org/10.1016/j.ijpddr.2022.11.006")</f>
        <v>http://dx.doi.org/10.1016/j.ijpddr.2022.11.006</v>
      </c>
      <c r="AX257" s="31" t="s">
        <v>22044</v>
      </c>
      <c r="AY257" s="31" t="n">
        <v>7</v>
      </c>
      <c r="AZ257" s="31" t="s">
        <v>22045</v>
      </c>
      <c r="BA257" s="31" t="s">
        <v>16366</v>
      </c>
      <c r="BB257" s="31" t="s">
        <v>22045</v>
      </c>
      <c r="BC257" s="31" t="s">
        <v>22046</v>
      </c>
      <c r="BD257" s="31" t="n">
        <v>36525935</v>
      </c>
      <c r="BE257" s="31" t="s">
        <v>16832</v>
      </c>
      <c r="BF257" s="31" t="s">
        <v>16369</v>
      </c>
      <c r="BG257" s="31" t="s">
        <v>22047</v>
      </c>
      <c r="BH257" s="31" t="str">
        <f aca="false">HYPERLINK("https%3A%2F%2Fwww.webofscience.com%2Fwos%2Fwoscc%2Ffull-record%2FWOS:000901810100002","View Full Record in Web of Science")</f>
        <v>View Full Record in Web of Science</v>
      </c>
      <c r="BI257" s="31"/>
      <c r="BJ257" s="31"/>
      <c r="BK257" s="31"/>
      <c r="BL257" s="31"/>
      <c r="BM257" s="31"/>
      <c r="BN257" s="31"/>
      <c r="BO257" s="31"/>
      <c r="BP257" s="31"/>
      <c r="BQ257" s="31"/>
      <c r="BR257" s="31"/>
      <c r="BS257" s="31"/>
      <c r="BT257" s="31"/>
      <c r="BU257" s="31"/>
      <c r="BV257" s="31"/>
      <c r="BW257" s="31"/>
      <c r="BX257" s="31"/>
      <c r="BY257" s="31"/>
      <c r="BZ257" s="31"/>
      <c r="CA257" s="31"/>
      <c r="CB257" s="31"/>
      <c r="CC257" s="31"/>
      <c r="CD257" s="31"/>
      <c r="CE257" s="31"/>
      <c r="CF257" s="31"/>
    </row>
    <row r="258" customFormat="false" ht="15.75" hidden="false" customHeight="true" outlineLevel="0" collapsed="false">
      <c r="A258" s="31" t="s">
        <v>16335</v>
      </c>
      <c r="B258" s="31" t="s">
        <v>22048</v>
      </c>
      <c r="C258" s="31" t="s">
        <v>22049</v>
      </c>
      <c r="D258" s="34" t="s">
        <v>22050</v>
      </c>
      <c r="E258" s="31" t="n">
        <v>2023</v>
      </c>
      <c r="F258" s="33" t="s">
        <v>22051</v>
      </c>
      <c r="G258" s="33" t="s">
        <v>349</v>
      </c>
      <c r="H258" s="32" t="s">
        <v>22052</v>
      </c>
      <c r="I258" s="32" t="s">
        <v>5004</v>
      </c>
      <c r="J258" s="34"/>
      <c r="K258" s="32" t="s">
        <v>16409</v>
      </c>
      <c r="L258" s="34"/>
      <c r="M258" s="32" t="s">
        <v>22053</v>
      </c>
      <c r="N258" s="34"/>
      <c r="O258" s="34"/>
      <c r="P258" s="34" t="n">
        <v>5</v>
      </c>
      <c r="Q258" s="31" t="n">
        <v>5</v>
      </c>
      <c r="R258" s="31" t="s">
        <v>61</v>
      </c>
      <c r="S258" s="31" t="s">
        <v>62</v>
      </c>
      <c r="T258" s="31" t="s">
        <v>21579</v>
      </c>
      <c r="U258" s="31" t="n">
        <v>14</v>
      </c>
      <c r="V258" s="31" t="s">
        <v>16928</v>
      </c>
      <c r="W258" s="31"/>
      <c r="X258" s="31" t="s">
        <v>22054</v>
      </c>
      <c r="Y258" s="31" t="s">
        <v>22055</v>
      </c>
      <c r="Z258" s="31" t="s">
        <v>22056</v>
      </c>
      <c r="AA258" s="31" t="s">
        <v>22057</v>
      </c>
      <c r="AB258" s="31" t="s">
        <v>22058</v>
      </c>
      <c r="AC258" s="31" t="s">
        <v>22059</v>
      </c>
      <c r="AD258" s="31" t="s">
        <v>22060</v>
      </c>
      <c r="AE258" s="31"/>
      <c r="AF258" s="31" t="s">
        <v>22061</v>
      </c>
      <c r="AG258" s="31" t="s">
        <v>22062</v>
      </c>
      <c r="AH258" s="31" t="s">
        <v>22063</v>
      </c>
      <c r="AI258" s="31" t="n">
        <v>80</v>
      </c>
      <c r="AJ258" s="31" t="n">
        <v>1</v>
      </c>
      <c r="AK258" s="31" t="n">
        <v>11</v>
      </c>
      <c r="AL258" s="31" t="s">
        <v>16938</v>
      </c>
      <c r="AM258" s="31" t="s">
        <v>16939</v>
      </c>
      <c r="AN258" s="31"/>
      <c r="AO258" s="31" t="s">
        <v>21590</v>
      </c>
      <c r="AP258" s="31" t="s">
        <v>21591</v>
      </c>
      <c r="AQ258" s="31" t="s">
        <v>21592</v>
      </c>
      <c r="AR258" s="31" t="s">
        <v>22064</v>
      </c>
      <c r="AS258" s="31"/>
      <c r="AT258" s="31"/>
      <c r="AU258" s="31" t="n">
        <v>1126418</v>
      </c>
      <c r="AV258" s="31" t="s">
        <v>22065</v>
      </c>
      <c r="AW258" s="35" t="str">
        <f aca="false">HYPERLINK("http://dx.doi.org/10.3389/fmicb.2023.1126418","http://dx.doi.org/10.3389/fmicb.2023.1126418")</f>
        <v>http://dx.doi.org/10.3389/fmicb.2023.1126418</v>
      </c>
      <c r="AX258" s="31"/>
      <c r="AY258" s="31" t="n">
        <v>14</v>
      </c>
      <c r="AZ258" s="31" t="s">
        <v>18336</v>
      </c>
      <c r="BA258" s="31" t="s">
        <v>16366</v>
      </c>
      <c r="BB258" s="31" t="s">
        <v>18336</v>
      </c>
      <c r="BC258" s="31" t="s">
        <v>22066</v>
      </c>
      <c r="BD258" s="31" t="n">
        <v>36876062</v>
      </c>
      <c r="BE258" s="31" t="s">
        <v>17143</v>
      </c>
      <c r="BF258" s="31" t="s">
        <v>16369</v>
      </c>
      <c r="BG258" s="31" t="s">
        <v>22067</v>
      </c>
      <c r="BH258" s="31" t="str">
        <f aca="false">HYPERLINK("https%3A%2F%2Fwww.webofscience.com%2Fwos%2Fwoscc%2Ffull-record%2FWOS:000941830800001","View Full Record in Web of Science")</f>
        <v>View Full Record in Web of Science</v>
      </c>
      <c r="BI258" s="31"/>
      <c r="BJ258" s="31"/>
      <c r="BK258" s="31"/>
      <c r="BL258" s="31"/>
      <c r="BM258" s="31"/>
      <c r="BN258" s="31"/>
      <c r="BO258" s="31"/>
      <c r="BP258" s="31"/>
      <c r="BQ258" s="31"/>
      <c r="BR258" s="31"/>
      <c r="BS258" s="31"/>
      <c r="BT258" s="31"/>
      <c r="BU258" s="31"/>
      <c r="BV258" s="31"/>
      <c r="BW258" s="31"/>
      <c r="BX258" s="31"/>
      <c r="BY258" s="31"/>
      <c r="BZ258" s="31"/>
      <c r="CA258" s="31"/>
      <c r="CB258" s="31"/>
      <c r="CC258" s="31"/>
      <c r="CD258" s="31"/>
      <c r="CE258" s="31"/>
      <c r="CF258" s="31"/>
    </row>
    <row r="259" customFormat="false" ht="15.75" hidden="false" customHeight="true" outlineLevel="0" collapsed="false">
      <c r="A259" s="31" t="s">
        <v>16335</v>
      </c>
      <c r="B259" s="31" t="s">
        <v>22068</v>
      </c>
      <c r="C259" s="31" t="s">
        <v>22069</v>
      </c>
      <c r="D259" s="34" t="s">
        <v>22070</v>
      </c>
      <c r="E259" s="31" t="n">
        <v>2023</v>
      </c>
      <c r="F259" s="33" t="s">
        <v>22071</v>
      </c>
      <c r="G259" s="33" t="s">
        <v>134</v>
      </c>
      <c r="H259" s="32" t="s">
        <v>22072</v>
      </c>
      <c r="I259" s="32" t="s">
        <v>5004</v>
      </c>
      <c r="J259" s="32" t="s">
        <v>22073</v>
      </c>
      <c r="K259" s="32" t="s">
        <v>16409</v>
      </c>
      <c r="L259" s="34"/>
      <c r="M259" s="34"/>
      <c r="N259" s="34"/>
      <c r="O259" s="34"/>
      <c r="P259" s="34" t="n">
        <v>2</v>
      </c>
      <c r="Q259" s="31" t="n">
        <v>2</v>
      </c>
      <c r="R259" s="31" t="s">
        <v>61</v>
      </c>
      <c r="S259" s="31" t="s">
        <v>62</v>
      </c>
      <c r="T259" s="31" t="s">
        <v>18629</v>
      </c>
      <c r="U259" s="31" t="n">
        <v>13</v>
      </c>
      <c r="V259" s="31" t="s">
        <v>4048</v>
      </c>
      <c r="W259" s="31" t="n">
        <v>3</v>
      </c>
      <c r="X259" s="31" t="s">
        <v>22074</v>
      </c>
      <c r="Y259" s="31" t="s">
        <v>21028</v>
      </c>
      <c r="Z259" s="31" t="s">
        <v>22075</v>
      </c>
      <c r="AA259" s="31" t="s">
        <v>22076</v>
      </c>
      <c r="AB259" s="31" t="s">
        <v>22077</v>
      </c>
      <c r="AC259" s="31" t="s">
        <v>22078</v>
      </c>
      <c r="AD259" s="31" t="s">
        <v>22079</v>
      </c>
      <c r="AE259" s="31" t="s">
        <v>22080</v>
      </c>
      <c r="AF259" s="31" t="s">
        <v>22081</v>
      </c>
      <c r="AG259" s="31" t="s">
        <v>22082</v>
      </c>
      <c r="AH259" s="31" t="s">
        <v>22083</v>
      </c>
      <c r="AI259" s="31" t="n">
        <v>65</v>
      </c>
      <c r="AJ259" s="31" t="n">
        <v>1</v>
      </c>
      <c r="AK259" s="31" t="n">
        <v>13</v>
      </c>
      <c r="AL259" s="31" t="s">
        <v>16769</v>
      </c>
      <c r="AM259" s="31" t="s">
        <v>16770</v>
      </c>
      <c r="AN259" s="31"/>
      <c r="AO259" s="31" t="s">
        <v>18636</v>
      </c>
      <c r="AP259" s="31" t="s">
        <v>18629</v>
      </c>
      <c r="AQ259" s="31" t="s">
        <v>849</v>
      </c>
      <c r="AR259" s="31" t="s">
        <v>16970</v>
      </c>
      <c r="AS259" s="31"/>
      <c r="AT259" s="31"/>
      <c r="AU259" s="31" t="n">
        <v>511</v>
      </c>
      <c r="AV259" s="31" t="s">
        <v>22084</v>
      </c>
      <c r="AW259" s="35" t="str">
        <f aca="false">HYPERLINK("http://dx.doi.org/10.3390/diagnostics13030511","http://dx.doi.org/10.3390/diagnostics13030511")</f>
        <v>http://dx.doi.org/10.3390/diagnostics13030511</v>
      </c>
      <c r="AX259" s="31"/>
      <c r="AY259" s="31" t="n">
        <v>36</v>
      </c>
      <c r="AZ259" s="31" t="s">
        <v>16829</v>
      </c>
      <c r="BA259" s="31" t="s">
        <v>16366</v>
      </c>
      <c r="BB259" s="31" t="s">
        <v>16830</v>
      </c>
      <c r="BC259" s="31" t="s">
        <v>22085</v>
      </c>
      <c r="BD259" s="31" t="n">
        <v>36766620</v>
      </c>
      <c r="BE259" s="31" t="s">
        <v>17143</v>
      </c>
      <c r="BF259" s="31" t="s">
        <v>16369</v>
      </c>
      <c r="BG259" s="31" t="s">
        <v>22086</v>
      </c>
      <c r="BH259" s="31" t="str">
        <f aca="false">HYPERLINK("https%3A%2F%2Fwww.webofscience.com%2Fwos%2Fwoscc%2Ffull-record%2FWOS:000933786500001","View Full Record in Web of Science")</f>
        <v>View Full Record in Web of Science</v>
      </c>
      <c r="BI259" s="31"/>
      <c r="BJ259" s="31"/>
      <c r="BK259" s="31"/>
      <c r="BL259" s="31"/>
      <c r="BM259" s="31"/>
      <c r="BN259" s="31"/>
      <c r="BO259" s="31"/>
      <c r="BP259" s="31"/>
      <c r="BQ259" s="31"/>
      <c r="BR259" s="31"/>
      <c r="BS259" s="31"/>
      <c r="BT259" s="31"/>
      <c r="BU259" s="31"/>
      <c r="BV259" s="31"/>
      <c r="BW259" s="31"/>
      <c r="BX259" s="31"/>
      <c r="BY259" s="31"/>
      <c r="BZ259" s="31"/>
      <c r="CA259" s="31"/>
      <c r="CB259" s="31"/>
      <c r="CC259" s="31"/>
      <c r="CD259" s="31"/>
      <c r="CE259" s="31"/>
      <c r="CF259" s="31"/>
    </row>
    <row r="260" customFormat="false" ht="15.75" hidden="false" customHeight="true" outlineLevel="0" collapsed="false">
      <c r="A260" s="31" t="s">
        <v>16335</v>
      </c>
      <c r="B260" s="31" t="s">
        <v>22087</v>
      </c>
      <c r="C260" s="31" t="s">
        <v>22088</v>
      </c>
      <c r="D260" s="34" t="s">
        <v>22089</v>
      </c>
      <c r="E260" s="31" t="n">
        <v>2023</v>
      </c>
      <c r="F260" s="33" t="s">
        <v>22090</v>
      </c>
      <c r="G260" s="33" t="s">
        <v>134</v>
      </c>
      <c r="H260" s="32" t="s">
        <v>22091</v>
      </c>
      <c r="I260" s="32" t="s">
        <v>4101</v>
      </c>
      <c r="J260" s="32" t="s">
        <v>21092</v>
      </c>
      <c r="K260" s="32" t="s">
        <v>17573</v>
      </c>
      <c r="L260" s="34"/>
      <c r="M260" s="32" t="s">
        <v>22092</v>
      </c>
      <c r="N260" s="34"/>
      <c r="O260" s="34"/>
      <c r="P260" s="34" t="n">
        <v>1</v>
      </c>
      <c r="Q260" s="31" t="n">
        <v>1</v>
      </c>
      <c r="R260" s="31" t="s">
        <v>61</v>
      </c>
      <c r="S260" s="31" t="s">
        <v>62</v>
      </c>
      <c r="T260" s="31" t="s">
        <v>16844</v>
      </c>
      <c r="U260" s="31" t="n">
        <v>17</v>
      </c>
      <c r="V260" s="31" t="s">
        <v>16845</v>
      </c>
      <c r="W260" s="31" t="n">
        <v>7</v>
      </c>
      <c r="X260" s="31"/>
      <c r="Y260" s="31" t="s">
        <v>22093</v>
      </c>
      <c r="Z260" s="31" t="s">
        <v>22094</v>
      </c>
      <c r="AA260" s="31" t="s">
        <v>22095</v>
      </c>
      <c r="AB260" s="31" t="s">
        <v>22096</v>
      </c>
      <c r="AC260" s="31" t="s">
        <v>22097</v>
      </c>
      <c r="AD260" s="31" t="s">
        <v>22098</v>
      </c>
      <c r="AE260" s="31" t="s">
        <v>22099</v>
      </c>
      <c r="AF260" s="31" t="s">
        <v>22100</v>
      </c>
      <c r="AG260" s="31" t="s">
        <v>22101</v>
      </c>
      <c r="AH260" s="31" t="s">
        <v>22102</v>
      </c>
      <c r="AI260" s="31" t="n">
        <v>49</v>
      </c>
      <c r="AJ260" s="31" t="n">
        <v>2</v>
      </c>
      <c r="AK260" s="31" t="n">
        <v>7</v>
      </c>
      <c r="AL260" s="31" t="s">
        <v>16855</v>
      </c>
      <c r="AM260" s="31" t="s">
        <v>16856</v>
      </c>
      <c r="AN260" s="31" t="s">
        <v>16857</v>
      </c>
      <c r="AO260" s="31"/>
      <c r="AP260" s="31" t="s">
        <v>16858</v>
      </c>
      <c r="AQ260" s="31" t="s">
        <v>16859</v>
      </c>
      <c r="AR260" s="31" t="s">
        <v>20025</v>
      </c>
      <c r="AS260" s="31"/>
      <c r="AT260" s="31"/>
      <c r="AU260" s="31" t="s">
        <v>22103</v>
      </c>
      <c r="AV260" s="31" t="s">
        <v>22104</v>
      </c>
      <c r="AW260" s="35" t="str">
        <f aca="false">HYPERLINK("http://dx.doi.org/10.1371/journal.pntd.0011118","http://dx.doi.org/10.1371/journal.pntd.0011118")</f>
        <v>http://dx.doi.org/10.1371/journal.pntd.0011118</v>
      </c>
      <c r="AX260" s="31"/>
      <c r="AY260" s="31" t="n">
        <v>17</v>
      </c>
      <c r="AZ260" s="31" t="s">
        <v>16862</v>
      </c>
      <c r="BA260" s="31" t="s">
        <v>16366</v>
      </c>
      <c r="BB260" s="31" t="s">
        <v>16862</v>
      </c>
      <c r="BC260" s="31" t="s">
        <v>22105</v>
      </c>
      <c r="BD260" s="31" t="n">
        <v>37399207</v>
      </c>
      <c r="BE260" s="31" t="s">
        <v>19056</v>
      </c>
      <c r="BF260" s="31" t="s">
        <v>16369</v>
      </c>
      <c r="BG260" s="31" t="s">
        <v>22106</v>
      </c>
      <c r="BH260" s="31" t="str">
        <f aca="false">HYPERLINK("https%3A%2F%2Fwww.webofscience.com%2Fwos%2Fwoscc%2Ffull-record%2FWOS:001025356500002","View Full Record in Web of Science")</f>
        <v>View Full Record in Web of Science</v>
      </c>
      <c r="BI260" s="31"/>
      <c r="BJ260" s="31"/>
      <c r="BK260" s="31"/>
      <c r="BL260" s="31"/>
      <c r="BM260" s="31"/>
      <c r="BN260" s="31"/>
      <c r="BO260" s="31"/>
      <c r="BP260" s="31"/>
      <c r="BQ260" s="31"/>
      <c r="BR260" s="31"/>
      <c r="BS260" s="31"/>
      <c r="BT260" s="31"/>
      <c r="BU260" s="31"/>
      <c r="BV260" s="31"/>
      <c r="BW260" s="31"/>
      <c r="BX260" s="31"/>
      <c r="BY260" s="31"/>
      <c r="BZ260" s="31"/>
      <c r="CA260" s="31"/>
      <c r="CB260" s="31"/>
      <c r="CC260" s="31"/>
      <c r="CD260" s="31"/>
      <c r="CE260" s="31"/>
      <c r="CF260" s="31"/>
    </row>
    <row r="261" customFormat="false" ht="15.75" hidden="false" customHeight="true" outlineLevel="0" collapsed="false">
      <c r="A261" s="31" t="s">
        <v>16335</v>
      </c>
      <c r="B261" s="31" t="s">
        <v>22107</v>
      </c>
      <c r="C261" s="31" t="s">
        <v>22108</v>
      </c>
      <c r="D261" s="34" t="s">
        <v>22109</v>
      </c>
      <c r="E261" s="31" t="n">
        <v>2023</v>
      </c>
      <c r="F261" s="33" t="s">
        <v>22110</v>
      </c>
      <c r="G261" s="33" t="s">
        <v>349</v>
      </c>
      <c r="H261" s="32" t="s">
        <v>60</v>
      </c>
      <c r="I261" s="32" t="s">
        <v>60</v>
      </c>
      <c r="J261" s="32" t="s">
        <v>22111</v>
      </c>
      <c r="K261" s="32" t="s">
        <v>16409</v>
      </c>
      <c r="L261" s="34"/>
      <c r="M261" s="32" t="s">
        <v>22112</v>
      </c>
      <c r="N261" s="34"/>
      <c r="O261" s="34"/>
      <c r="P261" s="34" t="n">
        <v>4</v>
      </c>
      <c r="Q261" s="31" t="n">
        <v>4</v>
      </c>
      <c r="R261" s="31" t="s">
        <v>61</v>
      </c>
      <c r="S261" s="31" t="s">
        <v>62</v>
      </c>
      <c r="T261" s="31" t="s">
        <v>17096</v>
      </c>
      <c r="U261" s="31" t="n">
        <v>30</v>
      </c>
      <c r="V261" s="31" t="s">
        <v>16443</v>
      </c>
      <c r="W261" s="31" t="n">
        <v>30</v>
      </c>
      <c r="X261" s="31" t="s">
        <v>22113</v>
      </c>
      <c r="Y261" s="31" t="s">
        <v>22114</v>
      </c>
      <c r="Z261" s="31" t="s">
        <v>22115</v>
      </c>
      <c r="AA261" s="31" t="s">
        <v>22116</v>
      </c>
      <c r="AB261" s="31" t="s">
        <v>22117</v>
      </c>
      <c r="AC261" s="31" t="s">
        <v>22118</v>
      </c>
      <c r="AD261" s="31" t="s">
        <v>22119</v>
      </c>
      <c r="AE261" s="31" t="s">
        <v>22120</v>
      </c>
      <c r="AF261" s="31" t="s">
        <v>22121</v>
      </c>
      <c r="AG261" s="31" t="s">
        <v>22122</v>
      </c>
      <c r="AH261" s="31" t="s">
        <v>22123</v>
      </c>
      <c r="AI261" s="31" t="n">
        <v>70</v>
      </c>
      <c r="AJ261" s="31" t="n">
        <v>0</v>
      </c>
      <c r="AK261" s="31" t="n">
        <v>3</v>
      </c>
      <c r="AL261" s="31" t="s">
        <v>16453</v>
      </c>
      <c r="AM261" s="31" t="s">
        <v>16454</v>
      </c>
      <c r="AN261" s="31" t="s">
        <v>17108</v>
      </c>
      <c r="AO261" s="31" t="s">
        <v>17109</v>
      </c>
      <c r="AP261" s="31" t="s">
        <v>17110</v>
      </c>
      <c r="AQ261" s="31" t="s">
        <v>17111</v>
      </c>
      <c r="AR261" s="31" t="s">
        <v>16683</v>
      </c>
      <c r="AS261" s="31" t="n">
        <v>75349</v>
      </c>
      <c r="AT261" s="31" t="n">
        <v>75368</v>
      </c>
      <c r="AU261" s="31"/>
      <c r="AV261" s="31" t="s">
        <v>22124</v>
      </c>
      <c r="AW261" s="35" t="str">
        <f aca="false">HYPERLINK("http://dx.doi.org/10.1007/s11356-023-27374-7","http://dx.doi.org/10.1007/s11356-023-27374-7")</f>
        <v>http://dx.doi.org/10.1007/s11356-023-27374-7</v>
      </c>
      <c r="AX261" s="31" t="s">
        <v>16617</v>
      </c>
      <c r="AY261" s="31" t="n">
        <v>20</v>
      </c>
      <c r="AZ261" s="31" t="s">
        <v>17114</v>
      </c>
      <c r="BA261" s="31" t="s">
        <v>16366</v>
      </c>
      <c r="BB261" s="31" t="s">
        <v>17115</v>
      </c>
      <c r="BC261" s="31" t="s">
        <v>22125</v>
      </c>
      <c r="BD261" s="31" t="n">
        <v>37219776</v>
      </c>
      <c r="BE261" s="31"/>
      <c r="BF261" s="31" t="s">
        <v>16369</v>
      </c>
      <c r="BG261" s="31" t="s">
        <v>22126</v>
      </c>
      <c r="BH261" s="31" t="str">
        <f aca="false">HYPERLINK("https%3A%2F%2Fwww.webofscience.com%2Fwos%2Fwoscc%2Ffull-record%2FWOS:000994162000004","View Full Record in Web of Science")</f>
        <v>View Full Record in Web of Science</v>
      </c>
      <c r="BI261" s="31"/>
      <c r="BJ261" s="31"/>
      <c r="BK261" s="31"/>
      <c r="BL261" s="31"/>
      <c r="BM261" s="31"/>
      <c r="BN261" s="31"/>
      <c r="BO261" s="31"/>
      <c r="BP261" s="31"/>
      <c r="BQ261" s="31"/>
      <c r="BR261" s="31"/>
      <c r="BS261" s="31"/>
      <c r="BT261" s="31"/>
      <c r="BU261" s="31"/>
      <c r="BV261" s="31"/>
      <c r="BW261" s="31"/>
      <c r="BX261" s="31"/>
      <c r="BY261" s="31"/>
      <c r="BZ261" s="31"/>
      <c r="CA261" s="31"/>
      <c r="CB261" s="31"/>
      <c r="CC261" s="31"/>
      <c r="CD261" s="31"/>
      <c r="CE261" s="31"/>
      <c r="CF261" s="31"/>
    </row>
    <row r="262" customFormat="false" ht="15.75" hidden="false" customHeight="true" outlineLevel="0" collapsed="false">
      <c r="A262" s="31" t="s">
        <v>16335</v>
      </c>
      <c r="B262" s="31" t="s">
        <v>22127</v>
      </c>
      <c r="C262" s="31" t="s">
        <v>22128</v>
      </c>
      <c r="D262" s="34" t="s">
        <v>22129</v>
      </c>
      <c r="E262" s="31" t="n">
        <v>2023</v>
      </c>
      <c r="F262" s="33" t="s">
        <v>22130</v>
      </c>
      <c r="G262" s="33" t="s">
        <v>134</v>
      </c>
      <c r="H262" s="32" t="s">
        <v>5021</v>
      </c>
      <c r="I262" s="34"/>
      <c r="J262" s="34"/>
      <c r="K262" s="32" t="s">
        <v>22131</v>
      </c>
      <c r="L262" s="34"/>
      <c r="M262" s="34"/>
      <c r="N262" s="34"/>
      <c r="O262" s="34"/>
      <c r="P262" s="34" t="n">
        <v>4</v>
      </c>
      <c r="Q262" s="31" t="n">
        <v>4</v>
      </c>
      <c r="R262" s="31" t="s">
        <v>61</v>
      </c>
      <c r="S262" s="31" t="s">
        <v>62</v>
      </c>
      <c r="T262" s="31" t="s">
        <v>22132</v>
      </c>
      <c r="U262" s="31"/>
      <c r="V262" s="31" t="s">
        <v>22133</v>
      </c>
      <c r="W262" s="31" t="n">
        <v>200</v>
      </c>
      <c r="X262" s="31"/>
      <c r="Y262" s="31" t="s">
        <v>22134</v>
      </c>
      <c r="Z262" s="31" t="s">
        <v>22135</v>
      </c>
      <c r="AA262" s="31" t="s">
        <v>22136</v>
      </c>
      <c r="AB262" s="31" t="s">
        <v>22137</v>
      </c>
      <c r="AC262" s="31" t="s">
        <v>22138</v>
      </c>
      <c r="AD262" s="31" t="s">
        <v>22139</v>
      </c>
      <c r="AE262" s="31" t="s">
        <v>22140</v>
      </c>
      <c r="AF262" s="31" t="s">
        <v>22141</v>
      </c>
      <c r="AG262" s="31" t="s">
        <v>22142</v>
      </c>
      <c r="AH262" s="31" t="s">
        <v>22143</v>
      </c>
      <c r="AI262" s="31" t="n">
        <v>49</v>
      </c>
      <c r="AJ262" s="31" t="n">
        <v>7</v>
      </c>
      <c r="AK262" s="31" t="n">
        <v>11</v>
      </c>
      <c r="AL262" s="31" t="s">
        <v>17507</v>
      </c>
      <c r="AM262" s="31" t="s">
        <v>22144</v>
      </c>
      <c r="AN262" s="31" t="s">
        <v>22145</v>
      </c>
      <c r="AO262" s="31"/>
      <c r="AP262" s="31" t="s">
        <v>22146</v>
      </c>
      <c r="AQ262" s="31" t="s">
        <v>22147</v>
      </c>
      <c r="AR262" s="31" t="s">
        <v>16615</v>
      </c>
      <c r="AS262" s="31"/>
      <c r="AT262" s="31"/>
      <c r="AU262" s="31" t="s">
        <v>22148</v>
      </c>
      <c r="AV262" s="31" t="s">
        <v>22149</v>
      </c>
      <c r="AW262" s="35" t="str">
        <f aca="false">HYPERLINK("http://dx.doi.org/10.3791/65557","http://dx.doi.org/10.3791/65557")</f>
        <v>http://dx.doi.org/10.3791/65557</v>
      </c>
      <c r="AX262" s="31"/>
      <c r="AY262" s="31" t="n">
        <v>23</v>
      </c>
      <c r="AZ262" s="31" t="s">
        <v>16428</v>
      </c>
      <c r="BA262" s="31" t="s">
        <v>16366</v>
      </c>
      <c r="BB262" s="31" t="s">
        <v>16429</v>
      </c>
      <c r="BC262" s="31" t="s">
        <v>22150</v>
      </c>
      <c r="BD262" s="31" t="n">
        <v>37955392</v>
      </c>
      <c r="BE262" s="31"/>
      <c r="BF262" s="31" t="s">
        <v>16369</v>
      </c>
      <c r="BG262" s="31" t="s">
        <v>22151</v>
      </c>
      <c r="BH262" s="31" t="str">
        <f aca="false">HYPERLINK("https%3A%2F%2Fwww.webofscience.com%2Fwos%2Fwoscc%2Ffull-record%2FWOS:001125348400015","View Full Record in Web of Science")</f>
        <v>View Full Record in Web of Science</v>
      </c>
      <c r="BI262" s="31"/>
      <c r="BJ262" s="31"/>
      <c r="BK262" s="31"/>
      <c r="BL262" s="31"/>
      <c r="BM262" s="31"/>
      <c r="BN262" s="31"/>
      <c r="BO262" s="31"/>
      <c r="BP262" s="31"/>
      <c r="BQ262" s="31"/>
      <c r="BR262" s="31"/>
      <c r="BS262" s="31"/>
      <c r="BT262" s="31"/>
      <c r="BU262" s="31"/>
      <c r="BV262" s="31"/>
      <c r="BW262" s="31"/>
      <c r="BX262" s="31"/>
      <c r="BY262" s="31"/>
      <c r="BZ262" s="31"/>
      <c r="CA262" s="31"/>
      <c r="CB262" s="31"/>
      <c r="CC262" s="31"/>
      <c r="CD262" s="31"/>
      <c r="CE262" s="31"/>
      <c r="CF262" s="31"/>
    </row>
    <row r="263" customFormat="false" ht="15.75" hidden="false" customHeight="true" outlineLevel="0" collapsed="false">
      <c r="A263" s="31" t="s">
        <v>16335</v>
      </c>
      <c r="B263" s="31" t="s">
        <v>22152</v>
      </c>
      <c r="C263" s="31" t="s">
        <v>22153</v>
      </c>
      <c r="D263" s="34" t="s">
        <v>22154</v>
      </c>
      <c r="E263" s="31" t="n">
        <v>2023</v>
      </c>
      <c r="F263" s="33" t="s">
        <v>22155</v>
      </c>
      <c r="G263" s="33" t="s">
        <v>134</v>
      </c>
      <c r="H263" s="32" t="s">
        <v>17123</v>
      </c>
      <c r="I263" s="32" t="s">
        <v>17123</v>
      </c>
      <c r="J263" s="34"/>
      <c r="K263" s="32" t="s">
        <v>22030</v>
      </c>
      <c r="L263" s="32" t="s">
        <v>3754</v>
      </c>
      <c r="M263" s="34"/>
      <c r="N263" s="34"/>
      <c r="O263" s="34"/>
      <c r="P263" s="34" t="n">
        <v>2</v>
      </c>
      <c r="Q263" s="31" t="n">
        <v>2</v>
      </c>
      <c r="R263" s="31" t="s">
        <v>61</v>
      </c>
      <c r="S263" s="31" t="s">
        <v>62</v>
      </c>
      <c r="T263" s="31" t="s">
        <v>22156</v>
      </c>
      <c r="U263" s="31" t="n">
        <v>95</v>
      </c>
      <c r="V263" s="31" t="s">
        <v>19148</v>
      </c>
      <c r="W263" s="31" t="n">
        <v>8</v>
      </c>
      <c r="X263" s="31"/>
      <c r="Y263" s="31" t="s">
        <v>22157</v>
      </c>
      <c r="Z263" s="31" t="s">
        <v>22158</v>
      </c>
      <c r="AA263" s="31" t="s">
        <v>22159</v>
      </c>
      <c r="AB263" s="31" t="s">
        <v>22160</v>
      </c>
      <c r="AC263" s="31" t="s">
        <v>22161</v>
      </c>
      <c r="AD263" s="31" t="s">
        <v>22162</v>
      </c>
      <c r="AE263" s="31" t="s">
        <v>22163</v>
      </c>
      <c r="AF263" s="31" t="s">
        <v>22164</v>
      </c>
      <c r="AG263" s="31" t="s">
        <v>22165</v>
      </c>
      <c r="AH263" s="31" t="s">
        <v>22166</v>
      </c>
      <c r="AI263" s="31" t="n">
        <v>50</v>
      </c>
      <c r="AJ263" s="31" t="n">
        <v>0</v>
      </c>
      <c r="AK263" s="31" t="n">
        <v>2</v>
      </c>
      <c r="AL263" s="31" t="s">
        <v>18329</v>
      </c>
      <c r="AM263" s="31" t="s">
        <v>19160</v>
      </c>
      <c r="AN263" s="31" t="s">
        <v>22167</v>
      </c>
      <c r="AO263" s="31" t="s">
        <v>22168</v>
      </c>
      <c r="AP263" s="31" t="s">
        <v>22169</v>
      </c>
      <c r="AQ263" s="31" t="s">
        <v>15160</v>
      </c>
      <c r="AR263" s="31" t="s">
        <v>16362</v>
      </c>
      <c r="AS263" s="31" t="n">
        <v>3986</v>
      </c>
      <c r="AT263" s="31" t="n">
        <v>3995</v>
      </c>
      <c r="AU263" s="31"/>
      <c r="AV263" s="31" t="s">
        <v>22170</v>
      </c>
      <c r="AW263" s="35" t="str">
        <f aca="false">HYPERLINK("http://dx.doi.org/10.1021/acs.analchem.2c04004","http://dx.doi.org/10.1021/acs.analchem.2c04004")</f>
        <v>http://dx.doi.org/10.1021/acs.analchem.2c04004</v>
      </c>
      <c r="AX263" s="31" t="s">
        <v>21652</v>
      </c>
      <c r="AY263" s="31" t="n">
        <v>10</v>
      </c>
      <c r="AZ263" s="31" t="s">
        <v>17514</v>
      </c>
      <c r="BA263" s="31" t="s">
        <v>16366</v>
      </c>
      <c r="BB263" s="31" t="s">
        <v>17348</v>
      </c>
      <c r="BC263" s="31" t="s">
        <v>22171</v>
      </c>
      <c r="BD263" s="31" t="n">
        <v>36787387</v>
      </c>
      <c r="BE263" s="31"/>
      <c r="BF263" s="31" t="s">
        <v>16369</v>
      </c>
      <c r="BG263" s="31" t="s">
        <v>22172</v>
      </c>
      <c r="BH263" s="31" t="str">
        <f aca="false">HYPERLINK("https%3A%2F%2Fwww.webofscience.com%2Fwos%2Fwoscc%2Ffull-record%2FWOS:000933949200001","View Full Record in Web of Science")</f>
        <v>View Full Record in Web of Science</v>
      </c>
      <c r="BI263" s="31"/>
      <c r="BJ263" s="31"/>
      <c r="BK263" s="31"/>
      <c r="BL263" s="31"/>
      <c r="BM263" s="31"/>
      <c r="BN263" s="31"/>
      <c r="BO263" s="31"/>
      <c r="BP263" s="31"/>
      <c r="BQ263" s="31"/>
      <c r="BR263" s="31"/>
      <c r="BS263" s="31"/>
      <c r="BT263" s="31"/>
      <c r="BU263" s="31"/>
      <c r="BV263" s="31"/>
      <c r="BW263" s="31"/>
      <c r="BX263" s="31"/>
      <c r="BY263" s="31"/>
      <c r="BZ263" s="31"/>
      <c r="CA263" s="31"/>
      <c r="CB263" s="31"/>
      <c r="CC263" s="31"/>
      <c r="CD263" s="31"/>
      <c r="CE263" s="31"/>
      <c r="CF263" s="31"/>
    </row>
    <row r="264" customFormat="false" ht="15.75" hidden="false" customHeight="true" outlineLevel="0" collapsed="false">
      <c r="A264" s="31" t="s">
        <v>16335</v>
      </c>
      <c r="B264" s="31" t="s">
        <v>22173</v>
      </c>
      <c r="C264" s="31" t="s">
        <v>22174</v>
      </c>
      <c r="D264" s="34" t="s">
        <v>22175</v>
      </c>
      <c r="E264" s="31" t="n">
        <v>2023</v>
      </c>
      <c r="F264" s="33" t="s">
        <v>22176</v>
      </c>
      <c r="G264" s="33" t="s">
        <v>134</v>
      </c>
      <c r="H264" s="32" t="s">
        <v>4812</v>
      </c>
      <c r="I264" s="32" t="s">
        <v>22177</v>
      </c>
      <c r="J264" s="32" t="s">
        <v>22178</v>
      </c>
      <c r="K264" s="32" t="s">
        <v>16409</v>
      </c>
      <c r="L264" s="34"/>
      <c r="M264" s="32" t="s">
        <v>22179</v>
      </c>
      <c r="N264" s="34"/>
      <c r="O264" s="34"/>
      <c r="P264" s="34" t="n">
        <v>8</v>
      </c>
      <c r="Q264" s="31" t="n">
        <v>8</v>
      </c>
      <c r="R264" s="31" t="s">
        <v>61</v>
      </c>
      <c r="S264" s="31" t="s">
        <v>62</v>
      </c>
      <c r="T264" s="31" t="s">
        <v>19062</v>
      </c>
      <c r="U264" s="31" t="n">
        <v>23</v>
      </c>
      <c r="V264" s="31" t="s">
        <v>17599</v>
      </c>
      <c r="W264" s="31" t="n">
        <v>1</v>
      </c>
      <c r="X264" s="31" t="s">
        <v>22180</v>
      </c>
      <c r="Y264" s="31" t="s">
        <v>20474</v>
      </c>
      <c r="Z264" s="31" t="s">
        <v>22181</v>
      </c>
      <c r="AA264" s="31" t="s">
        <v>22182</v>
      </c>
      <c r="AB264" s="31" t="s">
        <v>22183</v>
      </c>
      <c r="AC264" s="31" t="s">
        <v>22184</v>
      </c>
      <c r="AD264" s="31" t="s">
        <v>22185</v>
      </c>
      <c r="AE264" s="31" t="s">
        <v>22186</v>
      </c>
      <c r="AF264" s="31"/>
      <c r="AG264" s="31"/>
      <c r="AH264" s="31"/>
      <c r="AI264" s="31" t="n">
        <v>52</v>
      </c>
      <c r="AJ264" s="31" t="n">
        <v>1</v>
      </c>
      <c r="AK264" s="31" t="n">
        <v>8</v>
      </c>
      <c r="AL264" s="31" t="s">
        <v>16821</v>
      </c>
      <c r="AM264" s="31" t="s">
        <v>17609</v>
      </c>
      <c r="AN264" s="31" t="s">
        <v>19072</v>
      </c>
      <c r="AO264" s="31"/>
      <c r="AP264" s="31" t="s">
        <v>19073</v>
      </c>
      <c r="AQ264" s="31" t="s">
        <v>19074</v>
      </c>
      <c r="AR264" s="31" t="s">
        <v>22187</v>
      </c>
      <c r="AS264" s="31"/>
      <c r="AT264" s="31"/>
      <c r="AU264" s="31" t="n">
        <v>39</v>
      </c>
      <c r="AV264" s="31" t="s">
        <v>22188</v>
      </c>
      <c r="AW264" s="35" t="str">
        <f aca="false">HYPERLINK("http://dx.doi.org/10.1186/s12880-023-00993-9","http://dx.doi.org/10.1186/s12880-023-00993-9")</f>
        <v>http://dx.doi.org/10.1186/s12880-023-00993-9</v>
      </c>
      <c r="AX264" s="31"/>
      <c r="AY264" s="31" t="n">
        <v>14</v>
      </c>
      <c r="AZ264" s="31" t="s">
        <v>16998</v>
      </c>
      <c r="BA264" s="31" t="s">
        <v>16366</v>
      </c>
      <c r="BB264" s="31" t="s">
        <v>16998</v>
      </c>
      <c r="BC264" s="31" t="s">
        <v>22189</v>
      </c>
      <c r="BD264" s="31" t="n">
        <v>36949382</v>
      </c>
      <c r="BE264" s="31" t="s">
        <v>19056</v>
      </c>
      <c r="BF264" s="31" t="s">
        <v>16369</v>
      </c>
      <c r="BG264" s="31" t="s">
        <v>22190</v>
      </c>
      <c r="BH264" s="31" t="str">
        <f aca="false">HYPERLINK("https%3A%2F%2Fwww.webofscience.com%2Fwos%2Fwoscc%2Ffull-record%2FWOS:000951321300001","View Full Record in Web of Science")</f>
        <v>View Full Record in Web of Science</v>
      </c>
      <c r="BI264" s="31"/>
      <c r="BJ264" s="31"/>
      <c r="BK264" s="31"/>
      <c r="BL264" s="31"/>
      <c r="BM264" s="31"/>
      <c r="BN264" s="31"/>
      <c r="BO264" s="31"/>
      <c r="BP264" s="31"/>
      <c r="BQ264" s="31"/>
      <c r="BR264" s="31"/>
      <c r="BS264" s="31"/>
      <c r="BT264" s="31"/>
      <c r="BU264" s="31"/>
      <c r="BV264" s="31"/>
      <c r="BW264" s="31"/>
      <c r="BX264" s="31"/>
      <c r="BY264" s="31"/>
      <c r="BZ264" s="31"/>
      <c r="CA264" s="31"/>
      <c r="CB264" s="31"/>
      <c r="CC264" s="31"/>
      <c r="CD264" s="31"/>
      <c r="CE264" s="31"/>
      <c r="CF264" s="31"/>
    </row>
    <row r="265" customFormat="false" ht="15.75" hidden="false" customHeight="true" outlineLevel="0" collapsed="false">
      <c r="A265" s="31" t="s">
        <v>16335</v>
      </c>
      <c r="B265" s="31" t="s">
        <v>22191</v>
      </c>
      <c r="C265" s="31" t="s">
        <v>22192</v>
      </c>
      <c r="D265" s="34" t="s">
        <v>22193</v>
      </c>
      <c r="E265" s="31" t="n">
        <v>2023</v>
      </c>
      <c r="F265" s="33" t="s">
        <v>22194</v>
      </c>
      <c r="G265" s="33" t="s">
        <v>134</v>
      </c>
      <c r="H265" s="32" t="s">
        <v>16721</v>
      </c>
      <c r="I265" s="34"/>
      <c r="J265" s="32" t="s">
        <v>22178</v>
      </c>
      <c r="K265" s="32" t="s">
        <v>16409</v>
      </c>
      <c r="L265" s="32" t="s">
        <v>3754</v>
      </c>
      <c r="M265" s="32" t="s">
        <v>16410</v>
      </c>
      <c r="N265" s="34"/>
      <c r="O265" s="34"/>
      <c r="P265" s="34" t="n">
        <v>0</v>
      </c>
      <c r="Q265" s="31" t="n">
        <v>0</v>
      </c>
      <c r="R265" s="31" t="s">
        <v>61</v>
      </c>
      <c r="S265" s="31" t="s">
        <v>62</v>
      </c>
      <c r="T265" s="31" t="s">
        <v>18414</v>
      </c>
      <c r="U265" s="31" t="n">
        <v>86</v>
      </c>
      <c r="V265" s="31" t="s">
        <v>18415</v>
      </c>
      <c r="W265" s="31"/>
      <c r="X265" s="31" t="s">
        <v>22195</v>
      </c>
      <c r="Y265" s="31"/>
      <c r="Z265" s="31" t="s">
        <v>22196</v>
      </c>
      <c r="AA265" s="31" t="s">
        <v>22197</v>
      </c>
      <c r="AB265" s="31" t="s">
        <v>22198</v>
      </c>
      <c r="AC265" s="31" t="s">
        <v>22199</v>
      </c>
      <c r="AD265" s="31"/>
      <c r="AE265" s="31"/>
      <c r="AF265" s="31"/>
      <c r="AG265" s="31"/>
      <c r="AH265" s="31"/>
      <c r="AI265" s="31" t="n">
        <v>38</v>
      </c>
      <c r="AJ265" s="31" t="n">
        <v>1</v>
      </c>
      <c r="AK265" s="31" t="n">
        <v>1</v>
      </c>
      <c r="AL265" s="31" t="s">
        <v>2626</v>
      </c>
      <c r="AM265" s="31" t="s">
        <v>18422</v>
      </c>
      <c r="AN265" s="31" t="s">
        <v>18423</v>
      </c>
      <c r="AO265" s="31" t="s">
        <v>18424</v>
      </c>
      <c r="AP265" s="31" t="s">
        <v>18425</v>
      </c>
      <c r="AQ265" s="31" t="s">
        <v>7616</v>
      </c>
      <c r="AR265" s="31" t="s">
        <v>16801</v>
      </c>
      <c r="AS265" s="31"/>
      <c r="AT265" s="31"/>
      <c r="AU265" s="31" t="n">
        <v>105362</v>
      </c>
      <c r="AV265" s="31" t="s">
        <v>22200</v>
      </c>
      <c r="AW265" s="35" t="str">
        <f aca="false">HYPERLINK("http://dx.doi.org/10.1016/j.bspc.2023.105362","http://dx.doi.org/10.1016/j.bspc.2023.105362")</f>
        <v>http://dx.doi.org/10.1016/j.bspc.2023.105362</v>
      </c>
      <c r="AX265" s="31" t="s">
        <v>20089</v>
      </c>
      <c r="AY265" s="31" t="n">
        <v>14</v>
      </c>
      <c r="AZ265" s="31" t="s">
        <v>18428</v>
      </c>
      <c r="BA265" s="31" t="s">
        <v>16366</v>
      </c>
      <c r="BB265" s="31" t="s">
        <v>18429</v>
      </c>
      <c r="BC265" s="31" t="s">
        <v>22201</v>
      </c>
      <c r="BD265" s="31"/>
      <c r="BE265" s="31"/>
      <c r="BF265" s="31" t="s">
        <v>16369</v>
      </c>
      <c r="BG265" s="31" t="s">
        <v>22202</v>
      </c>
      <c r="BH265" s="31" t="str">
        <f aca="false">HYPERLINK("https%3A%2F%2Fwww.webofscience.com%2Fwos%2Fwoscc%2Ffull-record%2FWOS:001058906200001","View Full Record in Web of Science")</f>
        <v>View Full Record in Web of Science</v>
      </c>
      <c r="BI265" s="31"/>
      <c r="BJ265" s="31"/>
      <c r="BK265" s="31"/>
      <c r="BL265" s="31"/>
      <c r="BM265" s="31"/>
      <c r="BN265" s="31"/>
      <c r="BO265" s="31"/>
      <c r="BP265" s="31"/>
      <c r="BQ265" s="31" t="s">
        <v>22203</v>
      </c>
      <c r="BR265" s="31"/>
      <c r="BS265" s="31"/>
      <c r="BT265" s="31"/>
      <c r="BU265" s="31"/>
      <c r="BV265" s="31"/>
      <c r="BW265" s="31"/>
      <c r="BX265" s="31"/>
      <c r="BY265" s="31"/>
      <c r="BZ265" s="31"/>
      <c r="CA265" s="31"/>
      <c r="CB265" s="31"/>
      <c r="CC265" s="31"/>
      <c r="CD265" s="31"/>
      <c r="CE265" s="31"/>
      <c r="CF265" s="31"/>
    </row>
    <row r="266" customFormat="false" ht="15.75" hidden="false" customHeight="true" outlineLevel="0" collapsed="false">
      <c r="A266" s="31" t="s">
        <v>16335</v>
      </c>
      <c r="B266" s="31" t="s">
        <v>22204</v>
      </c>
      <c r="C266" s="31" t="s">
        <v>22205</v>
      </c>
      <c r="D266" s="34" t="s">
        <v>22206</v>
      </c>
      <c r="E266" s="31" t="n">
        <v>2023</v>
      </c>
      <c r="F266" s="33" t="s">
        <v>22207</v>
      </c>
      <c r="G266" s="33" t="s">
        <v>134</v>
      </c>
      <c r="H266" s="32" t="s">
        <v>4812</v>
      </c>
      <c r="I266" s="32" t="s">
        <v>4812</v>
      </c>
      <c r="J266" s="34"/>
      <c r="K266" s="32" t="s">
        <v>21314</v>
      </c>
      <c r="L266" s="34"/>
      <c r="M266" s="34"/>
      <c r="N266" s="34"/>
      <c r="O266" s="34"/>
      <c r="P266" s="34" t="n">
        <v>3</v>
      </c>
      <c r="Q266" s="31" t="n">
        <v>3</v>
      </c>
      <c r="R266" s="31" t="s">
        <v>61</v>
      </c>
      <c r="S266" s="31" t="s">
        <v>62</v>
      </c>
      <c r="T266" s="31" t="s">
        <v>20765</v>
      </c>
      <c r="U266" s="31" t="n">
        <v>82</v>
      </c>
      <c r="V266" s="31" t="s">
        <v>16600</v>
      </c>
      <c r="W266" s="31" t="n">
        <v>3</v>
      </c>
      <c r="X266" s="31" t="s">
        <v>22208</v>
      </c>
      <c r="Y266" s="31"/>
      <c r="Z266" s="31" t="s">
        <v>22209</v>
      </c>
      <c r="AA266" s="31" t="s">
        <v>17829</v>
      </c>
      <c r="AB266" s="31" t="s">
        <v>22210</v>
      </c>
      <c r="AC266" s="31" t="s">
        <v>22211</v>
      </c>
      <c r="AD266" s="31" t="s">
        <v>22212</v>
      </c>
      <c r="AE266" s="31" t="s">
        <v>22213</v>
      </c>
      <c r="AF266" s="31"/>
      <c r="AG266" s="31"/>
      <c r="AH266" s="31"/>
      <c r="AI266" s="31" t="n">
        <v>37</v>
      </c>
      <c r="AJ266" s="31" t="n">
        <v>0</v>
      </c>
      <c r="AK266" s="31" t="n">
        <v>5</v>
      </c>
      <c r="AL266" s="31" t="s">
        <v>16609</v>
      </c>
      <c r="AM266" s="31" t="s">
        <v>16610</v>
      </c>
      <c r="AN266" s="31" t="s">
        <v>20774</v>
      </c>
      <c r="AO266" s="31" t="s">
        <v>20775</v>
      </c>
      <c r="AP266" s="31" t="s">
        <v>20776</v>
      </c>
      <c r="AQ266" s="31" t="s">
        <v>20777</v>
      </c>
      <c r="AR266" s="31" t="s">
        <v>14295</v>
      </c>
      <c r="AS266" s="31" t="n">
        <v>4209</v>
      </c>
      <c r="AT266" s="31" t="n">
        <v>4234</v>
      </c>
      <c r="AU266" s="31"/>
      <c r="AV266" s="31" t="s">
        <v>22214</v>
      </c>
      <c r="AW266" s="35" t="str">
        <f aca="false">HYPERLINK("http://dx.doi.org/10.1007/s11042-022-13214-2","http://dx.doi.org/10.1007/s11042-022-13214-2")</f>
        <v>http://dx.doi.org/10.1007/s11042-022-13214-2</v>
      </c>
      <c r="AX266" s="31" t="s">
        <v>17113</v>
      </c>
      <c r="AY266" s="31" t="n">
        <v>26</v>
      </c>
      <c r="AZ266" s="31" t="s">
        <v>20780</v>
      </c>
      <c r="BA266" s="31" t="s">
        <v>16366</v>
      </c>
      <c r="BB266" s="31" t="s">
        <v>16973</v>
      </c>
      <c r="BC266" s="31" t="s">
        <v>22215</v>
      </c>
      <c r="BD266" s="31"/>
      <c r="BE266" s="31"/>
      <c r="BF266" s="31" t="s">
        <v>16369</v>
      </c>
      <c r="BG266" s="31" t="s">
        <v>22216</v>
      </c>
      <c r="BH266" s="31" t="str">
        <f aca="false">HYPERLINK("https%3A%2F%2Fwww.webofscience.com%2Fwos%2Fwoscc%2Ffull-record%2FWOS:000829140300003","View Full Record in Web of Science")</f>
        <v>View Full Record in Web of Science</v>
      </c>
      <c r="BI266" s="31"/>
      <c r="BJ266" s="31"/>
      <c r="BK266" s="31"/>
      <c r="BL266" s="31"/>
      <c r="BM266" s="31"/>
      <c r="BN266" s="31"/>
      <c r="BO266" s="31"/>
      <c r="BP266" s="31"/>
      <c r="BQ266" s="31"/>
      <c r="BR266" s="31"/>
      <c r="BS266" s="31"/>
      <c r="BT266" s="31"/>
      <c r="BU266" s="31"/>
      <c r="BV266" s="31"/>
      <c r="BW266" s="31"/>
      <c r="BX266" s="31"/>
      <c r="BY266" s="31"/>
      <c r="BZ266" s="31"/>
      <c r="CA266" s="31"/>
      <c r="CB266" s="31"/>
      <c r="CC266" s="31"/>
      <c r="CD266" s="31"/>
      <c r="CE266" s="31"/>
      <c r="CF266" s="31"/>
    </row>
    <row r="267" customFormat="false" ht="15.75" hidden="false" customHeight="true" outlineLevel="0" collapsed="false">
      <c r="A267" s="31" t="s">
        <v>16335</v>
      </c>
      <c r="B267" s="31" t="s">
        <v>22217</v>
      </c>
      <c r="C267" s="31" t="s">
        <v>22218</v>
      </c>
      <c r="D267" s="34" t="s">
        <v>22219</v>
      </c>
      <c r="E267" s="31" t="n">
        <v>2023</v>
      </c>
      <c r="F267" s="33" t="s">
        <v>22220</v>
      </c>
      <c r="G267" s="33" t="s">
        <v>134</v>
      </c>
      <c r="H267" s="32" t="s">
        <v>22221</v>
      </c>
      <c r="I267" s="32" t="s">
        <v>3715</v>
      </c>
      <c r="J267" s="32" t="s">
        <v>21109</v>
      </c>
      <c r="K267" s="32" t="s">
        <v>16409</v>
      </c>
      <c r="L267" s="32" t="s">
        <v>21004</v>
      </c>
      <c r="M267" s="32" t="s">
        <v>22222</v>
      </c>
      <c r="N267" s="32" t="s">
        <v>22223</v>
      </c>
      <c r="O267" s="34"/>
      <c r="P267" s="34" t="n">
        <v>2</v>
      </c>
      <c r="Q267" s="31" t="n">
        <v>2</v>
      </c>
      <c r="R267" s="31" t="s">
        <v>61</v>
      </c>
      <c r="S267" s="31" t="s">
        <v>62</v>
      </c>
      <c r="T267" s="31" t="s">
        <v>22224</v>
      </c>
      <c r="U267" s="31" t="n">
        <v>74</v>
      </c>
      <c r="V267" s="31" t="s">
        <v>22225</v>
      </c>
      <c r="W267" s="31" t="n">
        <v>3</v>
      </c>
      <c r="X267" s="31" t="s">
        <v>22226</v>
      </c>
      <c r="Y267" s="31"/>
      <c r="Z267" s="31" t="s">
        <v>22227</v>
      </c>
      <c r="AA267" s="31" t="s">
        <v>22228</v>
      </c>
      <c r="AB267" s="31" t="s">
        <v>22229</v>
      </c>
      <c r="AC267" s="31" t="s">
        <v>22230</v>
      </c>
      <c r="AD267" s="31" t="s">
        <v>22231</v>
      </c>
      <c r="AE267" s="31" t="s">
        <v>22232</v>
      </c>
      <c r="AF267" s="31"/>
      <c r="AG267" s="31"/>
      <c r="AH267" s="31"/>
      <c r="AI267" s="31" t="n">
        <v>39</v>
      </c>
      <c r="AJ267" s="31" t="n">
        <v>0</v>
      </c>
      <c r="AK267" s="31" t="n">
        <v>6</v>
      </c>
      <c r="AL267" s="31" t="s">
        <v>22233</v>
      </c>
      <c r="AM267" s="31" t="s">
        <v>22234</v>
      </c>
      <c r="AN267" s="31" t="s">
        <v>22235</v>
      </c>
      <c r="AO267" s="31" t="s">
        <v>22236</v>
      </c>
      <c r="AP267" s="31" t="s">
        <v>22237</v>
      </c>
      <c r="AQ267" s="31" t="s">
        <v>22238</v>
      </c>
      <c r="AR267" s="31"/>
      <c r="AS267" s="31" t="n">
        <v>6335</v>
      </c>
      <c r="AT267" s="31" t="n">
        <v>6349</v>
      </c>
      <c r="AU267" s="31"/>
      <c r="AV267" s="31" t="s">
        <v>22239</v>
      </c>
      <c r="AW267" s="35" t="str">
        <f aca="false">HYPERLINK("http://dx.doi.org/10.32604/cmc.2023.033860","http://dx.doi.org/10.32604/cmc.2023.033860")</f>
        <v>http://dx.doi.org/10.32604/cmc.2023.033860</v>
      </c>
      <c r="AX267" s="31"/>
      <c r="AY267" s="31" t="n">
        <v>15</v>
      </c>
      <c r="AZ267" s="31" t="s">
        <v>22240</v>
      </c>
      <c r="BA267" s="31" t="s">
        <v>16366</v>
      </c>
      <c r="BB267" s="31" t="s">
        <v>22241</v>
      </c>
      <c r="BC267" s="31" t="s">
        <v>22242</v>
      </c>
      <c r="BD267" s="31"/>
      <c r="BE267" s="31" t="s">
        <v>16431</v>
      </c>
      <c r="BF267" s="31" t="s">
        <v>16369</v>
      </c>
      <c r="BG267" s="31" t="s">
        <v>22243</v>
      </c>
      <c r="BH267" s="31" t="str">
        <f aca="false">HYPERLINK("https%3A%2F%2Fwww.webofscience.com%2Fwos%2Fwoscc%2Ffull-record%2FWOS:000992517400011","View Full Record in Web of Science")</f>
        <v>View Full Record in Web of Science</v>
      </c>
      <c r="BI267" s="31"/>
      <c r="BJ267" s="31"/>
      <c r="BK267" s="31"/>
      <c r="BL267" s="31"/>
      <c r="BM267" s="31"/>
      <c r="BN267" s="31"/>
      <c r="BO267" s="31"/>
      <c r="BP267" s="31"/>
      <c r="BQ267" s="31"/>
      <c r="BR267" s="31"/>
      <c r="BS267" s="31"/>
      <c r="BT267" s="31"/>
      <c r="BU267" s="31"/>
      <c r="BV267" s="31"/>
      <c r="BW267" s="31"/>
      <c r="BX267" s="31"/>
      <c r="BY267" s="31"/>
      <c r="BZ267" s="31"/>
      <c r="CA267" s="31"/>
      <c r="CB267" s="31"/>
      <c r="CC267" s="31"/>
      <c r="CD267" s="31"/>
      <c r="CE267" s="31"/>
      <c r="CF267" s="31"/>
    </row>
    <row r="268" customFormat="false" ht="15.75" hidden="false" customHeight="true" outlineLevel="0" collapsed="false">
      <c r="A268" s="31" t="s">
        <v>16335</v>
      </c>
      <c r="B268" s="31" t="s">
        <v>22244</v>
      </c>
      <c r="C268" s="31" t="s">
        <v>22245</v>
      </c>
      <c r="D268" s="34" t="s">
        <v>22246</v>
      </c>
      <c r="E268" s="31" t="n">
        <v>2023</v>
      </c>
      <c r="F268" s="33" t="s">
        <v>22247</v>
      </c>
      <c r="G268" s="33" t="s">
        <v>134</v>
      </c>
      <c r="H268" s="32" t="s">
        <v>22248</v>
      </c>
      <c r="I268" s="32" t="s">
        <v>4931</v>
      </c>
      <c r="J268" s="32" t="s">
        <v>22178</v>
      </c>
      <c r="K268" s="32" t="s">
        <v>16753</v>
      </c>
      <c r="L268" s="32" t="s">
        <v>3754</v>
      </c>
      <c r="M268" s="32" t="s">
        <v>22249</v>
      </c>
      <c r="N268" s="32" t="s">
        <v>22250</v>
      </c>
      <c r="O268" s="34"/>
      <c r="P268" s="34" t="n">
        <v>3</v>
      </c>
      <c r="Q268" s="31" t="n">
        <v>3</v>
      </c>
      <c r="R268" s="31" t="s">
        <v>61</v>
      </c>
      <c r="S268" s="31" t="s">
        <v>62</v>
      </c>
      <c r="T268" s="31" t="s">
        <v>22251</v>
      </c>
      <c r="U268" s="31" t="n">
        <v>10</v>
      </c>
      <c r="V268" s="31" t="s">
        <v>22252</v>
      </c>
      <c r="W268" s="31" t="n">
        <v>4</v>
      </c>
      <c r="X268" s="31" t="s">
        <v>22253</v>
      </c>
      <c r="Y268" s="31" t="s">
        <v>22254</v>
      </c>
      <c r="Z268" s="31" t="s">
        <v>22255</v>
      </c>
      <c r="AA268" s="31" t="s">
        <v>22256</v>
      </c>
      <c r="AB268" s="31" t="s">
        <v>22257</v>
      </c>
      <c r="AC268" s="31" t="s">
        <v>22258</v>
      </c>
      <c r="AD268" s="31" t="s">
        <v>22259</v>
      </c>
      <c r="AE268" s="31" t="s">
        <v>22260</v>
      </c>
      <c r="AF268" s="31" t="s">
        <v>22261</v>
      </c>
      <c r="AG268" s="31" t="s">
        <v>22262</v>
      </c>
      <c r="AH268" s="31" t="s">
        <v>22263</v>
      </c>
      <c r="AI268" s="31" t="n">
        <v>43</v>
      </c>
      <c r="AJ268" s="31" t="n">
        <v>2</v>
      </c>
      <c r="AK268" s="31" t="n">
        <v>7</v>
      </c>
      <c r="AL268" s="31" t="s">
        <v>22264</v>
      </c>
      <c r="AM268" s="31" t="s">
        <v>22265</v>
      </c>
      <c r="AN268" s="31" t="s">
        <v>22266</v>
      </c>
      <c r="AO268" s="31" t="s">
        <v>22267</v>
      </c>
      <c r="AP268" s="31" t="s">
        <v>22268</v>
      </c>
      <c r="AQ268" s="31" t="s">
        <v>22269</v>
      </c>
      <c r="AR268" s="31" t="s">
        <v>22270</v>
      </c>
      <c r="AS268" s="31"/>
      <c r="AT268" s="31"/>
      <c r="AU268" s="31" t="n">
        <v>44005</v>
      </c>
      <c r="AV268" s="31" t="s">
        <v>22271</v>
      </c>
      <c r="AW268" s="35" t="str">
        <f aca="false">HYPERLINK("http://dx.doi.org/10.1117/1.JMI.10.4.044005","http://dx.doi.org/10.1117/1.JMI.10.4.044005")</f>
        <v>http://dx.doi.org/10.1117/1.JMI.10.4.044005</v>
      </c>
      <c r="AX268" s="31"/>
      <c r="AY268" s="31" t="n">
        <v>17</v>
      </c>
      <c r="AZ268" s="31" t="s">
        <v>16998</v>
      </c>
      <c r="BA268" s="31" t="s">
        <v>16684</v>
      </c>
      <c r="BB268" s="31" t="s">
        <v>16998</v>
      </c>
      <c r="BC268" s="31" t="s">
        <v>22272</v>
      </c>
      <c r="BD268" s="31" t="n">
        <v>37554627</v>
      </c>
      <c r="BE268" s="31" t="s">
        <v>22273</v>
      </c>
      <c r="BF268" s="31" t="s">
        <v>16369</v>
      </c>
      <c r="BG268" s="31" t="s">
        <v>22274</v>
      </c>
      <c r="BH268" s="31" t="str">
        <f aca="false">HYPERLINK("https%3A%2F%2Fwww.webofscience.com%2Fwos%2Fwoscc%2Ffull-record%2FWOS:001059292800005","View Full Record in Web of Science")</f>
        <v>View Full Record in Web of Science</v>
      </c>
      <c r="BI268" s="31"/>
      <c r="BJ268" s="31"/>
      <c r="BK268" s="31"/>
      <c r="BL268" s="31"/>
      <c r="BM268" s="31"/>
      <c r="BN268" s="31"/>
      <c r="BO268" s="31"/>
      <c r="BP268" s="31"/>
      <c r="BQ268" s="31"/>
      <c r="BR268" s="31"/>
      <c r="BS268" s="31"/>
      <c r="BT268" s="31"/>
      <c r="BU268" s="31"/>
      <c r="BV268" s="31"/>
      <c r="BW268" s="31"/>
      <c r="BX268" s="31"/>
      <c r="BY268" s="31"/>
      <c r="BZ268" s="31"/>
      <c r="CA268" s="31"/>
      <c r="CB268" s="31"/>
      <c r="CC268" s="31"/>
      <c r="CD268" s="31"/>
      <c r="CE268" s="31"/>
      <c r="CF268" s="31"/>
    </row>
    <row r="269" customFormat="false" ht="15.75" hidden="false" customHeight="true" outlineLevel="0" collapsed="false">
      <c r="A269" s="31" t="s">
        <v>16335</v>
      </c>
      <c r="B269" s="31" t="s">
        <v>22275</v>
      </c>
      <c r="C269" s="31" t="s">
        <v>22276</v>
      </c>
      <c r="D269" s="34" t="s">
        <v>22277</v>
      </c>
      <c r="E269" s="31" t="n">
        <v>2023</v>
      </c>
      <c r="F269" s="33" t="s">
        <v>22278</v>
      </c>
      <c r="G269" s="33" t="s">
        <v>349</v>
      </c>
      <c r="H269" s="32" t="s">
        <v>22279</v>
      </c>
      <c r="I269" s="32" t="s">
        <v>22280</v>
      </c>
      <c r="J269" s="32" t="s">
        <v>22281</v>
      </c>
      <c r="K269" s="32" t="s">
        <v>16753</v>
      </c>
      <c r="L269" s="34"/>
      <c r="M269" s="34"/>
      <c r="N269" s="34"/>
      <c r="O269" s="34"/>
      <c r="P269" s="34" t="n">
        <v>5</v>
      </c>
      <c r="Q269" s="31" t="n">
        <v>5</v>
      </c>
      <c r="R269" s="31" t="s">
        <v>61</v>
      </c>
      <c r="S269" s="31" t="s">
        <v>62</v>
      </c>
      <c r="T269" s="31" t="s">
        <v>20113</v>
      </c>
      <c r="U269" s="31" t="n">
        <v>12</v>
      </c>
      <c r="V269" s="31" t="s">
        <v>17599</v>
      </c>
      <c r="W269" s="31" t="n">
        <v>1</v>
      </c>
      <c r="X269" s="31" t="s">
        <v>22282</v>
      </c>
      <c r="Y269" s="31" t="s">
        <v>22283</v>
      </c>
      <c r="Z269" s="31" t="s">
        <v>22284</v>
      </c>
      <c r="AA269" s="31" t="s">
        <v>22285</v>
      </c>
      <c r="AB269" s="31" t="s">
        <v>22286</v>
      </c>
      <c r="AC269" s="31" t="s">
        <v>22287</v>
      </c>
      <c r="AD269" s="31"/>
      <c r="AE269" s="31" t="s">
        <v>22288</v>
      </c>
      <c r="AF269" s="31" t="s">
        <v>22289</v>
      </c>
      <c r="AG269" s="31" t="s">
        <v>22289</v>
      </c>
      <c r="AH269" s="31" t="s">
        <v>22290</v>
      </c>
      <c r="AI269" s="31" t="n">
        <v>28</v>
      </c>
      <c r="AJ269" s="31" t="n">
        <v>0</v>
      </c>
      <c r="AK269" s="31" t="n">
        <v>0</v>
      </c>
      <c r="AL269" s="31" t="s">
        <v>16821</v>
      </c>
      <c r="AM269" s="31" t="s">
        <v>17609</v>
      </c>
      <c r="AN269" s="31" t="s">
        <v>20124</v>
      </c>
      <c r="AO269" s="31" t="s">
        <v>20125</v>
      </c>
      <c r="AP269" s="31" t="s">
        <v>20126</v>
      </c>
      <c r="AQ269" s="31" t="s">
        <v>20127</v>
      </c>
      <c r="AR269" s="31" t="s">
        <v>22291</v>
      </c>
      <c r="AS269" s="31"/>
      <c r="AT269" s="31"/>
      <c r="AU269" s="31" t="n">
        <v>40</v>
      </c>
      <c r="AV269" s="31" t="s">
        <v>22292</v>
      </c>
      <c r="AW269" s="35" t="str">
        <f aca="false">HYPERLINK("http://dx.doi.org/10.1186/s40249-023-01071-6","http://dx.doi.org/10.1186/s40249-023-01071-6")</f>
        <v>http://dx.doi.org/10.1186/s40249-023-01071-6</v>
      </c>
      <c r="AX269" s="31"/>
      <c r="AY269" s="31" t="n">
        <v>12</v>
      </c>
      <c r="AZ269" s="31" t="s">
        <v>16862</v>
      </c>
      <c r="BA269" s="31" t="s">
        <v>16366</v>
      </c>
      <c r="BB269" s="31" t="s">
        <v>16862</v>
      </c>
      <c r="BC269" s="31" t="s">
        <v>22293</v>
      </c>
      <c r="BD269" s="31" t="n">
        <v>37081494</v>
      </c>
      <c r="BE269" s="31" t="s">
        <v>19056</v>
      </c>
      <c r="BF269" s="31" t="s">
        <v>16369</v>
      </c>
      <c r="BG269" s="31" t="s">
        <v>22294</v>
      </c>
      <c r="BH269" s="31" t="str">
        <f aca="false">HYPERLINK("https%3A%2F%2Fwww.webofscience.com%2Fwos%2Fwoscc%2Ffull-record%2FWOS:000975220500002","View Full Record in Web of Science")</f>
        <v>View Full Record in Web of Science</v>
      </c>
      <c r="BI269" s="31"/>
      <c r="BJ269" s="31"/>
      <c r="BK269" s="31"/>
      <c r="BL269" s="31"/>
      <c r="BM269" s="31"/>
      <c r="BN269" s="31"/>
      <c r="BO269" s="31"/>
      <c r="BP269" s="31"/>
      <c r="BQ269" s="31"/>
      <c r="BR269" s="31"/>
      <c r="BS269" s="31"/>
      <c r="BT269" s="31"/>
      <c r="BU269" s="31"/>
      <c r="BV269" s="31"/>
      <c r="BW269" s="31"/>
      <c r="BX269" s="31"/>
      <c r="BY269" s="31"/>
      <c r="BZ269" s="31"/>
      <c r="CA269" s="31"/>
      <c r="CB269" s="31"/>
      <c r="CC269" s="31"/>
      <c r="CD269" s="31"/>
      <c r="CE269" s="31"/>
      <c r="CF269" s="31"/>
    </row>
    <row r="270" customFormat="false" ht="15.75" hidden="false" customHeight="true" outlineLevel="0" collapsed="false">
      <c r="A270" s="31" t="s">
        <v>16335</v>
      </c>
      <c r="B270" s="31" t="s">
        <v>22295</v>
      </c>
      <c r="C270" s="31" t="s">
        <v>22296</v>
      </c>
      <c r="D270" s="34" t="s">
        <v>22297</v>
      </c>
      <c r="E270" s="31" t="n">
        <v>2023</v>
      </c>
      <c r="F270" s="33" t="s">
        <v>22298</v>
      </c>
      <c r="G270" s="33" t="s">
        <v>349</v>
      </c>
      <c r="H270" s="32" t="s">
        <v>22299</v>
      </c>
      <c r="I270" s="32" t="s">
        <v>4101</v>
      </c>
      <c r="J270" s="34"/>
      <c r="K270" s="34"/>
      <c r="L270" s="34"/>
      <c r="M270" s="34"/>
      <c r="N270" s="34"/>
      <c r="O270" s="34"/>
      <c r="P270" s="34" t="n">
        <v>6</v>
      </c>
      <c r="Q270" s="31" t="n">
        <v>6</v>
      </c>
      <c r="R270" s="31" t="s">
        <v>61</v>
      </c>
      <c r="S270" s="31" t="s">
        <v>62</v>
      </c>
      <c r="T270" s="31" t="s">
        <v>22300</v>
      </c>
      <c r="U270" s="31" t="n">
        <v>2023</v>
      </c>
      <c r="V270" s="31" t="s">
        <v>16475</v>
      </c>
      <c r="W270" s="31" t="n">
        <v>5</v>
      </c>
      <c r="X270" s="31" t="s">
        <v>22301</v>
      </c>
      <c r="Y270" s="31" t="s">
        <v>22302</v>
      </c>
      <c r="Z270" s="31" t="s">
        <v>22303</v>
      </c>
      <c r="AA270" s="31" t="s">
        <v>22304</v>
      </c>
      <c r="AB270" s="31" t="s">
        <v>22305</v>
      </c>
      <c r="AC270" s="31" t="s">
        <v>22306</v>
      </c>
      <c r="AD270" s="31" t="s">
        <v>22307</v>
      </c>
      <c r="AE270" s="31" t="s">
        <v>22308</v>
      </c>
      <c r="AF270" s="31" t="s">
        <v>22309</v>
      </c>
      <c r="AG270" s="31" t="s">
        <v>22310</v>
      </c>
      <c r="AH270" s="31" t="s">
        <v>22311</v>
      </c>
      <c r="AI270" s="31" t="n">
        <v>73</v>
      </c>
      <c r="AJ270" s="31" t="n">
        <v>2</v>
      </c>
      <c r="AK270" s="31" t="n">
        <v>24</v>
      </c>
      <c r="AL270" s="31" t="s">
        <v>16485</v>
      </c>
      <c r="AM270" s="31" t="s">
        <v>16486</v>
      </c>
      <c r="AN270" s="31" t="s">
        <v>22312</v>
      </c>
      <c r="AO270" s="31" t="s">
        <v>22313</v>
      </c>
      <c r="AP270" s="31" t="s">
        <v>22300</v>
      </c>
      <c r="AQ270" s="31" t="s">
        <v>22314</v>
      </c>
      <c r="AR270" s="31"/>
      <c r="AS270" s="31"/>
      <c r="AT270" s="31"/>
      <c r="AU270" s="31"/>
      <c r="AV270" s="31" t="s">
        <v>22315</v>
      </c>
      <c r="AW270" s="35" t="str">
        <f aca="false">HYPERLINK("http://dx.doi.org/10.1111/ecog.06579","http://dx.doi.org/10.1111/ecog.06579")</f>
        <v>http://dx.doi.org/10.1111/ecog.06579</v>
      </c>
      <c r="AX270" s="31" t="s">
        <v>21352</v>
      </c>
      <c r="AY270" s="31" t="n">
        <v>14</v>
      </c>
      <c r="AZ270" s="31" t="s">
        <v>22316</v>
      </c>
      <c r="BA270" s="31" t="s">
        <v>16366</v>
      </c>
      <c r="BB270" s="31" t="s">
        <v>22317</v>
      </c>
      <c r="BC270" s="31" t="s">
        <v>22318</v>
      </c>
      <c r="BD270" s="31"/>
      <c r="BE270" s="31" t="s">
        <v>17588</v>
      </c>
      <c r="BF270" s="31" t="s">
        <v>16369</v>
      </c>
      <c r="BG270" s="31" t="s">
        <v>22319</v>
      </c>
      <c r="BH270" s="31" t="str">
        <f aca="false">HYPERLINK("https%3A%2F%2Fwww.webofscience.com%2Fwos%2Fwoscc%2Ffull-record%2FWOS:000947055600001","View Full Record in Web of Science")</f>
        <v>View Full Record in Web of Science</v>
      </c>
      <c r="BI270" s="31"/>
      <c r="BJ270" s="31"/>
      <c r="BK270" s="31"/>
      <c r="BL270" s="31"/>
      <c r="BM270" s="31"/>
      <c r="BN270" s="31"/>
      <c r="BO270" s="31"/>
      <c r="BP270" s="31"/>
      <c r="BQ270" s="31"/>
      <c r="BR270" s="31"/>
      <c r="BS270" s="31"/>
      <c r="BT270" s="31"/>
      <c r="BU270" s="31"/>
      <c r="BV270" s="31"/>
      <c r="BW270" s="31"/>
      <c r="BX270" s="31"/>
      <c r="BY270" s="31"/>
      <c r="BZ270" s="31"/>
      <c r="CA270" s="31"/>
      <c r="CB270" s="31"/>
      <c r="CC270" s="31"/>
      <c r="CD270" s="31"/>
      <c r="CE270" s="31"/>
      <c r="CF270" s="31"/>
    </row>
    <row r="271" customFormat="false" ht="15.75" hidden="false" customHeight="true" outlineLevel="0" collapsed="false">
      <c r="A271" s="31" t="s">
        <v>16335</v>
      </c>
      <c r="B271" s="31" t="s">
        <v>18537</v>
      </c>
      <c r="C271" s="31" t="s">
        <v>18538</v>
      </c>
      <c r="D271" s="34" t="s">
        <v>22320</v>
      </c>
      <c r="E271" s="31" t="n">
        <v>2023</v>
      </c>
      <c r="F271" s="33" t="s">
        <v>22321</v>
      </c>
      <c r="G271" s="33" t="s">
        <v>134</v>
      </c>
      <c r="H271" s="32" t="s">
        <v>22322</v>
      </c>
      <c r="I271" s="32" t="s">
        <v>22323</v>
      </c>
      <c r="J271" s="32" t="s">
        <v>20887</v>
      </c>
      <c r="K271" s="32" t="s">
        <v>16409</v>
      </c>
      <c r="L271" s="32" t="s">
        <v>3754</v>
      </c>
      <c r="M271" s="32" t="s">
        <v>22324</v>
      </c>
      <c r="N271" s="34"/>
      <c r="O271" s="34"/>
      <c r="P271" s="34" t="n">
        <v>4</v>
      </c>
      <c r="Q271" s="31" t="n">
        <v>4</v>
      </c>
      <c r="R271" s="31" t="s">
        <v>61</v>
      </c>
      <c r="S271" s="31" t="s">
        <v>62</v>
      </c>
      <c r="T271" s="31" t="s">
        <v>21112</v>
      </c>
      <c r="U271" s="31" t="n">
        <v>9</v>
      </c>
      <c r="V271" s="31" t="s">
        <v>4048</v>
      </c>
      <c r="W271" s="31" t="n">
        <v>12</v>
      </c>
      <c r="X271" s="31" t="s">
        <v>22325</v>
      </c>
      <c r="Y271" s="31" t="s">
        <v>22326</v>
      </c>
      <c r="Z271" s="31" t="s">
        <v>18543</v>
      </c>
      <c r="AA271" s="31" t="s">
        <v>18544</v>
      </c>
      <c r="AB271" s="31" t="s">
        <v>18545</v>
      </c>
      <c r="AC271" s="31" t="s">
        <v>22327</v>
      </c>
      <c r="AD271" s="31" t="s">
        <v>18547</v>
      </c>
      <c r="AE271" s="31" t="s">
        <v>22328</v>
      </c>
      <c r="AF271" s="31" t="s">
        <v>22329</v>
      </c>
      <c r="AG271" s="31" t="s">
        <v>22330</v>
      </c>
      <c r="AH271" s="31" t="s">
        <v>22331</v>
      </c>
      <c r="AI271" s="31" t="n">
        <v>67</v>
      </c>
      <c r="AJ271" s="31" t="n">
        <v>2</v>
      </c>
      <c r="AK271" s="31" t="n">
        <v>9</v>
      </c>
      <c r="AL271" s="31" t="s">
        <v>16769</v>
      </c>
      <c r="AM271" s="31" t="s">
        <v>16770</v>
      </c>
      <c r="AN271" s="31"/>
      <c r="AO271" s="31" t="s">
        <v>21120</v>
      </c>
      <c r="AP271" s="31" t="s">
        <v>21121</v>
      </c>
      <c r="AQ271" s="31" t="s">
        <v>21122</v>
      </c>
      <c r="AR271" s="31" t="s">
        <v>16649</v>
      </c>
      <c r="AS271" s="31"/>
      <c r="AT271" s="31"/>
      <c r="AU271" s="31" t="n">
        <v>266</v>
      </c>
      <c r="AV271" s="31" t="s">
        <v>22332</v>
      </c>
      <c r="AW271" s="35" t="str">
        <f aca="false">HYPERLINK("http://dx.doi.org/10.3390/jimaging9120266","http://dx.doi.org/10.3390/jimaging9120266")</f>
        <v>http://dx.doi.org/10.3390/jimaging9120266</v>
      </c>
      <c r="AX271" s="31"/>
      <c r="AY271" s="31" t="n">
        <v>19</v>
      </c>
      <c r="AZ271" s="31" t="s">
        <v>21124</v>
      </c>
      <c r="BA271" s="31" t="s">
        <v>16684</v>
      </c>
      <c r="BB271" s="31" t="s">
        <v>21124</v>
      </c>
      <c r="BC271" s="31" t="s">
        <v>22333</v>
      </c>
      <c r="BD271" s="31" t="n">
        <v>38132684</v>
      </c>
      <c r="BE271" s="31" t="s">
        <v>17168</v>
      </c>
      <c r="BF271" s="31" t="s">
        <v>16369</v>
      </c>
      <c r="BG271" s="31" t="s">
        <v>22334</v>
      </c>
      <c r="BH271" s="31" t="str">
        <f aca="false">HYPERLINK("https%3A%2F%2Fwww.webofscience.com%2Fwos%2Fwoscc%2Ffull-record%2FWOS:001131347500001","View Full Record in Web of Science")</f>
        <v>View Full Record in Web of Science</v>
      </c>
      <c r="BI271" s="31"/>
      <c r="BJ271" s="31"/>
      <c r="BK271" s="31"/>
      <c r="BL271" s="31"/>
      <c r="BM271" s="31"/>
      <c r="BN271" s="31"/>
      <c r="BO271" s="31"/>
      <c r="BP271" s="31"/>
      <c r="BQ271" s="31"/>
      <c r="BR271" s="31"/>
      <c r="BS271" s="31"/>
      <c r="BT271" s="31"/>
      <c r="BU271" s="31"/>
      <c r="BV271" s="31"/>
      <c r="BW271" s="31"/>
      <c r="BX271" s="31"/>
      <c r="BY271" s="31"/>
      <c r="BZ271" s="31"/>
      <c r="CA271" s="31"/>
      <c r="CB271" s="31"/>
      <c r="CC271" s="31"/>
      <c r="CD271" s="31"/>
      <c r="CE271" s="31"/>
      <c r="CF271" s="31"/>
    </row>
    <row r="272" customFormat="false" ht="15.75" hidden="false" customHeight="true" outlineLevel="0" collapsed="false">
      <c r="A272" s="31" t="s">
        <v>16335</v>
      </c>
      <c r="B272" s="31" t="s">
        <v>22335</v>
      </c>
      <c r="C272" s="31" t="s">
        <v>22336</v>
      </c>
      <c r="D272" s="34" t="s">
        <v>22337</v>
      </c>
      <c r="E272" s="31" t="n">
        <v>2023</v>
      </c>
      <c r="F272" s="33" t="s">
        <v>22338</v>
      </c>
      <c r="G272" s="33" t="s">
        <v>134</v>
      </c>
      <c r="H272" s="32" t="s">
        <v>16627</v>
      </c>
      <c r="I272" s="34"/>
      <c r="J272" s="32" t="s">
        <v>21552</v>
      </c>
      <c r="K272" s="32" t="s">
        <v>16409</v>
      </c>
      <c r="L272" s="32" t="s">
        <v>3754</v>
      </c>
      <c r="M272" s="34"/>
      <c r="N272" s="34"/>
      <c r="O272" s="34"/>
      <c r="P272" s="34" t="n">
        <v>0</v>
      </c>
      <c r="Q272" s="31" t="n">
        <v>0</v>
      </c>
      <c r="R272" s="31" t="s">
        <v>17848</v>
      </c>
      <c r="S272" s="31" t="s">
        <v>62</v>
      </c>
      <c r="T272" s="31" t="s">
        <v>17849</v>
      </c>
      <c r="U272" s="31" t="n">
        <v>39</v>
      </c>
      <c r="V272" s="31" t="s">
        <v>16563</v>
      </c>
      <c r="W272" s="31"/>
      <c r="X272" s="31"/>
      <c r="Y272" s="31" t="s">
        <v>22339</v>
      </c>
      <c r="Z272" s="31" t="s">
        <v>22340</v>
      </c>
      <c r="AA272" s="31" t="s">
        <v>22341</v>
      </c>
      <c r="AB272" s="31" t="s">
        <v>22342</v>
      </c>
      <c r="AC272" s="31" t="s">
        <v>22343</v>
      </c>
      <c r="AD272" s="31" t="s">
        <v>22344</v>
      </c>
      <c r="AE272" s="31" t="s">
        <v>22345</v>
      </c>
      <c r="AF272" s="31" t="s">
        <v>22346</v>
      </c>
      <c r="AG272" s="31" t="s">
        <v>22347</v>
      </c>
      <c r="AH272" s="31" t="s">
        <v>22348</v>
      </c>
      <c r="AI272" s="31" t="n">
        <v>42</v>
      </c>
      <c r="AJ272" s="31" t="n">
        <v>0</v>
      </c>
      <c r="AK272" s="31" t="n">
        <v>2</v>
      </c>
      <c r="AL272" s="31" t="s">
        <v>16575</v>
      </c>
      <c r="AM272" s="31" t="s">
        <v>16576</v>
      </c>
      <c r="AN272" s="31" t="s">
        <v>17860</v>
      </c>
      <c r="AO272" s="31" t="s">
        <v>17861</v>
      </c>
      <c r="AP272" s="31" t="s">
        <v>17849</v>
      </c>
      <c r="AQ272" s="31" t="s">
        <v>17862</v>
      </c>
      <c r="AR272" s="31" t="s">
        <v>22349</v>
      </c>
      <c r="AS272" s="31" t="s">
        <v>22350</v>
      </c>
      <c r="AT272" s="31" t="s">
        <v>22351</v>
      </c>
      <c r="AU272" s="31"/>
      <c r="AV272" s="31" t="s">
        <v>22352</v>
      </c>
      <c r="AW272" s="35" t="str">
        <f aca="false">HYPERLINK("http://dx.doi.org/10.1093/bioinformatics/btad206","http://dx.doi.org/10.1093/bioinformatics/btad206")</f>
        <v>http://dx.doi.org/10.1093/bioinformatics/btad206</v>
      </c>
      <c r="AX272" s="31"/>
      <c r="AY272" s="31" t="n">
        <v>8</v>
      </c>
      <c r="AZ272" s="31" t="s">
        <v>17866</v>
      </c>
      <c r="BA272" s="31" t="s">
        <v>17867</v>
      </c>
      <c r="BB272" s="31" t="s">
        <v>17868</v>
      </c>
      <c r="BC272" s="31" t="s">
        <v>22353</v>
      </c>
      <c r="BD272" s="31" t="n">
        <v>37387133</v>
      </c>
      <c r="BE272" s="31" t="s">
        <v>19320</v>
      </c>
      <c r="BF272" s="31" t="s">
        <v>16369</v>
      </c>
      <c r="BG272" s="31" t="s">
        <v>22354</v>
      </c>
      <c r="BH272" s="31" t="str">
        <f aca="false">HYPERLINK("https%3A%2F%2Fwww.webofscience.com%2Fwos%2Fwoscc%2Ffull-record%2FWOS:001027457000014","View Full Record in Web of Science")</f>
        <v>View Full Record in Web of Science</v>
      </c>
      <c r="BI272" s="31"/>
      <c r="BJ272" s="31"/>
      <c r="BK272" s="31"/>
      <c r="BL272" s="31"/>
      <c r="BM272" s="31"/>
      <c r="BN272" s="31"/>
      <c r="BO272" s="31"/>
      <c r="BP272" s="31"/>
      <c r="BQ272" s="31"/>
      <c r="BR272" s="31" t="s">
        <v>22355</v>
      </c>
      <c r="BS272" s="31" t="s">
        <v>16622</v>
      </c>
      <c r="BT272" s="31"/>
      <c r="BU272" s="31"/>
      <c r="BV272" s="31"/>
      <c r="BW272" s="31"/>
      <c r="BX272" s="31"/>
      <c r="BY272" s="31"/>
      <c r="BZ272" s="31"/>
      <c r="CA272" s="31"/>
      <c r="CB272" s="31" t="s">
        <v>22356</v>
      </c>
      <c r="CC272" s="31" t="s">
        <v>22357</v>
      </c>
      <c r="CD272" s="31" t="s">
        <v>22358</v>
      </c>
      <c r="CE272" s="31"/>
      <c r="CF272" s="31"/>
    </row>
    <row r="273" customFormat="false" ht="15.75" hidden="false" customHeight="true" outlineLevel="0" collapsed="false">
      <c r="A273" s="31" t="s">
        <v>16335</v>
      </c>
      <c r="B273" s="31" t="s">
        <v>22359</v>
      </c>
      <c r="C273" s="31" t="s">
        <v>22360</v>
      </c>
      <c r="D273" s="34" t="s">
        <v>22361</v>
      </c>
      <c r="E273" s="31" t="n">
        <v>2022</v>
      </c>
      <c r="F273" s="33" t="s">
        <v>22362</v>
      </c>
      <c r="G273" s="33" t="s">
        <v>134</v>
      </c>
      <c r="H273" s="32" t="s">
        <v>3920</v>
      </c>
      <c r="I273" s="32" t="s">
        <v>4101</v>
      </c>
      <c r="J273" s="34"/>
      <c r="K273" s="32" t="s">
        <v>22363</v>
      </c>
      <c r="L273" s="32" t="s">
        <v>3754</v>
      </c>
      <c r="M273" s="32" t="s">
        <v>22364</v>
      </c>
      <c r="N273" s="32" t="s">
        <v>22365</v>
      </c>
      <c r="O273" s="34"/>
      <c r="P273" s="34" t="n">
        <v>4</v>
      </c>
      <c r="Q273" s="31" t="n">
        <v>4</v>
      </c>
      <c r="R273" s="31" t="s">
        <v>61</v>
      </c>
      <c r="S273" s="31" t="s">
        <v>62</v>
      </c>
      <c r="T273" s="31" t="s">
        <v>22366</v>
      </c>
      <c r="U273" s="31" t="n">
        <v>40</v>
      </c>
      <c r="V273" s="31" t="s">
        <v>22367</v>
      </c>
      <c r="W273" s="31" t="n">
        <v>5</v>
      </c>
      <c r="X273" s="31" t="s">
        <v>22368</v>
      </c>
      <c r="Y273" s="31" t="s">
        <v>22369</v>
      </c>
      <c r="Z273" s="31" t="s">
        <v>22370</v>
      </c>
      <c r="AA273" s="31" t="s">
        <v>22371</v>
      </c>
      <c r="AB273" s="31" t="s">
        <v>22372</v>
      </c>
      <c r="AC273" s="31" t="s">
        <v>22373</v>
      </c>
      <c r="AD273" s="31" t="s">
        <v>22374</v>
      </c>
      <c r="AE273" s="31" t="s">
        <v>22375</v>
      </c>
      <c r="AF273" s="31"/>
      <c r="AG273" s="31"/>
      <c r="AH273" s="31"/>
      <c r="AI273" s="31" t="n">
        <v>40</v>
      </c>
      <c r="AJ273" s="31" t="n">
        <v>1</v>
      </c>
      <c r="AK273" s="31" t="n">
        <v>17</v>
      </c>
      <c r="AL273" s="31" t="s">
        <v>22376</v>
      </c>
      <c r="AM273" s="31" t="s">
        <v>22377</v>
      </c>
      <c r="AN273" s="31" t="s">
        <v>22378</v>
      </c>
      <c r="AO273" s="31"/>
      <c r="AP273" s="31" t="s">
        <v>22379</v>
      </c>
      <c r="AQ273" s="31" t="s">
        <v>22380</v>
      </c>
      <c r="AR273" s="31" t="s">
        <v>22381</v>
      </c>
      <c r="AS273" s="31" t="n">
        <v>1159</v>
      </c>
      <c r="AT273" s="31" t="n">
        <v>1178</v>
      </c>
      <c r="AU273" s="31"/>
      <c r="AV273" s="31" t="s">
        <v>22382</v>
      </c>
      <c r="AW273" s="35" t="str">
        <f aca="false">HYPERLINK("http://dx.doi.org/10.1108/LHT-02-2021-0063","http://dx.doi.org/10.1108/LHT-02-2021-0063")</f>
        <v>http://dx.doi.org/10.1108/LHT-02-2021-0063</v>
      </c>
      <c r="AX273" s="31" t="s">
        <v>22383</v>
      </c>
      <c r="AY273" s="31" t="n">
        <v>20</v>
      </c>
      <c r="AZ273" s="31" t="s">
        <v>22384</v>
      </c>
      <c r="BA273" s="31" t="s">
        <v>22385</v>
      </c>
      <c r="BB273" s="31" t="s">
        <v>22384</v>
      </c>
      <c r="BC273" s="31" t="s">
        <v>22386</v>
      </c>
      <c r="BD273" s="31"/>
      <c r="BE273" s="31"/>
      <c r="BF273" s="31" t="s">
        <v>16369</v>
      </c>
      <c r="BG273" s="31" t="s">
        <v>22387</v>
      </c>
      <c r="BH273" s="31" t="str">
        <f aca="false">HYPERLINK("https%3A%2F%2Fwww.webofscience.com%2Fwos%2Fwoscc%2Ffull-record%2FWOS:000669616200001","View Full Record in Web of Science")</f>
        <v>View Full Record in Web of Science</v>
      </c>
      <c r="BI273" s="31"/>
      <c r="BJ273" s="31"/>
      <c r="BK273" s="31"/>
      <c r="BL273" s="31"/>
      <c r="BM273" s="31"/>
      <c r="BN273" s="31"/>
      <c r="BO273" s="31"/>
      <c r="BP273" s="31"/>
      <c r="BQ273" s="31"/>
      <c r="BR273" s="31"/>
      <c r="BS273" s="31"/>
      <c r="BT273" s="31"/>
      <c r="BU273" s="31"/>
      <c r="BV273" s="31"/>
      <c r="BW273" s="31"/>
      <c r="BX273" s="31"/>
      <c r="BY273" s="31"/>
      <c r="BZ273" s="31"/>
      <c r="CA273" s="31"/>
      <c r="CB273" s="31"/>
      <c r="CC273" s="31"/>
      <c r="CD273" s="31"/>
      <c r="CE273" s="31"/>
      <c r="CF273" s="31"/>
    </row>
    <row r="274" customFormat="false" ht="15.75" hidden="false" customHeight="true" outlineLevel="0" collapsed="false">
      <c r="A274" s="31" t="s">
        <v>16335</v>
      </c>
      <c r="B274" s="31" t="s">
        <v>22388</v>
      </c>
      <c r="C274" s="31" t="s">
        <v>22389</v>
      </c>
      <c r="D274" s="34" t="s">
        <v>22390</v>
      </c>
      <c r="E274" s="31" t="n">
        <v>2022</v>
      </c>
      <c r="F274" s="33" t="s">
        <v>22391</v>
      </c>
      <c r="G274" s="33" t="s">
        <v>134</v>
      </c>
      <c r="H274" s="32" t="s">
        <v>3876</v>
      </c>
      <c r="I274" s="34"/>
      <c r="J274" s="32" t="s">
        <v>22178</v>
      </c>
      <c r="K274" s="32" t="s">
        <v>16409</v>
      </c>
      <c r="L274" s="32" t="s">
        <v>3754</v>
      </c>
      <c r="M274" s="32" t="s">
        <v>22392</v>
      </c>
      <c r="N274" s="34"/>
      <c r="O274" s="34"/>
      <c r="P274" s="34" t="n">
        <v>5</v>
      </c>
      <c r="Q274" s="31" t="n">
        <v>5</v>
      </c>
      <c r="R274" s="31" t="s">
        <v>61</v>
      </c>
      <c r="S274" s="31" t="s">
        <v>62</v>
      </c>
      <c r="T274" s="31" t="s">
        <v>17233</v>
      </c>
      <c r="U274" s="31" t="n">
        <v>34</v>
      </c>
      <c r="V274" s="31" t="s">
        <v>17234</v>
      </c>
      <c r="W274" s="31" t="n">
        <v>17</v>
      </c>
      <c r="X274" s="31" t="s">
        <v>22393</v>
      </c>
      <c r="Y274" s="31" t="s">
        <v>22394</v>
      </c>
      <c r="Z274" s="31" t="s">
        <v>22395</v>
      </c>
      <c r="AA274" s="31" t="s">
        <v>22396</v>
      </c>
      <c r="AB274" s="31" t="s">
        <v>22397</v>
      </c>
      <c r="AC274" s="31" t="s">
        <v>22398</v>
      </c>
      <c r="AD274" s="31" t="s">
        <v>22399</v>
      </c>
      <c r="AE274" s="31" t="s">
        <v>22400</v>
      </c>
      <c r="AF274" s="31" t="s">
        <v>22401</v>
      </c>
      <c r="AG274" s="31" t="s">
        <v>22402</v>
      </c>
      <c r="AH274" s="31" t="s">
        <v>22403</v>
      </c>
      <c r="AI274" s="31" t="n">
        <v>57</v>
      </c>
      <c r="AJ274" s="31" t="n">
        <v>1</v>
      </c>
      <c r="AK274" s="31" t="n">
        <v>10</v>
      </c>
      <c r="AL274" s="31" t="s">
        <v>16821</v>
      </c>
      <c r="AM274" s="31" t="s">
        <v>17244</v>
      </c>
      <c r="AN274" s="31" t="s">
        <v>17245</v>
      </c>
      <c r="AO274" s="31" t="s">
        <v>17246</v>
      </c>
      <c r="AP274" s="31" t="s">
        <v>17247</v>
      </c>
      <c r="AQ274" s="31" t="s">
        <v>458</v>
      </c>
      <c r="AR274" s="31" t="s">
        <v>16801</v>
      </c>
      <c r="AS274" s="31" t="n">
        <v>14223</v>
      </c>
      <c r="AT274" s="31" t="n">
        <v>14238</v>
      </c>
      <c r="AU274" s="31"/>
      <c r="AV274" s="31" t="s">
        <v>22404</v>
      </c>
      <c r="AW274" s="35" t="str">
        <f aca="false">HYPERLINK("http://dx.doi.org/10.1007/s00521-021-06604-4","http://dx.doi.org/10.1007/s00521-021-06604-4")</f>
        <v>http://dx.doi.org/10.1007/s00521-021-06604-4</v>
      </c>
      <c r="AX274" s="31" t="s">
        <v>22405</v>
      </c>
      <c r="AY274" s="31" t="n">
        <v>16</v>
      </c>
      <c r="AZ274" s="31" t="s">
        <v>16365</v>
      </c>
      <c r="BA274" s="31" t="s">
        <v>16366</v>
      </c>
      <c r="BB274" s="31" t="s">
        <v>16367</v>
      </c>
      <c r="BC274" s="31" t="s">
        <v>22406</v>
      </c>
      <c r="BD274" s="31"/>
      <c r="BE274" s="31"/>
      <c r="BF274" s="31" t="s">
        <v>16369</v>
      </c>
      <c r="BG274" s="31" t="s">
        <v>22407</v>
      </c>
      <c r="BH274" s="31" t="str">
        <f aca="false">HYPERLINK("https%3A%2F%2Fwww.webofscience.com%2Fwos%2Fwoscc%2Ffull-record%2FWOS:000712747600002","View Full Record in Web of Science")</f>
        <v>View Full Record in Web of Science</v>
      </c>
      <c r="BI274" s="31"/>
      <c r="BJ274" s="31"/>
      <c r="BK274" s="31"/>
      <c r="BL274" s="31"/>
      <c r="BM274" s="31"/>
      <c r="BN274" s="31"/>
      <c r="BO274" s="31"/>
      <c r="BP274" s="31"/>
      <c r="BQ274" s="31"/>
      <c r="BR274" s="31"/>
      <c r="BS274" s="31" t="s">
        <v>16622</v>
      </c>
      <c r="BT274" s="31"/>
      <c r="BU274" s="31"/>
      <c r="BV274" s="31"/>
      <c r="BW274" s="31"/>
      <c r="BX274" s="31"/>
      <c r="BY274" s="31"/>
      <c r="BZ274" s="31"/>
      <c r="CA274" s="31"/>
      <c r="CB274" s="31"/>
      <c r="CC274" s="31"/>
      <c r="CD274" s="31"/>
      <c r="CE274" s="31"/>
      <c r="CF274" s="31"/>
    </row>
    <row r="275" customFormat="false" ht="15.75" hidden="false" customHeight="true" outlineLevel="0" collapsed="false">
      <c r="A275" s="31" t="s">
        <v>16335</v>
      </c>
      <c r="B275" s="31" t="s">
        <v>22408</v>
      </c>
      <c r="C275" s="31" t="s">
        <v>22409</v>
      </c>
      <c r="D275" s="34" t="s">
        <v>22410</v>
      </c>
      <c r="E275" s="31" t="n">
        <v>2022</v>
      </c>
      <c r="F275" s="33" t="s">
        <v>22411</v>
      </c>
      <c r="G275" s="33" t="s">
        <v>134</v>
      </c>
      <c r="H275" s="32" t="s">
        <v>60</v>
      </c>
      <c r="I275" s="32" t="s">
        <v>60</v>
      </c>
      <c r="J275" s="32" t="s">
        <v>22178</v>
      </c>
      <c r="K275" s="32" t="s">
        <v>22030</v>
      </c>
      <c r="L275" s="32" t="s">
        <v>3754</v>
      </c>
      <c r="M275" s="32" t="s">
        <v>22412</v>
      </c>
      <c r="N275" s="34"/>
      <c r="O275" s="34"/>
      <c r="P275" s="34" t="n">
        <v>24</v>
      </c>
      <c r="Q275" s="31" t="n">
        <v>24</v>
      </c>
      <c r="R275" s="31" t="s">
        <v>61</v>
      </c>
      <c r="S275" s="31" t="s">
        <v>62</v>
      </c>
      <c r="T275" s="31" t="s">
        <v>17972</v>
      </c>
      <c r="U275" s="31" t="n">
        <v>22</v>
      </c>
      <c r="V275" s="31" t="s">
        <v>17599</v>
      </c>
      <c r="W275" s="31" t="n">
        <v>1</v>
      </c>
      <c r="X275" s="31" t="s">
        <v>22413</v>
      </c>
      <c r="Y275" s="31" t="s">
        <v>22414</v>
      </c>
      <c r="Z275" s="31" t="s">
        <v>22415</v>
      </c>
      <c r="AA275" s="31" t="s">
        <v>22416</v>
      </c>
      <c r="AB275" s="31" t="s">
        <v>22417</v>
      </c>
      <c r="AC275" s="31" t="s">
        <v>22418</v>
      </c>
      <c r="AD275" s="31" t="s">
        <v>22419</v>
      </c>
      <c r="AE275" s="31" t="s">
        <v>22420</v>
      </c>
      <c r="AF275" s="31"/>
      <c r="AG275" s="31"/>
      <c r="AH275" s="31"/>
      <c r="AI275" s="31" t="n">
        <v>33</v>
      </c>
      <c r="AJ275" s="31" t="n">
        <v>0</v>
      </c>
      <c r="AK275" s="31" t="n">
        <v>10</v>
      </c>
      <c r="AL275" s="31" t="s">
        <v>16821</v>
      </c>
      <c r="AM275" s="31" t="s">
        <v>17609</v>
      </c>
      <c r="AN275" s="31"/>
      <c r="AO275" s="31" t="s">
        <v>17984</v>
      </c>
      <c r="AP275" s="31" t="s">
        <v>17985</v>
      </c>
      <c r="AQ275" s="31" t="s">
        <v>2104</v>
      </c>
      <c r="AR275" s="31" t="s">
        <v>22421</v>
      </c>
      <c r="AS275" s="31"/>
      <c r="AT275" s="31"/>
      <c r="AU275" s="31" t="n">
        <v>48</v>
      </c>
      <c r="AV275" s="31" t="s">
        <v>22422</v>
      </c>
      <c r="AW275" s="35" t="str">
        <f aca="false">HYPERLINK("http://dx.doi.org/10.1186/s12879-022-07029-7","http://dx.doi.org/10.1186/s12879-022-07029-7")</f>
        <v>http://dx.doi.org/10.1186/s12879-022-07029-7</v>
      </c>
      <c r="AX275" s="31"/>
      <c r="AY275" s="31" t="n">
        <v>6</v>
      </c>
      <c r="AZ275" s="31" t="s">
        <v>8184</v>
      </c>
      <c r="BA275" s="31" t="s">
        <v>16366</v>
      </c>
      <c r="BB275" s="31" t="s">
        <v>8184</v>
      </c>
      <c r="BC275" s="31" t="s">
        <v>22423</v>
      </c>
      <c r="BD275" s="31" t="n">
        <v>35022031</v>
      </c>
      <c r="BE275" s="31" t="s">
        <v>21499</v>
      </c>
      <c r="BF275" s="31" t="s">
        <v>16369</v>
      </c>
      <c r="BG275" s="31" t="s">
        <v>22424</v>
      </c>
      <c r="BH275" s="31" t="str">
        <f aca="false">HYPERLINK("https%3A%2F%2Fwww.webofscience.com%2Fwos%2Fwoscc%2Ffull-record%2FWOS:000741999800002","View Full Record in Web of Science")</f>
        <v>View Full Record in Web of Science</v>
      </c>
      <c r="BI275" s="31"/>
      <c r="BJ275" s="31"/>
      <c r="BK275" s="31"/>
      <c r="BL275" s="31"/>
      <c r="BM275" s="31"/>
      <c r="BN275" s="31"/>
      <c r="BO275" s="31"/>
      <c r="BP275" s="31"/>
      <c r="BQ275" s="31"/>
      <c r="BR275" s="31"/>
      <c r="BS275" s="31"/>
      <c r="BT275" s="31"/>
      <c r="BU275" s="31"/>
      <c r="BV275" s="31"/>
      <c r="BW275" s="31"/>
      <c r="BX275" s="31"/>
      <c r="BY275" s="31"/>
      <c r="BZ275" s="31"/>
      <c r="CA275" s="31"/>
      <c r="CB275" s="31"/>
      <c r="CC275" s="31"/>
      <c r="CD275" s="31"/>
      <c r="CE275" s="31"/>
      <c r="CF275" s="31"/>
    </row>
    <row r="276" customFormat="false" ht="15.75" hidden="false" customHeight="true" outlineLevel="0" collapsed="false">
      <c r="A276" s="31" t="s">
        <v>16335</v>
      </c>
      <c r="B276" s="31" t="s">
        <v>22425</v>
      </c>
      <c r="C276" s="31" t="s">
        <v>22426</v>
      </c>
      <c r="D276" s="34" t="s">
        <v>22427</v>
      </c>
      <c r="E276" s="31" t="n">
        <v>2022</v>
      </c>
      <c r="F276" s="33" t="s">
        <v>22428</v>
      </c>
      <c r="G276" s="33" t="s">
        <v>134</v>
      </c>
      <c r="H276" s="32" t="s">
        <v>4101</v>
      </c>
      <c r="I276" s="32" t="s">
        <v>4101</v>
      </c>
      <c r="J276" s="32" t="s">
        <v>21109</v>
      </c>
      <c r="K276" s="32" t="s">
        <v>16409</v>
      </c>
      <c r="L276" s="34"/>
      <c r="M276" s="32" t="s">
        <v>22429</v>
      </c>
      <c r="N276" s="32" t="s">
        <v>22430</v>
      </c>
      <c r="O276" s="34"/>
      <c r="P276" s="34" t="n">
        <v>6</v>
      </c>
      <c r="Q276" s="31" t="n">
        <v>6</v>
      </c>
      <c r="R276" s="31" t="s">
        <v>61</v>
      </c>
      <c r="S276" s="31" t="s">
        <v>62</v>
      </c>
      <c r="T276" s="31" t="s">
        <v>18414</v>
      </c>
      <c r="U276" s="31" t="n">
        <v>78</v>
      </c>
      <c r="V276" s="31" t="s">
        <v>18415</v>
      </c>
      <c r="W276" s="31"/>
      <c r="X276" s="31" t="s">
        <v>22431</v>
      </c>
      <c r="Y276" s="31"/>
      <c r="Z276" s="31" t="s">
        <v>22432</v>
      </c>
      <c r="AA276" s="31" t="s">
        <v>22433</v>
      </c>
      <c r="AB276" s="31" t="s">
        <v>22434</v>
      </c>
      <c r="AC276" s="31" t="s">
        <v>22435</v>
      </c>
      <c r="AD276" s="31" t="s">
        <v>22436</v>
      </c>
      <c r="AE276" s="31" t="s">
        <v>22437</v>
      </c>
      <c r="AF276" s="31"/>
      <c r="AG276" s="31"/>
      <c r="AH276" s="31"/>
      <c r="AI276" s="31" t="n">
        <v>29</v>
      </c>
      <c r="AJ276" s="31" t="n">
        <v>1</v>
      </c>
      <c r="AK276" s="31" t="n">
        <v>6</v>
      </c>
      <c r="AL276" s="31" t="s">
        <v>16575</v>
      </c>
      <c r="AM276" s="31" t="s">
        <v>22438</v>
      </c>
      <c r="AN276" s="31" t="s">
        <v>18423</v>
      </c>
      <c r="AO276" s="31" t="s">
        <v>18424</v>
      </c>
      <c r="AP276" s="31" t="s">
        <v>18425</v>
      </c>
      <c r="AQ276" s="31" t="s">
        <v>7616</v>
      </c>
      <c r="AR276" s="31" t="s">
        <v>16801</v>
      </c>
      <c r="AS276" s="31"/>
      <c r="AT276" s="31"/>
      <c r="AU276" s="31" t="n">
        <v>103931</v>
      </c>
      <c r="AV276" s="31" t="s">
        <v>22439</v>
      </c>
      <c r="AW276" s="35" t="str">
        <f aca="false">HYPERLINK("http://dx.doi.org/10.1016/j.bspc.2022.103931","http://dx.doi.org/10.1016/j.bspc.2022.103931")</f>
        <v>http://dx.doi.org/10.1016/j.bspc.2022.103931</v>
      </c>
      <c r="AX276" s="31" t="s">
        <v>17113</v>
      </c>
      <c r="AY276" s="31" t="n">
        <v>15</v>
      </c>
      <c r="AZ276" s="31" t="s">
        <v>18428</v>
      </c>
      <c r="BA276" s="31" t="s">
        <v>16366</v>
      </c>
      <c r="BB276" s="31" t="s">
        <v>18429</v>
      </c>
      <c r="BC276" s="31" t="s">
        <v>22440</v>
      </c>
      <c r="BD276" s="31"/>
      <c r="BE276" s="31"/>
      <c r="BF276" s="31" t="s">
        <v>16369</v>
      </c>
      <c r="BG276" s="31" t="s">
        <v>22441</v>
      </c>
      <c r="BH276" s="31" t="str">
        <f aca="false">HYPERLINK("https%3A%2F%2Fwww.webofscience.com%2Fwos%2Fwoscc%2Ffull-record%2FWOS:000827248900001","View Full Record in Web of Science")</f>
        <v>View Full Record in Web of Science</v>
      </c>
      <c r="BI276" s="31"/>
      <c r="BJ276" s="31"/>
      <c r="BK276" s="31"/>
      <c r="BL276" s="31"/>
      <c r="BM276" s="31"/>
      <c r="BN276" s="31"/>
      <c r="BO276" s="31"/>
      <c r="BP276" s="31"/>
      <c r="BQ276" s="31"/>
      <c r="BR276" s="31"/>
      <c r="BS276" s="31"/>
      <c r="BT276" s="31"/>
      <c r="BU276" s="31"/>
      <c r="BV276" s="31"/>
      <c r="BW276" s="31"/>
      <c r="BX276" s="31"/>
      <c r="BY276" s="31"/>
      <c r="BZ276" s="31"/>
      <c r="CA276" s="31"/>
      <c r="CB276" s="31"/>
      <c r="CC276" s="31"/>
      <c r="CD276" s="31"/>
      <c r="CE276" s="31"/>
      <c r="CF276" s="31"/>
    </row>
    <row r="277" customFormat="false" ht="15.75" hidden="false" customHeight="true" outlineLevel="0" collapsed="false">
      <c r="A277" s="31" t="s">
        <v>16335</v>
      </c>
      <c r="B277" s="31" t="s">
        <v>22442</v>
      </c>
      <c r="C277" s="31" t="s">
        <v>22443</v>
      </c>
      <c r="D277" s="34" t="s">
        <v>22444</v>
      </c>
      <c r="E277" s="31" t="n">
        <v>2022</v>
      </c>
      <c r="F277" s="33" t="s">
        <v>22445</v>
      </c>
      <c r="G277" s="33" t="s">
        <v>134</v>
      </c>
      <c r="H277" s="32" t="s">
        <v>22446</v>
      </c>
      <c r="I277" s="34"/>
      <c r="J277" s="32" t="s">
        <v>22178</v>
      </c>
      <c r="K277" s="32" t="s">
        <v>16409</v>
      </c>
      <c r="L277" s="34"/>
      <c r="M277" s="32" t="s">
        <v>22447</v>
      </c>
      <c r="N277" s="32"/>
      <c r="O277" s="34"/>
      <c r="P277" s="34" t="n">
        <v>12</v>
      </c>
      <c r="Q277" s="31" t="n">
        <v>12</v>
      </c>
      <c r="R277" s="31" t="s">
        <v>61</v>
      </c>
      <c r="S277" s="31" t="s">
        <v>62</v>
      </c>
      <c r="T277" s="31" t="s">
        <v>22224</v>
      </c>
      <c r="U277" s="31" t="n">
        <v>72</v>
      </c>
      <c r="V277" s="31" t="s">
        <v>22225</v>
      </c>
      <c r="W277" s="31" t="n">
        <v>3</v>
      </c>
      <c r="X277" s="31" t="s">
        <v>22448</v>
      </c>
      <c r="Y277" s="31"/>
      <c r="Z277" s="31" t="s">
        <v>22449</v>
      </c>
      <c r="AA277" s="31" t="s">
        <v>22450</v>
      </c>
      <c r="AB277" s="31" t="s">
        <v>22451</v>
      </c>
      <c r="AC277" s="31" t="s">
        <v>22452</v>
      </c>
      <c r="AD277" s="31" t="s">
        <v>22453</v>
      </c>
      <c r="AE277" s="31" t="s">
        <v>22454</v>
      </c>
      <c r="AF277" s="31"/>
      <c r="AG277" s="31"/>
      <c r="AH277" s="31"/>
      <c r="AI277" s="31" t="n">
        <v>32</v>
      </c>
      <c r="AJ277" s="31" t="n">
        <v>0</v>
      </c>
      <c r="AK277" s="31" t="n">
        <v>3</v>
      </c>
      <c r="AL277" s="31" t="s">
        <v>22233</v>
      </c>
      <c r="AM277" s="31" t="s">
        <v>22234</v>
      </c>
      <c r="AN277" s="31" t="s">
        <v>22235</v>
      </c>
      <c r="AO277" s="31" t="s">
        <v>22236</v>
      </c>
      <c r="AP277" s="31" t="s">
        <v>22237</v>
      </c>
      <c r="AQ277" s="31" t="s">
        <v>22238</v>
      </c>
      <c r="AR277" s="31"/>
      <c r="AS277" s="31" t="n">
        <v>5889</v>
      </c>
      <c r="AT277" s="31" t="n">
        <v>5907</v>
      </c>
      <c r="AU277" s="31"/>
      <c r="AV277" s="31" t="s">
        <v>22455</v>
      </c>
      <c r="AW277" s="35" t="str">
        <f aca="false">HYPERLINK("http://dx.doi.org/10.32604/cmc.2022.025629","http://dx.doi.org/10.32604/cmc.2022.025629")</f>
        <v>http://dx.doi.org/10.32604/cmc.2022.025629</v>
      </c>
      <c r="AX277" s="31"/>
      <c r="AY277" s="31" t="n">
        <v>19</v>
      </c>
      <c r="AZ277" s="31" t="s">
        <v>22240</v>
      </c>
      <c r="BA277" s="31" t="s">
        <v>16366</v>
      </c>
      <c r="BB277" s="31" t="s">
        <v>22241</v>
      </c>
      <c r="BC277" s="31" t="s">
        <v>22456</v>
      </c>
      <c r="BD277" s="31"/>
      <c r="BE277" s="31" t="s">
        <v>16431</v>
      </c>
      <c r="BF277" s="31" t="s">
        <v>16369</v>
      </c>
      <c r="BG277" s="31" t="s">
        <v>22457</v>
      </c>
      <c r="BH277" s="31" t="str">
        <f aca="false">HYPERLINK("https%3A%2F%2Fwww.webofscience.com%2Fwos%2Fwoscc%2Ffull-record%2FWOS:000819835200021","View Full Record in Web of Science")</f>
        <v>View Full Record in Web of Science</v>
      </c>
      <c r="BI277" s="31"/>
      <c r="BJ277" s="31"/>
      <c r="BK277" s="31"/>
      <c r="BL277" s="31"/>
      <c r="BM277" s="31"/>
      <c r="BN277" s="31"/>
      <c r="BO277" s="31"/>
      <c r="BP277" s="31"/>
      <c r="BQ277" s="31"/>
      <c r="BR277" s="31"/>
      <c r="BS277" s="31"/>
      <c r="BT277" s="31"/>
      <c r="BU277" s="31"/>
      <c r="BV277" s="31"/>
      <c r="BW277" s="31"/>
      <c r="BX277" s="31"/>
      <c r="BY277" s="31"/>
      <c r="BZ277" s="31"/>
      <c r="CA277" s="31"/>
      <c r="CB277" s="31"/>
      <c r="CC277" s="31"/>
      <c r="CD277" s="31"/>
      <c r="CE277" s="31"/>
      <c r="CF277" s="31"/>
    </row>
    <row r="278" customFormat="false" ht="15.75" hidden="false" customHeight="true" outlineLevel="0" collapsed="false">
      <c r="A278" s="31" t="s">
        <v>16335</v>
      </c>
      <c r="B278" s="31" t="s">
        <v>22458</v>
      </c>
      <c r="C278" s="31" t="s">
        <v>22459</v>
      </c>
      <c r="D278" s="34" t="s">
        <v>22460</v>
      </c>
      <c r="E278" s="31" t="n">
        <v>2022</v>
      </c>
      <c r="F278" s="33" t="s">
        <v>22461</v>
      </c>
      <c r="G278" s="33" t="s">
        <v>134</v>
      </c>
      <c r="H278" s="32" t="s">
        <v>22462</v>
      </c>
      <c r="I278" s="32" t="s">
        <v>17036</v>
      </c>
      <c r="J278" s="32" t="s">
        <v>22463</v>
      </c>
      <c r="K278" s="32" t="s">
        <v>16753</v>
      </c>
      <c r="L278" s="32" t="s">
        <v>3754</v>
      </c>
      <c r="M278" s="32" t="s">
        <v>22464</v>
      </c>
      <c r="N278" s="32" t="s">
        <v>22465</v>
      </c>
      <c r="O278" s="34"/>
      <c r="P278" s="34" t="n">
        <v>12</v>
      </c>
      <c r="Q278" s="31" t="n">
        <v>12</v>
      </c>
      <c r="R278" s="31" t="s">
        <v>61</v>
      </c>
      <c r="S278" s="31" t="s">
        <v>62</v>
      </c>
      <c r="T278" s="31" t="s">
        <v>18629</v>
      </c>
      <c r="U278" s="31" t="n">
        <v>12</v>
      </c>
      <c r="V278" s="31" t="s">
        <v>4048</v>
      </c>
      <c r="W278" s="31" t="n">
        <v>12</v>
      </c>
      <c r="X278" s="31" t="s">
        <v>22466</v>
      </c>
      <c r="Y278" s="31" t="s">
        <v>22467</v>
      </c>
      <c r="Z278" s="31" t="s">
        <v>22468</v>
      </c>
      <c r="AA278" s="31" t="s">
        <v>22469</v>
      </c>
      <c r="AB278" s="31" t="s">
        <v>22470</v>
      </c>
      <c r="AC278" s="31" t="s">
        <v>22471</v>
      </c>
      <c r="AD278" s="31" t="s">
        <v>22472</v>
      </c>
      <c r="AE278" s="31" t="s">
        <v>22473</v>
      </c>
      <c r="AF278" s="31" t="s">
        <v>22474</v>
      </c>
      <c r="AG278" s="31" t="s">
        <v>17369</v>
      </c>
      <c r="AH278" s="31" t="s">
        <v>22475</v>
      </c>
      <c r="AI278" s="31" t="n">
        <v>70</v>
      </c>
      <c r="AJ278" s="31" t="n">
        <v>1</v>
      </c>
      <c r="AK278" s="31" t="n">
        <v>10</v>
      </c>
      <c r="AL278" s="31" t="s">
        <v>16769</v>
      </c>
      <c r="AM278" s="31" t="s">
        <v>16770</v>
      </c>
      <c r="AN278" s="31"/>
      <c r="AO278" s="31" t="s">
        <v>18636</v>
      </c>
      <c r="AP278" s="31" t="s">
        <v>18629</v>
      </c>
      <c r="AQ278" s="31" t="s">
        <v>849</v>
      </c>
      <c r="AR278" s="31" t="s">
        <v>16649</v>
      </c>
      <c r="AS278" s="31"/>
      <c r="AT278" s="31"/>
      <c r="AU278" s="31" t="n">
        <v>3138</v>
      </c>
      <c r="AV278" s="31" t="s">
        <v>22476</v>
      </c>
      <c r="AW278" s="35" t="str">
        <f aca="false">HYPERLINK("http://dx.doi.org/10.3390/diagnostics12123138","http://dx.doi.org/10.3390/diagnostics12123138")</f>
        <v>http://dx.doi.org/10.3390/diagnostics12123138</v>
      </c>
      <c r="AX278" s="31"/>
      <c r="AY278" s="31" t="n">
        <v>25</v>
      </c>
      <c r="AZ278" s="31" t="s">
        <v>16829</v>
      </c>
      <c r="BA278" s="31" t="s">
        <v>16366</v>
      </c>
      <c r="BB278" s="31" t="s">
        <v>16830</v>
      </c>
      <c r="BC278" s="31" t="s">
        <v>22477</v>
      </c>
      <c r="BD278" s="31" t="n">
        <v>36553145</v>
      </c>
      <c r="BE278" s="31" t="s">
        <v>16832</v>
      </c>
      <c r="BF278" s="31" t="s">
        <v>16369</v>
      </c>
      <c r="BG278" s="31" t="s">
        <v>22478</v>
      </c>
      <c r="BH278" s="31" t="str">
        <f aca="false">HYPERLINK("https%3A%2F%2Fwww.webofscience.com%2Fwos%2Fwoscc%2Ffull-record%2FWOS:000902255700001","View Full Record in Web of Science")</f>
        <v>View Full Record in Web of Science</v>
      </c>
      <c r="BI278" s="31"/>
      <c r="BJ278" s="31"/>
      <c r="BK278" s="31"/>
      <c r="BL278" s="31"/>
      <c r="BM278" s="31"/>
      <c r="BN278" s="31"/>
      <c r="BO278" s="31"/>
      <c r="BP278" s="31"/>
      <c r="BQ278" s="31"/>
      <c r="BR278" s="31"/>
      <c r="BS278" s="31"/>
      <c r="BT278" s="31"/>
      <c r="BU278" s="31"/>
      <c r="BV278" s="31"/>
      <c r="BW278" s="31"/>
      <c r="BX278" s="31"/>
      <c r="BY278" s="31"/>
      <c r="BZ278" s="31"/>
      <c r="CA278" s="31"/>
      <c r="CB278" s="31"/>
      <c r="CC278" s="31"/>
      <c r="CD278" s="31"/>
      <c r="CE278" s="31"/>
      <c r="CF278" s="31"/>
    </row>
    <row r="279" customFormat="false" ht="15.75" hidden="false" customHeight="true" outlineLevel="0" collapsed="false">
      <c r="A279" s="31" t="s">
        <v>16335</v>
      </c>
      <c r="B279" s="31" t="s">
        <v>22479</v>
      </c>
      <c r="C279" s="31" t="s">
        <v>22480</v>
      </c>
      <c r="D279" s="34" t="s">
        <v>22481</v>
      </c>
      <c r="E279" s="31" t="n">
        <v>2022</v>
      </c>
      <c r="F279" s="33" t="s">
        <v>22482</v>
      </c>
      <c r="G279" s="33" t="s">
        <v>134</v>
      </c>
      <c r="H279" s="32" t="s">
        <v>22483</v>
      </c>
      <c r="I279" s="32" t="s">
        <v>16341</v>
      </c>
      <c r="J279" s="32" t="s">
        <v>22178</v>
      </c>
      <c r="K279" s="32" t="s">
        <v>16409</v>
      </c>
      <c r="L279" s="32" t="s">
        <v>3754</v>
      </c>
      <c r="M279" s="32"/>
      <c r="N279" s="32" t="s">
        <v>22484</v>
      </c>
      <c r="O279" s="34"/>
      <c r="P279" s="34" t="n">
        <v>17</v>
      </c>
      <c r="Q279" s="31" t="n">
        <v>17</v>
      </c>
      <c r="R279" s="31" t="s">
        <v>61</v>
      </c>
      <c r="S279" s="31" t="s">
        <v>62</v>
      </c>
      <c r="T279" s="31" t="s">
        <v>20432</v>
      </c>
      <c r="U279" s="31" t="n">
        <v>224</v>
      </c>
      <c r="V279" s="31" t="s">
        <v>20433</v>
      </c>
      <c r="W279" s="31"/>
      <c r="X279" s="31" t="s">
        <v>22485</v>
      </c>
      <c r="Y279" s="31"/>
      <c r="Z279" s="31" t="s">
        <v>22486</v>
      </c>
      <c r="AA279" s="31" t="s">
        <v>22487</v>
      </c>
      <c r="AB279" s="31" t="s">
        <v>22488</v>
      </c>
      <c r="AC279" s="31" t="s">
        <v>22489</v>
      </c>
      <c r="AD279" s="31"/>
      <c r="AE279" s="31" t="s">
        <v>22490</v>
      </c>
      <c r="AF279" s="31"/>
      <c r="AG279" s="31"/>
      <c r="AH279" s="31"/>
      <c r="AI279" s="31" t="n">
        <v>48</v>
      </c>
      <c r="AJ279" s="31" t="n">
        <v>2</v>
      </c>
      <c r="AK279" s="31" t="n">
        <v>14</v>
      </c>
      <c r="AL279" s="31" t="s">
        <v>20441</v>
      </c>
      <c r="AM279" s="31" t="s">
        <v>20442</v>
      </c>
      <c r="AN279" s="31" t="s">
        <v>20443</v>
      </c>
      <c r="AO279" s="31" t="s">
        <v>20444</v>
      </c>
      <c r="AP279" s="31" t="s">
        <v>20445</v>
      </c>
      <c r="AQ279" s="31" t="s">
        <v>20446</v>
      </c>
      <c r="AR279" s="31" t="s">
        <v>16801</v>
      </c>
      <c r="AS279" s="31"/>
      <c r="AT279" s="31"/>
      <c r="AU279" s="31" t="n">
        <v>106996</v>
      </c>
      <c r="AV279" s="31" t="s">
        <v>22491</v>
      </c>
      <c r="AW279" s="35" t="str">
        <f aca="false">HYPERLINK("http://dx.doi.org/10.1016/j.cmpb.2022.106996","http://dx.doi.org/10.1016/j.cmpb.2022.106996")</f>
        <v>http://dx.doi.org/10.1016/j.cmpb.2022.106996</v>
      </c>
      <c r="AX279" s="31" t="s">
        <v>17113</v>
      </c>
      <c r="AY279" s="31" t="n">
        <v>13</v>
      </c>
      <c r="AZ279" s="31" t="s">
        <v>20448</v>
      </c>
      <c r="BA279" s="31" t="s">
        <v>16366</v>
      </c>
      <c r="BB279" s="31" t="s">
        <v>20216</v>
      </c>
      <c r="BC279" s="31" t="s">
        <v>22492</v>
      </c>
      <c r="BD279" s="31" t="n">
        <v>35843076</v>
      </c>
      <c r="BE279" s="31"/>
      <c r="BF279" s="31" t="s">
        <v>16369</v>
      </c>
      <c r="BG279" s="31" t="s">
        <v>22493</v>
      </c>
      <c r="BH279" s="31" t="str">
        <f aca="false">HYPERLINK("https%3A%2F%2Fwww.webofscience.com%2Fwos%2Fwoscc%2Ffull-record%2FWOS:000839021700010","View Full Record in Web of Science")</f>
        <v>View Full Record in Web of Science</v>
      </c>
      <c r="BI279" s="31"/>
      <c r="BJ279" s="31"/>
      <c r="BK279" s="31"/>
      <c r="BL279" s="31"/>
      <c r="BM279" s="31"/>
      <c r="BN279" s="31"/>
      <c r="BO279" s="31"/>
      <c r="BP279" s="31"/>
      <c r="BQ279" s="31"/>
      <c r="BR279" s="31"/>
      <c r="BS279" s="31"/>
      <c r="BT279" s="31"/>
      <c r="BU279" s="31"/>
      <c r="BV279" s="31"/>
      <c r="BW279" s="31"/>
      <c r="BX279" s="31"/>
      <c r="BY279" s="31"/>
      <c r="BZ279" s="31"/>
      <c r="CA279" s="31"/>
      <c r="CB279" s="31"/>
      <c r="CC279" s="31"/>
      <c r="CD279" s="31"/>
      <c r="CE279" s="31"/>
      <c r="CF279" s="31"/>
    </row>
    <row r="280" customFormat="false" ht="15.75" hidden="false" customHeight="true" outlineLevel="0" collapsed="false">
      <c r="A280" s="31" t="s">
        <v>16335</v>
      </c>
      <c r="B280" s="31" t="s">
        <v>22494</v>
      </c>
      <c r="C280" s="31" t="s">
        <v>22495</v>
      </c>
      <c r="D280" s="34" t="s">
        <v>22496</v>
      </c>
      <c r="E280" s="31" t="n">
        <v>2022</v>
      </c>
      <c r="F280" s="33" t="s">
        <v>22497</v>
      </c>
      <c r="G280" s="33" t="s">
        <v>134</v>
      </c>
      <c r="H280" s="32" t="s">
        <v>16921</v>
      </c>
      <c r="I280" s="32" t="s">
        <v>4101</v>
      </c>
      <c r="J280" s="32" t="s">
        <v>22498</v>
      </c>
      <c r="K280" s="32" t="s">
        <v>21898</v>
      </c>
      <c r="L280" s="32" t="s">
        <v>3754</v>
      </c>
      <c r="M280" s="32" t="s">
        <v>20861</v>
      </c>
      <c r="N280" s="32" t="s">
        <v>22499</v>
      </c>
      <c r="O280" s="34"/>
      <c r="P280" s="34" t="n">
        <v>4</v>
      </c>
      <c r="Q280" s="31" t="n">
        <v>4</v>
      </c>
      <c r="R280" s="31" t="s">
        <v>61</v>
      </c>
      <c r="S280" s="31" t="s">
        <v>62</v>
      </c>
      <c r="T280" s="31" t="s">
        <v>22500</v>
      </c>
      <c r="U280" s="31" t="n">
        <v>9</v>
      </c>
      <c r="V280" s="31" t="s">
        <v>16531</v>
      </c>
      <c r="W280" s="31" t="n">
        <v>3</v>
      </c>
      <c r="X280" s="31" t="s">
        <v>22501</v>
      </c>
      <c r="Y280" s="31"/>
      <c r="Z280" s="31" t="s">
        <v>22502</v>
      </c>
      <c r="AA280" s="31" t="s">
        <v>22503</v>
      </c>
      <c r="AB280" s="31" t="s">
        <v>22504</v>
      </c>
      <c r="AC280" s="31" t="s">
        <v>22505</v>
      </c>
      <c r="AD280" s="31" t="s">
        <v>22506</v>
      </c>
      <c r="AE280" s="31" t="s">
        <v>22507</v>
      </c>
      <c r="AF280" s="31" t="s">
        <v>22508</v>
      </c>
      <c r="AG280" s="31" t="s">
        <v>22509</v>
      </c>
      <c r="AH280" s="31" t="s">
        <v>22510</v>
      </c>
      <c r="AI280" s="31" t="n">
        <v>38</v>
      </c>
      <c r="AJ280" s="31" t="n">
        <v>1</v>
      </c>
      <c r="AK280" s="31" t="n">
        <v>5</v>
      </c>
      <c r="AL280" s="31" t="s">
        <v>16539</v>
      </c>
      <c r="AM280" s="31" t="s">
        <v>16540</v>
      </c>
      <c r="AN280" s="31" t="s">
        <v>22511</v>
      </c>
      <c r="AO280" s="31"/>
      <c r="AP280" s="31" t="s">
        <v>22512</v>
      </c>
      <c r="AQ280" s="31" t="s">
        <v>22513</v>
      </c>
      <c r="AR280" s="31" t="s">
        <v>17248</v>
      </c>
      <c r="AS280" s="31"/>
      <c r="AT280" s="31"/>
      <c r="AU280" s="31"/>
      <c r="AV280" s="31" t="s">
        <v>22514</v>
      </c>
      <c r="AW280" s="35" t="str">
        <f aca="false">HYPERLINK("http://dx.doi.org/10.1093/ofid/ofac036","http://dx.doi.org/10.1093/ofid/ofac036")</f>
        <v>http://dx.doi.org/10.1093/ofid/ofac036</v>
      </c>
      <c r="AX280" s="31" t="s">
        <v>22515</v>
      </c>
      <c r="AY280" s="31" t="n">
        <v>9</v>
      </c>
      <c r="AZ280" s="31" t="s">
        <v>19522</v>
      </c>
      <c r="BA280" s="31" t="s">
        <v>16366</v>
      </c>
      <c r="BB280" s="31" t="s">
        <v>19522</v>
      </c>
      <c r="BC280" s="31" t="s">
        <v>22516</v>
      </c>
      <c r="BD280" s="31" t="n">
        <v>35169594</v>
      </c>
      <c r="BE280" s="31" t="s">
        <v>17143</v>
      </c>
      <c r="BF280" s="31" t="s">
        <v>16369</v>
      </c>
      <c r="BG280" s="31" t="s">
        <v>22517</v>
      </c>
      <c r="BH280" s="31" t="str">
        <f aca="false">HYPERLINK("https%3A%2F%2Fwww.webofscience.com%2Fwos%2Fwoscc%2Ffull-record%2FWOS:001130537600006","View Full Record in Web of Science")</f>
        <v>View Full Record in Web of Science</v>
      </c>
      <c r="BI280" s="31"/>
      <c r="BJ280" s="31"/>
      <c r="BK280" s="31"/>
      <c r="BL280" s="31"/>
      <c r="BM280" s="31"/>
      <c r="BN280" s="31"/>
      <c r="BO280" s="31"/>
      <c r="BP280" s="31"/>
      <c r="BQ280" s="31"/>
      <c r="BR280" s="31"/>
      <c r="BS280" s="31"/>
      <c r="BT280" s="31"/>
      <c r="BU280" s="31"/>
      <c r="BV280" s="31"/>
      <c r="BW280" s="31"/>
      <c r="BX280" s="31"/>
      <c r="BY280" s="31"/>
      <c r="BZ280" s="31"/>
      <c r="CA280" s="31"/>
      <c r="CB280" s="31"/>
      <c r="CC280" s="31"/>
      <c r="CD280" s="31"/>
      <c r="CE280" s="31"/>
      <c r="CF280" s="31"/>
    </row>
    <row r="281" customFormat="false" ht="15.75" hidden="false" customHeight="true" outlineLevel="0" collapsed="false">
      <c r="A281" s="31" t="s">
        <v>16335</v>
      </c>
      <c r="B281" s="31" t="s">
        <v>22518</v>
      </c>
      <c r="C281" s="31" t="s">
        <v>22519</v>
      </c>
      <c r="D281" s="34" t="s">
        <v>22520</v>
      </c>
      <c r="E281" s="31" t="n">
        <v>2022</v>
      </c>
      <c r="F281" s="33" t="s">
        <v>22521</v>
      </c>
      <c r="G281" s="33" t="s">
        <v>134</v>
      </c>
      <c r="H281" s="32" t="s">
        <v>22522</v>
      </c>
      <c r="I281" s="32" t="s">
        <v>22523</v>
      </c>
      <c r="J281" s="32" t="s">
        <v>22524</v>
      </c>
      <c r="K281" s="32" t="s">
        <v>22525</v>
      </c>
      <c r="L281" s="32" t="s">
        <v>3754</v>
      </c>
      <c r="M281" s="32" t="s">
        <v>22526</v>
      </c>
      <c r="N281" s="32" t="s">
        <v>22527</v>
      </c>
      <c r="O281" s="32" t="s">
        <v>22528</v>
      </c>
      <c r="P281" s="34" t="n">
        <v>12</v>
      </c>
      <c r="Q281" s="31" t="n">
        <v>11</v>
      </c>
      <c r="R281" s="31" t="s">
        <v>61</v>
      </c>
      <c r="S281" s="31" t="s">
        <v>62</v>
      </c>
      <c r="T281" s="31" t="s">
        <v>16844</v>
      </c>
      <c r="U281" s="31" t="n">
        <v>16</v>
      </c>
      <c r="V281" s="31" t="s">
        <v>16845</v>
      </c>
      <c r="W281" s="31" t="n">
        <v>8</v>
      </c>
      <c r="X281" s="31"/>
      <c r="Y281" s="31" t="s">
        <v>22529</v>
      </c>
      <c r="Z281" s="31" t="s">
        <v>22530</v>
      </c>
      <c r="AA281" s="31" t="s">
        <v>22531</v>
      </c>
      <c r="AB281" s="31" t="s">
        <v>22532</v>
      </c>
      <c r="AC281" s="31" t="s">
        <v>22533</v>
      </c>
      <c r="AD281" s="31" t="s">
        <v>22534</v>
      </c>
      <c r="AE281" s="31" t="s">
        <v>22535</v>
      </c>
      <c r="AF281" s="31" t="s">
        <v>22536</v>
      </c>
      <c r="AG281" s="31" t="s">
        <v>22537</v>
      </c>
      <c r="AH281" s="31" t="s">
        <v>22538</v>
      </c>
      <c r="AI281" s="31" t="n">
        <v>45</v>
      </c>
      <c r="AJ281" s="31" t="n">
        <v>2</v>
      </c>
      <c r="AK281" s="31" t="n">
        <v>9</v>
      </c>
      <c r="AL281" s="31" t="s">
        <v>16855</v>
      </c>
      <c r="AM281" s="31" t="s">
        <v>16856</v>
      </c>
      <c r="AN281" s="31" t="s">
        <v>16857</v>
      </c>
      <c r="AO281" s="31"/>
      <c r="AP281" s="31" t="s">
        <v>16858</v>
      </c>
      <c r="AQ281" s="31" t="s">
        <v>16859</v>
      </c>
      <c r="AR281" s="31" t="s">
        <v>17837</v>
      </c>
      <c r="AS281" s="31"/>
      <c r="AT281" s="31"/>
      <c r="AU281" s="31" t="s">
        <v>22539</v>
      </c>
      <c r="AV281" s="31" t="s">
        <v>22540</v>
      </c>
      <c r="AW281" s="35" t="str">
        <f aca="false">HYPERLINK("http://dx.doi.org/10.1371/journal.pntd.0010647","http://dx.doi.org/10.1371/journal.pntd.0010647")</f>
        <v>http://dx.doi.org/10.1371/journal.pntd.0010647</v>
      </c>
      <c r="AX281" s="31"/>
      <c r="AY281" s="31" t="n">
        <v>19</v>
      </c>
      <c r="AZ281" s="31" t="s">
        <v>16862</v>
      </c>
      <c r="BA281" s="31" t="s">
        <v>16366</v>
      </c>
      <c r="BB281" s="31" t="s">
        <v>16862</v>
      </c>
      <c r="BC281" s="31" t="s">
        <v>22541</v>
      </c>
      <c r="BD281" s="31" t="n">
        <v>35969634</v>
      </c>
      <c r="BE281" s="31" t="s">
        <v>17143</v>
      </c>
      <c r="BF281" s="31" t="s">
        <v>16369</v>
      </c>
      <c r="BG281" s="31" t="s">
        <v>22542</v>
      </c>
      <c r="BH281" s="31" t="str">
        <f aca="false">HYPERLINK("https%3A%2F%2Fwww.webofscience.com%2Fwos%2Fwoscc%2Ffull-record%2FWOS:000922516300025","View Full Record in Web of Science")</f>
        <v>View Full Record in Web of Science</v>
      </c>
      <c r="BI281" s="31"/>
      <c r="BJ281" s="31"/>
      <c r="BK281" s="31"/>
      <c r="BL281" s="31"/>
      <c r="BM281" s="31"/>
      <c r="BN281" s="31"/>
      <c r="BO281" s="31"/>
      <c r="BP281" s="31"/>
      <c r="BQ281" s="31"/>
      <c r="BR281" s="31"/>
      <c r="BS281" s="31"/>
      <c r="BT281" s="31"/>
      <c r="BU281" s="31"/>
      <c r="BV281" s="31"/>
      <c r="BW281" s="31"/>
      <c r="BX281" s="31"/>
      <c r="BY281" s="31"/>
      <c r="BZ281" s="31"/>
      <c r="CA281" s="31"/>
      <c r="CB281" s="31"/>
      <c r="CC281" s="31"/>
      <c r="CD281" s="31"/>
      <c r="CE281" s="31"/>
      <c r="CF281" s="31"/>
    </row>
    <row r="282" customFormat="false" ht="15.75" hidden="false" customHeight="true" outlineLevel="0" collapsed="false">
      <c r="A282" s="31" t="s">
        <v>16335</v>
      </c>
      <c r="B282" s="31" t="s">
        <v>22543</v>
      </c>
      <c r="C282" s="31" t="s">
        <v>22544</v>
      </c>
      <c r="D282" s="34" t="s">
        <v>22545</v>
      </c>
      <c r="E282" s="31" t="n">
        <v>2022</v>
      </c>
      <c r="F282" s="33" t="s">
        <v>22546</v>
      </c>
      <c r="G282" s="33" t="s">
        <v>134</v>
      </c>
      <c r="H282" s="32" t="s">
        <v>4728</v>
      </c>
      <c r="I282" s="32" t="s">
        <v>3715</v>
      </c>
      <c r="J282" s="32" t="s">
        <v>22547</v>
      </c>
      <c r="K282" s="32" t="s">
        <v>16409</v>
      </c>
      <c r="L282" s="32" t="s">
        <v>3754</v>
      </c>
      <c r="M282" s="32" t="s">
        <v>22548</v>
      </c>
      <c r="N282" s="32" t="s">
        <v>22549</v>
      </c>
      <c r="O282" s="34"/>
      <c r="P282" s="34" t="n">
        <v>18</v>
      </c>
      <c r="Q282" s="31" t="n">
        <v>19</v>
      </c>
      <c r="R282" s="31" t="s">
        <v>61</v>
      </c>
      <c r="S282" s="31" t="s">
        <v>62</v>
      </c>
      <c r="T282" s="31" t="s">
        <v>19364</v>
      </c>
      <c r="U282" s="31" t="n">
        <v>148</v>
      </c>
      <c r="V282" s="31" t="s">
        <v>18274</v>
      </c>
      <c r="W282" s="31"/>
      <c r="X282" s="31" t="s">
        <v>22550</v>
      </c>
      <c r="Y282" s="31" t="s">
        <v>22551</v>
      </c>
      <c r="Z282" s="31" t="s">
        <v>22552</v>
      </c>
      <c r="AA282" s="31" t="s">
        <v>22553</v>
      </c>
      <c r="AB282" s="31" t="s">
        <v>22554</v>
      </c>
      <c r="AC282" s="31" t="s">
        <v>22555</v>
      </c>
      <c r="AD282" s="31" t="s">
        <v>22556</v>
      </c>
      <c r="AE282" s="31" t="s">
        <v>22557</v>
      </c>
      <c r="AF282" s="31"/>
      <c r="AG282" s="31"/>
      <c r="AH282" s="31"/>
      <c r="AI282" s="31" t="n">
        <v>42</v>
      </c>
      <c r="AJ282" s="31" t="n">
        <v>1</v>
      </c>
      <c r="AK282" s="31" t="n">
        <v>12</v>
      </c>
      <c r="AL282" s="31" t="s">
        <v>16575</v>
      </c>
      <c r="AM282" s="31" t="s">
        <v>18284</v>
      </c>
      <c r="AN282" s="31" t="s">
        <v>19375</v>
      </c>
      <c r="AO282" s="31" t="s">
        <v>19376</v>
      </c>
      <c r="AP282" s="31" t="s">
        <v>19377</v>
      </c>
      <c r="AQ282" s="31" t="s">
        <v>74</v>
      </c>
      <c r="AR282" s="31" t="s">
        <v>16801</v>
      </c>
      <c r="AS282" s="31"/>
      <c r="AT282" s="31"/>
      <c r="AU282" s="31" t="n">
        <v>105635</v>
      </c>
      <c r="AV282" s="31" t="s">
        <v>22558</v>
      </c>
      <c r="AW282" s="35" t="str">
        <f aca="false">HYPERLINK("http://dx.doi.org/10.1016/j.compbiomed.2022.105635","http://dx.doi.org/10.1016/j.compbiomed.2022.105635")</f>
        <v>http://dx.doi.org/10.1016/j.compbiomed.2022.105635</v>
      </c>
      <c r="AX282" s="31" t="s">
        <v>21868</v>
      </c>
      <c r="AY282" s="31" t="n">
        <v>12</v>
      </c>
      <c r="AZ282" s="31" t="s">
        <v>19379</v>
      </c>
      <c r="BA282" s="31" t="s">
        <v>16366</v>
      </c>
      <c r="BB282" s="31" t="s">
        <v>19380</v>
      </c>
      <c r="BC282" s="31" t="s">
        <v>22559</v>
      </c>
      <c r="BD282" s="31" t="n">
        <v>35961802</v>
      </c>
      <c r="BE282" s="31"/>
      <c r="BF282" s="31" t="s">
        <v>16369</v>
      </c>
      <c r="BG282" s="31" t="s">
        <v>22560</v>
      </c>
      <c r="BH282" s="31" t="str">
        <f aca="false">HYPERLINK("https%3A%2F%2Fwww.webofscience.com%2Fwos%2Fwoscc%2Ffull-record%2FWOS:000850039100006","View Full Record in Web of Science")</f>
        <v>View Full Record in Web of Science</v>
      </c>
      <c r="BI282" s="31"/>
      <c r="BJ282" s="31"/>
      <c r="BK282" s="31"/>
      <c r="BL282" s="31"/>
      <c r="BM282" s="31"/>
      <c r="BN282" s="31"/>
      <c r="BO282" s="31"/>
      <c r="BP282" s="31"/>
      <c r="BQ282" s="31"/>
      <c r="BR282" s="31"/>
      <c r="BS282" s="31"/>
      <c r="BT282" s="31"/>
      <c r="BU282" s="31"/>
      <c r="BV282" s="31"/>
      <c r="BW282" s="31"/>
      <c r="BX282" s="31"/>
      <c r="BY282" s="31"/>
      <c r="BZ282" s="31"/>
      <c r="CA282" s="31"/>
      <c r="CB282" s="31"/>
      <c r="CC282" s="31"/>
      <c r="CD282" s="31"/>
      <c r="CE282" s="31"/>
      <c r="CF282" s="31"/>
    </row>
    <row r="283" customFormat="false" ht="15.75" hidden="false" customHeight="true" outlineLevel="0" collapsed="false">
      <c r="A283" s="31" t="s">
        <v>16335</v>
      </c>
      <c r="B283" s="31" t="s">
        <v>22561</v>
      </c>
      <c r="C283" s="31" t="s">
        <v>22562</v>
      </c>
      <c r="D283" s="34" t="s">
        <v>22563</v>
      </c>
      <c r="E283" s="31" t="n">
        <v>2022</v>
      </c>
      <c r="F283" s="33" t="s">
        <v>22564</v>
      </c>
      <c r="G283" s="33" t="s">
        <v>134</v>
      </c>
      <c r="H283" s="32" t="s">
        <v>22322</v>
      </c>
      <c r="I283" s="32" t="s">
        <v>22565</v>
      </c>
      <c r="J283" s="32" t="s">
        <v>22178</v>
      </c>
      <c r="K283" s="32" t="s">
        <v>16409</v>
      </c>
      <c r="L283" s="32" t="s">
        <v>3754</v>
      </c>
      <c r="M283" s="32" t="s">
        <v>16410</v>
      </c>
      <c r="N283" s="32" t="s">
        <v>22566</v>
      </c>
      <c r="O283" s="34"/>
      <c r="P283" s="34" t="n">
        <v>18</v>
      </c>
      <c r="Q283" s="31" t="n">
        <v>18</v>
      </c>
      <c r="R283" s="31" t="s">
        <v>61</v>
      </c>
      <c r="S283" s="31" t="s">
        <v>62</v>
      </c>
      <c r="T283" s="31" t="s">
        <v>21112</v>
      </c>
      <c r="U283" s="31" t="n">
        <v>8</v>
      </c>
      <c r="V283" s="31" t="s">
        <v>4048</v>
      </c>
      <c r="W283" s="31" t="n">
        <v>3</v>
      </c>
      <c r="X283" s="31" t="s">
        <v>22567</v>
      </c>
      <c r="Y283" s="31" t="s">
        <v>22568</v>
      </c>
      <c r="Z283" s="31" t="s">
        <v>22569</v>
      </c>
      <c r="AA283" s="31" t="s">
        <v>18544</v>
      </c>
      <c r="AB283" s="31" t="s">
        <v>22570</v>
      </c>
      <c r="AC283" s="31" t="s">
        <v>22571</v>
      </c>
      <c r="AD283" s="31" t="s">
        <v>18547</v>
      </c>
      <c r="AE283" s="31" t="s">
        <v>22572</v>
      </c>
      <c r="AF283" s="31"/>
      <c r="AG283" s="31"/>
      <c r="AH283" s="31"/>
      <c r="AI283" s="31" t="n">
        <v>45</v>
      </c>
      <c r="AJ283" s="31" t="n">
        <v>1</v>
      </c>
      <c r="AK283" s="31" t="n">
        <v>6</v>
      </c>
      <c r="AL283" s="31" t="s">
        <v>16769</v>
      </c>
      <c r="AM283" s="31" t="s">
        <v>16770</v>
      </c>
      <c r="AN283" s="31"/>
      <c r="AO283" s="31" t="s">
        <v>21120</v>
      </c>
      <c r="AP283" s="31" t="s">
        <v>21121</v>
      </c>
      <c r="AQ283" s="31" t="s">
        <v>21122</v>
      </c>
      <c r="AR283" s="31" t="s">
        <v>17248</v>
      </c>
      <c r="AS283" s="31"/>
      <c r="AT283" s="31"/>
      <c r="AU283" s="31" t="n">
        <v>66</v>
      </c>
      <c r="AV283" s="31" t="s">
        <v>22573</v>
      </c>
      <c r="AW283" s="35" t="str">
        <f aca="false">HYPERLINK("http://dx.doi.org/10.3390/jimaging8030066","http://dx.doi.org/10.3390/jimaging8030066")</f>
        <v>http://dx.doi.org/10.3390/jimaging8030066</v>
      </c>
      <c r="AX283" s="31"/>
      <c r="AY283" s="31" t="n">
        <v>12</v>
      </c>
      <c r="AZ283" s="31" t="s">
        <v>21124</v>
      </c>
      <c r="BA283" s="31" t="s">
        <v>16684</v>
      </c>
      <c r="BB283" s="31" t="s">
        <v>21124</v>
      </c>
      <c r="BC283" s="31" t="s">
        <v>22574</v>
      </c>
      <c r="BD283" s="31" t="n">
        <v>35324621</v>
      </c>
      <c r="BE283" s="31" t="s">
        <v>19320</v>
      </c>
      <c r="BF283" s="31" t="s">
        <v>16369</v>
      </c>
      <c r="BG283" s="31" t="s">
        <v>22575</v>
      </c>
      <c r="BH283" s="31" t="str">
        <f aca="false">HYPERLINK("https%3A%2F%2Fwww.webofscience.com%2Fwos%2Fwoscc%2Ffull-record%2FWOS:000775044300001","View Full Record in Web of Science")</f>
        <v>View Full Record in Web of Science</v>
      </c>
      <c r="BI283" s="31"/>
      <c r="BJ283" s="31"/>
      <c r="BK283" s="31"/>
      <c r="BL283" s="31"/>
      <c r="BM283" s="31"/>
      <c r="BN283" s="31"/>
      <c r="BO283" s="31"/>
      <c r="BP283" s="31"/>
      <c r="BQ283" s="31"/>
      <c r="BR283" s="31"/>
      <c r="BS283" s="31"/>
      <c r="BT283" s="31"/>
      <c r="BU283" s="31"/>
      <c r="BV283" s="31"/>
      <c r="BW283" s="31"/>
      <c r="BX283" s="31"/>
      <c r="BY283" s="31"/>
      <c r="BZ283" s="31"/>
      <c r="CA283" s="31"/>
      <c r="CB283" s="31"/>
      <c r="CC283" s="31"/>
      <c r="CD283" s="31"/>
      <c r="CE283" s="31"/>
      <c r="CF283" s="31"/>
    </row>
    <row r="284" customFormat="false" ht="15.75" hidden="false" customHeight="true" outlineLevel="0" collapsed="false">
      <c r="A284" s="31" t="s">
        <v>16335</v>
      </c>
      <c r="B284" s="31" t="s">
        <v>22576</v>
      </c>
      <c r="C284" s="31" t="s">
        <v>22577</v>
      </c>
      <c r="D284" s="34" t="s">
        <v>22578</v>
      </c>
      <c r="E284" s="31" t="n">
        <v>2022</v>
      </c>
      <c r="F284" s="33" t="s">
        <v>22579</v>
      </c>
      <c r="G284" s="33" t="s">
        <v>134</v>
      </c>
      <c r="H284" s="32" t="s">
        <v>3920</v>
      </c>
      <c r="I284" s="32" t="s">
        <v>3715</v>
      </c>
      <c r="J284" s="32" t="s">
        <v>21109</v>
      </c>
      <c r="K284" s="32" t="s">
        <v>16409</v>
      </c>
      <c r="L284" s="34"/>
      <c r="M284" s="34"/>
      <c r="N284" s="34"/>
      <c r="O284" s="34"/>
      <c r="P284" s="34" t="n">
        <v>7</v>
      </c>
      <c r="Q284" s="31" t="n">
        <v>7</v>
      </c>
      <c r="R284" s="31" t="s">
        <v>61</v>
      </c>
      <c r="S284" s="31" t="s">
        <v>62</v>
      </c>
      <c r="T284" s="31" t="s">
        <v>22580</v>
      </c>
      <c r="U284" s="31" t="n">
        <v>39</v>
      </c>
      <c r="V284" s="31" t="s">
        <v>16475</v>
      </c>
      <c r="W284" s="31" t="n">
        <v>4</v>
      </c>
      <c r="X284" s="31" t="s">
        <v>22581</v>
      </c>
      <c r="Y284" s="31" t="s">
        <v>22582</v>
      </c>
      <c r="Z284" s="31" t="s">
        <v>22583</v>
      </c>
      <c r="AA284" s="31" t="s">
        <v>22584</v>
      </c>
      <c r="AB284" s="31" t="s">
        <v>22585</v>
      </c>
      <c r="AC284" s="31" t="s">
        <v>22586</v>
      </c>
      <c r="AD284" s="31" t="s">
        <v>22587</v>
      </c>
      <c r="AE284" s="31" t="s">
        <v>22588</v>
      </c>
      <c r="AF284" s="31"/>
      <c r="AG284" s="31"/>
      <c r="AH284" s="31"/>
      <c r="AI284" s="31" t="n">
        <v>26</v>
      </c>
      <c r="AJ284" s="31" t="n">
        <v>0</v>
      </c>
      <c r="AK284" s="31" t="n">
        <v>6</v>
      </c>
      <c r="AL284" s="31" t="s">
        <v>16485</v>
      </c>
      <c r="AM284" s="31" t="s">
        <v>16486</v>
      </c>
      <c r="AN284" s="31" t="s">
        <v>22589</v>
      </c>
      <c r="AO284" s="31" t="s">
        <v>22590</v>
      </c>
      <c r="AP284" s="31" t="s">
        <v>22591</v>
      </c>
      <c r="AQ284" s="31" t="s">
        <v>22592</v>
      </c>
      <c r="AR284" s="31" t="s">
        <v>17056</v>
      </c>
      <c r="AS284" s="31"/>
      <c r="AT284" s="31"/>
      <c r="AU284" s="31" t="s">
        <v>22593</v>
      </c>
      <c r="AV284" s="31" t="s">
        <v>22594</v>
      </c>
      <c r="AW284" s="35" t="str">
        <f aca="false">HYPERLINK("http://dx.doi.org/10.1111/exsy.12906","http://dx.doi.org/10.1111/exsy.12906")</f>
        <v>http://dx.doi.org/10.1111/exsy.12906</v>
      </c>
      <c r="AX284" s="31" t="s">
        <v>17433</v>
      </c>
      <c r="AY284" s="31" t="n">
        <v>15</v>
      </c>
      <c r="AZ284" s="31" t="s">
        <v>22595</v>
      </c>
      <c r="BA284" s="31" t="s">
        <v>16366</v>
      </c>
      <c r="BB284" s="31" t="s">
        <v>16367</v>
      </c>
      <c r="BC284" s="31" t="s">
        <v>22596</v>
      </c>
      <c r="BD284" s="31"/>
      <c r="BE284" s="31"/>
      <c r="BF284" s="31" t="s">
        <v>16369</v>
      </c>
      <c r="BG284" s="31" t="s">
        <v>22597</v>
      </c>
      <c r="BH284" s="31" t="str">
        <f aca="false">HYPERLINK("https%3A%2F%2Fwww.webofscience.com%2Fwos%2Fwoscc%2Ffull-record%2FWOS:000728419500001","View Full Record in Web of Science")</f>
        <v>View Full Record in Web of Science</v>
      </c>
      <c r="BI284" s="31"/>
      <c r="BJ284" s="31"/>
      <c r="BK284" s="31"/>
      <c r="BL284" s="31"/>
      <c r="BM284" s="31"/>
      <c r="BN284" s="31"/>
      <c r="BO284" s="31"/>
      <c r="BP284" s="31"/>
      <c r="BQ284" s="31"/>
      <c r="BR284" s="31"/>
      <c r="BS284" s="31" t="s">
        <v>16622</v>
      </c>
      <c r="BT284" s="31"/>
      <c r="BU284" s="31"/>
      <c r="BV284" s="31"/>
      <c r="BW284" s="31"/>
      <c r="BX284" s="31"/>
      <c r="BY284" s="31"/>
      <c r="BZ284" s="31"/>
      <c r="CA284" s="31"/>
      <c r="CB284" s="31"/>
      <c r="CC284" s="31"/>
      <c r="CD284" s="31"/>
      <c r="CE284" s="31"/>
      <c r="CF284" s="31"/>
    </row>
    <row r="285" customFormat="false" ht="15.75" hidden="false" customHeight="true" outlineLevel="0" collapsed="false">
      <c r="A285" s="31" t="s">
        <v>16335</v>
      </c>
      <c r="B285" s="31" t="s">
        <v>22598</v>
      </c>
      <c r="C285" s="31" t="s">
        <v>22599</v>
      </c>
      <c r="D285" s="34" t="s">
        <v>22600</v>
      </c>
      <c r="E285" s="31" t="n">
        <v>2022</v>
      </c>
      <c r="F285" s="33" t="s">
        <v>22601</v>
      </c>
      <c r="G285" s="33" t="s">
        <v>134</v>
      </c>
      <c r="H285" s="32" t="s">
        <v>16751</v>
      </c>
      <c r="I285" s="32" t="s">
        <v>16721</v>
      </c>
      <c r="J285" s="32" t="s">
        <v>22178</v>
      </c>
      <c r="K285" s="32" t="s">
        <v>16409</v>
      </c>
      <c r="L285" s="32" t="s">
        <v>3754</v>
      </c>
      <c r="M285" s="32" t="s">
        <v>22602</v>
      </c>
      <c r="N285" s="32" t="s">
        <v>22603</v>
      </c>
      <c r="O285" s="34"/>
      <c r="P285" s="34" t="n">
        <v>17</v>
      </c>
      <c r="Q285" s="31" t="n">
        <v>17</v>
      </c>
      <c r="R285" s="31" t="s">
        <v>61</v>
      </c>
      <c r="S285" s="31" t="s">
        <v>62</v>
      </c>
      <c r="T285" s="31" t="s">
        <v>20765</v>
      </c>
      <c r="U285" s="31" t="n">
        <v>81</v>
      </c>
      <c r="V285" s="31" t="s">
        <v>16600</v>
      </c>
      <c r="W285" s="31" t="n">
        <v>19</v>
      </c>
      <c r="X285" s="31" t="s">
        <v>22604</v>
      </c>
      <c r="Y285" s="31" t="s">
        <v>22605</v>
      </c>
      <c r="Z285" s="31" t="s">
        <v>22606</v>
      </c>
      <c r="AA285" s="31" t="s">
        <v>22607</v>
      </c>
      <c r="AB285" s="31" t="s">
        <v>22608</v>
      </c>
      <c r="AC285" s="31" t="s">
        <v>22609</v>
      </c>
      <c r="AD285" s="31" t="s">
        <v>22610</v>
      </c>
      <c r="AE285" s="31" t="s">
        <v>22611</v>
      </c>
      <c r="AF285" s="31"/>
      <c r="AG285" s="31"/>
      <c r="AH285" s="31"/>
      <c r="AI285" s="31" t="n">
        <v>59</v>
      </c>
      <c r="AJ285" s="31" t="n">
        <v>0</v>
      </c>
      <c r="AK285" s="31" t="n">
        <v>13</v>
      </c>
      <c r="AL285" s="31" t="s">
        <v>16609</v>
      </c>
      <c r="AM285" s="31" t="s">
        <v>16610</v>
      </c>
      <c r="AN285" s="31" t="s">
        <v>20774</v>
      </c>
      <c r="AO285" s="31" t="s">
        <v>20775</v>
      </c>
      <c r="AP285" s="31" t="s">
        <v>20776</v>
      </c>
      <c r="AQ285" s="31" t="s">
        <v>20777</v>
      </c>
      <c r="AR285" s="31" t="s">
        <v>17837</v>
      </c>
      <c r="AS285" s="31" t="n">
        <v>28061</v>
      </c>
      <c r="AT285" s="31" t="n">
        <v>28078</v>
      </c>
      <c r="AU285" s="31"/>
      <c r="AV285" s="31" t="s">
        <v>22612</v>
      </c>
      <c r="AW285" s="35" t="str">
        <f aca="false">HYPERLINK("http://dx.doi.org/10.1007/s11042-022-12624-6","http://dx.doi.org/10.1007/s11042-022-12624-6")</f>
        <v>http://dx.doi.org/10.1007/s11042-022-12624-6</v>
      </c>
      <c r="AX285" s="31" t="s">
        <v>22613</v>
      </c>
      <c r="AY285" s="31" t="n">
        <v>18</v>
      </c>
      <c r="AZ285" s="31" t="s">
        <v>20780</v>
      </c>
      <c r="BA285" s="31" t="s">
        <v>16366</v>
      </c>
      <c r="BB285" s="31" t="s">
        <v>16973</v>
      </c>
      <c r="BC285" s="31" t="s">
        <v>22614</v>
      </c>
      <c r="BD285" s="31" t="n">
        <v>35368860</v>
      </c>
      <c r="BE285" s="31" t="s">
        <v>21679</v>
      </c>
      <c r="BF285" s="31" t="s">
        <v>16369</v>
      </c>
      <c r="BG285" s="31" t="s">
        <v>22615</v>
      </c>
      <c r="BH285" s="31" t="str">
        <f aca="false">HYPERLINK("https%3A%2F%2Fwww.webofscience.com%2Fwos%2Fwoscc%2Ffull-record%2FWOS:000774644100012","View Full Record in Web of Science")</f>
        <v>View Full Record in Web of Science</v>
      </c>
      <c r="BI285" s="31"/>
      <c r="BJ285" s="31"/>
      <c r="BK285" s="31"/>
      <c r="BL285" s="31"/>
      <c r="BM285" s="31"/>
      <c r="BN285" s="31"/>
      <c r="BO285" s="31"/>
      <c r="BP285" s="31"/>
      <c r="BQ285" s="31"/>
      <c r="BR285" s="31"/>
      <c r="BS285" s="31"/>
      <c r="BT285" s="31"/>
      <c r="BU285" s="31"/>
      <c r="BV285" s="31"/>
      <c r="BW285" s="31"/>
      <c r="BX285" s="31"/>
      <c r="BY285" s="31"/>
      <c r="BZ285" s="31"/>
      <c r="CA285" s="31"/>
      <c r="CB285" s="31"/>
      <c r="CC285" s="31"/>
      <c r="CD285" s="31"/>
      <c r="CE285" s="31"/>
      <c r="CF285" s="31"/>
    </row>
    <row r="286" customFormat="false" ht="15.75" hidden="false" customHeight="true" outlineLevel="0" collapsed="false">
      <c r="A286" s="31" t="s">
        <v>16335</v>
      </c>
      <c r="B286" s="31" t="s">
        <v>22616</v>
      </c>
      <c r="C286" s="31" t="s">
        <v>22617</v>
      </c>
      <c r="D286" s="34" t="s">
        <v>22618</v>
      </c>
      <c r="E286" s="31" t="n">
        <v>2022</v>
      </c>
      <c r="F286" s="33" t="s">
        <v>22619</v>
      </c>
      <c r="G286" s="33" t="s">
        <v>134</v>
      </c>
      <c r="H286" s="32" t="s">
        <v>3920</v>
      </c>
      <c r="I286" s="34"/>
      <c r="J286" s="34"/>
      <c r="K286" s="34"/>
      <c r="L286" s="34"/>
      <c r="M286" s="34"/>
      <c r="N286" s="34"/>
      <c r="O286" s="34"/>
      <c r="P286" s="34" t="n">
        <v>36</v>
      </c>
      <c r="Q286" s="31" t="n">
        <v>38</v>
      </c>
      <c r="R286" s="31" t="s">
        <v>61</v>
      </c>
      <c r="S286" s="31" t="s">
        <v>62</v>
      </c>
      <c r="T286" s="31" t="s">
        <v>22620</v>
      </c>
      <c r="U286" s="31" t="n">
        <v>69</v>
      </c>
      <c r="V286" s="31" t="s">
        <v>16349</v>
      </c>
      <c r="W286" s="31"/>
      <c r="X286" s="31" t="s">
        <v>22621</v>
      </c>
      <c r="Y286" s="31" t="s">
        <v>22622</v>
      </c>
      <c r="Z286" s="31" t="s">
        <v>22623</v>
      </c>
      <c r="AA286" s="31" t="s">
        <v>22624</v>
      </c>
      <c r="AB286" s="31" t="s">
        <v>22625</v>
      </c>
      <c r="AC286" s="31" t="s">
        <v>22626</v>
      </c>
      <c r="AD286" s="31" t="s">
        <v>22627</v>
      </c>
      <c r="AE286" s="31" t="s">
        <v>22628</v>
      </c>
      <c r="AF286" s="31"/>
      <c r="AG286" s="31"/>
      <c r="AH286" s="31"/>
      <c r="AI286" s="31" t="n">
        <v>54</v>
      </c>
      <c r="AJ286" s="31" t="n">
        <v>12</v>
      </c>
      <c r="AK286" s="31" t="n">
        <v>118</v>
      </c>
      <c r="AL286" s="31" t="s">
        <v>16356</v>
      </c>
      <c r="AM286" s="31" t="s">
        <v>16357</v>
      </c>
      <c r="AN286" s="31" t="s">
        <v>22629</v>
      </c>
      <c r="AO286" s="31"/>
      <c r="AP286" s="31" t="s">
        <v>22630</v>
      </c>
      <c r="AQ286" s="31" t="s">
        <v>22631</v>
      </c>
      <c r="AR286" s="31" t="s">
        <v>17772</v>
      </c>
      <c r="AS286" s="31"/>
      <c r="AT286" s="31"/>
      <c r="AU286" s="31" t="n">
        <v>101796</v>
      </c>
      <c r="AV286" s="31" t="s">
        <v>22632</v>
      </c>
      <c r="AW286" s="35" t="str">
        <f aca="false">HYPERLINK("http://dx.doi.org/10.1016/j.tele.2022.101796","http://dx.doi.org/10.1016/j.tele.2022.101796")</f>
        <v>http://dx.doi.org/10.1016/j.tele.2022.101796</v>
      </c>
      <c r="AX286" s="31" t="s">
        <v>22613</v>
      </c>
      <c r="AY286" s="31" t="n">
        <v>19</v>
      </c>
      <c r="AZ286" s="31" t="s">
        <v>22384</v>
      </c>
      <c r="BA286" s="31" t="s">
        <v>22385</v>
      </c>
      <c r="BB286" s="31" t="s">
        <v>22384</v>
      </c>
      <c r="BC286" s="31" t="s">
        <v>22633</v>
      </c>
      <c r="BD286" s="31" t="n">
        <v>35282387</v>
      </c>
      <c r="BE286" s="31" t="s">
        <v>18202</v>
      </c>
      <c r="BF286" s="31" t="s">
        <v>16369</v>
      </c>
      <c r="BG286" s="31" t="s">
        <v>22634</v>
      </c>
      <c r="BH286" s="31" t="str">
        <f aca="false">HYPERLINK("https%3A%2F%2Fwww.webofscience.com%2Fwos%2Fwoscc%2Ffull-record%2FWOS:000791241200002","View Full Record in Web of Science")</f>
        <v>View Full Record in Web of Science</v>
      </c>
      <c r="BI286" s="31"/>
      <c r="BJ286" s="31"/>
      <c r="BK286" s="31"/>
      <c r="BL286" s="31"/>
      <c r="BM286" s="31"/>
      <c r="BN286" s="31"/>
      <c r="BO286" s="31"/>
      <c r="BP286" s="31"/>
      <c r="BQ286" s="31"/>
      <c r="BR286" s="31"/>
      <c r="BS286" s="31"/>
      <c r="BT286" s="31"/>
      <c r="BU286" s="31"/>
      <c r="BV286" s="31"/>
      <c r="BW286" s="31"/>
      <c r="BX286" s="31"/>
      <c r="BY286" s="31"/>
      <c r="BZ286" s="31"/>
      <c r="CA286" s="31"/>
      <c r="CB286" s="31"/>
      <c r="CC286" s="31"/>
      <c r="CD286" s="31"/>
      <c r="CE286" s="31"/>
      <c r="CF286" s="31"/>
    </row>
    <row r="287" customFormat="false" ht="15.75" hidden="false" customHeight="true" outlineLevel="0" collapsed="false">
      <c r="A287" s="31" t="s">
        <v>16335</v>
      </c>
      <c r="B287" s="31" t="s">
        <v>22635</v>
      </c>
      <c r="C287" s="31" t="s">
        <v>22636</v>
      </c>
      <c r="D287" s="34" t="s">
        <v>22637</v>
      </c>
      <c r="E287" s="31" t="n">
        <v>2022</v>
      </c>
      <c r="F287" s="33" t="s">
        <v>22638</v>
      </c>
      <c r="G287" s="33" t="s">
        <v>134</v>
      </c>
      <c r="H287" s="32" t="s">
        <v>22639</v>
      </c>
      <c r="I287" s="32" t="s">
        <v>22640</v>
      </c>
      <c r="J287" s="34"/>
      <c r="K287" s="34"/>
      <c r="L287" s="34"/>
      <c r="M287" s="34"/>
      <c r="N287" s="34"/>
      <c r="O287" s="34"/>
      <c r="P287" s="34" t="n">
        <v>12</v>
      </c>
      <c r="Q287" s="31" t="n">
        <v>13</v>
      </c>
      <c r="R287" s="31" t="s">
        <v>61</v>
      </c>
      <c r="S287" s="31" t="s">
        <v>62</v>
      </c>
      <c r="T287" s="31" t="s">
        <v>22641</v>
      </c>
      <c r="U287" s="31" t="n">
        <v>59</v>
      </c>
      <c r="V287" s="31" t="s">
        <v>16531</v>
      </c>
      <c r="W287" s="31" t="n">
        <v>1</v>
      </c>
      <c r="X287" s="31" t="s">
        <v>22642</v>
      </c>
      <c r="Y287" s="31" t="s">
        <v>22643</v>
      </c>
      <c r="Z287" s="31" t="s">
        <v>22644</v>
      </c>
      <c r="AA287" s="31" t="s">
        <v>22645</v>
      </c>
      <c r="AB287" s="31" t="s">
        <v>22646</v>
      </c>
      <c r="AC287" s="31" t="s">
        <v>22647</v>
      </c>
      <c r="AD287" s="31" t="s">
        <v>22648</v>
      </c>
      <c r="AE287" s="31" t="s">
        <v>22649</v>
      </c>
      <c r="AF287" s="31"/>
      <c r="AG287" s="31"/>
      <c r="AH287" s="31"/>
      <c r="AI287" s="31" t="n">
        <v>41</v>
      </c>
      <c r="AJ287" s="31" t="n">
        <v>2</v>
      </c>
      <c r="AK287" s="31" t="n">
        <v>17</v>
      </c>
      <c r="AL287" s="31" t="s">
        <v>16539</v>
      </c>
      <c r="AM287" s="31" t="s">
        <v>16540</v>
      </c>
      <c r="AN287" s="31" t="s">
        <v>22650</v>
      </c>
      <c r="AO287" s="31" t="s">
        <v>22651</v>
      </c>
      <c r="AP287" s="31" t="s">
        <v>22652</v>
      </c>
      <c r="AQ287" s="31" t="s">
        <v>22653</v>
      </c>
      <c r="AR287" s="31" t="s">
        <v>14295</v>
      </c>
      <c r="AS287" s="31" t="n">
        <v>355</v>
      </c>
      <c r="AT287" s="31" t="n">
        <v>362</v>
      </c>
      <c r="AU287" s="31"/>
      <c r="AV287" s="31" t="s">
        <v>22654</v>
      </c>
      <c r="AW287" s="35" t="str">
        <f aca="false">HYPERLINK("http://dx.doi.org/10.1093/jme/tjab161","http://dx.doi.org/10.1093/jme/tjab161")</f>
        <v>http://dx.doi.org/10.1093/jme/tjab161</v>
      </c>
      <c r="AX287" s="31" t="s">
        <v>22655</v>
      </c>
      <c r="AY287" s="31" t="n">
        <v>8</v>
      </c>
      <c r="AZ287" s="31" t="s">
        <v>22656</v>
      </c>
      <c r="BA287" s="31" t="s">
        <v>16366</v>
      </c>
      <c r="BB287" s="31" t="s">
        <v>22656</v>
      </c>
      <c r="BC287" s="31" t="s">
        <v>22657</v>
      </c>
      <c r="BD287" s="31" t="n">
        <v>34546359</v>
      </c>
      <c r="BE287" s="31" t="s">
        <v>17463</v>
      </c>
      <c r="BF287" s="31" t="s">
        <v>16369</v>
      </c>
      <c r="BG287" s="31" t="s">
        <v>22658</v>
      </c>
      <c r="BH287" s="31" t="str">
        <f aca="false">HYPERLINK("https%3A%2F%2Fwww.webofscience.com%2Fwos%2Fwoscc%2Ffull-record%2FWOS:000745015200038","View Full Record in Web of Science")</f>
        <v>View Full Record in Web of Science</v>
      </c>
      <c r="BI287" s="31"/>
      <c r="BJ287" s="31"/>
      <c r="BK287" s="31"/>
      <c r="BL287" s="31"/>
      <c r="BM287" s="31"/>
      <c r="BN287" s="31"/>
      <c r="BO287" s="31"/>
      <c r="BP287" s="31"/>
      <c r="BQ287" s="31"/>
      <c r="BR287" s="31"/>
      <c r="BS287" s="31"/>
      <c r="BT287" s="31"/>
      <c r="BU287" s="31"/>
      <c r="BV287" s="31"/>
      <c r="BW287" s="31"/>
      <c r="BX287" s="31"/>
      <c r="BY287" s="31"/>
      <c r="BZ287" s="31"/>
      <c r="CA287" s="31"/>
      <c r="CB287" s="31"/>
      <c r="CC287" s="31"/>
      <c r="CD287" s="31"/>
      <c r="CE287" s="31"/>
      <c r="CF287" s="31"/>
    </row>
    <row r="288" customFormat="false" ht="15.75" hidden="false" customHeight="true" outlineLevel="0" collapsed="false">
      <c r="A288" s="31" t="s">
        <v>16335</v>
      </c>
      <c r="B288" s="31" t="s">
        <v>22659</v>
      </c>
      <c r="C288" s="31" t="s">
        <v>22660</v>
      </c>
      <c r="D288" s="34" t="s">
        <v>22661</v>
      </c>
      <c r="E288" s="31" t="n">
        <v>2022</v>
      </c>
      <c r="F288" s="33" t="s">
        <v>22662</v>
      </c>
      <c r="G288" s="33" t="s">
        <v>134</v>
      </c>
      <c r="H288" s="32" t="s">
        <v>17036</v>
      </c>
      <c r="I288" s="32" t="s">
        <v>17036</v>
      </c>
      <c r="J288" s="32" t="s">
        <v>22663</v>
      </c>
      <c r="K288" s="32" t="s">
        <v>16753</v>
      </c>
      <c r="L288" s="32" t="s">
        <v>3754</v>
      </c>
      <c r="M288" s="32" t="s">
        <v>22664</v>
      </c>
      <c r="N288" s="32" t="s">
        <v>22665</v>
      </c>
      <c r="O288" s="34"/>
      <c r="P288" s="34" t="n">
        <v>12</v>
      </c>
      <c r="Q288" s="31" t="n">
        <v>14</v>
      </c>
      <c r="R288" s="31" t="s">
        <v>61</v>
      </c>
      <c r="S288" s="31" t="s">
        <v>62</v>
      </c>
      <c r="T288" s="31" t="s">
        <v>20312</v>
      </c>
      <c r="U288" s="31" t="n">
        <v>121</v>
      </c>
      <c r="V288" s="31" t="s">
        <v>16600</v>
      </c>
      <c r="W288" s="31" t="n">
        <v>8</v>
      </c>
      <c r="X288" s="31" t="s">
        <v>22666</v>
      </c>
      <c r="Y288" s="31" t="s">
        <v>22667</v>
      </c>
      <c r="Z288" s="31" t="s">
        <v>22668</v>
      </c>
      <c r="AA288" s="31" t="s">
        <v>22669</v>
      </c>
      <c r="AB288" s="31" t="s">
        <v>22670</v>
      </c>
      <c r="AC288" s="31" t="s">
        <v>22671</v>
      </c>
      <c r="AD288" s="31" t="s">
        <v>22672</v>
      </c>
      <c r="AE288" s="31" t="s">
        <v>22673</v>
      </c>
      <c r="AF288" s="31" t="s">
        <v>22674</v>
      </c>
      <c r="AG288" s="31" t="s">
        <v>22675</v>
      </c>
      <c r="AH288" s="31" t="s">
        <v>22676</v>
      </c>
      <c r="AI288" s="31" t="n">
        <v>14</v>
      </c>
      <c r="AJ288" s="31" t="n">
        <v>0</v>
      </c>
      <c r="AK288" s="31" t="n">
        <v>7</v>
      </c>
      <c r="AL288" s="31" t="s">
        <v>16990</v>
      </c>
      <c r="AM288" s="31" t="s">
        <v>16991</v>
      </c>
      <c r="AN288" s="31" t="s">
        <v>20321</v>
      </c>
      <c r="AO288" s="31" t="s">
        <v>20322</v>
      </c>
      <c r="AP288" s="31" t="s">
        <v>20323</v>
      </c>
      <c r="AQ288" s="31" t="s">
        <v>20324</v>
      </c>
      <c r="AR288" s="31" t="s">
        <v>17837</v>
      </c>
      <c r="AS288" s="31" t="n">
        <v>2457</v>
      </c>
      <c r="AT288" s="31" t="n">
        <v>2460</v>
      </c>
      <c r="AU288" s="31"/>
      <c r="AV288" s="31" t="s">
        <v>22677</v>
      </c>
      <c r="AW288" s="35" t="str">
        <f aca="false">HYPERLINK("http://dx.doi.org/10.1007/s00436-022-07583-8","http://dx.doi.org/10.1007/s00436-022-07583-8")</f>
        <v>http://dx.doi.org/10.1007/s00436-022-07583-8</v>
      </c>
      <c r="AX288" s="31" t="s">
        <v>20854</v>
      </c>
      <c r="AY288" s="31" t="n">
        <v>4</v>
      </c>
      <c r="AZ288" s="31" t="s">
        <v>20326</v>
      </c>
      <c r="BA288" s="31" t="s">
        <v>16366</v>
      </c>
      <c r="BB288" s="31" t="s">
        <v>20326</v>
      </c>
      <c r="BC288" s="31" t="s">
        <v>22678</v>
      </c>
      <c r="BD288" s="31" t="n">
        <v>35767047</v>
      </c>
      <c r="BE288" s="31"/>
      <c r="BF288" s="31" t="s">
        <v>16369</v>
      </c>
      <c r="BG288" s="31" t="s">
        <v>22679</v>
      </c>
      <c r="BH288" s="31" t="str">
        <f aca="false">HYPERLINK("https%3A%2F%2Fwww.webofscience.com%2Fwos%2Fwoscc%2Ffull-record%2FWOS:000818587400001","View Full Record in Web of Science")</f>
        <v>View Full Record in Web of Science</v>
      </c>
      <c r="BI288" s="31"/>
      <c r="BJ288" s="31"/>
      <c r="BK288" s="31"/>
      <c r="BL288" s="31"/>
      <c r="BM288" s="31"/>
      <c r="BN288" s="31"/>
      <c r="BO288" s="31"/>
      <c r="BP288" s="31"/>
      <c r="BQ288" s="31"/>
      <c r="BR288" s="31"/>
      <c r="BS288" s="31"/>
      <c r="BT288" s="31"/>
      <c r="BU288" s="31"/>
      <c r="BV288" s="31"/>
      <c r="BW288" s="31"/>
      <c r="BX288" s="31"/>
      <c r="BY288" s="31"/>
      <c r="BZ288" s="31"/>
      <c r="CA288" s="31"/>
      <c r="CB288" s="31"/>
      <c r="CC288" s="31"/>
      <c r="CD288" s="31"/>
      <c r="CE288" s="31"/>
      <c r="CF288" s="31"/>
    </row>
    <row r="289" customFormat="false" ht="15.75" hidden="false" customHeight="true" outlineLevel="0" collapsed="false">
      <c r="A289" s="31" t="s">
        <v>16335</v>
      </c>
      <c r="B289" s="31" t="s">
        <v>22680</v>
      </c>
      <c r="C289" s="31" t="s">
        <v>22681</v>
      </c>
      <c r="D289" s="34" t="s">
        <v>22682</v>
      </c>
      <c r="E289" s="31" t="n">
        <v>2022</v>
      </c>
      <c r="F289" s="33" t="s">
        <v>22683</v>
      </c>
      <c r="G289" s="33" t="s">
        <v>134</v>
      </c>
      <c r="H289" s="32" t="s">
        <v>22684</v>
      </c>
      <c r="I289" s="32"/>
      <c r="J289" s="34"/>
      <c r="K289" s="32" t="s">
        <v>16409</v>
      </c>
      <c r="L289" s="32"/>
      <c r="M289" s="32"/>
      <c r="N289" s="32"/>
      <c r="O289" s="34"/>
      <c r="P289" s="34" t="n">
        <v>9</v>
      </c>
      <c r="Q289" s="31" t="n">
        <v>10</v>
      </c>
      <c r="R289" s="31" t="s">
        <v>61</v>
      </c>
      <c r="S289" s="31" t="s">
        <v>62</v>
      </c>
      <c r="T289" s="31" t="s">
        <v>22685</v>
      </c>
      <c r="U289" s="31" t="n">
        <v>40</v>
      </c>
      <c r="V289" s="31" t="s">
        <v>16349</v>
      </c>
      <c r="W289" s="31"/>
      <c r="X289" s="31" t="s">
        <v>22686</v>
      </c>
      <c r="Y289" s="31" t="s">
        <v>22687</v>
      </c>
      <c r="Z289" s="31" t="s">
        <v>22688</v>
      </c>
      <c r="AA289" s="31" t="s">
        <v>22689</v>
      </c>
      <c r="AB289" s="31" t="s">
        <v>22690</v>
      </c>
      <c r="AC289" s="31" t="s">
        <v>22691</v>
      </c>
      <c r="AD289" s="31" t="s">
        <v>22692</v>
      </c>
      <c r="AE289" s="31" t="s">
        <v>22693</v>
      </c>
      <c r="AF289" s="31"/>
      <c r="AG289" s="31"/>
      <c r="AH289" s="31"/>
      <c r="AI289" s="31" t="n">
        <v>218</v>
      </c>
      <c r="AJ289" s="31" t="n">
        <v>4</v>
      </c>
      <c r="AK289" s="31" t="n">
        <v>10</v>
      </c>
      <c r="AL289" s="31" t="s">
        <v>16356</v>
      </c>
      <c r="AM289" s="31" t="s">
        <v>16357</v>
      </c>
      <c r="AN289" s="31" t="s">
        <v>22694</v>
      </c>
      <c r="AO289" s="31" t="s">
        <v>22695</v>
      </c>
      <c r="AP289" s="31" t="s">
        <v>22696</v>
      </c>
      <c r="AQ289" s="31" t="s">
        <v>22697</v>
      </c>
      <c r="AR289" s="31" t="s">
        <v>16649</v>
      </c>
      <c r="AS289" s="31"/>
      <c r="AT289" s="31"/>
      <c r="AU289" s="31" t="n">
        <v>103198</v>
      </c>
      <c r="AV289" s="31" t="s">
        <v>22698</v>
      </c>
      <c r="AW289" s="35" t="str">
        <f aca="false">HYPERLINK("http://dx.doi.org/10.1016/j.pdpdt.2022.103198","http://dx.doi.org/10.1016/j.pdpdt.2022.103198")</f>
        <v>http://dx.doi.org/10.1016/j.pdpdt.2022.103198</v>
      </c>
      <c r="AX289" s="31" t="s">
        <v>22699</v>
      </c>
      <c r="AY289" s="31" t="n">
        <v>19</v>
      </c>
      <c r="AZ289" s="31" t="s">
        <v>22700</v>
      </c>
      <c r="BA289" s="31" t="s">
        <v>16366</v>
      </c>
      <c r="BB289" s="31" t="s">
        <v>22700</v>
      </c>
      <c r="BC289" s="31" t="s">
        <v>22701</v>
      </c>
      <c r="BD289" s="31" t="n">
        <v>36379305</v>
      </c>
      <c r="BE289" s="31"/>
      <c r="BF289" s="31" t="s">
        <v>16369</v>
      </c>
      <c r="BG289" s="31" t="s">
        <v>22702</v>
      </c>
      <c r="BH289" s="31" t="str">
        <f aca="false">HYPERLINK("https%3A%2F%2Fwww.webofscience.com%2Fwos%2Fwoscc%2Ffull-record%2FWOS:000938453500006","View Full Record in Web of Science")</f>
        <v>View Full Record in Web of Science</v>
      </c>
      <c r="BI289" s="31"/>
      <c r="BJ289" s="31"/>
      <c r="BK289" s="31"/>
      <c r="BL289" s="31"/>
      <c r="BM289" s="31"/>
      <c r="BN289" s="31"/>
      <c r="BO289" s="31"/>
      <c r="BP289" s="31"/>
      <c r="BQ289" s="31"/>
      <c r="BR289" s="31"/>
      <c r="BS289" s="31"/>
      <c r="BT289" s="31"/>
      <c r="BU289" s="31"/>
      <c r="BV289" s="31"/>
      <c r="BW289" s="31"/>
      <c r="BX289" s="31"/>
      <c r="BY289" s="31"/>
      <c r="BZ289" s="31"/>
      <c r="CA289" s="31"/>
      <c r="CB289" s="31"/>
      <c r="CC289" s="31"/>
      <c r="CD289" s="31"/>
      <c r="CE289" s="31"/>
      <c r="CF289" s="31"/>
    </row>
    <row r="290" customFormat="false" ht="15.75" hidden="false" customHeight="true" outlineLevel="0" collapsed="false">
      <c r="A290" s="31" t="s">
        <v>16335</v>
      </c>
      <c r="B290" s="31" t="s">
        <v>22703</v>
      </c>
      <c r="C290" s="31" t="s">
        <v>22704</v>
      </c>
      <c r="D290" s="34" t="s">
        <v>22705</v>
      </c>
      <c r="E290" s="31" t="n">
        <v>2022</v>
      </c>
      <c r="F290" s="33" t="s">
        <v>22706</v>
      </c>
      <c r="G290" s="33" t="s">
        <v>134</v>
      </c>
      <c r="H290" s="32" t="s">
        <v>22707</v>
      </c>
      <c r="I290" s="32" t="s">
        <v>16721</v>
      </c>
      <c r="J290" s="32" t="s">
        <v>22708</v>
      </c>
      <c r="K290" s="32" t="s">
        <v>21529</v>
      </c>
      <c r="L290" s="32" t="s">
        <v>3754</v>
      </c>
      <c r="M290" s="32" t="s">
        <v>22709</v>
      </c>
      <c r="N290" s="32" t="s">
        <v>22710</v>
      </c>
      <c r="O290" s="34"/>
      <c r="P290" s="34" t="n">
        <v>12</v>
      </c>
      <c r="Q290" s="31" t="n">
        <v>12</v>
      </c>
      <c r="R290" s="31" t="s">
        <v>61</v>
      </c>
      <c r="S290" s="31" t="s">
        <v>62</v>
      </c>
      <c r="T290" s="31" t="s">
        <v>22711</v>
      </c>
      <c r="U290" s="31" t="n">
        <v>29</v>
      </c>
      <c r="V290" s="31" t="s">
        <v>16475</v>
      </c>
      <c r="W290" s="31" t="s">
        <v>22712</v>
      </c>
      <c r="X290" s="31" t="s">
        <v>22713</v>
      </c>
      <c r="Y290" s="31" t="s">
        <v>22714</v>
      </c>
      <c r="Z290" s="31" t="s">
        <v>22715</v>
      </c>
      <c r="AA290" s="31" t="s">
        <v>22716</v>
      </c>
      <c r="AB290" s="31" t="s">
        <v>22717</v>
      </c>
      <c r="AC290" s="31" t="s">
        <v>22718</v>
      </c>
      <c r="AD290" s="31" t="s">
        <v>22719</v>
      </c>
      <c r="AE290" s="31" t="s">
        <v>22720</v>
      </c>
      <c r="AF290" s="31"/>
      <c r="AG290" s="31"/>
      <c r="AH290" s="31"/>
      <c r="AI290" s="31" t="n">
        <v>67</v>
      </c>
      <c r="AJ290" s="31" t="n">
        <v>5</v>
      </c>
      <c r="AK290" s="31" t="n">
        <v>34</v>
      </c>
      <c r="AL290" s="31" t="s">
        <v>16485</v>
      </c>
      <c r="AM290" s="31" t="s">
        <v>16486</v>
      </c>
      <c r="AN290" s="31" t="s">
        <v>22721</v>
      </c>
      <c r="AO290" s="31" t="s">
        <v>22722</v>
      </c>
      <c r="AP290" s="31" t="s">
        <v>22723</v>
      </c>
      <c r="AQ290" s="31" t="s">
        <v>22724</v>
      </c>
      <c r="AR290" s="31" t="s">
        <v>14295</v>
      </c>
      <c r="AS290" s="31" t="n">
        <v>23</v>
      </c>
      <c r="AT290" s="31" t="n">
        <v>36</v>
      </c>
      <c r="AU290" s="31"/>
      <c r="AV290" s="31" t="s">
        <v>22725</v>
      </c>
      <c r="AW290" s="35" t="str">
        <f aca="false">HYPERLINK("http://dx.doi.org/10.1002/mcda.1732","http://dx.doi.org/10.1002/mcda.1732")</f>
        <v>http://dx.doi.org/10.1002/mcda.1732</v>
      </c>
      <c r="AX290" s="31" t="s">
        <v>22726</v>
      </c>
      <c r="AY290" s="31" t="n">
        <v>14</v>
      </c>
      <c r="AZ290" s="31" t="s">
        <v>22727</v>
      </c>
      <c r="BA290" s="31" t="s">
        <v>16684</v>
      </c>
      <c r="BB290" s="31" t="s">
        <v>22728</v>
      </c>
      <c r="BC290" s="31" t="s">
        <v>22729</v>
      </c>
      <c r="BD290" s="31"/>
      <c r="BE290" s="31" t="s">
        <v>17463</v>
      </c>
      <c r="BF290" s="31" t="s">
        <v>16369</v>
      </c>
      <c r="BG290" s="31" t="s">
        <v>22730</v>
      </c>
      <c r="BH290" s="31" t="str">
        <f aca="false">HYPERLINK("https%3A%2F%2Fwww.webofscience.com%2Fwos%2Fwoscc%2Ffull-record%2FWOS:000604558400001","View Full Record in Web of Science")</f>
        <v>View Full Record in Web of Science</v>
      </c>
      <c r="BI290" s="31"/>
      <c r="BJ290" s="31"/>
      <c r="BK290" s="31"/>
      <c r="BL290" s="31"/>
      <c r="BM290" s="31"/>
      <c r="BN290" s="31"/>
      <c r="BO290" s="31"/>
      <c r="BP290" s="31"/>
      <c r="BQ290" s="31"/>
      <c r="BR290" s="31"/>
      <c r="BS290" s="31" t="s">
        <v>16622</v>
      </c>
      <c r="BT290" s="31"/>
      <c r="BU290" s="31"/>
      <c r="BV290" s="31"/>
      <c r="BW290" s="31"/>
      <c r="BX290" s="31"/>
      <c r="BY290" s="31"/>
      <c r="BZ290" s="31"/>
      <c r="CA290" s="31"/>
      <c r="CB290" s="31"/>
      <c r="CC290" s="31"/>
      <c r="CD290" s="31"/>
      <c r="CE290" s="31"/>
      <c r="CF290" s="31"/>
    </row>
    <row r="291" customFormat="false" ht="15.75" hidden="false" customHeight="true" outlineLevel="0" collapsed="false">
      <c r="A291" s="31" t="s">
        <v>16335</v>
      </c>
      <c r="B291" s="31" t="s">
        <v>22731</v>
      </c>
      <c r="C291" s="31" t="s">
        <v>22732</v>
      </c>
      <c r="D291" s="34" t="s">
        <v>22733</v>
      </c>
      <c r="E291" s="31" t="n">
        <v>2022</v>
      </c>
      <c r="F291" s="33" t="s">
        <v>22734</v>
      </c>
      <c r="G291" s="33" t="s">
        <v>290</v>
      </c>
      <c r="H291" s="32" t="s">
        <v>4486</v>
      </c>
      <c r="I291" s="32" t="s">
        <v>3992</v>
      </c>
      <c r="J291" s="32" t="s">
        <v>22735</v>
      </c>
      <c r="K291" s="32" t="s">
        <v>22736</v>
      </c>
      <c r="L291" s="32" t="s">
        <v>3754</v>
      </c>
      <c r="M291" s="32" t="s">
        <v>22737</v>
      </c>
      <c r="N291" s="34"/>
      <c r="O291" s="34"/>
      <c r="P291" s="34" t="n">
        <v>3</v>
      </c>
      <c r="Q291" s="31" t="n">
        <v>3</v>
      </c>
      <c r="R291" s="31" t="s">
        <v>61</v>
      </c>
      <c r="S291" s="31" t="s">
        <v>62</v>
      </c>
      <c r="T291" s="31" t="s">
        <v>22738</v>
      </c>
      <c r="U291" s="31" t="n">
        <v>16</v>
      </c>
      <c r="V291" s="31" t="s">
        <v>20334</v>
      </c>
      <c r="W291" s="31"/>
      <c r="X291" s="31" t="s">
        <v>22739</v>
      </c>
      <c r="Y291" s="31" t="s">
        <v>22740</v>
      </c>
      <c r="Z291" s="31" t="s">
        <v>22741</v>
      </c>
      <c r="AA291" s="31" t="s">
        <v>22742</v>
      </c>
      <c r="AB291" s="31" t="s">
        <v>22743</v>
      </c>
      <c r="AC291" s="31" t="s">
        <v>22744</v>
      </c>
      <c r="AD291" s="31" t="s">
        <v>22745</v>
      </c>
      <c r="AE291" s="31" t="s">
        <v>22746</v>
      </c>
      <c r="AF291" s="31" t="s">
        <v>22747</v>
      </c>
      <c r="AG291" s="31" t="s">
        <v>22748</v>
      </c>
      <c r="AH291" s="31" t="s">
        <v>22749</v>
      </c>
      <c r="AI291" s="31" t="n">
        <v>34</v>
      </c>
      <c r="AJ291" s="31" t="n">
        <v>1</v>
      </c>
      <c r="AK291" s="31" t="n">
        <v>6</v>
      </c>
      <c r="AL291" s="31" t="s">
        <v>16821</v>
      </c>
      <c r="AM291" s="31" t="s">
        <v>20342</v>
      </c>
      <c r="AN291" s="31" t="s">
        <v>22750</v>
      </c>
      <c r="AO291" s="31"/>
      <c r="AP291" s="31" t="s">
        <v>22751</v>
      </c>
      <c r="AQ291" s="31" t="s">
        <v>22752</v>
      </c>
      <c r="AR291" s="31" t="s">
        <v>17772</v>
      </c>
      <c r="AS291" s="31"/>
      <c r="AT291" s="31"/>
      <c r="AU291" s="31" t="n">
        <v>11779322221090300</v>
      </c>
      <c r="AV291" s="31" t="s">
        <v>22753</v>
      </c>
      <c r="AW291" s="35" t="str">
        <f aca="false">HYPERLINK("http://dx.doi.org/10.1177/11779322221090349","http://dx.doi.org/10.1177/11779322221090349")</f>
        <v>http://dx.doi.org/10.1177/11779322221090349</v>
      </c>
      <c r="AX291" s="31"/>
      <c r="AY291" s="31" t="n">
        <v>10</v>
      </c>
      <c r="AZ291" s="31" t="s">
        <v>22754</v>
      </c>
      <c r="BA291" s="31" t="s">
        <v>16684</v>
      </c>
      <c r="BB291" s="31" t="s">
        <v>16652</v>
      </c>
      <c r="BC291" s="31" t="s">
        <v>22755</v>
      </c>
      <c r="BD291" s="31" t="n">
        <v>35478992</v>
      </c>
      <c r="BE291" s="31" t="s">
        <v>17143</v>
      </c>
      <c r="BF291" s="31" t="s">
        <v>16369</v>
      </c>
      <c r="BG291" s="31" t="s">
        <v>22756</v>
      </c>
      <c r="BH291" s="31" t="str">
        <f aca="false">HYPERLINK("https%3A%2F%2Fwww.webofscience.com%2Fwos%2Fwoscc%2Ffull-record%2FWOS:000786998000001","View Full Record in Web of Science")</f>
        <v>View Full Record in Web of Science</v>
      </c>
      <c r="BI291" s="31"/>
      <c r="BJ291" s="31"/>
      <c r="BK291" s="31"/>
      <c r="BL291" s="31"/>
      <c r="BM291" s="31"/>
      <c r="BN291" s="31"/>
      <c r="BO291" s="31"/>
      <c r="BP291" s="31"/>
      <c r="BQ291" s="31"/>
      <c r="BR291" s="31"/>
      <c r="BS291" s="31"/>
      <c r="BT291" s="31"/>
      <c r="BU291" s="31"/>
      <c r="BV291" s="31"/>
      <c r="BW291" s="31"/>
      <c r="BX291" s="31"/>
      <c r="BY291" s="31"/>
      <c r="BZ291" s="31"/>
      <c r="CA291" s="31"/>
      <c r="CB291" s="31"/>
      <c r="CC291" s="31"/>
      <c r="CD291" s="31"/>
      <c r="CE291" s="31"/>
      <c r="CF291" s="31"/>
    </row>
    <row r="292" customFormat="false" ht="15.75" hidden="false" customHeight="true" outlineLevel="0" collapsed="false">
      <c r="A292" s="31" t="s">
        <v>16335</v>
      </c>
      <c r="B292" s="31" t="s">
        <v>22757</v>
      </c>
      <c r="C292" s="31" t="s">
        <v>22758</v>
      </c>
      <c r="D292" s="34" t="s">
        <v>22759</v>
      </c>
      <c r="E292" s="31" t="n">
        <v>2022</v>
      </c>
      <c r="F292" s="33" t="s">
        <v>22760</v>
      </c>
      <c r="G292" s="33" t="s">
        <v>134</v>
      </c>
      <c r="H292" s="32" t="s">
        <v>3920</v>
      </c>
      <c r="I292" s="32" t="s">
        <v>3920</v>
      </c>
      <c r="J292" s="32" t="s">
        <v>21660</v>
      </c>
      <c r="K292" s="32" t="s">
        <v>22761</v>
      </c>
      <c r="L292" s="34"/>
      <c r="M292" s="34"/>
      <c r="N292" s="34"/>
      <c r="O292" s="34"/>
      <c r="P292" s="34" t="n">
        <v>4</v>
      </c>
      <c r="Q292" s="31" t="n">
        <v>4</v>
      </c>
      <c r="R292" s="31" t="s">
        <v>61</v>
      </c>
      <c r="S292" s="31" t="s">
        <v>62</v>
      </c>
      <c r="T292" s="31" t="s">
        <v>16844</v>
      </c>
      <c r="U292" s="31" t="n">
        <v>16</v>
      </c>
      <c r="V292" s="31" t="s">
        <v>16845</v>
      </c>
      <c r="W292" s="31" t="n">
        <v>6</v>
      </c>
      <c r="X292" s="31"/>
      <c r="Y292" s="31" t="s">
        <v>22762</v>
      </c>
      <c r="Z292" s="31" t="s">
        <v>22763</v>
      </c>
      <c r="AA292" s="31" t="s">
        <v>22764</v>
      </c>
      <c r="AB292" s="31" t="s">
        <v>22765</v>
      </c>
      <c r="AC292" s="31" t="s">
        <v>22766</v>
      </c>
      <c r="AD292" s="31" t="s">
        <v>22767</v>
      </c>
      <c r="AE292" s="31" t="s">
        <v>22768</v>
      </c>
      <c r="AF292" s="31"/>
      <c r="AG292" s="31"/>
      <c r="AH292" s="31"/>
      <c r="AI292" s="31" t="n">
        <v>31</v>
      </c>
      <c r="AJ292" s="31" t="n">
        <v>2</v>
      </c>
      <c r="AK292" s="31" t="n">
        <v>8</v>
      </c>
      <c r="AL292" s="31" t="s">
        <v>16855</v>
      </c>
      <c r="AM292" s="31" t="s">
        <v>16856</v>
      </c>
      <c r="AN292" s="31" t="s">
        <v>16857</v>
      </c>
      <c r="AO292" s="31"/>
      <c r="AP292" s="31" t="s">
        <v>16858</v>
      </c>
      <c r="AQ292" s="31" t="s">
        <v>16859</v>
      </c>
      <c r="AR292" s="31" t="s">
        <v>16683</v>
      </c>
      <c r="AS292" s="31"/>
      <c r="AT292" s="31"/>
      <c r="AU292" s="31" t="s">
        <v>22769</v>
      </c>
      <c r="AV292" s="31" t="s">
        <v>22770</v>
      </c>
      <c r="AW292" s="35" t="str">
        <f aca="false">HYPERLINK("http://dx.doi.org/10.1371/journal.pntd.0010455","http://dx.doi.org/10.1371/journal.pntd.0010455")</f>
        <v>http://dx.doi.org/10.1371/journal.pntd.0010455</v>
      </c>
      <c r="AX292" s="31"/>
      <c r="AY292" s="31" t="n">
        <v>14</v>
      </c>
      <c r="AZ292" s="31" t="s">
        <v>16862</v>
      </c>
      <c r="BA292" s="31" t="s">
        <v>16366</v>
      </c>
      <c r="BB292" s="31" t="s">
        <v>16862</v>
      </c>
      <c r="BC292" s="31" t="s">
        <v>22771</v>
      </c>
      <c r="BD292" s="31" t="n">
        <v>35771774</v>
      </c>
      <c r="BE292" s="31" t="s">
        <v>17143</v>
      </c>
      <c r="BF292" s="31" t="s">
        <v>16369</v>
      </c>
      <c r="BG292" s="31" t="s">
        <v>22772</v>
      </c>
      <c r="BH292" s="31" t="str">
        <f aca="false">HYPERLINK("https%3A%2F%2Fwww.webofscience.com%2Fwos%2Fwoscc%2Ffull-record%2FWOS:000892012200001","View Full Record in Web of Science")</f>
        <v>View Full Record in Web of Science</v>
      </c>
      <c r="BI292" s="31"/>
      <c r="BJ292" s="31"/>
      <c r="BK292" s="31"/>
      <c r="BL292" s="31"/>
      <c r="BM292" s="31"/>
      <c r="BN292" s="31"/>
      <c r="BO292" s="31"/>
      <c r="BP292" s="31"/>
      <c r="BQ292" s="31"/>
      <c r="BR292" s="31"/>
      <c r="BS292" s="31"/>
      <c r="BT292" s="31"/>
      <c r="BU292" s="31"/>
      <c r="BV292" s="31"/>
      <c r="BW292" s="31"/>
      <c r="BX292" s="31"/>
      <c r="BY292" s="31"/>
      <c r="BZ292" s="31"/>
      <c r="CA292" s="31"/>
      <c r="CB292" s="31"/>
      <c r="CC292" s="31"/>
      <c r="CD292" s="31"/>
      <c r="CE292" s="31"/>
      <c r="CF292" s="31"/>
    </row>
    <row r="293" customFormat="false" ht="15.75" hidden="false" customHeight="true" outlineLevel="0" collapsed="false">
      <c r="A293" s="31" t="s">
        <v>16335</v>
      </c>
      <c r="B293" s="31" t="s">
        <v>22773</v>
      </c>
      <c r="C293" s="31" t="s">
        <v>22774</v>
      </c>
      <c r="D293" s="34" t="s">
        <v>22775</v>
      </c>
      <c r="E293" s="31" t="n">
        <v>2022</v>
      </c>
      <c r="F293" s="33" t="s">
        <v>22776</v>
      </c>
      <c r="G293" s="33" t="s">
        <v>134</v>
      </c>
      <c r="H293" s="32" t="s">
        <v>22777</v>
      </c>
      <c r="I293" s="34"/>
      <c r="J293" s="34"/>
      <c r="K293" s="32" t="s">
        <v>22778</v>
      </c>
      <c r="L293" s="34"/>
      <c r="M293" s="32" t="s">
        <v>22779</v>
      </c>
      <c r="N293" s="32" t="s">
        <v>22780</v>
      </c>
      <c r="O293" s="34"/>
      <c r="P293" s="34" t="n">
        <v>5</v>
      </c>
      <c r="Q293" s="31" t="n">
        <v>5</v>
      </c>
      <c r="R293" s="31" t="s">
        <v>61</v>
      </c>
      <c r="S293" s="31" t="s">
        <v>62</v>
      </c>
      <c r="T293" s="31" t="s">
        <v>22781</v>
      </c>
      <c r="U293" s="31" t="n">
        <v>10</v>
      </c>
      <c r="V293" s="31" t="s">
        <v>16384</v>
      </c>
      <c r="W293" s="31"/>
      <c r="X293" s="31" t="s">
        <v>22782</v>
      </c>
      <c r="Y293" s="31" t="s">
        <v>22783</v>
      </c>
      <c r="Z293" s="31" t="s">
        <v>22784</v>
      </c>
      <c r="AA293" s="31" t="s">
        <v>22785</v>
      </c>
      <c r="AB293" s="31" t="s">
        <v>22786</v>
      </c>
      <c r="AC293" s="31" t="s">
        <v>22787</v>
      </c>
      <c r="AD293" s="31" t="s">
        <v>22788</v>
      </c>
      <c r="AE293" s="31" t="s">
        <v>22789</v>
      </c>
      <c r="AF293" s="31" t="s">
        <v>22790</v>
      </c>
      <c r="AG293" s="31" t="s">
        <v>22791</v>
      </c>
      <c r="AH293" s="31" t="s">
        <v>22792</v>
      </c>
      <c r="AI293" s="31" t="n">
        <v>45</v>
      </c>
      <c r="AJ293" s="31" t="n">
        <v>0</v>
      </c>
      <c r="AK293" s="31" t="n">
        <v>9</v>
      </c>
      <c r="AL293" s="31" t="s">
        <v>16395</v>
      </c>
      <c r="AM293" s="31" t="s">
        <v>16396</v>
      </c>
      <c r="AN293" s="31" t="s">
        <v>22793</v>
      </c>
      <c r="AO293" s="31"/>
      <c r="AP293" s="31" t="s">
        <v>22794</v>
      </c>
      <c r="AQ293" s="31" t="s">
        <v>22795</v>
      </c>
      <c r="AR293" s="31"/>
      <c r="AS293" s="31"/>
      <c r="AT293" s="31"/>
      <c r="AU293" s="31" t="n">
        <v>3700109</v>
      </c>
      <c r="AV293" s="31" t="s">
        <v>22796</v>
      </c>
      <c r="AW293" s="35" t="str">
        <f aca="false">HYPERLINK("http://dx.doi.org/10.1109/JTEHM.2022.3171078","http://dx.doi.org/10.1109/JTEHM.2022.3171078")</f>
        <v>http://dx.doi.org/10.1109/JTEHM.2022.3171078</v>
      </c>
      <c r="AX293" s="31"/>
      <c r="AY293" s="31" t="n">
        <v>9</v>
      </c>
      <c r="AZ293" s="31" t="s">
        <v>18428</v>
      </c>
      <c r="BA293" s="31" t="s">
        <v>16366</v>
      </c>
      <c r="BB293" s="31" t="s">
        <v>18429</v>
      </c>
      <c r="BC293" s="31" t="s">
        <v>22797</v>
      </c>
      <c r="BD293" s="31" t="n">
        <v>35769405</v>
      </c>
      <c r="BE293" s="31" t="s">
        <v>16832</v>
      </c>
      <c r="BF293" s="31" t="s">
        <v>16369</v>
      </c>
      <c r="BG293" s="31" t="s">
        <v>22798</v>
      </c>
      <c r="BH293" s="31" t="str">
        <f aca="false">HYPERLINK("https%3A%2F%2Fwww.webofscience.com%2Fwos%2Fwoscc%2Ffull-record%2FWOS:000795102000001","View Full Record in Web of Science")</f>
        <v>View Full Record in Web of Science</v>
      </c>
      <c r="BI293" s="31"/>
      <c r="BJ293" s="31"/>
      <c r="BK293" s="31"/>
      <c r="BL293" s="31"/>
      <c r="BM293" s="31"/>
      <c r="BN293" s="31"/>
      <c r="BO293" s="31"/>
      <c r="BP293" s="31"/>
      <c r="BQ293" s="31"/>
      <c r="BR293" s="31"/>
      <c r="BS293" s="31"/>
      <c r="BT293" s="31"/>
      <c r="BU293" s="31"/>
      <c r="BV293" s="31"/>
      <c r="BW293" s="31"/>
      <c r="BX293" s="31"/>
      <c r="BY293" s="31"/>
      <c r="BZ293" s="31"/>
      <c r="CA293" s="31"/>
      <c r="CB293" s="31"/>
      <c r="CC293" s="31"/>
      <c r="CD293" s="31"/>
      <c r="CE293" s="31"/>
      <c r="CF293" s="31"/>
    </row>
    <row r="294" customFormat="false" ht="15.75" hidden="false" customHeight="true" outlineLevel="0" collapsed="false">
      <c r="A294" s="31" t="s">
        <v>16335</v>
      </c>
      <c r="B294" s="31" t="s">
        <v>22799</v>
      </c>
      <c r="C294" s="31" t="s">
        <v>22800</v>
      </c>
      <c r="D294" s="34" t="s">
        <v>22801</v>
      </c>
      <c r="E294" s="31" t="n">
        <v>2022</v>
      </c>
      <c r="F294" s="33" t="s">
        <v>22802</v>
      </c>
      <c r="G294" s="33" t="s">
        <v>134</v>
      </c>
      <c r="H294" s="32" t="s">
        <v>4728</v>
      </c>
      <c r="I294" s="32" t="s">
        <v>4728</v>
      </c>
      <c r="J294" s="32" t="s">
        <v>20887</v>
      </c>
      <c r="K294" s="32" t="s">
        <v>16409</v>
      </c>
      <c r="L294" s="32" t="s">
        <v>3754</v>
      </c>
      <c r="M294" s="32" t="s">
        <v>22803</v>
      </c>
      <c r="N294" s="32" t="s">
        <v>22804</v>
      </c>
      <c r="O294" s="34"/>
      <c r="P294" s="34" t="n">
        <v>3</v>
      </c>
      <c r="Q294" s="31" t="n">
        <v>3</v>
      </c>
      <c r="R294" s="31" t="s">
        <v>61</v>
      </c>
      <c r="S294" s="31" t="s">
        <v>62</v>
      </c>
      <c r="T294" s="31" t="s">
        <v>22805</v>
      </c>
      <c r="U294" s="31" t="n">
        <v>13</v>
      </c>
      <c r="V294" s="31" t="s">
        <v>22806</v>
      </c>
      <c r="W294" s="31" t="n">
        <v>7</v>
      </c>
      <c r="X294" s="31"/>
      <c r="Y294" s="31" t="s">
        <v>22807</v>
      </c>
      <c r="Z294" s="31" t="s">
        <v>22808</v>
      </c>
      <c r="AA294" s="31" t="s">
        <v>22809</v>
      </c>
      <c r="AB294" s="31" t="s">
        <v>22810</v>
      </c>
      <c r="AC294" s="31" t="s">
        <v>22811</v>
      </c>
      <c r="AD294" s="31" t="s">
        <v>22812</v>
      </c>
      <c r="AE294" s="31" t="s">
        <v>22813</v>
      </c>
      <c r="AF294" s="31" t="s">
        <v>22814</v>
      </c>
      <c r="AG294" s="31" t="s">
        <v>22815</v>
      </c>
      <c r="AH294" s="31" t="s">
        <v>22816</v>
      </c>
      <c r="AI294" s="31" t="n">
        <v>38</v>
      </c>
      <c r="AJ294" s="31" t="n">
        <v>1</v>
      </c>
      <c r="AK294" s="31" t="n">
        <v>8</v>
      </c>
      <c r="AL294" s="31" t="s">
        <v>18329</v>
      </c>
      <c r="AM294" s="31" t="s">
        <v>22817</v>
      </c>
      <c r="AN294" s="31" t="s">
        <v>22818</v>
      </c>
      <c r="AO294" s="31"/>
      <c r="AP294" s="31" t="s">
        <v>22819</v>
      </c>
      <c r="AQ294" s="31" t="s">
        <v>13015</v>
      </c>
      <c r="AR294" s="31" t="s">
        <v>22270</v>
      </c>
      <c r="AS294" s="31" t="n">
        <v>3904</v>
      </c>
      <c r="AT294" s="31" t="n">
        <v>3921</v>
      </c>
      <c r="AU294" s="31"/>
      <c r="AV294" s="31" t="s">
        <v>22820</v>
      </c>
      <c r="AW294" s="35" t="str">
        <f aca="false">HYPERLINK("http://dx.doi.org/10.1364/BOE.448099","http://dx.doi.org/10.1364/BOE.448099")</f>
        <v>http://dx.doi.org/10.1364/BOE.448099</v>
      </c>
      <c r="AX294" s="31"/>
      <c r="AY294" s="31" t="n">
        <v>18</v>
      </c>
      <c r="AZ294" s="31" t="s">
        <v>22821</v>
      </c>
      <c r="BA294" s="31" t="s">
        <v>16366</v>
      </c>
      <c r="BB294" s="31" t="s">
        <v>22822</v>
      </c>
      <c r="BC294" s="31" t="s">
        <v>22823</v>
      </c>
      <c r="BD294" s="31" t="n">
        <v>35991917</v>
      </c>
      <c r="BE294" s="31" t="s">
        <v>16832</v>
      </c>
      <c r="BF294" s="31" t="s">
        <v>16369</v>
      </c>
      <c r="BG294" s="31" t="s">
        <v>22824</v>
      </c>
      <c r="BH294" s="31" t="str">
        <f aca="false">HYPERLINK("https%3A%2F%2Fwww.webofscience.com%2Fwos%2Fwoscc%2Ffull-record%2FWOS:000827275100002","View Full Record in Web of Science")</f>
        <v>View Full Record in Web of Science</v>
      </c>
      <c r="BI294" s="31"/>
      <c r="BJ294" s="31"/>
      <c r="BK294" s="31"/>
      <c r="BL294" s="31"/>
      <c r="BM294" s="31"/>
      <c r="BN294" s="31"/>
      <c r="BO294" s="31"/>
      <c r="BP294" s="31"/>
      <c r="BQ294" s="31"/>
      <c r="BR294" s="31"/>
      <c r="BS294" s="31"/>
      <c r="BT294" s="31"/>
      <c r="BU294" s="31"/>
      <c r="BV294" s="31"/>
      <c r="BW294" s="31"/>
      <c r="BX294" s="31"/>
      <c r="BY294" s="31"/>
      <c r="BZ294" s="31"/>
      <c r="CA294" s="31"/>
      <c r="CB294" s="31"/>
      <c r="CC294" s="31"/>
      <c r="CD294" s="31"/>
      <c r="CE294" s="31"/>
      <c r="CF294" s="31"/>
    </row>
    <row r="295" customFormat="false" ht="15.75" hidden="false" customHeight="true" outlineLevel="0" collapsed="false">
      <c r="A295" s="31" t="s">
        <v>16335</v>
      </c>
      <c r="B295" s="31" t="s">
        <v>22825</v>
      </c>
      <c r="C295" s="31" t="s">
        <v>22826</v>
      </c>
      <c r="D295" s="34" t="s">
        <v>22827</v>
      </c>
      <c r="E295" s="31" t="n">
        <v>2022</v>
      </c>
      <c r="F295" s="33" t="s">
        <v>22828</v>
      </c>
      <c r="G295" s="33" t="s">
        <v>134</v>
      </c>
      <c r="H295" s="32" t="s">
        <v>4101</v>
      </c>
      <c r="I295" s="32" t="s">
        <v>4101</v>
      </c>
      <c r="J295" s="32" t="s">
        <v>21109</v>
      </c>
      <c r="K295" s="32" t="s">
        <v>17573</v>
      </c>
      <c r="L295" s="32" t="s">
        <v>3754</v>
      </c>
      <c r="M295" s="32" t="s">
        <v>22829</v>
      </c>
      <c r="N295" s="32" t="s">
        <v>22830</v>
      </c>
      <c r="O295" s="34"/>
      <c r="P295" s="34" t="n">
        <v>13</v>
      </c>
      <c r="Q295" s="31" t="n">
        <v>13</v>
      </c>
      <c r="R295" s="31" t="s">
        <v>61</v>
      </c>
      <c r="S295" s="31" t="s">
        <v>62</v>
      </c>
      <c r="T295" s="31" t="s">
        <v>20504</v>
      </c>
      <c r="U295" s="31" t="n">
        <v>10</v>
      </c>
      <c r="V295" s="31" t="s">
        <v>20505</v>
      </c>
      <c r="W295" s="31"/>
      <c r="X295" s="31" t="s">
        <v>22831</v>
      </c>
      <c r="Y295" s="31" t="s">
        <v>22832</v>
      </c>
      <c r="Z295" s="31" t="s">
        <v>22833</v>
      </c>
      <c r="AA295" s="31" t="s">
        <v>22834</v>
      </c>
      <c r="AB295" s="31" t="s">
        <v>22835</v>
      </c>
      <c r="AC295" s="31" t="s">
        <v>22836</v>
      </c>
      <c r="AD295" s="31" t="s">
        <v>22837</v>
      </c>
      <c r="AE295" s="31" t="s">
        <v>22838</v>
      </c>
      <c r="AF295" s="31" t="s">
        <v>22839</v>
      </c>
      <c r="AG295" s="31" t="s">
        <v>22840</v>
      </c>
      <c r="AH295" s="31" t="s">
        <v>22841</v>
      </c>
      <c r="AI295" s="31" t="n">
        <v>34</v>
      </c>
      <c r="AJ295" s="31" t="n">
        <v>2</v>
      </c>
      <c r="AK295" s="31" t="n">
        <v>6</v>
      </c>
      <c r="AL295" s="31" t="s">
        <v>16821</v>
      </c>
      <c r="AM295" s="31" t="s">
        <v>20514</v>
      </c>
      <c r="AN295" s="31" t="s">
        <v>20515</v>
      </c>
      <c r="AO295" s="31"/>
      <c r="AP295" s="31" t="s">
        <v>20504</v>
      </c>
      <c r="AQ295" s="31" t="s">
        <v>2022</v>
      </c>
      <c r="AR295" s="31" t="s">
        <v>22842</v>
      </c>
      <c r="AS295" s="31"/>
      <c r="AT295" s="31"/>
      <c r="AU295" s="31" t="s">
        <v>22843</v>
      </c>
      <c r="AV295" s="31" t="s">
        <v>22844</v>
      </c>
      <c r="AW295" s="35" t="str">
        <f aca="false">HYPERLINK("http://dx.doi.org/10.7717/peerj.13470","http://dx.doi.org/10.7717/peerj.13470")</f>
        <v>http://dx.doi.org/10.7717/peerj.13470</v>
      </c>
      <c r="AX295" s="31"/>
      <c r="AY295" s="31" t="n">
        <v>19</v>
      </c>
      <c r="AZ295" s="31" t="s">
        <v>16428</v>
      </c>
      <c r="BA295" s="31" t="s">
        <v>16366</v>
      </c>
      <c r="BB295" s="31" t="s">
        <v>16429</v>
      </c>
      <c r="BC295" s="31" t="s">
        <v>22845</v>
      </c>
      <c r="BD295" s="31" t="n">
        <v>35651746</v>
      </c>
      <c r="BE295" s="31" t="s">
        <v>16832</v>
      </c>
      <c r="BF295" s="31" t="s">
        <v>16369</v>
      </c>
      <c r="BG295" s="31" t="s">
        <v>22846</v>
      </c>
      <c r="BH295" s="31" t="str">
        <f aca="false">HYPERLINK("https%3A%2F%2Fwww.webofscience.com%2Fwos%2Fwoscc%2Ffull-record%2FWOS:000810947600005","View Full Record in Web of Science")</f>
        <v>View Full Record in Web of Science</v>
      </c>
      <c r="BI295" s="31"/>
      <c r="BJ295" s="31"/>
      <c r="BK295" s="31"/>
      <c r="BL295" s="31"/>
      <c r="BM295" s="31"/>
      <c r="BN295" s="31"/>
      <c r="BO295" s="31"/>
      <c r="BP295" s="31"/>
      <c r="BQ295" s="31"/>
      <c r="BR295" s="31"/>
      <c r="BS295" s="31"/>
      <c r="BT295" s="31"/>
      <c r="BU295" s="31"/>
      <c r="BV295" s="31"/>
      <c r="BW295" s="31"/>
      <c r="BX295" s="31"/>
      <c r="BY295" s="31"/>
      <c r="BZ295" s="31"/>
      <c r="CA295" s="31"/>
      <c r="CB295" s="31"/>
      <c r="CC295" s="31"/>
      <c r="CD295" s="31"/>
      <c r="CE295" s="31"/>
      <c r="CF295" s="31"/>
    </row>
    <row r="296" customFormat="false" ht="15.75" hidden="false" customHeight="true" outlineLevel="0" collapsed="false">
      <c r="A296" s="31" t="s">
        <v>16335</v>
      </c>
      <c r="B296" s="31" t="s">
        <v>22847</v>
      </c>
      <c r="C296" s="31" t="s">
        <v>22848</v>
      </c>
      <c r="D296" s="34" t="s">
        <v>22849</v>
      </c>
      <c r="E296" s="31" t="n">
        <v>2022</v>
      </c>
      <c r="F296" s="33" t="s">
        <v>22850</v>
      </c>
      <c r="G296" s="33" t="s">
        <v>134</v>
      </c>
      <c r="H296" s="32" t="s">
        <v>22851</v>
      </c>
      <c r="I296" s="34"/>
      <c r="J296" s="32" t="s">
        <v>20887</v>
      </c>
      <c r="K296" s="32" t="s">
        <v>16409</v>
      </c>
      <c r="L296" s="32" t="s">
        <v>3754</v>
      </c>
      <c r="M296" s="34"/>
      <c r="N296" s="34"/>
      <c r="O296" s="34"/>
      <c r="P296" s="34" t="n">
        <v>8</v>
      </c>
      <c r="Q296" s="31" t="n">
        <v>8</v>
      </c>
      <c r="R296" s="31" t="s">
        <v>61</v>
      </c>
      <c r="S296" s="31" t="s">
        <v>62</v>
      </c>
      <c r="T296" s="31" t="s">
        <v>17359</v>
      </c>
      <c r="U296" s="31" t="n">
        <v>2022</v>
      </c>
      <c r="V296" s="31" t="s">
        <v>17360</v>
      </c>
      <c r="W296" s="31"/>
      <c r="X296" s="31"/>
      <c r="Y296" s="31"/>
      <c r="Z296" s="31" t="s">
        <v>22852</v>
      </c>
      <c r="AA296" s="31" t="s">
        <v>22853</v>
      </c>
      <c r="AB296" s="31" t="s">
        <v>22854</v>
      </c>
      <c r="AC296" s="31" t="s">
        <v>22855</v>
      </c>
      <c r="AD296" s="31" t="s">
        <v>22856</v>
      </c>
      <c r="AE296" s="31" t="s">
        <v>22857</v>
      </c>
      <c r="AF296" s="31"/>
      <c r="AG296" s="31"/>
      <c r="AH296" s="31"/>
      <c r="AI296" s="31" t="n">
        <v>25</v>
      </c>
      <c r="AJ296" s="31" t="n">
        <v>1</v>
      </c>
      <c r="AK296" s="31" t="n">
        <v>13</v>
      </c>
      <c r="AL296" s="31" t="s">
        <v>16821</v>
      </c>
      <c r="AM296" s="31" t="s">
        <v>17371</v>
      </c>
      <c r="AN296" s="31" t="s">
        <v>17372</v>
      </c>
      <c r="AO296" s="31" t="s">
        <v>17373</v>
      </c>
      <c r="AP296" s="31" t="s">
        <v>17374</v>
      </c>
      <c r="AQ296" s="31" t="s">
        <v>17375</v>
      </c>
      <c r="AR296" s="31" t="s">
        <v>18028</v>
      </c>
      <c r="AS296" s="31"/>
      <c r="AT296" s="31"/>
      <c r="AU296" s="31" t="n">
        <v>7776319</v>
      </c>
      <c r="AV296" s="31" t="s">
        <v>22858</v>
      </c>
      <c r="AW296" s="35" t="str">
        <f aca="false">HYPERLINK("http://dx.doi.org/10.1155/2022/7776319","http://dx.doi.org/10.1155/2022/7776319")</f>
        <v>http://dx.doi.org/10.1155/2022/7776319</v>
      </c>
      <c r="AX296" s="31"/>
      <c r="AY296" s="31" t="n">
        <v>12</v>
      </c>
      <c r="AZ296" s="31" t="s">
        <v>17378</v>
      </c>
      <c r="BA296" s="31" t="s">
        <v>16366</v>
      </c>
      <c r="BB296" s="31" t="s">
        <v>17379</v>
      </c>
      <c r="BC296" s="31" t="s">
        <v>22859</v>
      </c>
      <c r="BD296" s="31" t="n">
        <v>35694571</v>
      </c>
      <c r="BE296" s="31" t="s">
        <v>17143</v>
      </c>
      <c r="BF296" s="31" t="s">
        <v>16369</v>
      </c>
      <c r="BG296" s="31" t="s">
        <v>22860</v>
      </c>
      <c r="BH296" s="31" t="str">
        <f aca="false">HYPERLINK("https%3A%2F%2Fwww.webofscience.com%2Fwos%2Fwoscc%2Ffull-record%2FWOS:000811283100009","View Full Record in Web of Science")</f>
        <v>View Full Record in Web of Science</v>
      </c>
      <c r="BI296" s="31"/>
      <c r="BJ296" s="31"/>
      <c r="BK296" s="31"/>
      <c r="BL296" s="31"/>
      <c r="BM296" s="31"/>
      <c r="BN296" s="31"/>
      <c r="BO296" s="31"/>
      <c r="BP296" s="31"/>
      <c r="BQ296" s="31"/>
      <c r="BR296" s="31"/>
      <c r="BS296" s="31"/>
      <c r="BT296" s="31"/>
      <c r="BU296" s="31"/>
      <c r="BV296" s="31"/>
      <c r="BW296" s="31"/>
      <c r="BX296" s="31"/>
      <c r="BY296" s="31"/>
      <c r="BZ296" s="31"/>
      <c r="CA296" s="31"/>
      <c r="CB296" s="31"/>
      <c r="CC296" s="31"/>
      <c r="CD296" s="31"/>
      <c r="CE296" s="31"/>
      <c r="CF296" s="31"/>
    </row>
    <row r="297" customFormat="false" ht="15.75" hidden="false" customHeight="true" outlineLevel="0" collapsed="false">
      <c r="A297" s="31" t="s">
        <v>16335</v>
      </c>
      <c r="B297" s="31" t="s">
        <v>22861</v>
      </c>
      <c r="C297" s="31" t="s">
        <v>22862</v>
      </c>
      <c r="D297" s="34" t="s">
        <v>22863</v>
      </c>
      <c r="E297" s="31" t="n">
        <v>2022</v>
      </c>
      <c r="F297" s="33" t="s">
        <v>22864</v>
      </c>
      <c r="G297" s="33" t="s">
        <v>134</v>
      </c>
      <c r="H297" s="32" t="s">
        <v>17005</v>
      </c>
      <c r="I297" s="32" t="s">
        <v>3715</v>
      </c>
      <c r="J297" s="32" t="s">
        <v>20887</v>
      </c>
      <c r="K297" s="32" t="s">
        <v>16409</v>
      </c>
      <c r="L297" s="32" t="s">
        <v>3754</v>
      </c>
      <c r="M297" s="32" t="s">
        <v>22865</v>
      </c>
      <c r="N297" s="32" t="s">
        <v>22866</v>
      </c>
      <c r="O297" s="34"/>
      <c r="P297" s="34" t="n">
        <v>8</v>
      </c>
      <c r="Q297" s="31" t="n">
        <v>8</v>
      </c>
      <c r="R297" s="31" t="s">
        <v>61</v>
      </c>
      <c r="S297" s="31" t="s">
        <v>62</v>
      </c>
      <c r="T297" s="31" t="s">
        <v>16383</v>
      </c>
      <c r="U297" s="31" t="n">
        <v>10</v>
      </c>
      <c r="V297" s="31" t="s">
        <v>16384</v>
      </c>
      <c r="W297" s="31"/>
      <c r="X297" s="31" t="s">
        <v>22867</v>
      </c>
      <c r="Y297" s="31" t="s">
        <v>22868</v>
      </c>
      <c r="Z297" s="31" t="s">
        <v>22869</v>
      </c>
      <c r="AA297" s="31" t="s">
        <v>22870</v>
      </c>
      <c r="AB297" s="31" t="s">
        <v>22871</v>
      </c>
      <c r="AC297" s="31" t="s">
        <v>22872</v>
      </c>
      <c r="AD297" s="31" t="s">
        <v>22873</v>
      </c>
      <c r="AE297" s="31" t="s">
        <v>22874</v>
      </c>
      <c r="AF297" s="31" t="s">
        <v>22875</v>
      </c>
      <c r="AG297" s="31" t="s">
        <v>22876</v>
      </c>
      <c r="AH297" s="31" t="s">
        <v>22877</v>
      </c>
      <c r="AI297" s="31" t="n">
        <v>30</v>
      </c>
      <c r="AJ297" s="31" t="n">
        <v>3</v>
      </c>
      <c r="AK297" s="31" t="n">
        <v>10</v>
      </c>
      <c r="AL297" s="31" t="s">
        <v>16395</v>
      </c>
      <c r="AM297" s="31" t="s">
        <v>16396</v>
      </c>
      <c r="AN297" s="31" t="s">
        <v>16397</v>
      </c>
      <c r="AO297" s="31"/>
      <c r="AP297" s="31" t="s">
        <v>16383</v>
      </c>
      <c r="AQ297" s="31" t="s">
        <v>186</v>
      </c>
      <c r="AR297" s="31"/>
      <c r="AS297" s="31" t="n">
        <v>97348</v>
      </c>
      <c r="AT297" s="31" t="n">
        <v>97359</v>
      </c>
      <c r="AU297" s="31"/>
      <c r="AV297" s="31" t="s">
        <v>22878</v>
      </c>
      <c r="AW297" s="35" t="str">
        <f aca="false">HYPERLINK("http://dx.doi.org/10.1109/ACCESS.2022.3206266","http://dx.doi.org/10.1109/ACCESS.2022.3206266")</f>
        <v>http://dx.doi.org/10.1109/ACCESS.2022.3206266</v>
      </c>
      <c r="AX297" s="31"/>
      <c r="AY297" s="31" t="n">
        <v>12</v>
      </c>
      <c r="AZ297" s="31" t="s">
        <v>16399</v>
      </c>
      <c r="BA297" s="31" t="s">
        <v>16366</v>
      </c>
      <c r="BB297" s="31" t="s">
        <v>16400</v>
      </c>
      <c r="BC297" s="31" t="s">
        <v>22879</v>
      </c>
      <c r="BD297" s="31"/>
      <c r="BE297" s="31" t="s">
        <v>16431</v>
      </c>
      <c r="BF297" s="31" t="s">
        <v>16369</v>
      </c>
      <c r="BG297" s="31" t="s">
        <v>22880</v>
      </c>
      <c r="BH297" s="31" t="str">
        <f aca="false">HYPERLINK("https%3A%2F%2Fwww.webofscience.com%2Fwos%2Fwoscc%2Ffull-record%2FWOS:000860805200001","View Full Record in Web of Science")</f>
        <v>View Full Record in Web of Science</v>
      </c>
      <c r="BI297" s="31"/>
      <c r="BJ297" s="31"/>
      <c r="BK297" s="31"/>
      <c r="BL297" s="31"/>
      <c r="BM297" s="31"/>
      <c r="BN297" s="31"/>
      <c r="BO297" s="31"/>
      <c r="BP297" s="31"/>
      <c r="BQ297" s="31"/>
      <c r="BR297" s="31"/>
      <c r="BS297" s="31"/>
      <c r="BT297" s="31"/>
      <c r="BU297" s="31"/>
      <c r="BV297" s="31"/>
      <c r="BW297" s="31"/>
      <c r="BX297" s="31"/>
      <c r="BY297" s="31"/>
      <c r="BZ297" s="31"/>
      <c r="CA297" s="31"/>
      <c r="CB297" s="31"/>
      <c r="CC297" s="31"/>
      <c r="CD297" s="31"/>
      <c r="CE297" s="31"/>
      <c r="CF297" s="31"/>
    </row>
    <row r="298" customFormat="false" ht="15.75" hidden="false" customHeight="true" outlineLevel="0" collapsed="false">
      <c r="A298" s="31" t="s">
        <v>16335</v>
      </c>
      <c r="B298" s="31" t="s">
        <v>22881</v>
      </c>
      <c r="C298" s="31" t="s">
        <v>22882</v>
      </c>
      <c r="D298" s="34" t="s">
        <v>22883</v>
      </c>
      <c r="E298" s="31" t="n">
        <v>2022</v>
      </c>
      <c r="F298" s="33" t="s">
        <v>22884</v>
      </c>
      <c r="G298" s="33" t="s">
        <v>134</v>
      </c>
      <c r="H298" s="32" t="s">
        <v>22885</v>
      </c>
      <c r="I298" s="32" t="s">
        <v>22885</v>
      </c>
      <c r="J298" s="32" t="s">
        <v>22708</v>
      </c>
      <c r="K298" s="32" t="s">
        <v>16409</v>
      </c>
      <c r="L298" s="32" t="s">
        <v>3754</v>
      </c>
      <c r="M298" s="32" t="s">
        <v>22886</v>
      </c>
      <c r="N298" s="32" t="s">
        <v>22887</v>
      </c>
      <c r="O298" s="32" t="s">
        <v>22888</v>
      </c>
      <c r="P298" s="34" t="n">
        <v>7</v>
      </c>
      <c r="Q298" s="31" t="n">
        <v>7</v>
      </c>
      <c r="R298" s="31" t="s">
        <v>61</v>
      </c>
      <c r="S298" s="31" t="s">
        <v>62</v>
      </c>
      <c r="T298" s="31" t="s">
        <v>22889</v>
      </c>
      <c r="U298" s="31" t="n">
        <v>36</v>
      </c>
      <c r="V298" s="31" t="s">
        <v>17672</v>
      </c>
      <c r="W298" s="31" t="n">
        <v>1</v>
      </c>
      <c r="X298" s="31"/>
      <c r="Y298" s="31" t="s">
        <v>22890</v>
      </c>
      <c r="Z298" s="31" t="s">
        <v>22891</v>
      </c>
      <c r="AA298" s="31" t="s">
        <v>18828</v>
      </c>
      <c r="AB298" s="31" t="s">
        <v>22892</v>
      </c>
      <c r="AC298" s="31" t="s">
        <v>22893</v>
      </c>
      <c r="AD298" s="31" t="s">
        <v>22894</v>
      </c>
      <c r="AE298" s="31" t="s">
        <v>22895</v>
      </c>
      <c r="AF298" s="31"/>
      <c r="AG298" s="31"/>
      <c r="AH298" s="31"/>
      <c r="AI298" s="31" t="n">
        <v>85</v>
      </c>
      <c r="AJ298" s="31" t="n">
        <v>3</v>
      </c>
      <c r="AK298" s="31" t="n">
        <v>8</v>
      </c>
      <c r="AL298" s="31" t="s">
        <v>17680</v>
      </c>
      <c r="AM298" s="31" t="s">
        <v>17681</v>
      </c>
      <c r="AN298" s="31" t="s">
        <v>22896</v>
      </c>
      <c r="AO298" s="31" t="s">
        <v>22897</v>
      </c>
      <c r="AP298" s="31" t="s">
        <v>22898</v>
      </c>
      <c r="AQ298" s="31" t="s">
        <v>22899</v>
      </c>
      <c r="AR298" s="31" t="s">
        <v>19793</v>
      </c>
      <c r="AS298" s="31"/>
      <c r="AT298" s="31"/>
      <c r="AU298" s="31"/>
      <c r="AV298" s="31" t="s">
        <v>22900</v>
      </c>
      <c r="AW298" s="35" t="str">
        <f aca="false">HYPERLINK("http://dx.doi.org/10.1080/08839514.2022.2031826","http://dx.doi.org/10.1080/08839514.2022.2031826")</f>
        <v>http://dx.doi.org/10.1080/08839514.2022.2031826</v>
      </c>
      <c r="AX298" s="31" t="s">
        <v>22901</v>
      </c>
      <c r="AY298" s="31" t="n">
        <v>25</v>
      </c>
      <c r="AZ298" s="31" t="s">
        <v>16972</v>
      </c>
      <c r="BA298" s="31" t="s">
        <v>16366</v>
      </c>
      <c r="BB298" s="31" t="s">
        <v>16973</v>
      </c>
      <c r="BC298" s="31" t="s">
        <v>22902</v>
      </c>
      <c r="BD298" s="31"/>
      <c r="BE298" s="31" t="s">
        <v>16431</v>
      </c>
      <c r="BF298" s="31" t="s">
        <v>16369</v>
      </c>
      <c r="BG298" s="31" t="s">
        <v>22903</v>
      </c>
      <c r="BH298" s="31" t="str">
        <f aca="false">HYPERLINK("https%3A%2F%2Fwww.webofscience.com%2Fwos%2Fwoscc%2Ffull-record%2FWOS:000750165200001","View Full Record in Web of Science")</f>
        <v>View Full Record in Web of Science</v>
      </c>
      <c r="BI298" s="31"/>
      <c r="BJ298" s="31"/>
      <c r="BK298" s="31"/>
      <c r="BL298" s="31"/>
      <c r="BM298" s="31"/>
      <c r="BN298" s="31"/>
      <c r="BO298" s="31"/>
      <c r="BP298" s="31"/>
      <c r="BQ298" s="31"/>
      <c r="BR298" s="31"/>
      <c r="BS298" s="31"/>
      <c r="BT298" s="31"/>
      <c r="BU298" s="31"/>
      <c r="BV298" s="31"/>
      <c r="BW298" s="31"/>
      <c r="BX298" s="31"/>
      <c r="BY298" s="31"/>
      <c r="BZ298" s="31"/>
      <c r="CA298" s="31"/>
      <c r="CB298" s="31"/>
      <c r="CC298" s="31"/>
      <c r="CD298" s="31"/>
      <c r="CE298" s="31"/>
      <c r="CF298" s="31"/>
    </row>
    <row r="299" customFormat="false" ht="15.75" hidden="false" customHeight="true" outlineLevel="0" collapsed="false">
      <c r="A299" s="31" t="s">
        <v>16335</v>
      </c>
      <c r="B299" s="31" t="s">
        <v>22904</v>
      </c>
      <c r="C299" s="31" t="s">
        <v>22905</v>
      </c>
      <c r="D299" s="34" t="s">
        <v>22906</v>
      </c>
      <c r="E299" s="31" t="n">
        <v>2022</v>
      </c>
      <c r="F299" s="33" t="s">
        <v>22907</v>
      </c>
      <c r="G299" s="33" t="s">
        <v>134</v>
      </c>
      <c r="H299" s="32" t="s">
        <v>22908</v>
      </c>
      <c r="I299" s="32" t="s">
        <v>3715</v>
      </c>
      <c r="J299" s="32" t="s">
        <v>20887</v>
      </c>
      <c r="K299" s="32" t="s">
        <v>16409</v>
      </c>
      <c r="L299" s="32" t="s">
        <v>3754</v>
      </c>
      <c r="M299" s="32" t="s">
        <v>16410</v>
      </c>
      <c r="N299" s="32" t="s">
        <v>22909</v>
      </c>
      <c r="O299" s="34"/>
      <c r="P299" s="34" t="n">
        <v>3</v>
      </c>
      <c r="Q299" s="31" t="n">
        <v>3</v>
      </c>
      <c r="R299" s="31" t="s">
        <v>61</v>
      </c>
      <c r="S299" s="31" t="s">
        <v>62</v>
      </c>
      <c r="T299" s="31" t="s">
        <v>22910</v>
      </c>
      <c r="U299" s="31" t="n">
        <v>2022</v>
      </c>
      <c r="V299" s="31" t="s">
        <v>22911</v>
      </c>
      <c r="W299" s="31"/>
      <c r="X299" s="31"/>
      <c r="Y299" s="31" t="s">
        <v>19040</v>
      </c>
      <c r="Z299" s="31" t="s">
        <v>22912</v>
      </c>
      <c r="AA299" s="31" t="s">
        <v>22913</v>
      </c>
      <c r="AB299" s="31" t="s">
        <v>22914</v>
      </c>
      <c r="AC299" s="31" t="s">
        <v>22915</v>
      </c>
      <c r="AD299" s="31" t="s">
        <v>22916</v>
      </c>
      <c r="AE299" s="31" t="s">
        <v>22917</v>
      </c>
      <c r="AF299" s="31" t="s">
        <v>17368</v>
      </c>
      <c r="AG299" s="31" t="s">
        <v>17369</v>
      </c>
      <c r="AH299" s="31" t="s">
        <v>17370</v>
      </c>
      <c r="AI299" s="31" t="n">
        <v>33</v>
      </c>
      <c r="AJ299" s="31" t="n">
        <v>0</v>
      </c>
      <c r="AK299" s="31" t="n">
        <v>2</v>
      </c>
      <c r="AL299" s="31" t="s">
        <v>16821</v>
      </c>
      <c r="AM299" s="31" t="s">
        <v>22918</v>
      </c>
      <c r="AN299" s="31" t="s">
        <v>22919</v>
      </c>
      <c r="AO299" s="31" t="s">
        <v>22920</v>
      </c>
      <c r="AP299" s="31" t="s">
        <v>22921</v>
      </c>
      <c r="AQ299" s="31" t="s">
        <v>22922</v>
      </c>
      <c r="AR299" s="31" t="s">
        <v>22923</v>
      </c>
      <c r="AS299" s="31"/>
      <c r="AT299" s="31"/>
      <c r="AU299" s="31" t="n">
        <v>9171343</v>
      </c>
      <c r="AV299" s="31" t="s">
        <v>22924</v>
      </c>
      <c r="AW299" s="35" t="str">
        <f aca="false">HYPERLINK("http://dx.doi.org/10.1155/2022/9171343","http://dx.doi.org/10.1155/2022/9171343")</f>
        <v>http://dx.doi.org/10.1155/2022/9171343</v>
      </c>
      <c r="AX299" s="31"/>
      <c r="AY299" s="31" t="n">
        <v>9</v>
      </c>
      <c r="AZ299" s="31" t="s">
        <v>16998</v>
      </c>
      <c r="BA299" s="31" t="s">
        <v>16366</v>
      </c>
      <c r="BB299" s="31" t="s">
        <v>16998</v>
      </c>
      <c r="BC299" s="31" t="s">
        <v>22925</v>
      </c>
      <c r="BD299" s="31" t="n">
        <v>35800239</v>
      </c>
      <c r="BE299" s="31" t="s">
        <v>17117</v>
      </c>
      <c r="BF299" s="31" t="s">
        <v>16369</v>
      </c>
      <c r="BG299" s="31" t="s">
        <v>22926</v>
      </c>
      <c r="BH299" s="31" t="str">
        <f aca="false">HYPERLINK("https%3A%2F%2Fwww.webofscience.com%2Fwos%2Fwoscc%2Ffull-record%2FWOS:000813930700004","View Full Record in Web of Science")</f>
        <v>View Full Record in Web of Science</v>
      </c>
      <c r="BI299" s="31"/>
      <c r="BJ299" s="31"/>
      <c r="BK299" s="31"/>
      <c r="BL299" s="31"/>
      <c r="BM299" s="31"/>
      <c r="BN299" s="31"/>
      <c r="BO299" s="31"/>
      <c r="BP299" s="31"/>
      <c r="BQ299" s="31"/>
      <c r="BR299" s="31"/>
      <c r="BS299" s="31"/>
      <c r="BT299" s="31"/>
      <c r="BU299" s="31"/>
      <c r="BV299" s="31"/>
      <c r="BW299" s="31"/>
      <c r="BX299" s="31"/>
      <c r="BY299" s="31"/>
      <c r="BZ299" s="31"/>
      <c r="CA299" s="31"/>
      <c r="CB299" s="31"/>
      <c r="CC299" s="31"/>
      <c r="CD299" s="31"/>
      <c r="CE299" s="31"/>
      <c r="CF299" s="31"/>
    </row>
    <row r="300" customFormat="false" ht="15.75" hidden="false" customHeight="true" outlineLevel="0" collapsed="false">
      <c r="A300" s="31" t="s">
        <v>16335</v>
      </c>
      <c r="B300" s="31" t="s">
        <v>22927</v>
      </c>
      <c r="C300" s="31" t="s">
        <v>22928</v>
      </c>
      <c r="D300" s="34" t="s">
        <v>22929</v>
      </c>
      <c r="E300" s="31" t="n">
        <v>2022</v>
      </c>
      <c r="F300" s="33" t="s">
        <v>22930</v>
      </c>
      <c r="G300" s="33" t="s">
        <v>134</v>
      </c>
      <c r="H300" s="32" t="s">
        <v>4101</v>
      </c>
      <c r="I300" s="34"/>
      <c r="J300" s="32" t="s">
        <v>20887</v>
      </c>
      <c r="K300" s="32" t="s">
        <v>17573</v>
      </c>
      <c r="L300" s="34"/>
      <c r="M300" s="32" t="s">
        <v>22931</v>
      </c>
      <c r="N300" s="32" t="s">
        <v>22932</v>
      </c>
      <c r="O300" s="34"/>
      <c r="P300" s="34" t="n">
        <v>5</v>
      </c>
      <c r="Q300" s="31" t="n">
        <v>5</v>
      </c>
      <c r="R300" s="31" t="s">
        <v>61</v>
      </c>
      <c r="S300" s="31" t="s">
        <v>62</v>
      </c>
      <c r="T300" s="31" t="s">
        <v>22933</v>
      </c>
      <c r="U300" s="31" t="n">
        <v>19</v>
      </c>
      <c r="V300" s="31" t="s">
        <v>22934</v>
      </c>
      <c r="W300" s="31" t="n">
        <v>1</v>
      </c>
      <c r="X300" s="31" t="s">
        <v>22935</v>
      </c>
      <c r="Y300" s="31" t="s">
        <v>22936</v>
      </c>
      <c r="Z300" s="31" t="s">
        <v>22937</v>
      </c>
      <c r="AA300" s="31" t="s">
        <v>22938</v>
      </c>
      <c r="AB300" s="31" t="s">
        <v>22939</v>
      </c>
      <c r="AC300" s="31" t="s">
        <v>22940</v>
      </c>
      <c r="AD300" s="31" t="s">
        <v>22941</v>
      </c>
      <c r="AE300" s="31" t="s">
        <v>22942</v>
      </c>
      <c r="AF300" s="31" t="s">
        <v>22943</v>
      </c>
      <c r="AG300" s="31" t="s">
        <v>22944</v>
      </c>
      <c r="AH300" s="31" t="s">
        <v>22945</v>
      </c>
      <c r="AI300" s="31" t="n">
        <v>45</v>
      </c>
      <c r="AJ300" s="31" t="n">
        <v>1</v>
      </c>
      <c r="AK300" s="31" t="n">
        <v>14</v>
      </c>
      <c r="AL300" s="31" t="s">
        <v>22946</v>
      </c>
      <c r="AM300" s="31" t="s">
        <v>22947</v>
      </c>
      <c r="AN300" s="31" t="s">
        <v>22948</v>
      </c>
      <c r="AO300" s="31" t="s">
        <v>22949</v>
      </c>
      <c r="AP300" s="31" t="s">
        <v>22950</v>
      </c>
      <c r="AQ300" s="31" t="s">
        <v>22951</v>
      </c>
      <c r="AR300" s="31"/>
      <c r="AS300" s="31" t="n">
        <v>1</v>
      </c>
      <c r="AT300" s="31" t="n">
        <v>17</v>
      </c>
      <c r="AU300" s="31"/>
      <c r="AV300" s="31" t="s">
        <v>22952</v>
      </c>
      <c r="AW300" s="35" t="str">
        <f aca="false">HYPERLINK("http://dx.doi.org/10.1504/IJBIC.2022.120749","http://dx.doi.org/10.1504/IJBIC.2022.120749")</f>
        <v>http://dx.doi.org/10.1504/IJBIC.2022.120749</v>
      </c>
      <c r="AX300" s="31"/>
      <c r="AY300" s="31" t="n">
        <v>17</v>
      </c>
      <c r="AZ300" s="31" t="s">
        <v>22595</v>
      </c>
      <c r="BA300" s="31" t="s">
        <v>16366</v>
      </c>
      <c r="BB300" s="31" t="s">
        <v>16367</v>
      </c>
      <c r="BC300" s="31" t="s">
        <v>22953</v>
      </c>
      <c r="BD300" s="31"/>
      <c r="BE300" s="31"/>
      <c r="BF300" s="31" t="s">
        <v>16369</v>
      </c>
      <c r="BG300" s="31" t="s">
        <v>22954</v>
      </c>
      <c r="BH300" s="31" t="str">
        <f aca="false">HYPERLINK("https%3A%2F%2Fwww.webofscience.com%2Fwos%2Fwoscc%2Ffull-record%2FWOS:000752425400001","View Full Record in Web of Science")</f>
        <v>View Full Record in Web of Science</v>
      </c>
      <c r="BI300" s="31"/>
      <c r="BJ300" s="31"/>
      <c r="BK300" s="31"/>
      <c r="BL300" s="31"/>
      <c r="BM300" s="31"/>
      <c r="BN300" s="31"/>
      <c r="BO300" s="31"/>
      <c r="BP300" s="31"/>
      <c r="BQ300" s="31"/>
      <c r="BR300" s="31"/>
      <c r="BS300" s="31"/>
      <c r="BT300" s="31"/>
      <c r="BU300" s="31"/>
      <c r="BV300" s="31"/>
      <c r="BW300" s="31"/>
      <c r="BX300" s="31"/>
      <c r="BY300" s="31"/>
      <c r="BZ300" s="31"/>
      <c r="CA300" s="31"/>
      <c r="CB300" s="31"/>
      <c r="CC300" s="31"/>
      <c r="CD300" s="31"/>
      <c r="CE300" s="31"/>
      <c r="CF300" s="31"/>
    </row>
    <row r="301" customFormat="false" ht="136.5" hidden="false" customHeight="true" outlineLevel="0" collapsed="false">
      <c r="A301" s="31" t="s">
        <v>16335</v>
      </c>
      <c r="B301" s="31" t="s">
        <v>22955</v>
      </c>
      <c r="C301" s="31" t="s">
        <v>22956</v>
      </c>
      <c r="D301" s="34" t="s">
        <v>22957</v>
      </c>
      <c r="E301" s="31" t="n">
        <v>2022</v>
      </c>
      <c r="F301" s="33" t="s">
        <v>22958</v>
      </c>
      <c r="G301" s="33" t="s">
        <v>134</v>
      </c>
      <c r="H301" s="32" t="s">
        <v>22959</v>
      </c>
      <c r="I301" s="32" t="s">
        <v>3715</v>
      </c>
      <c r="J301" s="32" t="s">
        <v>21109</v>
      </c>
      <c r="K301" s="32" t="s">
        <v>16409</v>
      </c>
      <c r="L301" s="32" t="s">
        <v>3754</v>
      </c>
      <c r="M301" s="32" t="s">
        <v>22960</v>
      </c>
      <c r="N301" s="32" t="s">
        <v>22961</v>
      </c>
      <c r="O301" s="34"/>
      <c r="P301" s="34" t="n">
        <v>9</v>
      </c>
      <c r="Q301" s="31" t="n">
        <v>10</v>
      </c>
      <c r="R301" s="31" t="s">
        <v>61</v>
      </c>
      <c r="S301" s="31" t="s">
        <v>62</v>
      </c>
      <c r="T301" s="31" t="s">
        <v>17359</v>
      </c>
      <c r="U301" s="31" t="n">
        <v>2022</v>
      </c>
      <c r="V301" s="31" t="s">
        <v>17360</v>
      </c>
      <c r="W301" s="31"/>
      <c r="X301" s="31"/>
      <c r="Y301" s="31" t="s">
        <v>22962</v>
      </c>
      <c r="Z301" s="31" t="s">
        <v>22963</v>
      </c>
      <c r="AA301" s="31" t="s">
        <v>22964</v>
      </c>
      <c r="AB301" s="31" t="s">
        <v>22965</v>
      </c>
      <c r="AC301" s="31" t="s">
        <v>22966</v>
      </c>
      <c r="AD301" s="31" t="s">
        <v>22967</v>
      </c>
      <c r="AE301" s="31" t="s">
        <v>22968</v>
      </c>
      <c r="AF301" s="31"/>
      <c r="AG301" s="31"/>
      <c r="AH301" s="31"/>
      <c r="AI301" s="31" t="n">
        <v>43</v>
      </c>
      <c r="AJ301" s="31" t="n">
        <v>0</v>
      </c>
      <c r="AK301" s="31" t="n">
        <v>6</v>
      </c>
      <c r="AL301" s="31" t="s">
        <v>16821</v>
      </c>
      <c r="AM301" s="31" t="s">
        <v>17371</v>
      </c>
      <c r="AN301" s="31" t="s">
        <v>17372</v>
      </c>
      <c r="AO301" s="31" t="s">
        <v>17373</v>
      </c>
      <c r="AP301" s="31" t="s">
        <v>17374</v>
      </c>
      <c r="AQ301" s="31" t="s">
        <v>17375</v>
      </c>
      <c r="AR301" s="31" t="s">
        <v>21014</v>
      </c>
      <c r="AS301" s="31"/>
      <c r="AT301" s="31"/>
      <c r="AU301" s="31"/>
      <c r="AV301" s="31" t="s">
        <v>22969</v>
      </c>
      <c r="AW301" s="35" t="str">
        <f aca="false">HYPERLINK("http://dx.doi.org/10.1155/2022/2221728","http://dx.doi.org/10.1155/2022/2221728")</f>
        <v>http://dx.doi.org/10.1155/2022/2221728</v>
      </c>
      <c r="AX301" s="31"/>
      <c r="AY301" s="31" t="n">
        <v>14</v>
      </c>
      <c r="AZ301" s="31" t="s">
        <v>17378</v>
      </c>
      <c r="BA301" s="31" t="s">
        <v>16366</v>
      </c>
      <c r="BB301" s="31" t="s">
        <v>17379</v>
      </c>
      <c r="BC301" s="31" t="s">
        <v>22970</v>
      </c>
      <c r="BD301" s="31" t="n">
        <v>35814548</v>
      </c>
      <c r="BE301" s="31" t="s">
        <v>17143</v>
      </c>
      <c r="BF301" s="31" t="s">
        <v>16369</v>
      </c>
      <c r="BG301" s="31" t="s">
        <v>22971</v>
      </c>
      <c r="BH301" s="31" t="str">
        <f aca="false">HYPERLINK("https%3A%2F%2Fwww.webofscience.com%2Fwos%2Fwoscc%2Ffull-record%2FWOS:000862665900018","View Full Record in Web of Science")</f>
        <v>View Full Record in Web of Science</v>
      </c>
      <c r="BI301" s="31"/>
      <c r="BJ301" s="31"/>
      <c r="BK301" s="31"/>
      <c r="BL301" s="31"/>
      <c r="BM301" s="31"/>
      <c r="BN301" s="31"/>
      <c r="BO301" s="31"/>
      <c r="BP301" s="31"/>
      <c r="BQ301" s="31"/>
      <c r="BR301" s="31"/>
      <c r="BS301" s="31"/>
      <c r="BT301" s="31"/>
      <c r="BU301" s="31"/>
      <c r="BV301" s="31"/>
      <c r="BW301" s="31"/>
      <c r="BX301" s="31"/>
      <c r="BY301" s="31"/>
      <c r="BZ301" s="31"/>
      <c r="CA301" s="31"/>
      <c r="CB301" s="31"/>
      <c r="CC301" s="31"/>
      <c r="CD301" s="31"/>
      <c r="CE301" s="31"/>
      <c r="CF301" s="31"/>
    </row>
    <row r="302" customFormat="false" ht="15.75" hidden="false" customHeight="true" outlineLevel="0" collapsed="false">
      <c r="A302" s="31" t="s">
        <v>16335</v>
      </c>
      <c r="B302" s="31" t="s">
        <v>22972</v>
      </c>
      <c r="C302" s="31" t="s">
        <v>22973</v>
      </c>
      <c r="D302" s="34" t="s">
        <v>22974</v>
      </c>
      <c r="E302" s="31" t="n">
        <v>2022</v>
      </c>
      <c r="F302" s="33" t="s">
        <v>22975</v>
      </c>
      <c r="G302" s="33" t="s">
        <v>134</v>
      </c>
      <c r="H302" s="32" t="s">
        <v>22976</v>
      </c>
      <c r="I302" s="32" t="s">
        <v>21551</v>
      </c>
      <c r="J302" s="32" t="s">
        <v>21109</v>
      </c>
      <c r="K302" s="32" t="s">
        <v>16409</v>
      </c>
      <c r="L302" s="32" t="s">
        <v>3754</v>
      </c>
      <c r="M302" s="32" t="s">
        <v>22977</v>
      </c>
      <c r="N302" s="32" t="s">
        <v>22978</v>
      </c>
      <c r="O302" s="34"/>
      <c r="P302" s="34" t="n">
        <v>14</v>
      </c>
      <c r="Q302" s="31" t="n">
        <v>14</v>
      </c>
      <c r="R302" s="31" t="s">
        <v>61</v>
      </c>
      <c r="S302" s="31" t="s">
        <v>62</v>
      </c>
      <c r="T302" s="31" t="s">
        <v>16383</v>
      </c>
      <c r="U302" s="31" t="n">
        <v>10</v>
      </c>
      <c r="V302" s="31" t="s">
        <v>16384</v>
      </c>
      <c r="W302" s="31"/>
      <c r="X302" s="31" t="s">
        <v>22979</v>
      </c>
      <c r="Y302" s="31"/>
      <c r="Z302" s="31" t="s">
        <v>22980</v>
      </c>
      <c r="AA302" s="31" t="s">
        <v>22981</v>
      </c>
      <c r="AB302" s="31" t="s">
        <v>22982</v>
      </c>
      <c r="AC302" s="31" t="s">
        <v>22983</v>
      </c>
      <c r="AD302" s="31" t="s">
        <v>22984</v>
      </c>
      <c r="AE302" s="31" t="s">
        <v>22985</v>
      </c>
      <c r="AF302" s="31" t="s">
        <v>22986</v>
      </c>
      <c r="AG302" s="31" t="s">
        <v>22987</v>
      </c>
      <c r="AH302" s="31" t="s">
        <v>22988</v>
      </c>
      <c r="AI302" s="31" t="n">
        <v>27</v>
      </c>
      <c r="AJ302" s="31" t="n">
        <v>5</v>
      </c>
      <c r="AK302" s="31" t="n">
        <v>31</v>
      </c>
      <c r="AL302" s="31" t="s">
        <v>16395</v>
      </c>
      <c r="AM302" s="31" t="s">
        <v>16396</v>
      </c>
      <c r="AN302" s="31" t="s">
        <v>16397</v>
      </c>
      <c r="AO302" s="31"/>
      <c r="AP302" s="31" t="s">
        <v>16383</v>
      </c>
      <c r="AQ302" s="31" t="s">
        <v>186</v>
      </c>
      <c r="AR302" s="31"/>
      <c r="AS302" s="31" t="n">
        <v>102157</v>
      </c>
      <c r="AT302" s="31" t="n">
        <v>102172</v>
      </c>
      <c r="AU302" s="31"/>
      <c r="AV302" s="31" t="s">
        <v>22989</v>
      </c>
      <c r="AW302" s="35" t="str">
        <f aca="false">HYPERLINK("http://dx.doi.org/10.1109/ACCESS.2022.3208270","http://dx.doi.org/10.1109/ACCESS.2022.3208270")</f>
        <v>http://dx.doi.org/10.1109/ACCESS.2022.3208270</v>
      </c>
      <c r="AX302" s="31"/>
      <c r="AY302" s="31" t="n">
        <v>16</v>
      </c>
      <c r="AZ302" s="31" t="s">
        <v>16399</v>
      </c>
      <c r="BA302" s="31" t="s">
        <v>16366</v>
      </c>
      <c r="BB302" s="31" t="s">
        <v>16400</v>
      </c>
      <c r="BC302" s="31" t="s">
        <v>22990</v>
      </c>
      <c r="BD302" s="31"/>
      <c r="BE302" s="31"/>
      <c r="BF302" s="31" t="s">
        <v>16369</v>
      </c>
      <c r="BG302" s="31" t="s">
        <v>22991</v>
      </c>
      <c r="BH302" s="31" t="str">
        <f aca="false">HYPERLINK("https%3A%2F%2Fwww.webofscience.com%2Fwos%2Fwoscc%2Ffull-record%2FWOS:000864141200001","View Full Record in Web of Science")</f>
        <v>View Full Record in Web of Science</v>
      </c>
      <c r="BI302" s="31"/>
      <c r="BJ302" s="31"/>
      <c r="BK302" s="31"/>
      <c r="BL302" s="31"/>
      <c r="BM302" s="31"/>
      <c r="BN302" s="31"/>
      <c r="BO302" s="31"/>
      <c r="BP302" s="31"/>
      <c r="BQ302" s="31"/>
      <c r="BR302" s="31"/>
      <c r="BS302" s="31"/>
      <c r="BT302" s="31"/>
      <c r="BU302" s="31"/>
      <c r="BV302" s="31"/>
      <c r="BW302" s="31"/>
      <c r="BX302" s="31"/>
      <c r="BY302" s="31"/>
      <c r="BZ302" s="31"/>
      <c r="CA302" s="31"/>
      <c r="CB302" s="31"/>
      <c r="CC302" s="31"/>
      <c r="CD302" s="31"/>
      <c r="CE302" s="31"/>
      <c r="CF302" s="31"/>
    </row>
    <row r="303" customFormat="false" ht="15.75" hidden="false" customHeight="true" outlineLevel="0" collapsed="false">
      <c r="A303" s="31" t="s">
        <v>16335</v>
      </c>
      <c r="B303" s="31" t="s">
        <v>22992</v>
      </c>
      <c r="C303" s="31" t="s">
        <v>22993</v>
      </c>
      <c r="D303" s="34" t="s">
        <v>22994</v>
      </c>
      <c r="E303" s="31" t="n">
        <v>2022</v>
      </c>
      <c r="F303" s="33" t="s">
        <v>22995</v>
      </c>
      <c r="G303" s="33" t="s">
        <v>349</v>
      </c>
      <c r="H303" s="32" t="s">
        <v>22996</v>
      </c>
      <c r="I303" s="32" t="s">
        <v>22997</v>
      </c>
      <c r="J303" s="34"/>
      <c r="K303" s="32" t="s">
        <v>16840</v>
      </c>
      <c r="L303" s="34"/>
      <c r="M303" s="32" t="s">
        <v>22998</v>
      </c>
      <c r="N303" s="34"/>
      <c r="O303" s="34"/>
      <c r="P303" s="34" t="n">
        <v>32</v>
      </c>
      <c r="Q303" s="31" t="n">
        <v>32</v>
      </c>
      <c r="R303" s="31" t="s">
        <v>61</v>
      </c>
      <c r="S303" s="31" t="s">
        <v>62</v>
      </c>
      <c r="T303" s="31" t="s">
        <v>16844</v>
      </c>
      <c r="U303" s="31" t="n">
        <v>16</v>
      </c>
      <c r="V303" s="31" t="s">
        <v>16845</v>
      </c>
      <c r="W303" s="31" t="n">
        <v>6</v>
      </c>
      <c r="X303" s="31"/>
      <c r="Y303" s="31" t="s">
        <v>22999</v>
      </c>
      <c r="Z303" s="31" t="s">
        <v>23000</v>
      </c>
      <c r="AA303" s="31" t="s">
        <v>23001</v>
      </c>
      <c r="AB303" s="31" t="s">
        <v>23002</v>
      </c>
      <c r="AC303" s="31" t="s">
        <v>23003</v>
      </c>
      <c r="AD303" s="31" t="s">
        <v>23004</v>
      </c>
      <c r="AE303" s="31" t="s">
        <v>23005</v>
      </c>
      <c r="AF303" s="31" t="s">
        <v>23006</v>
      </c>
      <c r="AG303" s="31" t="s">
        <v>23007</v>
      </c>
      <c r="AH303" s="31" t="s">
        <v>23008</v>
      </c>
      <c r="AI303" s="31" t="n">
        <v>56</v>
      </c>
      <c r="AJ303" s="31" t="n">
        <v>3</v>
      </c>
      <c r="AK303" s="31" t="n">
        <v>36</v>
      </c>
      <c r="AL303" s="31" t="s">
        <v>16855</v>
      </c>
      <c r="AM303" s="31" t="s">
        <v>16856</v>
      </c>
      <c r="AN303" s="31" t="s">
        <v>16857</v>
      </c>
      <c r="AO303" s="31"/>
      <c r="AP303" s="31" t="s">
        <v>16858</v>
      </c>
      <c r="AQ303" s="31" t="s">
        <v>16859</v>
      </c>
      <c r="AR303" s="31" t="s">
        <v>16683</v>
      </c>
      <c r="AS303" s="31"/>
      <c r="AT303" s="31"/>
      <c r="AU303" s="31" t="s">
        <v>23009</v>
      </c>
      <c r="AV303" s="31" t="s">
        <v>23010</v>
      </c>
      <c r="AW303" s="35" t="str">
        <f aca="false">HYPERLINK("http://dx.doi.org/10.1371/journal.pntd.0010509","http://dx.doi.org/10.1371/journal.pntd.0010509")</f>
        <v>http://dx.doi.org/10.1371/journal.pntd.0010509</v>
      </c>
      <c r="AX303" s="31"/>
      <c r="AY303" s="31" t="n">
        <v>22</v>
      </c>
      <c r="AZ303" s="31" t="s">
        <v>16862</v>
      </c>
      <c r="BA303" s="31" t="s">
        <v>16366</v>
      </c>
      <c r="BB303" s="31" t="s">
        <v>16862</v>
      </c>
      <c r="BC303" s="31" t="s">
        <v>23011</v>
      </c>
      <c r="BD303" s="31" t="n">
        <v>35696432</v>
      </c>
      <c r="BE303" s="31" t="s">
        <v>17143</v>
      </c>
      <c r="BF303" s="31" t="s">
        <v>16369</v>
      </c>
      <c r="BG303" s="31" t="s">
        <v>23012</v>
      </c>
      <c r="BH303" s="31" t="str">
        <f aca="false">HYPERLINK("https%3A%2F%2Fwww.webofscience.com%2Fwos%2Fwoscc%2Ffull-record%2FWOS:000830263700018","View Full Record in Web of Science")</f>
        <v>View Full Record in Web of Science</v>
      </c>
      <c r="BI303" s="31"/>
      <c r="BJ303" s="31"/>
      <c r="BK303" s="31"/>
      <c r="BL303" s="31"/>
      <c r="BM303" s="31"/>
      <c r="BN303" s="31"/>
      <c r="BO303" s="31"/>
      <c r="BP303" s="31"/>
      <c r="BQ303" s="31"/>
      <c r="BR303" s="31"/>
      <c r="BS303" s="31"/>
      <c r="BT303" s="31"/>
      <c r="BU303" s="31"/>
      <c r="BV303" s="31"/>
      <c r="BW303" s="31"/>
      <c r="BX303" s="31"/>
      <c r="BY303" s="31"/>
      <c r="BZ303" s="31"/>
      <c r="CA303" s="31"/>
      <c r="CB303" s="31"/>
      <c r="CC303" s="31"/>
      <c r="CD303" s="31"/>
      <c r="CE303" s="31"/>
      <c r="CF303" s="31"/>
    </row>
    <row r="304" customFormat="false" ht="15.75" hidden="false" customHeight="true" outlineLevel="0" collapsed="false">
      <c r="A304" s="31" t="s">
        <v>16335</v>
      </c>
      <c r="B304" s="31" t="s">
        <v>23013</v>
      </c>
      <c r="C304" s="31" t="s">
        <v>23014</v>
      </c>
      <c r="D304" s="34" t="s">
        <v>23015</v>
      </c>
      <c r="E304" s="31" t="n">
        <v>2022</v>
      </c>
      <c r="F304" s="33" t="s">
        <v>23016</v>
      </c>
      <c r="G304" s="33" t="s">
        <v>134</v>
      </c>
      <c r="H304" s="32" t="s">
        <v>21245</v>
      </c>
      <c r="I304" s="32" t="s">
        <v>22885</v>
      </c>
      <c r="J304" s="32" t="s">
        <v>20887</v>
      </c>
      <c r="K304" s="32" t="s">
        <v>21314</v>
      </c>
      <c r="L304" s="32" t="s">
        <v>3754</v>
      </c>
      <c r="M304" s="32" t="s">
        <v>23017</v>
      </c>
      <c r="N304" s="32" t="s">
        <v>23018</v>
      </c>
      <c r="O304" s="34"/>
      <c r="P304" s="34" t="n">
        <v>5</v>
      </c>
      <c r="Q304" s="31" t="n">
        <v>5</v>
      </c>
      <c r="R304" s="31" t="s">
        <v>61</v>
      </c>
      <c r="S304" s="31" t="s">
        <v>62</v>
      </c>
      <c r="T304" s="31" t="s">
        <v>16844</v>
      </c>
      <c r="U304" s="31" t="n">
        <v>16</v>
      </c>
      <c r="V304" s="31" t="s">
        <v>16845</v>
      </c>
      <c r="W304" s="31" t="n">
        <v>12</v>
      </c>
      <c r="X304" s="31"/>
      <c r="Y304" s="31" t="s">
        <v>23019</v>
      </c>
      <c r="Z304" s="31" t="s">
        <v>23020</v>
      </c>
      <c r="AA304" s="31" t="s">
        <v>23021</v>
      </c>
      <c r="AB304" s="31" t="s">
        <v>23022</v>
      </c>
      <c r="AC304" s="31" t="s">
        <v>23023</v>
      </c>
      <c r="AD304" s="31"/>
      <c r="AE304" s="31"/>
      <c r="AF304" s="31" t="s">
        <v>23024</v>
      </c>
      <c r="AG304" s="31" t="s">
        <v>23025</v>
      </c>
      <c r="AH304" s="31" t="s">
        <v>23026</v>
      </c>
      <c r="AI304" s="31" t="n">
        <v>47</v>
      </c>
      <c r="AJ304" s="31" t="n">
        <v>0</v>
      </c>
      <c r="AK304" s="31" t="n">
        <v>2</v>
      </c>
      <c r="AL304" s="31" t="s">
        <v>16855</v>
      </c>
      <c r="AM304" s="31" t="s">
        <v>16856</v>
      </c>
      <c r="AN304" s="31" t="s">
        <v>16857</v>
      </c>
      <c r="AO304" s="31"/>
      <c r="AP304" s="31" t="s">
        <v>16858</v>
      </c>
      <c r="AQ304" s="31" t="s">
        <v>16859</v>
      </c>
      <c r="AR304" s="31" t="s">
        <v>16649</v>
      </c>
      <c r="AS304" s="31"/>
      <c r="AT304" s="31"/>
      <c r="AU304" s="31" t="s">
        <v>23027</v>
      </c>
      <c r="AV304" s="31" t="s">
        <v>23028</v>
      </c>
      <c r="AW304" s="35" t="str">
        <f aca="false">HYPERLINK("http://dx.doi.org/10.1371/journal.pntd.0010943","http://dx.doi.org/10.1371/journal.pntd.0010943")</f>
        <v>http://dx.doi.org/10.1371/journal.pntd.0010943</v>
      </c>
      <c r="AX304" s="31"/>
      <c r="AY304" s="31" t="n">
        <v>15</v>
      </c>
      <c r="AZ304" s="31" t="s">
        <v>16862</v>
      </c>
      <c r="BA304" s="31" t="s">
        <v>16366</v>
      </c>
      <c r="BB304" s="31" t="s">
        <v>16862</v>
      </c>
      <c r="BC304" s="31" t="s">
        <v>23029</v>
      </c>
      <c r="BD304" s="31" t="n">
        <v>36477293</v>
      </c>
      <c r="BE304" s="31" t="s">
        <v>17143</v>
      </c>
      <c r="BF304" s="31" t="s">
        <v>16369</v>
      </c>
      <c r="BG304" s="31" t="s">
        <v>23030</v>
      </c>
      <c r="BH304" s="31" t="str">
        <f aca="false">HYPERLINK("https%3A%2F%2Fwww.webofscience.com%2Fwos%2Fwoscc%2Ffull-record%2FWOS:000922603900025","View Full Record in Web of Science")</f>
        <v>View Full Record in Web of Science</v>
      </c>
      <c r="BI304" s="31"/>
      <c r="BJ304" s="31"/>
      <c r="BK304" s="31"/>
      <c r="BL304" s="31"/>
      <c r="BM304" s="31"/>
      <c r="BN304" s="31"/>
      <c r="BO304" s="31"/>
      <c r="BP304" s="31"/>
      <c r="BQ304" s="31"/>
      <c r="BR304" s="31"/>
      <c r="BS304" s="31"/>
      <c r="BT304" s="31"/>
      <c r="BU304" s="31"/>
      <c r="BV304" s="31"/>
      <c r="BW304" s="31"/>
      <c r="BX304" s="31"/>
      <c r="BY304" s="31"/>
      <c r="BZ304" s="31"/>
      <c r="CA304" s="31"/>
      <c r="CB304" s="31"/>
      <c r="CC304" s="31"/>
      <c r="CD304" s="31"/>
      <c r="CE304" s="31"/>
      <c r="CF304" s="31"/>
    </row>
    <row r="305" customFormat="false" ht="132.75" hidden="false" customHeight="true" outlineLevel="0" collapsed="false">
      <c r="A305" s="31" t="s">
        <v>16335</v>
      </c>
      <c r="B305" s="31" t="s">
        <v>23031</v>
      </c>
      <c r="C305" s="31" t="s">
        <v>23032</v>
      </c>
      <c r="D305" s="34" t="s">
        <v>23033</v>
      </c>
      <c r="E305" s="31" t="n">
        <v>2022</v>
      </c>
      <c r="F305" s="33" t="s">
        <v>23034</v>
      </c>
      <c r="G305" s="33" t="s">
        <v>290</v>
      </c>
      <c r="H305" s="32" t="s">
        <v>3920</v>
      </c>
      <c r="I305" s="34"/>
      <c r="J305" s="32" t="s">
        <v>23035</v>
      </c>
      <c r="K305" s="32" t="s">
        <v>23036</v>
      </c>
      <c r="L305" s="32" t="s">
        <v>3754</v>
      </c>
      <c r="M305" s="32" t="s">
        <v>23037</v>
      </c>
      <c r="N305" s="32" t="s">
        <v>23038</v>
      </c>
      <c r="O305" s="34"/>
      <c r="P305" s="34" t="n">
        <v>8</v>
      </c>
      <c r="Q305" s="31" t="n">
        <v>8</v>
      </c>
      <c r="R305" s="31" t="s">
        <v>61</v>
      </c>
      <c r="S305" s="31" t="s">
        <v>62</v>
      </c>
      <c r="T305" s="31" t="s">
        <v>23039</v>
      </c>
      <c r="U305" s="31" t="n">
        <v>26</v>
      </c>
      <c r="V305" s="31" t="s">
        <v>16600</v>
      </c>
      <c r="W305" s="31" t="n">
        <v>3</v>
      </c>
      <c r="X305" s="31" t="s">
        <v>23040</v>
      </c>
      <c r="Y305" s="31"/>
      <c r="Z305" s="31" t="s">
        <v>23041</v>
      </c>
      <c r="AA305" s="31" t="s">
        <v>23042</v>
      </c>
      <c r="AB305" s="31" t="s">
        <v>23043</v>
      </c>
      <c r="AC305" s="31" t="s">
        <v>23044</v>
      </c>
      <c r="AD305" s="31" t="s">
        <v>23045</v>
      </c>
      <c r="AE305" s="31" t="s">
        <v>23046</v>
      </c>
      <c r="AF305" s="31" t="s">
        <v>23047</v>
      </c>
      <c r="AG305" s="31" t="s">
        <v>23048</v>
      </c>
      <c r="AH305" s="31" t="s">
        <v>23049</v>
      </c>
      <c r="AI305" s="31" t="n">
        <v>47</v>
      </c>
      <c r="AJ305" s="31" t="n">
        <v>1</v>
      </c>
      <c r="AK305" s="31" t="n">
        <v>2</v>
      </c>
      <c r="AL305" s="31" t="s">
        <v>16609</v>
      </c>
      <c r="AM305" s="31" t="s">
        <v>16610</v>
      </c>
      <c r="AN305" s="31" t="s">
        <v>23050</v>
      </c>
      <c r="AO305" s="31" t="s">
        <v>23051</v>
      </c>
      <c r="AP305" s="31" t="s">
        <v>23052</v>
      </c>
      <c r="AQ305" s="31" t="s">
        <v>23053</v>
      </c>
      <c r="AR305" s="31" t="s">
        <v>16683</v>
      </c>
      <c r="AS305" s="31" t="n">
        <v>1345</v>
      </c>
      <c r="AT305" s="31" t="n">
        <v>1356</v>
      </c>
      <c r="AU305" s="31"/>
      <c r="AV305" s="31" t="s">
        <v>23054</v>
      </c>
      <c r="AW305" s="35" t="str">
        <f aca="false">HYPERLINK("http://dx.doi.org/10.1007/s11030-021-10238-y","http://dx.doi.org/10.1007/s11030-021-10238-y")</f>
        <v>http://dx.doi.org/10.1007/s11030-021-10238-y</v>
      </c>
      <c r="AX305" s="31" t="s">
        <v>22383</v>
      </c>
      <c r="AY305" s="31" t="n">
        <v>12</v>
      </c>
      <c r="AZ305" s="31" t="s">
        <v>23055</v>
      </c>
      <c r="BA305" s="31" t="s">
        <v>16366</v>
      </c>
      <c r="BB305" s="31" t="s">
        <v>23056</v>
      </c>
      <c r="BC305" s="31" t="s">
        <v>23057</v>
      </c>
      <c r="BD305" s="31" t="n">
        <v>34110578</v>
      </c>
      <c r="BE305" s="31"/>
      <c r="BF305" s="31" t="s">
        <v>16369</v>
      </c>
      <c r="BG305" s="31" t="s">
        <v>23058</v>
      </c>
      <c r="BH305" s="31" t="str">
        <f aca="false">HYPERLINK("https%3A%2F%2Fwww.webofscience.com%2Fwos%2Fwoscc%2Ffull-record%2FWOS:000659784300001","View Full Record in Web of Science")</f>
        <v>View Full Record in Web of Science</v>
      </c>
      <c r="BI305" s="31"/>
      <c r="BJ305" s="31"/>
      <c r="BK305" s="31"/>
      <c r="BL305" s="31"/>
      <c r="BM305" s="31"/>
      <c r="BN305" s="31"/>
      <c r="BO305" s="31"/>
      <c r="BP305" s="31"/>
      <c r="BQ305" s="31"/>
      <c r="BR305" s="31"/>
      <c r="BS305" s="31"/>
      <c r="BT305" s="31"/>
      <c r="BU305" s="31"/>
      <c r="BV305" s="31"/>
      <c r="BW305" s="31"/>
      <c r="BX305" s="31"/>
      <c r="BY305" s="31"/>
      <c r="BZ305" s="31"/>
      <c r="CA305" s="31"/>
      <c r="CB305" s="31"/>
      <c r="CC305" s="31"/>
      <c r="CD305" s="31"/>
      <c r="CE305" s="31"/>
      <c r="CF305" s="31"/>
    </row>
    <row r="306" customFormat="false" ht="15.75" hidden="false" customHeight="true" outlineLevel="0" collapsed="false">
      <c r="A306" s="31" t="s">
        <v>16335</v>
      </c>
      <c r="B306" s="31" t="s">
        <v>23059</v>
      </c>
      <c r="C306" s="31" t="s">
        <v>23060</v>
      </c>
      <c r="D306" s="34" t="s">
        <v>23061</v>
      </c>
      <c r="E306" s="31" t="n">
        <v>2022</v>
      </c>
      <c r="F306" s="33" t="s">
        <v>23062</v>
      </c>
      <c r="G306" s="33" t="s">
        <v>134</v>
      </c>
      <c r="H306" s="32" t="s">
        <v>3876</v>
      </c>
      <c r="I306" s="32" t="s">
        <v>3876</v>
      </c>
      <c r="J306" s="32" t="s">
        <v>23063</v>
      </c>
      <c r="K306" s="32" t="s">
        <v>16409</v>
      </c>
      <c r="L306" s="34"/>
      <c r="M306" s="32" t="s">
        <v>23064</v>
      </c>
      <c r="N306" s="32" t="s">
        <v>23065</v>
      </c>
      <c r="O306" s="34"/>
      <c r="P306" s="34" t="n">
        <v>8</v>
      </c>
      <c r="Q306" s="31" t="n">
        <v>8</v>
      </c>
      <c r="R306" s="31" t="s">
        <v>61</v>
      </c>
      <c r="S306" s="31" t="s">
        <v>62</v>
      </c>
      <c r="T306" s="31" t="s">
        <v>23066</v>
      </c>
      <c r="U306" s="31" t="n">
        <v>29</v>
      </c>
      <c r="V306" s="31" t="s">
        <v>23067</v>
      </c>
      <c r="W306" s="31"/>
      <c r="X306" s="31" t="s">
        <v>23068</v>
      </c>
      <c r="Y306" s="31" t="s">
        <v>23069</v>
      </c>
      <c r="Z306" s="31" t="s">
        <v>23070</v>
      </c>
      <c r="AA306" s="31" t="s">
        <v>23071</v>
      </c>
      <c r="AB306" s="31" t="s">
        <v>23072</v>
      </c>
      <c r="AC306" s="31" t="s">
        <v>23073</v>
      </c>
      <c r="AD306" s="31" t="s">
        <v>23074</v>
      </c>
      <c r="AE306" s="31" t="s">
        <v>23075</v>
      </c>
      <c r="AF306" s="31" t="s">
        <v>23076</v>
      </c>
      <c r="AG306" s="31" t="s">
        <v>23076</v>
      </c>
      <c r="AH306" s="31" t="s">
        <v>23077</v>
      </c>
      <c r="AI306" s="31" t="n">
        <v>40</v>
      </c>
      <c r="AJ306" s="31" t="n">
        <v>0</v>
      </c>
      <c r="AK306" s="31" t="n">
        <v>3</v>
      </c>
      <c r="AL306" s="31" t="s">
        <v>23078</v>
      </c>
      <c r="AM306" s="31" t="s">
        <v>23079</v>
      </c>
      <c r="AN306" s="31" t="s">
        <v>23080</v>
      </c>
      <c r="AO306" s="31" t="s">
        <v>23081</v>
      </c>
      <c r="AP306" s="31" t="s">
        <v>23066</v>
      </c>
      <c r="AQ306" s="31" t="s">
        <v>23082</v>
      </c>
      <c r="AR306" s="31" t="s">
        <v>23083</v>
      </c>
      <c r="AS306" s="31"/>
      <c r="AT306" s="31"/>
      <c r="AU306" s="31" t="n">
        <v>31</v>
      </c>
      <c r="AV306" s="31" t="s">
        <v>23084</v>
      </c>
      <c r="AW306" s="35" t="str">
        <f aca="false">HYPERLINK("http://dx.doi.org/10.1051/parasite/2022031","http://dx.doi.org/10.1051/parasite/2022031")</f>
        <v>http://dx.doi.org/10.1051/parasite/2022031</v>
      </c>
      <c r="AX306" s="31"/>
      <c r="AY306" s="31" t="n">
        <v>9</v>
      </c>
      <c r="AZ306" s="31" t="s">
        <v>20326</v>
      </c>
      <c r="BA306" s="31" t="s">
        <v>16366</v>
      </c>
      <c r="BB306" s="31" t="s">
        <v>20326</v>
      </c>
      <c r="BC306" s="31" t="s">
        <v>23085</v>
      </c>
      <c r="BD306" s="31" t="n">
        <v>35638753</v>
      </c>
      <c r="BE306" s="31" t="s">
        <v>16832</v>
      </c>
      <c r="BF306" s="31" t="s">
        <v>16369</v>
      </c>
      <c r="BG306" s="31" t="s">
        <v>23086</v>
      </c>
      <c r="BH306" s="31" t="str">
        <f aca="false">HYPERLINK("https%3A%2F%2Fwww.webofscience.com%2Fwos%2Fwoscc%2Ffull-record%2FWOS:000803306000002","View Full Record in Web of Science")</f>
        <v>View Full Record in Web of Science</v>
      </c>
      <c r="BI306" s="31"/>
      <c r="BJ306" s="31"/>
      <c r="BK306" s="31"/>
      <c r="BL306" s="31"/>
      <c r="BM306" s="31"/>
      <c r="BN306" s="31"/>
      <c r="BO306" s="31"/>
      <c r="BP306" s="31"/>
      <c r="BQ306" s="31"/>
      <c r="BR306" s="31"/>
      <c r="BS306" s="31"/>
      <c r="BT306" s="31"/>
      <c r="BU306" s="31"/>
      <c r="BV306" s="31"/>
      <c r="BW306" s="31"/>
      <c r="BX306" s="31"/>
      <c r="BY306" s="31"/>
      <c r="BZ306" s="31"/>
      <c r="CA306" s="31"/>
      <c r="CB306" s="31"/>
      <c r="CC306" s="31"/>
      <c r="CD306" s="31"/>
      <c r="CE306" s="31"/>
      <c r="CF306" s="31"/>
    </row>
    <row r="307" customFormat="false" ht="15.75" hidden="false" customHeight="true" outlineLevel="0" collapsed="false">
      <c r="A307" s="31" t="s">
        <v>16335</v>
      </c>
      <c r="B307" s="31" t="s">
        <v>23087</v>
      </c>
      <c r="C307" s="31" t="s">
        <v>23088</v>
      </c>
      <c r="D307" s="34" t="s">
        <v>23089</v>
      </c>
      <c r="E307" s="31" t="n">
        <v>2022</v>
      </c>
      <c r="F307" s="33" t="s">
        <v>23090</v>
      </c>
      <c r="G307" s="33" t="s">
        <v>134</v>
      </c>
      <c r="H307" s="32" t="s">
        <v>4101</v>
      </c>
      <c r="I307" s="32" t="s">
        <v>4101</v>
      </c>
      <c r="J307" s="32" t="s">
        <v>23091</v>
      </c>
      <c r="K307" s="32" t="s">
        <v>22030</v>
      </c>
      <c r="L307" s="34"/>
      <c r="M307" s="32" t="s">
        <v>23092</v>
      </c>
      <c r="N307" s="32" t="s">
        <v>23093</v>
      </c>
      <c r="O307" s="34"/>
      <c r="P307" s="34" t="n">
        <v>3</v>
      </c>
      <c r="Q307" s="31" t="n">
        <v>3</v>
      </c>
      <c r="R307" s="31" t="s">
        <v>61</v>
      </c>
      <c r="S307" s="31" t="s">
        <v>62</v>
      </c>
      <c r="T307" s="31" t="s">
        <v>18343</v>
      </c>
      <c r="U307" s="31" t="n">
        <v>22</v>
      </c>
      <c r="V307" s="31" t="s">
        <v>4048</v>
      </c>
      <c r="W307" s="31" t="n">
        <v>9</v>
      </c>
      <c r="X307" s="31" t="s">
        <v>23094</v>
      </c>
      <c r="Y307" s="31" t="s">
        <v>23095</v>
      </c>
      <c r="Z307" s="31" t="s">
        <v>23096</v>
      </c>
      <c r="AA307" s="31" t="s">
        <v>23097</v>
      </c>
      <c r="AB307" s="31" t="s">
        <v>23098</v>
      </c>
      <c r="AC307" s="31" t="s">
        <v>23099</v>
      </c>
      <c r="AD307" s="31" t="s">
        <v>23100</v>
      </c>
      <c r="AE307" s="31" t="s">
        <v>23101</v>
      </c>
      <c r="AF307" s="31" t="s">
        <v>23102</v>
      </c>
      <c r="AG307" s="31" t="s">
        <v>23103</v>
      </c>
      <c r="AH307" s="31" t="s">
        <v>23104</v>
      </c>
      <c r="AI307" s="31" t="n">
        <v>31</v>
      </c>
      <c r="AJ307" s="31" t="n">
        <v>2</v>
      </c>
      <c r="AK307" s="31" t="n">
        <v>11</v>
      </c>
      <c r="AL307" s="31" t="s">
        <v>16769</v>
      </c>
      <c r="AM307" s="31" t="s">
        <v>16770</v>
      </c>
      <c r="AN307" s="31"/>
      <c r="AO307" s="31" t="s">
        <v>18354</v>
      </c>
      <c r="AP307" s="31" t="s">
        <v>18355</v>
      </c>
      <c r="AQ307" s="31" t="s">
        <v>18356</v>
      </c>
      <c r="AR307" s="31" t="s">
        <v>17056</v>
      </c>
      <c r="AS307" s="31"/>
      <c r="AT307" s="31"/>
      <c r="AU307" s="31" t="n">
        <v>3128</v>
      </c>
      <c r="AV307" s="31" t="s">
        <v>23105</v>
      </c>
      <c r="AW307" s="35" t="str">
        <f aca="false">HYPERLINK("http://dx.doi.org/10.3390/s22093128","http://dx.doi.org/10.3390/s22093128")</f>
        <v>http://dx.doi.org/10.3390/s22093128</v>
      </c>
      <c r="AX307" s="31"/>
      <c r="AY307" s="31" t="n">
        <v>13</v>
      </c>
      <c r="AZ307" s="31" t="s">
        <v>18358</v>
      </c>
      <c r="BA307" s="31" t="s">
        <v>16366</v>
      </c>
      <c r="BB307" s="31" t="s">
        <v>18359</v>
      </c>
      <c r="BC307" s="31" t="s">
        <v>23106</v>
      </c>
      <c r="BD307" s="31" t="n">
        <v>35590819</v>
      </c>
      <c r="BE307" s="31" t="s">
        <v>16832</v>
      </c>
      <c r="BF307" s="31" t="s">
        <v>16369</v>
      </c>
      <c r="BG307" s="31" t="s">
        <v>23107</v>
      </c>
      <c r="BH307" s="31" t="str">
        <f aca="false">HYPERLINK("https%3A%2F%2Fwww.webofscience.com%2Fwos%2Fwoscc%2Ffull-record%2FWOS:000795402000001","View Full Record in Web of Science")</f>
        <v>View Full Record in Web of Science</v>
      </c>
      <c r="BI307" s="31"/>
      <c r="BJ307" s="31"/>
      <c r="BK307" s="31"/>
      <c r="BL307" s="31"/>
      <c r="BM307" s="31"/>
      <c r="BN307" s="31"/>
      <c r="BO307" s="31"/>
      <c r="BP307" s="31"/>
      <c r="BQ307" s="31"/>
      <c r="BR307" s="31"/>
      <c r="BS307" s="31"/>
      <c r="BT307" s="31"/>
      <c r="BU307" s="31"/>
      <c r="BV307" s="31"/>
      <c r="BW307" s="31"/>
      <c r="BX307" s="31"/>
      <c r="BY307" s="31"/>
      <c r="BZ307" s="31"/>
      <c r="CA307" s="31"/>
      <c r="CB307" s="31"/>
      <c r="CC307" s="31"/>
      <c r="CD307" s="31"/>
      <c r="CE307" s="31"/>
      <c r="CF307" s="31"/>
    </row>
    <row r="308" customFormat="false" ht="15.75" hidden="false" customHeight="true" outlineLevel="0" collapsed="false">
      <c r="A308" s="31" t="s">
        <v>16335</v>
      </c>
      <c r="B308" s="31" t="s">
        <v>23108</v>
      </c>
      <c r="C308" s="31" t="s">
        <v>23109</v>
      </c>
      <c r="D308" s="34" t="s">
        <v>23110</v>
      </c>
      <c r="E308" s="31" t="n">
        <v>2022</v>
      </c>
      <c r="F308" s="33" t="s">
        <v>23111</v>
      </c>
      <c r="G308" s="33" t="s">
        <v>290</v>
      </c>
      <c r="H308" s="32" t="s">
        <v>23112</v>
      </c>
      <c r="I308" s="34"/>
      <c r="J308" s="32" t="s">
        <v>23113</v>
      </c>
      <c r="K308" s="32" t="s">
        <v>23114</v>
      </c>
      <c r="L308" s="34"/>
      <c r="M308" s="32"/>
      <c r="N308" s="32"/>
      <c r="O308" s="34"/>
      <c r="P308" s="34" t="n">
        <v>8</v>
      </c>
      <c r="Q308" s="31" t="n">
        <v>8</v>
      </c>
      <c r="R308" s="31" t="s">
        <v>61</v>
      </c>
      <c r="S308" s="31" t="s">
        <v>62</v>
      </c>
      <c r="T308" s="31" t="s">
        <v>20136</v>
      </c>
      <c r="U308" s="31" t="n">
        <v>62</v>
      </c>
      <c r="V308" s="31" t="s">
        <v>19148</v>
      </c>
      <c r="W308" s="31" t="n">
        <v>24</v>
      </c>
      <c r="X308" s="31"/>
      <c r="Y308" s="31" t="s">
        <v>23115</v>
      </c>
      <c r="Z308" s="31" t="s">
        <v>23116</v>
      </c>
      <c r="AA308" s="31" t="s">
        <v>23117</v>
      </c>
      <c r="AB308" s="31" t="s">
        <v>23118</v>
      </c>
      <c r="AC308" s="31" t="s">
        <v>21072</v>
      </c>
      <c r="AD308" s="31" t="s">
        <v>23119</v>
      </c>
      <c r="AE308" s="31" t="s">
        <v>23120</v>
      </c>
      <c r="AF308" s="31" t="s">
        <v>23121</v>
      </c>
      <c r="AG308" s="31" t="s">
        <v>23122</v>
      </c>
      <c r="AH308" s="31" t="s">
        <v>23123</v>
      </c>
      <c r="AI308" s="31" t="n">
        <v>127</v>
      </c>
      <c r="AJ308" s="31" t="n">
        <v>4</v>
      </c>
      <c r="AK308" s="31" t="n">
        <v>19</v>
      </c>
      <c r="AL308" s="31" t="s">
        <v>18329</v>
      </c>
      <c r="AM308" s="31" t="s">
        <v>19160</v>
      </c>
      <c r="AN308" s="31" t="s">
        <v>20146</v>
      </c>
      <c r="AO308" s="31" t="s">
        <v>20147</v>
      </c>
      <c r="AP308" s="31" t="s">
        <v>20148</v>
      </c>
      <c r="AQ308" s="31" t="s">
        <v>20149</v>
      </c>
      <c r="AR308" s="31" t="s">
        <v>23124</v>
      </c>
      <c r="AS308" s="31" t="n">
        <v>6825</v>
      </c>
      <c r="AT308" s="31" t="n">
        <v>6843</v>
      </c>
      <c r="AU308" s="31"/>
      <c r="AV308" s="31" t="s">
        <v>23125</v>
      </c>
      <c r="AW308" s="35" t="str">
        <f aca="false">HYPERLINK("http://dx.doi.org/10.1021/acs.jcim.2c00596","http://dx.doi.org/10.1021/acs.jcim.2c00596")</f>
        <v>http://dx.doi.org/10.1021/acs.jcim.2c00596</v>
      </c>
      <c r="AX308" s="31" t="s">
        <v>23126</v>
      </c>
      <c r="AY308" s="31" t="n">
        <v>19</v>
      </c>
      <c r="AZ308" s="31" t="s">
        <v>20152</v>
      </c>
      <c r="BA308" s="31" t="s">
        <v>16366</v>
      </c>
      <c r="BB308" s="31" t="s">
        <v>20153</v>
      </c>
      <c r="BC308" s="31" t="s">
        <v>23127</v>
      </c>
      <c r="BD308" s="31" t="n">
        <v>36239304</v>
      </c>
      <c r="BE308" s="31" t="s">
        <v>17966</v>
      </c>
      <c r="BF308" s="31" t="s">
        <v>16369</v>
      </c>
      <c r="BG308" s="31" t="s">
        <v>23128</v>
      </c>
      <c r="BH308" s="31" t="str">
        <f aca="false">HYPERLINK("https%3A%2F%2Fwww.webofscience.com%2Fwos%2Fwoscc%2Ffull-record%2FWOS:000875537300001","View Full Record in Web of Science")</f>
        <v>View Full Record in Web of Science</v>
      </c>
      <c r="BI308" s="31"/>
      <c r="BJ308" s="31"/>
      <c r="BK308" s="31"/>
      <c r="BL308" s="31"/>
      <c r="BM308" s="31"/>
      <c r="BN308" s="31"/>
      <c r="BO308" s="31"/>
      <c r="BP308" s="31"/>
      <c r="BQ308" s="31"/>
      <c r="BR308" s="31"/>
      <c r="BS308" s="31"/>
      <c r="BT308" s="31"/>
      <c r="BU308" s="31"/>
      <c r="BV308" s="31"/>
      <c r="BW308" s="31"/>
      <c r="BX308" s="31"/>
      <c r="BY308" s="31"/>
      <c r="BZ308" s="31"/>
      <c r="CA308" s="31"/>
      <c r="CB308" s="31"/>
      <c r="CC308" s="31"/>
      <c r="CD308" s="31"/>
      <c r="CE308" s="31"/>
      <c r="CF308" s="31"/>
    </row>
    <row r="309" customFormat="false" ht="15.75" hidden="false" customHeight="true" outlineLevel="0" collapsed="false">
      <c r="A309" s="31" t="s">
        <v>16335</v>
      </c>
      <c r="B309" s="31" t="s">
        <v>23129</v>
      </c>
      <c r="C309" s="31" t="s">
        <v>23130</v>
      </c>
      <c r="D309" s="34" t="s">
        <v>23131</v>
      </c>
      <c r="E309" s="31" t="n">
        <v>2022</v>
      </c>
      <c r="F309" s="33" t="s">
        <v>23132</v>
      </c>
      <c r="G309" s="33" t="s">
        <v>134</v>
      </c>
      <c r="H309" s="32" t="s">
        <v>23133</v>
      </c>
      <c r="I309" s="32" t="s">
        <v>3715</v>
      </c>
      <c r="J309" s="32" t="s">
        <v>21109</v>
      </c>
      <c r="K309" s="32" t="s">
        <v>16409</v>
      </c>
      <c r="L309" s="32" t="s">
        <v>3754</v>
      </c>
      <c r="M309" s="32" t="s">
        <v>23134</v>
      </c>
      <c r="N309" s="32" t="s">
        <v>23135</v>
      </c>
      <c r="O309" s="34"/>
      <c r="P309" s="34" t="n">
        <v>12</v>
      </c>
      <c r="Q309" s="31" t="n">
        <v>12</v>
      </c>
      <c r="R309" s="31" t="s">
        <v>61</v>
      </c>
      <c r="S309" s="31" t="s">
        <v>62</v>
      </c>
      <c r="T309" s="31" t="s">
        <v>20765</v>
      </c>
      <c r="U309" s="31" t="n">
        <v>81</v>
      </c>
      <c r="V309" s="31" t="s">
        <v>16600</v>
      </c>
      <c r="W309" s="31" t="n">
        <v>23</v>
      </c>
      <c r="X309" s="31" t="s">
        <v>23136</v>
      </c>
      <c r="Y309" s="31" t="s">
        <v>23137</v>
      </c>
      <c r="Z309" s="31" t="s">
        <v>23138</v>
      </c>
      <c r="AA309" s="31" t="s">
        <v>23139</v>
      </c>
      <c r="AB309" s="31" t="s">
        <v>23140</v>
      </c>
      <c r="AC309" s="31" t="s">
        <v>23141</v>
      </c>
      <c r="AD309" s="31" t="s">
        <v>23142</v>
      </c>
      <c r="AE309" s="31" t="s">
        <v>23143</v>
      </c>
      <c r="AF309" s="31"/>
      <c r="AG309" s="31"/>
      <c r="AH309" s="31"/>
      <c r="AI309" s="31" t="n">
        <v>54</v>
      </c>
      <c r="AJ309" s="31" t="n">
        <v>1</v>
      </c>
      <c r="AK309" s="31" t="n">
        <v>6</v>
      </c>
      <c r="AL309" s="31" t="s">
        <v>16609</v>
      </c>
      <c r="AM309" s="31" t="s">
        <v>16610</v>
      </c>
      <c r="AN309" s="31" t="s">
        <v>20774</v>
      </c>
      <c r="AO309" s="31" t="s">
        <v>20775</v>
      </c>
      <c r="AP309" s="31" t="s">
        <v>20776</v>
      </c>
      <c r="AQ309" s="31" t="s">
        <v>20777</v>
      </c>
      <c r="AR309" s="31" t="s">
        <v>16801</v>
      </c>
      <c r="AS309" s="31" t="n">
        <v>34105</v>
      </c>
      <c r="AT309" s="31" t="n">
        <v>34127</v>
      </c>
      <c r="AU309" s="31"/>
      <c r="AV309" s="31" t="s">
        <v>23144</v>
      </c>
      <c r="AW309" s="35" t="str">
        <f aca="false">HYPERLINK("http://dx.doi.org/10.1007/s11042-022-13008-6","http://dx.doi.org/10.1007/s11042-022-13008-6")</f>
        <v>http://dx.doi.org/10.1007/s11042-022-13008-6</v>
      </c>
      <c r="AX309" s="31" t="s">
        <v>17290</v>
      </c>
      <c r="AY309" s="31" t="n">
        <v>23</v>
      </c>
      <c r="AZ309" s="31" t="s">
        <v>20780</v>
      </c>
      <c r="BA309" s="31" t="s">
        <v>16366</v>
      </c>
      <c r="BB309" s="31" t="s">
        <v>16973</v>
      </c>
      <c r="BC309" s="31" t="s">
        <v>23145</v>
      </c>
      <c r="BD309" s="31"/>
      <c r="BE309" s="31"/>
      <c r="BF309" s="31" t="s">
        <v>16369</v>
      </c>
      <c r="BG309" s="31" t="s">
        <v>23146</v>
      </c>
      <c r="BH309" s="31" t="str">
        <f aca="false">HYPERLINK("https%3A%2F%2Fwww.webofscience.com%2Fwos%2Fwoscc%2Ffull-record%2FWOS:000784679300004","View Full Record in Web of Science")</f>
        <v>View Full Record in Web of Science</v>
      </c>
      <c r="BI309" s="31"/>
      <c r="BJ309" s="31"/>
      <c r="BK309" s="31"/>
      <c r="BL309" s="31"/>
      <c r="BM309" s="31"/>
      <c r="BN309" s="31"/>
      <c r="BO309" s="31"/>
      <c r="BP309" s="31"/>
      <c r="BQ309" s="31"/>
      <c r="BR309" s="31"/>
      <c r="BS309" s="31"/>
      <c r="BT309" s="31"/>
      <c r="BU309" s="31"/>
      <c r="BV309" s="31"/>
      <c r="BW309" s="31"/>
      <c r="BX309" s="31"/>
      <c r="BY309" s="31"/>
      <c r="BZ309" s="31"/>
      <c r="CA309" s="31"/>
      <c r="CB309" s="31"/>
      <c r="CC309" s="31"/>
      <c r="CD309" s="31"/>
      <c r="CE309" s="31"/>
      <c r="CF309" s="31"/>
    </row>
    <row r="310" customFormat="false" ht="15.75" hidden="false" customHeight="true" outlineLevel="0" collapsed="false">
      <c r="A310" s="31" t="s">
        <v>16335</v>
      </c>
      <c r="B310" s="31" t="s">
        <v>23147</v>
      </c>
      <c r="C310" s="31" t="s">
        <v>23148</v>
      </c>
      <c r="D310" s="34" t="s">
        <v>23149</v>
      </c>
      <c r="E310" s="31" t="n">
        <v>2022</v>
      </c>
      <c r="F310" s="33" t="s">
        <v>23150</v>
      </c>
      <c r="G310" s="33" t="s">
        <v>393</v>
      </c>
      <c r="H310" s="32" t="s">
        <v>23151</v>
      </c>
      <c r="I310" s="34"/>
      <c r="J310" s="34"/>
      <c r="K310" s="34"/>
      <c r="L310" s="34"/>
      <c r="M310" s="34"/>
      <c r="N310" s="34"/>
      <c r="O310" s="34"/>
      <c r="P310" s="34" t="n">
        <v>6</v>
      </c>
      <c r="Q310" s="31" t="n">
        <v>6</v>
      </c>
      <c r="R310" s="31" t="s">
        <v>61</v>
      </c>
      <c r="S310" s="31" t="s">
        <v>62</v>
      </c>
      <c r="T310" s="31" t="s">
        <v>18208</v>
      </c>
      <c r="U310" s="31" t="n">
        <v>12</v>
      </c>
      <c r="V310" s="31" t="s">
        <v>4048</v>
      </c>
      <c r="W310" s="31" t="n">
        <v>8</v>
      </c>
      <c r="X310" s="31" t="s">
        <v>23152</v>
      </c>
      <c r="Y310" s="31" t="s">
        <v>23153</v>
      </c>
      <c r="Z310" s="31" t="s">
        <v>23154</v>
      </c>
      <c r="AA310" s="31" t="s">
        <v>23155</v>
      </c>
      <c r="AB310" s="31" t="s">
        <v>23156</v>
      </c>
      <c r="AC310" s="31" t="s">
        <v>23157</v>
      </c>
      <c r="AD310" s="31" t="s">
        <v>23158</v>
      </c>
      <c r="AE310" s="31" t="s">
        <v>23159</v>
      </c>
      <c r="AF310" s="31"/>
      <c r="AG310" s="31"/>
      <c r="AH310" s="31"/>
      <c r="AI310" s="31" t="n">
        <v>82</v>
      </c>
      <c r="AJ310" s="31" t="n">
        <v>8</v>
      </c>
      <c r="AK310" s="31" t="n">
        <v>27</v>
      </c>
      <c r="AL310" s="31" t="s">
        <v>16769</v>
      </c>
      <c r="AM310" s="31" t="s">
        <v>16770</v>
      </c>
      <c r="AN310" s="31"/>
      <c r="AO310" s="31" t="s">
        <v>18220</v>
      </c>
      <c r="AP310" s="31" t="s">
        <v>18221</v>
      </c>
      <c r="AQ310" s="31" t="s">
        <v>18222</v>
      </c>
      <c r="AR310" s="31" t="s">
        <v>17772</v>
      </c>
      <c r="AS310" s="31"/>
      <c r="AT310" s="31"/>
      <c r="AU310" s="31" t="n">
        <v>3890</v>
      </c>
      <c r="AV310" s="31" t="s">
        <v>23160</v>
      </c>
      <c r="AW310" s="35" t="str">
        <f aca="false">HYPERLINK("http://dx.doi.org/10.3390/app12083890","http://dx.doi.org/10.3390/app12083890")</f>
        <v>http://dx.doi.org/10.3390/app12083890</v>
      </c>
      <c r="AX310" s="31"/>
      <c r="AY310" s="31" t="n">
        <v>15</v>
      </c>
      <c r="AZ310" s="31" t="s">
        <v>18223</v>
      </c>
      <c r="BA310" s="31" t="s">
        <v>16584</v>
      </c>
      <c r="BB310" s="31" t="s">
        <v>18224</v>
      </c>
      <c r="BC310" s="31" t="s">
        <v>23161</v>
      </c>
      <c r="BD310" s="31"/>
      <c r="BE310" s="31" t="s">
        <v>17143</v>
      </c>
      <c r="BF310" s="31" t="s">
        <v>16369</v>
      </c>
      <c r="BG310" s="31" t="s">
        <v>23162</v>
      </c>
      <c r="BH310" s="31" t="str">
        <f aca="false">HYPERLINK("https%3A%2F%2Fwww.webofscience.com%2Fwos%2Fwoscc%2Ffull-record%2FWOS:000786725600001","View Full Record in Web of Science")</f>
        <v>View Full Record in Web of Science</v>
      </c>
      <c r="BI310" s="31"/>
      <c r="BJ310" s="31"/>
      <c r="BK310" s="31"/>
      <c r="BL310" s="31"/>
      <c r="BM310" s="31"/>
      <c r="BN310" s="31"/>
      <c r="BO310" s="31"/>
      <c r="BP310" s="31"/>
      <c r="BQ310" s="31"/>
      <c r="BR310" s="31"/>
      <c r="BS310" s="31"/>
      <c r="BT310" s="31"/>
      <c r="BU310" s="31"/>
      <c r="BV310" s="31"/>
      <c r="BW310" s="31"/>
      <c r="BX310" s="31"/>
      <c r="BY310" s="31"/>
      <c r="BZ310" s="31"/>
      <c r="CA310" s="31"/>
      <c r="CB310" s="31"/>
      <c r="CC310" s="31"/>
      <c r="CD310" s="31"/>
      <c r="CE310" s="31"/>
      <c r="CF310" s="31"/>
    </row>
    <row r="311" customFormat="false" ht="15.75" hidden="false" customHeight="true" outlineLevel="0" collapsed="false">
      <c r="A311" s="31" t="s">
        <v>16335</v>
      </c>
      <c r="B311" s="31" t="s">
        <v>23163</v>
      </c>
      <c r="C311" s="31" t="s">
        <v>23164</v>
      </c>
      <c r="D311" s="34" t="s">
        <v>23165</v>
      </c>
      <c r="E311" s="31" t="n">
        <v>2022</v>
      </c>
      <c r="F311" s="33" t="s">
        <v>23166</v>
      </c>
      <c r="G311" s="33" t="s">
        <v>134</v>
      </c>
      <c r="H311" s="32" t="s">
        <v>23167</v>
      </c>
      <c r="I311" s="32" t="s">
        <v>3715</v>
      </c>
      <c r="J311" s="32" t="s">
        <v>22178</v>
      </c>
      <c r="K311" s="32" t="s">
        <v>16409</v>
      </c>
      <c r="L311" s="32" t="s">
        <v>3754</v>
      </c>
      <c r="M311" s="32" t="s">
        <v>22092</v>
      </c>
      <c r="N311" s="32" t="s">
        <v>23168</v>
      </c>
      <c r="O311" s="34"/>
      <c r="P311" s="34" t="n">
        <v>11</v>
      </c>
      <c r="Q311" s="31" t="n">
        <v>11</v>
      </c>
      <c r="R311" s="31" t="s">
        <v>61</v>
      </c>
      <c r="S311" s="31" t="s">
        <v>62</v>
      </c>
      <c r="T311" s="31" t="s">
        <v>18629</v>
      </c>
      <c r="U311" s="31" t="n">
        <v>12</v>
      </c>
      <c r="V311" s="31" t="s">
        <v>4048</v>
      </c>
      <c r="W311" s="31" t="n">
        <v>11</v>
      </c>
      <c r="X311" s="31" t="s">
        <v>23169</v>
      </c>
      <c r="Y311" s="31"/>
      <c r="Z311" s="31" t="s">
        <v>23170</v>
      </c>
      <c r="AA311" s="31" t="s">
        <v>23171</v>
      </c>
      <c r="AB311" s="31" t="s">
        <v>23172</v>
      </c>
      <c r="AC311" s="31" t="s">
        <v>23173</v>
      </c>
      <c r="AD311" s="31" t="s">
        <v>23174</v>
      </c>
      <c r="AE311" s="31" t="s">
        <v>23175</v>
      </c>
      <c r="AF311" s="31"/>
      <c r="AG311" s="31"/>
      <c r="AH311" s="31"/>
      <c r="AI311" s="31" t="n">
        <v>29</v>
      </c>
      <c r="AJ311" s="31" t="n">
        <v>1</v>
      </c>
      <c r="AK311" s="31" t="n">
        <v>6</v>
      </c>
      <c r="AL311" s="31" t="s">
        <v>16769</v>
      </c>
      <c r="AM311" s="31" t="s">
        <v>16770</v>
      </c>
      <c r="AN311" s="31"/>
      <c r="AO311" s="31" t="s">
        <v>18636</v>
      </c>
      <c r="AP311" s="31" t="s">
        <v>18629</v>
      </c>
      <c r="AQ311" s="31" t="s">
        <v>849</v>
      </c>
      <c r="AR311" s="31" t="s">
        <v>17139</v>
      </c>
      <c r="AS311" s="31"/>
      <c r="AT311" s="31"/>
      <c r="AU311" s="31" t="n">
        <v>2702</v>
      </c>
      <c r="AV311" s="31" t="s">
        <v>23176</v>
      </c>
      <c r="AW311" s="35" t="str">
        <f aca="false">HYPERLINK("http://dx.doi.org/10.3390/diagnostics12112702","http://dx.doi.org/10.3390/diagnostics12112702")</f>
        <v>http://dx.doi.org/10.3390/diagnostics12112702</v>
      </c>
      <c r="AX311" s="31"/>
      <c r="AY311" s="31" t="n">
        <v>15</v>
      </c>
      <c r="AZ311" s="31" t="s">
        <v>16829</v>
      </c>
      <c r="BA311" s="31" t="s">
        <v>16366</v>
      </c>
      <c r="BB311" s="31" t="s">
        <v>16830</v>
      </c>
      <c r="BC311" s="31" t="s">
        <v>23177</v>
      </c>
      <c r="BD311" s="31" t="n">
        <v>36359544</v>
      </c>
      <c r="BE311" s="31" t="s">
        <v>17143</v>
      </c>
      <c r="BF311" s="31" t="s">
        <v>16369</v>
      </c>
      <c r="BG311" s="31" t="s">
        <v>23178</v>
      </c>
      <c r="BH311" s="31" t="str">
        <f aca="false">HYPERLINK("https%3A%2F%2Fwww.webofscience.com%2Fwos%2Fwoscc%2Ffull-record%2FWOS:000883432000001","View Full Record in Web of Science")</f>
        <v>View Full Record in Web of Science</v>
      </c>
      <c r="BI311" s="31"/>
      <c r="BJ311" s="31"/>
      <c r="BK311" s="31"/>
      <c r="BL311" s="31"/>
      <c r="BM311" s="31"/>
      <c r="BN311" s="31"/>
      <c r="BO311" s="31"/>
      <c r="BP311" s="31"/>
      <c r="BQ311" s="31"/>
      <c r="BR311" s="31"/>
      <c r="BS311" s="31"/>
      <c r="BT311" s="31"/>
      <c r="BU311" s="31"/>
      <c r="BV311" s="31"/>
      <c r="BW311" s="31"/>
      <c r="BX311" s="31"/>
      <c r="BY311" s="31"/>
      <c r="BZ311" s="31"/>
      <c r="CA311" s="31"/>
      <c r="CB311" s="31"/>
      <c r="CC311" s="31"/>
      <c r="CD311" s="31"/>
      <c r="CE311" s="31"/>
      <c r="CF311" s="31"/>
    </row>
    <row r="312" customFormat="false" ht="15.75" hidden="false" customHeight="true" outlineLevel="0" collapsed="false">
      <c r="A312" s="31" t="s">
        <v>16335</v>
      </c>
      <c r="B312" s="31" t="s">
        <v>23179</v>
      </c>
      <c r="C312" s="31" t="s">
        <v>23180</v>
      </c>
      <c r="D312" s="34" t="s">
        <v>23181</v>
      </c>
      <c r="E312" s="31" t="n">
        <v>2022</v>
      </c>
      <c r="F312" s="33" t="s">
        <v>23182</v>
      </c>
      <c r="G312" s="33" t="s">
        <v>134</v>
      </c>
      <c r="H312" s="32" t="s">
        <v>23183</v>
      </c>
      <c r="I312" s="32" t="s">
        <v>3715</v>
      </c>
      <c r="J312" s="32" t="s">
        <v>23184</v>
      </c>
      <c r="K312" s="32" t="s">
        <v>16409</v>
      </c>
      <c r="L312" s="32" t="s">
        <v>3754</v>
      </c>
      <c r="M312" s="34"/>
      <c r="N312" s="34"/>
      <c r="O312" s="34"/>
      <c r="P312" s="34" t="n">
        <v>20</v>
      </c>
      <c r="Q312" s="31" t="n">
        <v>20</v>
      </c>
      <c r="R312" s="31" t="s">
        <v>61</v>
      </c>
      <c r="S312" s="31" t="s">
        <v>62</v>
      </c>
      <c r="T312" s="31" t="s">
        <v>18343</v>
      </c>
      <c r="U312" s="31" t="n">
        <v>22</v>
      </c>
      <c r="V312" s="31" t="s">
        <v>4048</v>
      </c>
      <c r="W312" s="31" t="n">
        <v>12</v>
      </c>
      <c r="X312" s="31" t="s">
        <v>23185</v>
      </c>
      <c r="Y312" s="31" t="s">
        <v>16410</v>
      </c>
      <c r="Z312" s="31" t="s">
        <v>23186</v>
      </c>
      <c r="AA312" s="31" t="s">
        <v>23187</v>
      </c>
      <c r="AB312" s="31" t="s">
        <v>23188</v>
      </c>
      <c r="AC312" s="31" t="s">
        <v>23189</v>
      </c>
      <c r="AD312" s="31" t="s">
        <v>23190</v>
      </c>
      <c r="AE312" s="31" t="s">
        <v>23191</v>
      </c>
      <c r="AF312" s="31" t="s">
        <v>23192</v>
      </c>
      <c r="AG312" s="31" t="s">
        <v>23192</v>
      </c>
      <c r="AH312" s="31" t="s">
        <v>23193</v>
      </c>
      <c r="AI312" s="31" t="n">
        <v>40</v>
      </c>
      <c r="AJ312" s="31" t="n">
        <v>0</v>
      </c>
      <c r="AK312" s="31" t="n">
        <v>22</v>
      </c>
      <c r="AL312" s="31" t="s">
        <v>16769</v>
      </c>
      <c r="AM312" s="31" t="s">
        <v>16770</v>
      </c>
      <c r="AN312" s="31"/>
      <c r="AO312" s="31" t="s">
        <v>18354</v>
      </c>
      <c r="AP312" s="31" t="s">
        <v>18355</v>
      </c>
      <c r="AQ312" s="31" t="s">
        <v>18356</v>
      </c>
      <c r="AR312" s="31" t="s">
        <v>16683</v>
      </c>
      <c r="AS312" s="31"/>
      <c r="AT312" s="31"/>
      <c r="AU312" s="31" t="n">
        <v>4358</v>
      </c>
      <c r="AV312" s="31" t="s">
        <v>23194</v>
      </c>
      <c r="AW312" s="35" t="str">
        <f aca="false">HYPERLINK("http://dx.doi.org/10.3390/s22124358","http://dx.doi.org/10.3390/s22124358")</f>
        <v>http://dx.doi.org/10.3390/s22124358</v>
      </c>
      <c r="AX312" s="31"/>
      <c r="AY312" s="31" t="n">
        <v>20</v>
      </c>
      <c r="AZ312" s="31" t="s">
        <v>18358</v>
      </c>
      <c r="BA312" s="31" t="s">
        <v>16366</v>
      </c>
      <c r="BB312" s="31" t="s">
        <v>18359</v>
      </c>
      <c r="BC312" s="31" t="s">
        <v>23195</v>
      </c>
      <c r="BD312" s="31" t="n">
        <v>35746136</v>
      </c>
      <c r="BE312" s="31" t="s">
        <v>17325</v>
      </c>
      <c r="BF312" s="31" t="s">
        <v>16369</v>
      </c>
      <c r="BG312" s="31" t="s">
        <v>23196</v>
      </c>
      <c r="BH312" s="31" t="str">
        <f aca="false">HYPERLINK("https%3A%2F%2Fwww.webofscience.com%2Fwos%2Fwoscc%2Ffull-record%2FWOS:000818357200001","View Full Record in Web of Science")</f>
        <v>View Full Record in Web of Science</v>
      </c>
      <c r="BI312" s="31"/>
      <c r="BJ312" s="31"/>
      <c r="BK312" s="31"/>
      <c r="BL312" s="31"/>
      <c r="BM312" s="31"/>
      <c r="BN312" s="31"/>
      <c r="BO312" s="31"/>
      <c r="BP312" s="31"/>
      <c r="BQ312" s="31"/>
      <c r="BR312" s="31"/>
      <c r="BS312" s="31"/>
      <c r="BT312" s="31"/>
      <c r="BU312" s="31"/>
      <c r="BV312" s="31"/>
      <c r="BW312" s="31"/>
      <c r="BX312" s="31"/>
      <c r="BY312" s="31"/>
      <c r="BZ312" s="31"/>
      <c r="CA312" s="31"/>
      <c r="CB312" s="31"/>
      <c r="CC312" s="31"/>
      <c r="CD312" s="31"/>
      <c r="CE312" s="31"/>
      <c r="CF312" s="31"/>
    </row>
    <row r="313" customFormat="false" ht="15.75" hidden="false" customHeight="true" outlineLevel="0" collapsed="false">
      <c r="A313" s="31" t="s">
        <v>16335</v>
      </c>
      <c r="B313" s="31" t="s">
        <v>23197</v>
      </c>
      <c r="C313" s="31" t="s">
        <v>23198</v>
      </c>
      <c r="D313" s="34" t="s">
        <v>23199</v>
      </c>
      <c r="E313" s="31" t="n">
        <v>2022</v>
      </c>
      <c r="F313" s="33" t="s">
        <v>23200</v>
      </c>
      <c r="G313" s="33" t="s">
        <v>134</v>
      </c>
      <c r="H313" s="32" t="s">
        <v>3920</v>
      </c>
      <c r="I313" s="32" t="s">
        <v>3920</v>
      </c>
      <c r="J313" s="32" t="s">
        <v>22178</v>
      </c>
      <c r="K313" s="32" t="s">
        <v>16409</v>
      </c>
      <c r="L313" s="32" t="s">
        <v>3754</v>
      </c>
      <c r="M313" s="34"/>
      <c r="N313" s="34"/>
      <c r="O313" s="34"/>
      <c r="P313" s="34" t="n">
        <v>1</v>
      </c>
      <c r="Q313" s="31" t="n">
        <v>1</v>
      </c>
      <c r="R313" s="31" t="s">
        <v>61</v>
      </c>
      <c r="S313" s="31" t="s">
        <v>62</v>
      </c>
      <c r="T313" s="31" t="s">
        <v>17947</v>
      </c>
      <c r="U313" s="31" t="n">
        <v>85</v>
      </c>
      <c r="V313" s="31" t="s">
        <v>16475</v>
      </c>
      <c r="W313" s="31" t="n">
        <v>2</v>
      </c>
      <c r="X313" s="31" t="s">
        <v>23201</v>
      </c>
      <c r="Y313" s="31" t="s">
        <v>23202</v>
      </c>
      <c r="Z313" s="31" t="s">
        <v>23203</v>
      </c>
      <c r="AA313" s="31" t="s">
        <v>23204</v>
      </c>
      <c r="AB313" s="31" t="s">
        <v>23205</v>
      </c>
      <c r="AC313" s="31" t="s">
        <v>23206</v>
      </c>
      <c r="AD313" s="31" t="s">
        <v>23207</v>
      </c>
      <c r="AE313" s="31" t="s">
        <v>23208</v>
      </c>
      <c r="AF313" s="31"/>
      <c r="AG313" s="31"/>
      <c r="AH313" s="31"/>
      <c r="AI313" s="31" t="n">
        <v>46</v>
      </c>
      <c r="AJ313" s="31" t="n">
        <v>2</v>
      </c>
      <c r="AK313" s="31" t="n">
        <v>9</v>
      </c>
      <c r="AL313" s="31" t="s">
        <v>16485</v>
      </c>
      <c r="AM313" s="31" t="s">
        <v>16486</v>
      </c>
      <c r="AN313" s="31" t="s">
        <v>17959</v>
      </c>
      <c r="AO313" s="31" t="s">
        <v>17960</v>
      </c>
      <c r="AP313" s="31" t="s">
        <v>17961</v>
      </c>
      <c r="AQ313" s="31" t="s">
        <v>14225</v>
      </c>
      <c r="AR313" s="31" t="s">
        <v>16970</v>
      </c>
      <c r="AS313" s="31" t="n">
        <v>685</v>
      </c>
      <c r="AT313" s="31" t="n">
        <v>696</v>
      </c>
      <c r="AU313" s="31"/>
      <c r="AV313" s="31" t="s">
        <v>23209</v>
      </c>
      <c r="AW313" s="35" t="str">
        <f aca="false">HYPERLINK("http://dx.doi.org/10.1002/jemt.23940","http://dx.doi.org/10.1002/jemt.23940")</f>
        <v>http://dx.doi.org/10.1002/jemt.23940</v>
      </c>
      <c r="AX313" s="31" t="s">
        <v>22655</v>
      </c>
      <c r="AY313" s="31" t="n">
        <v>12</v>
      </c>
      <c r="AZ313" s="31" t="s">
        <v>17963</v>
      </c>
      <c r="BA313" s="31" t="s">
        <v>16366</v>
      </c>
      <c r="BB313" s="31" t="s">
        <v>17964</v>
      </c>
      <c r="BC313" s="31" t="s">
        <v>23210</v>
      </c>
      <c r="BD313" s="31" t="n">
        <v>34553808</v>
      </c>
      <c r="BE313" s="31"/>
      <c r="BF313" s="31" t="s">
        <v>16369</v>
      </c>
      <c r="BG313" s="31" t="s">
        <v>23211</v>
      </c>
      <c r="BH313" s="31" t="str">
        <f aca="false">HYPERLINK("https%3A%2F%2Fwww.webofscience.com%2Fwos%2Fwoscc%2Ffull-record%2FWOS:000698189700001","View Full Record in Web of Science")</f>
        <v>View Full Record in Web of Science</v>
      </c>
      <c r="BI313" s="31"/>
      <c r="BJ313" s="31"/>
      <c r="BK313" s="31"/>
      <c r="BL313" s="31"/>
      <c r="BM313" s="31"/>
      <c r="BN313" s="31"/>
      <c r="BO313" s="31"/>
      <c r="BP313" s="31"/>
      <c r="BQ313" s="31"/>
      <c r="BR313" s="31"/>
      <c r="BS313" s="31"/>
      <c r="BT313" s="31"/>
      <c r="BU313" s="31"/>
      <c r="BV313" s="31"/>
      <c r="BW313" s="31"/>
      <c r="BX313" s="31"/>
      <c r="BY313" s="31"/>
      <c r="BZ313" s="31"/>
      <c r="CA313" s="31"/>
      <c r="CB313" s="31"/>
      <c r="CC313" s="31"/>
      <c r="CD313" s="31"/>
      <c r="CE313" s="31"/>
      <c r="CF313" s="31"/>
    </row>
    <row r="314" customFormat="false" ht="15.75" hidden="false" customHeight="true" outlineLevel="0" collapsed="false">
      <c r="A314" s="31" t="s">
        <v>16335</v>
      </c>
      <c r="B314" s="31" t="s">
        <v>23212</v>
      </c>
      <c r="C314" s="31" t="s">
        <v>23213</v>
      </c>
      <c r="D314" s="34" t="s">
        <v>23214</v>
      </c>
      <c r="E314" s="31" t="n">
        <v>2022</v>
      </c>
      <c r="F314" s="33" t="s">
        <v>23215</v>
      </c>
      <c r="G314" s="33" t="s">
        <v>290</v>
      </c>
      <c r="H314" s="32" t="s">
        <v>17036</v>
      </c>
      <c r="I314" s="32"/>
      <c r="J314" s="34"/>
      <c r="K314" s="34"/>
      <c r="L314" s="34"/>
      <c r="M314" s="32" t="s">
        <v>23216</v>
      </c>
      <c r="N314" s="34"/>
      <c r="O314" s="34"/>
      <c r="P314" s="34" t="n">
        <v>20</v>
      </c>
      <c r="Q314" s="31" t="n">
        <v>21</v>
      </c>
      <c r="R314" s="31" t="s">
        <v>61</v>
      </c>
      <c r="S314" s="31" t="s">
        <v>62</v>
      </c>
      <c r="T314" s="31" t="s">
        <v>23217</v>
      </c>
      <c r="U314" s="31" t="n">
        <v>52</v>
      </c>
      <c r="V314" s="31" t="s">
        <v>23218</v>
      </c>
      <c r="W314" s="31"/>
      <c r="X314" s="31" t="s">
        <v>23219</v>
      </c>
      <c r="Y314" s="31" t="s">
        <v>23220</v>
      </c>
      <c r="Z314" s="31" t="s">
        <v>23221</v>
      </c>
      <c r="AA314" s="31" t="s">
        <v>23222</v>
      </c>
      <c r="AB314" s="31" t="s">
        <v>23223</v>
      </c>
      <c r="AC314" s="31" t="s">
        <v>23224</v>
      </c>
      <c r="AD314" s="31" t="s">
        <v>23225</v>
      </c>
      <c r="AE314" s="31" t="s">
        <v>23226</v>
      </c>
      <c r="AF314" s="31" t="s">
        <v>23227</v>
      </c>
      <c r="AG314" s="31" t="s">
        <v>23228</v>
      </c>
      <c r="AH314" s="31" t="s">
        <v>23229</v>
      </c>
      <c r="AI314" s="31" t="n">
        <v>25</v>
      </c>
      <c r="AJ314" s="31" t="n">
        <v>12</v>
      </c>
      <c r="AK314" s="31" t="n">
        <v>44</v>
      </c>
      <c r="AL314" s="31" t="s">
        <v>23230</v>
      </c>
      <c r="AM314" s="31" t="s">
        <v>23231</v>
      </c>
      <c r="AN314" s="31" t="s">
        <v>23232</v>
      </c>
      <c r="AO314" s="31" t="s">
        <v>23233</v>
      </c>
      <c r="AP314" s="31" t="s">
        <v>23234</v>
      </c>
      <c r="AQ314" s="31" t="s">
        <v>23235</v>
      </c>
      <c r="AR314" s="31" t="s">
        <v>16649</v>
      </c>
      <c r="AS314" s="31" t="n">
        <v>115</v>
      </c>
      <c r="AT314" s="31" t="n">
        <v>125</v>
      </c>
      <c r="AU314" s="31"/>
      <c r="AV314" s="31" t="s">
        <v>23236</v>
      </c>
      <c r="AW314" s="35" t="str">
        <f aca="false">HYPERLINK("http://dx.doi.org/10.1016/j.cjche.2022.04.004","http://dx.doi.org/10.1016/j.cjche.2022.04.004")</f>
        <v>http://dx.doi.org/10.1016/j.cjche.2022.04.004</v>
      </c>
      <c r="AX314" s="31" t="s">
        <v>22699</v>
      </c>
      <c r="AY314" s="31" t="n">
        <v>11</v>
      </c>
      <c r="AZ314" s="31" t="s">
        <v>23237</v>
      </c>
      <c r="BA314" s="31" t="s">
        <v>16366</v>
      </c>
      <c r="BB314" s="31" t="s">
        <v>18429</v>
      </c>
      <c r="BC314" s="31" t="s">
        <v>23238</v>
      </c>
      <c r="BD314" s="31"/>
      <c r="BE314" s="31"/>
      <c r="BF314" s="31" t="s">
        <v>16369</v>
      </c>
      <c r="BG314" s="31" t="s">
        <v>23239</v>
      </c>
      <c r="BH314" s="31" t="str">
        <f aca="false">HYPERLINK("https%3A%2F%2Fwww.webofscience.com%2Fwos%2Fwoscc%2Ffull-record%2FWOS:000902231800008","View Full Record in Web of Science")</f>
        <v>View Full Record in Web of Science</v>
      </c>
      <c r="BI314" s="31"/>
      <c r="BJ314" s="31"/>
      <c r="BK314" s="31"/>
      <c r="BL314" s="31"/>
      <c r="BM314" s="31"/>
      <c r="BN314" s="31"/>
      <c r="BO314" s="31"/>
      <c r="BP314" s="31"/>
      <c r="BQ314" s="31"/>
      <c r="BR314" s="31"/>
      <c r="BS314" s="31"/>
      <c r="BT314" s="31"/>
      <c r="BU314" s="31"/>
      <c r="BV314" s="31"/>
      <c r="BW314" s="31"/>
      <c r="BX314" s="31"/>
      <c r="BY314" s="31"/>
      <c r="BZ314" s="31"/>
      <c r="CA314" s="31"/>
      <c r="CB314" s="31"/>
      <c r="CC314" s="31"/>
      <c r="CD314" s="31"/>
      <c r="CE314" s="31"/>
      <c r="CF314" s="31"/>
    </row>
    <row r="315" customFormat="false" ht="15.75" hidden="false" customHeight="true" outlineLevel="0" collapsed="false">
      <c r="A315" s="31" t="s">
        <v>16335</v>
      </c>
      <c r="B315" s="31" t="s">
        <v>23240</v>
      </c>
      <c r="C315" s="31" t="s">
        <v>23241</v>
      </c>
      <c r="D315" s="34" t="s">
        <v>23242</v>
      </c>
      <c r="E315" s="31" t="n">
        <v>2022</v>
      </c>
      <c r="F315" s="33" t="s">
        <v>23243</v>
      </c>
      <c r="G315" s="33" t="s">
        <v>134</v>
      </c>
      <c r="H315" s="32" t="s">
        <v>23244</v>
      </c>
      <c r="I315" s="32" t="s">
        <v>23245</v>
      </c>
      <c r="J315" s="32" t="s">
        <v>20887</v>
      </c>
      <c r="K315" s="32" t="s">
        <v>16409</v>
      </c>
      <c r="L315" s="32" t="s">
        <v>3754</v>
      </c>
      <c r="M315" s="34"/>
      <c r="N315" s="32" t="s">
        <v>23246</v>
      </c>
      <c r="O315" s="34"/>
      <c r="P315" s="34" t="n">
        <v>8</v>
      </c>
      <c r="Q315" s="31" t="n">
        <v>8</v>
      </c>
      <c r="R315" s="31" t="s">
        <v>61</v>
      </c>
      <c r="S315" s="31" t="s">
        <v>62</v>
      </c>
      <c r="T315" s="31" t="s">
        <v>23247</v>
      </c>
      <c r="U315" s="31" t="n">
        <v>8</v>
      </c>
      <c r="V315" s="31" t="s">
        <v>23248</v>
      </c>
      <c r="W315" s="31" t="n">
        <v>2</v>
      </c>
      <c r="X315" s="31" t="s">
        <v>23249</v>
      </c>
      <c r="Y315" s="31" t="s">
        <v>23250</v>
      </c>
      <c r="Z315" s="31" t="s">
        <v>23251</v>
      </c>
      <c r="AA315" s="31" t="s">
        <v>23252</v>
      </c>
      <c r="AB315" s="31" t="s">
        <v>23253</v>
      </c>
      <c r="AC315" s="31" t="s">
        <v>23254</v>
      </c>
      <c r="AD315" s="31" t="s">
        <v>23255</v>
      </c>
      <c r="AE315" s="31"/>
      <c r="AF315" s="31" t="s">
        <v>23256</v>
      </c>
      <c r="AG315" s="31" t="s">
        <v>23257</v>
      </c>
      <c r="AH315" s="31" t="s">
        <v>23258</v>
      </c>
      <c r="AI315" s="31" t="n">
        <v>29</v>
      </c>
      <c r="AJ315" s="31" t="n">
        <v>1</v>
      </c>
      <c r="AK315" s="31" t="n">
        <v>4</v>
      </c>
      <c r="AL315" s="31" t="s">
        <v>23230</v>
      </c>
      <c r="AM315" s="31" t="s">
        <v>23259</v>
      </c>
      <c r="AN315" s="31" t="s">
        <v>23260</v>
      </c>
      <c r="AO315" s="31" t="s">
        <v>23261</v>
      </c>
      <c r="AP315" s="31" t="s">
        <v>23262</v>
      </c>
      <c r="AQ315" s="31" t="s">
        <v>23263</v>
      </c>
      <c r="AR315" s="31" t="s">
        <v>17772</v>
      </c>
      <c r="AS315" s="31" t="n">
        <v>132</v>
      </c>
      <c r="AT315" s="31" t="n">
        <v>142</v>
      </c>
      <c r="AU315" s="31"/>
      <c r="AV315" s="31" t="s">
        <v>23264</v>
      </c>
      <c r="AW315" s="35" t="str">
        <f aca="false">HYPERLINK("http://dx.doi.org/10.1016/j.dcan.2021.07.011","http://dx.doi.org/10.1016/j.dcan.2021.07.011")</f>
        <v>http://dx.doi.org/10.1016/j.dcan.2021.07.011</v>
      </c>
      <c r="AX315" s="31"/>
      <c r="AY315" s="31" t="n">
        <v>11</v>
      </c>
      <c r="AZ315" s="31" t="s">
        <v>23265</v>
      </c>
      <c r="BA315" s="31" t="s">
        <v>16366</v>
      </c>
      <c r="BB315" s="31" t="s">
        <v>23265</v>
      </c>
      <c r="BC315" s="31" t="s">
        <v>23266</v>
      </c>
      <c r="BD315" s="31"/>
      <c r="BE315" s="31" t="s">
        <v>20350</v>
      </c>
      <c r="BF315" s="31" t="s">
        <v>16369</v>
      </c>
      <c r="BG315" s="31" t="s">
        <v>23267</v>
      </c>
      <c r="BH315" s="31" t="str">
        <f aca="false">HYPERLINK("https%3A%2F%2Fwww.webofscience.com%2Fwos%2Fwoscc%2Ffull-record%2FWOS:000807248700004","View Full Record in Web of Science")</f>
        <v>View Full Record in Web of Science</v>
      </c>
      <c r="BI315" s="31"/>
      <c r="BJ315" s="31"/>
      <c r="BK315" s="31"/>
      <c r="BL315" s="31"/>
      <c r="BM315" s="31"/>
      <c r="BN315" s="31"/>
      <c r="BO315" s="31"/>
      <c r="BP315" s="31"/>
      <c r="BQ315" s="31"/>
      <c r="BR315" s="31"/>
      <c r="BS315" s="31"/>
      <c r="BT315" s="31"/>
      <c r="BU315" s="31"/>
      <c r="BV315" s="31"/>
      <c r="BW315" s="31"/>
      <c r="BX315" s="31"/>
      <c r="BY315" s="31"/>
      <c r="BZ315" s="31"/>
      <c r="CA315" s="31"/>
      <c r="CB315" s="31"/>
      <c r="CC315" s="31"/>
      <c r="CD315" s="31"/>
      <c r="CE315" s="31"/>
      <c r="CF315" s="31"/>
    </row>
    <row r="316" customFormat="false" ht="15.75" hidden="false" customHeight="true" outlineLevel="0" collapsed="false">
      <c r="A316" s="31" t="s">
        <v>16335</v>
      </c>
      <c r="B316" s="31" t="s">
        <v>23268</v>
      </c>
      <c r="C316" s="31" t="s">
        <v>23269</v>
      </c>
      <c r="D316" s="34" t="s">
        <v>23270</v>
      </c>
      <c r="E316" s="31" t="n">
        <v>2022</v>
      </c>
      <c r="F316" s="33" t="s">
        <v>23271</v>
      </c>
      <c r="G316" s="33" t="s">
        <v>134</v>
      </c>
      <c r="H316" s="32" t="s">
        <v>16721</v>
      </c>
      <c r="I316" s="32" t="s">
        <v>23272</v>
      </c>
      <c r="J316" s="34"/>
      <c r="K316" s="34"/>
      <c r="L316" s="34"/>
      <c r="M316" s="34"/>
      <c r="N316" s="34"/>
      <c r="O316" s="34"/>
      <c r="P316" s="34" t="n">
        <v>32</v>
      </c>
      <c r="Q316" s="31" t="n">
        <v>32</v>
      </c>
      <c r="R316" s="31" t="s">
        <v>61</v>
      </c>
      <c r="S316" s="31" t="s">
        <v>62</v>
      </c>
      <c r="T316" s="31" t="s">
        <v>18208</v>
      </c>
      <c r="U316" s="31" t="n">
        <v>12</v>
      </c>
      <c r="V316" s="31" t="s">
        <v>4048</v>
      </c>
      <c r="W316" s="31" t="n">
        <v>11</v>
      </c>
      <c r="X316" s="31" t="s">
        <v>23273</v>
      </c>
      <c r="Y316" s="31" t="s">
        <v>21028</v>
      </c>
      <c r="Z316" s="31" t="s">
        <v>23274</v>
      </c>
      <c r="AA316" s="31" t="s">
        <v>23275</v>
      </c>
      <c r="AB316" s="31" t="s">
        <v>23276</v>
      </c>
      <c r="AC316" s="31" t="s">
        <v>23277</v>
      </c>
      <c r="AD316" s="31" t="s">
        <v>23278</v>
      </c>
      <c r="AE316" s="31" t="s">
        <v>23279</v>
      </c>
      <c r="AF316" s="31"/>
      <c r="AG316" s="31"/>
      <c r="AH316" s="31"/>
      <c r="AI316" s="31" t="n">
        <v>70</v>
      </c>
      <c r="AJ316" s="31" t="n">
        <v>0</v>
      </c>
      <c r="AK316" s="31" t="n">
        <v>13</v>
      </c>
      <c r="AL316" s="31" t="s">
        <v>16769</v>
      </c>
      <c r="AM316" s="31" t="s">
        <v>16770</v>
      </c>
      <c r="AN316" s="31"/>
      <c r="AO316" s="31" t="s">
        <v>18220</v>
      </c>
      <c r="AP316" s="31" t="s">
        <v>18221</v>
      </c>
      <c r="AQ316" s="31" t="s">
        <v>18222</v>
      </c>
      <c r="AR316" s="31" t="s">
        <v>16683</v>
      </c>
      <c r="AS316" s="31"/>
      <c r="AT316" s="31"/>
      <c r="AU316" s="31" t="n">
        <v>5500</v>
      </c>
      <c r="AV316" s="31" t="s">
        <v>23280</v>
      </c>
      <c r="AW316" s="35" t="str">
        <f aca="false">HYPERLINK("http://dx.doi.org/10.3390/app12115500","http://dx.doi.org/10.3390/app12115500")</f>
        <v>http://dx.doi.org/10.3390/app12115500</v>
      </c>
      <c r="AX316" s="31"/>
      <c r="AY316" s="31" t="n">
        <v>24</v>
      </c>
      <c r="AZ316" s="31" t="s">
        <v>18223</v>
      </c>
      <c r="BA316" s="31" t="s">
        <v>16366</v>
      </c>
      <c r="BB316" s="31" t="s">
        <v>18224</v>
      </c>
      <c r="BC316" s="31" t="s">
        <v>23281</v>
      </c>
      <c r="BD316" s="31"/>
      <c r="BE316" s="31" t="s">
        <v>16431</v>
      </c>
      <c r="BF316" s="31" t="s">
        <v>16369</v>
      </c>
      <c r="BG316" s="31" t="s">
        <v>23282</v>
      </c>
      <c r="BH316" s="31" t="str">
        <f aca="false">HYPERLINK("https%3A%2F%2Fwww.webofscience.com%2Fwos%2Fwoscc%2Ffull-record%2FWOS:000809486500001","View Full Record in Web of Science")</f>
        <v>View Full Record in Web of Science</v>
      </c>
      <c r="BI316" s="31"/>
      <c r="BJ316" s="31"/>
      <c r="BK316" s="31"/>
      <c r="BL316" s="31"/>
      <c r="BM316" s="31"/>
      <c r="BN316" s="31"/>
      <c r="BO316" s="31"/>
      <c r="BP316" s="31"/>
      <c r="BQ316" s="31"/>
      <c r="BR316" s="31"/>
      <c r="BS316" s="31"/>
      <c r="BT316" s="31"/>
      <c r="BU316" s="31"/>
      <c r="BV316" s="31"/>
      <c r="BW316" s="31"/>
      <c r="BX316" s="31"/>
      <c r="BY316" s="31"/>
      <c r="BZ316" s="31"/>
      <c r="CA316" s="31"/>
      <c r="CB316" s="31"/>
      <c r="CC316" s="31"/>
      <c r="CD316" s="31"/>
      <c r="CE316" s="31"/>
      <c r="CF316" s="31"/>
    </row>
    <row r="317" customFormat="false" ht="15.75" hidden="false" customHeight="true" outlineLevel="0" collapsed="false">
      <c r="A317" s="31" t="s">
        <v>16335</v>
      </c>
      <c r="B317" s="31" t="s">
        <v>23283</v>
      </c>
      <c r="C317" s="31" t="s">
        <v>23284</v>
      </c>
      <c r="D317" s="34" t="s">
        <v>23285</v>
      </c>
      <c r="E317" s="31" t="n">
        <v>2022</v>
      </c>
      <c r="F317" s="33" t="s">
        <v>23286</v>
      </c>
      <c r="G317" s="33" t="s">
        <v>134</v>
      </c>
      <c r="H317" s="32" t="s">
        <v>4486</v>
      </c>
      <c r="I317" s="32" t="s">
        <v>3715</v>
      </c>
      <c r="J317" s="32" t="s">
        <v>20887</v>
      </c>
      <c r="K317" s="32" t="s">
        <v>16409</v>
      </c>
      <c r="L317" s="34"/>
      <c r="M317" s="32" t="s">
        <v>16410</v>
      </c>
      <c r="N317" s="32" t="s">
        <v>23287</v>
      </c>
      <c r="O317" s="34"/>
      <c r="P317" s="34" t="n">
        <v>7</v>
      </c>
      <c r="Q317" s="31" t="n">
        <v>7</v>
      </c>
      <c r="R317" s="31" t="s">
        <v>61</v>
      </c>
      <c r="S317" s="31" t="s">
        <v>62</v>
      </c>
      <c r="T317" s="31" t="s">
        <v>23288</v>
      </c>
      <c r="U317" s="31" t="n">
        <v>28</v>
      </c>
      <c r="V317" s="31" t="s">
        <v>23289</v>
      </c>
      <c r="W317" s="31" t="n">
        <v>10</v>
      </c>
      <c r="X317" s="31" t="s">
        <v>23290</v>
      </c>
      <c r="Y317" s="31"/>
      <c r="Z317" s="31" t="s">
        <v>23291</v>
      </c>
      <c r="AA317" s="31" t="s">
        <v>23292</v>
      </c>
      <c r="AB317" s="31" t="s">
        <v>23293</v>
      </c>
      <c r="AC317" s="31" t="s">
        <v>23294</v>
      </c>
      <c r="AD317" s="31" t="s">
        <v>19021</v>
      </c>
      <c r="AE317" s="31" t="s">
        <v>23295</v>
      </c>
      <c r="AF317" s="31"/>
      <c r="AG317" s="31"/>
      <c r="AH317" s="31"/>
      <c r="AI317" s="31" t="n">
        <v>55</v>
      </c>
      <c r="AJ317" s="31" t="n">
        <v>0</v>
      </c>
      <c r="AK317" s="31" t="n">
        <v>2</v>
      </c>
      <c r="AL317" s="31" t="s">
        <v>23296</v>
      </c>
      <c r="AM317" s="31" t="s">
        <v>23297</v>
      </c>
      <c r="AN317" s="31" t="s">
        <v>23298</v>
      </c>
      <c r="AO317" s="31" t="s">
        <v>23299</v>
      </c>
      <c r="AP317" s="31" t="s">
        <v>23300</v>
      </c>
      <c r="AQ317" s="31" t="s">
        <v>23301</v>
      </c>
      <c r="AR317" s="31"/>
      <c r="AS317" s="31" t="n">
        <v>1087</v>
      </c>
      <c r="AT317" s="31" t="n">
        <v>1107</v>
      </c>
      <c r="AU317" s="31"/>
      <c r="AV317" s="31" t="s">
        <v>23302</v>
      </c>
      <c r="AW317" s="35" t="str">
        <f aca="false">HYPERLINK("http://dx.doi.org/10.3897/jucs.81681","http://dx.doi.org/10.3897/jucs.81681")</f>
        <v>http://dx.doi.org/10.3897/jucs.81681</v>
      </c>
      <c r="AX317" s="31"/>
      <c r="AY317" s="31" t="n">
        <v>21</v>
      </c>
      <c r="AZ317" s="31" t="s">
        <v>23303</v>
      </c>
      <c r="BA317" s="31" t="s">
        <v>16366</v>
      </c>
      <c r="BB317" s="31" t="s">
        <v>16367</v>
      </c>
      <c r="BC317" s="31" t="s">
        <v>23304</v>
      </c>
      <c r="BD317" s="31"/>
      <c r="BE317" s="31" t="s">
        <v>17194</v>
      </c>
      <c r="BF317" s="31" t="s">
        <v>16369</v>
      </c>
      <c r="BG317" s="31" t="s">
        <v>23305</v>
      </c>
      <c r="BH317" s="31" t="str">
        <f aca="false">HYPERLINK("https%3A%2F%2Fwww.webofscience.com%2Fwos%2Fwoscc%2Ffull-record%2FWOS:000929059000005","View Full Record in Web of Science")</f>
        <v>View Full Record in Web of Science</v>
      </c>
      <c r="BI317" s="31"/>
      <c r="BJ317" s="31"/>
      <c r="BK317" s="31"/>
      <c r="BL317" s="31"/>
      <c r="BM317" s="31"/>
      <c r="BN317" s="31"/>
      <c r="BO317" s="31"/>
      <c r="BP317" s="31"/>
      <c r="BQ317" s="31"/>
      <c r="BR317" s="31"/>
      <c r="BS317" s="31"/>
      <c r="BT317" s="31"/>
      <c r="BU317" s="31"/>
      <c r="BV317" s="31"/>
      <c r="BW317" s="31"/>
      <c r="BX317" s="31"/>
      <c r="BY317" s="31"/>
      <c r="BZ317" s="31"/>
      <c r="CA317" s="31"/>
      <c r="CB317" s="31"/>
      <c r="CC317" s="31"/>
      <c r="CD317" s="31"/>
      <c r="CE317" s="31"/>
      <c r="CF317" s="31"/>
    </row>
    <row r="318" customFormat="false" ht="15.75" hidden="false" customHeight="true" outlineLevel="0" collapsed="false">
      <c r="A318" s="31" t="s">
        <v>16335</v>
      </c>
      <c r="B318" s="31" t="s">
        <v>23306</v>
      </c>
      <c r="C318" s="31" t="s">
        <v>23307</v>
      </c>
      <c r="D318" s="34" t="s">
        <v>23308</v>
      </c>
      <c r="E318" s="31" t="n">
        <v>2022</v>
      </c>
      <c r="F318" s="33" t="s">
        <v>23309</v>
      </c>
      <c r="G318" s="33" t="s">
        <v>134</v>
      </c>
      <c r="H318" s="32" t="s">
        <v>23310</v>
      </c>
      <c r="I318" s="32" t="s">
        <v>23311</v>
      </c>
      <c r="J318" s="34"/>
      <c r="K318" s="32" t="s">
        <v>16409</v>
      </c>
      <c r="L318" s="34"/>
      <c r="M318" s="34"/>
      <c r="N318" s="32" t="s">
        <v>23312</v>
      </c>
      <c r="O318" s="34"/>
      <c r="P318" s="34" t="n">
        <v>23</v>
      </c>
      <c r="Q318" s="31" t="n">
        <v>23</v>
      </c>
      <c r="R318" s="31" t="s">
        <v>61</v>
      </c>
      <c r="S318" s="31" t="s">
        <v>62</v>
      </c>
      <c r="T318" s="31" t="s">
        <v>18986</v>
      </c>
      <c r="U318" s="31" t="n">
        <v>14</v>
      </c>
      <c r="V318" s="31" t="s">
        <v>18987</v>
      </c>
      <c r="W318" s="31" t="n">
        <v>654</v>
      </c>
      <c r="X318" s="31"/>
      <c r="Y318" s="31" t="s">
        <v>23313</v>
      </c>
      <c r="Z318" s="31" t="s">
        <v>23314</v>
      </c>
      <c r="AA318" s="31" t="s">
        <v>23315</v>
      </c>
      <c r="AB318" s="31" t="s">
        <v>23316</v>
      </c>
      <c r="AC318" s="31" t="s">
        <v>23317</v>
      </c>
      <c r="AD318" s="31" t="s">
        <v>23318</v>
      </c>
      <c r="AE318" s="31" t="s">
        <v>23319</v>
      </c>
      <c r="AF318" s="31" t="s">
        <v>23320</v>
      </c>
      <c r="AG318" s="31" t="s">
        <v>23321</v>
      </c>
      <c r="AH318" s="31" t="s">
        <v>23322</v>
      </c>
      <c r="AI318" s="31" t="n">
        <v>42</v>
      </c>
      <c r="AJ318" s="31" t="n">
        <v>0</v>
      </c>
      <c r="AK318" s="31" t="n">
        <v>1</v>
      </c>
      <c r="AL318" s="31" t="s">
        <v>18329</v>
      </c>
      <c r="AM318" s="31" t="s">
        <v>18998</v>
      </c>
      <c r="AN318" s="31" t="s">
        <v>18999</v>
      </c>
      <c r="AO318" s="31" t="s">
        <v>19000</v>
      </c>
      <c r="AP318" s="31" t="s">
        <v>19001</v>
      </c>
      <c r="AQ318" s="31" t="s">
        <v>19002</v>
      </c>
      <c r="AR318" s="31" t="s">
        <v>23323</v>
      </c>
      <c r="AS318" s="31"/>
      <c r="AT318" s="31"/>
      <c r="AU318" s="31" t="s">
        <v>23324</v>
      </c>
      <c r="AV318" s="31" t="s">
        <v>23325</v>
      </c>
      <c r="AW318" s="35" t="str">
        <f aca="false">HYPERLINK("http://dx.doi.org/10.1126/scitranslmed.abn5040","http://dx.doi.org/10.1126/scitranslmed.abn5040")</f>
        <v>http://dx.doi.org/10.1126/scitranslmed.abn5040</v>
      </c>
      <c r="AX318" s="31"/>
      <c r="AY318" s="31" t="n">
        <v>10</v>
      </c>
      <c r="AZ318" s="31" t="s">
        <v>19006</v>
      </c>
      <c r="BA318" s="31" t="s">
        <v>16366</v>
      </c>
      <c r="BB318" s="31" t="s">
        <v>19007</v>
      </c>
      <c r="BC318" s="31" t="s">
        <v>23326</v>
      </c>
      <c r="BD318" s="31" t="n">
        <v>35857826</v>
      </c>
      <c r="BE318" s="31" t="s">
        <v>23327</v>
      </c>
      <c r="BF318" s="31" t="s">
        <v>16369</v>
      </c>
      <c r="BG318" s="31" t="s">
        <v>23328</v>
      </c>
      <c r="BH318" s="31" t="str">
        <f aca="false">HYPERLINK("https%3A%2F%2Fwww.webofscience.com%2Fwos%2Fwoscc%2Ffull-record%2FWOS:000828140600004","View Full Record in Web of Science")</f>
        <v>View Full Record in Web of Science</v>
      </c>
      <c r="BI318" s="31"/>
      <c r="BJ318" s="31"/>
      <c r="BK318" s="31"/>
      <c r="BL318" s="31"/>
      <c r="BM318" s="31"/>
      <c r="BN318" s="31"/>
      <c r="BO318" s="31"/>
      <c r="BP318" s="31"/>
      <c r="BQ318" s="31"/>
      <c r="BR318" s="31"/>
      <c r="BS318" s="31"/>
      <c r="BT318" s="31"/>
      <c r="BU318" s="31"/>
      <c r="BV318" s="31"/>
      <c r="BW318" s="31"/>
      <c r="BX318" s="31"/>
      <c r="BY318" s="31"/>
      <c r="BZ318" s="31"/>
      <c r="CA318" s="31"/>
      <c r="CB318" s="31"/>
      <c r="CC318" s="31"/>
      <c r="CD318" s="31"/>
      <c r="CE318" s="31"/>
      <c r="CF318" s="31"/>
    </row>
    <row r="319" customFormat="false" ht="15.75" hidden="false" customHeight="true" outlineLevel="0" collapsed="false">
      <c r="A319" s="31" t="s">
        <v>16335</v>
      </c>
      <c r="B319" s="31" t="s">
        <v>23329</v>
      </c>
      <c r="C319" s="31" t="s">
        <v>23330</v>
      </c>
      <c r="D319" s="34" t="s">
        <v>23331</v>
      </c>
      <c r="E319" s="31" t="n">
        <v>2022</v>
      </c>
      <c r="F319" s="33" t="s">
        <v>23332</v>
      </c>
      <c r="G319" s="33" t="s">
        <v>134</v>
      </c>
      <c r="H319" s="32" t="s">
        <v>16721</v>
      </c>
      <c r="I319" s="34"/>
      <c r="J319" s="32" t="s">
        <v>20887</v>
      </c>
      <c r="K319" s="34"/>
      <c r="L319" s="34"/>
      <c r="M319" s="34"/>
      <c r="N319" s="34"/>
      <c r="O319" s="34"/>
      <c r="P319" s="34" t="n">
        <v>12</v>
      </c>
      <c r="Q319" s="31" t="n">
        <v>14</v>
      </c>
      <c r="R319" s="31" t="s">
        <v>61</v>
      </c>
      <c r="S319" s="31" t="s">
        <v>62</v>
      </c>
      <c r="T319" s="31" t="s">
        <v>23333</v>
      </c>
      <c r="U319" s="31" t="n">
        <v>30</v>
      </c>
      <c r="V319" s="31" t="s">
        <v>22806</v>
      </c>
      <c r="W319" s="31" t="n">
        <v>2</v>
      </c>
      <c r="X319" s="31"/>
      <c r="Y319" s="31" t="s">
        <v>23334</v>
      </c>
      <c r="Z319" s="31" t="s">
        <v>23335</v>
      </c>
      <c r="AA319" s="31" t="s">
        <v>23336</v>
      </c>
      <c r="AB319" s="31" t="s">
        <v>23337</v>
      </c>
      <c r="AC319" s="31" t="s">
        <v>23338</v>
      </c>
      <c r="AD319" s="31" t="s">
        <v>23339</v>
      </c>
      <c r="AE319" s="31" t="s">
        <v>23340</v>
      </c>
      <c r="AF319" s="31" t="s">
        <v>23341</v>
      </c>
      <c r="AG319" s="31" t="s">
        <v>23342</v>
      </c>
      <c r="AH319" s="31" t="s">
        <v>23343</v>
      </c>
      <c r="AI319" s="31" t="n">
        <v>56</v>
      </c>
      <c r="AJ319" s="31" t="n">
        <v>0</v>
      </c>
      <c r="AK319" s="31" t="n">
        <v>12</v>
      </c>
      <c r="AL319" s="31" t="s">
        <v>18329</v>
      </c>
      <c r="AM319" s="31" t="s">
        <v>22817</v>
      </c>
      <c r="AN319" s="31" t="s">
        <v>23344</v>
      </c>
      <c r="AO319" s="31"/>
      <c r="AP319" s="31" t="s">
        <v>23345</v>
      </c>
      <c r="AQ319" s="31" t="s">
        <v>23346</v>
      </c>
      <c r="AR319" s="31" t="s">
        <v>23347</v>
      </c>
      <c r="AS319" s="31" t="n">
        <v>1745</v>
      </c>
      <c r="AT319" s="31" t="n">
        <v>1761</v>
      </c>
      <c r="AU319" s="31"/>
      <c r="AV319" s="31" t="s">
        <v>23348</v>
      </c>
      <c r="AW319" s="35" t="str">
        <f aca="false">HYPERLINK("http://dx.doi.org/10.1364/OE.445001","http://dx.doi.org/10.1364/OE.445001")</f>
        <v>http://dx.doi.org/10.1364/OE.445001</v>
      </c>
      <c r="AX319" s="31"/>
      <c r="AY319" s="31" t="n">
        <v>17</v>
      </c>
      <c r="AZ319" s="31" t="s">
        <v>23349</v>
      </c>
      <c r="BA319" s="31" t="s">
        <v>16366</v>
      </c>
      <c r="BB319" s="31" t="s">
        <v>23349</v>
      </c>
      <c r="BC319" s="31" t="s">
        <v>23350</v>
      </c>
      <c r="BD319" s="31" t="n">
        <v>35209329</v>
      </c>
      <c r="BE319" s="31" t="s">
        <v>17168</v>
      </c>
      <c r="BF319" s="31" t="s">
        <v>16369</v>
      </c>
      <c r="BG319" s="31" t="s">
        <v>23351</v>
      </c>
      <c r="BH319" s="31" t="str">
        <f aca="false">HYPERLINK("https%3A%2F%2Fwww.webofscience.com%2Fwos%2Fwoscc%2Ffull-record%2FWOS:000745037500086","View Full Record in Web of Science")</f>
        <v>View Full Record in Web of Science</v>
      </c>
      <c r="BI319" s="31"/>
      <c r="BJ319" s="31"/>
      <c r="BK319" s="31"/>
      <c r="BL319" s="31"/>
      <c r="BM319" s="31"/>
      <c r="BN319" s="31"/>
      <c r="BO319" s="31"/>
      <c r="BP319" s="31"/>
      <c r="BQ319" s="31"/>
      <c r="BR319" s="31"/>
      <c r="BS319" s="31"/>
      <c r="BT319" s="31"/>
      <c r="BU319" s="31"/>
      <c r="BV319" s="31"/>
      <c r="BW319" s="31"/>
      <c r="BX319" s="31"/>
      <c r="BY319" s="31"/>
      <c r="BZ319" s="31"/>
      <c r="CA319" s="31"/>
      <c r="CB319" s="31"/>
      <c r="CC319" s="31"/>
      <c r="CD319" s="31"/>
      <c r="CE319" s="31"/>
      <c r="CF319" s="31"/>
    </row>
    <row r="320" customFormat="false" ht="15.75" hidden="false" customHeight="true" outlineLevel="0" collapsed="false">
      <c r="A320" s="31" t="s">
        <v>16335</v>
      </c>
      <c r="B320" s="31" t="s">
        <v>23352</v>
      </c>
      <c r="C320" s="31" t="s">
        <v>23353</v>
      </c>
      <c r="D320" s="34" t="s">
        <v>23354</v>
      </c>
      <c r="E320" s="31" t="n">
        <v>2022</v>
      </c>
      <c r="F320" s="33" t="s">
        <v>23355</v>
      </c>
      <c r="G320" s="33" t="s">
        <v>134</v>
      </c>
      <c r="H320" s="32" t="s">
        <v>17035</v>
      </c>
      <c r="I320" s="32" t="s">
        <v>3715</v>
      </c>
      <c r="J320" s="32" t="s">
        <v>21109</v>
      </c>
      <c r="K320" s="32" t="s">
        <v>16409</v>
      </c>
      <c r="L320" s="34"/>
      <c r="M320" s="34"/>
      <c r="N320" s="32" t="s">
        <v>23356</v>
      </c>
      <c r="O320" s="34"/>
      <c r="P320" s="34" t="n">
        <v>7</v>
      </c>
      <c r="Q320" s="31" t="n">
        <v>7</v>
      </c>
      <c r="R320" s="31" t="s">
        <v>61</v>
      </c>
      <c r="S320" s="31" t="s">
        <v>62</v>
      </c>
      <c r="T320" s="31" t="s">
        <v>22224</v>
      </c>
      <c r="U320" s="31" t="n">
        <v>72</v>
      </c>
      <c r="V320" s="31" t="s">
        <v>22225</v>
      </c>
      <c r="W320" s="31" t="n">
        <v>3</v>
      </c>
      <c r="X320" s="31" t="s">
        <v>23357</v>
      </c>
      <c r="Y320" s="31"/>
      <c r="Z320" s="31" t="s">
        <v>23358</v>
      </c>
      <c r="AA320" s="31" t="s">
        <v>23359</v>
      </c>
      <c r="AB320" s="31" t="s">
        <v>23360</v>
      </c>
      <c r="AC320" s="31" t="s">
        <v>23361</v>
      </c>
      <c r="AD320" s="31" t="s">
        <v>23362</v>
      </c>
      <c r="AE320" s="31"/>
      <c r="AF320" s="31" t="s">
        <v>23363</v>
      </c>
      <c r="AG320" s="31" t="s">
        <v>23364</v>
      </c>
      <c r="AH320" s="31" t="s">
        <v>23365</v>
      </c>
      <c r="AI320" s="31" t="n">
        <v>21</v>
      </c>
      <c r="AJ320" s="31" t="n">
        <v>0</v>
      </c>
      <c r="AK320" s="31" t="n">
        <v>13</v>
      </c>
      <c r="AL320" s="31" t="s">
        <v>22233</v>
      </c>
      <c r="AM320" s="31" t="s">
        <v>22234</v>
      </c>
      <c r="AN320" s="31" t="s">
        <v>22235</v>
      </c>
      <c r="AO320" s="31" t="s">
        <v>22236</v>
      </c>
      <c r="AP320" s="31" t="s">
        <v>22237</v>
      </c>
      <c r="AQ320" s="31" t="s">
        <v>22238</v>
      </c>
      <c r="AR320" s="31"/>
      <c r="AS320" s="31" t="n">
        <v>5273</v>
      </c>
      <c r="AT320" s="31" t="n">
        <v>5285</v>
      </c>
      <c r="AU320" s="31"/>
      <c r="AV320" s="31" t="s">
        <v>23366</v>
      </c>
      <c r="AW320" s="35" t="str">
        <f aca="false">HYPERLINK("http://dx.doi.org/10.32604/cmc.2022.025577","http://dx.doi.org/10.32604/cmc.2022.025577")</f>
        <v>http://dx.doi.org/10.32604/cmc.2022.025577</v>
      </c>
      <c r="AX320" s="31"/>
      <c r="AY320" s="31" t="n">
        <v>13</v>
      </c>
      <c r="AZ320" s="31" t="s">
        <v>22240</v>
      </c>
      <c r="BA320" s="31" t="s">
        <v>16366</v>
      </c>
      <c r="BB320" s="31" t="s">
        <v>22241</v>
      </c>
      <c r="BC320" s="31" t="s">
        <v>23367</v>
      </c>
      <c r="BD320" s="31"/>
      <c r="BE320" s="31" t="s">
        <v>16431</v>
      </c>
      <c r="BF320" s="31" t="s">
        <v>16369</v>
      </c>
      <c r="BG320" s="31" t="s">
        <v>23368</v>
      </c>
      <c r="BH320" s="31" t="str">
        <f aca="false">HYPERLINK("https%3A%2F%2Fwww.webofscience.com%2Fwos%2Fwoscc%2Ffull-record%2FWOS:000799234000026","View Full Record in Web of Science")</f>
        <v>View Full Record in Web of Science</v>
      </c>
      <c r="BI320" s="31"/>
      <c r="BJ320" s="31"/>
      <c r="BK320" s="31"/>
      <c r="BL320" s="31"/>
      <c r="BM320" s="31"/>
      <c r="BN320" s="31"/>
      <c r="BO320" s="31"/>
      <c r="BP320" s="31"/>
      <c r="BQ320" s="31"/>
      <c r="BR320" s="31"/>
      <c r="BS320" s="31"/>
      <c r="BT320" s="31"/>
      <c r="BU320" s="31"/>
      <c r="BV320" s="31"/>
      <c r="BW320" s="31"/>
      <c r="BX320" s="31"/>
      <c r="BY320" s="31"/>
      <c r="BZ320" s="31"/>
      <c r="CA320" s="31"/>
      <c r="CB320" s="31"/>
      <c r="CC320" s="31"/>
      <c r="CD320" s="31"/>
      <c r="CE320" s="31"/>
      <c r="CF320" s="31"/>
    </row>
    <row r="321" customFormat="false" ht="15.75" hidden="false" customHeight="true" outlineLevel="0" collapsed="false">
      <c r="A321" s="31" t="s">
        <v>16335</v>
      </c>
      <c r="B321" s="31" t="s">
        <v>23369</v>
      </c>
      <c r="C321" s="31" t="s">
        <v>23370</v>
      </c>
      <c r="D321" s="34" t="s">
        <v>23371</v>
      </c>
      <c r="E321" s="31" t="n">
        <v>2022</v>
      </c>
      <c r="F321" s="33" t="s">
        <v>23372</v>
      </c>
      <c r="G321" s="33" t="s">
        <v>393</v>
      </c>
      <c r="H321" s="32" t="s">
        <v>23373</v>
      </c>
      <c r="I321" s="32" t="s">
        <v>21551</v>
      </c>
      <c r="J321" s="32" t="s">
        <v>21092</v>
      </c>
      <c r="K321" s="32" t="s">
        <v>16409</v>
      </c>
      <c r="L321" s="34"/>
      <c r="M321" s="34"/>
      <c r="N321" s="34"/>
      <c r="O321" s="34"/>
      <c r="P321" s="34" t="n">
        <v>7</v>
      </c>
      <c r="Q321" s="31" t="n">
        <v>7</v>
      </c>
      <c r="R321" s="31" t="s">
        <v>61</v>
      </c>
      <c r="S321" s="31" t="s">
        <v>62</v>
      </c>
      <c r="T321" s="31" t="s">
        <v>23374</v>
      </c>
      <c r="U321" s="31" t="n">
        <v>226</v>
      </c>
      <c r="V321" s="31" t="s">
        <v>16531</v>
      </c>
      <c r="W321" s="31" t="n">
        <v>11</v>
      </c>
      <c r="X321" s="31" t="s">
        <v>23375</v>
      </c>
      <c r="Y321" s="31" t="s">
        <v>23376</v>
      </c>
      <c r="Z321" s="31" t="s">
        <v>23377</v>
      </c>
      <c r="AA321" s="31" t="s">
        <v>23378</v>
      </c>
      <c r="AB321" s="31" t="s">
        <v>23379</v>
      </c>
      <c r="AC321" s="31" t="s">
        <v>23380</v>
      </c>
      <c r="AD321" s="31" t="s">
        <v>23381</v>
      </c>
      <c r="AE321" s="31" t="s">
        <v>23382</v>
      </c>
      <c r="AF321" s="31" t="s">
        <v>23383</v>
      </c>
      <c r="AG321" s="31" t="s">
        <v>23384</v>
      </c>
      <c r="AH321" s="31" t="s">
        <v>23385</v>
      </c>
      <c r="AI321" s="31" t="n">
        <v>50</v>
      </c>
      <c r="AJ321" s="31" t="n">
        <v>0</v>
      </c>
      <c r="AK321" s="31" t="n">
        <v>3</v>
      </c>
      <c r="AL321" s="31" t="s">
        <v>16539</v>
      </c>
      <c r="AM321" s="31" t="s">
        <v>16540</v>
      </c>
      <c r="AN321" s="31" t="s">
        <v>23386</v>
      </c>
      <c r="AO321" s="31" t="s">
        <v>23387</v>
      </c>
      <c r="AP321" s="31" t="s">
        <v>23388</v>
      </c>
      <c r="AQ321" s="31" t="s">
        <v>1304</v>
      </c>
      <c r="AR321" s="31" t="s">
        <v>21519</v>
      </c>
      <c r="AS321" s="31" t="n">
        <v>2010</v>
      </c>
      <c r="AT321" s="31" t="n">
        <v>2020</v>
      </c>
      <c r="AU321" s="31"/>
      <c r="AV321" s="31" t="s">
        <v>23389</v>
      </c>
      <c r="AW321" s="35" t="str">
        <f aca="false">HYPERLINK("http://dx.doi.org/10.1093/infdis/jiac340","http://dx.doi.org/10.1093/infdis/jiac340")</f>
        <v>http://dx.doi.org/10.1093/infdis/jiac340</v>
      </c>
      <c r="AX321" s="31" t="s">
        <v>21868</v>
      </c>
      <c r="AY321" s="31" t="n">
        <v>11</v>
      </c>
      <c r="AZ321" s="31" t="s">
        <v>19522</v>
      </c>
      <c r="BA321" s="31" t="s">
        <v>16366</v>
      </c>
      <c r="BB321" s="31" t="s">
        <v>19522</v>
      </c>
      <c r="BC321" s="31" t="s">
        <v>23390</v>
      </c>
      <c r="BD321" s="31" t="n">
        <v>35942812</v>
      </c>
      <c r="BE321" s="31"/>
      <c r="BF321" s="31" t="s">
        <v>16369</v>
      </c>
      <c r="BG321" s="31" t="s">
        <v>23391</v>
      </c>
      <c r="BH321" s="31" t="str">
        <f aca="false">HYPERLINK("https%3A%2F%2Fwww.webofscience.com%2Fwos%2Fwoscc%2Ffull-record%2FWOS:000846442500001","View Full Record in Web of Science")</f>
        <v>View Full Record in Web of Science</v>
      </c>
      <c r="BI321" s="31"/>
      <c r="BJ321" s="31"/>
      <c r="BK321" s="31"/>
      <c r="BL321" s="31"/>
      <c r="BM321" s="31"/>
      <c r="BN321" s="31"/>
      <c r="BO321" s="31"/>
      <c r="BP321" s="31"/>
      <c r="BQ321" s="31"/>
      <c r="BR321" s="31"/>
      <c r="BS321" s="31"/>
      <c r="BT321" s="31"/>
      <c r="BU321" s="31"/>
      <c r="BV321" s="31"/>
      <c r="BW321" s="31"/>
      <c r="BX321" s="31"/>
      <c r="BY321" s="31"/>
      <c r="BZ321" s="31"/>
      <c r="CA321" s="31"/>
      <c r="CB321" s="31"/>
      <c r="CC321" s="31"/>
      <c r="CD321" s="31"/>
      <c r="CE321" s="31"/>
      <c r="CF321" s="31"/>
    </row>
    <row r="322" customFormat="false" ht="15.75" hidden="false" customHeight="true" outlineLevel="0" collapsed="false">
      <c r="A322" s="31" t="s">
        <v>16335</v>
      </c>
      <c r="B322" s="31" t="s">
        <v>23392</v>
      </c>
      <c r="C322" s="31" t="s">
        <v>23393</v>
      </c>
      <c r="D322" s="34" t="s">
        <v>23394</v>
      </c>
      <c r="E322" s="31" t="n">
        <v>2022</v>
      </c>
      <c r="F322" s="33" t="s">
        <v>23395</v>
      </c>
      <c r="G322" s="33" t="s">
        <v>134</v>
      </c>
      <c r="H322" s="32" t="s">
        <v>5004</v>
      </c>
      <c r="I322" s="32" t="s">
        <v>23396</v>
      </c>
      <c r="J322" s="34"/>
      <c r="K322" s="32" t="s">
        <v>16409</v>
      </c>
      <c r="L322" s="34"/>
      <c r="M322" s="34"/>
      <c r="N322" s="34"/>
      <c r="O322" s="34"/>
      <c r="P322" s="34" t="n">
        <v>1</v>
      </c>
      <c r="Q322" s="31" t="n">
        <v>1</v>
      </c>
      <c r="R322" s="31" t="s">
        <v>61</v>
      </c>
      <c r="S322" s="31" t="s">
        <v>62</v>
      </c>
      <c r="T322" s="31" t="s">
        <v>23397</v>
      </c>
      <c r="U322" s="31" t="n">
        <v>9</v>
      </c>
      <c r="V322" s="31" t="s">
        <v>16814</v>
      </c>
      <c r="W322" s="31" t="n">
        <v>1</v>
      </c>
      <c r="X322" s="31" t="s">
        <v>23398</v>
      </c>
      <c r="Y322" s="31" t="s">
        <v>23399</v>
      </c>
      <c r="Z322" s="31" t="s">
        <v>23400</v>
      </c>
      <c r="AA322" s="31" t="s">
        <v>23401</v>
      </c>
      <c r="AB322" s="31" t="s">
        <v>23402</v>
      </c>
      <c r="AC322" s="31" t="s">
        <v>23403</v>
      </c>
      <c r="AD322" s="31"/>
      <c r="AE322" s="31"/>
      <c r="AF322" s="31" t="s">
        <v>23404</v>
      </c>
      <c r="AG322" s="31" t="s">
        <v>23405</v>
      </c>
      <c r="AH322" s="31" t="s">
        <v>23406</v>
      </c>
      <c r="AI322" s="31" t="n">
        <v>79</v>
      </c>
      <c r="AJ322" s="31" t="n">
        <v>1</v>
      </c>
      <c r="AK322" s="31" t="n">
        <v>13</v>
      </c>
      <c r="AL322" s="31" t="s">
        <v>16821</v>
      </c>
      <c r="AM322" s="31" t="s">
        <v>16822</v>
      </c>
      <c r="AN322" s="31"/>
      <c r="AO322" s="31" t="s">
        <v>23407</v>
      </c>
      <c r="AP322" s="31" t="s">
        <v>23408</v>
      </c>
      <c r="AQ322" s="31" t="s">
        <v>23409</v>
      </c>
      <c r="AR322" s="31" t="s">
        <v>23410</v>
      </c>
      <c r="AS322" s="31"/>
      <c r="AT322" s="31"/>
      <c r="AU322" s="31" t="n">
        <v>85</v>
      </c>
      <c r="AV322" s="31" t="s">
        <v>23411</v>
      </c>
      <c r="AW322" s="35" t="str">
        <f aca="false">HYPERLINK("http://dx.doi.org/10.1186/s40537-022-00635-x","http://dx.doi.org/10.1186/s40537-022-00635-x")</f>
        <v>http://dx.doi.org/10.1186/s40537-022-00635-x</v>
      </c>
      <c r="AX322" s="31"/>
      <c r="AY322" s="31" t="n">
        <v>22</v>
      </c>
      <c r="AZ322" s="31" t="s">
        <v>17057</v>
      </c>
      <c r="BA322" s="31" t="s">
        <v>16366</v>
      </c>
      <c r="BB322" s="31" t="s">
        <v>16367</v>
      </c>
      <c r="BC322" s="31" t="s">
        <v>23412</v>
      </c>
      <c r="BD322" s="31"/>
      <c r="BE322" s="31" t="s">
        <v>16431</v>
      </c>
      <c r="BF322" s="31" t="s">
        <v>16369</v>
      </c>
      <c r="BG322" s="31" t="s">
        <v>23413</v>
      </c>
      <c r="BH322" s="31" t="str">
        <f aca="false">HYPERLINK("https%3A%2F%2Fwww.webofscience.com%2Fwos%2Fwoscc%2Ffull-record%2FWOS:000815633400001","View Full Record in Web of Science")</f>
        <v>View Full Record in Web of Science</v>
      </c>
      <c r="BI322" s="31"/>
      <c r="BJ322" s="31"/>
      <c r="BK322" s="31"/>
      <c r="BL322" s="31"/>
      <c r="BM322" s="31"/>
      <c r="BN322" s="31"/>
      <c r="BO322" s="31"/>
      <c r="BP322" s="31"/>
      <c r="BQ322" s="31"/>
      <c r="BR322" s="31"/>
      <c r="BS322" s="31"/>
      <c r="BT322" s="31"/>
      <c r="BU322" s="31"/>
      <c r="BV322" s="31"/>
      <c r="BW322" s="31"/>
      <c r="BX322" s="31"/>
      <c r="BY322" s="31"/>
      <c r="BZ322" s="31"/>
      <c r="CA322" s="31"/>
      <c r="CB322" s="31"/>
      <c r="CC322" s="31"/>
      <c r="CD322" s="31"/>
      <c r="CE322" s="31"/>
      <c r="CF322" s="31"/>
    </row>
    <row r="323" customFormat="false" ht="15.75" hidden="false" customHeight="true" outlineLevel="0" collapsed="false">
      <c r="A323" s="31" t="s">
        <v>16335</v>
      </c>
      <c r="B323" s="31" t="s">
        <v>23414</v>
      </c>
      <c r="C323" s="31" t="s">
        <v>23415</v>
      </c>
      <c r="D323" s="34" t="s">
        <v>23416</v>
      </c>
      <c r="E323" s="31" t="n">
        <v>2022</v>
      </c>
      <c r="F323" s="33" t="s">
        <v>23417</v>
      </c>
      <c r="G323" s="33" t="s">
        <v>134</v>
      </c>
      <c r="H323" s="32" t="s">
        <v>17005</v>
      </c>
      <c r="I323" s="32" t="s">
        <v>17005</v>
      </c>
      <c r="J323" s="34"/>
      <c r="K323" s="32" t="s">
        <v>17573</v>
      </c>
      <c r="L323" s="34"/>
      <c r="M323" s="34"/>
      <c r="N323" s="34"/>
      <c r="O323" s="34"/>
      <c r="P323" s="34" t="n">
        <v>5</v>
      </c>
      <c r="Q323" s="31" t="n">
        <v>5</v>
      </c>
      <c r="R323" s="31" t="s">
        <v>61</v>
      </c>
      <c r="S323" s="31" t="s">
        <v>62</v>
      </c>
      <c r="T323" s="31" t="s">
        <v>17012</v>
      </c>
      <c r="U323" s="31" t="n">
        <v>11</v>
      </c>
      <c r="V323" s="31" t="s">
        <v>4048</v>
      </c>
      <c r="W323" s="31" t="n">
        <v>5</v>
      </c>
      <c r="X323" s="31" t="s">
        <v>23418</v>
      </c>
      <c r="Y323" s="31" t="s">
        <v>23419</v>
      </c>
      <c r="Z323" s="31" t="s">
        <v>23420</v>
      </c>
      <c r="AA323" s="31" t="s">
        <v>17016</v>
      </c>
      <c r="AB323" s="31" t="s">
        <v>23421</v>
      </c>
      <c r="AC323" s="31" t="s">
        <v>23422</v>
      </c>
      <c r="AD323" s="31" t="s">
        <v>23423</v>
      </c>
      <c r="AE323" s="31" t="s">
        <v>23424</v>
      </c>
      <c r="AF323" s="31"/>
      <c r="AG323" s="31"/>
      <c r="AH323" s="31"/>
      <c r="AI323" s="31" t="n">
        <v>51</v>
      </c>
      <c r="AJ323" s="31" t="n">
        <v>1</v>
      </c>
      <c r="AK323" s="31" t="n">
        <v>9</v>
      </c>
      <c r="AL323" s="31" t="s">
        <v>16769</v>
      </c>
      <c r="AM323" s="31" t="s">
        <v>16770</v>
      </c>
      <c r="AN323" s="31"/>
      <c r="AO323" s="31" t="s">
        <v>17024</v>
      </c>
      <c r="AP323" s="31" t="s">
        <v>17025</v>
      </c>
      <c r="AQ323" s="31" t="s">
        <v>17026</v>
      </c>
      <c r="AR323" s="31" t="s">
        <v>17248</v>
      </c>
      <c r="AS323" s="31"/>
      <c r="AT323" s="31"/>
      <c r="AU323" s="31" t="n">
        <v>785</v>
      </c>
      <c r="AV323" s="31" t="s">
        <v>23425</v>
      </c>
      <c r="AW323" s="35" t="str">
        <f aca="false">HYPERLINK("http://dx.doi.org/10.3390/electronics11050785","http://dx.doi.org/10.3390/electronics11050785")</f>
        <v>http://dx.doi.org/10.3390/electronics11050785</v>
      </c>
      <c r="AX323" s="31"/>
      <c r="AY323" s="31" t="n">
        <v>20</v>
      </c>
      <c r="AZ323" s="31" t="s">
        <v>17027</v>
      </c>
      <c r="BA323" s="31" t="s">
        <v>16366</v>
      </c>
      <c r="BB323" s="31" t="s">
        <v>17028</v>
      </c>
      <c r="BC323" s="31" t="s">
        <v>23426</v>
      </c>
      <c r="BD323" s="31"/>
      <c r="BE323" s="31" t="s">
        <v>16431</v>
      </c>
      <c r="BF323" s="31" t="s">
        <v>16369</v>
      </c>
      <c r="BG323" s="31" t="s">
        <v>23427</v>
      </c>
      <c r="BH323" s="31" t="str">
        <f aca="false">HYPERLINK("https%3A%2F%2Fwww.webofscience.com%2Fwos%2Fwoscc%2Ffull-record%2FWOS:000769228100001","View Full Record in Web of Science")</f>
        <v>View Full Record in Web of Science</v>
      </c>
      <c r="BI323" s="31"/>
      <c r="BJ323" s="31"/>
      <c r="BK323" s="31"/>
      <c r="BL323" s="31"/>
      <c r="BM323" s="31"/>
      <c r="BN323" s="31"/>
      <c r="BO323" s="31"/>
      <c r="BP323" s="31"/>
      <c r="BQ323" s="31"/>
      <c r="BR323" s="31"/>
      <c r="BS323" s="31"/>
      <c r="BT323" s="31"/>
      <c r="BU323" s="31"/>
      <c r="BV323" s="31"/>
      <c r="BW323" s="31"/>
      <c r="BX323" s="31"/>
      <c r="BY323" s="31"/>
      <c r="BZ323" s="31"/>
      <c r="CA323" s="31"/>
      <c r="CB323" s="31"/>
      <c r="CC323" s="31"/>
      <c r="CD323" s="31"/>
      <c r="CE323" s="31"/>
      <c r="CF323" s="31"/>
    </row>
    <row r="324" customFormat="false" ht="15.75" hidden="false" customHeight="true" outlineLevel="0" collapsed="false">
      <c r="A324" s="31" t="s">
        <v>16335</v>
      </c>
      <c r="B324" s="31" t="s">
        <v>23428</v>
      </c>
      <c r="C324" s="31" t="s">
        <v>23429</v>
      </c>
      <c r="D324" s="34" t="s">
        <v>23430</v>
      </c>
      <c r="E324" s="31" t="n">
        <v>2022</v>
      </c>
      <c r="F324" s="33" t="s">
        <v>23431</v>
      </c>
      <c r="G324" s="33" t="s">
        <v>134</v>
      </c>
      <c r="H324" s="32" t="s">
        <v>4101</v>
      </c>
      <c r="I324" s="32" t="s">
        <v>4101</v>
      </c>
      <c r="J324" s="32" t="s">
        <v>23432</v>
      </c>
      <c r="K324" s="32" t="s">
        <v>16840</v>
      </c>
      <c r="L324" s="34"/>
      <c r="M324" s="34"/>
      <c r="N324" s="34"/>
      <c r="O324" s="34"/>
      <c r="P324" s="34" t="n">
        <v>12</v>
      </c>
      <c r="Q324" s="31" t="n">
        <v>13</v>
      </c>
      <c r="R324" s="31" t="s">
        <v>61</v>
      </c>
      <c r="S324" s="31" t="s">
        <v>62</v>
      </c>
      <c r="T324" s="31" t="s">
        <v>23433</v>
      </c>
      <c r="U324" s="31" t="n">
        <v>191</v>
      </c>
      <c r="V324" s="31" t="s">
        <v>16531</v>
      </c>
      <c r="W324" s="31" t="n">
        <v>10</v>
      </c>
      <c r="X324" s="31" t="s">
        <v>23434</v>
      </c>
      <c r="Y324" s="31" t="s">
        <v>23435</v>
      </c>
      <c r="Z324" s="31" t="s">
        <v>23436</v>
      </c>
      <c r="AA324" s="31" t="s">
        <v>23437</v>
      </c>
      <c r="AB324" s="31" t="s">
        <v>23438</v>
      </c>
      <c r="AC324" s="31" t="s">
        <v>23439</v>
      </c>
      <c r="AD324" s="31" t="s">
        <v>23440</v>
      </c>
      <c r="AE324" s="31"/>
      <c r="AF324" s="31" t="s">
        <v>23441</v>
      </c>
      <c r="AG324" s="31" t="s">
        <v>23442</v>
      </c>
      <c r="AH324" s="31" t="s">
        <v>23443</v>
      </c>
      <c r="AI324" s="31" t="n">
        <v>69</v>
      </c>
      <c r="AJ324" s="31" t="n">
        <v>7</v>
      </c>
      <c r="AK324" s="31" t="n">
        <v>22</v>
      </c>
      <c r="AL324" s="31" t="s">
        <v>16539</v>
      </c>
      <c r="AM324" s="31" t="s">
        <v>16540</v>
      </c>
      <c r="AN324" s="31" t="s">
        <v>23444</v>
      </c>
      <c r="AO324" s="31" t="s">
        <v>23445</v>
      </c>
      <c r="AP324" s="31" t="s">
        <v>23446</v>
      </c>
      <c r="AQ324" s="31" t="s">
        <v>23447</v>
      </c>
      <c r="AR324" s="31" t="s">
        <v>23448</v>
      </c>
      <c r="AS324" s="31" t="n">
        <v>1803</v>
      </c>
      <c r="AT324" s="31" t="n">
        <v>1812</v>
      </c>
      <c r="AU324" s="31"/>
      <c r="AV324" s="31" t="s">
        <v>23449</v>
      </c>
      <c r="AW324" s="35" t="str">
        <f aca="false">HYPERLINK("http://dx.doi.org/10.1093/aje/kwac090","http://dx.doi.org/10.1093/aje/kwac090")</f>
        <v>http://dx.doi.org/10.1093/aje/kwac090</v>
      </c>
      <c r="AX324" s="31" t="s">
        <v>17513</v>
      </c>
      <c r="AY324" s="31" t="n">
        <v>10</v>
      </c>
      <c r="AZ324" s="31" t="s">
        <v>16583</v>
      </c>
      <c r="BA324" s="31" t="s">
        <v>16366</v>
      </c>
      <c r="BB324" s="31" t="s">
        <v>16583</v>
      </c>
      <c r="BC324" s="31" t="s">
        <v>23450</v>
      </c>
      <c r="BD324" s="31" t="n">
        <v>35584963</v>
      </c>
      <c r="BE324" s="31"/>
      <c r="BF324" s="31" t="s">
        <v>16369</v>
      </c>
      <c r="BG324" s="31" t="s">
        <v>23451</v>
      </c>
      <c r="BH324" s="31" t="str">
        <f aca="false">HYPERLINK("https%3A%2F%2Fwww.webofscience.com%2Fwos%2Fwoscc%2Ffull-record%2FWOS:000822051600001","View Full Record in Web of Science")</f>
        <v>View Full Record in Web of Science</v>
      </c>
      <c r="BI324" s="31"/>
      <c r="BJ324" s="31"/>
      <c r="BK324" s="31"/>
      <c r="BL324" s="31"/>
      <c r="BM324" s="31"/>
      <c r="BN324" s="31"/>
      <c r="BO324" s="31"/>
      <c r="BP324" s="31"/>
      <c r="BQ324" s="31"/>
      <c r="BR324" s="31"/>
      <c r="BS324" s="31"/>
      <c r="BT324" s="31"/>
      <c r="BU324" s="31"/>
      <c r="BV324" s="31"/>
      <c r="BW324" s="31"/>
      <c r="BX324" s="31"/>
      <c r="BY324" s="31"/>
      <c r="BZ324" s="31"/>
      <c r="CA324" s="31"/>
      <c r="CB324" s="31"/>
      <c r="CC324" s="31"/>
      <c r="CD324" s="31"/>
      <c r="CE324" s="31"/>
      <c r="CF324" s="31"/>
    </row>
    <row r="325" customFormat="false" ht="15.75" hidden="false" customHeight="true" outlineLevel="0" collapsed="false">
      <c r="A325" s="31" t="s">
        <v>16335</v>
      </c>
      <c r="B325" s="31" t="s">
        <v>23452</v>
      </c>
      <c r="C325" s="31" t="s">
        <v>23453</v>
      </c>
      <c r="D325" s="34" t="s">
        <v>23454</v>
      </c>
      <c r="E325" s="31" t="n">
        <v>2022</v>
      </c>
      <c r="F325" s="33" t="s">
        <v>23455</v>
      </c>
      <c r="G325" s="33" t="s">
        <v>134</v>
      </c>
      <c r="H325" s="32" t="s">
        <v>23456</v>
      </c>
      <c r="I325" s="34"/>
      <c r="J325" s="32" t="s">
        <v>23457</v>
      </c>
      <c r="K325" s="32" t="s">
        <v>16409</v>
      </c>
      <c r="L325" s="34"/>
      <c r="M325" s="32" t="s">
        <v>23458</v>
      </c>
      <c r="N325" s="34"/>
      <c r="O325" s="34"/>
      <c r="P325" s="34" t="n">
        <v>8</v>
      </c>
      <c r="Q325" s="31" t="n">
        <v>8</v>
      </c>
      <c r="R325" s="31" t="s">
        <v>61</v>
      </c>
      <c r="S325" s="31" t="s">
        <v>62</v>
      </c>
      <c r="T325" s="31" t="s">
        <v>22224</v>
      </c>
      <c r="U325" s="31" t="n">
        <v>70</v>
      </c>
      <c r="V325" s="31" t="s">
        <v>22225</v>
      </c>
      <c r="W325" s="31" t="n">
        <v>1</v>
      </c>
      <c r="X325" s="31" t="s">
        <v>23459</v>
      </c>
      <c r="Y325" s="31"/>
      <c r="Z325" s="31" t="s">
        <v>23460</v>
      </c>
      <c r="AA325" s="31" t="s">
        <v>23461</v>
      </c>
      <c r="AB325" s="31" t="s">
        <v>23462</v>
      </c>
      <c r="AC325" s="31" t="s">
        <v>23463</v>
      </c>
      <c r="AD325" s="31" t="s">
        <v>23464</v>
      </c>
      <c r="AE325" s="31" t="s">
        <v>23465</v>
      </c>
      <c r="AF325" s="31" t="s">
        <v>23466</v>
      </c>
      <c r="AG325" s="31" t="s">
        <v>23467</v>
      </c>
      <c r="AH325" s="31" t="s">
        <v>23468</v>
      </c>
      <c r="AI325" s="31" t="n">
        <v>36</v>
      </c>
      <c r="AJ325" s="31" t="n">
        <v>0</v>
      </c>
      <c r="AK325" s="31" t="n">
        <v>13</v>
      </c>
      <c r="AL325" s="31" t="s">
        <v>22233</v>
      </c>
      <c r="AM325" s="31" t="s">
        <v>22234</v>
      </c>
      <c r="AN325" s="31" t="s">
        <v>22235</v>
      </c>
      <c r="AO325" s="31" t="s">
        <v>22236</v>
      </c>
      <c r="AP325" s="31" t="s">
        <v>22237</v>
      </c>
      <c r="AQ325" s="31" t="s">
        <v>22238</v>
      </c>
      <c r="AR325" s="31"/>
      <c r="AS325" s="31" t="n">
        <v>1875</v>
      </c>
      <c r="AT325" s="31" t="n">
        <v>1891</v>
      </c>
      <c r="AU325" s="31"/>
      <c r="AV325" s="31" t="s">
        <v>23469</v>
      </c>
      <c r="AW325" s="35" t="str">
        <f aca="false">HYPERLINK("http://dx.doi.org/10.32604/cmc.2022.018946","http://dx.doi.org/10.32604/cmc.2022.018946")</f>
        <v>http://dx.doi.org/10.32604/cmc.2022.018946</v>
      </c>
      <c r="AX325" s="31"/>
      <c r="AY325" s="31" t="n">
        <v>17</v>
      </c>
      <c r="AZ325" s="31" t="s">
        <v>22240</v>
      </c>
      <c r="BA325" s="31" t="s">
        <v>16366</v>
      </c>
      <c r="BB325" s="31" t="s">
        <v>22241</v>
      </c>
      <c r="BC325" s="31" t="s">
        <v>23470</v>
      </c>
      <c r="BD325" s="31"/>
      <c r="BE325" s="31" t="s">
        <v>16431</v>
      </c>
      <c r="BF325" s="31" t="s">
        <v>16369</v>
      </c>
      <c r="BG325" s="31" t="s">
        <v>23471</v>
      </c>
      <c r="BH325" s="31" t="str">
        <f aca="false">HYPERLINK("https%3A%2F%2Fwww.webofscience.com%2Fwos%2Fwoscc%2Ffull-record%2FWOS:000709118000024","View Full Record in Web of Science")</f>
        <v>View Full Record in Web of Science</v>
      </c>
      <c r="BI325" s="31"/>
      <c r="BJ325" s="31"/>
      <c r="BK325" s="31"/>
      <c r="BL325" s="31"/>
      <c r="BM325" s="31"/>
      <c r="BN325" s="31"/>
      <c r="BO325" s="31"/>
      <c r="BP325" s="31"/>
      <c r="BQ325" s="31"/>
      <c r="BR325" s="31"/>
      <c r="BS325" s="31"/>
      <c r="BT325" s="31"/>
      <c r="BU325" s="31"/>
      <c r="BV325" s="31"/>
      <c r="BW325" s="31"/>
      <c r="BX325" s="31"/>
      <c r="BY325" s="31"/>
      <c r="BZ325" s="31"/>
      <c r="CA325" s="31"/>
      <c r="CB325" s="31"/>
      <c r="CC325" s="31"/>
      <c r="CD325" s="31"/>
      <c r="CE325" s="31"/>
      <c r="CF325" s="31"/>
    </row>
    <row r="326" customFormat="false" ht="15.75" hidden="false" customHeight="true" outlineLevel="0" collapsed="false">
      <c r="A326" s="31" t="s">
        <v>16335</v>
      </c>
      <c r="B326" s="31" t="s">
        <v>23472</v>
      </c>
      <c r="C326" s="31" t="s">
        <v>23473</v>
      </c>
      <c r="D326" s="34" t="s">
        <v>23474</v>
      </c>
      <c r="E326" s="31" t="n">
        <v>2022</v>
      </c>
      <c r="F326" s="33" t="s">
        <v>23475</v>
      </c>
      <c r="G326" s="33" t="s">
        <v>134</v>
      </c>
      <c r="H326" s="32" t="s">
        <v>23476</v>
      </c>
      <c r="I326" s="32" t="s">
        <v>21551</v>
      </c>
      <c r="J326" s="32" t="s">
        <v>22178</v>
      </c>
      <c r="K326" s="32" t="s">
        <v>16409</v>
      </c>
      <c r="L326" s="34"/>
      <c r="M326" s="34"/>
      <c r="N326" s="34"/>
      <c r="O326" s="34"/>
      <c r="P326" s="34" t="n">
        <v>21</v>
      </c>
      <c r="Q326" s="31" t="n">
        <v>23</v>
      </c>
      <c r="R326" s="31" t="s">
        <v>61</v>
      </c>
      <c r="S326" s="31" t="s">
        <v>62</v>
      </c>
      <c r="T326" s="31" t="s">
        <v>21160</v>
      </c>
      <c r="U326" s="31" t="n">
        <v>34</v>
      </c>
      <c r="V326" s="31" t="s">
        <v>16814</v>
      </c>
      <c r="W326" s="31" t="n">
        <v>5</v>
      </c>
      <c r="X326" s="31"/>
      <c r="Y326" s="31"/>
      <c r="Z326" s="31" t="s">
        <v>23477</v>
      </c>
      <c r="AA326" s="31" t="s">
        <v>23478</v>
      </c>
      <c r="AB326" s="31" t="s">
        <v>23479</v>
      </c>
      <c r="AC326" s="31" t="s">
        <v>23480</v>
      </c>
      <c r="AD326" s="31" t="s">
        <v>23481</v>
      </c>
      <c r="AE326" s="31" t="s">
        <v>23482</v>
      </c>
      <c r="AF326" s="31"/>
      <c r="AG326" s="31"/>
      <c r="AH326" s="31"/>
      <c r="AI326" s="31" t="n">
        <v>26</v>
      </c>
      <c r="AJ326" s="31" t="n">
        <v>0</v>
      </c>
      <c r="AK326" s="31" t="n">
        <v>7</v>
      </c>
      <c r="AL326" s="31" t="s">
        <v>16821</v>
      </c>
      <c r="AM326" s="31" t="s">
        <v>16822</v>
      </c>
      <c r="AN326" s="31" t="s">
        <v>21171</v>
      </c>
      <c r="AO326" s="31" t="s">
        <v>21172</v>
      </c>
      <c r="AP326" s="31" t="s">
        <v>21173</v>
      </c>
      <c r="AQ326" s="31" t="s">
        <v>21174</v>
      </c>
      <c r="AR326" s="31" t="s">
        <v>17056</v>
      </c>
      <c r="AS326" s="31" t="n">
        <v>1700</v>
      </c>
      <c r="AT326" s="31" t="n">
        <v>1705</v>
      </c>
      <c r="AU326" s="31"/>
      <c r="AV326" s="31" t="s">
        <v>23483</v>
      </c>
      <c r="AW326" s="35" t="str">
        <f aca="false">HYPERLINK("http://dx.doi.org/10.1016/j.jksuci.2020.07.003","http://dx.doi.org/10.1016/j.jksuci.2020.07.003")</f>
        <v>http://dx.doi.org/10.1016/j.jksuci.2020.07.003</v>
      </c>
      <c r="AX326" s="31" t="s">
        <v>17290</v>
      </c>
      <c r="AY326" s="31" t="n">
        <v>6</v>
      </c>
      <c r="AZ326" s="31" t="s">
        <v>17488</v>
      </c>
      <c r="BA326" s="31" t="s">
        <v>16366</v>
      </c>
      <c r="BB326" s="31" t="s">
        <v>16367</v>
      </c>
      <c r="BC326" s="31" t="s">
        <v>23484</v>
      </c>
      <c r="BD326" s="31"/>
      <c r="BE326" s="31" t="s">
        <v>16431</v>
      </c>
      <c r="BF326" s="31" t="s">
        <v>16369</v>
      </c>
      <c r="BG326" s="31" t="s">
        <v>23485</v>
      </c>
      <c r="BH326" s="31" t="str">
        <f aca="false">HYPERLINK("https%3A%2F%2Fwww.webofscience.com%2Fwos%2Fwoscc%2Ffull-record%2FWOS:000796192500006","View Full Record in Web of Science")</f>
        <v>View Full Record in Web of Science</v>
      </c>
      <c r="BI326" s="31"/>
      <c r="BJ326" s="31"/>
      <c r="BK326" s="31"/>
      <c r="BL326" s="31"/>
      <c r="BM326" s="31"/>
      <c r="BN326" s="31"/>
      <c r="BO326" s="31"/>
      <c r="BP326" s="31"/>
      <c r="BQ326" s="31"/>
      <c r="BR326" s="31"/>
      <c r="BS326" s="31"/>
      <c r="BT326" s="31"/>
      <c r="BU326" s="31"/>
      <c r="BV326" s="31"/>
      <c r="BW326" s="31"/>
      <c r="BX326" s="31"/>
      <c r="BY326" s="31"/>
      <c r="BZ326" s="31"/>
      <c r="CA326" s="31"/>
      <c r="CB326" s="31"/>
      <c r="CC326" s="31"/>
      <c r="CD326" s="31"/>
      <c r="CE326" s="31"/>
      <c r="CF326" s="31"/>
    </row>
    <row r="327" customFormat="false" ht="15.75" hidden="false" customHeight="true" outlineLevel="0" collapsed="false">
      <c r="A327" s="31" t="s">
        <v>16335</v>
      </c>
      <c r="B327" s="31" t="s">
        <v>23486</v>
      </c>
      <c r="C327" s="31" t="s">
        <v>23487</v>
      </c>
      <c r="D327" s="34" t="s">
        <v>23488</v>
      </c>
      <c r="E327" s="31" t="n">
        <v>2022</v>
      </c>
      <c r="F327" s="33" t="s">
        <v>23489</v>
      </c>
      <c r="G327" s="33" t="s">
        <v>134</v>
      </c>
      <c r="H327" s="32" t="s">
        <v>3920</v>
      </c>
      <c r="I327" s="34"/>
      <c r="J327" s="32" t="s">
        <v>22178</v>
      </c>
      <c r="K327" s="32" t="s">
        <v>16409</v>
      </c>
      <c r="L327" s="34"/>
      <c r="M327" s="34"/>
      <c r="N327" s="34"/>
      <c r="O327" s="34"/>
      <c r="P327" s="34" t="n">
        <v>8</v>
      </c>
      <c r="Q327" s="31" t="n">
        <v>8</v>
      </c>
      <c r="R327" s="31" t="s">
        <v>61</v>
      </c>
      <c r="S327" s="31" t="s">
        <v>62</v>
      </c>
      <c r="T327" s="31" t="s">
        <v>23490</v>
      </c>
      <c r="U327" s="31" t="n">
        <v>2022</v>
      </c>
      <c r="V327" s="31" t="s">
        <v>17360</v>
      </c>
      <c r="W327" s="31"/>
      <c r="X327" s="31"/>
      <c r="Y327" s="31"/>
      <c r="Z327" s="31" t="s">
        <v>23491</v>
      </c>
      <c r="AA327" s="31" t="s">
        <v>23492</v>
      </c>
      <c r="AB327" s="31" t="s">
        <v>23493</v>
      </c>
      <c r="AC327" s="31" t="s">
        <v>23494</v>
      </c>
      <c r="AD327" s="31" t="s">
        <v>23495</v>
      </c>
      <c r="AE327" s="31" t="s">
        <v>23496</v>
      </c>
      <c r="AF327" s="31"/>
      <c r="AG327" s="31"/>
      <c r="AH327" s="31"/>
      <c r="AI327" s="31" t="n">
        <v>11</v>
      </c>
      <c r="AJ327" s="31" t="n">
        <v>0</v>
      </c>
      <c r="AK327" s="31" t="n">
        <v>1</v>
      </c>
      <c r="AL327" s="31" t="s">
        <v>16821</v>
      </c>
      <c r="AM327" s="31" t="s">
        <v>17371</v>
      </c>
      <c r="AN327" s="31" t="s">
        <v>23497</v>
      </c>
      <c r="AO327" s="31" t="s">
        <v>23498</v>
      </c>
      <c r="AP327" s="31" t="s">
        <v>23499</v>
      </c>
      <c r="AQ327" s="31" t="s">
        <v>23500</v>
      </c>
      <c r="AR327" s="31" t="s">
        <v>23501</v>
      </c>
      <c r="AS327" s="31"/>
      <c r="AT327" s="31"/>
      <c r="AU327" s="31" t="n">
        <v>4176982</v>
      </c>
      <c r="AV327" s="31" t="s">
        <v>23502</v>
      </c>
      <c r="AW327" s="35" t="str">
        <f aca="false">HYPERLINK("http://dx.doi.org/10.1155/2022/4176982","http://dx.doi.org/10.1155/2022/4176982")</f>
        <v>http://dx.doi.org/10.1155/2022/4176982</v>
      </c>
      <c r="AX327" s="31"/>
      <c r="AY327" s="31" t="n">
        <v>8</v>
      </c>
      <c r="AZ327" s="31" t="s">
        <v>18469</v>
      </c>
      <c r="BA327" s="31" t="s">
        <v>16684</v>
      </c>
      <c r="BB327" s="31" t="s">
        <v>18469</v>
      </c>
      <c r="BC327" s="31" t="s">
        <v>23503</v>
      </c>
      <c r="BD327" s="31" t="n">
        <v>35463192</v>
      </c>
      <c r="BE327" s="31" t="s">
        <v>17143</v>
      </c>
      <c r="BF327" s="31" t="s">
        <v>16369</v>
      </c>
      <c r="BG327" s="31" t="s">
        <v>23504</v>
      </c>
      <c r="BH327" s="31" t="str">
        <f aca="false">HYPERLINK("https%3A%2F%2Fwww.webofscience.com%2Fwos%2Fwoscc%2Ffull-record%2FWOS:000806177200001","View Full Record in Web of Science")</f>
        <v>View Full Record in Web of Science</v>
      </c>
      <c r="BI327" s="31"/>
      <c r="BJ327" s="31"/>
      <c r="BK327" s="31"/>
      <c r="BL327" s="31"/>
      <c r="BM327" s="31"/>
      <c r="BN327" s="31"/>
      <c r="BO327" s="31"/>
      <c r="BP327" s="31"/>
      <c r="BQ327" s="31"/>
      <c r="BR327" s="31"/>
      <c r="BS327" s="31"/>
      <c r="BT327" s="31"/>
      <c r="BU327" s="31"/>
      <c r="BV327" s="31"/>
      <c r="BW327" s="31"/>
      <c r="BX327" s="31"/>
      <c r="BY327" s="31"/>
      <c r="BZ327" s="31"/>
      <c r="CA327" s="31"/>
      <c r="CB327" s="31"/>
      <c r="CC327" s="31"/>
      <c r="CD327" s="31"/>
      <c r="CE327" s="31"/>
      <c r="CF327" s="31"/>
    </row>
    <row r="328" customFormat="false" ht="15.75" hidden="false" customHeight="true" outlineLevel="0" collapsed="false">
      <c r="A328" s="31" t="s">
        <v>16335</v>
      </c>
      <c r="B328" s="31" t="s">
        <v>23505</v>
      </c>
      <c r="C328" s="31" t="s">
        <v>23506</v>
      </c>
      <c r="D328" s="34" t="s">
        <v>23507</v>
      </c>
      <c r="E328" s="31" t="n">
        <v>2022</v>
      </c>
      <c r="F328" s="33" t="s">
        <v>23508</v>
      </c>
      <c r="G328" s="33" t="s">
        <v>134</v>
      </c>
      <c r="H328" s="32" t="s">
        <v>23509</v>
      </c>
      <c r="I328" s="32" t="s">
        <v>21245</v>
      </c>
      <c r="J328" s="32" t="s">
        <v>23510</v>
      </c>
      <c r="K328" s="32" t="s">
        <v>16409</v>
      </c>
      <c r="L328" s="34"/>
      <c r="M328" s="34"/>
      <c r="N328" s="34"/>
      <c r="O328" s="34"/>
      <c r="P328" s="34" t="n">
        <v>16</v>
      </c>
      <c r="Q328" s="31" t="n">
        <v>16</v>
      </c>
      <c r="R328" s="31" t="s">
        <v>61</v>
      </c>
      <c r="S328" s="31" t="s">
        <v>62</v>
      </c>
      <c r="T328" s="31" t="s">
        <v>23511</v>
      </c>
      <c r="U328" s="31" t="n">
        <v>103</v>
      </c>
      <c r="V328" s="31" t="s">
        <v>18274</v>
      </c>
      <c r="W328" s="31"/>
      <c r="X328" s="31" t="s">
        <v>23512</v>
      </c>
      <c r="Y328" s="31"/>
      <c r="Z328" s="31" t="s">
        <v>23513</v>
      </c>
      <c r="AA328" s="31" t="s">
        <v>23514</v>
      </c>
      <c r="AB328" s="31" t="s">
        <v>23515</v>
      </c>
      <c r="AC328" s="31" t="s">
        <v>23516</v>
      </c>
      <c r="AD328" s="31" t="s">
        <v>23517</v>
      </c>
      <c r="AE328" s="31" t="s">
        <v>23518</v>
      </c>
      <c r="AF328" s="31"/>
      <c r="AG328" s="31"/>
      <c r="AH328" s="31"/>
      <c r="AI328" s="31" t="n">
        <v>25</v>
      </c>
      <c r="AJ328" s="31" t="n">
        <v>0</v>
      </c>
      <c r="AK328" s="31" t="n">
        <v>14</v>
      </c>
      <c r="AL328" s="31" t="s">
        <v>16575</v>
      </c>
      <c r="AM328" s="31" t="s">
        <v>18284</v>
      </c>
      <c r="AN328" s="31" t="s">
        <v>23519</v>
      </c>
      <c r="AO328" s="31" t="s">
        <v>23520</v>
      </c>
      <c r="AP328" s="31" t="s">
        <v>23521</v>
      </c>
      <c r="AQ328" s="31" t="s">
        <v>23522</v>
      </c>
      <c r="AR328" s="31" t="s">
        <v>16615</v>
      </c>
      <c r="AS328" s="31"/>
      <c r="AT328" s="31"/>
      <c r="AU328" s="31" t="n">
        <v>108316</v>
      </c>
      <c r="AV328" s="31" t="s">
        <v>23523</v>
      </c>
      <c r="AW328" s="35" t="str">
        <f aca="false">HYPERLINK("http://dx.doi.org/10.1016/j.compeleceng.2022.108316","http://dx.doi.org/10.1016/j.compeleceng.2022.108316")</f>
        <v>http://dx.doi.org/10.1016/j.compeleceng.2022.108316</v>
      </c>
      <c r="AX328" s="31" t="s">
        <v>23524</v>
      </c>
      <c r="AY328" s="31" t="n">
        <v>13</v>
      </c>
      <c r="AZ328" s="31" t="s">
        <v>23525</v>
      </c>
      <c r="BA328" s="31" t="s">
        <v>16366</v>
      </c>
      <c r="BB328" s="31" t="s">
        <v>16973</v>
      </c>
      <c r="BC328" s="31" t="s">
        <v>23526</v>
      </c>
      <c r="BD328" s="31"/>
      <c r="BE328" s="31"/>
      <c r="BF328" s="31" t="s">
        <v>16369</v>
      </c>
      <c r="BG328" s="31" t="s">
        <v>23527</v>
      </c>
      <c r="BH328" s="31" t="str">
        <f aca="false">HYPERLINK("https%3A%2F%2Fwww.webofscience.com%2Fwos%2Fwoscc%2Ffull-record%2FWOS:000864680600006","View Full Record in Web of Science")</f>
        <v>View Full Record in Web of Science</v>
      </c>
      <c r="BI328" s="31"/>
      <c r="BJ328" s="31"/>
      <c r="BK328" s="31"/>
      <c r="BL328" s="31"/>
      <c r="BM328" s="31"/>
      <c r="BN328" s="31"/>
      <c r="BO328" s="31"/>
      <c r="BP328" s="31"/>
      <c r="BQ328" s="31"/>
      <c r="BR328" s="31"/>
      <c r="BS328" s="31"/>
      <c r="BT328" s="31"/>
      <c r="BU328" s="31"/>
      <c r="BV328" s="31"/>
      <c r="BW328" s="31"/>
      <c r="BX328" s="31"/>
      <c r="BY328" s="31"/>
      <c r="BZ328" s="31"/>
      <c r="CA328" s="31"/>
      <c r="CB328" s="31"/>
      <c r="CC328" s="31"/>
      <c r="CD328" s="31"/>
      <c r="CE328" s="31"/>
      <c r="CF328" s="31"/>
    </row>
    <row r="329" customFormat="false" ht="15.75" hidden="false" customHeight="true" outlineLevel="0" collapsed="false">
      <c r="A329" s="31" t="s">
        <v>16335</v>
      </c>
      <c r="B329" s="31" t="s">
        <v>23528</v>
      </c>
      <c r="C329" s="31" t="s">
        <v>23529</v>
      </c>
      <c r="D329" s="34" t="s">
        <v>23530</v>
      </c>
      <c r="E329" s="31" t="n">
        <v>2022</v>
      </c>
      <c r="F329" s="33" t="s">
        <v>23531</v>
      </c>
      <c r="G329" s="33" t="s">
        <v>393</v>
      </c>
      <c r="H329" s="32" t="s">
        <v>16721</v>
      </c>
      <c r="I329" s="34"/>
      <c r="J329" s="34"/>
      <c r="K329" s="32" t="s">
        <v>23532</v>
      </c>
      <c r="L329" s="34"/>
      <c r="M329" s="34"/>
      <c r="N329" s="34"/>
      <c r="O329" s="34"/>
      <c r="P329" s="34" t="n">
        <v>26</v>
      </c>
      <c r="Q329" s="31" t="n">
        <v>26</v>
      </c>
      <c r="R329" s="31" t="s">
        <v>61</v>
      </c>
      <c r="S329" s="31" t="s">
        <v>62</v>
      </c>
      <c r="T329" s="31" t="s">
        <v>23533</v>
      </c>
      <c r="U329" s="31" t="n">
        <v>14</v>
      </c>
      <c r="V329" s="31" t="s">
        <v>4048</v>
      </c>
      <c r="W329" s="31" t="n">
        <v>6</v>
      </c>
      <c r="X329" s="31" t="s">
        <v>23534</v>
      </c>
      <c r="Y329" s="31" t="s">
        <v>23535</v>
      </c>
      <c r="Z329" s="31" t="s">
        <v>23536</v>
      </c>
      <c r="AA329" s="31" t="s">
        <v>23537</v>
      </c>
      <c r="AB329" s="31" t="s">
        <v>23538</v>
      </c>
      <c r="AC329" s="31" t="s">
        <v>23539</v>
      </c>
      <c r="AD329" s="31" t="s">
        <v>23540</v>
      </c>
      <c r="AE329" s="31" t="s">
        <v>23541</v>
      </c>
      <c r="AF329" s="31"/>
      <c r="AG329" s="31"/>
      <c r="AH329" s="31"/>
      <c r="AI329" s="31" t="n">
        <v>178</v>
      </c>
      <c r="AJ329" s="31" t="n">
        <v>1</v>
      </c>
      <c r="AK329" s="31" t="n">
        <v>8</v>
      </c>
      <c r="AL329" s="31" t="s">
        <v>16769</v>
      </c>
      <c r="AM329" s="31" t="s">
        <v>16770</v>
      </c>
      <c r="AN329" s="31"/>
      <c r="AO329" s="31" t="s">
        <v>23542</v>
      </c>
      <c r="AP329" s="31" t="s">
        <v>23543</v>
      </c>
      <c r="AQ329" s="31" t="s">
        <v>23544</v>
      </c>
      <c r="AR329" s="31" t="s">
        <v>16649</v>
      </c>
      <c r="AS329" s="31" t="n">
        <v>855</v>
      </c>
      <c r="AT329" s="31" t="n">
        <v>883</v>
      </c>
      <c r="AU329" s="31"/>
      <c r="AV329" s="31" t="s">
        <v>23545</v>
      </c>
      <c r="AW329" s="35" t="str">
        <f aca="false">HYPERLINK("http://dx.doi.org/10.3390/idr14060087","http://dx.doi.org/10.3390/idr14060087")</f>
        <v>http://dx.doi.org/10.3390/idr14060087</v>
      </c>
      <c r="AX329" s="31"/>
      <c r="AY329" s="31" t="n">
        <v>29</v>
      </c>
      <c r="AZ329" s="31" t="s">
        <v>8184</v>
      </c>
      <c r="BA329" s="31" t="s">
        <v>16684</v>
      </c>
      <c r="BB329" s="31" t="s">
        <v>8184</v>
      </c>
      <c r="BC329" s="31" t="s">
        <v>23546</v>
      </c>
      <c r="BD329" s="31" t="n">
        <v>36412745</v>
      </c>
      <c r="BE329" s="31" t="s">
        <v>17168</v>
      </c>
      <c r="BF329" s="31" t="s">
        <v>16369</v>
      </c>
      <c r="BG329" s="31" t="s">
        <v>23547</v>
      </c>
      <c r="BH329" s="31" t="str">
        <f aca="false">HYPERLINK("https%3A%2F%2Fwww.webofscience.com%2Fwos%2Fwoscc%2Ffull-record%2FWOS:000901169500001","View Full Record in Web of Science")</f>
        <v>View Full Record in Web of Science</v>
      </c>
      <c r="BI329" s="31"/>
      <c r="BJ329" s="31"/>
      <c r="BK329" s="31"/>
      <c r="BL329" s="31"/>
      <c r="BM329" s="31"/>
      <c r="BN329" s="31"/>
      <c r="BO329" s="31"/>
      <c r="BP329" s="31"/>
      <c r="BQ329" s="31"/>
      <c r="BR329" s="31"/>
      <c r="BS329" s="31"/>
      <c r="BT329" s="31"/>
      <c r="BU329" s="31"/>
      <c r="BV329" s="31"/>
      <c r="BW329" s="31"/>
      <c r="BX329" s="31"/>
      <c r="BY329" s="31"/>
      <c r="BZ329" s="31"/>
      <c r="CA329" s="31"/>
      <c r="CB329" s="31"/>
      <c r="CC329" s="31"/>
      <c r="CD329" s="31"/>
      <c r="CE329" s="31"/>
      <c r="CF329" s="31"/>
    </row>
    <row r="330" customFormat="false" ht="15.75" hidden="false" customHeight="true" outlineLevel="0" collapsed="false">
      <c r="A330" s="31" t="s">
        <v>16335</v>
      </c>
      <c r="B330" s="31" t="s">
        <v>23548</v>
      </c>
      <c r="C330" s="31" t="s">
        <v>23549</v>
      </c>
      <c r="D330" s="34" t="s">
        <v>23550</v>
      </c>
      <c r="E330" s="31" t="n">
        <v>2022</v>
      </c>
      <c r="F330" s="33" t="s">
        <v>23551</v>
      </c>
      <c r="G330" s="33" t="s">
        <v>134</v>
      </c>
      <c r="H330" s="32" t="s">
        <v>3920</v>
      </c>
      <c r="I330" s="32" t="s">
        <v>3715</v>
      </c>
      <c r="J330" s="34"/>
      <c r="K330" s="32" t="s">
        <v>16409</v>
      </c>
      <c r="L330" s="34"/>
      <c r="M330" s="34"/>
      <c r="N330" s="32" t="s">
        <v>23552</v>
      </c>
      <c r="O330" s="34"/>
      <c r="P330" s="34" t="n">
        <v>10</v>
      </c>
      <c r="Q330" s="31" t="n">
        <v>10</v>
      </c>
      <c r="R330" s="31" t="s">
        <v>61</v>
      </c>
      <c r="S330" s="31" t="s">
        <v>62</v>
      </c>
      <c r="T330" s="31" t="s">
        <v>22580</v>
      </c>
      <c r="U330" s="31" t="n">
        <v>39</v>
      </c>
      <c r="V330" s="31" t="s">
        <v>16475</v>
      </c>
      <c r="W330" s="31" t="n">
        <v>7</v>
      </c>
      <c r="X330" s="31" t="s">
        <v>23553</v>
      </c>
      <c r="Y330" s="31"/>
      <c r="Z330" s="31" t="s">
        <v>23554</v>
      </c>
      <c r="AA330" s="31" t="s">
        <v>23555</v>
      </c>
      <c r="AB330" s="31" t="s">
        <v>23556</v>
      </c>
      <c r="AC330" s="31" t="s">
        <v>23557</v>
      </c>
      <c r="AD330" s="31" t="s">
        <v>23558</v>
      </c>
      <c r="AE330" s="31" t="s">
        <v>23559</v>
      </c>
      <c r="AF330" s="31"/>
      <c r="AG330" s="31"/>
      <c r="AH330" s="31"/>
      <c r="AI330" s="31" t="n">
        <v>18</v>
      </c>
      <c r="AJ330" s="31" t="n">
        <v>0</v>
      </c>
      <c r="AK330" s="31" t="n">
        <v>21</v>
      </c>
      <c r="AL330" s="31" t="s">
        <v>16485</v>
      </c>
      <c r="AM330" s="31" t="s">
        <v>16486</v>
      </c>
      <c r="AN330" s="31" t="s">
        <v>22589</v>
      </c>
      <c r="AO330" s="31" t="s">
        <v>22590</v>
      </c>
      <c r="AP330" s="31" t="s">
        <v>22591</v>
      </c>
      <c r="AQ330" s="31" t="s">
        <v>22592</v>
      </c>
      <c r="AR330" s="31" t="s">
        <v>17837</v>
      </c>
      <c r="AS330" s="31"/>
      <c r="AT330" s="31"/>
      <c r="AU330" s="31" t="s">
        <v>23560</v>
      </c>
      <c r="AV330" s="31" t="s">
        <v>23561</v>
      </c>
      <c r="AW330" s="35" t="str">
        <f aca="false">HYPERLINK("http://dx.doi.org/10.1111/exsy.12695","http://dx.doi.org/10.1111/exsy.12695")</f>
        <v>http://dx.doi.org/10.1111/exsy.12695</v>
      </c>
      <c r="AX330" s="31" t="s">
        <v>23562</v>
      </c>
      <c r="AY330" s="31" t="n">
        <v>10</v>
      </c>
      <c r="AZ330" s="31" t="s">
        <v>22595</v>
      </c>
      <c r="BA330" s="31" t="s">
        <v>16366</v>
      </c>
      <c r="BB330" s="31" t="s">
        <v>16367</v>
      </c>
      <c r="BC330" s="31" t="s">
        <v>23563</v>
      </c>
      <c r="BD330" s="31"/>
      <c r="BE330" s="31"/>
      <c r="BF330" s="31" t="s">
        <v>16369</v>
      </c>
      <c r="BG330" s="31" t="s">
        <v>23564</v>
      </c>
      <c r="BH330" s="31" t="str">
        <f aca="false">HYPERLINK("https%3A%2F%2Fwww.webofscience.com%2Fwos%2Fwoscc%2Ffull-record%2FWOS:000629643800001","View Full Record in Web of Science")</f>
        <v>View Full Record in Web of Science</v>
      </c>
      <c r="BI330" s="31"/>
      <c r="BJ330" s="31"/>
      <c r="BK330" s="31"/>
      <c r="BL330" s="31"/>
      <c r="BM330" s="31"/>
      <c r="BN330" s="31"/>
      <c r="BO330" s="31"/>
      <c r="BP330" s="31"/>
      <c r="BQ330" s="31"/>
      <c r="BR330" s="31"/>
      <c r="BS330" s="31" t="s">
        <v>16622</v>
      </c>
      <c r="BT330" s="31"/>
      <c r="BU330" s="31"/>
      <c r="BV330" s="31"/>
      <c r="BW330" s="31"/>
      <c r="BX330" s="31"/>
      <c r="BY330" s="31"/>
      <c r="BZ330" s="31"/>
      <c r="CA330" s="31"/>
      <c r="CB330" s="31"/>
      <c r="CC330" s="31"/>
      <c r="CD330" s="31"/>
      <c r="CE330" s="31"/>
      <c r="CF330" s="31"/>
    </row>
    <row r="331" customFormat="false" ht="15.75" hidden="false" customHeight="true" outlineLevel="0" collapsed="false">
      <c r="A331" s="31" t="s">
        <v>16335</v>
      </c>
      <c r="B331" s="31" t="s">
        <v>23565</v>
      </c>
      <c r="C331" s="31" t="s">
        <v>23566</v>
      </c>
      <c r="D331" s="34" t="s">
        <v>23567</v>
      </c>
      <c r="E331" s="31" t="n">
        <v>2022</v>
      </c>
      <c r="F331" s="33" t="s">
        <v>23568</v>
      </c>
      <c r="G331" s="33" t="s">
        <v>134</v>
      </c>
      <c r="H331" s="32" t="s">
        <v>17036</v>
      </c>
      <c r="I331" s="34"/>
      <c r="J331" s="32" t="s">
        <v>20887</v>
      </c>
      <c r="K331" s="32" t="s">
        <v>16409</v>
      </c>
      <c r="L331" s="32" t="s">
        <v>3754</v>
      </c>
      <c r="M331" s="32" t="s">
        <v>23569</v>
      </c>
      <c r="N331" s="32" t="s">
        <v>23570</v>
      </c>
      <c r="O331" s="34"/>
      <c r="P331" s="34" t="n">
        <v>7</v>
      </c>
      <c r="Q331" s="31" t="n">
        <v>7</v>
      </c>
      <c r="R331" s="31" t="s">
        <v>61</v>
      </c>
      <c r="S331" s="31" t="s">
        <v>62</v>
      </c>
      <c r="T331" s="31" t="s">
        <v>20765</v>
      </c>
      <c r="U331" s="31" t="n">
        <v>81</v>
      </c>
      <c r="V331" s="31" t="s">
        <v>16600</v>
      </c>
      <c r="W331" s="31" t="n">
        <v>8</v>
      </c>
      <c r="X331" s="31" t="s">
        <v>23571</v>
      </c>
      <c r="Y331" s="31"/>
      <c r="Z331" s="31" t="s">
        <v>23572</v>
      </c>
      <c r="AA331" s="31" t="s">
        <v>23573</v>
      </c>
      <c r="AB331" s="31" t="s">
        <v>23574</v>
      </c>
      <c r="AC331" s="31" t="s">
        <v>23575</v>
      </c>
      <c r="AD331" s="31" t="s">
        <v>23576</v>
      </c>
      <c r="AE331" s="31"/>
      <c r="AF331" s="31"/>
      <c r="AG331" s="31"/>
      <c r="AH331" s="31"/>
      <c r="AI331" s="31" t="n">
        <v>39</v>
      </c>
      <c r="AJ331" s="31" t="n">
        <v>2</v>
      </c>
      <c r="AK331" s="31" t="n">
        <v>16</v>
      </c>
      <c r="AL331" s="31" t="s">
        <v>16609</v>
      </c>
      <c r="AM331" s="31" t="s">
        <v>16610</v>
      </c>
      <c r="AN331" s="31" t="s">
        <v>20774</v>
      </c>
      <c r="AO331" s="31" t="s">
        <v>20775</v>
      </c>
      <c r="AP331" s="31" t="s">
        <v>20776</v>
      </c>
      <c r="AQ331" s="31" t="s">
        <v>20777</v>
      </c>
      <c r="AR331" s="31" t="s">
        <v>17248</v>
      </c>
      <c r="AS331" s="31" t="n">
        <v>11393</v>
      </c>
      <c r="AT331" s="31" t="n">
        <v>11414</v>
      </c>
      <c r="AU331" s="31"/>
      <c r="AV331" s="31" t="s">
        <v>23577</v>
      </c>
      <c r="AW331" s="35" t="str">
        <f aca="false">HYPERLINK("http://dx.doi.org/10.1007/s11042-022-12098-6","http://dx.doi.org/10.1007/s11042-022-12098-6")</f>
        <v>http://dx.doi.org/10.1007/s11042-022-12098-6</v>
      </c>
      <c r="AX331" s="31" t="s">
        <v>22515</v>
      </c>
      <c r="AY331" s="31" t="n">
        <v>22</v>
      </c>
      <c r="AZ331" s="31" t="s">
        <v>20780</v>
      </c>
      <c r="BA331" s="31" t="s">
        <v>16366</v>
      </c>
      <c r="BB331" s="31" t="s">
        <v>16973</v>
      </c>
      <c r="BC331" s="31" t="s">
        <v>23578</v>
      </c>
      <c r="BD331" s="31"/>
      <c r="BE331" s="31"/>
      <c r="BF331" s="31" t="s">
        <v>16369</v>
      </c>
      <c r="BG331" s="31" t="s">
        <v>23579</v>
      </c>
      <c r="BH331" s="31" t="str">
        <f aca="false">HYPERLINK("https%3A%2F%2Fwww.webofscience.com%2Fwos%2Fwoscc%2Ffull-record%2FWOS:000757200200008","View Full Record in Web of Science")</f>
        <v>View Full Record in Web of Science</v>
      </c>
      <c r="BI331" s="31"/>
      <c r="BJ331" s="31"/>
      <c r="BK331" s="31"/>
      <c r="BL331" s="31"/>
      <c r="BM331" s="31"/>
      <c r="BN331" s="31"/>
      <c r="BO331" s="31"/>
      <c r="BP331" s="31"/>
      <c r="BQ331" s="31"/>
      <c r="BR331" s="31"/>
      <c r="BS331" s="31"/>
      <c r="BT331" s="31"/>
      <c r="BU331" s="31"/>
      <c r="BV331" s="31"/>
      <c r="BW331" s="31"/>
      <c r="BX331" s="31"/>
      <c r="BY331" s="31"/>
      <c r="BZ331" s="31"/>
      <c r="CA331" s="31"/>
      <c r="CB331" s="31"/>
      <c r="CC331" s="31"/>
      <c r="CD331" s="31"/>
      <c r="CE331" s="31"/>
      <c r="CF331" s="31"/>
    </row>
    <row r="332" customFormat="false" ht="15.75" hidden="false" customHeight="true" outlineLevel="0" collapsed="false">
      <c r="A332" s="31" t="s">
        <v>16335</v>
      </c>
      <c r="B332" s="31" t="s">
        <v>23580</v>
      </c>
      <c r="C332" s="31" t="s">
        <v>23581</v>
      </c>
      <c r="D332" s="34" t="s">
        <v>23582</v>
      </c>
      <c r="E332" s="31" t="n">
        <v>2022</v>
      </c>
      <c r="F332" s="33" t="s">
        <v>23583</v>
      </c>
      <c r="G332" s="33" t="s">
        <v>290</v>
      </c>
      <c r="H332" s="32" t="s">
        <v>4812</v>
      </c>
      <c r="I332" s="32" t="s">
        <v>4812</v>
      </c>
      <c r="J332" s="34"/>
      <c r="K332" s="32" t="s">
        <v>16840</v>
      </c>
      <c r="L332" s="34"/>
      <c r="M332" s="32"/>
      <c r="N332" s="34"/>
      <c r="O332" s="34"/>
      <c r="P332" s="34" t="n">
        <v>0</v>
      </c>
      <c r="Q332" s="31" t="n">
        <v>0</v>
      </c>
      <c r="R332" s="31" t="s">
        <v>61</v>
      </c>
      <c r="S332" s="31" t="s">
        <v>62</v>
      </c>
      <c r="T332" s="31" t="s">
        <v>23584</v>
      </c>
      <c r="U332" s="31" t="n">
        <v>9</v>
      </c>
      <c r="V332" s="31" t="s">
        <v>23585</v>
      </c>
      <c r="W332" s="31" t="n">
        <v>1</v>
      </c>
      <c r="X332" s="31" t="s">
        <v>23586</v>
      </c>
      <c r="Y332" s="31"/>
      <c r="Z332" s="31" t="s">
        <v>23587</v>
      </c>
      <c r="AA332" s="31" t="s">
        <v>23588</v>
      </c>
      <c r="AB332" s="31" t="s">
        <v>23589</v>
      </c>
      <c r="AC332" s="31" t="s">
        <v>23590</v>
      </c>
      <c r="AD332" s="31" t="s">
        <v>23591</v>
      </c>
      <c r="AE332" s="31" t="s">
        <v>23592</v>
      </c>
      <c r="AF332" s="31" t="s">
        <v>23593</v>
      </c>
      <c r="AG332" s="31" t="s">
        <v>23593</v>
      </c>
      <c r="AH332" s="31" t="s">
        <v>23594</v>
      </c>
      <c r="AI332" s="31" t="n">
        <v>24</v>
      </c>
      <c r="AJ332" s="31" t="n">
        <v>0</v>
      </c>
      <c r="AK332" s="31" t="n">
        <v>0</v>
      </c>
      <c r="AL332" s="31" t="s">
        <v>23595</v>
      </c>
      <c r="AM332" s="31" t="s">
        <v>23596</v>
      </c>
      <c r="AN332" s="31" t="s">
        <v>23597</v>
      </c>
      <c r="AO332" s="31"/>
      <c r="AP332" s="31" t="s">
        <v>23598</v>
      </c>
      <c r="AQ332" s="31" t="s">
        <v>23599</v>
      </c>
      <c r="AR332" s="31" t="s">
        <v>19793</v>
      </c>
      <c r="AS332" s="31"/>
      <c r="AT332" s="31"/>
      <c r="AU332" s="31" t="n">
        <v>2129364</v>
      </c>
      <c r="AV332" s="31" t="s">
        <v>23600</v>
      </c>
      <c r="AW332" s="35" t="str">
        <f aca="false">HYPERLINK("http://dx.doi.org/10.1080/23311916.2022.2129364","http://dx.doi.org/10.1080/23311916.2022.2129364")</f>
        <v>http://dx.doi.org/10.1080/23311916.2022.2129364</v>
      </c>
      <c r="AX332" s="31"/>
      <c r="AY332" s="31" t="n">
        <v>14</v>
      </c>
      <c r="AZ332" s="31" t="s">
        <v>19943</v>
      </c>
      <c r="BA332" s="31" t="s">
        <v>16684</v>
      </c>
      <c r="BB332" s="31" t="s">
        <v>18429</v>
      </c>
      <c r="BC332" s="31" t="s">
        <v>23601</v>
      </c>
      <c r="BD332" s="31"/>
      <c r="BE332" s="31" t="s">
        <v>16431</v>
      </c>
      <c r="BF332" s="31" t="s">
        <v>16369</v>
      </c>
      <c r="BG332" s="31" t="s">
        <v>23602</v>
      </c>
      <c r="BH332" s="31" t="str">
        <f aca="false">HYPERLINK("https%3A%2F%2Fwww.webofscience.com%2Fwos%2Fwoscc%2Ffull-record%2FWOS:000869312900001","View Full Record in Web of Science")</f>
        <v>View Full Record in Web of Science</v>
      </c>
      <c r="BI332" s="31"/>
      <c r="BJ332" s="31"/>
      <c r="BK332" s="31"/>
      <c r="BL332" s="31"/>
      <c r="BM332" s="31"/>
      <c r="BN332" s="31"/>
      <c r="BO332" s="31"/>
      <c r="BP332" s="31"/>
      <c r="BQ332" s="31"/>
      <c r="BR332" s="31"/>
      <c r="BS332" s="31"/>
      <c r="BT332" s="31"/>
      <c r="BU332" s="31"/>
      <c r="BV332" s="31"/>
      <c r="BW332" s="31"/>
      <c r="BX332" s="31"/>
      <c r="BY332" s="31"/>
      <c r="BZ332" s="31"/>
      <c r="CA332" s="31"/>
      <c r="CB332" s="31"/>
      <c r="CC332" s="31"/>
      <c r="CD332" s="31"/>
      <c r="CE332" s="31"/>
      <c r="CF332" s="31"/>
    </row>
    <row r="333" customFormat="false" ht="15.75" hidden="false" customHeight="true" outlineLevel="0" collapsed="false">
      <c r="A333" s="31" t="s">
        <v>16335</v>
      </c>
      <c r="B333" s="31" t="s">
        <v>23603</v>
      </c>
      <c r="C333" s="31" t="s">
        <v>23604</v>
      </c>
      <c r="D333" s="34" t="s">
        <v>23605</v>
      </c>
      <c r="E333" s="31" t="n">
        <v>2022</v>
      </c>
      <c r="F333" s="33" t="s">
        <v>23606</v>
      </c>
      <c r="G333" s="33" t="s">
        <v>134</v>
      </c>
      <c r="H333" s="32" t="s">
        <v>23607</v>
      </c>
      <c r="I333" s="32" t="s">
        <v>4931</v>
      </c>
      <c r="J333" s="34"/>
      <c r="K333" s="32" t="s">
        <v>16753</v>
      </c>
      <c r="L333" s="34"/>
      <c r="M333" s="34"/>
      <c r="N333" s="34"/>
      <c r="O333" s="34"/>
      <c r="P333" s="34" t="n">
        <v>12</v>
      </c>
      <c r="Q333" s="31" t="n">
        <v>12</v>
      </c>
      <c r="R333" s="31" t="s">
        <v>61</v>
      </c>
      <c r="S333" s="31" t="s">
        <v>62</v>
      </c>
      <c r="T333" s="31" t="s">
        <v>17758</v>
      </c>
      <c r="U333" s="31" t="n">
        <v>107</v>
      </c>
      <c r="V333" s="31" t="s">
        <v>17759</v>
      </c>
      <c r="W333" s="31" t="n">
        <v>5</v>
      </c>
      <c r="X333" s="31"/>
      <c r="Y333" s="31" t="s">
        <v>23608</v>
      </c>
      <c r="Z333" s="31" t="s">
        <v>23609</v>
      </c>
      <c r="AA333" s="31" t="s">
        <v>23610</v>
      </c>
      <c r="AB333" s="31" t="s">
        <v>23611</v>
      </c>
      <c r="AC333" s="31" t="s">
        <v>20651</v>
      </c>
      <c r="AD333" s="31" t="s">
        <v>23612</v>
      </c>
      <c r="AE333" s="31" t="s">
        <v>23613</v>
      </c>
      <c r="AF333" s="31" t="s">
        <v>20655</v>
      </c>
      <c r="AG333" s="31" t="s">
        <v>20655</v>
      </c>
      <c r="AH333" s="31" t="s">
        <v>23614</v>
      </c>
      <c r="AI333" s="31" t="n">
        <v>27</v>
      </c>
      <c r="AJ333" s="31" t="n">
        <v>0</v>
      </c>
      <c r="AK333" s="31" t="n">
        <v>0</v>
      </c>
      <c r="AL333" s="31" t="s">
        <v>17767</v>
      </c>
      <c r="AM333" s="31" t="s">
        <v>17768</v>
      </c>
      <c r="AN333" s="31" t="s">
        <v>17769</v>
      </c>
      <c r="AO333" s="31" t="s">
        <v>17770</v>
      </c>
      <c r="AP333" s="31" t="s">
        <v>17771</v>
      </c>
      <c r="AQ333" s="31" t="s">
        <v>617</v>
      </c>
      <c r="AR333" s="31" t="s">
        <v>17139</v>
      </c>
      <c r="AS333" s="31" t="n">
        <v>1047</v>
      </c>
      <c r="AT333" s="31" t="n">
        <v>1054</v>
      </c>
      <c r="AU333" s="31"/>
      <c r="AV333" s="31" t="s">
        <v>23615</v>
      </c>
      <c r="AW333" s="35" t="str">
        <f aca="false">HYPERLINK("http://dx.doi.org/10.4269/ajtmh.22-0276","http://dx.doi.org/10.4269/ajtmh.22-0276")</f>
        <v>http://dx.doi.org/10.4269/ajtmh.22-0276</v>
      </c>
      <c r="AX333" s="31"/>
      <c r="AY333" s="31" t="n">
        <v>8</v>
      </c>
      <c r="AZ333" s="31" t="s">
        <v>17774</v>
      </c>
      <c r="BA333" s="31" t="s">
        <v>16366</v>
      </c>
      <c r="BB333" s="31" t="s">
        <v>17774</v>
      </c>
      <c r="BC333" s="31" t="s">
        <v>23616</v>
      </c>
      <c r="BD333" s="31" t="n">
        <v>36252803</v>
      </c>
      <c r="BE333" s="31" t="s">
        <v>17842</v>
      </c>
      <c r="BF333" s="31" t="s">
        <v>16369</v>
      </c>
      <c r="BG333" s="31" t="s">
        <v>23617</v>
      </c>
      <c r="BH333" s="31" t="str">
        <f aca="false">HYPERLINK("https%3A%2F%2Fwww.webofscience.com%2Fwos%2Fwoscc%2Ffull-record%2FWOS:001044048600010","View Full Record in Web of Science")</f>
        <v>View Full Record in Web of Science</v>
      </c>
      <c r="BI333" s="31"/>
      <c r="BJ333" s="31"/>
      <c r="BK333" s="31"/>
      <c r="BL333" s="31"/>
      <c r="BM333" s="31"/>
      <c r="BN333" s="31"/>
      <c r="BO333" s="31"/>
      <c r="BP333" s="31"/>
      <c r="BQ333" s="31"/>
      <c r="BR333" s="31"/>
      <c r="BS333" s="31"/>
      <c r="BT333" s="31"/>
      <c r="BU333" s="31"/>
      <c r="BV333" s="31"/>
      <c r="BW333" s="31"/>
      <c r="BX333" s="31"/>
      <c r="BY333" s="31"/>
      <c r="BZ333" s="31"/>
      <c r="CA333" s="31"/>
      <c r="CB333" s="31"/>
      <c r="CC333" s="31"/>
      <c r="CD333" s="31"/>
      <c r="CE333" s="31"/>
      <c r="CF333" s="31"/>
    </row>
    <row r="334" customFormat="false" ht="15.75" hidden="false" customHeight="true" outlineLevel="0" collapsed="false">
      <c r="A334" s="31" t="s">
        <v>16335</v>
      </c>
      <c r="B334" s="31" t="s">
        <v>23618</v>
      </c>
      <c r="C334" s="31" t="s">
        <v>23619</v>
      </c>
      <c r="D334" s="34" t="s">
        <v>23620</v>
      </c>
      <c r="E334" s="31" t="n">
        <v>2022</v>
      </c>
      <c r="F334" s="33" t="s">
        <v>23621</v>
      </c>
      <c r="G334" s="33" t="s">
        <v>393</v>
      </c>
      <c r="H334" s="32" t="s">
        <v>17036</v>
      </c>
      <c r="I334" s="32" t="s">
        <v>17036</v>
      </c>
      <c r="J334" s="34"/>
      <c r="K334" s="32" t="s">
        <v>16409</v>
      </c>
      <c r="L334" s="34"/>
      <c r="M334" s="34"/>
      <c r="N334" s="34"/>
      <c r="O334" s="34"/>
      <c r="P334" s="34" t="n">
        <v>13</v>
      </c>
      <c r="Q334" s="31" t="n">
        <v>13</v>
      </c>
      <c r="R334" s="31" t="s">
        <v>61</v>
      </c>
      <c r="S334" s="31" t="s">
        <v>62</v>
      </c>
      <c r="T334" s="31" t="s">
        <v>23622</v>
      </c>
      <c r="U334" s="31" t="n">
        <v>12</v>
      </c>
      <c r="V334" s="31" t="s">
        <v>19553</v>
      </c>
      <c r="W334" s="31" t="n">
        <v>3</v>
      </c>
      <c r="X334" s="31" t="s">
        <v>23623</v>
      </c>
      <c r="Y334" s="31" t="s">
        <v>23624</v>
      </c>
      <c r="Z334" s="31" t="s">
        <v>23625</v>
      </c>
      <c r="AA334" s="31" t="s">
        <v>23626</v>
      </c>
      <c r="AB334" s="31" t="s">
        <v>23627</v>
      </c>
      <c r="AC334" s="31" t="s">
        <v>23628</v>
      </c>
      <c r="AD334" s="31"/>
      <c r="AE334" s="31"/>
      <c r="AF334" s="31" t="s">
        <v>23629</v>
      </c>
      <c r="AG334" s="31" t="s">
        <v>23630</v>
      </c>
      <c r="AH334" s="31" t="s">
        <v>23631</v>
      </c>
      <c r="AI334" s="31" t="n">
        <v>41</v>
      </c>
      <c r="AJ334" s="31" t="n">
        <v>0</v>
      </c>
      <c r="AK334" s="31" t="n">
        <v>6</v>
      </c>
      <c r="AL334" s="31" t="s">
        <v>16821</v>
      </c>
      <c r="AM334" s="31" t="s">
        <v>19564</v>
      </c>
      <c r="AN334" s="31" t="s">
        <v>23632</v>
      </c>
      <c r="AO334" s="31"/>
      <c r="AP334" s="31" t="s">
        <v>23622</v>
      </c>
      <c r="AQ334" s="31" t="s">
        <v>23633</v>
      </c>
      <c r="AR334" s="31" t="s">
        <v>17248</v>
      </c>
      <c r="AS334" s="31"/>
      <c r="AT334" s="31"/>
      <c r="AU334" s="31" t="s">
        <v>23634</v>
      </c>
      <c r="AV334" s="31" t="s">
        <v>23635</v>
      </c>
      <c r="AW334" s="35" t="str">
        <f aca="false">HYPERLINK("http://dx.doi.org/10.1136/bmjopen-2021-053922","http://dx.doi.org/10.1136/bmjopen-2021-053922")</f>
        <v>http://dx.doi.org/10.1136/bmjopen-2021-053922</v>
      </c>
      <c r="AX334" s="31"/>
      <c r="AY334" s="31" t="n">
        <v>11</v>
      </c>
      <c r="AZ334" s="31" t="s">
        <v>16829</v>
      </c>
      <c r="BA334" s="31" t="s">
        <v>16366</v>
      </c>
      <c r="BB334" s="31" t="s">
        <v>16830</v>
      </c>
      <c r="BC334" s="31" t="s">
        <v>23636</v>
      </c>
      <c r="BD334" s="31" t="n">
        <v>35361642</v>
      </c>
      <c r="BE334" s="31" t="s">
        <v>16832</v>
      </c>
      <c r="BF334" s="31" t="s">
        <v>16369</v>
      </c>
      <c r="BG334" s="31" t="s">
        <v>23637</v>
      </c>
      <c r="BH334" s="31" t="str">
        <f aca="false">HYPERLINK("https%3A%2F%2Fwww.webofscience.com%2Fwos%2Fwoscc%2Ffull-record%2FWOS:000777632000014","View Full Record in Web of Science")</f>
        <v>View Full Record in Web of Science</v>
      </c>
      <c r="BI334" s="31"/>
      <c r="BJ334" s="31"/>
      <c r="BK334" s="31"/>
      <c r="BL334" s="31"/>
      <c r="BM334" s="31"/>
      <c r="BN334" s="31"/>
      <c r="BO334" s="31"/>
      <c r="BP334" s="31"/>
      <c r="BQ334" s="31"/>
      <c r="BR334" s="31"/>
      <c r="BS334" s="31"/>
      <c r="BT334" s="31"/>
      <c r="BU334" s="31"/>
      <c r="BV334" s="31"/>
      <c r="BW334" s="31"/>
      <c r="BX334" s="31"/>
      <c r="BY334" s="31"/>
      <c r="BZ334" s="31"/>
      <c r="CA334" s="31"/>
      <c r="CB334" s="31"/>
      <c r="CC334" s="31"/>
      <c r="CD334" s="31"/>
      <c r="CE334" s="31"/>
      <c r="CF334" s="31"/>
    </row>
    <row r="335" customFormat="false" ht="15.75" hidden="false" customHeight="true" outlineLevel="0" collapsed="false">
      <c r="A335" s="31" t="s">
        <v>16335</v>
      </c>
      <c r="B335" s="31" t="s">
        <v>23638</v>
      </c>
      <c r="C335" s="31" t="s">
        <v>23639</v>
      </c>
      <c r="D335" s="34" t="s">
        <v>23640</v>
      </c>
      <c r="E335" s="31" t="n">
        <v>2022</v>
      </c>
      <c r="F335" s="33" t="s">
        <v>23641</v>
      </c>
      <c r="G335" s="33" t="s">
        <v>290</v>
      </c>
      <c r="H335" s="32" t="s">
        <v>23642</v>
      </c>
      <c r="I335" s="34"/>
      <c r="J335" s="34"/>
      <c r="K335" s="32" t="s">
        <v>16753</v>
      </c>
      <c r="L335" s="34"/>
      <c r="M335" s="34"/>
      <c r="N335" s="34"/>
      <c r="O335" s="34"/>
      <c r="P335" s="34" t="n">
        <v>5</v>
      </c>
      <c r="Q335" s="31" t="n">
        <v>7</v>
      </c>
      <c r="R335" s="31" t="s">
        <v>61</v>
      </c>
      <c r="S335" s="31" t="s">
        <v>62</v>
      </c>
      <c r="T335" s="31" t="s">
        <v>23039</v>
      </c>
      <c r="U335" s="31" t="n">
        <v>26</v>
      </c>
      <c r="V335" s="31" t="s">
        <v>16600</v>
      </c>
      <c r="W335" s="31" t="n">
        <v>3</v>
      </c>
      <c r="X335" s="31" t="s">
        <v>23643</v>
      </c>
      <c r="Y335" s="31" t="s">
        <v>23644</v>
      </c>
      <c r="Z335" s="31" t="s">
        <v>23645</v>
      </c>
      <c r="AA335" s="31" t="s">
        <v>23646</v>
      </c>
      <c r="AB335" s="31" t="s">
        <v>23647</v>
      </c>
      <c r="AC335" s="31" t="s">
        <v>17338</v>
      </c>
      <c r="AD335" s="31" t="s">
        <v>23648</v>
      </c>
      <c r="AE335" s="31" t="s">
        <v>23649</v>
      </c>
      <c r="AF335" s="31"/>
      <c r="AG335" s="31"/>
      <c r="AH335" s="31"/>
      <c r="AI335" s="31" t="n">
        <v>91</v>
      </c>
      <c r="AJ335" s="31" t="n">
        <v>4</v>
      </c>
      <c r="AK335" s="31" t="n">
        <v>24</v>
      </c>
      <c r="AL335" s="31" t="s">
        <v>16609</v>
      </c>
      <c r="AM335" s="31" t="s">
        <v>16610</v>
      </c>
      <c r="AN335" s="31" t="s">
        <v>23050</v>
      </c>
      <c r="AO335" s="31" t="s">
        <v>23051</v>
      </c>
      <c r="AP335" s="31" t="s">
        <v>23052</v>
      </c>
      <c r="AQ335" s="31" t="s">
        <v>23053</v>
      </c>
      <c r="AR335" s="31" t="s">
        <v>16683</v>
      </c>
      <c r="AS335" s="31" t="n">
        <v>1597</v>
      </c>
      <c r="AT335" s="31" t="n">
        <v>1607</v>
      </c>
      <c r="AU335" s="31"/>
      <c r="AV335" s="31" t="s">
        <v>23650</v>
      </c>
      <c r="AW335" s="35" t="str">
        <f aca="false">HYPERLINK("http://dx.doi.org/10.1007/s11030-021-10288-2","http://dx.doi.org/10.1007/s11030-021-10288-2")</f>
        <v>http://dx.doi.org/10.1007/s11030-021-10288-2</v>
      </c>
      <c r="AX335" s="31" t="s">
        <v>23651</v>
      </c>
      <c r="AY335" s="31" t="n">
        <v>11</v>
      </c>
      <c r="AZ335" s="31" t="s">
        <v>23055</v>
      </c>
      <c r="BA335" s="31" t="s">
        <v>16366</v>
      </c>
      <c r="BB335" s="31" t="s">
        <v>23056</v>
      </c>
      <c r="BC335" s="31" t="s">
        <v>23057</v>
      </c>
      <c r="BD335" s="31" t="n">
        <v>34351547</v>
      </c>
      <c r="BE335" s="31"/>
      <c r="BF335" s="31" t="s">
        <v>16369</v>
      </c>
      <c r="BG335" s="31" t="s">
        <v>23652</v>
      </c>
      <c r="BH335" s="31" t="str">
        <f aca="false">HYPERLINK("https%3A%2F%2Fwww.webofscience.com%2Fwos%2Fwoscc%2Ffull-record%2FWOS:000681529300002","View Full Record in Web of Science")</f>
        <v>View Full Record in Web of Science</v>
      </c>
      <c r="BI335" s="31"/>
      <c r="BJ335" s="31"/>
      <c r="BK335" s="31"/>
      <c r="BL335" s="31"/>
      <c r="BM335" s="31"/>
      <c r="BN335" s="31"/>
      <c r="BO335" s="31"/>
      <c r="BP335" s="31"/>
      <c r="BQ335" s="31"/>
      <c r="BR335" s="31"/>
      <c r="BS335" s="31"/>
      <c r="BT335" s="31"/>
      <c r="BU335" s="31"/>
      <c r="BV335" s="31"/>
      <c r="BW335" s="31"/>
      <c r="BX335" s="31"/>
      <c r="BY335" s="31"/>
      <c r="BZ335" s="31"/>
      <c r="CA335" s="31"/>
      <c r="CB335" s="31"/>
      <c r="CC335" s="31"/>
      <c r="CD335" s="31"/>
      <c r="CE335" s="31"/>
      <c r="CF335" s="31"/>
    </row>
    <row r="336" customFormat="false" ht="15.75" hidden="false" customHeight="true" outlineLevel="0" collapsed="false">
      <c r="A336" s="31" t="s">
        <v>16335</v>
      </c>
      <c r="B336" s="31" t="s">
        <v>23653</v>
      </c>
      <c r="C336" s="31" t="s">
        <v>23654</v>
      </c>
      <c r="D336" s="34" t="s">
        <v>23655</v>
      </c>
      <c r="E336" s="31" t="n">
        <v>2022</v>
      </c>
      <c r="F336" s="33" t="s">
        <v>23656</v>
      </c>
      <c r="G336" s="33" t="s">
        <v>393</v>
      </c>
      <c r="H336" s="32" t="s">
        <v>23657</v>
      </c>
      <c r="I336" s="32" t="s">
        <v>4101</v>
      </c>
      <c r="J336" s="34"/>
      <c r="K336" s="32" t="s">
        <v>16409</v>
      </c>
      <c r="L336" s="34"/>
      <c r="M336" s="34"/>
      <c r="N336" s="34"/>
      <c r="O336" s="34"/>
      <c r="P336" s="34" t="n">
        <v>2</v>
      </c>
      <c r="Q336" s="31" t="n">
        <v>2</v>
      </c>
      <c r="R336" s="31" t="s">
        <v>61</v>
      </c>
      <c r="S336" s="31" t="s">
        <v>62</v>
      </c>
      <c r="T336" s="31" t="s">
        <v>20160</v>
      </c>
      <c r="U336" s="31" t="n">
        <v>55</v>
      </c>
      <c r="V336" s="31" t="s">
        <v>20161</v>
      </c>
      <c r="W336" s="31"/>
      <c r="X336" s="31" t="s">
        <v>23658</v>
      </c>
      <c r="Y336" s="31" t="s">
        <v>23659</v>
      </c>
      <c r="Z336" s="31" t="s">
        <v>23660</v>
      </c>
      <c r="AA336" s="31" t="s">
        <v>23661</v>
      </c>
      <c r="AB336" s="31" t="s">
        <v>23662</v>
      </c>
      <c r="AC336" s="31" t="s">
        <v>17530</v>
      </c>
      <c r="AD336" s="31" t="s">
        <v>23663</v>
      </c>
      <c r="AE336" s="31" t="s">
        <v>23664</v>
      </c>
      <c r="AF336" s="31" t="s">
        <v>23665</v>
      </c>
      <c r="AG336" s="31" t="s">
        <v>23666</v>
      </c>
      <c r="AH336" s="31" t="s">
        <v>23667</v>
      </c>
      <c r="AI336" s="31" t="n">
        <v>54</v>
      </c>
      <c r="AJ336" s="31" t="n">
        <v>0</v>
      </c>
      <c r="AK336" s="31" t="n">
        <v>3</v>
      </c>
      <c r="AL336" s="31" t="s">
        <v>20169</v>
      </c>
      <c r="AM336" s="31" t="s">
        <v>20170</v>
      </c>
      <c r="AN336" s="31" t="s">
        <v>20171</v>
      </c>
      <c r="AO336" s="31"/>
      <c r="AP336" s="31" t="s">
        <v>20172</v>
      </c>
      <c r="AQ336" s="31" t="s">
        <v>9476</v>
      </c>
      <c r="AR336" s="31"/>
      <c r="AS336" s="31"/>
      <c r="AT336" s="31"/>
      <c r="AU336" s="31" t="s">
        <v>23668</v>
      </c>
      <c r="AV336" s="31" t="s">
        <v>23669</v>
      </c>
      <c r="AW336" s="35" t="str">
        <f aca="false">HYPERLINK("http://dx.doi.org/10.1590/0037-8682-0420-2021","http://dx.doi.org/10.1590/0037-8682-0420-2021")</f>
        <v>http://dx.doi.org/10.1590/0037-8682-0420-2021</v>
      </c>
      <c r="AX336" s="31"/>
      <c r="AY336" s="31" t="n">
        <v>9</v>
      </c>
      <c r="AZ336" s="31" t="s">
        <v>16891</v>
      </c>
      <c r="BA336" s="31" t="s">
        <v>16366</v>
      </c>
      <c r="BB336" s="31" t="s">
        <v>16891</v>
      </c>
      <c r="BC336" s="31" t="s">
        <v>23670</v>
      </c>
      <c r="BD336" s="31" t="n">
        <v>35946631</v>
      </c>
      <c r="BE336" s="31" t="s">
        <v>23671</v>
      </c>
      <c r="BF336" s="31" t="s">
        <v>16369</v>
      </c>
      <c r="BG336" s="31" t="s">
        <v>23672</v>
      </c>
      <c r="BH336" s="31" t="str">
        <f aca="false">HYPERLINK("https%3A%2F%2Fwww.webofscience.com%2Fwos%2Fwoscc%2Ffull-record%2FWOS:000881522900009","View Full Record in Web of Science")</f>
        <v>View Full Record in Web of Science</v>
      </c>
      <c r="BI336" s="31"/>
      <c r="BJ336" s="31"/>
      <c r="BK336" s="31"/>
      <c r="BL336" s="31"/>
      <c r="BM336" s="31"/>
      <c r="BN336" s="31"/>
      <c r="BO336" s="31"/>
      <c r="BP336" s="31"/>
      <c r="BQ336" s="31"/>
      <c r="BR336" s="31"/>
      <c r="BS336" s="31"/>
      <c r="BT336" s="31"/>
      <c r="BU336" s="31"/>
      <c r="BV336" s="31"/>
      <c r="BW336" s="31"/>
      <c r="BX336" s="31"/>
      <c r="BY336" s="31"/>
      <c r="BZ336" s="31"/>
      <c r="CA336" s="31"/>
      <c r="CB336" s="31"/>
      <c r="CC336" s="31"/>
      <c r="CD336" s="31"/>
      <c r="CE336" s="31"/>
      <c r="CF336" s="31"/>
    </row>
    <row r="337" customFormat="false" ht="15.75" hidden="false" customHeight="true" outlineLevel="0" collapsed="false">
      <c r="A337" s="31" t="s">
        <v>16335</v>
      </c>
      <c r="B337" s="31" t="s">
        <v>23673</v>
      </c>
      <c r="C337" s="31" t="s">
        <v>23674</v>
      </c>
      <c r="D337" s="34" t="s">
        <v>23675</v>
      </c>
      <c r="E337" s="31" t="n">
        <v>2022</v>
      </c>
      <c r="F337" s="33" t="s">
        <v>23676</v>
      </c>
      <c r="G337" s="33" t="s">
        <v>290</v>
      </c>
      <c r="H337" s="32" t="s">
        <v>3992</v>
      </c>
      <c r="I337" s="32"/>
      <c r="J337" s="34"/>
      <c r="K337" s="32" t="s">
        <v>16409</v>
      </c>
      <c r="L337" s="34"/>
      <c r="M337" s="32" t="s">
        <v>23677</v>
      </c>
      <c r="N337" s="34"/>
      <c r="O337" s="34"/>
      <c r="P337" s="34" t="n">
        <v>10</v>
      </c>
      <c r="Q337" s="31" t="n">
        <v>10</v>
      </c>
      <c r="R337" s="31" t="s">
        <v>61</v>
      </c>
      <c r="S337" s="31" t="s">
        <v>62</v>
      </c>
      <c r="T337" s="31" t="s">
        <v>19147</v>
      </c>
      <c r="U337" s="31" t="n">
        <v>8</v>
      </c>
      <c r="V337" s="31" t="s">
        <v>19148</v>
      </c>
      <c r="W337" s="31" t="n">
        <v>8</v>
      </c>
      <c r="X337" s="31" t="s">
        <v>23678</v>
      </c>
      <c r="Y337" s="31" t="s">
        <v>23679</v>
      </c>
      <c r="Z337" s="31" t="s">
        <v>23680</v>
      </c>
      <c r="AA337" s="31" t="s">
        <v>23681</v>
      </c>
      <c r="AB337" s="31" t="s">
        <v>23682</v>
      </c>
      <c r="AC337" s="31" t="s">
        <v>23683</v>
      </c>
      <c r="AD337" s="31" t="s">
        <v>23684</v>
      </c>
      <c r="AE337" s="31"/>
      <c r="AF337" s="31" t="s">
        <v>23685</v>
      </c>
      <c r="AG337" s="31" t="s">
        <v>23686</v>
      </c>
      <c r="AH337" s="31" t="s">
        <v>23687</v>
      </c>
      <c r="AI337" s="31" t="n">
        <v>56</v>
      </c>
      <c r="AJ337" s="31" t="n">
        <v>4</v>
      </c>
      <c r="AK337" s="31" t="n">
        <v>9</v>
      </c>
      <c r="AL337" s="31" t="s">
        <v>18329</v>
      </c>
      <c r="AM337" s="31" t="s">
        <v>19160</v>
      </c>
      <c r="AN337" s="31" t="s">
        <v>19161</v>
      </c>
      <c r="AO337" s="31"/>
      <c r="AP337" s="31" t="s">
        <v>19162</v>
      </c>
      <c r="AQ337" s="31" t="s">
        <v>19163</v>
      </c>
      <c r="AR337" s="31" t="s">
        <v>23688</v>
      </c>
      <c r="AS337" s="31" t="n">
        <v>1553</v>
      </c>
      <c r="AT337" s="31" t="n">
        <v>1562</v>
      </c>
      <c r="AU337" s="31"/>
      <c r="AV337" s="31" t="s">
        <v>23689</v>
      </c>
      <c r="AW337" s="35" t="str">
        <f aca="false">HYPERLINK("http://dx.doi.org/10.1021/acsinfecdis.2c00189","http://dx.doi.org/10.1021/acsinfecdis.2c00189")</f>
        <v>http://dx.doi.org/10.1021/acsinfecdis.2c00189</v>
      </c>
      <c r="AX337" s="31" t="s">
        <v>17113</v>
      </c>
      <c r="AY337" s="31" t="n">
        <v>10</v>
      </c>
      <c r="AZ337" s="31" t="s">
        <v>19166</v>
      </c>
      <c r="BA337" s="31" t="s">
        <v>16366</v>
      </c>
      <c r="BB337" s="31" t="s">
        <v>19167</v>
      </c>
      <c r="BC337" s="31" t="s">
        <v>23690</v>
      </c>
      <c r="BD337" s="31" t="n">
        <v>35894649</v>
      </c>
      <c r="BE337" s="31" t="s">
        <v>17966</v>
      </c>
      <c r="BF337" s="31" t="s">
        <v>16369</v>
      </c>
      <c r="BG337" s="31" t="s">
        <v>23691</v>
      </c>
      <c r="BH337" s="31" t="str">
        <f aca="false">HYPERLINK("https%3A%2F%2Fwww.webofscience.com%2Fwos%2Fwoscc%2Ffull-record%2FWOS:000834209900001","View Full Record in Web of Science")</f>
        <v>View Full Record in Web of Science</v>
      </c>
      <c r="BI337" s="31"/>
      <c r="BJ337" s="31"/>
      <c r="BK337" s="31"/>
      <c r="BL337" s="31"/>
      <c r="BM337" s="31"/>
      <c r="BN337" s="31"/>
      <c r="BO337" s="31"/>
      <c r="BP337" s="31"/>
      <c r="BQ337" s="31"/>
      <c r="BR337" s="31"/>
      <c r="BS337" s="31"/>
      <c r="BT337" s="31"/>
      <c r="BU337" s="31"/>
      <c r="BV337" s="31"/>
      <c r="BW337" s="31"/>
      <c r="BX337" s="31"/>
      <c r="BY337" s="31"/>
      <c r="BZ337" s="31"/>
      <c r="CA337" s="31"/>
      <c r="CB337" s="31"/>
      <c r="CC337" s="31"/>
      <c r="CD337" s="31"/>
      <c r="CE337" s="31"/>
      <c r="CF337" s="31"/>
    </row>
    <row r="338" customFormat="false" ht="15.75" hidden="false" customHeight="true" outlineLevel="0" collapsed="false">
      <c r="A338" s="31" t="s">
        <v>16335</v>
      </c>
      <c r="B338" s="31" t="s">
        <v>23692</v>
      </c>
      <c r="C338" s="31" t="s">
        <v>23693</v>
      </c>
      <c r="D338" s="34" t="s">
        <v>23694</v>
      </c>
      <c r="E338" s="31" t="n">
        <v>2022</v>
      </c>
      <c r="F338" s="33" t="s">
        <v>23695</v>
      </c>
      <c r="G338" s="33" t="s">
        <v>134</v>
      </c>
      <c r="H338" s="32" t="s">
        <v>4394</v>
      </c>
      <c r="I338" s="32" t="s">
        <v>4394</v>
      </c>
      <c r="J338" s="34"/>
      <c r="K338" s="32" t="s">
        <v>16409</v>
      </c>
      <c r="L338" s="34"/>
      <c r="M338" s="34"/>
      <c r="N338" s="34"/>
      <c r="O338" s="34"/>
      <c r="P338" s="34" t="n">
        <v>0</v>
      </c>
      <c r="Q338" s="31" t="n">
        <v>0</v>
      </c>
      <c r="R338" s="31" t="s">
        <v>61</v>
      </c>
      <c r="S338" s="31" t="s">
        <v>62</v>
      </c>
      <c r="T338" s="31" t="s">
        <v>16413</v>
      </c>
      <c r="U338" s="31" t="n">
        <v>12</v>
      </c>
      <c r="V338" s="31" t="s">
        <v>16414</v>
      </c>
      <c r="W338" s="31" t="n">
        <v>1</v>
      </c>
      <c r="X338" s="31"/>
      <c r="Y338" s="31" t="s">
        <v>23696</v>
      </c>
      <c r="Z338" s="31" t="s">
        <v>23697</v>
      </c>
      <c r="AA338" s="31" t="s">
        <v>23698</v>
      </c>
      <c r="AB338" s="31" t="s">
        <v>23699</v>
      </c>
      <c r="AC338" s="31" t="s">
        <v>23700</v>
      </c>
      <c r="AD338" s="31"/>
      <c r="AE338" s="31"/>
      <c r="AF338" s="31" t="s">
        <v>23701</v>
      </c>
      <c r="AG338" s="31" t="s">
        <v>23702</v>
      </c>
      <c r="AH338" s="31" t="s">
        <v>23703</v>
      </c>
      <c r="AI338" s="31" t="n">
        <v>77</v>
      </c>
      <c r="AJ338" s="31" t="n">
        <v>0</v>
      </c>
      <c r="AK338" s="31" t="n">
        <v>13</v>
      </c>
      <c r="AL338" s="31" t="s">
        <v>16421</v>
      </c>
      <c r="AM338" s="31" t="s">
        <v>16422</v>
      </c>
      <c r="AN338" s="31" t="s">
        <v>16423</v>
      </c>
      <c r="AO338" s="31"/>
      <c r="AP338" s="31" t="s">
        <v>16424</v>
      </c>
      <c r="AQ338" s="31" t="s">
        <v>16425</v>
      </c>
      <c r="AR338" s="31" t="s">
        <v>23704</v>
      </c>
      <c r="AS338" s="31"/>
      <c r="AT338" s="31"/>
      <c r="AU338" s="31" t="n">
        <v>20196</v>
      </c>
      <c r="AV338" s="31" t="s">
        <v>23705</v>
      </c>
      <c r="AW338" s="35" t="str">
        <f aca="false">HYPERLINK("http://dx.doi.org/10.1038/s41598-022-22990-8","http://dx.doi.org/10.1038/s41598-022-22990-8")</f>
        <v>http://dx.doi.org/10.1038/s41598-022-22990-8</v>
      </c>
      <c r="AX338" s="31"/>
      <c r="AY338" s="31" t="n">
        <v>12</v>
      </c>
      <c r="AZ338" s="31" t="s">
        <v>16428</v>
      </c>
      <c r="BA338" s="31" t="s">
        <v>16366</v>
      </c>
      <c r="BB338" s="31" t="s">
        <v>16429</v>
      </c>
      <c r="BC338" s="31" t="s">
        <v>23706</v>
      </c>
      <c r="BD338" s="31" t="n">
        <v>36424398</v>
      </c>
      <c r="BE338" s="31" t="s">
        <v>21499</v>
      </c>
      <c r="BF338" s="31" t="s">
        <v>16369</v>
      </c>
      <c r="BG338" s="31" t="s">
        <v>23707</v>
      </c>
      <c r="BH338" s="31" t="str">
        <f aca="false">HYPERLINK("https%3A%2F%2Fwww.webofscience.com%2Fwos%2Fwoscc%2Ffull-record%2FWOS:000888059000001","View Full Record in Web of Science")</f>
        <v>View Full Record in Web of Science</v>
      </c>
      <c r="BI338" s="31"/>
      <c r="BJ338" s="31"/>
      <c r="BK338" s="31"/>
      <c r="BL338" s="31"/>
      <c r="BM338" s="31"/>
      <c r="BN338" s="31"/>
      <c r="BO338" s="31"/>
      <c r="BP338" s="31"/>
      <c r="BQ338" s="31"/>
      <c r="BR338" s="31"/>
      <c r="BS338" s="31"/>
      <c r="BT338" s="31"/>
      <c r="BU338" s="31"/>
      <c r="BV338" s="31"/>
      <c r="BW338" s="31"/>
      <c r="BX338" s="31"/>
      <c r="BY338" s="31"/>
      <c r="BZ338" s="31"/>
      <c r="CA338" s="31"/>
      <c r="CB338" s="31"/>
      <c r="CC338" s="31"/>
      <c r="CD338" s="31"/>
      <c r="CE338" s="31"/>
      <c r="CF338" s="31"/>
    </row>
    <row r="339" customFormat="false" ht="15.75" hidden="false" customHeight="true" outlineLevel="0" collapsed="false">
      <c r="A339" s="31" t="s">
        <v>16335</v>
      </c>
      <c r="B339" s="31" t="s">
        <v>23708</v>
      </c>
      <c r="C339" s="31" t="s">
        <v>23709</v>
      </c>
      <c r="D339" s="34" t="s">
        <v>23710</v>
      </c>
      <c r="E339" s="31" t="n">
        <v>2022</v>
      </c>
      <c r="F339" s="33" t="s">
        <v>23711</v>
      </c>
      <c r="G339" s="33" t="s">
        <v>134</v>
      </c>
      <c r="H339" s="32" t="s">
        <v>23712</v>
      </c>
      <c r="I339" s="32" t="s">
        <v>4101</v>
      </c>
      <c r="J339" s="32" t="s">
        <v>23713</v>
      </c>
      <c r="K339" s="32" t="s">
        <v>21898</v>
      </c>
      <c r="L339" s="34"/>
      <c r="M339" s="34"/>
      <c r="N339" s="34"/>
      <c r="O339" s="34"/>
      <c r="P339" s="34" t="n">
        <v>11</v>
      </c>
      <c r="Q339" s="31" t="n">
        <v>11</v>
      </c>
      <c r="R339" s="31" t="s">
        <v>61</v>
      </c>
      <c r="S339" s="31" t="s">
        <v>62</v>
      </c>
      <c r="T339" s="31" t="s">
        <v>23714</v>
      </c>
      <c r="U339" s="31" t="n">
        <v>9</v>
      </c>
      <c r="V339" s="31" t="s">
        <v>16349</v>
      </c>
      <c r="W339" s="31"/>
      <c r="X339" s="31" t="s">
        <v>23715</v>
      </c>
      <c r="Y339" s="31"/>
      <c r="Z339" s="31" t="s">
        <v>23716</v>
      </c>
      <c r="AA339" s="31" t="s">
        <v>23717</v>
      </c>
      <c r="AB339" s="31" t="s">
        <v>23718</v>
      </c>
      <c r="AC339" s="31" t="s">
        <v>23719</v>
      </c>
      <c r="AD339" s="31" t="s">
        <v>23720</v>
      </c>
      <c r="AE339" s="31" t="s">
        <v>23721</v>
      </c>
      <c r="AF339" s="31" t="s">
        <v>23722</v>
      </c>
      <c r="AG339" s="31" t="s">
        <v>23723</v>
      </c>
      <c r="AH339" s="31" t="s">
        <v>23724</v>
      </c>
      <c r="AI339" s="31" t="n">
        <v>19</v>
      </c>
      <c r="AJ339" s="31" t="n">
        <v>1</v>
      </c>
      <c r="AK339" s="31" t="n">
        <v>4</v>
      </c>
      <c r="AL339" s="31" t="s">
        <v>16356</v>
      </c>
      <c r="AM339" s="31" t="s">
        <v>16357</v>
      </c>
      <c r="AN339" s="31" t="s">
        <v>23725</v>
      </c>
      <c r="AO339" s="31"/>
      <c r="AP339" s="31" t="s">
        <v>23726</v>
      </c>
      <c r="AQ339" s="31" t="s">
        <v>23727</v>
      </c>
      <c r="AR339" s="31" t="s">
        <v>17056</v>
      </c>
      <c r="AS339" s="31"/>
      <c r="AT339" s="31"/>
      <c r="AU339" s="31" t="n">
        <v>100192</v>
      </c>
      <c r="AV339" s="31" t="s">
        <v>23728</v>
      </c>
      <c r="AW339" s="35" t="str">
        <f aca="false">HYPERLINK("http://dx.doi.org/10.1016/j.lana.2022.100192","http://dx.doi.org/10.1016/j.lana.2022.100192")</f>
        <v>http://dx.doi.org/10.1016/j.lana.2022.100192</v>
      </c>
      <c r="AX339" s="31" t="s">
        <v>22515</v>
      </c>
      <c r="AY339" s="31" t="n">
        <v>9</v>
      </c>
      <c r="AZ339" s="31" t="s">
        <v>18491</v>
      </c>
      <c r="BA339" s="31" t="s">
        <v>16684</v>
      </c>
      <c r="BB339" s="31" t="s">
        <v>18491</v>
      </c>
      <c r="BC339" s="31" t="s">
        <v>23729</v>
      </c>
      <c r="BD339" s="31" t="n">
        <v>36776278</v>
      </c>
      <c r="BE339" s="31" t="s">
        <v>17143</v>
      </c>
      <c r="BF339" s="31" t="s">
        <v>16369</v>
      </c>
      <c r="BG339" s="31" t="s">
        <v>23730</v>
      </c>
      <c r="BH339" s="31" t="str">
        <f aca="false">HYPERLINK("https%3A%2F%2Fwww.webofscience.com%2Fwos%2Fwoscc%2Ffull-record%2FWOS:000904625400008","View Full Record in Web of Science")</f>
        <v>View Full Record in Web of Science</v>
      </c>
      <c r="BI339" s="31"/>
      <c r="BJ339" s="31"/>
      <c r="BK339" s="31"/>
      <c r="BL339" s="31"/>
      <c r="BM339" s="31"/>
      <c r="BN339" s="31"/>
      <c r="BO339" s="31"/>
      <c r="BP339" s="31"/>
      <c r="BQ339" s="31"/>
      <c r="BR339" s="31"/>
      <c r="BS339" s="31"/>
      <c r="BT339" s="31"/>
      <c r="BU339" s="31"/>
      <c r="BV339" s="31"/>
      <c r="BW339" s="31"/>
      <c r="BX339" s="31"/>
      <c r="BY339" s="31"/>
      <c r="BZ339" s="31"/>
      <c r="CA339" s="31"/>
      <c r="CB339" s="31"/>
      <c r="CC339" s="31"/>
      <c r="CD339" s="31"/>
      <c r="CE339" s="31"/>
      <c r="CF339" s="31"/>
    </row>
    <row r="340" customFormat="false" ht="15.75" hidden="false" customHeight="true" outlineLevel="0" collapsed="false">
      <c r="A340" s="31" t="s">
        <v>16335</v>
      </c>
      <c r="B340" s="31" t="s">
        <v>23731</v>
      </c>
      <c r="C340" s="31" t="s">
        <v>23732</v>
      </c>
      <c r="D340" s="34" t="s">
        <v>23733</v>
      </c>
      <c r="E340" s="31" t="n">
        <v>2022</v>
      </c>
      <c r="F340" s="33" t="s">
        <v>23734</v>
      </c>
      <c r="G340" s="33" t="s">
        <v>134</v>
      </c>
      <c r="H340" s="32" t="s">
        <v>17036</v>
      </c>
      <c r="I340" s="34"/>
      <c r="J340" s="32" t="s">
        <v>20887</v>
      </c>
      <c r="K340" s="32" t="s">
        <v>23735</v>
      </c>
      <c r="L340" s="32" t="s">
        <v>23736</v>
      </c>
      <c r="M340" s="32" t="s">
        <v>23737</v>
      </c>
      <c r="N340" s="32" t="s">
        <v>23738</v>
      </c>
      <c r="O340" s="34"/>
      <c r="P340" s="34" t="n">
        <v>4</v>
      </c>
      <c r="Q340" s="31" t="n">
        <v>4</v>
      </c>
      <c r="R340" s="31" t="s">
        <v>61</v>
      </c>
      <c r="S340" s="31" t="s">
        <v>62</v>
      </c>
      <c r="T340" s="31" t="s">
        <v>18414</v>
      </c>
      <c r="U340" s="31" t="n">
        <v>81</v>
      </c>
      <c r="V340" s="31" t="s">
        <v>18415</v>
      </c>
      <c r="W340" s="31"/>
      <c r="X340" s="31" t="s">
        <v>23739</v>
      </c>
      <c r="Y340" s="31" t="s">
        <v>23740</v>
      </c>
      <c r="Z340" s="31" t="s">
        <v>23741</v>
      </c>
      <c r="AA340" s="31" t="s">
        <v>23742</v>
      </c>
      <c r="AB340" s="31" t="s">
        <v>23743</v>
      </c>
      <c r="AC340" s="31" t="s">
        <v>23744</v>
      </c>
      <c r="AD340" s="31" t="s">
        <v>23576</v>
      </c>
      <c r="AE340" s="31"/>
      <c r="AF340" s="31"/>
      <c r="AG340" s="31"/>
      <c r="AH340" s="31"/>
      <c r="AI340" s="31" t="n">
        <v>41</v>
      </c>
      <c r="AJ340" s="31" t="n">
        <v>2</v>
      </c>
      <c r="AK340" s="31" t="n">
        <v>8</v>
      </c>
      <c r="AL340" s="31" t="s">
        <v>2626</v>
      </c>
      <c r="AM340" s="31" t="s">
        <v>18422</v>
      </c>
      <c r="AN340" s="31" t="s">
        <v>18423</v>
      </c>
      <c r="AO340" s="31" t="s">
        <v>18424</v>
      </c>
      <c r="AP340" s="31" t="s">
        <v>18425</v>
      </c>
      <c r="AQ340" s="31" t="s">
        <v>7616</v>
      </c>
      <c r="AR340" s="31" t="s">
        <v>17248</v>
      </c>
      <c r="AS340" s="31"/>
      <c r="AT340" s="31"/>
      <c r="AU340" s="31" t="n">
        <v>104502</v>
      </c>
      <c r="AV340" s="31" t="s">
        <v>23745</v>
      </c>
      <c r="AW340" s="35" t="str">
        <f aca="false">HYPERLINK("http://dx.doi.org/10.1016/j.bspc.2022.104502","http://dx.doi.org/10.1016/j.bspc.2022.104502")</f>
        <v>http://dx.doi.org/10.1016/j.bspc.2022.104502</v>
      </c>
      <c r="AX340" s="31" t="s">
        <v>22044</v>
      </c>
      <c r="AY340" s="31" t="n">
        <v>9</v>
      </c>
      <c r="AZ340" s="31" t="s">
        <v>18428</v>
      </c>
      <c r="BA340" s="31" t="s">
        <v>16366</v>
      </c>
      <c r="BB340" s="31" t="s">
        <v>18429</v>
      </c>
      <c r="BC340" s="31" t="s">
        <v>23746</v>
      </c>
      <c r="BD340" s="31"/>
      <c r="BE340" s="31"/>
      <c r="BF340" s="31" t="s">
        <v>16369</v>
      </c>
      <c r="BG340" s="31" t="s">
        <v>23747</v>
      </c>
      <c r="BH340" s="31" t="str">
        <f aca="false">HYPERLINK("https%3A%2F%2Fwww.webofscience.com%2Fwos%2Fwoscc%2Ffull-record%2FWOS:000907122000001","View Full Record in Web of Science")</f>
        <v>View Full Record in Web of Science</v>
      </c>
      <c r="BI340" s="31"/>
      <c r="BJ340" s="31"/>
      <c r="BK340" s="31"/>
      <c r="BL340" s="31"/>
      <c r="BM340" s="31"/>
      <c r="BN340" s="31"/>
      <c r="BO340" s="31"/>
      <c r="BP340" s="31"/>
      <c r="BQ340" s="31"/>
      <c r="BR340" s="31"/>
      <c r="BS340" s="31"/>
      <c r="BT340" s="31"/>
      <c r="BU340" s="31"/>
      <c r="BV340" s="31"/>
      <c r="BW340" s="31"/>
      <c r="BX340" s="31"/>
      <c r="BY340" s="31"/>
      <c r="BZ340" s="31"/>
      <c r="CA340" s="31"/>
      <c r="CB340" s="31"/>
      <c r="CC340" s="31"/>
      <c r="CD340" s="31"/>
      <c r="CE340" s="31"/>
      <c r="CF340" s="31"/>
    </row>
    <row r="341" customFormat="false" ht="15.75" hidden="false" customHeight="true" outlineLevel="0" collapsed="false">
      <c r="A341" s="31" t="s">
        <v>16335</v>
      </c>
      <c r="B341" s="31" t="s">
        <v>23748</v>
      </c>
      <c r="C341" s="31" t="s">
        <v>23749</v>
      </c>
      <c r="D341" s="34" t="s">
        <v>23750</v>
      </c>
      <c r="E341" s="31" t="n">
        <v>2022</v>
      </c>
      <c r="F341" s="33" t="s">
        <v>23751</v>
      </c>
      <c r="G341" s="33" t="s">
        <v>134</v>
      </c>
      <c r="H341" s="32" t="s">
        <v>60</v>
      </c>
      <c r="I341" s="32" t="s">
        <v>60</v>
      </c>
      <c r="J341" s="32" t="s">
        <v>23752</v>
      </c>
      <c r="K341" s="32" t="s">
        <v>22030</v>
      </c>
      <c r="L341" s="32" t="s">
        <v>23753</v>
      </c>
      <c r="M341" s="32" t="s">
        <v>23754</v>
      </c>
      <c r="N341" s="32" t="s">
        <v>23755</v>
      </c>
      <c r="O341" s="34"/>
      <c r="P341" s="34" t="n">
        <v>7</v>
      </c>
      <c r="Q341" s="31" t="n">
        <v>7</v>
      </c>
      <c r="R341" s="31" t="s">
        <v>61</v>
      </c>
      <c r="S341" s="31" t="s">
        <v>62</v>
      </c>
      <c r="T341" s="31" t="s">
        <v>16875</v>
      </c>
      <c r="U341" s="31" t="n">
        <v>228</v>
      </c>
      <c r="V341" s="31" t="s">
        <v>16349</v>
      </c>
      <c r="W341" s="31"/>
      <c r="X341" s="31" t="s">
        <v>23756</v>
      </c>
      <c r="Y341" s="31" t="s">
        <v>23757</v>
      </c>
      <c r="Z341" s="31" t="s">
        <v>23758</v>
      </c>
      <c r="AA341" s="31" t="s">
        <v>23759</v>
      </c>
      <c r="AB341" s="31" t="s">
        <v>23760</v>
      </c>
      <c r="AC341" s="31" t="s">
        <v>23761</v>
      </c>
      <c r="AD341" s="31" t="s">
        <v>23762</v>
      </c>
      <c r="AE341" s="31" t="s">
        <v>23763</v>
      </c>
      <c r="AF341" s="31"/>
      <c r="AG341" s="31"/>
      <c r="AH341" s="31"/>
      <c r="AI341" s="31" t="n">
        <v>54</v>
      </c>
      <c r="AJ341" s="31" t="n">
        <v>0</v>
      </c>
      <c r="AK341" s="31" t="n">
        <v>8</v>
      </c>
      <c r="AL341" s="31" t="s">
        <v>16356</v>
      </c>
      <c r="AM341" s="31" t="s">
        <v>16357</v>
      </c>
      <c r="AN341" s="31" t="s">
        <v>16886</v>
      </c>
      <c r="AO341" s="31" t="s">
        <v>16887</v>
      </c>
      <c r="AP341" s="31" t="s">
        <v>16888</v>
      </c>
      <c r="AQ341" s="31" t="s">
        <v>1926</v>
      </c>
      <c r="AR341" s="31" t="s">
        <v>17772</v>
      </c>
      <c r="AS341" s="31"/>
      <c r="AT341" s="31"/>
      <c r="AU341" s="31" t="n">
        <v>106296</v>
      </c>
      <c r="AV341" s="31" t="s">
        <v>23764</v>
      </c>
      <c r="AW341" s="35" t="str">
        <f aca="false">HYPERLINK("http://dx.doi.org/10.1016/j.actatropica.2021.106296","http://dx.doi.org/10.1016/j.actatropica.2021.106296")</f>
        <v>http://dx.doi.org/10.1016/j.actatropica.2021.106296</v>
      </c>
      <c r="AX341" s="31" t="s">
        <v>22901</v>
      </c>
      <c r="AY341" s="31" t="n">
        <v>10</v>
      </c>
      <c r="AZ341" s="31" t="s">
        <v>16891</v>
      </c>
      <c r="BA341" s="31" t="s">
        <v>16366</v>
      </c>
      <c r="BB341" s="31" t="s">
        <v>16891</v>
      </c>
      <c r="BC341" s="31" t="s">
        <v>23765</v>
      </c>
      <c r="BD341" s="31" t="n">
        <v>34958766</v>
      </c>
      <c r="BE341" s="31"/>
      <c r="BF341" s="31" t="s">
        <v>16369</v>
      </c>
      <c r="BG341" s="31" t="s">
        <v>23766</v>
      </c>
      <c r="BH341" s="31" t="str">
        <f aca="false">HYPERLINK("https%3A%2F%2Fwww.webofscience.com%2Fwos%2Fwoscc%2Ffull-record%2FWOS:000821023900004","View Full Record in Web of Science")</f>
        <v>View Full Record in Web of Science</v>
      </c>
      <c r="BI341" s="31"/>
      <c r="BJ341" s="31"/>
      <c r="BK341" s="31"/>
      <c r="BL341" s="31"/>
      <c r="BM341" s="31"/>
      <c r="BN341" s="31"/>
      <c r="BO341" s="31"/>
      <c r="BP341" s="31"/>
      <c r="BQ341" s="31"/>
      <c r="BR341" s="31"/>
      <c r="BS341" s="31"/>
      <c r="BT341" s="31"/>
      <c r="BU341" s="31"/>
      <c r="BV341" s="31"/>
      <c r="BW341" s="31"/>
      <c r="BX341" s="31"/>
      <c r="BY341" s="31"/>
      <c r="BZ341" s="31"/>
      <c r="CA341" s="31"/>
      <c r="CB341" s="31"/>
      <c r="CC341" s="31"/>
      <c r="CD341" s="31"/>
      <c r="CE341" s="31"/>
      <c r="CF341" s="31"/>
    </row>
    <row r="342" customFormat="false" ht="114" hidden="false" customHeight="true" outlineLevel="0" collapsed="false">
      <c r="A342" s="31" t="s">
        <v>16335</v>
      </c>
      <c r="B342" s="31" t="s">
        <v>23767</v>
      </c>
      <c r="C342" s="31" t="s">
        <v>23768</v>
      </c>
      <c r="D342" s="34" t="s">
        <v>23769</v>
      </c>
      <c r="E342" s="31" t="n">
        <v>2022</v>
      </c>
      <c r="F342" s="33" t="s">
        <v>23770</v>
      </c>
      <c r="G342" s="33" t="s">
        <v>393</v>
      </c>
      <c r="H342" s="32" t="s">
        <v>23771</v>
      </c>
      <c r="I342" s="32" t="s">
        <v>17005</v>
      </c>
      <c r="J342" s="32" t="s">
        <v>23772</v>
      </c>
      <c r="K342" s="32" t="s">
        <v>23773</v>
      </c>
      <c r="L342" s="32" t="s">
        <v>3754</v>
      </c>
      <c r="M342" s="32" t="s">
        <v>23774</v>
      </c>
      <c r="N342" s="34"/>
      <c r="O342" s="34"/>
      <c r="P342" s="34" t="n">
        <v>4</v>
      </c>
      <c r="Q342" s="31" t="n">
        <v>4</v>
      </c>
      <c r="R342" s="31" t="s">
        <v>61</v>
      </c>
      <c r="S342" s="31" t="s">
        <v>62</v>
      </c>
      <c r="T342" s="31" t="s">
        <v>23775</v>
      </c>
      <c r="U342" s="31" t="n">
        <v>2</v>
      </c>
      <c r="V342" s="31" t="s">
        <v>16814</v>
      </c>
      <c r="W342" s="31" t="n">
        <v>1</v>
      </c>
      <c r="X342" s="31"/>
      <c r="Y342" s="31" t="s">
        <v>23776</v>
      </c>
      <c r="Z342" s="31" t="s">
        <v>23777</v>
      </c>
      <c r="AA342" s="31" t="s">
        <v>23778</v>
      </c>
      <c r="AB342" s="31" t="s">
        <v>23779</v>
      </c>
      <c r="AC342" s="31" t="s">
        <v>23780</v>
      </c>
      <c r="AD342" s="31" t="s">
        <v>23781</v>
      </c>
      <c r="AE342" s="31" t="s">
        <v>23782</v>
      </c>
      <c r="AF342" s="31" t="s">
        <v>23783</v>
      </c>
      <c r="AG342" s="31" t="s">
        <v>23784</v>
      </c>
      <c r="AH342" s="31" t="s">
        <v>23785</v>
      </c>
      <c r="AI342" s="31" t="n">
        <v>60</v>
      </c>
      <c r="AJ342" s="31" t="n">
        <v>1</v>
      </c>
      <c r="AK342" s="31" t="n">
        <v>5</v>
      </c>
      <c r="AL342" s="31" t="s">
        <v>16821</v>
      </c>
      <c r="AM342" s="31" t="s">
        <v>16822</v>
      </c>
      <c r="AN342" s="31" t="s">
        <v>23786</v>
      </c>
      <c r="AO342" s="31"/>
      <c r="AP342" s="31" t="s">
        <v>23787</v>
      </c>
      <c r="AQ342" s="31" t="s">
        <v>23788</v>
      </c>
      <c r="AR342" s="31" t="s">
        <v>18532</v>
      </c>
      <c r="AS342" s="31"/>
      <c r="AT342" s="31"/>
      <c r="AU342" s="31" t="n">
        <v>134</v>
      </c>
      <c r="AV342" s="31" t="s">
        <v>23789</v>
      </c>
      <c r="AW342" s="35" t="str">
        <f aca="false">HYPERLINK("http://dx.doi.org/10.1038/s43856-022-00192-7","http://dx.doi.org/10.1038/s43856-022-00192-7")</f>
        <v>http://dx.doi.org/10.1038/s43856-022-00192-7</v>
      </c>
      <c r="AX342" s="31"/>
      <c r="AY342" s="31" t="n">
        <v>11</v>
      </c>
      <c r="AZ342" s="31" t="s">
        <v>21380</v>
      </c>
      <c r="BA342" s="31" t="s">
        <v>16684</v>
      </c>
      <c r="BB342" s="31" t="s">
        <v>21381</v>
      </c>
      <c r="BC342" s="31" t="s">
        <v>23790</v>
      </c>
      <c r="BD342" s="31" t="n">
        <v>36317054</v>
      </c>
      <c r="BE342" s="31" t="s">
        <v>16832</v>
      </c>
      <c r="BF342" s="31" t="s">
        <v>16369</v>
      </c>
      <c r="BG342" s="31" t="s">
        <v>23791</v>
      </c>
      <c r="BH342" s="31" t="str">
        <f aca="false">HYPERLINK("https%3A%2F%2Fwww.webofscience.com%2Fwos%2Fwoscc%2Ffull-record%2FWOS:001088303700001","View Full Record in Web of Science")</f>
        <v>View Full Record in Web of Science</v>
      </c>
      <c r="BI342" s="31"/>
      <c r="BJ342" s="31"/>
      <c r="BK342" s="31"/>
      <c r="BL342" s="31"/>
      <c r="BM342" s="31"/>
      <c r="BN342" s="31"/>
      <c r="BO342" s="31"/>
      <c r="BP342" s="31"/>
      <c r="BQ342" s="31"/>
      <c r="BR342" s="31"/>
      <c r="BS342" s="31"/>
      <c r="BT342" s="31"/>
      <c r="BU342" s="31"/>
      <c r="BV342" s="31"/>
      <c r="BW342" s="31"/>
      <c r="BX342" s="31"/>
      <c r="BY342" s="31"/>
      <c r="BZ342" s="31"/>
      <c r="CA342" s="31"/>
      <c r="CB342" s="31"/>
      <c r="CC342" s="31"/>
      <c r="CD342" s="31"/>
      <c r="CE342" s="31"/>
      <c r="CF342" s="31"/>
    </row>
    <row r="343" customFormat="false" ht="15.75" hidden="false" customHeight="true" outlineLevel="0" collapsed="false">
      <c r="A343" s="31" t="s">
        <v>16335</v>
      </c>
      <c r="B343" s="31" t="s">
        <v>23792</v>
      </c>
      <c r="C343" s="31" t="s">
        <v>23793</v>
      </c>
      <c r="D343" s="34" t="s">
        <v>23794</v>
      </c>
      <c r="E343" s="31" t="n">
        <v>2022</v>
      </c>
      <c r="F343" s="33" t="s">
        <v>23795</v>
      </c>
      <c r="G343" s="33" t="s">
        <v>134</v>
      </c>
      <c r="H343" s="32" t="s">
        <v>4101</v>
      </c>
      <c r="I343" s="32" t="s">
        <v>4101</v>
      </c>
      <c r="J343" s="32" t="s">
        <v>22708</v>
      </c>
      <c r="K343" s="32" t="s">
        <v>17573</v>
      </c>
      <c r="L343" s="32" t="s">
        <v>3754</v>
      </c>
      <c r="M343" s="32" t="s">
        <v>23796</v>
      </c>
      <c r="N343" s="32"/>
      <c r="O343" s="34"/>
      <c r="P343" s="34" t="n">
        <v>4</v>
      </c>
      <c r="Q343" s="31" t="n">
        <v>4</v>
      </c>
      <c r="R343" s="31" t="s">
        <v>61</v>
      </c>
      <c r="S343" s="31" t="s">
        <v>62</v>
      </c>
      <c r="T343" s="31" t="s">
        <v>16844</v>
      </c>
      <c r="U343" s="31" t="n">
        <v>16</v>
      </c>
      <c r="V343" s="31" t="s">
        <v>16845</v>
      </c>
      <c r="W343" s="31" t="n">
        <v>4</v>
      </c>
      <c r="X343" s="31"/>
      <c r="Y343" s="31" t="s">
        <v>23797</v>
      </c>
      <c r="Z343" s="31" t="s">
        <v>23798</v>
      </c>
      <c r="AA343" s="31" t="s">
        <v>23799</v>
      </c>
      <c r="AB343" s="31" t="s">
        <v>23800</v>
      </c>
      <c r="AC343" s="31" t="s">
        <v>23801</v>
      </c>
      <c r="AD343" s="31" t="s">
        <v>23802</v>
      </c>
      <c r="AE343" s="31" t="s">
        <v>23803</v>
      </c>
      <c r="AF343" s="31" t="s">
        <v>23804</v>
      </c>
      <c r="AG343" s="31" t="s">
        <v>23805</v>
      </c>
      <c r="AH343" s="31" t="s">
        <v>23806</v>
      </c>
      <c r="AI343" s="31" t="n">
        <v>37</v>
      </c>
      <c r="AJ343" s="31" t="n">
        <v>0</v>
      </c>
      <c r="AK343" s="31" t="n">
        <v>4</v>
      </c>
      <c r="AL343" s="31" t="s">
        <v>16855</v>
      </c>
      <c r="AM343" s="31" t="s">
        <v>16856</v>
      </c>
      <c r="AN343" s="31" t="s">
        <v>16857</v>
      </c>
      <c r="AO343" s="31"/>
      <c r="AP343" s="31" t="s">
        <v>16858</v>
      </c>
      <c r="AQ343" s="31" t="s">
        <v>16859</v>
      </c>
      <c r="AR343" s="31" t="s">
        <v>17772</v>
      </c>
      <c r="AS343" s="31"/>
      <c r="AT343" s="31"/>
      <c r="AU343" s="31" t="s">
        <v>23807</v>
      </c>
      <c r="AV343" s="31" t="s">
        <v>23808</v>
      </c>
      <c r="AW343" s="35" t="str">
        <f aca="false">HYPERLINK("http://dx.doi.org/10.1371/journal.pntd.0010356","http://dx.doi.org/10.1371/journal.pntd.0010356")</f>
        <v>http://dx.doi.org/10.1371/journal.pntd.0010356</v>
      </c>
      <c r="AX343" s="31"/>
      <c r="AY343" s="31" t="n">
        <v>16</v>
      </c>
      <c r="AZ343" s="31" t="s">
        <v>16862</v>
      </c>
      <c r="BA343" s="31" t="s">
        <v>16366</v>
      </c>
      <c r="BB343" s="31" t="s">
        <v>16862</v>
      </c>
      <c r="BC343" s="31" t="s">
        <v>23809</v>
      </c>
      <c r="BD343" s="31" t="n">
        <v>35421085</v>
      </c>
      <c r="BE343" s="31" t="s">
        <v>17143</v>
      </c>
      <c r="BF343" s="31" t="s">
        <v>16369</v>
      </c>
      <c r="BG343" s="31" t="s">
        <v>23810</v>
      </c>
      <c r="BH343" s="31" t="str">
        <f aca="false">HYPERLINK("https%3A%2F%2Fwww.webofscience.com%2Fwos%2Fwoscc%2Ffull-record%2FWOS:000788745900002","View Full Record in Web of Science")</f>
        <v>View Full Record in Web of Science</v>
      </c>
      <c r="BI343" s="31"/>
      <c r="BJ343" s="31"/>
      <c r="BK343" s="31"/>
      <c r="BL343" s="31"/>
      <c r="BM343" s="31"/>
      <c r="BN343" s="31"/>
      <c r="BO343" s="31"/>
      <c r="BP343" s="31"/>
      <c r="BQ343" s="31"/>
      <c r="BR343" s="31"/>
      <c r="BS343" s="31"/>
      <c r="BT343" s="31"/>
      <c r="BU343" s="31"/>
      <c r="BV343" s="31"/>
      <c r="BW343" s="31"/>
      <c r="BX343" s="31"/>
      <c r="BY343" s="31"/>
      <c r="BZ343" s="31"/>
      <c r="CA343" s="31"/>
      <c r="CB343" s="31"/>
      <c r="CC343" s="31"/>
      <c r="CD343" s="31"/>
      <c r="CE343" s="31"/>
      <c r="CF343" s="31"/>
    </row>
    <row r="344" customFormat="false" ht="15.75" hidden="false" customHeight="true" outlineLevel="0" collapsed="false">
      <c r="A344" s="31" t="s">
        <v>16335</v>
      </c>
      <c r="B344" s="31" t="s">
        <v>23811</v>
      </c>
      <c r="C344" s="31" t="s">
        <v>23812</v>
      </c>
      <c r="D344" s="34" t="s">
        <v>23813</v>
      </c>
      <c r="E344" s="31" t="n">
        <v>2022</v>
      </c>
      <c r="F344" s="33" t="s">
        <v>23814</v>
      </c>
      <c r="G344" s="33" t="s">
        <v>134</v>
      </c>
      <c r="H344" s="32" t="s">
        <v>23815</v>
      </c>
      <c r="I344" s="34"/>
      <c r="J344" s="32" t="s">
        <v>22708</v>
      </c>
      <c r="K344" s="32" t="s">
        <v>23114</v>
      </c>
      <c r="L344" s="32" t="s">
        <v>3754</v>
      </c>
      <c r="M344" s="32" t="s">
        <v>23816</v>
      </c>
      <c r="N344" s="32" t="s">
        <v>23817</v>
      </c>
      <c r="O344" s="34"/>
      <c r="P344" s="34" t="n">
        <v>4</v>
      </c>
      <c r="Q344" s="31" t="n">
        <v>4</v>
      </c>
      <c r="R344" s="31" t="s">
        <v>61</v>
      </c>
      <c r="S344" s="31" t="s">
        <v>62</v>
      </c>
      <c r="T344" s="31" t="s">
        <v>23818</v>
      </c>
      <c r="U344" s="31" t="n">
        <v>2022</v>
      </c>
      <c r="V344" s="31" t="s">
        <v>17360</v>
      </c>
      <c r="W344" s="31"/>
      <c r="X344" s="31"/>
      <c r="Y344" s="31" t="s">
        <v>23819</v>
      </c>
      <c r="Z344" s="31" t="s">
        <v>23820</v>
      </c>
      <c r="AA344" s="31" t="s">
        <v>23821</v>
      </c>
      <c r="AB344" s="31" t="s">
        <v>23822</v>
      </c>
      <c r="AC344" s="31" t="s">
        <v>23823</v>
      </c>
      <c r="AD344" s="31" t="s">
        <v>23824</v>
      </c>
      <c r="AE344" s="31" t="s">
        <v>23825</v>
      </c>
      <c r="AF344" s="31"/>
      <c r="AG344" s="31"/>
      <c r="AH344" s="31"/>
      <c r="AI344" s="31" t="n">
        <v>32</v>
      </c>
      <c r="AJ344" s="31" t="n">
        <v>0</v>
      </c>
      <c r="AK344" s="31" t="n">
        <v>7</v>
      </c>
      <c r="AL344" s="31" t="s">
        <v>16821</v>
      </c>
      <c r="AM344" s="31" t="s">
        <v>17371</v>
      </c>
      <c r="AN344" s="31" t="s">
        <v>23826</v>
      </c>
      <c r="AO344" s="31" t="s">
        <v>23827</v>
      </c>
      <c r="AP344" s="31" t="s">
        <v>23828</v>
      </c>
      <c r="AQ344" s="31" t="s">
        <v>23829</v>
      </c>
      <c r="AR344" s="31" t="s">
        <v>22421</v>
      </c>
      <c r="AS344" s="31"/>
      <c r="AT344" s="31"/>
      <c r="AU344" s="31" t="n">
        <v>2793850</v>
      </c>
      <c r="AV344" s="31" t="s">
        <v>23830</v>
      </c>
      <c r="AW344" s="35" t="str">
        <f aca="false">HYPERLINK("http://dx.doi.org/10.1155/2022/2793850","http://dx.doi.org/10.1155/2022/2793850")</f>
        <v>http://dx.doi.org/10.1155/2022/2793850</v>
      </c>
      <c r="AX344" s="31"/>
      <c r="AY344" s="31" t="n">
        <v>13</v>
      </c>
      <c r="AZ344" s="31" t="s">
        <v>18469</v>
      </c>
      <c r="BA344" s="31" t="s">
        <v>16366</v>
      </c>
      <c r="BB344" s="31" t="s">
        <v>18469</v>
      </c>
      <c r="BC344" s="31" t="s">
        <v>23831</v>
      </c>
      <c r="BD344" s="31" t="n">
        <v>35070231</v>
      </c>
      <c r="BE344" s="31" t="s">
        <v>17143</v>
      </c>
      <c r="BF344" s="31" t="s">
        <v>16369</v>
      </c>
      <c r="BG344" s="31" t="s">
        <v>23832</v>
      </c>
      <c r="BH344" s="31" t="str">
        <f aca="false">HYPERLINK("https%3A%2F%2Fwww.webofscience.com%2Fwos%2Fwoscc%2Ffull-record%2FWOS:000771976700012","View Full Record in Web of Science")</f>
        <v>View Full Record in Web of Science</v>
      </c>
      <c r="BI344" s="31"/>
      <c r="BJ344" s="31"/>
      <c r="BK344" s="31"/>
      <c r="BL344" s="31"/>
      <c r="BM344" s="31"/>
      <c r="BN344" s="31"/>
      <c r="BO344" s="31"/>
      <c r="BP344" s="31"/>
      <c r="BQ344" s="31"/>
      <c r="BR344" s="31"/>
      <c r="BS344" s="31"/>
      <c r="BT344" s="31"/>
      <c r="BU344" s="31"/>
      <c r="BV344" s="31"/>
      <c r="BW344" s="31"/>
      <c r="BX344" s="31"/>
      <c r="BY344" s="31"/>
      <c r="BZ344" s="31"/>
      <c r="CA344" s="31"/>
      <c r="CB344" s="31"/>
      <c r="CC344" s="31"/>
      <c r="CD344" s="31"/>
      <c r="CE344" s="31"/>
      <c r="CF344" s="31"/>
    </row>
    <row r="345" customFormat="false" ht="15.75" hidden="false" customHeight="true" outlineLevel="0" collapsed="false">
      <c r="A345" s="31" t="s">
        <v>16335</v>
      </c>
      <c r="B345" s="31" t="s">
        <v>23833</v>
      </c>
      <c r="C345" s="31" t="s">
        <v>23834</v>
      </c>
      <c r="D345" s="34" t="s">
        <v>23835</v>
      </c>
      <c r="E345" s="31" t="n">
        <v>2022</v>
      </c>
      <c r="F345" s="33" t="s">
        <v>23836</v>
      </c>
      <c r="G345" s="33" t="s">
        <v>134</v>
      </c>
      <c r="H345" s="32" t="s">
        <v>23837</v>
      </c>
      <c r="I345" s="32" t="s">
        <v>3920</v>
      </c>
      <c r="J345" s="32" t="s">
        <v>20887</v>
      </c>
      <c r="K345" s="34"/>
      <c r="L345" s="34"/>
      <c r="M345" s="34"/>
      <c r="N345" s="34"/>
      <c r="O345" s="34"/>
      <c r="P345" s="34" t="n">
        <v>5</v>
      </c>
      <c r="Q345" s="31" t="n">
        <v>5</v>
      </c>
      <c r="R345" s="31" t="s">
        <v>17525</v>
      </c>
      <c r="S345" s="31" t="s">
        <v>62</v>
      </c>
      <c r="T345" s="31" t="s">
        <v>18253</v>
      </c>
      <c r="U345" s="31" t="n">
        <v>45</v>
      </c>
      <c r="V345" s="31" t="s">
        <v>16349</v>
      </c>
      <c r="W345" s="31"/>
      <c r="X345" s="31" t="s">
        <v>23838</v>
      </c>
      <c r="Y345" s="31"/>
      <c r="Z345" s="31" t="s">
        <v>23839</v>
      </c>
      <c r="AA345" s="31" t="s">
        <v>23840</v>
      </c>
      <c r="AB345" s="31" t="s">
        <v>23841</v>
      </c>
      <c r="AC345" s="31" t="s">
        <v>23842</v>
      </c>
      <c r="AD345" s="31" t="s">
        <v>23843</v>
      </c>
      <c r="AE345" s="31" t="s">
        <v>23844</v>
      </c>
      <c r="AF345" s="31"/>
      <c r="AG345" s="31"/>
      <c r="AH345" s="31"/>
      <c r="AI345" s="31" t="n">
        <v>10</v>
      </c>
      <c r="AJ345" s="31" t="n">
        <v>1</v>
      </c>
      <c r="AK345" s="31" t="n">
        <v>6</v>
      </c>
      <c r="AL345" s="31" t="s">
        <v>16356</v>
      </c>
      <c r="AM345" s="31" t="s">
        <v>16357</v>
      </c>
      <c r="AN345" s="31" t="s">
        <v>18263</v>
      </c>
      <c r="AO345" s="31"/>
      <c r="AP345" s="31" t="s">
        <v>18264</v>
      </c>
      <c r="AQ345" s="31" t="s">
        <v>18265</v>
      </c>
      <c r="AR345" s="31" t="s">
        <v>16649</v>
      </c>
      <c r="AS345" s="31"/>
      <c r="AT345" s="31"/>
      <c r="AU345" s="31" t="n">
        <v>108573</v>
      </c>
      <c r="AV345" s="31" t="s">
        <v>23845</v>
      </c>
      <c r="AW345" s="35" t="str">
        <f aca="false">HYPERLINK("http://dx.doi.org/10.1016/j.dib.2022.108573","http://dx.doi.org/10.1016/j.dib.2022.108573")</f>
        <v>http://dx.doi.org/10.1016/j.dib.2022.108573</v>
      </c>
      <c r="AX345" s="31" t="s">
        <v>23524</v>
      </c>
      <c r="AY345" s="31" t="n">
        <v>5</v>
      </c>
      <c r="AZ345" s="31" t="s">
        <v>16428</v>
      </c>
      <c r="BA345" s="31" t="s">
        <v>16684</v>
      </c>
      <c r="BB345" s="31" t="s">
        <v>16429</v>
      </c>
      <c r="BC345" s="31" t="s">
        <v>23846</v>
      </c>
      <c r="BD345" s="31" t="n">
        <v>36164301</v>
      </c>
      <c r="BE345" s="31" t="s">
        <v>18202</v>
      </c>
      <c r="BF345" s="31" t="s">
        <v>16369</v>
      </c>
      <c r="BG345" s="31" t="s">
        <v>23847</v>
      </c>
      <c r="BH345" s="31" t="str">
        <f aca="false">HYPERLINK("https%3A%2F%2Fwww.webofscience.com%2Fwos%2Fwoscc%2Ffull-record%2FWOS:000866225700007","View Full Record in Web of Science")</f>
        <v>View Full Record in Web of Science</v>
      </c>
      <c r="BI345" s="31"/>
      <c r="BJ345" s="31"/>
      <c r="BK345" s="31"/>
      <c r="BL345" s="31"/>
      <c r="BM345" s="31"/>
      <c r="BN345" s="31"/>
      <c r="BO345" s="31"/>
      <c r="BP345" s="31"/>
      <c r="BQ345" s="31"/>
      <c r="BR345" s="31"/>
      <c r="BS345" s="31"/>
      <c r="BT345" s="31"/>
      <c r="BU345" s="31"/>
      <c r="BV345" s="31"/>
      <c r="BW345" s="31"/>
      <c r="BX345" s="31"/>
      <c r="BY345" s="31"/>
      <c r="BZ345" s="31"/>
      <c r="CA345" s="31"/>
      <c r="CB345" s="31"/>
      <c r="CC345" s="31"/>
      <c r="CD345" s="31"/>
      <c r="CE345" s="31"/>
      <c r="CF345" s="31"/>
    </row>
    <row r="346" customFormat="false" ht="15.75" hidden="false" customHeight="true" outlineLevel="0" collapsed="false">
      <c r="A346" s="31" t="s">
        <v>16335</v>
      </c>
      <c r="B346" s="31" t="s">
        <v>23848</v>
      </c>
      <c r="C346" s="31" t="s">
        <v>23849</v>
      </c>
      <c r="D346" s="34" t="s">
        <v>23850</v>
      </c>
      <c r="E346" s="31" t="n">
        <v>2021</v>
      </c>
      <c r="F346" s="33" t="s">
        <v>23851</v>
      </c>
      <c r="G346" s="33" t="s">
        <v>134</v>
      </c>
      <c r="H346" s="32" t="s">
        <v>23852</v>
      </c>
      <c r="I346" s="34"/>
      <c r="J346" s="32" t="s">
        <v>22178</v>
      </c>
      <c r="K346" s="32" t="s">
        <v>16409</v>
      </c>
      <c r="L346" s="32" t="s">
        <v>3754</v>
      </c>
      <c r="M346" s="32" t="s">
        <v>23853</v>
      </c>
      <c r="N346" s="34"/>
      <c r="O346" s="34"/>
      <c r="P346" s="34" t="n">
        <v>25</v>
      </c>
      <c r="Q346" s="31" t="n">
        <v>25</v>
      </c>
      <c r="R346" s="31" t="s">
        <v>61</v>
      </c>
      <c r="S346" s="31" t="s">
        <v>62</v>
      </c>
      <c r="T346" s="31" t="s">
        <v>18389</v>
      </c>
      <c r="U346" s="31" t="n">
        <v>69</v>
      </c>
      <c r="V346" s="31" t="s">
        <v>18390</v>
      </c>
      <c r="W346" s="31"/>
      <c r="X346" s="31" t="s">
        <v>23854</v>
      </c>
      <c r="Y346" s="31"/>
      <c r="Z346" s="31" t="s">
        <v>23855</v>
      </c>
      <c r="AA346" s="31" t="s">
        <v>23856</v>
      </c>
      <c r="AB346" s="31" t="s">
        <v>23857</v>
      </c>
      <c r="AC346" s="31" t="s">
        <v>23858</v>
      </c>
      <c r="AD346" s="31" t="s">
        <v>23859</v>
      </c>
      <c r="AE346" s="31"/>
      <c r="AF346" s="31" t="s">
        <v>23860</v>
      </c>
      <c r="AG346" s="31" t="s">
        <v>23861</v>
      </c>
      <c r="AH346" s="31" t="s">
        <v>23862</v>
      </c>
      <c r="AI346" s="31" t="n">
        <v>40</v>
      </c>
      <c r="AJ346" s="31" t="n">
        <v>0</v>
      </c>
      <c r="AK346" s="31" t="n">
        <v>13</v>
      </c>
      <c r="AL346" s="31" t="s">
        <v>18401</v>
      </c>
      <c r="AM346" s="31" t="s">
        <v>18402</v>
      </c>
      <c r="AN346" s="31" t="s">
        <v>18403</v>
      </c>
      <c r="AO346" s="31"/>
      <c r="AP346" s="31" t="s">
        <v>18404</v>
      </c>
      <c r="AQ346" s="31" t="s">
        <v>18405</v>
      </c>
      <c r="AR346" s="31" t="s">
        <v>17772</v>
      </c>
      <c r="AS346" s="31"/>
      <c r="AT346" s="31"/>
      <c r="AU346" s="31" t="n">
        <v>101473</v>
      </c>
      <c r="AV346" s="31" t="s">
        <v>23863</v>
      </c>
      <c r="AW346" s="35" t="str">
        <f aca="false">HYPERLINK("http://dx.doi.org/10.1016/j.tice.2020.101473","http://dx.doi.org/10.1016/j.tice.2020.101473")</f>
        <v>http://dx.doi.org/10.1016/j.tice.2020.101473</v>
      </c>
      <c r="AX346" s="31" t="s">
        <v>22726</v>
      </c>
      <c r="AY346" s="31" t="n">
        <v>7</v>
      </c>
      <c r="AZ346" s="31" t="s">
        <v>18407</v>
      </c>
      <c r="BA346" s="31" t="s">
        <v>16366</v>
      </c>
      <c r="BB346" s="31" t="s">
        <v>18407</v>
      </c>
      <c r="BC346" s="31" t="s">
        <v>23864</v>
      </c>
      <c r="BD346" s="31" t="n">
        <v>33465520</v>
      </c>
      <c r="BE346" s="31"/>
      <c r="BF346" s="31" t="s">
        <v>16369</v>
      </c>
      <c r="BG346" s="31" t="s">
        <v>23865</v>
      </c>
      <c r="BH346" s="31" t="str">
        <f aca="false">HYPERLINK("https%3A%2F%2Fwww.webofscience.com%2Fwos%2Fwoscc%2Ffull-record%2FWOS:000630091900002","View Full Record in Web of Science")</f>
        <v>View Full Record in Web of Science</v>
      </c>
      <c r="BI346" s="31"/>
      <c r="BJ346" s="31"/>
      <c r="BK346" s="31"/>
      <c r="BL346" s="31"/>
      <c r="BM346" s="31"/>
      <c r="BN346" s="31"/>
      <c r="BO346" s="31"/>
      <c r="BP346" s="31"/>
      <c r="BQ346" s="31"/>
      <c r="BR346" s="31"/>
      <c r="BS346" s="31"/>
      <c r="BT346" s="31"/>
      <c r="BU346" s="31"/>
      <c r="BV346" s="31"/>
      <c r="BW346" s="31"/>
      <c r="BX346" s="31"/>
      <c r="BY346" s="31"/>
      <c r="BZ346" s="31"/>
      <c r="CA346" s="31"/>
      <c r="CB346" s="31"/>
      <c r="CC346" s="31"/>
      <c r="CD346" s="31"/>
      <c r="CE346" s="31"/>
      <c r="CF346" s="31"/>
    </row>
    <row r="347" customFormat="false" ht="15.75" hidden="false" customHeight="true" outlineLevel="0" collapsed="false">
      <c r="A347" s="31" t="s">
        <v>16335</v>
      </c>
      <c r="B347" s="31" t="s">
        <v>23866</v>
      </c>
      <c r="C347" s="31" t="s">
        <v>23867</v>
      </c>
      <c r="D347" s="34" t="s">
        <v>23868</v>
      </c>
      <c r="E347" s="31" t="n">
        <v>2021</v>
      </c>
      <c r="F347" s="33" t="s">
        <v>23869</v>
      </c>
      <c r="G347" s="33" t="s">
        <v>134</v>
      </c>
      <c r="H347" s="32" t="s">
        <v>23870</v>
      </c>
      <c r="I347" s="32" t="s">
        <v>23871</v>
      </c>
      <c r="J347" s="32" t="s">
        <v>20887</v>
      </c>
      <c r="K347" s="32" t="s">
        <v>16409</v>
      </c>
      <c r="L347" s="32" t="s">
        <v>3754</v>
      </c>
      <c r="M347" s="32" t="s">
        <v>23872</v>
      </c>
      <c r="N347" s="32" t="s">
        <v>23873</v>
      </c>
      <c r="O347" s="34"/>
      <c r="P347" s="34" t="n">
        <v>56</v>
      </c>
      <c r="Q347" s="31" t="n">
        <v>58</v>
      </c>
      <c r="R347" s="31" t="s">
        <v>61</v>
      </c>
      <c r="S347" s="31" t="s">
        <v>62</v>
      </c>
      <c r="T347" s="31" t="s">
        <v>23874</v>
      </c>
      <c r="U347" s="31" t="n">
        <v>88</v>
      </c>
      <c r="V347" s="31" t="s">
        <v>18274</v>
      </c>
      <c r="W347" s="31"/>
      <c r="X347" s="31" t="s">
        <v>23875</v>
      </c>
      <c r="Y347" s="31" t="s">
        <v>23066</v>
      </c>
      <c r="Z347" s="31" t="s">
        <v>23876</v>
      </c>
      <c r="AA347" s="31" t="s">
        <v>23877</v>
      </c>
      <c r="AB347" s="31" t="s">
        <v>23878</v>
      </c>
      <c r="AC347" s="31" t="s">
        <v>23879</v>
      </c>
      <c r="AD347" s="31" t="s">
        <v>23880</v>
      </c>
      <c r="AE347" s="31" t="s">
        <v>23881</v>
      </c>
      <c r="AF347" s="31" t="s">
        <v>23882</v>
      </c>
      <c r="AG347" s="31" t="s">
        <v>23883</v>
      </c>
      <c r="AH347" s="31" t="s">
        <v>23884</v>
      </c>
      <c r="AI347" s="31" t="n">
        <v>30</v>
      </c>
      <c r="AJ347" s="31" t="n">
        <v>2</v>
      </c>
      <c r="AK347" s="31" t="n">
        <v>38</v>
      </c>
      <c r="AL347" s="31" t="s">
        <v>16575</v>
      </c>
      <c r="AM347" s="31" t="s">
        <v>18284</v>
      </c>
      <c r="AN347" s="31" t="s">
        <v>23885</v>
      </c>
      <c r="AO347" s="31" t="s">
        <v>23886</v>
      </c>
      <c r="AP347" s="31" t="s">
        <v>23887</v>
      </c>
      <c r="AQ347" s="31" t="s">
        <v>23888</v>
      </c>
      <c r="AR347" s="31" t="s">
        <v>17248</v>
      </c>
      <c r="AS347" s="31"/>
      <c r="AT347" s="31"/>
      <c r="AU347" s="31" t="n">
        <v>101845</v>
      </c>
      <c r="AV347" s="31" t="s">
        <v>23889</v>
      </c>
      <c r="AW347" s="35" t="str">
        <f aca="false">HYPERLINK("http://dx.doi.org/10.1016/j.compmedimag.2020.101845","http://dx.doi.org/10.1016/j.compmedimag.2020.101845")</f>
        <v>http://dx.doi.org/10.1016/j.compmedimag.2020.101845</v>
      </c>
      <c r="AX347" s="31" t="s">
        <v>21677</v>
      </c>
      <c r="AY347" s="31" t="n">
        <v>7</v>
      </c>
      <c r="AZ347" s="31" t="s">
        <v>23890</v>
      </c>
      <c r="BA347" s="31" t="s">
        <v>16366</v>
      </c>
      <c r="BB347" s="31" t="s">
        <v>23891</v>
      </c>
      <c r="BC347" s="31" t="s">
        <v>23892</v>
      </c>
      <c r="BD347" s="31" t="n">
        <v>33582593</v>
      </c>
      <c r="BE347" s="31"/>
      <c r="BF347" s="31" t="s">
        <v>16369</v>
      </c>
      <c r="BG347" s="31" t="s">
        <v>23893</v>
      </c>
      <c r="BH347" s="31" t="str">
        <f aca="false">HYPERLINK("https%3A%2F%2Fwww.webofscience.com%2Fwos%2Fwoscc%2Ffull-record%2FWOS:000623829500004","View Full Record in Web of Science")</f>
        <v>View Full Record in Web of Science</v>
      </c>
      <c r="BI347" s="31"/>
      <c r="BJ347" s="31"/>
      <c r="BK347" s="31"/>
      <c r="BL347" s="31"/>
      <c r="BM347" s="31"/>
      <c r="BN347" s="31"/>
      <c r="BO347" s="31"/>
      <c r="BP347" s="31"/>
      <c r="BQ347" s="31"/>
      <c r="BR347" s="31"/>
      <c r="BS347" s="31"/>
      <c r="BT347" s="31"/>
      <c r="BU347" s="31"/>
      <c r="BV347" s="31"/>
      <c r="BW347" s="31"/>
      <c r="BX347" s="31"/>
      <c r="BY347" s="31"/>
      <c r="BZ347" s="31"/>
      <c r="CA347" s="31"/>
      <c r="CB347" s="31"/>
      <c r="CC347" s="31"/>
      <c r="CD347" s="31"/>
      <c r="CE347" s="31"/>
      <c r="CF347" s="31"/>
    </row>
    <row r="348" customFormat="false" ht="15.75" hidden="false" customHeight="true" outlineLevel="0" collapsed="false">
      <c r="A348" s="31" t="s">
        <v>16335</v>
      </c>
      <c r="B348" s="31" t="s">
        <v>23894</v>
      </c>
      <c r="C348" s="31" t="s">
        <v>23895</v>
      </c>
      <c r="D348" s="34" t="s">
        <v>23896</v>
      </c>
      <c r="E348" s="31" t="n">
        <v>2021</v>
      </c>
      <c r="F348" s="33" t="s">
        <v>23897</v>
      </c>
      <c r="G348" s="33" t="s">
        <v>134</v>
      </c>
      <c r="H348" s="32" t="s">
        <v>23898</v>
      </c>
      <c r="I348" s="32" t="s">
        <v>4101</v>
      </c>
      <c r="J348" s="32" t="s">
        <v>23899</v>
      </c>
      <c r="K348" s="32" t="s">
        <v>16840</v>
      </c>
      <c r="L348" s="32" t="s">
        <v>3754</v>
      </c>
      <c r="M348" s="32" t="s">
        <v>16899</v>
      </c>
      <c r="N348" s="34"/>
      <c r="O348" s="34"/>
      <c r="P348" s="34" t="n">
        <v>16</v>
      </c>
      <c r="Q348" s="31" t="n">
        <v>18</v>
      </c>
      <c r="R348" s="31" t="s">
        <v>61</v>
      </c>
      <c r="S348" s="31" t="s">
        <v>62</v>
      </c>
      <c r="T348" s="31" t="s">
        <v>23900</v>
      </c>
      <c r="U348" s="31" t="n">
        <v>18</v>
      </c>
      <c r="V348" s="31" t="s">
        <v>23901</v>
      </c>
      <c r="W348" s="31" t="n">
        <v>179</v>
      </c>
      <c r="X348" s="31" t="s">
        <v>23902</v>
      </c>
      <c r="Y348" s="31" t="s">
        <v>23903</v>
      </c>
      <c r="Z348" s="31" t="s">
        <v>23904</v>
      </c>
      <c r="AA348" s="31" t="s">
        <v>23905</v>
      </c>
      <c r="AB348" s="31" t="s">
        <v>23906</v>
      </c>
      <c r="AC348" s="31" t="s">
        <v>23907</v>
      </c>
      <c r="AD348" s="31"/>
      <c r="AE348" s="31" t="s">
        <v>23908</v>
      </c>
      <c r="AF348" s="31" t="s">
        <v>23909</v>
      </c>
      <c r="AG348" s="31" t="s">
        <v>23910</v>
      </c>
      <c r="AH348" s="31" t="s">
        <v>23911</v>
      </c>
      <c r="AI348" s="31" t="n">
        <v>44</v>
      </c>
      <c r="AJ348" s="31" t="n">
        <v>4</v>
      </c>
      <c r="AK348" s="31" t="n">
        <v>20</v>
      </c>
      <c r="AL348" s="31" t="s">
        <v>16821</v>
      </c>
      <c r="AM348" s="31" t="s">
        <v>23912</v>
      </c>
      <c r="AN348" s="31" t="s">
        <v>23913</v>
      </c>
      <c r="AO348" s="31" t="s">
        <v>23914</v>
      </c>
      <c r="AP348" s="31" t="s">
        <v>23915</v>
      </c>
      <c r="AQ348" s="31" t="s">
        <v>23916</v>
      </c>
      <c r="AR348" s="31" t="s">
        <v>23917</v>
      </c>
      <c r="AS348" s="31"/>
      <c r="AT348" s="31"/>
      <c r="AU348" s="31" t="n">
        <v>20201006</v>
      </c>
      <c r="AV348" s="31" t="s">
        <v>23918</v>
      </c>
      <c r="AW348" s="35" t="str">
        <f aca="false">HYPERLINK("http://dx.doi.org/10.1098/rsif.2020.1006","http://dx.doi.org/10.1098/rsif.2020.1006")</f>
        <v>http://dx.doi.org/10.1098/rsif.2020.1006</v>
      </c>
      <c r="AX348" s="31"/>
      <c r="AY348" s="31" t="n">
        <v>10</v>
      </c>
      <c r="AZ348" s="31" t="s">
        <v>16428</v>
      </c>
      <c r="BA348" s="31" t="s">
        <v>16366</v>
      </c>
      <c r="BB348" s="31" t="s">
        <v>16429</v>
      </c>
      <c r="BC348" s="31" t="s">
        <v>23919</v>
      </c>
      <c r="BD348" s="31" t="n">
        <v>34129785</v>
      </c>
      <c r="BE348" s="31" t="s">
        <v>17842</v>
      </c>
      <c r="BF348" s="31" t="s">
        <v>16369</v>
      </c>
      <c r="BG348" s="31" t="s">
        <v>23920</v>
      </c>
      <c r="BH348" s="31" t="str">
        <f aca="false">HYPERLINK("https%3A%2F%2Fwww.webofscience.com%2Fwos%2Fwoscc%2Ffull-record%2FWOS:000664864200001","View Full Record in Web of Science")</f>
        <v>View Full Record in Web of Science</v>
      </c>
      <c r="BI348" s="31"/>
      <c r="BJ348" s="31"/>
      <c r="BK348" s="31"/>
      <c r="BL348" s="31"/>
      <c r="BM348" s="31"/>
      <c r="BN348" s="31"/>
      <c r="BO348" s="31"/>
      <c r="BP348" s="31"/>
      <c r="BQ348" s="31"/>
      <c r="BR348" s="31"/>
      <c r="BS348" s="31"/>
      <c r="BT348" s="31"/>
      <c r="BU348" s="31"/>
      <c r="BV348" s="31"/>
      <c r="BW348" s="31"/>
      <c r="BX348" s="31"/>
      <c r="BY348" s="31"/>
      <c r="BZ348" s="31"/>
      <c r="CA348" s="31"/>
      <c r="CB348" s="31"/>
      <c r="CC348" s="31"/>
      <c r="CD348" s="31"/>
      <c r="CE348" s="31"/>
      <c r="CF348" s="31"/>
    </row>
    <row r="349" customFormat="false" ht="15.75" hidden="false" customHeight="true" outlineLevel="0" collapsed="false">
      <c r="A349" s="31" t="s">
        <v>16335</v>
      </c>
      <c r="B349" s="31" t="s">
        <v>23921</v>
      </c>
      <c r="C349" s="31" t="s">
        <v>23922</v>
      </c>
      <c r="D349" s="34" t="s">
        <v>23923</v>
      </c>
      <c r="E349" s="31" t="n">
        <v>2021</v>
      </c>
      <c r="F349" s="33" t="s">
        <v>23924</v>
      </c>
      <c r="G349" s="33" t="s">
        <v>134</v>
      </c>
      <c r="H349" s="32" t="s">
        <v>16751</v>
      </c>
      <c r="I349" s="34"/>
      <c r="J349" s="34"/>
      <c r="K349" s="32" t="s">
        <v>23925</v>
      </c>
      <c r="L349" s="34"/>
      <c r="M349" s="34"/>
      <c r="N349" s="34"/>
      <c r="O349" s="34"/>
      <c r="P349" s="34" t="n">
        <v>1</v>
      </c>
      <c r="Q349" s="31" t="n">
        <v>1</v>
      </c>
      <c r="R349" s="31" t="s">
        <v>61</v>
      </c>
      <c r="S349" s="31" t="s">
        <v>62</v>
      </c>
      <c r="T349" s="31" t="s">
        <v>17758</v>
      </c>
      <c r="U349" s="31" t="n">
        <v>105</v>
      </c>
      <c r="V349" s="31" t="s">
        <v>17759</v>
      </c>
      <c r="W349" s="31" t="n">
        <v>5</v>
      </c>
      <c r="X349" s="31"/>
      <c r="Y349" s="31" t="s">
        <v>23926</v>
      </c>
      <c r="Z349" s="31" t="s">
        <v>23927</v>
      </c>
      <c r="AA349" s="31" t="s">
        <v>23928</v>
      </c>
      <c r="AB349" s="31" t="s">
        <v>23929</v>
      </c>
      <c r="AC349" s="31" t="s">
        <v>23930</v>
      </c>
      <c r="AD349" s="31" t="s">
        <v>23931</v>
      </c>
      <c r="AE349" s="31" t="s">
        <v>23932</v>
      </c>
      <c r="AF349" s="31"/>
      <c r="AG349" s="31"/>
      <c r="AH349" s="31"/>
      <c r="AI349" s="31" t="n">
        <v>36</v>
      </c>
      <c r="AJ349" s="31" t="n">
        <v>1</v>
      </c>
      <c r="AK349" s="31" t="n">
        <v>5</v>
      </c>
      <c r="AL349" s="31" t="s">
        <v>17767</v>
      </c>
      <c r="AM349" s="31" t="s">
        <v>17768</v>
      </c>
      <c r="AN349" s="31" t="s">
        <v>17769</v>
      </c>
      <c r="AO349" s="31" t="s">
        <v>17770</v>
      </c>
      <c r="AP349" s="31" t="s">
        <v>17771</v>
      </c>
      <c r="AQ349" s="31" t="s">
        <v>617</v>
      </c>
      <c r="AR349" s="31" t="s">
        <v>17139</v>
      </c>
      <c r="AS349" s="31" t="n">
        <v>1413</v>
      </c>
      <c r="AT349" s="31" t="n">
        <v>1419</v>
      </c>
      <c r="AU349" s="31"/>
      <c r="AV349" s="31" t="s">
        <v>23933</v>
      </c>
      <c r="AW349" s="35" t="str">
        <f aca="false">HYPERLINK("http://dx.doi.org/10.4269/ajtmh.20-1443","http://dx.doi.org/10.4269/ajtmh.20-1443")</f>
        <v>http://dx.doi.org/10.4269/ajtmh.20-1443</v>
      </c>
      <c r="AX349" s="31"/>
      <c r="AY349" s="31" t="n">
        <v>7</v>
      </c>
      <c r="AZ349" s="31" t="s">
        <v>17774</v>
      </c>
      <c r="BA349" s="31" t="s">
        <v>16366</v>
      </c>
      <c r="BB349" s="31" t="s">
        <v>17774</v>
      </c>
      <c r="BC349" s="31" t="s">
        <v>23934</v>
      </c>
      <c r="BD349" s="31" t="n">
        <v>34544039</v>
      </c>
      <c r="BE349" s="31" t="s">
        <v>21679</v>
      </c>
      <c r="BF349" s="31" t="s">
        <v>16369</v>
      </c>
      <c r="BG349" s="31" t="s">
        <v>23935</v>
      </c>
      <c r="BH349" s="31" t="str">
        <f aca="false">HYPERLINK("https%3A%2F%2Fwww.webofscience.com%2Fwos%2Fwoscc%2Ffull-record%2FWOS:000717996200051","View Full Record in Web of Science")</f>
        <v>View Full Record in Web of Science</v>
      </c>
      <c r="BI349" s="31"/>
      <c r="BJ349" s="31"/>
      <c r="BK349" s="31"/>
      <c r="BL349" s="31"/>
      <c r="BM349" s="31"/>
      <c r="BN349" s="31"/>
      <c r="BO349" s="31"/>
      <c r="BP349" s="31"/>
      <c r="BQ349" s="31"/>
      <c r="BR349" s="31"/>
      <c r="BS349" s="31"/>
      <c r="BT349" s="31"/>
      <c r="BU349" s="31"/>
      <c r="BV349" s="31"/>
      <c r="BW349" s="31"/>
      <c r="BX349" s="31"/>
      <c r="BY349" s="31"/>
      <c r="BZ349" s="31"/>
      <c r="CA349" s="31"/>
      <c r="CB349" s="31"/>
      <c r="CC349" s="31"/>
      <c r="CD349" s="31"/>
      <c r="CE349" s="31"/>
      <c r="CF349" s="31"/>
    </row>
    <row r="350" customFormat="false" ht="15.75" hidden="false" customHeight="true" outlineLevel="0" collapsed="false">
      <c r="A350" s="31" t="s">
        <v>16335</v>
      </c>
      <c r="B350" s="31" t="s">
        <v>23936</v>
      </c>
      <c r="C350" s="31" t="s">
        <v>23937</v>
      </c>
      <c r="D350" s="34" t="s">
        <v>23938</v>
      </c>
      <c r="E350" s="31" t="n">
        <v>2021</v>
      </c>
      <c r="F350" s="33" t="s">
        <v>23939</v>
      </c>
      <c r="G350" s="33" t="s">
        <v>290</v>
      </c>
      <c r="H350" s="32" t="s">
        <v>3992</v>
      </c>
      <c r="I350" s="32" t="s">
        <v>3992</v>
      </c>
      <c r="J350" s="34"/>
      <c r="K350" s="32" t="s">
        <v>16753</v>
      </c>
      <c r="L350" s="34"/>
      <c r="M350" s="34"/>
      <c r="N350" s="34"/>
      <c r="O350" s="34"/>
      <c r="P350" s="34" t="n">
        <v>17</v>
      </c>
      <c r="Q350" s="31" t="n">
        <v>20</v>
      </c>
      <c r="R350" s="31" t="s">
        <v>61</v>
      </c>
      <c r="S350" s="31" t="s">
        <v>62</v>
      </c>
      <c r="T350" s="31" t="s">
        <v>19147</v>
      </c>
      <c r="U350" s="31" t="n">
        <v>7</v>
      </c>
      <c r="V350" s="31" t="s">
        <v>19148</v>
      </c>
      <c r="W350" s="31" t="n">
        <v>2</v>
      </c>
      <c r="X350" s="31" t="s">
        <v>23940</v>
      </c>
      <c r="Y350" s="31"/>
      <c r="Z350" s="31" t="s">
        <v>23941</v>
      </c>
      <c r="AA350" s="31" t="s">
        <v>23942</v>
      </c>
      <c r="AB350" s="31" t="s">
        <v>23943</v>
      </c>
      <c r="AC350" s="31" t="s">
        <v>23944</v>
      </c>
      <c r="AD350" s="31" t="s">
        <v>23945</v>
      </c>
      <c r="AE350" s="31" t="s">
        <v>23946</v>
      </c>
      <c r="AF350" s="31" t="s">
        <v>23947</v>
      </c>
      <c r="AG350" s="31" t="s">
        <v>23948</v>
      </c>
      <c r="AH350" s="31" t="s">
        <v>23949</v>
      </c>
      <c r="AI350" s="31" t="n">
        <v>84</v>
      </c>
      <c r="AJ350" s="31" t="n">
        <v>3</v>
      </c>
      <c r="AK350" s="31" t="n">
        <v>16</v>
      </c>
      <c r="AL350" s="31" t="s">
        <v>18329</v>
      </c>
      <c r="AM350" s="31" t="s">
        <v>19160</v>
      </c>
      <c r="AN350" s="31" t="s">
        <v>19161</v>
      </c>
      <c r="AO350" s="31"/>
      <c r="AP350" s="31" t="s">
        <v>19162</v>
      </c>
      <c r="AQ350" s="31" t="s">
        <v>19163</v>
      </c>
      <c r="AR350" s="31" t="s">
        <v>23950</v>
      </c>
      <c r="AS350" s="31" t="n">
        <v>406</v>
      </c>
      <c r="AT350" s="31" t="n">
        <v>420</v>
      </c>
      <c r="AU350" s="31"/>
      <c r="AV350" s="31" t="s">
        <v>23951</v>
      </c>
      <c r="AW350" s="35" t="str">
        <f aca="false">HYPERLINK("http://dx.doi.org/10.1021/acsinfecdis.0c00754","http://dx.doi.org/10.1021/acsinfecdis.0c00754")</f>
        <v>http://dx.doi.org/10.1021/acsinfecdis.0c00754</v>
      </c>
      <c r="AX350" s="31" t="s">
        <v>22726</v>
      </c>
      <c r="AY350" s="31" t="n">
        <v>15</v>
      </c>
      <c r="AZ350" s="31" t="s">
        <v>19166</v>
      </c>
      <c r="BA350" s="31" t="s">
        <v>16366</v>
      </c>
      <c r="BB350" s="31" t="s">
        <v>19167</v>
      </c>
      <c r="BC350" s="31" t="s">
        <v>23952</v>
      </c>
      <c r="BD350" s="31" t="n">
        <v>33434015</v>
      </c>
      <c r="BE350" s="31" t="s">
        <v>17117</v>
      </c>
      <c r="BF350" s="31" t="s">
        <v>16369</v>
      </c>
      <c r="BG350" s="31" t="s">
        <v>23953</v>
      </c>
      <c r="BH350" s="31" t="str">
        <f aca="false">HYPERLINK("https%3A%2F%2Fwww.webofscience.com%2Fwos%2Fwoscc%2Ffull-record%2FWOS:000619803000016","View Full Record in Web of Science")</f>
        <v>View Full Record in Web of Science</v>
      </c>
      <c r="BI350" s="31"/>
      <c r="BJ350" s="31"/>
      <c r="BK350" s="31"/>
      <c r="BL350" s="31"/>
      <c r="BM350" s="31"/>
      <c r="BN350" s="31"/>
      <c r="BO350" s="31"/>
      <c r="BP350" s="31"/>
      <c r="BQ350" s="31"/>
      <c r="BR350" s="31"/>
      <c r="BS350" s="31"/>
      <c r="BT350" s="31"/>
      <c r="BU350" s="31"/>
      <c r="BV350" s="31"/>
      <c r="BW350" s="31"/>
      <c r="BX350" s="31"/>
      <c r="BY350" s="31"/>
      <c r="BZ350" s="31"/>
      <c r="CA350" s="31"/>
      <c r="CB350" s="31"/>
      <c r="CC350" s="31"/>
      <c r="CD350" s="31"/>
      <c r="CE350" s="31"/>
      <c r="CF350" s="31"/>
    </row>
    <row r="351" customFormat="false" ht="15.75" hidden="false" customHeight="true" outlineLevel="0" collapsed="false">
      <c r="A351" s="31" t="s">
        <v>16335</v>
      </c>
      <c r="B351" s="31" t="s">
        <v>23954</v>
      </c>
      <c r="C351" s="31" t="s">
        <v>23955</v>
      </c>
      <c r="D351" s="34" t="s">
        <v>23956</v>
      </c>
      <c r="E351" s="31" t="n">
        <v>2021</v>
      </c>
      <c r="F351" s="33" t="s">
        <v>23957</v>
      </c>
      <c r="G351" s="33" t="s">
        <v>134</v>
      </c>
      <c r="H351" s="32" t="s">
        <v>60</v>
      </c>
      <c r="I351" s="32" t="s">
        <v>60</v>
      </c>
      <c r="J351" s="34"/>
      <c r="K351" s="32" t="s">
        <v>22030</v>
      </c>
      <c r="L351" s="34"/>
      <c r="M351" s="34"/>
      <c r="N351" s="34"/>
      <c r="O351" s="34"/>
      <c r="P351" s="34" t="n">
        <v>12</v>
      </c>
      <c r="Q351" s="31" t="n">
        <v>12</v>
      </c>
      <c r="R351" s="31" t="s">
        <v>61</v>
      </c>
      <c r="S351" s="31" t="s">
        <v>62</v>
      </c>
      <c r="T351" s="31" t="s">
        <v>18519</v>
      </c>
      <c r="U351" s="31" t="n">
        <v>16</v>
      </c>
      <c r="V351" s="31" t="s">
        <v>16845</v>
      </c>
      <c r="W351" s="31" t="n">
        <v>5</v>
      </c>
      <c r="X351" s="31"/>
      <c r="Y351" s="31" t="s">
        <v>23958</v>
      </c>
      <c r="Z351" s="31" t="s">
        <v>23959</v>
      </c>
      <c r="AA351" s="31" t="s">
        <v>23960</v>
      </c>
      <c r="AB351" s="31" t="s">
        <v>23961</v>
      </c>
      <c r="AC351" s="31" t="s">
        <v>16509</v>
      </c>
      <c r="AD351" s="31" t="s">
        <v>23962</v>
      </c>
      <c r="AE351" s="31" t="s">
        <v>23963</v>
      </c>
      <c r="AF351" s="31" t="s">
        <v>23964</v>
      </c>
      <c r="AG351" s="31" t="s">
        <v>23965</v>
      </c>
      <c r="AH351" s="31" t="s">
        <v>23966</v>
      </c>
      <c r="AI351" s="31" t="n">
        <v>74</v>
      </c>
      <c r="AJ351" s="31" t="n">
        <v>0</v>
      </c>
      <c r="AK351" s="31" t="n">
        <v>1</v>
      </c>
      <c r="AL351" s="31" t="s">
        <v>16855</v>
      </c>
      <c r="AM351" s="31" t="s">
        <v>16856</v>
      </c>
      <c r="AN351" s="31" t="s">
        <v>18530</v>
      </c>
      <c r="AO351" s="31"/>
      <c r="AP351" s="31" t="s">
        <v>18519</v>
      </c>
      <c r="AQ351" s="31" t="s">
        <v>18531</v>
      </c>
      <c r="AR351" s="31" t="s">
        <v>23967</v>
      </c>
      <c r="AS351" s="31"/>
      <c r="AT351" s="31"/>
      <c r="AU351" s="31" t="s">
        <v>23968</v>
      </c>
      <c r="AV351" s="31" t="s">
        <v>23969</v>
      </c>
      <c r="AW351" s="35" t="str">
        <f aca="false">HYPERLINK("http://dx.doi.org/10.1371/journal.pone.0250904","http://dx.doi.org/10.1371/journal.pone.0250904")</f>
        <v>http://dx.doi.org/10.1371/journal.pone.0250904</v>
      </c>
      <c r="AX351" s="31"/>
      <c r="AY351" s="31" t="n">
        <v>17</v>
      </c>
      <c r="AZ351" s="31" t="s">
        <v>16428</v>
      </c>
      <c r="BA351" s="31" t="s">
        <v>16366</v>
      </c>
      <c r="BB351" s="31" t="s">
        <v>16429</v>
      </c>
      <c r="BC351" s="31" t="s">
        <v>23970</v>
      </c>
      <c r="BD351" s="31" t="n">
        <v>33951081</v>
      </c>
      <c r="BE351" s="31" t="s">
        <v>16832</v>
      </c>
      <c r="BF351" s="31" t="s">
        <v>16369</v>
      </c>
      <c r="BG351" s="31" t="s">
        <v>23971</v>
      </c>
      <c r="BH351" s="31" t="str">
        <f aca="false">HYPERLINK("https%3A%2F%2Fwww.webofscience.com%2Fwos%2Fwoscc%2Ffull-record%2FWOS:000664610500046","View Full Record in Web of Science")</f>
        <v>View Full Record in Web of Science</v>
      </c>
      <c r="BI351" s="31"/>
      <c r="BJ351" s="31"/>
      <c r="BK351" s="31"/>
      <c r="BL351" s="31"/>
      <c r="BM351" s="31"/>
      <c r="BN351" s="31"/>
      <c r="BO351" s="31"/>
      <c r="BP351" s="31"/>
      <c r="BQ351" s="31"/>
      <c r="BR351" s="31"/>
      <c r="BS351" s="31"/>
      <c r="BT351" s="31"/>
      <c r="BU351" s="31"/>
      <c r="BV351" s="31"/>
      <c r="BW351" s="31"/>
      <c r="BX351" s="31"/>
      <c r="BY351" s="31"/>
      <c r="BZ351" s="31"/>
      <c r="CA351" s="31"/>
      <c r="CB351" s="31"/>
      <c r="CC351" s="31"/>
      <c r="CD351" s="31"/>
      <c r="CE351" s="31"/>
      <c r="CF351" s="31"/>
    </row>
    <row r="352" customFormat="false" ht="15.75" hidden="false" customHeight="true" outlineLevel="0" collapsed="false">
      <c r="A352" s="31" t="s">
        <v>16335</v>
      </c>
      <c r="B352" s="31" t="s">
        <v>23972</v>
      </c>
      <c r="C352" s="31" t="s">
        <v>23973</v>
      </c>
      <c r="D352" s="34" t="s">
        <v>23974</v>
      </c>
      <c r="E352" s="31" t="n">
        <v>2021</v>
      </c>
      <c r="F352" s="33" t="s">
        <v>23975</v>
      </c>
      <c r="G352" s="33" t="s">
        <v>134</v>
      </c>
      <c r="H352" s="32" t="s">
        <v>4728</v>
      </c>
      <c r="I352" s="34"/>
      <c r="J352" s="34"/>
      <c r="K352" s="32" t="s">
        <v>16409</v>
      </c>
      <c r="L352" s="34"/>
      <c r="M352" s="34"/>
      <c r="N352" s="34"/>
      <c r="O352" s="34"/>
      <c r="P352" s="34" t="n">
        <v>9</v>
      </c>
      <c r="Q352" s="31" t="n">
        <v>9</v>
      </c>
      <c r="R352" s="31" t="s">
        <v>61</v>
      </c>
      <c r="S352" s="31" t="s">
        <v>62</v>
      </c>
      <c r="T352" s="31" t="s">
        <v>23976</v>
      </c>
      <c r="U352" s="31" t="n">
        <v>21</v>
      </c>
      <c r="V352" s="31" t="s">
        <v>23977</v>
      </c>
      <c r="W352" s="31" t="n">
        <v>2</v>
      </c>
      <c r="X352" s="31" t="s">
        <v>23978</v>
      </c>
      <c r="Y352" s="31" t="s">
        <v>19040</v>
      </c>
      <c r="Z352" s="31" t="s">
        <v>23979</v>
      </c>
      <c r="AA352" s="31" t="s">
        <v>23980</v>
      </c>
      <c r="AB352" s="31" t="s">
        <v>23981</v>
      </c>
      <c r="AC352" s="31" t="s">
        <v>23982</v>
      </c>
      <c r="AD352" s="31" t="s">
        <v>23983</v>
      </c>
      <c r="AE352" s="31" t="s">
        <v>23984</v>
      </c>
      <c r="AF352" s="31"/>
      <c r="AG352" s="31"/>
      <c r="AH352" s="31"/>
      <c r="AI352" s="31" t="n">
        <v>21</v>
      </c>
      <c r="AJ352" s="31" t="n">
        <v>1</v>
      </c>
      <c r="AK352" s="31" t="n">
        <v>14</v>
      </c>
      <c r="AL352" s="31" t="s">
        <v>23985</v>
      </c>
      <c r="AM352" s="31" t="s">
        <v>23986</v>
      </c>
      <c r="AN352" s="31"/>
      <c r="AO352" s="31" t="s">
        <v>23987</v>
      </c>
      <c r="AP352" s="31" t="s">
        <v>23976</v>
      </c>
      <c r="AQ352" s="31" t="s">
        <v>23988</v>
      </c>
      <c r="AR352" s="31" t="s">
        <v>17056</v>
      </c>
      <c r="AS352" s="31" t="n">
        <v>216</v>
      </c>
      <c r="AT352" s="31" t="n">
        <v>224</v>
      </c>
      <c r="AU352" s="31"/>
      <c r="AV352" s="31" t="s">
        <v>23989</v>
      </c>
      <c r="AW352" s="35" t="str">
        <f aca="false">HYPERLINK("http://dx.doi.org/10.5152/electrica.2020.21004","http://dx.doi.org/10.5152/electrica.2020.21004")</f>
        <v>http://dx.doi.org/10.5152/electrica.2020.21004</v>
      </c>
      <c r="AX352" s="31"/>
      <c r="AY352" s="31" t="n">
        <v>9</v>
      </c>
      <c r="AZ352" s="31" t="s">
        <v>23990</v>
      </c>
      <c r="BA352" s="31" t="s">
        <v>16684</v>
      </c>
      <c r="BB352" s="31" t="s">
        <v>18429</v>
      </c>
      <c r="BC352" s="31" t="s">
        <v>23991</v>
      </c>
      <c r="BD352" s="31"/>
      <c r="BE352" s="31" t="s">
        <v>16431</v>
      </c>
      <c r="BF352" s="31" t="s">
        <v>16369</v>
      </c>
      <c r="BG352" s="31" t="s">
        <v>23992</v>
      </c>
      <c r="BH352" s="31" t="str">
        <f aca="false">HYPERLINK("https%3A%2F%2Fwww.webofscience.com%2Fwos%2Fwoscc%2Ffull-record%2FWOS:000656762700006","View Full Record in Web of Science")</f>
        <v>View Full Record in Web of Science</v>
      </c>
      <c r="BI352" s="31"/>
      <c r="BJ352" s="31"/>
      <c r="BK352" s="31"/>
      <c r="BL352" s="31"/>
      <c r="BM352" s="31"/>
      <c r="BN352" s="31"/>
      <c r="BO352" s="31"/>
      <c r="BP352" s="31"/>
      <c r="BQ352" s="31"/>
      <c r="BR352" s="31"/>
      <c r="BS352" s="31"/>
      <c r="BT352" s="31"/>
      <c r="BU352" s="31"/>
      <c r="BV352" s="31"/>
      <c r="BW352" s="31"/>
      <c r="BX352" s="31"/>
      <c r="BY352" s="31"/>
      <c r="BZ352" s="31"/>
      <c r="CA352" s="31"/>
      <c r="CB352" s="31"/>
      <c r="CC352" s="31"/>
      <c r="CD352" s="31"/>
      <c r="CE352" s="31"/>
      <c r="CF352" s="31"/>
    </row>
    <row r="353" customFormat="false" ht="15.75" hidden="false" customHeight="true" outlineLevel="0" collapsed="false">
      <c r="A353" s="31" t="s">
        <v>16335</v>
      </c>
      <c r="B353" s="31" t="s">
        <v>23993</v>
      </c>
      <c r="C353" s="31" t="s">
        <v>23994</v>
      </c>
      <c r="D353" s="34" t="s">
        <v>23995</v>
      </c>
      <c r="E353" s="31" t="n">
        <v>2021</v>
      </c>
      <c r="F353" s="33" t="s">
        <v>23996</v>
      </c>
      <c r="G353" s="33" t="s">
        <v>290</v>
      </c>
      <c r="H353" s="32" t="s">
        <v>23997</v>
      </c>
      <c r="I353" s="34"/>
      <c r="J353" s="34"/>
      <c r="K353" s="32" t="s">
        <v>16409</v>
      </c>
      <c r="L353" s="34"/>
      <c r="M353" s="34"/>
      <c r="N353" s="34"/>
      <c r="O353" s="34"/>
      <c r="P353" s="34" t="n">
        <v>13</v>
      </c>
      <c r="Q353" s="31" t="n">
        <v>13</v>
      </c>
      <c r="R353" s="31" t="s">
        <v>61</v>
      </c>
      <c r="S353" s="31" t="s">
        <v>62</v>
      </c>
      <c r="T353" s="31" t="s">
        <v>23998</v>
      </c>
      <c r="U353" s="31" t="n">
        <v>11</v>
      </c>
      <c r="V353" s="31" t="s">
        <v>4048</v>
      </c>
      <c r="W353" s="31" t="n">
        <v>12</v>
      </c>
      <c r="X353" s="31" t="s">
        <v>23999</v>
      </c>
      <c r="Y353" s="31" t="s">
        <v>24000</v>
      </c>
      <c r="Z353" s="31" t="s">
        <v>24001</v>
      </c>
      <c r="AA353" s="31" t="s">
        <v>24002</v>
      </c>
      <c r="AB353" s="31" t="s">
        <v>24003</v>
      </c>
      <c r="AC353" s="31" t="s">
        <v>24004</v>
      </c>
      <c r="AD353" s="31"/>
      <c r="AE353" s="31" t="s">
        <v>24005</v>
      </c>
      <c r="AF353" s="31" t="s">
        <v>24006</v>
      </c>
      <c r="AG353" s="31" t="s">
        <v>24007</v>
      </c>
      <c r="AH353" s="31" t="s">
        <v>24008</v>
      </c>
      <c r="AI353" s="31" t="n">
        <v>59</v>
      </c>
      <c r="AJ353" s="31" t="n">
        <v>3</v>
      </c>
      <c r="AK353" s="31" t="n">
        <v>20</v>
      </c>
      <c r="AL353" s="31" t="s">
        <v>16769</v>
      </c>
      <c r="AM353" s="31" t="s">
        <v>16770</v>
      </c>
      <c r="AN353" s="31"/>
      <c r="AO353" s="31" t="s">
        <v>24009</v>
      </c>
      <c r="AP353" s="31" t="s">
        <v>23998</v>
      </c>
      <c r="AQ353" s="31" t="s">
        <v>24010</v>
      </c>
      <c r="AR353" s="31" t="s">
        <v>16649</v>
      </c>
      <c r="AS353" s="31"/>
      <c r="AT353" s="31"/>
      <c r="AU353" s="31" t="n">
        <v>1750</v>
      </c>
      <c r="AV353" s="31" t="s">
        <v>24011</v>
      </c>
      <c r="AW353" s="35" t="str">
        <f aca="false">HYPERLINK("http://dx.doi.org/10.3390/biom11121750","http://dx.doi.org/10.3390/biom11121750")</f>
        <v>http://dx.doi.org/10.3390/biom11121750</v>
      </c>
      <c r="AX353" s="31"/>
      <c r="AY353" s="31" t="n">
        <v>15</v>
      </c>
      <c r="AZ353" s="31" t="s">
        <v>16652</v>
      </c>
      <c r="BA353" s="31" t="s">
        <v>16366</v>
      </c>
      <c r="BB353" s="31" t="s">
        <v>16652</v>
      </c>
      <c r="BC353" s="31" t="s">
        <v>24012</v>
      </c>
      <c r="BD353" s="31" t="n">
        <v>34944394</v>
      </c>
      <c r="BE353" s="31" t="s">
        <v>17143</v>
      </c>
      <c r="BF353" s="31" t="s">
        <v>16369</v>
      </c>
      <c r="BG353" s="31" t="s">
        <v>24013</v>
      </c>
      <c r="BH353" s="31" t="str">
        <f aca="false">HYPERLINK("https%3A%2F%2Fwww.webofscience.com%2Fwos%2Fwoscc%2Ffull-record%2FWOS:000736193600001","View Full Record in Web of Science")</f>
        <v>View Full Record in Web of Science</v>
      </c>
      <c r="BI353" s="31"/>
      <c r="BJ353" s="31"/>
      <c r="BK353" s="31"/>
      <c r="BL353" s="31"/>
      <c r="BM353" s="31"/>
      <c r="BN353" s="31"/>
      <c r="BO353" s="31"/>
      <c r="BP353" s="31"/>
      <c r="BQ353" s="31"/>
      <c r="BR353" s="31"/>
      <c r="BS353" s="31"/>
      <c r="BT353" s="31"/>
      <c r="BU353" s="31"/>
      <c r="BV353" s="31"/>
      <c r="BW353" s="31"/>
      <c r="BX353" s="31"/>
      <c r="BY353" s="31"/>
      <c r="BZ353" s="31"/>
      <c r="CA353" s="31"/>
      <c r="CB353" s="31"/>
      <c r="CC353" s="31"/>
      <c r="CD353" s="31"/>
      <c r="CE353" s="31"/>
      <c r="CF353" s="31"/>
    </row>
    <row r="354" customFormat="false" ht="15.75" hidden="false" customHeight="true" outlineLevel="0" collapsed="false">
      <c r="A354" s="31" t="s">
        <v>16335</v>
      </c>
      <c r="B354" s="31" t="s">
        <v>24014</v>
      </c>
      <c r="C354" s="31" t="s">
        <v>24015</v>
      </c>
      <c r="D354" s="34" t="s">
        <v>24016</v>
      </c>
      <c r="E354" s="31" t="n">
        <v>2021</v>
      </c>
      <c r="F354" s="33" t="s">
        <v>24017</v>
      </c>
      <c r="G354" s="33" t="s">
        <v>290</v>
      </c>
      <c r="H354" s="32" t="s">
        <v>5040</v>
      </c>
      <c r="I354" s="32" t="s">
        <v>5040</v>
      </c>
      <c r="J354" s="34"/>
      <c r="K354" s="32" t="s">
        <v>16409</v>
      </c>
      <c r="L354" s="34"/>
      <c r="M354" s="32"/>
      <c r="N354" s="34"/>
      <c r="O354" s="34"/>
      <c r="P354" s="34" t="n">
        <v>16</v>
      </c>
      <c r="Q354" s="31" t="n">
        <v>16</v>
      </c>
      <c r="R354" s="31" t="s">
        <v>61</v>
      </c>
      <c r="S354" s="31" t="s">
        <v>62</v>
      </c>
      <c r="T354" s="31" t="s">
        <v>24018</v>
      </c>
      <c r="U354" s="31" t="n">
        <v>2021</v>
      </c>
      <c r="V354" s="31" t="s">
        <v>17360</v>
      </c>
      <c r="W354" s="31"/>
      <c r="X354" s="31"/>
      <c r="Y354" s="31" t="s">
        <v>24019</v>
      </c>
      <c r="Z354" s="31" t="s">
        <v>24020</v>
      </c>
      <c r="AA354" s="31" t="s">
        <v>24021</v>
      </c>
      <c r="AB354" s="31" t="s">
        <v>24022</v>
      </c>
      <c r="AC354" s="31" t="s">
        <v>24023</v>
      </c>
      <c r="AD354" s="31" t="s">
        <v>24024</v>
      </c>
      <c r="AE354" s="31"/>
      <c r="AF354" s="31" t="s">
        <v>24025</v>
      </c>
      <c r="AG354" s="31" t="s">
        <v>24025</v>
      </c>
      <c r="AH354" s="31" t="s">
        <v>24026</v>
      </c>
      <c r="AI354" s="31" t="n">
        <v>45</v>
      </c>
      <c r="AJ354" s="31" t="n">
        <v>0</v>
      </c>
      <c r="AK354" s="31" t="n">
        <v>2</v>
      </c>
      <c r="AL354" s="31" t="s">
        <v>16821</v>
      </c>
      <c r="AM354" s="31" t="s">
        <v>17371</v>
      </c>
      <c r="AN354" s="31" t="s">
        <v>24027</v>
      </c>
      <c r="AO354" s="31" t="s">
        <v>24028</v>
      </c>
      <c r="AP354" s="31" t="s">
        <v>24029</v>
      </c>
      <c r="AQ354" s="31" t="s">
        <v>24030</v>
      </c>
      <c r="AR354" s="31" t="s">
        <v>24031</v>
      </c>
      <c r="AS354" s="31"/>
      <c r="AT354" s="31"/>
      <c r="AU354" s="31" t="n">
        <v>9971857</v>
      </c>
      <c r="AV354" s="31" t="s">
        <v>24032</v>
      </c>
      <c r="AW354" s="35" t="str">
        <f aca="false">HYPERLINK("http://dx.doi.org/10.1155/2021/9971857","http://dx.doi.org/10.1155/2021/9971857")</f>
        <v>http://dx.doi.org/10.1155/2021/9971857</v>
      </c>
      <c r="AX354" s="31"/>
      <c r="AY354" s="31" t="n">
        <v>10</v>
      </c>
      <c r="AZ354" s="31" t="s">
        <v>22754</v>
      </c>
      <c r="BA354" s="31" t="s">
        <v>16684</v>
      </c>
      <c r="BB354" s="31" t="s">
        <v>16652</v>
      </c>
      <c r="BC354" s="31" t="s">
        <v>24033</v>
      </c>
      <c r="BD354" s="31" t="n">
        <v>34258066</v>
      </c>
      <c r="BE354" s="31" t="s">
        <v>17143</v>
      </c>
      <c r="BF354" s="31" t="s">
        <v>16369</v>
      </c>
      <c r="BG354" s="31" t="s">
        <v>24034</v>
      </c>
      <c r="BH354" s="31" t="str">
        <f aca="false">HYPERLINK("https%3A%2F%2Fwww.webofscience.com%2Fwos%2Fwoscc%2Ffull-record%2FWOS:000671851900001","View Full Record in Web of Science")</f>
        <v>View Full Record in Web of Science</v>
      </c>
      <c r="BI354" s="31"/>
      <c r="BJ354" s="31"/>
      <c r="BK354" s="31"/>
      <c r="BL354" s="31"/>
      <c r="BM354" s="31"/>
      <c r="BN354" s="31"/>
      <c r="BO354" s="31"/>
      <c r="BP354" s="31"/>
      <c r="BQ354" s="31"/>
      <c r="BR354" s="31"/>
      <c r="BS354" s="31"/>
      <c r="BT354" s="31"/>
      <c r="BU354" s="31"/>
      <c r="BV354" s="31"/>
      <c r="BW354" s="31"/>
      <c r="BX354" s="31"/>
      <c r="BY354" s="31"/>
      <c r="BZ354" s="31"/>
      <c r="CA354" s="31"/>
      <c r="CB354" s="31"/>
      <c r="CC354" s="31"/>
      <c r="CD354" s="31"/>
      <c r="CE354" s="31"/>
      <c r="CF354" s="31"/>
    </row>
    <row r="355" customFormat="false" ht="15.75" hidden="false" customHeight="true" outlineLevel="0" collapsed="false">
      <c r="A355" s="31" t="s">
        <v>16335</v>
      </c>
      <c r="B355" s="31" t="s">
        <v>24035</v>
      </c>
      <c r="C355" s="31" t="s">
        <v>24036</v>
      </c>
      <c r="D355" s="34" t="s">
        <v>24037</v>
      </c>
      <c r="E355" s="31" t="n">
        <v>2021</v>
      </c>
      <c r="F355" s="33" t="s">
        <v>24038</v>
      </c>
      <c r="G355" s="33" t="s">
        <v>134</v>
      </c>
      <c r="H355" s="32" t="s">
        <v>24039</v>
      </c>
      <c r="I355" s="34"/>
      <c r="J355" s="34"/>
      <c r="K355" s="34"/>
      <c r="L355" s="34"/>
      <c r="M355" s="32" t="s">
        <v>24040</v>
      </c>
      <c r="N355" s="34"/>
      <c r="O355" s="34"/>
      <c r="P355" s="34" t="n">
        <v>11</v>
      </c>
      <c r="Q355" s="31" t="n">
        <v>11</v>
      </c>
      <c r="R355" s="31" t="s">
        <v>61</v>
      </c>
      <c r="S355" s="31" t="s">
        <v>62</v>
      </c>
      <c r="T355" s="31" t="s">
        <v>20033</v>
      </c>
      <c r="U355" s="31" t="n">
        <v>184</v>
      </c>
      <c r="V355" s="31" t="s">
        <v>18274</v>
      </c>
      <c r="W355" s="31"/>
      <c r="X355" s="31" t="s">
        <v>24041</v>
      </c>
      <c r="Y355" s="31" t="s">
        <v>24042</v>
      </c>
      <c r="Z355" s="31" t="s">
        <v>24043</v>
      </c>
      <c r="AA355" s="31" t="s">
        <v>24044</v>
      </c>
      <c r="AB355" s="31" t="s">
        <v>24045</v>
      </c>
      <c r="AC355" s="31" t="s">
        <v>24046</v>
      </c>
      <c r="AD355" s="31" t="s">
        <v>24047</v>
      </c>
      <c r="AE355" s="31" t="s">
        <v>24048</v>
      </c>
      <c r="AF355" s="31"/>
      <c r="AG355" s="31"/>
      <c r="AH355" s="31"/>
      <c r="AI355" s="31" t="n">
        <v>34</v>
      </c>
      <c r="AJ355" s="31" t="n">
        <v>1</v>
      </c>
      <c r="AK355" s="31" t="n">
        <v>18</v>
      </c>
      <c r="AL355" s="31" t="s">
        <v>16575</v>
      </c>
      <c r="AM355" s="31" t="s">
        <v>18284</v>
      </c>
      <c r="AN355" s="31" t="s">
        <v>20045</v>
      </c>
      <c r="AO355" s="31" t="s">
        <v>20046</v>
      </c>
      <c r="AP355" s="31" t="s">
        <v>20047</v>
      </c>
      <c r="AQ355" s="31" t="s">
        <v>20048</v>
      </c>
      <c r="AR355" s="31" t="s">
        <v>21519</v>
      </c>
      <c r="AS355" s="31"/>
      <c r="AT355" s="31"/>
      <c r="AU355" s="31" t="n">
        <v>115564</v>
      </c>
      <c r="AV355" s="31" t="s">
        <v>24049</v>
      </c>
      <c r="AW355" s="35" t="str">
        <f aca="false">HYPERLINK("http://dx.doi.org/10.1016/j.eswa.2021.115564","http://dx.doi.org/10.1016/j.eswa.2021.115564")</f>
        <v>http://dx.doi.org/10.1016/j.eswa.2021.115564</v>
      </c>
      <c r="AX355" s="31" t="s">
        <v>24050</v>
      </c>
      <c r="AY355" s="31" t="n">
        <v>13</v>
      </c>
      <c r="AZ355" s="31" t="s">
        <v>20051</v>
      </c>
      <c r="BA355" s="31" t="s">
        <v>16366</v>
      </c>
      <c r="BB355" s="31" t="s">
        <v>20052</v>
      </c>
      <c r="BC355" s="31" t="s">
        <v>24051</v>
      </c>
      <c r="BD355" s="31"/>
      <c r="BE355" s="31" t="s">
        <v>17966</v>
      </c>
      <c r="BF355" s="31" t="s">
        <v>16369</v>
      </c>
      <c r="BG355" s="31" t="s">
        <v>24052</v>
      </c>
      <c r="BH355" s="31" t="str">
        <f aca="false">HYPERLINK("https%3A%2F%2Fwww.webofscience.com%2Fwos%2Fwoscc%2Ffull-record%2FWOS:000696950400008","View Full Record in Web of Science")</f>
        <v>View Full Record in Web of Science</v>
      </c>
      <c r="BI355" s="31"/>
      <c r="BJ355" s="31"/>
      <c r="BK355" s="31"/>
      <c r="BL355" s="31"/>
      <c r="BM355" s="31"/>
      <c r="BN355" s="31"/>
      <c r="BO355" s="31"/>
      <c r="BP355" s="31"/>
      <c r="BQ355" s="31"/>
      <c r="BR355" s="31"/>
      <c r="BS355" s="31"/>
      <c r="BT355" s="31"/>
      <c r="BU355" s="31"/>
      <c r="BV355" s="31"/>
      <c r="BW355" s="31"/>
      <c r="BX355" s="31"/>
      <c r="BY355" s="31"/>
      <c r="BZ355" s="31"/>
      <c r="CA355" s="31"/>
      <c r="CB355" s="31"/>
      <c r="CC355" s="31"/>
      <c r="CD355" s="31"/>
      <c r="CE355" s="31"/>
      <c r="CF355" s="31"/>
    </row>
    <row r="356" customFormat="false" ht="15.75" hidden="false" customHeight="true" outlineLevel="0" collapsed="false">
      <c r="A356" s="31" t="s">
        <v>16335</v>
      </c>
      <c r="B356" s="31" t="s">
        <v>24053</v>
      </c>
      <c r="C356" s="31" t="s">
        <v>24054</v>
      </c>
      <c r="D356" s="34" t="s">
        <v>24055</v>
      </c>
      <c r="E356" s="31" t="n">
        <v>2021</v>
      </c>
      <c r="F356" s="33" t="s">
        <v>24056</v>
      </c>
      <c r="G356" s="33" t="s">
        <v>134</v>
      </c>
      <c r="H356" s="32" t="s">
        <v>3992</v>
      </c>
      <c r="I356" s="32" t="s">
        <v>3992</v>
      </c>
      <c r="J356" s="32" t="s">
        <v>21092</v>
      </c>
      <c r="K356" s="34"/>
      <c r="L356" s="34"/>
      <c r="M356" s="34"/>
      <c r="N356" s="34"/>
      <c r="O356" s="34"/>
      <c r="P356" s="34" t="n">
        <v>5</v>
      </c>
      <c r="Q356" s="31" t="n">
        <v>6</v>
      </c>
      <c r="R356" s="31" t="s">
        <v>61</v>
      </c>
      <c r="S356" s="31" t="s">
        <v>62</v>
      </c>
      <c r="T356" s="31" t="s">
        <v>24057</v>
      </c>
      <c r="U356" s="31" t="n">
        <v>7</v>
      </c>
      <c r="V356" s="31" t="s">
        <v>24058</v>
      </c>
      <c r="W356" s="31" t="n">
        <v>3</v>
      </c>
      <c r="X356" s="31" t="s">
        <v>24059</v>
      </c>
      <c r="Y356" s="31"/>
      <c r="Z356" s="31" t="s">
        <v>24060</v>
      </c>
      <c r="AA356" s="31" t="s">
        <v>24061</v>
      </c>
      <c r="AB356" s="31" t="s">
        <v>24062</v>
      </c>
      <c r="AC356" s="31" t="s">
        <v>24063</v>
      </c>
      <c r="AD356" s="31" t="s">
        <v>24064</v>
      </c>
      <c r="AE356" s="31" t="s">
        <v>24065</v>
      </c>
      <c r="AF356" s="31" t="s">
        <v>24066</v>
      </c>
      <c r="AG356" s="31" t="s">
        <v>24067</v>
      </c>
      <c r="AH356" s="31" t="s">
        <v>24068</v>
      </c>
      <c r="AI356" s="31" t="n">
        <v>42</v>
      </c>
      <c r="AJ356" s="31" t="n">
        <v>0</v>
      </c>
      <c r="AK356" s="31" t="n">
        <v>4</v>
      </c>
      <c r="AL356" s="31" t="s">
        <v>24069</v>
      </c>
      <c r="AM356" s="31" t="s">
        <v>24070</v>
      </c>
      <c r="AN356" s="31" t="s">
        <v>24071</v>
      </c>
      <c r="AO356" s="31"/>
      <c r="AP356" s="31" t="s">
        <v>24072</v>
      </c>
      <c r="AQ356" s="31" t="s">
        <v>24073</v>
      </c>
      <c r="AR356" s="31" t="s">
        <v>17248</v>
      </c>
      <c r="AS356" s="31"/>
      <c r="AT356" s="31"/>
      <c r="AU356" s="31" t="s">
        <v>24074</v>
      </c>
      <c r="AV356" s="31" t="s">
        <v>24075</v>
      </c>
      <c r="AW356" s="35" t="str">
        <f aca="false">HYPERLINK("http://dx.doi.org/10.2196/26719","http://dx.doi.org/10.2196/26719")</f>
        <v>http://dx.doi.org/10.2196/26719</v>
      </c>
      <c r="AX356" s="31"/>
      <c r="AY356" s="31" t="n">
        <v>13</v>
      </c>
      <c r="AZ356" s="31" t="s">
        <v>16583</v>
      </c>
      <c r="BA356" s="31" t="s">
        <v>16584</v>
      </c>
      <c r="BB356" s="31" t="s">
        <v>16583</v>
      </c>
      <c r="BC356" s="31" t="s">
        <v>24076</v>
      </c>
      <c r="BD356" s="31" t="n">
        <v>33759790</v>
      </c>
      <c r="BE356" s="31" t="s">
        <v>17143</v>
      </c>
      <c r="BF356" s="31" t="s">
        <v>16369</v>
      </c>
      <c r="BG356" s="31" t="s">
        <v>24077</v>
      </c>
      <c r="BH356" s="31" t="str">
        <f aca="false">HYPERLINK("https%3A%2F%2Fwww.webofscience.com%2Fwos%2Fwoscc%2Ffull-record%2FWOS:000637363200002","View Full Record in Web of Science")</f>
        <v>View Full Record in Web of Science</v>
      </c>
      <c r="BI356" s="31"/>
      <c r="BJ356" s="31"/>
      <c r="BK356" s="31"/>
      <c r="BL356" s="31"/>
      <c r="BM356" s="31"/>
      <c r="BN356" s="31"/>
      <c r="BO356" s="31"/>
      <c r="BP356" s="31"/>
      <c r="BQ356" s="31"/>
      <c r="BR356" s="31"/>
      <c r="BS356" s="31"/>
      <c r="BT356" s="31"/>
      <c r="BU356" s="31"/>
      <c r="BV356" s="31"/>
      <c r="BW356" s="31"/>
      <c r="BX356" s="31"/>
      <c r="BY356" s="31"/>
      <c r="BZ356" s="31"/>
      <c r="CA356" s="31"/>
      <c r="CB356" s="31"/>
      <c r="CC356" s="31"/>
      <c r="CD356" s="31"/>
      <c r="CE356" s="31"/>
      <c r="CF356" s="31"/>
    </row>
    <row r="357" customFormat="false" ht="15.75" hidden="false" customHeight="true" outlineLevel="0" collapsed="false">
      <c r="A357" s="31" t="s">
        <v>16335</v>
      </c>
      <c r="B357" s="31" t="s">
        <v>24078</v>
      </c>
      <c r="C357" s="31" t="s">
        <v>24079</v>
      </c>
      <c r="D357" s="34" t="s">
        <v>24080</v>
      </c>
      <c r="E357" s="31" t="n">
        <v>2021</v>
      </c>
      <c r="F357" s="33" t="s">
        <v>24081</v>
      </c>
      <c r="G357" s="33" t="s">
        <v>134</v>
      </c>
      <c r="H357" s="32" t="s">
        <v>16721</v>
      </c>
      <c r="I357" s="32" t="s">
        <v>24082</v>
      </c>
      <c r="J357" s="34"/>
      <c r="K357" s="32" t="s">
        <v>17573</v>
      </c>
      <c r="L357" s="34"/>
      <c r="M357" s="34"/>
      <c r="N357" s="34"/>
      <c r="O357" s="34"/>
      <c r="P357" s="34" t="n">
        <v>12</v>
      </c>
      <c r="Q357" s="31" t="n">
        <v>12</v>
      </c>
      <c r="R357" s="31" t="s">
        <v>61</v>
      </c>
      <c r="S357" s="31" t="s">
        <v>62</v>
      </c>
      <c r="T357" s="31" t="s">
        <v>18901</v>
      </c>
      <c r="U357" s="31" t="n">
        <v>62</v>
      </c>
      <c r="V357" s="31" t="s">
        <v>16349</v>
      </c>
      <c r="W357" s="31"/>
      <c r="X357" s="31" t="s">
        <v>24083</v>
      </c>
      <c r="Y357" s="31" t="s">
        <v>24084</v>
      </c>
      <c r="Z357" s="31" t="s">
        <v>24085</v>
      </c>
      <c r="AA357" s="31" t="s">
        <v>24086</v>
      </c>
      <c r="AB357" s="31" t="s">
        <v>24087</v>
      </c>
      <c r="AC357" s="31" t="s">
        <v>24088</v>
      </c>
      <c r="AD357" s="31"/>
      <c r="AE357" s="31"/>
      <c r="AF357" s="31"/>
      <c r="AG357" s="31"/>
      <c r="AH357" s="31"/>
      <c r="AI357" s="31" t="n">
        <v>48</v>
      </c>
      <c r="AJ357" s="31" t="n">
        <v>1</v>
      </c>
      <c r="AK357" s="31" t="n">
        <v>23</v>
      </c>
      <c r="AL357" s="31" t="s">
        <v>16356</v>
      </c>
      <c r="AM357" s="31" t="s">
        <v>16357</v>
      </c>
      <c r="AN357" s="31" t="s">
        <v>18912</v>
      </c>
      <c r="AO357" s="31" t="s">
        <v>18913</v>
      </c>
      <c r="AP357" s="31" t="s">
        <v>18914</v>
      </c>
      <c r="AQ357" s="31" t="s">
        <v>18915</v>
      </c>
      <c r="AR357" s="31" t="s">
        <v>17056</v>
      </c>
      <c r="AS357" s="31"/>
      <c r="AT357" s="31"/>
      <c r="AU357" s="31" t="n">
        <v>101270</v>
      </c>
      <c r="AV357" s="31" t="s">
        <v>24089</v>
      </c>
      <c r="AW357" s="35" t="str">
        <f aca="false">HYPERLINK("http://dx.doi.org/10.1016/j.ecoinf.2021.101270","http://dx.doi.org/10.1016/j.ecoinf.2021.101270")</f>
        <v>http://dx.doi.org/10.1016/j.ecoinf.2021.101270</v>
      </c>
      <c r="AX357" s="31" t="s">
        <v>23562</v>
      </c>
      <c r="AY357" s="31" t="n">
        <v>15</v>
      </c>
      <c r="AZ357" s="31" t="s">
        <v>18917</v>
      </c>
      <c r="BA357" s="31" t="s">
        <v>16366</v>
      </c>
      <c r="BB357" s="31" t="s">
        <v>17115</v>
      </c>
      <c r="BC357" s="31" t="s">
        <v>24090</v>
      </c>
      <c r="BD357" s="31"/>
      <c r="BE357" s="31"/>
      <c r="BF357" s="31" t="s">
        <v>16369</v>
      </c>
      <c r="BG357" s="31" t="s">
        <v>24091</v>
      </c>
      <c r="BH357" s="31" t="str">
        <f aca="false">HYPERLINK("https%3A%2F%2Fwww.webofscience.com%2Fwos%2Fwoscc%2Ffull-record%2FWOS:000639851100006","View Full Record in Web of Science")</f>
        <v>View Full Record in Web of Science</v>
      </c>
      <c r="BI357" s="31"/>
      <c r="BJ357" s="31"/>
      <c r="BK357" s="31"/>
      <c r="BL357" s="31"/>
      <c r="BM357" s="31"/>
      <c r="BN357" s="31"/>
      <c r="BO357" s="31"/>
      <c r="BP357" s="31"/>
      <c r="BQ357" s="31"/>
      <c r="BR357" s="31"/>
      <c r="BS357" s="31"/>
      <c r="BT357" s="31"/>
      <c r="BU357" s="31"/>
      <c r="BV357" s="31"/>
      <c r="BW357" s="31"/>
      <c r="BX357" s="31"/>
      <c r="BY357" s="31"/>
      <c r="BZ357" s="31"/>
      <c r="CA357" s="31"/>
      <c r="CB357" s="31"/>
      <c r="CC357" s="31"/>
      <c r="CD357" s="31"/>
      <c r="CE357" s="31"/>
      <c r="CF357" s="31"/>
    </row>
    <row r="358" customFormat="false" ht="15.75" hidden="false" customHeight="true" outlineLevel="0" collapsed="false">
      <c r="A358" s="31" t="s">
        <v>16335</v>
      </c>
      <c r="B358" s="31" t="s">
        <v>24092</v>
      </c>
      <c r="C358" s="31" t="s">
        <v>24093</v>
      </c>
      <c r="D358" s="34" t="s">
        <v>24094</v>
      </c>
      <c r="E358" s="31" t="n">
        <v>2021</v>
      </c>
      <c r="F358" s="33" t="s">
        <v>24095</v>
      </c>
      <c r="G358" s="33" t="s">
        <v>134</v>
      </c>
      <c r="H358" s="32" t="s">
        <v>24096</v>
      </c>
      <c r="I358" s="34"/>
      <c r="J358" s="34"/>
      <c r="K358" s="32" t="s">
        <v>16409</v>
      </c>
      <c r="L358" s="34"/>
      <c r="M358" s="34"/>
      <c r="N358" s="34"/>
      <c r="O358" s="34"/>
      <c r="P358" s="34" t="n">
        <v>26</v>
      </c>
      <c r="Q358" s="31" t="n">
        <v>26</v>
      </c>
      <c r="R358" s="31" t="s">
        <v>61</v>
      </c>
      <c r="S358" s="31" t="s">
        <v>62</v>
      </c>
      <c r="T358" s="31" t="s">
        <v>19364</v>
      </c>
      <c r="U358" s="31" t="n">
        <v>136</v>
      </c>
      <c r="V358" s="31" t="s">
        <v>18274</v>
      </c>
      <c r="W358" s="31"/>
      <c r="X358" s="31" t="s">
        <v>24097</v>
      </c>
      <c r="Y358" s="31" t="s">
        <v>24098</v>
      </c>
      <c r="Z358" s="31" t="s">
        <v>24099</v>
      </c>
      <c r="AA358" s="31" t="s">
        <v>24100</v>
      </c>
      <c r="AB358" s="31" t="s">
        <v>24101</v>
      </c>
      <c r="AC358" s="31" t="s">
        <v>24102</v>
      </c>
      <c r="AD358" s="31" t="s">
        <v>24103</v>
      </c>
      <c r="AE358" s="31" t="s">
        <v>24104</v>
      </c>
      <c r="AF358" s="31" t="s">
        <v>24105</v>
      </c>
      <c r="AG358" s="31" t="s">
        <v>24106</v>
      </c>
      <c r="AH358" s="31" t="s">
        <v>24107</v>
      </c>
      <c r="AI358" s="31" t="n">
        <v>47</v>
      </c>
      <c r="AJ358" s="31" t="n">
        <v>1</v>
      </c>
      <c r="AK358" s="31" t="n">
        <v>14</v>
      </c>
      <c r="AL358" s="31" t="s">
        <v>16575</v>
      </c>
      <c r="AM358" s="31" t="s">
        <v>18284</v>
      </c>
      <c r="AN358" s="31" t="s">
        <v>19375</v>
      </c>
      <c r="AO358" s="31" t="s">
        <v>19376</v>
      </c>
      <c r="AP358" s="31" t="s">
        <v>19377</v>
      </c>
      <c r="AQ358" s="31" t="s">
        <v>74</v>
      </c>
      <c r="AR358" s="31" t="s">
        <v>16801</v>
      </c>
      <c r="AS358" s="31"/>
      <c r="AT358" s="31"/>
      <c r="AU358" s="31" t="n">
        <v>104680</v>
      </c>
      <c r="AV358" s="31" t="s">
        <v>24108</v>
      </c>
      <c r="AW358" s="35" t="str">
        <f aca="false">HYPERLINK("http://dx.doi.org/10.1016/j.compbiomed.2021.104680","http://dx.doi.org/10.1016/j.compbiomed.2021.104680")</f>
        <v>http://dx.doi.org/10.1016/j.compbiomed.2021.104680</v>
      </c>
      <c r="AX358" s="31" t="s">
        <v>24050</v>
      </c>
      <c r="AY358" s="31" t="n">
        <v>9</v>
      </c>
      <c r="AZ358" s="31" t="s">
        <v>19379</v>
      </c>
      <c r="BA358" s="31" t="s">
        <v>16366</v>
      </c>
      <c r="BB358" s="31" t="s">
        <v>19380</v>
      </c>
      <c r="BC358" s="31" t="s">
        <v>24109</v>
      </c>
      <c r="BD358" s="31" t="n">
        <v>34329861</v>
      </c>
      <c r="BE358" s="31"/>
      <c r="BF358" s="31" t="s">
        <v>16369</v>
      </c>
      <c r="BG358" s="31" t="s">
        <v>24110</v>
      </c>
      <c r="BH358" s="31" t="str">
        <f aca="false">HYPERLINK("https%3A%2F%2Fwww.webofscience.com%2Fwos%2Fwoscc%2Ffull-record%2FWOS:000696927400006","View Full Record in Web of Science")</f>
        <v>View Full Record in Web of Science</v>
      </c>
      <c r="BI358" s="31"/>
      <c r="BJ358" s="31"/>
      <c r="BK358" s="31"/>
      <c r="BL358" s="31"/>
      <c r="BM358" s="31"/>
      <c r="BN358" s="31"/>
      <c r="BO358" s="31"/>
      <c r="BP358" s="31"/>
      <c r="BQ358" s="31"/>
      <c r="BR358" s="31"/>
      <c r="BS358" s="31"/>
      <c r="BT358" s="31"/>
      <c r="BU358" s="31"/>
      <c r="BV358" s="31"/>
      <c r="BW358" s="31"/>
      <c r="BX358" s="31"/>
      <c r="BY358" s="31"/>
      <c r="BZ358" s="31"/>
      <c r="CA358" s="31"/>
      <c r="CB358" s="31"/>
      <c r="CC358" s="31"/>
      <c r="CD358" s="31"/>
      <c r="CE358" s="31"/>
      <c r="CF358" s="31"/>
    </row>
    <row r="359" customFormat="false" ht="15.75" hidden="false" customHeight="true" outlineLevel="0" collapsed="false">
      <c r="A359" s="31" t="s">
        <v>16335</v>
      </c>
      <c r="B359" s="31" t="s">
        <v>24111</v>
      </c>
      <c r="C359" s="31" t="s">
        <v>24112</v>
      </c>
      <c r="D359" s="34" t="s">
        <v>24113</v>
      </c>
      <c r="E359" s="31" t="n">
        <v>2021</v>
      </c>
      <c r="F359" s="33" t="s">
        <v>24114</v>
      </c>
      <c r="G359" s="33" t="s">
        <v>134</v>
      </c>
      <c r="H359" s="32" t="s">
        <v>24115</v>
      </c>
      <c r="I359" s="32" t="s">
        <v>24116</v>
      </c>
      <c r="J359" s="34"/>
      <c r="K359" s="34"/>
      <c r="L359" s="34"/>
      <c r="M359" s="34"/>
      <c r="N359" s="34"/>
      <c r="O359" s="34"/>
      <c r="P359" s="34" t="n">
        <v>10</v>
      </c>
      <c r="Q359" s="31" t="n">
        <v>10</v>
      </c>
      <c r="R359" s="31" t="s">
        <v>61</v>
      </c>
      <c r="S359" s="31" t="s">
        <v>62</v>
      </c>
      <c r="T359" s="31" t="s">
        <v>19506</v>
      </c>
      <c r="U359" s="31" t="n">
        <v>73</v>
      </c>
      <c r="V359" s="31" t="s">
        <v>16531</v>
      </c>
      <c r="W359" s="31" t="n">
        <v>11</v>
      </c>
      <c r="X359" s="31" t="s">
        <v>24117</v>
      </c>
      <c r="Y359" s="31" t="s">
        <v>24118</v>
      </c>
      <c r="Z359" s="31" t="s">
        <v>24119</v>
      </c>
      <c r="AA359" s="31" t="s">
        <v>24120</v>
      </c>
      <c r="AB359" s="31" t="s">
        <v>24121</v>
      </c>
      <c r="AC359" s="31" t="s">
        <v>24122</v>
      </c>
      <c r="AD359" s="31" t="s">
        <v>24123</v>
      </c>
      <c r="AE359" s="31" t="s">
        <v>24124</v>
      </c>
      <c r="AF359" s="31" t="s">
        <v>24125</v>
      </c>
      <c r="AG359" s="31" t="s">
        <v>24126</v>
      </c>
      <c r="AH359" s="31" t="s">
        <v>24127</v>
      </c>
      <c r="AI359" s="31" t="n">
        <v>23</v>
      </c>
      <c r="AJ359" s="31" t="n">
        <v>1</v>
      </c>
      <c r="AK359" s="31" t="n">
        <v>8</v>
      </c>
      <c r="AL359" s="31" t="s">
        <v>16539</v>
      </c>
      <c r="AM359" s="31" t="s">
        <v>16540</v>
      </c>
      <c r="AN359" s="31" t="s">
        <v>19517</v>
      </c>
      <c r="AO359" s="31" t="s">
        <v>19518</v>
      </c>
      <c r="AP359" s="31" t="s">
        <v>19519</v>
      </c>
      <c r="AQ359" s="31" t="s">
        <v>19520</v>
      </c>
      <c r="AR359" s="31" t="s">
        <v>21519</v>
      </c>
      <c r="AS359" s="31" t="s">
        <v>24128</v>
      </c>
      <c r="AT359" s="31" t="s">
        <v>24129</v>
      </c>
      <c r="AU359" s="31"/>
      <c r="AV359" s="31" t="s">
        <v>24130</v>
      </c>
      <c r="AW359" s="35" t="str">
        <f aca="false">HYPERLINK("http://dx.doi.org/10.1093/cid/ciaa1843","http://dx.doi.org/10.1093/cid/ciaa1843")</f>
        <v>http://dx.doi.org/10.1093/cid/ciaa1843</v>
      </c>
      <c r="AX359" s="31"/>
      <c r="AY359" s="31" t="n">
        <v>10</v>
      </c>
      <c r="AZ359" s="31" t="s">
        <v>19522</v>
      </c>
      <c r="BA359" s="31" t="s">
        <v>16366</v>
      </c>
      <c r="BB359" s="31" t="s">
        <v>19522</v>
      </c>
      <c r="BC359" s="31" t="s">
        <v>24131</v>
      </c>
      <c r="BD359" s="31" t="n">
        <v>33534888</v>
      </c>
      <c r="BE359" s="31" t="s">
        <v>24132</v>
      </c>
      <c r="BF359" s="31" t="s">
        <v>16369</v>
      </c>
      <c r="BG359" s="31" t="s">
        <v>24133</v>
      </c>
      <c r="BH359" s="31" t="str">
        <f aca="false">HYPERLINK("https%3A%2F%2Fwww.webofscience.com%2Fwos%2Fwoscc%2Ffull-record%2FWOS:000735309500047","View Full Record in Web of Science")</f>
        <v>View Full Record in Web of Science</v>
      </c>
      <c r="BI359" s="31"/>
      <c r="BJ359" s="31"/>
      <c r="BK359" s="31"/>
      <c r="BL359" s="31"/>
      <c r="BM359" s="31"/>
      <c r="BN359" s="31"/>
      <c r="BO359" s="31"/>
      <c r="BP359" s="31"/>
      <c r="BQ359" s="31"/>
      <c r="BR359" s="31"/>
      <c r="BS359" s="31"/>
      <c r="BT359" s="31"/>
      <c r="BU359" s="31"/>
      <c r="BV359" s="31"/>
      <c r="BW359" s="31"/>
      <c r="BX359" s="31"/>
      <c r="BY359" s="31"/>
      <c r="BZ359" s="31"/>
      <c r="CA359" s="31"/>
      <c r="CB359" s="31"/>
      <c r="CC359" s="31"/>
      <c r="CD359" s="31"/>
      <c r="CE359" s="31"/>
      <c r="CF359" s="31"/>
    </row>
    <row r="360" customFormat="false" ht="15.75" hidden="false" customHeight="true" outlineLevel="0" collapsed="false">
      <c r="A360" s="31" t="s">
        <v>16335</v>
      </c>
      <c r="B360" s="31" t="s">
        <v>24134</v>
      </c>
      <c r="C360" s="31" t="s">
        <v>24135</v>
      </c>
      <c r="D360" s="34" t="s">
        <v>24136</v>
      </c>
      <c r="E360" s="31" t="n">
        <v>2021</v>
      </c>
      <c r="F360" s="33" t="s">
        <v>24137</v>
      </c>
      <c r="G360" s="33" t="s">
        <v>134</v>
      </c>
      <c r="H360" s="32" t="s">
        <v>24138</v>
      </c>
      <c r="I360" s="32" t="s">
        <v>3715</v>
      </c>
      <c r="J360" s="34"/>
      <c r="K360" s="32" t="s">
        <v>21898</v>
      </c>
      <c r="L360" s="34"/>
      <c r="M360" s="34"/>
      <c r="N360" s="34"/>
      <c r="O360" s="34"/>
      <c r="P360" s="34" t="n">
        <v>17</v>
      </c>
      <c r="Q360" s="31" t="n">
        <v>18</v>
      </c>
      <c r="R360" s="31" t="s">
        <v>61</v>
      </c>
      <c r="S360" s="31" t="s">
        <v>62</v>
      </c>
      <c r="T360" s="31" t="s">
        <v>24139</v>
      </c>
      <c r="U360" s="31" t="n">
        <v>68</v>
      </c>
      <c r="V360" s="31" t="s">
        <v>16349</v>
      </c>
      <c r="W360" s="31"/>
      <c r="X360" s="31" t="s">
        <v>24140</v>
      </c>
      <c r="Y360" s="31" t="s">
        <v>24141</v>
      </c>
      <c r="Z360" s="31" t="s">
        <v>24142</v>
      </c>
      <c r="AA360" s="31" t="s">
        <v>24143</v>
      </c>
      <c r="AB360" s="31" t="s">
        <v>24144</v>
      </c>
      <c r="AC360" s="31" t="s">
        <v>24145</v>
      </c>
      <c r="AD360" s="31" t="s">
        <v>24146</v>
      </c>
      <c r="AE360" s="31" t="s">
        <v>24147</v>
      </c>
      <c r="AF360" s="31" t="s">
        <v>24148</v>
      </c>
      <c r="AG360" s="31" t="s">
        <v>24149</v>
      </c>
      <c r="AH360" s="31" t="s">
        <v>24150</v>
      </c>
      <c r="AI360" s="31" t="n">
        <v>90</v>
      </c>
      <c r="AJ360" s="31" t="n">
        <v>1</v>
      </c>
      <c r="AK360" s="31" t="n">
        <v>12</v>
      </c>
      <c r="AL360" s="31" t="s">
        <v>16356</v>
      </c>
      <c r="AM360" s="31" t="s">
        <v>16357</v>
      </c>
      <c r="AN360" s="31" t="s">
        <v>24151</v>
      </c>
      <c r="AO360" s="31"/>
      <c r="AP360" s="31" t="s">
        <v>24139</v>
      </c>
      <c r="AQ360" s="31" t="s">
        <v>24152</v>
      </c>
      <c r="AR360" s="31" t="s">
        <v>16683</v>
      </c>
      <c r="AS360" s="31"/>
      <c r="AT360" s="31"/>
      <c r="AU360" s="31" t="n">
        <v>103379</v>
      </c>
      <c r="AV360" s="31" t="s">
        <v>24153</v>
      </c>
      <c r="AW360" s="35" t="str">
        <f aca="false">HYPERLINK("http://dx.doi.org/10.1016/j.ebiom.2021.103379","http://dx.doi.org/10.1016/j.ebiom.2021.103379")</f>
        <v>http://dx.doi.org/10.1016/j.ebiom.2021.103379</v>
      </c>
      <c r="AX360" s="31" t="s">
        <v>22383</v>
      </c>
      <c r="AY360" s="31" t="n">
        <v>12</v>
      </c>
      <c r="AZ360" s="31" t="s">
        <v>24154</v>
      </c>
      <c r="BA360" s="31" t="s">
        <v>16366</v>
      </c>
      <c r="BB360" s="31" t="s">
        <v>24155</v>
      </c>
      <c r="BC360" s="31" t="s">
        <v>24156</v>
      </c>
      <c r="BD360" s="31" t="n">
        <v>34090257</v>
      </c>
      <c r="BE360" s="31" t="s">
        <v>16832</v>
      </c>
      <c r="BF360" s="31" t="s">
        <v>16369</v>
      </c>
      <c r="BG360" s="31" t="s">
        <v>24157</v>
      </c>
      <c r="BH360" s="31" t="str">
        <f aca="false">HYPERLINK("https%3A%2F%2Fwww.webofscience.com%2Fwos%2Fwoscc%2Ffull-record%2FWOS:000668948400012","View Full Record in Web of Science")</f>
        <v>View Full Record in Web of Science</v>
      </c>
      <c r="BI360" s="31"/>
      <c r="BJ360" s="31"/>
      <c r="BK360" s="31"/>
      <c r="BL360" s="31"/>
      <c r="BM360" s="31"/>
      <c r="BN360" s="31"/>
      <c r="BO360" s="31"/>
      <c r="BP360" s="31"/>
      <c r="BQ360" s="31"/>
      <c r="BR360" s="31"/>
      <c r="BS360" s="31"/>
      <c r="BT360" s="31"/>
      <c r="BU360" s="31"/>
      <c r="BV360" s="31"/>
      <c r="BW360" s="31"/>
      <c r="BX360" s="31"/>
      <c r="BY360" s="31"/>
      <c r="BZ360" s="31"/>
      <c r="CA360" s="31"/>
      <c r="CB360" s="31"/>
      <c r="CC360" s="31"/>
      <c r="CD360" s="31"/>
      <c r="CE360" s="31"/>
      <c r="CF360" s="31"/>
    </row>
    <row r="361" customFormat="false" ht="15.75" hidden="false" customHeight="true" outlineLevel="0" collapsed="false">
      <c r="A361" s="31" t="s">
        <v>16335</v>
      </c>
      <c r="B361" s="31" t="s">
        <v>24158</v>
      </c>
      <c r="C361" s="31" t="s">
        <v>24159</v>
      </c>
      <c r="D361" s="34" t="s">
        <v>24160</v>
      </c>
      <c r="E361" s="31" t="n">
        <v>2021</v>
      </c>
      <c r="F361" s="33" t="s">
        <v>24161</v>
      </c>
      <c r="G361" s="33" t="s">
        <v>290</v>
      </c>
      <c r="H361" s="32" t="s">
        <v>3729</v>
      </c>
      <c r="I361" s="34"/>
      <c r="J361" s="34"/>
      <c r="K361" s="34"/>
      <c r="L361" s="34"/>
      <c r="M361" s="34"/>
      <c r="N361" s="34"/>
      <c r="O361" s="34"/>
      <c r="P361" s="34" t="n">
        <v>0</v>
      </c>
      <c r="Q361" s="31" t="n">
        <v>0</v>
      </c>
      <c r="R361" s="31" t="s">
        <v>61</v>
      </c>
      <c r="S361" s="31" t="s">
        <v>62</v>
      </c>
      <c r="T361" s="31" t="s">
        <v>24162</v>
      </c>
      <c r="U361" s="31" t="n">
        <v>6</v>
      </c>
      <c r="V361" s="31" t="s">
        <v>24163</v>
      </c>
      <c r="W361" s="31" t="n">
        <v>3</v>
      </c>
      <c r="X361" s="31" t="s">
        <v>24164</v>
      </c>
      <c r="Y361" s="31" t="s">
        <v>24165</v>
      </c>
      <c r="Z361" s="31" t="s">
        <v>24166</v>
      </c>
      <c r="AA361" s="31" t="s">
        <v>24167</v>
      </c>
      <c r="AB361" s="31" t="s">
        <v>24168</v>
      </c>
      <c r="AC361" s="31" t="s">
        <v>24169</v>
      </c>
      <c r="AD361" s="31" t="s">
        <v>24170</v>
      </c>
      <c r="AE361" s="31" t="s">
        <v>24171</v>
      </c>
      <c r="AF361" s="31"/>
      <c r="AG361" s="31"/>
      <c r="AH361" s="31"/>
      <c r="AI361" s="31" t="n">
        <v>81</v>
      </c>
      <c r="AJ361" s="31" t="n">
        <v>1</v>
      </c>
      <c r="AK361" s="31" t="n">
        <v>13</v>
      </c>
      <c r="AL361" s="31" t="s">
        <v>16421</v>
      </c>
      <c r="AM361" s="31" t="s">
        <v>24172</v>
      </c>
      <c r="AN361" s="31" t="s">
        <v>24173</v>
      </c>
      <c r="AO361" s="31" t="s">
        <v>24174</v>
      </c>
      <c r="AP361" s="31" t="s">
        <v>24175</v>
      </c>
      <c r="AQ361" s="31" t="s">
        <v>24176</v>
      </c>
      <c r="AR361" s="31" t="s">
        <v>17248</v>
      </c>
      <c r="AS361" s="31"/>
      <c r="AT361" s="31"/>
      <c r="AU361" s="31" t="n">
        <v>20190029</v>
      </c>
      <c r="AV361" s="31" t="s">
        <v>24177</v>
      </c>
      <c r="AW361" s="35" t="str">
        <f aca="false">HYPERLINK("http://dx.doi.org/10.1515/psr-2019-0029","http://dx.doi.org/10.1515/psr-2019-0029")</f>
        <v>http://dx.doi.org/10.1515/psr-2019-0029</v>
      </c>
      <c r="AX361" s="31"/>
      <c r="AY361" s="31" t="n">
        <v>14</v>
      </c>
      <c r="AZ361" s="31" t="s">
        <v>16428</v>
      </c>
      <c r="BA361" s="31" t="s">
        <v>16684</v>
      </c>
      <c r="BB361" s="31" t="s">
        <v>16429</v>
      </c>
      <c r="BC361" s="31" t="s">
        <v>24178</v>
      </c>
      <c r="BD361" s="31"/>
      <c r="BE361" s="31"/>
      <c r="BF361" s="31" t="s">
        <v>16369</v>
      </c>
      <c r="BG361" s="31" t="s">
        <v>24179</v>
      </c>
      <c r="BH361" s="31" t="str">
        <f aca="false">HYPERLINK("https%3A%2F%2Fwww.webofscience.com%2Fwos%2Fwoscc%2Ffull-record%2FWOS:000631640900006","View Full Record in Web of Science")</f>
        <v>View Full Record in Web of Science</v>
      </c>
      <c r="BI361" s="31"/>
      <c r="BJ361" s="31"/>
      <c r="BK361" s="31"/>
      <c r="BL361" s="31"/>
      <c r="BM361" s="31"/>
      <c r="BN361" s="31"/>
      <c r="BO361" s="31"/>
      <c r="BP361" s="31"/>
      <c r="BQ361" s="31"/>
      <c r="BR361" s="31"/>
      <c r="BS361" s="31"/>
      <c r="BT361" s="31"/>
      <c r="BU361" s="31"/>
      <c r="BV361" s="31"/>
      <c r="BW361" s="31"/>
      <c r="BX361" s="31"/>
      <c r="BY361" s="31"/>
      <c r="BZ361" s="31"/>
      <c r="CA361" s="31"/>
      <c r="CB361" s="31"/>
      <c r="CC361" s="31"/>
      <c r="CD361" s="31"/>
      <c r="CE361" s="31"/>
      <c r="CF361" s="31"/>
    </row>
    <row r="362" customFormat="false" ht="15.75" hidden="false" customHeight="true" outlineLevel="0" collapsed="false">
      <c r="A362" s="31" t="s">
        <v>16335</v>
      </c>
      <c r="B362" s="31" t="s">
        <v>24180</v>
      </c>
      <c r="C362" s="31" t="s">
        <v>24181</v>
      </c>
      <c r="D362" s="34" t="s">
        <v>24182</v>
      </c>
      <c r="E362" s="31" t="n">
        <v>2021</v>
      </c>
      <c r="F362" s="33" t="s">
        <v>24183</v>
      </c>
      <c r="G362" s="33" t="s">
        <v>134</v>
      </c>
      <c r="H362" s="32" t="s">
        <v>24184</v>
      </c>
      <c r="I362" s="34"/>
      <c r="J362" s="34"/>
      <c r="K362" s="32" t="s">
        <v>22363</v>
      </c>
      <c r="L362" s="34"/>
      <c r="M362" s="34"/>
      <c r="N362" s="34"/>
      <c r="O362" s="34"/>
      <c r="P362" s="34" t="n">
        <v>6</v>
      </c>
      <c r="Q362" s="31" t="n">
        <v>6</v>
      </c>
      <c r="R362" s="31" t="s">
        <v>61</v>
      </c>
      <c r="S362" s="31" t="s">
        <v>62</v>
      </c>
      <c r="T362" s="31" t="s">
        <v>16413</v>
      </c>
      <c r="U362" s="31" t="n">
        <v>11</v>
      </c>
      <c r="V362" s="31" t="s">
        <v>16414</v>
      </c>
      <c r="W362" s="31" t="n">
        <v>1</v>
      </c>
      <c r="X362" s="31"/>
      <c r="Y362" s="31" t="s">
        <v>24185</v>
      </c>
      <c r="Z362" s="31" t="s">
        <v>24186</v>
      </c>
      <c r="AA362" s="31" t="s">
        <v>24187</v>
      </c>
      <c r="AB362" s="31" t="s">
        <v>24188</v>
      </c>
      <c r="AC362" s="31" t="s">
        <v>24189</v>
      </c>
      <c r="AD362" s="31" t="s">
        <v>24190</v>
      </c>
      <c r="AE362" s="31" t="s">
        <v>24191</v>
      </c>
      <c r="AF362" s="31" t="s">
        <v>24192</v>
      </c>
      <c r="AG362" s="31" t="s">
        <v>24193</v>
      </c>
      <c r="AH362" s="31" t="s">
        <v>24194</v>
      </c>
      <c r="AI362" s="31" t="n">
        <v>24</v>
      </c>
      <c r="AJ362" s="31" t="n">
        <v>0</v>
      </c>
      <c r="AK362" s="31" t="n">
        <v>5</v>
      </c>
      <c r="AL362" s="31" t="s">
        <v>16421</v>
      </c>
      <c r="AM362" s="31" t="s">
        <v>16422</v>
      </c>
      <c r="AN362" s="31" t="s">
        <v>16423</v>
      </c>
      <c r="AO362" s="31"/>
      <c r="AP362" s="31" t="s">
        <v>16424</v>
      </c>
      <c r="AQ362" s="31" t="s">
        <v>16425</v>
      </c>
      <c r="AR362" s="31" t="s">
        <v>24195</v>
      </c>
      <c r="AS362" s="31"/>
      <c r="AT362" s="31"/>
      <c r="AU362" s="31" t="n">
        <v>6770</v>
      </c>
      <c r="AV362" s="31" t="s">
        <v>24196</v>
      </c>
      <c r="AW362" s="35" t="str">
        <f aca="false">HYPERLINK("http://dx.doi.org/10.1038/s41598-021-86361-5","http://dx.doi.org/10.1038/s41598-021-86361-5")</f>
        <v>http://dx.doi.org/10.1038/s41598-021-86361-5</v>
      </c>
      <c r="AX362" s="31"/>
      <c r="AY362" s="31" t="n">
        <v>7</v>
      </c>
      <c r="AZ362" s="31" t="s">
        <v>16428</v>
      </c>
      <c r="BA362" s="31" t="s">
        <v>16366</v>
      </c>
      <c r="BB362" s="31" t="s">
        <v>16429</v>
      </c>
      <c r="BC362" s="31" t="s">
        <v>24197</v>
      </c>
      <c r="BD362" s="31" t="n">
        <v>33762667</v>
      </c>
      <c r="BE362" s="31" t="s">
        <v>17143</v>
      </c>
      <c r="BF362" s="31" t="s">
        <v>16369</v>
      </c>
      <c r="BG362" s="31" t="s">
        <v>24198</v>
      </c>
      <c r="BH362" s="31" t="str">
        <f aca="false">HYPERLINK("https%3A%2F%2Fwww.webofscience.com%2Fwos%2Fwoscc%2Ffull-record%2FWOS:000634972100020","View Full Record in Web of Science")</f>
        <v>View Full Record in Web of Science</v>
      </c>
      <c r="BI362" s="31"/>
      <c r="BJ362" s="31"/>
      <c r="BK362" s="31"/>
      <c r="BL362" s="31"/>
      <c r="BM362" s="31"/>
      <c r="BN362" s="31"/>
      <c r="BO362" s="31"/>
      <c r="BP362" s="31"/>
      <c r="BQ362" s="31"/>
      <c r="BR362" s="31"/>
      <c r="BS362" s="31"/>
      <c r="BT362" s="31"/>
      <c r="BU362" s="31"/>
      <c r="BV362" s="31"/>
      <c r="BW362" s="31"/>
      <c r="BX362" s="31"/>
      <c r="BY362" s="31"/>
      <c r="BZ362" s="31"/>
      <c r="CA362" s="31"/>
      <c r="CB362" s="31"/>
      <c r="CC362" s="31"/>
      <c r="CD362" s="31"/>
      <c r="CE362" s="31"/>
      <c r="CF362" s="31"/>
    </row>
    <row r="363" customFormat="false" ht="15.75" hidden="false" customHeight="true" outlineLevel="0" collapsed="false">
      <c r="A363" s="31" t="s">
        <v>16335</v>
      </c>
      <c r="B363" s="31" t="s">
        <v>24199</v>
      </c>
      <c r="C363" s="31" t="s">
        <v>24200</v>
      </c>
      <c r="D363" s="34" t="s">
        <v>24201</v>
      </c>
      <c r="E363" s="31" t="n">
        <v>2021</v>
      </c>
      <c r="F363" s="33" t="s">
        <v>24202</v>
      </c>
      <c r="G363" s="33" t="s">
        <v>134</v>
      </c>
      <c r="H363" s="32" t="s">
        <v>5021</v>
      </c>
      <c r="I363" s="34"/>
      <c r="J363" s="34"/>
      <c r="K363" s="32" t="s">
        <v>16409</v>
      </c>
      <c r="L363" s="34"/>
      <c r="M363" s="34"/>
      <c r="N363" s="34"/>
      <c r="O363" s="34"/>
      <c r="P363" s="34" t="n">
        <v>14</v>
      </c>
      <c r="Q363" s="31" t="n">
        <v>14</v>
      </c>
      <c r="R363" s="31" t="s">
        <v>61</v>
      </c>
      <c r="S363" s="31" t="s">
        <v>62</v>
      </c>
      <c r="T363" s="31" t="s">
        <v>16413</v>
      </c>
      <c r="U363" s="31" t="n">
        <v>11</v>
      </c>
      <c r="V363" s="31" t="s">
        <v>16414</v>
      </c>
      <c r="W363" s="31" t="n">
        <v>1</v>
      </c>
      <c r="X363" s="31"/>
      <c r="Y363" s="31" t="s">
        <v>24203</v>
      </c>
      <c r="Z363" s="31" t="s">
        <v>24204</v>
      </c>
      <c r="AA363" s="31" t="s">
        <v>24205</v>
      </c>
      <c r="AB363" s="31" t="s">
        <v>24206</v>
      </c>
      <c r="AC363" s="31" t="s">
        <v>24207</v>
      </c>
      <c r="AD363" s="31" t="s">
        <v>24208</v>
      </c>
      <c r="AE363" s="31" t="s">
        <v>24209</v>
      </c>
      <c r="AF363" s="31" t="s">
        <v>24210</v>
      </c>
      <c r="AG363" s="31" t="s">
        <v>24211</v>
      </c>
      <c r="AH363" s="31" t="s">
        <v>24212</v>
      </c>
      <c r="AI363" s="31" t="n">
        <v>55</v>
      </c>
      <c r="AJ363" s="31" t="n">
        <v>3</v>
      </c>
      <c r="AK363" s="31" t="n">
        <v>9</v>
      </c>
      <c r="AL363" s="31" t="s">
        <v>16421</v>
      </c>
      <c r="AM363" s="31" t="s">
        <v>16422</v>
      </c>
      <c r="AN363" s="31" t="s">
        <v>16423</v>
      </c>
      <c r="AO363" s="31"/>
      <c r="AP363" s="31" t="s">
        <v>16424</v>
      </c>
      <c r="AQ363" s="31" t="s">
        <v>16425</v>
      </c>
      <c r="AR363" s="31" t="s">
        <v>24213</v>
      </c>
      <c r="AS363" s="31"/>
      <c r="AT363" s="31"/>
      <c r="AU363" s="31" t="n">
        <v>16919</v>
      </c>
      <c r="AV363" s="31" t="s">
        <v>24214</v>
      </c>
      <c r="AW363" s="35" t="str">
        <f aca="false">HYPERLINK("http://dx.doi.org/10.1038/s41598-021-96475-5","http://dx.doi.org/10.1038/s41598-021-96475-5")</f>
        <v>http://dx.doi.org/10.1038/s41598-021-96475-5</v>
      </c>
      <c r="AX363" s="31"/>
      <c r="AY363" s="31" t="n">
        <v>10</v>
      </c>
      <c r="AZ363" s="31" t="s">
        <v>16428</v>
      </c>
      <c r="BA363" s="31" t="s">
        <v>16366</v>
      </c>
      <c r="BB363" s="31" t="s">
        <v>16429</v>
      </c>
      <c r="BC363" s="31" t="s">
        <v>24215</v>
      </c>
      <c r="BD363" s="31" t="n">
        <v>34413434</v>
      </c>
      <c r="BE363" s="31" t="s">
        <v>19056</v>
      </c>
      <c r="BF363" s="31" t="s">
        <v>16369</v>
      </c>
      <c r="BG363" s="31" t="s">
        <v>24216</v>
      </c>
      <c r="BH363" s="31" t="str">
        <f aca="false">HYPERLINK("https%3A%2F%2Fwww.webofscience.com%2Fwos%2Fwoscc%2Ffull-record%2FWOS:000686768700100","View Full Record in Web of Science")</f>
        <v>View Full Record in Web of Science</v>
      </c>
      <c r="BI363" s="31"/>
      <c r="BJ363" s="31"/>
      <c r="BK363" s="31"/>
      <c r="BL363" s="31"/>
      <c r="BM363" s="31"/>
      <c r="BN363" s="31"/>
      <c r="BO363" s="31"/>
      <c r="BP363" s="31"/>
      <c r="BQ363" s="31"/>
      <c r="BR363" s="31"/>
      <c r="BS363" s="31"/>
      <c r="BT363" s="31"/>
      <c r="BU363" s="31"/>
      <c r="BV363" s="31"/>
      <c r="BW363" s="31"/>
      <c r="BX363" s="31"/>
      <c r="BY363" s="31"/>
      <c r="BZ363" s="31"/>
      <c r="CA363" s="31"/>
      <c r="CB363" s="31"/>
      <c r="CC363" s="31"/>
      <c r="CD363" s="31"/>
      <c r="CE363" s="31"/>
      <c r="CF363" s="31"/>
    </row>
    <row r="364" customFormat="false" ht="15.75" hidden="false" customHeight="true" outlineLevel="0" collapsed="false">
      <c r="A364" s="31" t="s">
        <v>16335</v>
      </c>
      <c r="B364" s="31" t="s">
        <v>24217</v>
      </c>
      <c r="C364" s="31" t="s">
        <v>24218</v>
      </c>
      <c r="D364" s="34" t="s">
        <v>24219</v>
      </c>
      <c r="E364" s="31" t="n">
        <v>2021</v>
      </c>
      <c r="F364" s="33" t="s">
        <v>24220</v>
      </c>
      <c r="G364" s="33" t="s">
        <v>134</v>
      </c>
      <c r="H364" s="32" t="s">
        <v>24221</v>
      </c>
      <c r="I364" s="32" t="s">
        <v>3715</v>
      </c>
      <c r="J364" s="32" t="s">
        <v>20908</v>
      </c>
      <c r="K364" s="32" t="s">
        <v>16409</v>
      </c>
      <c r="L364" s="34"/>
      <c r="M364" s="34"/>
      <c r="N364" s="34"/>
      <c r="O364" s="34"/>
      <c r="P364" s="34" t="n">
        <v>47</v>
      </c>
      <c r="Q364" s="31" t="n">
        <v>49</v>
      </c>
      <c r="R364" s="31" t="s">
        <v>61</v>
      </c>
      <c r="S364" s="31" t="s">
        <v>62</v>
      </c>
      <c r="T364" s="31" t="s">
        <v>24222</v>
      </c>
      <c r="U364" s="31" t="n">
        <v>25</v>
      </c>
      <c r="V364" s="31" t="s">
        <v>16384</v>
      </c>
      <c r="W364" s="31" t="n">
        <v>5</v>
      </c>
      <c r="X364" s="31" t="s">
        <v>24223</v>
      </c>
      <c r="Y364" s="31" t="s">
        <v>22394</v>
      </c>
      <c r="Z364" s="31" t="s">
        <v>24224</v>
      </c>
      <c r="AA364" s="31" t="s">
        <v>24225</v>
      </c>
      <c r="AB364" s="31" t="s">
        <v>24226</v>
      </c>
      <c r="AC364" s="31" t="s">
        <v>24227</v>
      </c>
      <c r="AD364" s="31" t="s">
        <v>24228</v>
      </c>
      <c r="AE364" s="31" t="s">
        <v>24229</v>
      </c>
      <c r="AF364" s="31" t="s">
        <v>24230</v>
      </c>
      <c r="AG364" s="31" t="s">
        <v>24231</v>
      </c>
      <c r="AH364" s="31" t="s">
        <v>24232</v>
      </c>
      <c r="AI364" s="31" t="n">
        <v>54</v>
      </c>
      <c r="AJ364" s="31" t="n">
        <v>3</v>
      </c>
      <c r="AK364" s="31" t="n">
        <v>24</v>
      </c>
      <c r="AL364" s="31" t="s">
        <v>16395</v>
      </c>
      <c r="AM364" s="31" t="s">
        <v>16396</v>
      </c>
      <c r="AN364" s="31" t="s">
        <v>24233</v>
      </c>
      <c r="AO364" s="31" t="s">
        <v>24234</v>
      </c>
      <c r="AP364" s="31" t="s">
        <v>24235</v>
      </c>
      <c r="AQ364" s="31" t="s">
        <v>24236</v>
      </c>
      <c r="AR364" s="31" t="s">
        <v>17056</v>
      </c>
      <c r="AS364" s="31" t="n">
        <v>1735</v>
      </c>
      <c r="AT364" s="31" t="n">
        <v>1746</v>
      </c>
      <c r="AU364" s="31"/>
      <c r="AV364" s="31" t="s">
        <v>24237</v>
      </c>
      <c r="AW364" s="35" t="str">
        <f aca="false">HYPERLINK("http://dx.doi.org/10.1109/JBHI.2020.3034863","http://dx.doi.org/10.1109/JBHI.2020.3034863")</f>
        <v>http://dx.doi.org/10.1109/JBHI.2020.3034863</v>
      </c>
      <c r="AX364" s="31"/>
      <c r="AY364" s="31" t="n">
        <v>12</v>
      </c>
      <c r="AZ364" s="31" t="s">
        <v>24238</v>
      </c>
      <c r="BA364" s="31" t="s">
        <v>16366</v>
      </c>
      <c r="BB364" s="31" t="s">
        <v>24239</v>
      </c>
      <c r="BC364" s="31" t="s">
        <v>24240</v>
      </c>
      <c r="BD364" s="31" t="n">
        <v>33119516</v>
      </c>
      <c r="BE364" s="31" t="s">
        <v>17842</v>
      </c>
      <c r="BF364" s="31" t="s">
        <v>16369</v>
      </c>
      <c r="BG364" s="31" t="s">
        <v>24241</v>
      </c>
      <c r="BH364" s="31" t="str">
        <f aca="false">HYPERLINK("https%3A%2F%2Fwww.webofscience.com%2Fwos%2Fwoscc%2Ffull-record%2FWOS:000649625200037","View Full Record in Web of Science")</f>
        <v>View Full Record in Web of Science</v>
      </c>
      <c r="BI364" s="31"/>
      <c r="BJ364" s="31"/>
      <c r="BK364" s="31"/>
      <c r="BL364" s="31"/>
      <c r="BM364" s="31"/>
      <c r="BN364" s="31"/>
      <c r="BO364" s="31"/>
      <c r="BP364" s="31"/>
      <c r="BQ364" s="31"/>
      <c r="BR364" s="31"/>
      <c r="BS364" s="31"/>
      <c r="BT364" s="31"/>
      <c r="BU364" s="31"/>
      <c r="BV364" s="31"/>
      <c r="BW364" s="31"/>
      <c r="BX364" s="31"/>
      <c r="BY364" s="31"/>
      <c r="BZ364" s="31"/>
      <c r="CA364" s="31"/>
      <c r="CB364" s="31"/>
      <c r="CC364" s="31"/>
      <c r="CD364" s="31"/>
      <c r="CE364" s="31"/>
      <c r="CF364" s="31"/>
    </row>
    <row r="365" customFormat="false" ht="15.75" hidden="false" customHeight="true" outlineLevel="0" collapsed="false">
      <c r="A365" s="31" t="s">
        <v>16335</v>
      </c>
      <c r="B365" s="31" t="s">
        <v>24242</v>
      </c>
      <c r="C365" s="31" t="s">
        <v>24243</v>
      </c>
      <c r="D365" s="34" t="s">
        <v>24244</v>
      </c>
      <c r="E365" s="31" t="n">
        <v>2021</v>
      </c>
      <c r="F365" s="33" t="s">
        <v>24245</v>
      </c>
      <c r="G365" s="33" t="s">
        <v>134</v>
      </c>
      <c r="H365" s="32" t="s">
        <v>24246</v>
      </c>
      <c r="I365" s="32" t="s">
        <v>3920</v>
      </c>
      <c r="J365" s="34"/>
      <c r="K365" s="32" t="s">
        <v>24247</v>
      </c>
      <c r="L365" s="34"/>
      <c r="M365" s="32" t="s">
        <v>24248</v>
      </c>
      <c r="N365" s="34"/>
      <c r="O365" s="34"/>
      <c r="P365" s="34" t="n">
        <v>2</v>
      </c>
      <c r="Q365" s="31" t="n">
        <v>3</v>
      </c>
      <c r="R365" s="31" t="s">
        <v>61</v>
      </c>
      <c r="S365" s="31" t="s">
        <v>62</v>
      </c>
      <c r="T365" s="31" t="s">
        <v>24249</v>
      </c>
      <c r="U365" s="31" t="n">
        <v>21</v>
      </c>
      <c r="V365" s="31" t="s">
        <v>17599</v>
      </c>
      <c r="W365" s="31" t="n">
        <v>1</v>
      </c>
      <c r="X365" s="31" t="s">
        <v>24250</v>
      </c>
      <c r="Y365" s="31" t="s">
        <v>24251</v>
      </c>
      <c r="Z365" s="31" t="s">
        <v>24252</v>
      </c>
      <c r="AA365" s="31" t="s">
        <v>24253</v>
      </c>
      <c r="AB365" s="31" t="s">
        <v>24254</v>
      </c>
      <c r="AC365" s="31" t="s">
        <v>24255</v>
      </c>
      <c r="AD365" s="31"/>
      <c r="AE365" s="31" t="s">
        <v>24256</v>
      </c>
      <c r="AF365" s="31" t="s">
        <v>24257</v>
      </c>
      <c r="AG365" s="31" t="s">
        <v>24258</v>
      </c>
      <c r="AH365" s="31" t="s">
        <v>24259</v>
      </c>
      <c r="AI365" s="31" t="n">
        <v>49</v>
      </c>
      <c r="AJ365" s="31" t="n">
        <v>0</v>
      </c>
      <c r="AK365" s="31" t="n">
        <v>2</v>
      </c>
      <c r="AL365" s="31" t="s">
        <v>16821</v>
      </c>
      <c r="AM365" s="31" t="s">
        <v>17609</v>
      </c>
      <c r="AN365" s="31"/>
      <c r="AO365" s="31" t="s">
        <v>24260</v>
      </c>
      <c r="AP365" s="31" t="s">
        <v>24249</v>
      </c>
      <c r="AQ365" s="31" t="s">
        <v>24261</v>
      </c>
      <c r="AR365" s="31" t="s">
        <v>24262</v>
      </c>
      <c r="AS365" s="31"/>
      <c r="AT365" s="31"/>
      <c r="AU365" s="31" t="n">
        <v>1787</v>
      </c>
      <c r="AV365" s="31" t="s">
        <v>24263</v>
      </c>
      <c r="AW365" s="35" t="str">
        <f aca="false">HYPERLINK("http://dx.doi.org/10.1186/s12889-021-11829-y","http://dx.doi.org/10.1186/s12889-021-11829-y")</f>
        <v>http://dx.doi.org/10.1186/s12889-021-11829-y</v>
      </c>
      <c r="AX365" s="31"/>
      <c r="AY365" s="31" t="n">
        <v>11</v>
      </c>
      <c r="AZ365" s="31" t="s">
        <v>16583</v>
      </c>
      <c r="BA365" s="31" t="s">
        <v>16366</v>
      </c>
      <c r="BB365" s="31" t="s">
        <v>16583</v>
      </c>
      <c r="BC365" s="31" t="s">
        <v>24264</v>
      </c>
      <c r="BD365" s="31" t="n">
        <v>34607591</v>
      </c>
      <c r="BE365" s="31" t="s">
        <v>17143</v>
      </c>
      <c r="BF365" s="31" t="s">
        <v>16369</v>
      </c>
      <c r="BG365" s="31" t="s">
        <v>24265</v>
      </c>
      <c r="BH365" s="31" t="str">
        <f aca="false">HYPERLINK("https%3A%2F%2Fwww.webofscience.com%2Fwos%2Fwoscc%2Ffull-record%2FWOS:000703478800001","View Full Record in Web of Science")</f>
        <v>View Full Record in Web of Science</v>
      </c>
      <c r="BI365" s="31"/>
      <c r="BJ365" s="31"/>
      <c r="BK365" s="31"/>
      <c r="BL365" s="31"/>
      <c r="BM365" s="31"/>
      <c r="BN365" s="31"/>
      <c r="BO365" s="31"/>
      <c r="BP365" s="31"/>
      <c r="BQ365" s="31"/>
      <c r="BR365" s="31"/>
      <c r="BS365" s="31"/>
      <c r="BT365" s="31"/>
      <c r="BU365" s="31"/>
      <c r="BV365" s="31"/>
      <c r="BW365" s="31"/>
      <c r="BX365" s="31"/>
      <c r="BY365" s="31"/>
      <c r="BZ365" s="31"/>
      <c r="CA365" s="31"/>
      <c r="CB365" s="31"/>
      <c r="CC365" s="31"/>
      <c r="CD365" s="31"/>
      <c r="CE365" s="31"/>
      <c r="CF365" s="31"/>
    </row>
    <row r="366" customFormat="false" ht="15.75" hidden="false" customHeight="true" outlineLevel="0" collapsed="false">
      <c r="A366" s="31" t="s">
        <v>16335</v>
      </c>
      <c r="B366" s="31" t="s">
        <v>24266</v>
      </c>
      <c r="C366" s="31" t="s">
        <v>24267</v>
      </c>
      <c r="D366" s="34" t="s">
        <v>24268</v>
      </c>
      <c r="E366" s="31" t="n">
        <v>2021</v>
      </c>
      <c r="F366" s="33" t="s">
        <v>24269</v>
      </c>
      <c r="G366" s="33" t="s">
        <v>349</v>
      </c>
      <c r="H366" s="32" t="s">
        <v>24270</v>
      </c>
      <c r="I366" s="32" t="s">
        <v>24271</v>
      </c>
      <c r="J366" s="34"/>
      <c r="K366" s="32" t="s">
        <v>16753</v>
      </c>
      <c r="L366" s="34"/>
      <c r="M366" s="34"/>
      <c r="N366" s="34"/>
      <c r="O366" s="34"/>
      <c r="P366" s="34" t="n">
        <v>5</v>
      </c>
      <c r="Q366" s="31" t="n">
        <v>5</v>
      </c>
      <c r="R366" s="31" t="s">
        <v>61</v>
      </c>
      <c r="S366" s="31" t="s">
        <v>62</v>
      </c>
      <c r="T366" s="31" t="s">
        <v>22500</v>
      </c>
      <c r="U366" s="31" t="n">
        <v>8</v>
      </c>
      <c r="V366" s="31" t="s">
        <v>16531</v>
      </c>
      <c r="W366" s="31" t="n">
        <v>7</v>
      </c>
      <c r="X366" s="31" t="s">
        <v>24272</v>
      </c>
      <c r="Y366" s="31" t="s">
        <v>24273</v>
      </c>
      <c r="Z366" s="31" t="s">
        <v>24274</v>
      </c>
      <c r="AA366" s="31" t="s">
        <v>24275</v>
      </c>
      <c r="AB366" s="31" t="s">
        <v>24276</v>
      </c>
      <c r="AC366" s="31" t="s">
        <v>24277</v>
      </c>
      <c r="AD366" s="31" t="s">
        <v>24278</v>
      </c>
      <c r="AE366" s="31" t="s">
        <v>24279</v>
      </c>
      <c r="AF366" s="31" t="s">
        <v>24280</v>
      </c>
      <c r="AG366" s="31" t="s">
        <v>24281</v>
      </c>
      <c r="AH366" s="31" t="s">
        <v>24282</v>
      </c>
      <c r="AI366" s="31" t="n">
        <v>43</v>
      </c>
      <c r="AJ366" s="31" t="n">
        <v>1</v>
      </c>
      <c r="AK366" s="31" t="n">
        <v>4</v>
      </c>
      <c r="AL366" s="31" t="s">
        <v>16539</v>
      </c>
      <c r="AM366" s="31" t="s">
        <v>16540</v>
      </c>
      <c r="AN366" s="31" t="s">
        <v>22511</v>
      </c>
      <c r="AO366" s="31"/>
      <c r="AP366" s="31" t="s">
        <v>22512</v>
      </c>
      <c r="AQ366" s="31" t="s">
        <v>22513</v>
      </c>
      <c r="AR366" s="31" t="s">
        <v>20025</v>
      </c>
      <c r="AS366" s="31"/>
      <c r="AT366" s="31"/>
      <c r="AU366" s="31" t="s">
        <v>24283</v>
      </c>
      <c r="AV366" s="31" t="s">
        <v>24284</v>
      </c>
      <c r="AW366" s="35" t="str">
        <f aca="false">HYPERLINK("http://dx.doi.org/10.1093/ofid/ofab179","http://dx.doi.org/10.1093/ofid/ofab179")</f>
        <v>http://dx.doi.org/10.1093/ofid/ofab179</v>
      </c>
      <c r="AX366" s="31" t="s">
        <v>24285</v>
      </c>
      <c r="AY366" s="31" t="n">
        <v>10</v>
      </c>
      <c r="AZ366" s="31" t="s">
        <v>19522</v>
      </c>
      <c r="BA366" s="31" t="s">
        <v>16366</v>
      </c>
      <c r="BB366" s="31" t="s">
        <v>19522</v>
      </c>
      <c r="BC366" s="31" t="s">
        <v>24286</v>
      </c>
      <c r="BD366" s="31" t="n">
        <v>34307724</v>
      </c>
      <c r="BE366" s="31" t="s">
        <v>17325</v>
      </c>
      <c r="BF366" s="31" t="s">
        <v>16369</v>
      </c>
      <c r="BG366" s="31" t="s">
        <v>24287</v>
      </c>
      <c r="BH366" s="31" t="str">
        <f aca="false">HYPERLINK("https%3A%2F%2Fwww.webofscience.com%2Fwos%2Fwoscc%2Ffull-record%2FWOS:000698980600018","View Full Record in Web of Science")</f>
        <v>View Full Record in Web of Science</v>
      </c>
      <c r="BI366" s="31"/>
      <c r="BJ366" s="31"/>
      <c r="BK366" s="31"/>
      <c r="BL366" s="31"/>
      <c r="BM366" s="31"/>
      <c r="BN366" s="31"/>
      <c r="BO366" s="31"/>
      <c r="BP366" s="31"/>
      <c r="BQ366" s="31"/>
      <c r="BR366" s="31"/>
      <c r="BS366" s="31"/>
      <c r="BT366" s="31"/>
      <c r="BU366" s="31"/>
      <c r="BV366" s="31"/>
      <c r="BW366" s="31"/>
      <c r="BX366" s="31"/>
      <c r="BY366" s="31"/>
      <c r="BZ366" s="31"/>
      <c r="CA366" s="31"/>
      <c r="CB366" s="31"/>
      <c r="CC366" s="31"/>
      <c r="CD366" s="31"/>
      <c r="CE366" s="31"/>
      <c r="CF366" s="31"/>
    </row>
    <row r="367" customFormat="false" ht="15.75" hidden="false" customHeight="true" outlineLevel="0" collapsed="false">
      <c r="A367" s="31" t="s">
        <v>16335</v>
      </c>
      <c r="B367" s="31" t="s">
        <v>24288</v>
      </c>
      <c r="C367" s="31" t="s">
        <v>24289</v>
      </c>
      <c r="D367" s="34" t="s">
        <v>24290</v>
      </c>
      <c r="E367" s="31" t="n">
        <v>2021</v>
      </c>
      <c r="F367" s="33" t="s">
        <v>24291</v>
      </c>
      <c r="G367" s="33" t="s">
        <v>134</v>
      </c>
      <c r="H367" s="32" t="s">
        <v>24292</v>
      </c>
      <c r="I367" s="34"/>
      <c r="J367" s="34"/>
      <c r="K367" s="34"/>
      <c r="L367" s="34"/>
      <c r="M367" s="34"/>
      <c r="N367" s="34"/>
      <c r="O367" s="34"/>
      <c r="P367" s="34" t="n">
        <v>35</v>
      </c>
      <c r="Q367" s="31" t="n">
        <v>35</v>
      </c>
      <c r="R367" s="31" t="s">
        <v>61</v>
      </c>
      <c r="S367" s="31" t="s">
        <v>62</v>
      </c>
      <c r="T367" s="31" t="s">
        <v>16413</v>
      </c>
      <c r="U367" s="31" t="n">
        <v>11</v>
      </c>
      <c r="V367" s="31" t="s">
        <v>16414</v>
      </c>
      <c r="W367" s="31" t="n">
        <v>1</v>
      </c>
      <c r="X367" s="31"/>
      <c r="Y367" s="31" t="s">
        <v>24293</v>
      </c>
      <c r="Z367" s="31" t="s">
        <v>24294</v>
      </c>
      <c r="AA367" s="31" t="s">
        <v>24295</v>
      </c>
      <c r="AB367" s="31" t="s">
        <v>24296</v>
      </c>
      <c r="AC367" s="31" t="s">
        <v>24297</v>
      </c>
      <c r="AD367" s="31" t="s">
        <v>24298</v>
      </c>
      <c r="AE367" s="31" t="s">
        <v>24299</v>
      </c>
      <c r="AF367" s="31" t="s">
        <v>24300</v>
      </c>
      <c r="AG367" s="31" t="s">
        <v>24301</v>
      </c>
      <c r="AH367" s="31" t="s">
        <v>24302</v>
      </c>
      <c r="AI367" s="31" t="n">
        <v>49</v>
      </c>
      <c r="AJ367" s="31" t="n">
        <v>3</v>
      </c>
      <c r="AK367" s="31" t="n">
        <v>26</v>
      </c>
      <c r="AL367" s="31" t="s">
        <v>16421</v>
      </c>
      <c r="AM367" s="31" t="s">
        <v>16422</v>
      </c>
      <c r="AN367" s="31" t="s">
        <v>16423</v>
      </c>
      <c r="AO367" s="31"/>
      <c r="AP367" s="31" t="s">
        <v>16424</v>
      </c>
      <c r="AQ367" s="31" t="s">
        <v>16425</v>
      </c>
      <c r="AR367" s="31" t="s">
        <v>17612</v>
      </c>
      <c r="AS367" s="31"/>
      <c r="AT367" s="31"/>
      <c r="AU367" s="31" t="n">
        <v>4718</v>
      </c>
      <c r="AV367" s="31" t="s">
        <v>24303</v>
      </c>
      <c r="AW367" s="35" t="str">
        <f aca="false">HYPERLINK("http://dx.doi.org/10.1038/s41598-021-83657-4","http://dx.doi.org/10.1038/s41598-021-83657-4")</f>
        <v>http://dx.doi.org/10.1038/s41598-021-83657-4</v>
      </c>
      <c r="AX367" s="31"/>
      <c r="AY367" s="31" t="n">
        <v>12</v>
      </c>
      <c r="AZ367" s="31" t="s">
        <v>16428</v>
      </c>
      <c r="BA367" s="31" t="s">
        <v>16366</v>
      </c>
      <c r="BB367" s="31" t="s">
        <v>16429</v>
      </c>
      <c r="BC367" s="31" t="s">
        <v>24304</v>
      </c>
      <c r="BD367" s="31" t="n">
        <v>33633197</v>
      </c>
      <c r="BE367" s="31" t="s">
        <v>17143</v>
      </c>
      <c r="BF367" s="31" t="s">
        <v>16369</v>
      </c>
      <c r="BG367" s="31" t="s">
        <v>24305</v>
      </c>
      <c r="BH367" s="31" t="str">
        <f aca="false">HYPERLINK("https%3A%2F%2Fwww.webofscience.com%2Fwos%2Fwoscc%2Ffull-record%2FWOS:000626621800078","View Full Record in Web of Science")</f>
        <v>View Full Record in Web of Science</v>
      </c>
      <c r="BI367" s="31"/>
      <c r="BJ367" s="31"/>
      <c r="BK367" s="31"/>
      <c r="BL367" s="31"/>
      <c r="BM367" s="31"/>
      <c r="BN367" s="31"/>
      <c r="BO367" s="31"/>
      <c r="BP367" s="31"/>
      <c r="BQ367" s="31"/>
      <c r="BR367" s="31"/>
      <c r="BS367" s="31"/>
      <c r="BT367" s="31"/>
      <c r="BU367" s="31"/>
      <c r="BV367" s="31"/>
      <c r="BW367" s="31"/>
      <c r="BX367" s="31"/>
      <c r="BY367" s="31"/>
      <c r="BZ367" s="31"/>
      <c r="CA367" s="31"/>
      <c r="CB367" s="31"/>
      <c r="CC367" s="31"/>
      <c r="CD367" s="31"/>
      <c r="CE367" s="31"/>
      <c r="CF367" s="31"/>
    </row>
    <row r="368" customFormat="false" ht="15.75" hidden="false" customHeight="true" outlineLevel="0" collapsed="false">
      <c r="A368" s="31" t="s">
        <v>16335</v>
      </c>
      <c r="B368" s="31" t="s">
        <v>24306</v>
      </c>
      <c r="C368" s="31" t="s">
        <v>24307</v>
      </c>
      <c r="D368" s="34" t="s">
        <v>24308</v>
      </c>
      <c r="E368" s="31" t="n">
        <v>2021</v>
      </c>
      <c r="F368" s="33" t="s">
        <v>24309</v>
      </c>
      <c r="G368" s="33" t="s">
        <v>134</v>
      </c>
      <c r="H368" s="32" t="s">
        <v>17123</v>
      </c>
      <c r="I368" s="34"/>
      <c r="J368" s="32" t="s">
        <v>24310</v>
      </c>
      <c r="K368" s="32" t="s">
        <v>16409</v>
      </c>
      <c r="L368" s="34"/>
      <c r="M368" s="34"/>
      <c r="N368" s="34"/>
      <c r="O368" s="34"/>
      <c r="P368" s="34" t="n">
        <v>5</v>
      </c>
      <c r="Q368" s="31" t="n">
        <v>5</v>
      </c>
      <c r="R368" s="31" t="s">
        <v>61</v>
      </c>
      <c r="S368" s="31" t="s">
        <v>62</v>
      </c>
      <c r="T368" s="31" t="s">
        <v>24311</v>
      </c>
      <c r="U368" s="31" t="n">
        <v>8</v>
      </c>
      <c r="V368" s="31" t="s">
        <v>4048</v>
      </c>
      <c r="W368" s="31" t="n">
        <v>11</v>
      </c>
      <c r="X368" s="31" t="s">
        <v>24312</v>
      </c>
      <c r="Y368" s="31"/>
      <c r="Z368" s="31" t="s">
        <v>24313</v>
      </c>
      <c r="AA368" s="31" t="s">
        <v>24314</v>
      </c>
      <c r="AB368" s="31" t="s">
        <v>24315</v>
      </c>
      <c r="AC368" s="31" t="s">
        <v>24316</v>
      </c>
      <c r="AD368" s="31"/>
      <c r="AE368" s="31" t="s">
        <v>24317</v>
      </c>
      <c r="AF368" s="31"/>
      <c r="AG368" s="31"/>
      <c r="AH368" s="31"/>
      <c r="AI368" s="31" t="n">
        <v>22</v>
      </c>
      <c r="AJ368" s="31" t="n">
        <v>0</v>
      </c>
      <c r="AK368" s="31" t="n">
        <v>3</v>
      </c>
      <c r="AL368" s="31" t="s">
        <v>16769</v>
      </c>
      <c r="AM368" s="31" t="s">
        <v>16770</v>
      </c>
      <c r="AN368" s="31"/>
      <c r="AO368" s="31" t="s">
        <v>24318</v>
      </c>
      <c r="AP368" s="31" t="s">
        <v>24311</v>
      </c>
      <c r="AQ368" s="31" t="s">
        <v>24319</v>
      </c>
      <c r="AR368" s="31" t="s">
        <v>17139</v>
      </c>
      <c r="AS368" s="31"/>
      <c r="AT368" s="31"/>
      <c r="AU368" s="31" t="n">
        <v>150</v>
      </c>
      <c r="AV368" s="31" t="s">
        <v>24320</v>
      </c>
      <c r="AW368" s="35" t="str">
        <f aca="false">HYPERLINK("http://dx.doi.org/10.3390/bioengineering8110150","http://dx.doi.org/10.3390/bioengineering8110150")</f>
        <v>http://dx.doi.org/10.3390/bioengineering8110150</v>
      </c>
      <c r="AX368" s="31"/>
      <c r="AY368" s="31" t="n">
        <v>13</v>
      </c>
      <c r="AZ368" s="31" t="s">
        <v>19317</v>
      </c>
      <c r="BA368" s="31" t="s">
        <v>16366</v>
      </c>
      <c r="BB368" s="31" t="s">
        <v>19318</v>
      </c>
      <c r="BC368" s="31" t="s">
        <v>24321</v>
      </c>
      <c r="BD368" s="31" t="n">
        <v>34821716</v>
      </c>
      <c r="BE368" s="31" t="s">
        <v>17588</v>
      </c>
      <c r="BF368" s="31" t="s">
        <v>16369</v>
      </c>
      <c r="BG368" s="31" t="s">
        <v>24322</v>
      </c>
      <c r="BH368" s="31" t="str">
        <f aca="false">HYPERLINK("https%3A%2F%2Fwww.webofscience.com%2Fwos%2Fwoscc%2Ffull-record%2FWOS:000724363400001","View Full Record in Web of Science")</f>
        <v>View Full Record in Web of Science</v>
      </c>
      <c r="BI368" s="31"/>
      <c r="BJ368" s="31"/>
      <c r="BK368" s="31"/>
      <c r="BL368" s="31"/>
      <c r="BM368" s="31"/>
      <c r="BN368" s="31"/>
      <c r="BO368" s="31"/>
      <c r="BP368" s="31"/>
      <c r="BQ368" s="31"/>
      <c r="BR368" s="31"/>
      <c r="BS368" s="31"/>
      <c r="BT368" s="31"/>
      <c r="BU368" s="31"/>
      <c r="BV368" s="31"/>
      <c r="BW368" s="31"/>
      <c r="BX368" s="31"/>
      <c r="BY368" s="31"/>
      <c r="BZ368" s="31"/>
      <c r="CA368" s="31"/>
      <c r="CB368" s="31"/>
      <c r="CC368" s="31"/>
      <c r="CD368" s="31"/>
      <c r="CE368" s="31"/>
      <c r="CF368" s="31"/>
    </row>
    <row r="369" customFormat="false" ht="15.75" hidden="false" customHeight="true" outlineLevel="0" collapsed="false">
      <c r="A369" s="31" t="s">
        <v>16335</v>
      </c>
      <c r="B369" s="31" t="s">
        <v>24323</v>
      </c>
      <c r="C369" s="31" t="s">
        <v>24324</v>
      </c>
      <c r="D369" s="34" t="s">
        <v>24325</v>
      </c>
      <c r="E369" s="31" t="n">
        <v>2021</v>
      </c>
      <c r="F369" s="33" t="s">
        <v>24326</v>
      </c>
      <c r="G369" s="33" t="s">
        <v>134</v>
      </c>
      <c r="H369" s="32" t="s">
        <v>24327</v>
      </c>
      <c r="I369" s="34"/>
      <c r="J369" s="32" t="s">
        <v>22178</v>
      </c>
      <c r="K369" s="34"/>
      <c r="L369" s="34"/>
      <c r="M369" s="34"/>
      <c r="N369" s="34"/>
      <c r="O369" s="34"/>
      <c r="P369" s="34" t="n">
        <v>44</v>
      </c>
      <c r="Q369" s="31" t="n">
        <v>45</v>
      </c>
      <c r="R369" s="31" t="s">
        <v>61</v>
      </c>
      <c r="S369" s="31" t="s">
        <v>62</v>
      </c>
      <c r="T369" s="31" t="s">
        <v>18208</v>
      </c>
      <c r="U369" s="31" t="n">
        <v>11</v>
      </c>
      <c r="V369" s="31" t="s">
        <v>4048</v>
      </c>
      <c r="W369" s="31" t="n">
        <v>5</v>
      </c>
      <c r="X369" s="31" t="s">
        <v>24328</v>
      </c>
      <c r="Y369" s="31" t="s">
        <v>24329</v>
      </c>
      <c r="Z369" s="31" t="s">
        <v>24330</v>
      </c>
      <c r="AA369" s="31" t="s">
        <v>24331</v>
      </c>
      <c r="AB369" s="31" t="s">
        <v>24332</v>
      </c>
      <c r="AC369" s="31" t="s">
        <v>24333</v>
      </c>
      <c r="AD369" s="31" t="s">
        <v>24334</v>
      </c>
      <c r="AE369" s="31" t="s">
        <v>24335</v>
      </c>
      <c r="AF369" s="31"/>
      <c r="AG369" s="31"/>
      <c r="AH369" s="31"/>
      <c r="AI369" s="31" t="n">
        <v>81</v>
      </c>
      <c r="AJ369" s="31" t="n">
        <v>0</v>
      </c>
      <c r="AK369" s="31" t="n">
        <v>19</v>
      </c>
      <c r="AL369" s="31" t="s">
        <v>16769</v>
      </c>
      <c r="AM369" s="31" t="s">
        <v>16770</v>
      </c>
      <c r="AN369" s="31"/>
      <c r="AO369" s="31" t="s">
        <v>18220</v>
      </c>
      <c r="AP369" s="31" t="s">
        <v>18221</v>
      </c>
      <c r="AQ369" s="31" t="s">
        <v>18222</v>
      </c>
      <c r="AR369" s="31" t="s">
        <v>17248</v>
      </c>
      <c r="AS369" s="31"/>
      <c r="AT369" s="31"/>
      <c r="AU369" s="31" t="n">
        <v>2284</v>
      </c>
      <c r="AV369" s="31" t="s">
        <v>24336</v>
      </c>
      <c r="AW369" s="35" t="str">
        <f aca="false">HYPERLINK("http://dx.doi.org/10.3390/app11052284","http://dx.doi.org/10.3390/app11052284")</f>
        <v>http://dx.doi.org/10.3390/app11052284</v>
      </c>
      <c r="AX369" s="31"/>
      <c r="AY369" s="31" t="n">
        <v>19</v>
      </c>
      <c r="AZ369" s="31" t="s">
        <v>18223</v>
      </c>
      <c r="BA369" s="31" t="s">
        <v>16366</v>
      </c>
      <c r="BB369" s="31" t="s">
        <v>18224</v>
      </c>
      <c r="BC369" s="31" t="s">
        <v>24337</v>
      </c>
      <c r="BD369" s="31"/>
      <c r="BE369" s="31" t="s">
        <v>16431</v>
      </c>
      <c r="BF369" s="31" t="s">
        <v>16369</v>
      </c>
      <c r="BG369" s="31" t="s">
        <v>24338</v>
      </c>
      <c r="BH369" s="31" t="str">
        <f aca="false">HYPERLINK("https%3A%2F%2Fwww.webofscience.com%2Fwos%2Fwoscc%2Ffull-record%2FWOS:000627986700001","View Full Record in Web of Science")</f>
        <v>View Full Record in Web of Science</v>
      </c>
      <c r="BI369" s="31"/>
      <c r="BJ369" s="31"/>
      <c r="BK369" s="31"/>
      <c r="BL369" s="31"/>
      <c r="BM369" s="31"/>
      <c r="BN369" s="31"/>
      <c r="BO369" s="31"/>
      <c r="BP369" s="31"/>
      <c r="BQ369" s="31"/>
      <c r="BR369" s="31"/>
      <c r="BS369" s="31"/>
      <c r="BT369" s="31"/>
      <c r="BU369" s="31"/>
      <c r="BV369" s="31"/>
      <c r="BW369" s="31"/>
      <c r="BX369" s="31"/>
      <c r="BY369" s="31"/>
      <c r="BZ369" s="31"/>
      <c r="CA369" s="31"/>
      <c r="CB369" s="31"/>
      <c r="CC369" s="31"/>
      <c r="CD369" s="31"/>
      <c r="CE369" s="31"/>
      <c r="CF369" s="31"/>
    </row>
    <row r="370" customFormat="false" ht="15.75" hidden="false" customHeight="true" outlineLevel="0" collapsed="false">
      <c r="A370" s="31" t="s">
        <v>16335</v>
      </c>
      <c r="B370" s="31" t="s">
        <v>24339</v>
      </c>
      <c r="C370" s="31" t="s">
        <v>24340</v>
      </c>
      <c r="D370" s="34" t="s">
        <v>24341</v>
      </c>
      <c r="E370" s="31" t="n">
        <v>2021</v>
      </c>
      <c r="F370" s="33" t="s">
        <v>24342</v>
      </c>
      <c r="G370" s="33" t="s">
        <v>393</v>
      </c>
      <c r="H370" s="32" t="s">
        <v>24343</v>
      </c>
      <c r="I370" s="34"/>
      <c r="J370" s="34"/>
      <c r="K370" s="34"/>
      <c r="L370" s="34"/>
      <c r="M370" s="34"/>
      <c r="N370" s="34"/>
      <c r="O370" s="34"/>
      <c r="P370" s="34" t="n">
        <v>3</v>
      </c>
      <c r="Q370" s="31" t="n">
        <v>3</v>
      </c>
      <c r="R370" s="31" t="s">
        <v>61</v>
      </c>
      <c r="S370" s="31" t="s">
        <v>62</v>
      </c>
      <c r="T370" s="31" t="s">
        <v>17359</v>
      </c>
      <c r="U370" s="31" t="n">
        <v>2021</v>
      </c>
      <c r="V370" s="31" t="s">
        <v>17360</v>
      </c>
      <c r="W370" s="31"/>
      <c r="X370" s="31"/>
      <c r="Y370" s="31" t="s">
        <v>24344</v>
      </c>
      <c r="Z370" s="31" t="s">
        <v>24345</v>
      </c>
      <c r="AA370" s="31" t="s">
        <v>24346</v>
      </c>
      <c r="AB370" s="31" t="s">
        <v>24347</v>
      </c>
      <c r="AC370" s="31" t="s">
        <v>24348</v>
      </c>
      <c r="AD370" s="31" t="s">
        <v>24349</v>
      </c>
      <c r="AE370" s="31" t="s">
        <v>24350</v>
      </c>
      <c r="AF370" s="31"/>
      <c r="AG370" s="31"/>
      <c r="AH370" s="31"/>
      <c r="AI370" s="31" t="n">
        <v>42</v>
      </c>
      <c r="AJ370" s="31" t="n">
        <v>1</v>
      </c>
      <c r="AK370" s="31" t="n">
        <v>15</v>
      </c>
      <c r="AL370" s="31" t="s">
        <v>16821</v>
      </c>
      <c r="AM370" s="31" t="s">
        <v>17371</v>
      </c>
      <c r="AN370" s="31" t="s">
        <v>17372</v>
      </c>
      <c r="AO370" s="31" t="s">
        <v>17373</v>
      </c>
      <c r="AP370" s="31" t="s">
        <v>17374</v>
      </c>
      <c r="AQ370" s="31" t="s">
        <v>17375</v>
      </c>
      <c r="AR370" s="31" t="s">
        <v>24351</v>
      </c>
      <c r="AS370" s="31"/>
      <c r="AT370" s="31"/>
      <c r="AU370" s="31" t="n">
        <v>1916690</v>
      </c>
      <c r="AV370" s="31" t="s">
        <v>24352</v>
      </c>
      <c r="AW370" s="35" t="str">
        <f aca="false">HYPERLINK("http://dx.doi.org/10.1155/2021/1916690","http://dx.doi.org/10.1155/2021/1916690")</f>
        <v>http://dx.doi.org/10.1155/2021/1916690</v>
      </c>
      <c r="AX370" s="31"/>
      <c r="AY370" s="31" t="n">
        <v>14</v>
      </c>
      <c r="AZ370" s="31" t="s">
        <v>17378</v>
      </c>
      <c r="BA370" s="31" t="s">
        <v>16366</v>
      </c>
      <c r="BB370" s="31" t="s">
        <v>17379</v>
      </c>
      <c r="BC370" s="31" t="s">
        <v>24353</v>
      </c>
      <c r="BD370" s="31" t="n">
        <v>34925484</v>
      </c>
      <c r="BE370" s="31" t="s">
        <v>16832</v>
      </c>
      <c r="BF370" s="31" t="s">
        <v>16369</v>
      </c>
      <c r="BG370" s="31" t="s">
        <v>24354</v>
      </c>
      <c r="BH370" s="31" t="str">
        <f aca="false">HYPERLINK("https%3A%2F%2Fwww.webofscience.com%2Fwos%2Fwoscc%2Ffull-record%2FWOS:000739000900006","View Full Record in Web of Science")</f>
        <v>View Full Record in Web of Science</v>
      </c>
      <c r="BI370" s="31"/>
      <c r="BJ370" s="31"/>
      <c r="BK370" s="31"/>
      <c r="BL370" s="31"/>
      <c r="BM370" s="31"/>
      <c r="BN370" s="31"/>
      <c r="BO370" s="31"/>
      <c r="BP370" s="31"/>
      <c r="BQ370" s="31"/>
      <c r="BR370" s="31"/>
      <c r="BS370" s="31"/>
      <c r="BT370" s="31"/>
      <c r="BU370" s="31"/>
      <c r="BV370" s="31"/>
      <c r="BW370" s="31"/>
      <c r="BX370" s="31"/>
      <c r="BY370" s="31"/>
      <c r="BZ370" s="31"/>
      <c r="CA370" s="31"/>
      <c r="CB370" s="31"/>
      <c r="CC370" s="31"/>
      <c r="CD370" s="31"/>
      <c r="CE370" s="31"/>
      <c r="CF370" s="31"/>
    </row>
    <row r="371" customFormat="false" ht="15.75" hidden="false" customHeight="true" outlineLevel="0" collapsed="false">
      <c r="A371" s="31" t="s">
        <v>16335</v>
      </c>
      <c r="B371" s="31" t="s">
        <v>24355</v>
      </c>
      <c r="C371" s="31" t="s">
        <v>24356</v>
      </c>
      <c r="D371" s="34" t="s">
        <v>24357</v>
      </c>
      <c r="E371" s="31" t="n">
        <v>2021</v>
      </c>
      <c r="F371" s="33" t="s">
        <v>24358</v>
      </c>
      <c r="G371" s="33" t="s">
        <v>134</v>
      </c>
      <c r="H371" s="32" t="s">
        <v>24221</v>
      </c>
      <c r="I371" s="32" t="s">
        <v>3715</v>
      </c>
      <c r="J371" s="32" t="s">
        <v>20908</v>
      </c>
      <c r="K371" s="32" t="s">
        <v>16409</v>
      </c>
      <c r="L371" s="34"/>
      <c r="M371" s="34"/>
      <c r="N371" s="34"/>
      <c r="O371" s="34"/>
      <c r="P371" s="34" t="n">
        <v>22</v>
      </c>
      <c r="Q371" s="31" t="n">
        <v>22</v>
      </c>
      <c r="R371" s="31" t="s">
        <v>61</v>
      </c>
      <c r="S371" s="31" t="s">
        <v>62</v>
      </c>
      <c r="T371" s="31" t="s">
        <v>18629</v>
      </c>
      <c r="U371" s="31" t="n">
        <v>11</v>
      </c>
      <c r="V371" s="31" t="s">
        <v>4048</v>
      </c>
      <c r="W371" s="31" t="n">
        <v>11</v>
      </c>
      <c r="X371" s="31" t="s">
        <v>24359</v>
      </c>
      <c r="Y371" s="31" t="s">
        <v>24360</v>
      </c>
      <c r="Z371" s="31" t="s">
        <v>24361</v>
      </c>
      <c r="AA371" s="31" t="s">
        <v>24362</v>
      </c>
      <c r="AB371" s="31" t="s">
        <v>24363</v>
      </c>
      <c r="AC371" s="31" t="s">
        <v>24364</v>
      </c>
      <c r="AD371" s="31" t="s">
        <v>24365</v>
      </c>
      <c r="AE371" s="31" t="s">
        <v>24366</v>
      </c>
      <c r="AF371" s="31" t="s">
        <v>24367</v>
      </c>
      <c r="AG371" s="31" t="s">
        <v>24368</v>
      </c>
      <c r="AH371" s="31" t="s">
        <v>24369</v>
      </c>
      <c r="AI371" s="31" t="n">
        <v>48</v>
      </c>
      <c r="AJ371" s="31" t="n">
        <v>0</v>
      </c>
      <c r="AK371" s="31" t="n">
        <v>4</v>
      </c>
      <c r="AL371" s="31" t="s">
        <v>16769</v>
      </c>
      <c r="AM371" s="31" t="s">
        <v>16770</v>
      </c>
      <c r="AN371" s="31"/>
      <c r="AO371" s="31" t="s">
        <v>18636</v>
      </c>
      <c r="AP371" s="31" t="s">
        <v>18629</v>
      </c>
      <c r="AQ371" s="31" t="s">
        <v>849</v>
      </c>
      <c r="AR371" s="31" t="s">
        <v>17139</v>
      </c>
      <c r="AS371" s="31"/>
      <c r="AT371" s="31"/>
      <c r="AU371" s="31" t="n">
        <v>1994</v>
      </c>
      <c r="AV371" s="31" t="s">
        <v>24370</v>
      </c>
      <c r="AW371" s="35" t="str">
        <f aca="false">HYPERLINK("http://dx.doi.org/10.3390/diagnostics11111994","http://dx.doi.org/10.3390/diagnostics11111994")</f>
        <v>http://dx.doi.org/10.3390/diagnostics11111994</v>
      </c>
      <c r="AX371" s="31"/>
      <c r="AY371" s="31" t="n">
        <v>19</v>
      </c>
      <c r="AZ371" s="31" t="s">
        <v>16829</v>
      </c>
      <c r="BA371" s="31" t="s">
        <v>16366</v>
      </c>
      <c r="BB371" s="31" t="s">
        <v>16830</v>
      </c>
      <c r="BC371" s="31" t="s">
        <v>24371</v>
      </c>
      <c r="BD371" s="31" t="n">
        <v>34829341</v>
      </c>
      <c r="BE371" s="31" t="s">
        <v>17143</v>
      </c>
      <c r="BF371" s="31" t="s">
        <v>16369</v>
      </c>
      <c r="BG371" s="31" t="s">
        <v>24372</v>
      </c>
      <c r="BH371" s="31" t="str">
        <f aca="false">HYPERLINK("https%3A%2F%2Fwww.webofscience.com%2Fwos%2Fwoscc%2Ffull-record%2FWOS:000832185200001","View Full Record in Web of Science")</f>
        <v>View Full Record in Web of Science</v>
      </c>
      <c r="BI371" s="31"/>
      <c r="BJ371" s="31"/>
      <c r="BK371" s="31"/>
      <c r="BL371" s="31"/>
      <c r="BM371" s="31"/>
      <c r="BN371" s="31"/>
      <c r="BO371" s="31"/>
      <c r="BP371" s="31"/>
      <c r="BQ371" s="31"/>
      <c r="BR371" s="31"/>
      <c r="BS371" s="31"/>
      <c r="BT371" s="31"/>
      <c r="BU371" s="31"/>
      <c r="BV371" s="31"/>
      <c r="BW371" s="31"/>
      <c r="BX371" s="31"/>
      <c r="BY371" s="31"/>
      <c r="BZ371" s="31"/>
      <c r="CA371" s="31"/>
      <c r="CB371" s="31"/>
      <c r="CC371" s="31"/>
      <c r="CD371" s="31"/>
      <c r="CE371" s="31"/>
      <c r="CF371" s="31"/>
    </row>
    <row r="372" customFormat="false" ht="15.75" hidden="false" customHeight="true" outlineLevel="0" collapsed="false">
      <c r="A372" s="31" t="s">
        <v>16335</v>
      </c>
      <c r="B372" s="31" t="s">
        <v>24373</v>
      </c>
      <c r="C372" s="31" t="s">
        <v>24374</v>
      </c>
      <c r="D372" s="34" t="s">
        <v>24375</v>
      </c>
      <c r="E372" s="31" t="n">
        <v>2021</v>
      </c>
      <c r="F372" s="33" t="s">
        <v>24376</v>
      </c>
      <c r="G372" s="33" t="s">
        <v>393</v>
      </c>
      <c r="H372" s="32" t="s">
        <v>24377</v>
      </c>
      <c r="I372" s="32" t="s">
        <v>24378</v>
      </c>
      <c r="J372" s="32" t="s">
        <v>24379</v>
      </c>
      <c r="K372" s="32" t="s">
        <v>24380</v>
      </c>
      <c r="L372" s="32" t="s">
        <v>3754</v>
      </c>
      <c r="M372" s="32" t="s">
        <v>24381</v>
      </c>
      <c r="N372" s="32" t="s">
        <v>24382</v>
      </c>
      <c r="O372" s="34"/>
      <c r="P372" s="34" t="n">
        <v>14</v>
      </c>
      <c r="Q372" s="31" t="n">
        <v>14</v>
      </c>
      <c r="R372" s="31" t="s">
        <v>61</v>
      </c>
      <c r="S372" s="31" t="s">
        <v>62</v>
      </c>
      <c r="T372" s="31" t="s">
        <v>16413</v>
      </c>
      <c r="U372" s="31" t="n">
        <v>11</v>
      </c>
      <c r="V372" s="31" t="s">
        <v>16414</v>
      </c>
      <c r="W372" s="31" t="n">
        <v>1</v>
      </c>
      <c r="X372" s="31"/>
      <c r="Y372" s="31" t="s">
        <v>24383</v>
      </c>
      <c r="Z372" s="31" t="s">
        <v>24384</v>
      </c>
      <c r="AA372" s="31" t="s">
        <v>24385</v>
      </c>
      <c r="AB372" s="31" t="s">
        <v>24386</v>
      </c>
      <c r="AC372" s="31" t="s">
        <v>24387</v>
      </c>
      <c r="AD372" s="31"/>
      <c r="AE372" s="31"/>
      <c r="AF372" s="31" t="s">
        <v>24388</v>
      </c>
      <c r="AG372" s="31" t="s">
        <v>24389</v>
      </c>
      <c r="AH372" s="31" t="s">
        <v>24390</v>
      </c>
      <c r="AI372" s="31" t="n">
        <v>65</v>
      </c>
      <c r="AJ372" s="31" t="n">
        <v>3</v>
      </c>
      <c r="AK372" s="31" t="n">
        <v>6</v>
      </c>
      <c r="AL372" s="31" t="s">
        <v>16421</v>
      </c>
      <c r="AM372" s="31" t="s">
        <v>16422</v>
      </c>
      <c r="AN372" s="31" t="s">
        <v>16423</v>
      </c>
      <c r="AO372" s="31"/>
      <c r="AP372" s="31" t="s">
        <v>16424</v>
      </c>
      <c r="AQ372" s="31" t="s">
        <v>16425</v>
      </c>
      <c r="AR372" s="31" t="s">
        <v>24195</v>
      </c>
      <c r="AS372" s="31"/>
      <c r="AT372" s="31"/>
      <c r="AU372" s="31" t="n">
        <v>6713</v>
      </c>
      <c r="AV372" s="31" t="s">
        <v>24391</v>
      </c>
      <c r="AW372" s="35" t="str">
        <f aca="false">HYPERLINK("http://dx.doi.org/10.1038/s41598-021-85987-9","http://dx.doi.org/10.1038/s41598-021-85987-9")</f>
        <v>http://dx.doi.org/10.1038/s41598-021-85987-9</v>
      </c>
      <c r="AX372" s="31"/>
      <c r="AY372" s="31" t="n">
        <v>11</v>
      </c>
      <c r="AZ372" s="31" t="s">
        <v>16428</v>
      </c>
      <c r="BA372" s="31" t="s">
        <v>16366</v>
      </c>
      <c r="BB372" s="31" t="s">
        <v>16429</v>
      </c>
      <c r="BC372" s="31" t="s">
        <v>24392</v>
      </c>
      <c r="BD372" s="31" t="n">
        <v>33762599</v>
      </c>
      <c r="BE372" s="31" t="s">
        <v>19320</v>
      </c>
      <c r="BF372" s="31" t="s">
        <v>16369</v>
      </c>
      <c r="BG372" s="31" t="s">
        <v>24393</v>
      </c>
      <c r="BH372" s="31" t="str">
        <f aca="false">HYPERLINK("https%3A%2F%2Fwww.webofscience.com%2Fwos%2Fwoscc%2Ffull-record%2FWOS:000634969500002","View Full Record in Web of Science")</f>
        <v>View Full Record in Web of Science</v>
      </c>
      <c r="BI372" s="31"/>
      <c r="BJ372" s="31"/>
      <c r="BK372" s="31"/>
      <c r="BL372" s="31"/>
      <c r="BM372" s="31"/>
      <c r="BN372" s="31"/>
      <c r="BO372" s="31"/>
      <c r="BP372" s="31"/>
      <c r="BQ372" s="31"/>
      <c r="BR372" s="31"/>
      <c r="BS372" s="31"/>
      <c r="BT372" s="31"/>
      <c r="BU372" s="31"/>
      <c r="BV372" s="31"/>
      <c r="BW372" s="31"/>
      <c r="BX372" s="31"/>
      <c r="BY372" s="31"/>
      <c r="BZ372" s="31"/>
      <c r="CA372" s="31"/>
      <c r="CB372" s="31"/>
      <c r="CC372" s="31"/>
      <c r="CD372" s="31"/>
      <c r="CE372" s="31"/>
      <c r="CF372" s="31"/>
    </row>
    <row r="373" customFormat="false" ht="15.75" hidden="false" customHeight="true" outlineLevel="0" collapsed="false">
      <c r="A373" s="31" t="s">
        <v>16335</v>
      </c>
      <c r="B373" s="31" t="s">
        <v>24394</v>
      </c>
      <c r="C373" s="31" t="s">
        <v>24395</v>
      </c>
      <c r="D373" s="34" t="s">
        <v>24396</v>
      </c>
      <c r="E373" s="31" t="n">
        <v>2021</v>
      </c>
      <c r="F373" s="33" t="s">
        <v>24397</v>
      </c>
      <c r="G373" s="33" t="s">
        <v>134</v>
      </c>
      <c r="H373" s="32" t="s">
        <v>24398</v>
      </c>
      <c r="I373" s="34"/>
      <c r="J373" s="32" t="s">
        <v>24399</v>
      </c>
      <c r="K373" s="32" t="s">
        <v>16409</v>
      </c>
      <c r="L373" s="32" t="s">
        <v>3754</v>
      </c>
      <c r="M373" s="32" t="s">
        <v>24400</v>
      </c>
      <c r="N373" s="32" t="s">
        <v>24401</v>
      </c>
      <c r="O373" s="32" t="s">
        <v>24402</v>
      </c>
      <c r="P373" s="34" t="n">
        <v>4</v>
      </c>
      <c r="Q373" s="31" t="n">
        <v>5</v>
      </c>
      <c r="R373" s="31" t="s">
        <v>61</v>
      </c>
      <c r="S373" s="31" t="s">
        <v>62</v>
      </c>
      <c r="T373" s="31" t="s">
        <v>24403</v>
      </c>
      <c r="U373" s="31" t="n">
        <v>11</v>
      </c>
      <c r="V373" s="31" t="s">
        <v>16928</v>
      </c>
      <c r="W373" s="31"/>
      <c r="X373" s="31" t="s">
        <v>24404</v>
      </c>
      <c r="Y373" s="31" t="s">
        <v>24405</v>
      </c>
      <c r="Z373" s="31" t="s">
        <v>24406</v>
      </c>
      <c r="AA373" s="31" t="s">
        <v>24407</v>
      </c>
      <c r="AB373" s="31" t="s">
        <v>24408</v>
      </c>
      <c r="AC373" s="31" t="s">
        <v>24409</v>
      </c>
      <c r="AD373" s="31" t="s">
        <v>24410</v>
      </c>
      <c r="AE373" s="31" t="s">
        <v>24411</v>
      </c>
      <c r="AF373" s="31" t="s">
        <v>24412</v>
      </c>
      <c r="AG373" s="31" t="s">
        <v>24413</v>
      </c>
      <c r="AH373" s="31" t="s">
        <v>24414</v>
      </c>
      <c r="AI373" s="31" t="n">
        <v>63</v>
      </c>
      <c r="AJ373" s="31" t="n">
        <v>0</v>
      </c>
      <c r="AK373" s="31" t="n">
        <v>4</v>
      </c>
      <c r="AL373" s="31" t="s">
        <v>16938</v>
      </c>
      <c r="AM373" s="31" t="s">
        <v>16939</v>
      </c>
      <c r="AN373" s="31" t="s">
        <v>24415</v>
      </c>
      <c r="AO373" s="31"/>
      <c r="AP373" s="31" t="s">
        <v>24416</v>
      </c>
      <c r="AQ373" s="31" t="s">
        <v>24417</v>
      </c>
      <c r="AR373" s="31" t="s">
        <v>24418</v>
      </c>
      <c r="AS373" s="31"/>
      <c r="AT373" s="31"/>
      <c r="AU373" s="31" t="n">
        <v>743616</v>
      </c>
      <c r="AV373" s="31" t="s">
        <v>24419</v>
      </c>
      <c r="AW373" s="35" t="str">
        <f aca="false">HYPERLINK("http://dx.doi.org/10.3389/fcimb.2021.743616","http://dx.doi.org/10.3389/fcimb.2021.743616")</f>
        <v>http://dx.doi.org/10.3389/fcimb.2021.743616</v>
      </c>
      <c r="AX373" s="31"/>
      <c r="AY373" s="31" t="n">
        <v>11</v>
      </c>
      <c r="AZ373" s="31" t="s">
        <v>24420</v>
      </c>
      <c r="BA373" s="31" t="s">
        <v>16366</v>
      </c>
      <c r="BB373" s="31" t="s">
        <v>24420</v>
      </c>
      <c r="BC373" s="31" t="s">
        <v>24421</v>
      </c>
      <c r="BD373" s="31" t="n">
        <v>34746025</v>
      </c>
      <c r="BE373" s="31" t="s">
        <v>17143</v>
      </c>
      <c r="BF373" s="31" t="s">
        <v>16369</v>
      </c>
      <c r="BG373" s="31" t="s">
        <v>24422</v>
      </c>
      <c r="BH373" s="31" t="str">
        <f aca="false">HYPERLINK("https%3A%2F%2Fwww.webofscience.com%2Fwos%2Fwoscc%2Ffull-record%2FWOS:000716489600001","View Full Record in Web of Science")</f>
        <v>View Full Record in Web of Science</v>
      </c>
      <c r="BI373" s="31"/>
      <c r="BJ373" s="31"/>
      <c r="BK373" s="31"/>
      <c r="BL373" s="31"/>
      <c r="BM373" s="31"/>
      <c r="BN373" s="31"/>
      <c r="BO373" s="31"/>
      <c r="BP373" s="31"/>
      <c r="BQ373" s="31"/>
      <c r="BR373" s="31"/>
      <c r="BS373" s="31"/>
      <c r="BT373" s="31"/>
      <c r="BU373" s="31"/>
      <c r="BV373" s="31"/>
      <c r="BW373" s="31"/>
      <c r="BX373" s="31"/>
      <c r="BY373" s="31"/>
      <c r="BZ373" s="31"/>
      <c r="CA373" s="31"/>
      <c r="CB373" s="31"/>
      <c r="CC373" s="31"/>
      <c r="CD373" s="31"/>
      <c r="CE373" s="31"/>
      <c r="CF373" s="31"/>
    </row>
    <row r="374" customFormat="false" ht="15.75" hidden="false" customHeight="true" outlineLevel="0" collapsed="false">
      <c r="A374" s="31" t="s">
        <v>16335</v>
      </c>
      <c r="B374" s="31" t="s">
        <v>24423</v>
      </c>
      <c r="C374" s="31" t="s">
        <v>24424</v>
      </c>
      <c r="D374" s="34" t="s">
        <v>24425</v>
      </c>
      <c r="E374" s="31" t="n">
        <v>2021</v>
      </c>
      <c r="F374" s="33" t="s">
        <v>24426</v>
      </c>
      <c r="G374" s="33" t="s">
        <v>393</v>
      </c>
      <c r="H374" s="32" t="s">
        <v>5004</v>
      </c>
      <c r="I374" s="32" t="s">
        <v>5004</v>
      </c>
      <c r="J374" s="32" t="s">
        <v>24427</v>
      </c>
      <c r="K374" s="32" t="s">
        <v>16840</v>
      </c>
      <c r="L374" s="32" t="s">
        <v>3754</v>
      </c>
      <c r="M374" s="32" t="s">
        <v>24428</v>
      </c>
      <c r="N374" s="32" t="s">
        <v>24429</v>
      </c>
      <c r="O374" s="34"/>
      <c r="P374" s="34" t="n">
        <v>15</v>
      </c>
      <c r="Q374" s="31" t="n">
        <v>16</v>
      </c>
      <c r="R374" s="31" t="s">
        <v>61</v>
      </c>
      <c r="S374" s="31" t="s">
        <v>62</v>
      </c>
      <c r="T374" s="31" t="s">
        <v>24430</v>
      </c>
      <c r="U374" s="31" t="n">
        <v>21</v>
      </c>
      <c r="V374" s="31" t="s">
        <v>17599</v>
      </c>
      <c r="W374" s="31" t="n">
        <v>1</v>
      </c>
      <c r="X374" s="31" t="s">
        <v>24431</v>
      </c>
      <c r="Y374" s="31" t="s">
        <v>24432</v>
      </c>
      <c r="Z374" s="31" t="s">
        <v>24433</v>
      </c>
      <c r="AA374" s="31" t="s">
        <v>24434</v>
      </c>
      <c r="AB374" s="31" t="s">
        <v>24435</v>
      </c>
      <c r="AC374" s="31" t="s">
        <v>24436</v>
      </c>
      <c r="AD374" s="31" t="s">
        <v>24437</v>
      </c>
      <c r="AE374" s="31" t="s">
        <v>24438</v>
      </c>
      <c r="AF374" s="31" t="s">
        <v>24439</v>
      </c>
      <c r="AG374" s="31" t="s">
        <v>24440</v>
      </c>
      <c r="AH374" s="31" t="s">
        <v>24441</v>
      </c>
      <c r="AI374" s="31" t="n">
        <v>64</v>
      </c>
      <c r="AJ374" s="31" t="n">
        <v>2</v>
      </c>
      <c r="AK374" s="31" t="n">
        <v>21</v>
      </c>
      <c r="AL374" s="31" t="s">
        <v>16821</v>
      </c>
      <c r="AM374" s="31" t="s">
        <v>17609</v>
      </c>
      <c r="AN374" s="31"/>
      <c r="AO374" s="31" t="s">
        <v>24442</v>
      </c>
      <c r="AP374" s="31" t="s">
        <v>24443</v>
      </c>
      <c r="AQ374" s="31" t="s">
        <v>24444</v>
      </c>
      <c r="AR374" s="31" t="s">
        <v>24445</v>
      </c>
      <c r="AS374" s="31"/>
      <c r="AT374" s="31"/>
      <c r="AU374" s="31" t="n">
        <v>141</v>
      </c>
      <c r="AV374" s="31" t="s">
        <v>24446</v>
      </c>
      <c r="AW374" s="35" t="str">
        <f aca="false">HYPERLINK("http://dx.doi.org/10.1186/s12911-021-01493-y","http://dx.doi.org/10.1186/s12911-021-01493-y")</f>
        <v>http://dx.doi.org/10.1186/s12911-021-01493-y</v>
      </c>
      <c r="AX374" s="31"/>
      <c r="AY374" s="31" t="n">
        <v>12</v>
      </c>
      <c r="AZ374" s="31" t="s">
        <v>24447</v>
      </c>
      <c r="BA374" s="31" t="s">
        <v>16366</v>
      </c>
      <c r="BB374" s="31" t="s">
        <v>24447</v>
      </c>
      <c r="BC374" s="31" t="s">
        <v>24448</v>
      </c>
      <c r="BD374" s="31" t="n">
        <v>33931058</v>
      </c>
      <c r="BE374" s="31" t="s">
        <v>17168</v>
      </c>
      <c r="BF374" s="31" t="s">
        <v>16369</v>
      </c>
      <c r="BG374" s="31" t="s">
        <v>24449</v>
      </c>
      <c r="BH374" s="31" t="str">
        <f aca="false">HYPERLINK("https%3A%2F%2Fwww.webofscience.com%2Fwos%2Fwoscc%2Ffull-record%2FWOS:000656144900001","View Full Record in Web of Science")</f>
        <v>View Full Record in Web of Science</v>
      </c>
      <c r="BI374" s="31"/>
      <c r="BJ374" s="31"/>
      <c r="BK374" s="31"/>
      <c r="BL374" s="31"/>
      <c r="BM374" s="31"/>
      <c r="BN374" s="31"/>
      <c r="BO374" s="31"/>
      <c r="BP374" s="31"/>
      <c r="BQ374" s="31"/>
      <c r="BR374" s="31"/>
      <c r="BS374" s="31"/>
      <c r="BT374" s="31"/>
      <c r="BU374" s="31"/>
      <c r="BV374" s="31"/>
      <c r="BW374" s="31"/>
      <c r="BX374" s="31"/>
      <c r="BY374" s="31"/>
      <c r="BZ374" s="31"/>
      <c r="CA374" s="31"/>
      <c r="CB374" s="31"/>
      <c r="CC374" s="31"/>
      <c r="CD374" s="31"/>
      <c r="CE374" s="31"/>
      <c r="CF374" s="31"/>
    </row>
    <row r="375" customFormat="false" ht="15.75" hidden="false" customHeight="true" outlineLevel="0" collapsed="false">
      <c r="A375" s="31" t="s">
        <v>16335</v>
      </c>
      <c r="B375" s="31" t="s">
        <v>24450</v>
      </c>
      <c r="C375" s="31" t="s">
        <v>24451</v>
      </c>
      <c r="D375" s="34" t="s">
        <v>24452</v>
      </c>
      <c r="E375" s="31" t="n">
        <v>2021</v>
      </c>
      <c r="F375" s="33" t="s">
        <v>24453</v>
      </c>
      <c r="G375" s="33" t="s">
        <v>134</v>
      </c>
      <c r="H375" s="32" t="s">
        <v>24454</v>
      </c>
      <c r="I375" s="32" t="s">
        <v>24455</v>
      </c>
      <c r="J375" s="32" t="s">
        <v>20887</v>
      </c>
      <c r="K375" s="32" t="s">
        <v>16753</v>
      </c>
      <c r="L375" s="32" t="s">
        <v>3754</v>
      </c>
      <c r="M375" s="32" t="s">
        <v>24456</v>
      </c>
      <c r="N375" s="32" t="s">
        <v>24457</v>
      </c>
      <c r="O375" s="34"/>
      <c r="P375" s="34" t="n">
        <v>10</v>
      </c>
      <c r="Q375" s="31" t="n">
        <v>12</v>
      </c>
      <c r="R375" s="31" t="s">
        <v>61</v>
      </c>
      <c r="S375" s="31" t="s">
        <v>62</v>
      </c>
      <c r="T375" s="31" t="s">
        <v>17551</v>
      </c>
      <c r="U375" s="31" t="n">
        <v>9</v>
      </c>
      <c r="V375" s="31" t="s">
        <v>16928</v>
      </c>
      <c r="W375" s="31"/>
      <c r="X375" s="31" t="s">
        <v>24458</v>
      </c>
      <c r="Y375" s="31"/>
      <c r="Z375" s="31" t="s">
        <v>24459</v>
      </c>
      <c r="AA375" s="31" t="s">
        <v>24460</v>
      </c>
      <c r="AB375" s="31" t="s">
        <v>24461</v>
      </c>
      <c r="AC375" s="31" t="s">
        <v>24462</v>
      </c>
      <c r="AD375" s="31" t="s">
        <v>24463</v>
      </c>
      <c r="AE375" s="31" t="s">
        <v>24464</v>
      </c>
      <c r="AF375" s="31" t="s">
        <v>24465</v>
      </c>
      <c r="AG375" s="31" t="s">
        <v>24466</v>
      </c>
      <c r="AH375" s="31" t="s">
        <v>24467</v>
      </c>
      <c r="AI375" s="31" t="n">
        <v>43</v>
      </c>
      <c r="AJ375" s="31" t="n">
        <v>3</v>
      </c>
      <c r="AK375" s="31" t="n">
        <v>24</v>
      </c>
      <c r="AL375" s="31" t="s">
        <v>16938</v>
      </c>
      <c r="AM375" s="31" t="s">
        <v>16939</v>
      </c>
      <c r="AN375" s="31"/>
      <c r="AO375" s="31" t="s">
        <v>17560</v>
      </c>
      <c r="AP375" s="31" t="s">
        <v>17561</v>
      </c>
      <c r="AQ375" s="31" t="s">
        <v>17562</v>
      </c>
      <c r="AR375" s="31" t="s">
        <v>24468</v>
      </c>
      <c r="AS375" s="31"/>
      <c r="AT375" s="31"/>
      <c r="AU375" s="31" t="n">
        <v>642895</v>
      </c>
      <c r="AV375" s="31" t="s">
        <v>24469</v>
      </c>
      <c r="AW375" s="35" t="str">
        <f aca="false">HYPERLINK("http://dx.doi.org/10.3389/fpubh.2021.642895","http://dx.doi.org/10.3389/fpubh.2021.642895")</f>
        <v>http://dx.doi.org/10.3389/fpubh.2021.642895</v>
      </c>
      <c r="AX375" s="31"/>
      <c r="AY375" s="31" t="n">
        <v>11</v>
      </c>
      <c r="AZ375" s="31" t="s">
        <v>16583</v>
      </c>
      <c r="BA375" s="31" t="s">
        <v>16584</v>
      </c>
      <c r="BB375" s="31" t="s">
        <v>16583</v>
      </c>
      <c r="BC375" s="31" t="s">
        <v>24470</v>
      </c>
      <c r="BD375" s="31" t="n">
        <v>34336754</v>
      </c>
      <c r="BE375" s="31" t="s">
        <v>17143</v>
      </c>
      <c r="BF375" s="31" t="s">
        <v>16369</v>
      </c>
      <c r="BG375" s="31" t="s">
        <v>24471</v>
      </c>
      <c r="BH375" s="31" t="str">
        <f aca="false">HYPERLINK("https%3A%2F%2Fwww.webofscience.com%2Fwos%2Fwoscc%2Ffull-record%2FWOS:000678775200001","View Full Record in Web of Science")</f>
        <v>View Full Record in Web of Science</v>
      </c>
      <c r="BI375" s="31"/>
      <c r="BJ375" s="31"/>
      <c r="BK375" s="31"/>
      <c r="BL375" s="31"/>
      <c r="BM375" s="31"/>
      <c r="BN375" s="31"/>
      <c r="BO375" s="31"/>
      <c r="BP375" s="31"/>
      <c r="BQ375" s="31"/>
      <c r="BR375" s="31"/>
      <c r="BS375" s="31"/>
      <c r="BT375" s="31"/>
      <c r="BU375" s="31"/>
      <c r="BV375" s="31"/>
      <c r="BW375" s="31"/>
      <c r="BX375" s="31"/>
      <c r="BY375" s="31"/>
      <c r="BZ375" s="31"/>
      <c r="CA375" s="31"/>
      <c r="CB375" s="31"/>
      <c r="CC375" s="31"/>
      <c r="CD375" s="31"/>
      <c r="CE375" s="31"/>
      <c r="CF375" s="31"/>
    </row>
    <row r="376" customFormat="false" ht="15.75" hidden="false" customHeight="true" outlineLevel="0" collapsed="false">
      <c r="A376" s="31" t="s">
        <v>16335</v>
      </c>
      <c r="B376" s="31" t="s">
        <v>24472</v>
      </c>
      <c r="C376" s="31" t="s">
        <v>24473</v>
      </c>
      <c r="D376" s="34" t="s">
        <v>24474</v>
      </c>
      <c r="E376" s="31" t="n">
        <v>2021</v>
      </c>
      <c r="F376" s="33" t="s">
        <v>24475</v>
      </c>
      <c r="G376" s="33" t="s">
        <v>134</v>
      </c>
      <c r="H376" s="32" t="s">
        <v>16661</v>
      </c>
      <c r="I376" s="32" t="s">
        <v>16661</v>
      </c>
      <c r="J376" s="32" t="s">
        <v>24476</v>
      </c>
      <c r="K376" s="32" t="s">
        <v>24477</v>
      </c>
      <c r="L376" s="34"/>
      <c r="M376" s="34"/>
      <c r="N376" s="34"/>
      <c r="O376" s="34"/>
      <c r="P376" s="34" t="n">
        <v>2</v>
      </c>
      <c r="Q376" s="31" t="n">
        <v>2</v>
      </c>
      <c r="R376" s="31" t="s">
        <v>61</v>
      </c>
      <c r="S376" s="31" t="s">
        <v>62</v>
      </c>
      <c r="T376" s="31" t="s">
        <v>24478</v>
      </c>
      <c r="U376" s="31" t="n">
        <v>43</v>
      </c>
      <c r="V376" s="31" t="s">
        <v>16475</v>
      </c>
      <c r="W376" s="31" t="n">
        <v>6</v>
      </c>
      <c r="X376" s="31" t="s">
        <v>24479</v>
      </c>
      <c r="Y376" s="31"/>
      <c r="Z376" s="31" t="s">
        <v>24480</v>
      </c>
      <c r="AA376" s="31" t="s">
        <v>24481</v>
      </c>
      <c r="AB376" s="31" t="s">
        <v>24482</v>
      </c>
      <c r="AC376" s="31"/>
      <c r="AD376" s="31" t="s">
        <v>24483</v>
      </c>
      <c r="AE376" s="31" t="s">
        <v>24484</v>
      </c>
      <c r="AF376" s="31" t="s">
        <v>24485</v>
      </c>
      <c r="AG376" s="31" t="s">
        <v>24486</v>
      </c>
      <c r="AH376" s="31" t="s">
        <v>24487</v>
      </c>
      <c r="AI376" s="31" t="n">
        <v>13</v>
      </c>
      <c r="AJ376" s="31" t="n">
        <v>0</v>
      </c>
      <c r="AK376" s="31" t="n">
        <v>2</v>
      </c>
      <c r="AL376" s="31" t="s">
        <v>16485</v>
      </c>
      <c r="AM376" s="31" t="s">
        <v>16486</v>
      </c>
      <c r="AN376" s="31" t="s">
        <v>24488</v>
      </c>
      <c r="AO376" s="31" t="s">
        <v>24489</v>
      </c>
      <c r="AP376" s="31" t="s">
        <v>24490</v>
      </c>
      <c r="AQ376" s="31" t="s">
        <v>24491</v>
      </c>
      <c r="AR376" s="31" t="s">
        <v>16683</v>
      </c>
      <c r="AS376" s="31"/>
      <c r="AT376" s="31"/>
      <c r="AU376" s="31" t="s">
        <v>24492</v>
      </c>
      <c r="AV376" s="31" t="s">
        <v>24493</v>
      </c>
      <c r="AW376" s="35" t="str">
        <f aca="false">HYPERLINK("http://dx.doi.org/10.1111/pim.12824","http://dx.doi.org/10.1111/pim.12824")</f>
        <v>http://dx.doi.org/10.1111/pim.12824</v>
      </c>
      <c r="AX376" s="31" t="s">
        <v>21677</v>
      </c>
      <c r="AY376" s="31" t="n">
        <v>4</v>
      </c>
      <c r="AZ376" s="31" t="s">
        <v>24494</v>
      </c>
      <c r="BA376" s="31" t="s">
        <v>16366</v>
      </c>
      <c r="BB376" s="31" t="s">
        <v>24494</v>
      </c>
      <c r="BC376" s="31" t="s">
        <v>24495</v>
      </c>
      <c r="BD376" s="31" t="n">
        <v>33484577</v>
      </c>
      <c r="BE376" s="31"/>
      <c r="BF376" s="31" t="s">
        <v>16369</v>
      </c>
      <c r="BG376" s="31" t="s">
        <v>24496</v>
      </c>
      <c r="BH376" s="31" t="str">
        <f aca="false">HYPERLINK("https%3A%2F%2Fwww.webofscience.com%2Fwos%2Fwoscc%2Ffull-record%2FWOS:000613760500001","View Full Record in Web of Science")</f>
        <v>View Full Record in Web of Science</v>
      </c>
      <c r="BI376" s="31"/>
      <c r="BJ376" s="31"/>
      <c r="BK376" s="31"/>
      <c r="BL376" s="31"/>
      <c r="BM376" s="31"/>
      <c r="BN376" s="31"/>
      <c r="BO376" s="31"/>
      <c r="BP376" s="31"/>
      <c r="BQ376" s="31"/>
      <c r="BR376" s="31"/>
      <c r="BS376" s="31"/>
      <c r="BT376" s="31"/>
      <c r="BU376" s="31"/>
      <c r="BV376" s="31"/>
      <c r="BW376" s="31"/>
      <c r="BX376" s="31"/>
      <c r="BY376" s="31"/>
      <c r="BZ376" s="31"/>
      <c r="CA376" s="31"/>
      <c r="CB376" s="31"/>
      <c r="CC376" s="31"/>
      <c r="CD376" s="31"/>
      <c r="CE376" s="31"/>
      <c r="CF376" s="31"/>
    </row>
    <row r="377" customFormat="false" ht="15.75" hidden="false" customHeight="true" outlineLevel="0" collapsed="false">
      <c r="A377" s="31" t="s">
        <v>16335</v>
      </c>
      <c r="B377" s="31" t="s">
        <v>24497</v>
      </c>
      <c r="C377" s="31" t="s">
        <v>24498</v>
      </c>
      <c r="D377" s="34" t="s">
        <v>24499</v>
      </c>
      <c r="E377" s="31" t="n">
        <v>2021</v>
      </c>
      <c r="F377" s="33" t="s">
        <v>24500</v>
      </c>
      <c r="G377" s="33" t="s">
        <v>134</v>
      </c>
      <c r="H377" s="32" t="s">
        <v>24501</v>
      </c>
      <c r="I377" s="34"/>
      <c r="J377" s="32" t="s">
        <v>21109</v>
      </c>
      <c r="K377" s="32" t="s">
        <v>16409</v>
      </c>
      <c r="L377" s="32" t="s">
        <v>3754</v>
      </c>
      <c r="M377" s="32" t="s">
        <v>24502</v>
      </c>
      <c r="N377" s="32" t="s">
        <v>24503</v>
      </c>
      <c r="O377" s="34"/>
      <c r="P377" s="34" t="n">
        <v>15</v>
      </c>
      <c r="Q377" s="31" t="n">
        <v>15</v>
      </c>
      <c r="R377" s="31" t="s">
        <v>61</v>
      </c>
      <c r="S377" s="31" t="s">
        <v>62</v>
      </c>
      <c r="T377" s="31" t="s">
        <v>22224</v>
      </c>
      <c r="U377" s="31" t="n">
        <v>68</v>
      </c>
      <c r="V377" s="31" t="s">
        <v>22225</v>
      </c>
      <c r="W377" s="31" t="n">
        <v>1</v>
      </c>
      <c r="X377" s="31" t="s">
        <v>24504</v>
      </c>
      <c r="Y377" s="31" t="s">
        <v>24505</v>
      </c>
      <c r="Z377" s="31" t="s">
        <v>24506</v>
      </c>
      <c r="AA377" s="31" t="s">
        <v>24507</v>
      </c>
      <c r="AB377" s="31" t="s">
        <v>24508</v>
      </c>
      <c r="AC377" s="31" t="s">
        <v>24509</v>
      </c>
      <c r="AD377" s="31" t="s">
        <v>24510</v>
      </c>
      <c r="AE377" s="31" t="s">
        <v>24511</v>
      </c>
      <c r="AF377" s="31" t="s">
        <v>24512</v>
      </c>
      <c r="AG377" s="31" t="s">
        <v>24513</v>
      </c>
      <c r="AH377" s="31" t="s">
        <v>24514</v>
      </c>
      <c r="AI377" s="31" t="n">
        <v>37</v>
      </c>
      <c r="AJ377" s="31" t="n">
        <v>0</v>
      </c>
      <c r="AK377" s="31" t="n">
        <v>5</v>
      </c>
      <c r="AL377" s="31" t="s">
        <v>22233</v>
      </c>
      <c r="AM377" s="31" t="s">
        <v>22234</v>
      </c>
      <c r="AN377" s="31" t="s">
        <v>22235</v>
      </c>
      <c r="AO377" s="31" t="s">
        <v>22236</v>
      </c>
      <c r="AP377" s="31" t="s">
        <v>22237</v>
      </c>
      <c r="AQ377" s="31" t="s">
        <v>22238</v>
      </c>
      <c r="AR377" s="31"/>
      <c r="AS377" s="31" t="n">
        <v>903</v>
      </c>
      <c r="AT377" s="31" t="n">
        <v>919</v>
      </c>
      <c r="AU377" s="31"/>
      <c r="AV377" s="31" t="s">
        <v>24515</v>
      </c>
      <c r="AW377" s="35" t="str">
        <f aca="false">HYPERLINK("http://dx.doi.org/10.32604/cmc.2021.016114","http://dx.doi.org/10.32604/cmc.2021.016114")</f>
        <v>http://dx.doi.org/10.32604/cmc.2021.016114</v>
      </c>
      <c r="AX377" s="31"/>
      <c r="AY377" s="31" t="n">
        <v>17</v>
      </c>
      <c r="AZ377" s="31" t="s">
        <v>22240</v>
      </c>
      <c r="BA377" s="31" t="s">
        <v>16366</v>
      </c>
      <c r="BB377" s="31" t="s">
        <v>22241</v>
      </c>
      <c r="BC377" s="31" t="s">
        <v>24516</v>
      </c>
      <c r="BD377" s="31"/>
      <c r="BE377" s="31" t="s">
        <v>16431</v>
      </c>
      <c r="BF377" s="31" t="s">
        <v>16369</v>
      </c>
      <c r="BG377" s="31" t="s">
        <v>24517</v>
      </c>
      <c r="BH377" s="31" t="str">
        <f aca="false">HYPERLINK("https%3A%2F%2Fwww.webofscience.com%2Fwos%2Fwoscc%2Ffull-record%2FWOS:000631889500001","View Full Record in Web of Science")</f>
        <v>View Full Record in Web of Science</v>
      </c>
      <c r="BI377" s="31"/>
      <c r="BJ377" s="31"/>
      <c r="BK377" s="31"/>
      <c r="BL377" s="31"/>
      <c r="BM377" s="31"/>
      <c r="BN377" s="31"/>
      <c r="BO377" s="31"/>
      <c r="BP377" s="31"/>
      <c r="BQ377" s="31"/>
      <c r="BR377" s="31"/>
      <c r="BS377" s="31"/>
      <c r="BT377" s="31"/>
      <c r="BU377" s="31"/>
      <c r="BV377" s="31"/>
      <c r="BW377" s="31"/>
      <c r="BX377" s="31"/>
      <c r="BY377" s="31"/>
      <c r="BZ377" s="31"/>
      <c r="CA377" s="31"/>
      <c r="CB377" s="31"/>
      <c r="CC377" s="31"/>
      <c r="CD377" s="31"/>
      <c r="CE377" s="31"/>
      <c r="CF377" s="31"/>
    </row>
    <row r="378" customFormat="false" ht="124.5" hidden="false" customHeight="true" outlineLevel="0" collapsed="false">
      <c r="A378" s="31" t="s">
        <v>16335</v>
      </c>
      <c r="B378" s="31" t="s">
        <v>24518</v>
      </c>
      <c r="C378" s="31" t="s">
        <v>24519</v>
      </c>
      <c r="D378" s="34" t="s">
        <v>24520</v>
      </c>
      <c r="E378" s="31" t="n">
        <v>2021</v>
      </c>
      <c r="F378" s="33" t="s">
        <v>24521</v>
      </c>
      <c r="G378" s="33" t="s">
        <v>134</v>
      </c>
      <c r="H378" s="32" t="s">
        <v>4728</v>
      </c>
      <c r="I378" s="32" t="s">
        <v>24522</v>
      </c>
      <c r="J378" s="32" t="s">
        <v>21660</v>
      </c>
      <c r="K378" s="34"/>
      <c r="L378" s="32" t="s">
        <v>3754</v>
      </c>
      <c r="M378" s="32" t="s">
        <v>24523</v>
      </c>
      <c r="N378" s="32" t="s">
        <v>24524</v>
      </c>
      <c r="O378" s="34"/>
      <c r="P378" s="34" t="n">
        <v>20</v>
      </c>
      <c r="Q378" s="31" t="n">
        <v>20</v>
      </c>
      <c r="R378" s="31" t="s">
        <v>61</v>
      </c>
      <c r="S378" s="31" t="s">
        <v>62</v>
      </c>
      <c r="T378" s="31" t="s">
        <v>17233</v>
      </c>
      <c r="U378" s="31" t="n">
        <v>33</v>
      </c>
      <c r="V378" s="31" t="s">
        <v>17234</v>
      </c>
      <c r="W378" s="31" t="n">
        <v>21</v>
      </c>
      <c r="X378" s="31" t="s">
        <v>24525</v>
      </c>
      <c r="Y378" s="31"/>
      <c r="Z378" s="31" t="s">
        <v>24526</v>
      </c>
      <c r="AA378" s="31" t="s">
        <v>24527</v>
      </c>
      <c r="AB378" s="31" t="s">
        <v>24528</v>
      </c>
      <c r="AC378" s="31" t="s">
        <v>24529</v>
      </c>
      <c r="AD378" s="31" t="s">
        <v>24530</v>
      </c>
      <c r="AE378" s="31" t="s">
        <v>24531</v>
      </c>
      <c r="AF378" s="31"/>
      <c r="AG378" s="31"/>
      <c r="AH378" s="31"/>
      <c r="AI378" s="31" t="n">
        <v>35</v>
      </c>
      <c r="AJ378" s="31" t="n">
        <v>2</v>
      </c>
      <c r="AK378" s="31" t="n">
        <v>23</v>
      </c>
      <c r="AL378" s="31" t="s">
        <v>16821</v>
      </c>
      <c r="AM378" s="31" t="s">
        <v>17244</v>
      </c>
      <c r="AN378" s="31" t="s">
        <v>17245</v>
      </c>
      <c r="AO378" s="31" t="s">
        <v>17246</v>
      </c>
      <c r="AP378" s="31" t="s">
        <v>17247</v>
      </c>
      <c r="AQ378" s="31" t="s">
        <v>458</v>
      </c>
      <c r="AR378" s="31" t="s">
        <v>17139</v>
      </c>
      <c r="AS378" s="31" t="n">
        <v>14975</v>
      </c>
      <c r="AT378" s="31" t="n">
        <v>14989</v>
      </c>
      <c r="AU378" s="31"/>
      <c r="AV378" s="31" t="s">
        <v>24532</v>
      </c>
      <c r="AW378" s="35" t="str">
        <f aca="false">HYPERLINK("http://dx.doi.org/10.1007/s00521-021-06133-0","http://dx.doi.org/10.1007/s00521-021-06133-0")</f>
        <v>http://dx.doi.org/10.1007/s00521-021-06133-0</v>
      </c>
      <c r="AX378" s="31" t="s">
        <v>22383</v>
      </c>
      <c r="AY378" s="31" t="n">
        <v>15</v>
      </c>
      <c r="AZ378" s="31" t="s">
        <v>16365</v>
      </c>
      <c r="BA378" s="31" t="s">
        <v>16366</v>
      </c>
      <c r="BB378" s="31" t="s">
        <v>16367</v>
      </c>
      <c r="BC378" s="31" t="s">
        <v>24533</v>
      </c>
      <c r="BD378" s="31" t="n">
        <v>34092929</v>
      </c>
      <c r="BE378" s="31" t="s">
        <v>21679</v>
      </c>
      <c r="BF378" s="31" t="s">
        <v>16369</v>
      </c>
      <c r="BG378" s="31" t="s">
        <v>24534</v>
      </c>
      <c r="BH378" s="31" t="str">
        <f aca="false">HYPERLINK("https%3A%2F%2Fwww.webofscience.com%2Fwos%2Fwoscc%2Ffull-record%2FWOS:000656766700001","View Full Record in Web of Science")</f>
        <v>View Full Record in Web of Science</v>
      </c>
      <c r="BI378" s="31"/>
      <c r="BJ378" s="31"/>
      <c r="BK378" s="31"/>
      <c r="BL378" s="31"/>
      <c r="BM378" s="31"/>
      <c r="BN378" s="31"/>
      <c r="BO378" s="31"/>
      <c r="BP378" s="31"/>
      <c r="BQ378" s="31"/>
      <c r="BR378" s="31"/>
      <c r="BS378" s="31"/>
      <c r="BT378" s="31"/>
      <c r="BU378" s="31"/>
      <c r="BV378" s="31"/>
      <c r="BW378" s="31"/>
      <c r="BX378" s="31"/>
      <c r="BY378" s="31"/>
      <c r="BZ378" s="31"/>
      <c r="CA378" s="31"/>
      <c r="CB378" s="31"/>
      <c r="CC378" s="31"/>
      <c r="CD378" s="31"/>
      <c r="CE378" s="31"/>
      <c r="CF378" s="31"/>
    </row>
    <row r="379" customFormat="false" ht="15.75" hidden="false" customHeight="true" outlineLevel="0" collapsed="false">
      <c r="A379" s="31" t="s">
        <v>16335</v>
      </c>
      <c r="B379" s="31" t="s">
        <v>24535</v>
      </c>
      <c r="C379" s="31" t="s">
        <v>24536</v>
      </c>
      <c r="D379" s="34" t="s">
        <v>24537</v>
      </c>
      <c r="E379" s="31" t="n">
        <v>2021</v>
      </c>
      <c r="F379" s="33" t="s">
        <v>24538</v>
      </c>
      <c r="G379" s="33" t="s">
        <v>134</v>
      </c>
      <c r="H379" s="32" t="s">
        <v>24539</v>
      </c>
      <c r="I379" s="32" t="s">
        <v>4101</v>
      </c>
      <c r="J379" s="34"/>
      <c r="K379" s="32" t="s">
        <v>21898</v>
      </c>
      <c r="L379" s="32" t="s">
        <v>3754</v>
      </c>
      <c r="M379" s="32" t="s">
        <v>23677</v>
      </c>
      <c r="N379" s="32" t="s">
        <v>24540</v>
      </c>
      <c r="O379" s="34"/>
      <c r="P379" s="34" t="n">
        <v>15</v>
      </c>
      <c r="Q379" s="31" t="n">
        <v>15</v>
      </c>
      <c r="R379" s="31" t="s">
        <v>61</v>
      </c>
      <c r="S379" s="31" t="s">
        <v>62</v>
      </c>
      <c r="T379" s="31" t="s">
        <v>24541</v>
      </c>
      <c r="U379" s="31" t="n">
        <v>9</v>
      </c>
      <c r="V379" s="31" t="s">
        <v>24058</v>
      </c>
      <c r="W379" s="31" t="n">
        <v>4</v>
      </c>
      <c r="X379" s="31" t="s">
        <v>24542</v>
      </c>
      <c r="Y379" s="31" t="s">
        <v>19040</v>
      </c>
      <c r="Z379" s="31" t="s">
        <v>24543</v>
      </c>
      <c r="AA379" s="31" t="s">
        <v>24544</v>
      </c>
      <c r="AB379" s="31" t="s">
        <v>24545</v>
      </c>
      <c r="AC379" s="31" t="s">
        <v>24546</v>
      </c>
      <c r="AD379" s="31" t="s">
        <v>24547</v>
      </c>
      <c r="AE379" s="31" t="s">
        <v>24548</v>
      </c>
      <c r="AF379" s="31" t="s">
        <v>24549</v>
      </c>
      <c r="AG379" s="31" t="s">
        <v>24550</v>
      </c>
      <c r="AH379" s="31" t="s">
        <v>24551</v>
      </c>
      <c r="AI379" s="31" t="n">
        <v>36</v>
      </c>
      <c r="AJ379" s="31" t="n">
        <v>1</v>
      </c>
      <c r="AK379" s="31" t="n">
        <v>14</v>
      </c>
      <c r="AL379" s="31" t="s">
        <v>24069</v>
      </c>
      <c r="AM379" s="31" t="s">
        <v>24552</v>
      </c>
      <c r="AN379" s="31" t="s">
        <v>24553</v>
      </c>
      <c r="AO379" s="31"/>
      <c r="AP379" s="31" t="s">
        <v>24554</v>
      </c>
      <c r="AQ379" s="31" t="s">
        <v>24555</v>
      </c>
      <c r="AR379" s="31" t="s">
        <v>24556</v>
      </c>
      <c r="AS379" s="31"/>
      <c r="AT379" s="31"/>
      <c r="AU379" s="31" t="s">
        <v>24557</v>
      </c>
      <c r="AV379" s="31" t="s">
        <v>24558</v>
      </c>
      <c r="AW379" s="35" t="str">
        <f aca="false">HYPERLINK("http://dx.doi.org/10.2196/23718","http://dx.doi.org/10.2196/23718")</f>
        <v>http://dx.doi.org/10.2196/23718</v>
      </c>
      <c r="AX379" s="31"/>
      <c r="AY379" s="31" t="n">
        <v>13</v>
      </c>
      <c r="AZ379" s="31" t="s">
        <v>17687</v>
      </c>
      <c r="BA379" s="31" t="s">
        <v>16366</v>
      </c>
      <c r="BB379" s="31" t="s">
        <v>17687</v>
      </c>
      <c r="BC379" s="31" t="s">
        <v>24559</v>
      </c>
      <c r="BD379" s="31" t="n">
        <v>33825685</v>
      </c>
      <c r="BE379" s="31" t="s">
        <v>17143</v>
      </c>
      <c r="BF379" s="31" t="s">
        <v>16369</v>
      </c>
      <c r="BG379" s="31" t="s">
        <v>24560</v>
      </c>
      <c r="BH379" s="31" t="str">
        <f aca="false">HYPERLINK("https%3A%2F%2Fwww.webofscience.com%2Fwos%2Fwoscc%2Ffull-record%2FWOS:000669017200001","View Full Record in Web of Science")</f>
        <v>View Full Record in Web of Science</v>
      </c>
      <c r="BI379" s="31"/>
      <c r="BJ379" s="31"/>
      <c r="BK379" s="31"/>
      <c r="BL379" s="31"/>
      <c r="BM379" s="31"/>
      <c r="BN379" s="31"/>
      <c r="BO379" s="31"/>
      <c r="BP379" s="31"/>
      <c r="BQ379" s="31"/>
      <c r="BR379" s="31"/>
      <c r="BS379" s="31"/>
      <c r="BT379" s="31"/>
      <c r="BU379" s="31"/>
      <c r="BV379" s="31"/>
      <c r="BW379" s="31"/>
      <c r="BX379" s="31"/>
      <c r="BY379" s="31"/>
      <c r="BZ379" s="31"/>
      <c r="CA379" s="31"/>
      <c r="CB379" s="31"/>
      <c r="CC379" s="31"/>
      <c r="CD379" s="31"/>
      <c r="CE379" s="31"/>
      <c r="CF379" s="31"/>
    </row>
    <row r="380" customFormat="false" ht="15.75" hidden="false" customHeight="true" outlineLevel="0" collapsed="false">
      <c r="A380" s="31" t="s">
        <v>16335</v>
      </c>
      <c r="B380" s="31" t="s">
        <v>24561</v>
      </c>
      <c r="C380" s="31" t="s">
        <v>24562</v>
      </c>
      <c r="D380" s="34" t="s">
        <v>24563</v>
      </c>
      <c r="E380" s="31" t="n">
        <v>2021</v>
      </c>
      <c r="F380" s="33" t="s">
        <v>24564</v>
      </c>
      <c r="G380" s="33" t="s">
        <v>290</v>
      </c>
      <c r="H380" s="32" t="s">
        <v>21876</v>
      </c>
      <c r="I380" s="34"/>
      <c r="J380" s="34"/>
      <c r="K380" s="32" t="s">
        <v>16409</v>
      </c>
      <c r="L380" s="34"/>
      <c r="M380" s="34"/>
      <c r="N380" s="34"/>
      <c r="O380" s="34"/>
      <c r="P380" s="34" t="n">
        <v>18</v>
      </c>
      <c r="Q380" s="31" t="n">
        <v>18</v>
      </c>
      <c r="R380" s="31" t="s">
        <v>61</v>
      </c>
      <c r="S380" s="31" t="s">
        <v>62</v>
      </c>
      <c r="T380" s="31" t="s">
        <v>24565</v>
      </c>
      <c r="U380" s="31" t="n">
        <v>80</v>
      </c>
      <c r="V380" s="31" t="s">
        <v>20433</v>
      </c>
      <c r="W380" s="31"/>
      <c r="X380" s="31" t="s">
        <v>24566</v>
      </c>
      <c r="Y380" s="31" t="s">
        <v>24567</v>
      </c>
      <c r="Z380" s="31" t="s">
        <v>24568</v>
      </c>
      <c r="AA380" s="31" t="s">
        <v>24569</v>
      </c>
      <c r="AB380" s="31" t="s">
        <v>24570</v>
      </c>
      <c r="AC380" s="31" t="s">
        <v>24571</v>
      </c>
      <c r="AD380" s="31" t="s">
        <v>24572</v>
      </c>
      <c r="AE380" s="31" t="s">
        <v>24573</v>
      </c>
      <c r="AF380" s="31" t="s">
        <v>24574</v>
      </c>
      <c r="AG380" s="31" t="s">
        <v>24575</v>
      </c>
      <c r="AH380" s="31" t="s">
        <v>24576</v>
      </c>
      <c r="AI380" s="31" t="n">
        <v>122</v>
      </c>
      <c r="AJ380" s="31" t="n">
        <v>1</v>
      </c>
      <c r="AK380" s="31" t="n">
        <v>16</v>
      </c>
      <c r="AL380" s="31" t="s">
        <v>20441</v>
      </c>
      <c r="AM380" s="31" t="s">
        <v>20442</v>
      </c>
      <c r="AN380" s="31" t="s">
        <v>24577</v>
      </c>
      <c r="AO380" s="31" t="s">
        <v>24578</v>
      </c>
      <c r="AP380" s="31" t="s">
        <v>24579</v>
      </c>
      <c r="AQ380" s="31" t="s">
        <v>24580</v>
      </c>
      <c r="AR380" s="31" t="s">
        <v>16970</v>
      </c>
      <c r="AS380" s="31"/>
      <c r="AT380" s="31"/>
      <c r="AU380" s="31" t="n">
        <v>102224</v>
      </c>
      <c r="AV380" s="31" t="s">
        <v>24581</v>
      </c>
      <c r="AW380" s="35" t="str">
        <f aca="false">HYPERLINK("http://dx.doi.org/10.1016/j.parint.2020.102224","http://dx.doi.org/10.1016/j.parint.2020.102224")</f>
        <v>http://dx.doi.org/10.1016/j.parint.2020.102224</v>
      </c>
      <c r="AX380" s="31"/>
      <c r="AY380" s="31" t="n">
        <v>8</v>
      </c>
      <c r="AZ380" s="31" t="s">
        <v>20326</v>
      </c>
      <c r="BA380" s="31" t="s">
        <v>16366</v>
      </c>
      <c r="BB380" s="31" t="s">
        <v>20326</v>
      </c>
      <c r="BC380" s="31" t="s">
        <v>24582</v>
      </c>
      <c r="BD380" s="31" t="n">
        <v>33137499</v>
      </c>
      <c r="BE380" s="31" t="s">
        <v>16494</v>
      </c>
      <c r="BF380" s="31" t="s">
        <v>16369</v>
      </c>
      <c r="BG380" s="31" t="s">
        <v>24583</v>
      </c>
      <c r="BH380" s="31" t="str">
        <f aca="false">HYPERLINK("https%3A%2F%2Fwww.webofscience.com%2Fwos%2Fwoscc%2Ffull-record%2FWOS:000596466200016","View Full Record in Web of Science")</f>
        <v>View Full Record in Web of Science</v>
      </c>
      <c r="BI380" s="31"/>
      <c r="BJ380" s="31"/>
      <c r="BK380" s="31"/>
      <c r="BL380" s="31"/>
      <c r="BM380" s="31"/>
      <c r="BN380" s="31"/>
      <c r="BO380" s="31"/>
      <c r="BP380" s="31"/>
      <c r="BQ380" s="31"/>
      <c r="BR380" s="31"/>
      <c r="BS380" s="31"/>
      <c r="BT380" s="31"/>
      <c r="BU380" s="31"/>
      <c r="BV380" s="31"/>
      <c r="BW380" s="31"/>
      <c r="BX380" s="31"/>
      <c r="BY380" s="31"/>
      <c r="BZ380" s="31"/>
      <c r="CA380" s="31"/>
      <c r="CB380" s="31"/>
      <c r="CC380" s="31"/>
      <c r="CD380" s="31"/>
      <c r="CE380" s="31"/>
      <c r="CF380" s="31"/>
    </row>
    <row r="381" customFormat="false" ht="15.75" hidden="false" customHeight="true" outlineLevel="0" collapsed="false">
      <c r="A381" s="31" t="s">
        <v>16335</v>
      </c>
      <c r="B381" s="31" t="s">
        <v>24584</v>
      </c>
      <c r="C381" s="31" t="s">
        <v>24585</v>
      </c>
      <c r="D381" s="34" t="s">
        <v>24586</v>
      </c>
      <c r="E381" s="31" t="n">
        <v>2021</v>
      </c>
      <c r="F381" s="33" t="s">
        <v>24587</v>
      </c>
      <c r="G381" s="33" t="s">
        <v>349</v>
      </c>
      <c r="H381" s="32" t="s">
        <v>24588</v>
      </c>
      <c r="I381" s="32" t="s">
        <v>17036</v>
      </c>
      <c r="J381" s="32" t="s">
        <v>22708</v>
      </c>
      <c r="K381" s="32" t="s">
        <v>16753</v>
      </c>
      <c r="L381" s="32" t="s">
        <v>3754</v>
      </c>
      <c r="M381" s="32" t="s">
        <v>24589</v>
      </c>
      <c r="N381" s="32" t="s">
        <v>24590</v>
      </c>
      <c r="O381" s="32" t="s">
        <v>24591</v>
      </c>
      <c r="P381" s="34" t="n">
        <v>13</v>
      </c>
      <c r="Q381" s="31" t="n">
        <v>15</v>
      </c>
      <c r="R381" s="31" t="s">
        <v>61</v>
      </c>
      <c r="S381" s="31" t="s">
        <v>62</v>
      </c>
      <c r="T381" s="31" t="s">
        <v>24592</v>
      </c>
      <c r="U381" s="31" t="n">
        <v>51</v>
      </c>
      <c r="V381" s="31" t="s">
        <v>18415</v>
      </c>
      <c r="W381" s="31" t="n">
        <v>11</v>
      </c>
      <c r="X381" s="31" t="s">
        <v>24593</v>
      </c>
      <c r="Y381" s="31" t="s">
        <v>24594</v>
      </c>
      <c r="Z381" s="31" t="s">
        <v>24595</v>
      </c>
      <c r="AA381" s="31" t="s">
        <v>20316</v>
      </c>
      <c r="AB381" s="31" t="s">
        <v>24596</v>
      </c>
      <c r="AC381" s="31" t="s">
        <v>24597</v>
      </c>
      <c r="AD381" s="31" t="s">
        <v>24598</v>
      </c>
      <c r="AE381" s="31" t="s">
        <v>24599</v>
      </c>
      <c r="AF381" s="31" t="s">
        <v>24600</v>
      </c>
      <c r="AG381" s="31" t="s">
        <v>24600</v>
      </c>
      <c r="AH381" s="31" t="s">
        <v>24601</v>
      </c>
      <c r="AI381" s="31" t="n">
        <v>39</v>
      </c>
      <c r="AJ381" s="31" t="n">
        <v>1</v>
      </c>
      <c r="AK381" s="31" t="n">
        <v>16</v>
      </c>
      <c r="AL381" s="31" t="s">
        <v>16575</v>
      </c>
      <c r="AM381" s="31" t="s">
        <v>22438</v>
      </c>
      <c r="AN381" s="31" t="s">
        <v>24602</v>
      </c>
      <c r="AO381" s="31" t="s">
        <v>24603</v>
      </c>
      <c r="AP381" s="31" t="s">
        <v>24604</v>
      </c>
      <c r="AQ381" s="31" t="s">
        <v>24605</v>
      </c>
      <c r="AR381" s="31" t="s">
        <v>16615</v>
      </c>
      <c r="AS381" s="31" t="n">
        <v>959</v>
      </c>
      <c r="AT381" s="31" t="n">
        <v>965</v>
      </c>
      <c r="AU381" s="31"/>
      <c r="AV381" s="31" t="s">
        <v>24606</v>
      </c>
      <c r="AW381" s="35" t="str">
        <f aca="false">HYPERLINK("http://dx.doi.org/10.1016/j.ijpara.2021.03.004","http://dx.doi.org/10.1016/j.ijpara.2021.03.004")</f>
        <v>http://dx.doi.org/10.1016/j.ijpara.2021.03.004</v>
      </c>
      <c r="AX381" s="31" t="s">
        <v>22405</v>
      </c>
      <c r="AY381" s="31" t="n">
        <v>7</v>
      </c>
      <c r="AZ381" s="31" t="s">
        <v>20326</v>
      </c>
      <c r="BA381" s="31" t="s">
        <v>16366</v>
      </c>
      <c r="BB381" s="31" t="s">
        <v>20326</v>
      </c>
      <c r="BC381" s="31" t="s">
        <v>24607</v>
      </c>
      <c r="BD381" s="31" t="n">
        <v>33891933</v>
      </c>
      <c r="BE381" s="31"/>
      <c r="BF381" s="31" t="s">
        <v>16369</v>
      </c>
      <c r="BG381" s="31" t="s">
        <v>24608</v>
      </c>
      <c r="BH381" s="31" t="str">
        <f aca="false">HYPERLINK("https%3A%2F%2Fwww.webofscience.com%2Fwos%2Fwoscc%2Ffull-record%2FWOS:000705309300008","View Full Record in Web of Science")</f>
        <v>View Full Record in Web of Science</v>
      </c>
      <c r="BI381" s="31"/>
      <c r="BJ381" s="31"/>
      <c r="BK381" s="31"/>
      <c r="BL381" s="31"/>
      <c r="BM381" s="31"/>
      <c r="BN381" s="31"/>
      <c r="BO381" s="31"/>
      <c r="BP381" s="31"/>
      <c r="BQ381" s="31"/>
      <c r="BR381" s="31"/>
      <c r="BS381" s="31"/>
      <c r="BT381" s="31"/>
      <c r="BU381" s="31"/>
      <c r="BV381" s="31"/>
      <c r="BW381" s="31"/>
      <c r="BX381" s="31"/>
      <c r="BY381" s="31"/>
      <c r="BZ381" s="31"/>
      <c r="CA381" s="31"/>
      <c r="CB381" s="31"/>
      <c r="CC381" s="31"/>
      <c r="CD381" s="31"/>
      <c r="CE381" s="31"/>
      <c r="CF381" s="31"/>
    </row>
    <row r="382" customFormat="false" ht="15.75" hidden="false" customHeight="true" outlineLevel="0" collapsed="false">
      <c r="A382" s="31" t="s">
        <v>16335</v>
      </c>
      <c r="B382" s="31" t="s">
        <v>24609</v>
      </c>
      <c r="C382" s="31" t="s">
        <v>24610</v>
      </c>
      <c r="D382" s="34" t="s">
        <v>24611</v>
      </c>
      <c r="E382" s="31" t="n">
        <v>2021</v>
      </c>
      <c r="F382" s="33" t="s">
        <v>24612</v>
      </c>
      <c r="G382" s="33" t="s">
        <v>134</v>
      </c>
      <c r="H382" s="32" t="s">
        <v>17123</v>
      </c>
      <c r="I382" s="32" t="s">
        <v>17123</v>
      </c>
      <c r="J382" s="32" t="s">
        <v>24399</v>
      </c>
      <c r="K382" s="32" t="s">
        <v>24613</v>
      </c>
      <c r="L382" s="32" t="s">
        <v>3754</v>
      </c>
      <c r="M382" s="32" t="s">
        <v>24614</v>
      </c>
      <c r="N382" s="32" t="s">
        <v>24615</v>
      </c>
      <c r="O382" s="34"/>
      <c r="P382" s="34" t="n">
        <v>5</v>
      </c>
      <c r="Q382" s="31" t="n">
        <v>5</v>
      </c>
      <c r="R382" s="31" t="s">
        <v>61</v>
      </c>
      <c r="S382" s="31" t="s">
        <v>62</v>
      </c>
      <c r="T382" s="31" t="s">
        <v>24403</v>
      </c>
      <c r="U382" s="31" t="n">
        <v>11</v>
      </c>
      <c r="V382" s="31" t="s">
        <v>16928</v>
      </c>
      <c r="W382" s="31"/>
      <c r="X382" s="31" t="s">
        <v>24616</v>
      </c>
      <c r="Y382" s="31" t="s">
        <v>24617</v>
      </c>
      <c r="Z382" s="31" t="s">
        <v>24618</v>
      </c>
      <c r="AA382" s="31" t="s">
        <v>24619</v>
      </c>
      <c r="AB382" s="31" t="s">
        <v>24620</v>
      </c>
      <c r="AC382" s="31" t="s">
        <v>24621</v>
      </c>
      <c r="AD382" s="31" t="s">
        <v>24622</v>
      </c>
      <c r="AE382" s="31" t="s">
        <v>24623</v>
      </c>
      <c r="AF382" s="31" t="s">
        <v>24624</v>
      </c>
      <c r="AG382" s="31" t="s">
        <v>24624</v>
      </c>
      <c r="AH382" s="31" t="s">
        <v>24625</v>
      </c>
      <c r="AI382" s="31" t="n">
        <v>76</v>
      </c>
      <c r="AJ382" s="31" t="n">
        <v>0</v>
      </c>
      <c r="AK382" s="31" t="n">
        <v>11</v>
      </c>
      <c r="AL382" s="31" t="s">
        <v>16938</v>
      </c>
      <c r="AM382" s="31" t="s">
        <v>16939</v>
      </c>
      <c r="AN382" s="31" t="s">
        <v>24415</v>
      </c>
      <c r="AO382" s="31"/>
      <c r="AP382" s="31" t="s">
        <v>24416</v>
      </c>
      <c r="AQ382" s="31" t="s">
        <v>24417</v>
      </c>
      <c r="AR382" s="31" t="s">
        <v>19661</v>
      </c>
      <c r="AS382" s="31"/>
      <c r="AT382" s="31"/>
      <c r="AU382" s="31" t="n">
        <v>783140</v>
      </c>
      <c r="AV382" s="31" t="s">
        <v>24626</v>
      </c>
      <c r="AW382" s="35" t="str">
        <f aca="false">HYPERLINK("http://dx.doi.org/10.3389/fcimb.2021.783140","http://dx.doi.org/10.3389/fcimb.2021.783140")</f>
        <v>http://dx.doi.org/10.3389/fcimb.2021.783140</v>
      </c>
      <c r="AX382" s="31"/>
      <c r="AY382" s="31" t="n">
        <v>12</v>
      </c>
      <c r="AZ382" s="31" t="s">
        <v>24420</v>
      </c>
      <c r="BA382" s="31" t="s">
        <v>16366</v>
      </c>
      <c r="BB382" s="31" t="s">
        <v>24420</v>
      </c>
      <c r="BC382" s="31" t="s">
        <v>24627</v>
      </c>
      <c r="BD382" s="31" t="n">
        <v>35004351</v>
      </c>
      <c r="BE382" s="31" t="s">
        <v>19320</v>
      </c>
      <c r="BF382" s="31" t="s">
        <v>16369</v>
      </c>
      <c r="BG382" s="31" t="s">
        <v>24628</v>
      </c>
      <c r="BH382" s="31" t="str">
        <f aca="false">HYPERLINK("https%3A%2F%2Fwww.webofscience.com%2Fwos%2Fwoscc%2Ffull-record%2FWOS:000743993000001","View Full Record in Web of Science")</f>
        <v>View Full Record in Web of Science</v>
      </c>
      <c r="BI382" s="31"/>
      <c r="BJ382" s="31"/>
      <c r="BK382" s="31"/>
      <c r="BL382" s="31"/>
      <c r="BM382" s="31"/>
      <c r="BN382" s="31"/>
      <c r="BO382" s="31"/>
      <c r="BP382" s="31"/>
      <c r="BQ382" s="31"/>
      <c r="BR382" s="31"/>
      <c r="BS382" s="31"/>
      <c r="BT382" s="31"/>
      <c r="BU382" s="31"/>
      <c r="BV382" s="31"/>
      <c r="BW382" s="31"/>
      <c r="BX382" s="31"/>
      <c r="BY382" s="31"/>
      <c r="BZ382" s="31"/>
      <c r="CA382" s="31"/>
      <c r="CB382" s="31"/>
      <c r="CC382" s="31"/>
      <c r="CD382" s="31"/>
      <c r="CE382" s="31"/>
      <c r="CF382" s="31"/>
    </row>
    <row r="383" customFormat="false" ht="15.75" hidden="false" customHeight="true" outlineLevel="0" collapsed="false">
      <c r="A383" s="31" t="s">
        <v>16335</v>
      </c>
      <c r="B383" s="31" t="s">
        <v>24629</v>
      </c>
      <c r="C383" s="31" t="s">
        <v>24630</v>
      </c>
      <c r="D383" s="34" t="s">
        <v>24631</v>
      </c>
      <c r="E383" s="31" t="n">
        <v>2021</v>
      </c>
      <c r="F383" s="33" t="s">
        <v>24632</v>
      </c>
      <c r="G383" s="33" t="s">
        <v>134</v>
      </c>
      <c r="H383" s="32" t="s">
        <v>24633</v>
      </c>
      <c r="I383" s="34"/>
      <c r="J383" s="32" t="s">
        <v>21092</v>
      </c>
      <c r="K383" s="32" t="s">
        <v>16409</v>
      </c>
      <c r="L383" s="32" t="s">
        <v>3754</v>
      </c>
      <c r="M383" s="32" t="s">
        <v>24634</v>
      </c>
      <c r="N383" s="34"/>
      <c r="O383" s="34"/>
      <c r="P383" s="34" t="n">
        <v>83</v>
      </c>
      <c r="Q383" s="31" t="n">
        <v>85</v>
      </c>
      <c r="R383" s="31" t="s">
        <v>61</v>
      </c>
      <c r="S383" s="31" t="s">
        <v>62</v>
      </c>
      <c r="T383" s="31" t="s">
        <v>19364</v>
      </c>
      <c r="U383" s="31" t="n">
        <v>129</v>
      </c>
      <c r="V383" s="31" t="s">
        <v>18274</v>
      </c>
      <c r="W383" s="31"/>
      <c r="X383" s="31" t="s">
        <v>24635</v>
      </c>
      <c r="Y383" s="31" t="s">
        <v>24636</v>
      </c>
      <c r="Z383" s="31" t="s">
        <v>24637</v>
      </c>
      <c r="AA383" s="31" t="s">
        <v>24638</v>
      </c>
      <c r="AB383" s="31" t="s">
        <v>24639</v>
      </c>
      <c r="AC383" s="31" t="s">
        <v>24640</v>
      </c>
      <c r="AD383" s="31" t="s">
        <v>24641</v>
      </c>
      <c r="AE383" s="31" t="s">
        <v>24642</v>
      </c>
      <c r="AF383" s="31" t="s">
        <v>24643</v>
      </c>
      <c r="AG383" s="31" t="s">
        <v>24644</v>
      </c>
      <c r="AH383" s="31" t="s">
        <v>24645</v>
      </c>
      <c r="AI383" s="31" t="n">
        <v>55</v>
      </c>
      <c r="AJ383" s="31" t="n">
        <v>8</v>
      </c>
      <c r="AK383" s="31" t="n">
        <v>50</v>
      </c>
      <c r="AL383" s="31" t="s">
        <v>16575</v>
      </c>
      <c r="AM383" s="31" t="s">
        <v>18284</v>
      </c>
      <c r="AN383" s="31" t="s">
        <v>19375</v>
      </c>
      <c r="AO383" s="31" t="s">
        <v>19376</v>
      </c>
      <c r="AP383" s="31" t="s">
        <v>19377</v>
      </c>
      <c r="AQ383" s="31" t="s">
        <v>74</v>
      </c>
      <c r="AR383" s="31" t="s">
        <v>16970</v>
      </c>
      <c r="AS383" s="31"/>
      <c r="AT383" s="31"/>
      <c r="AU383" s="31" t="n">
        <v>104151</v>
      </c>
      <c r="AV383" s="31" t="s">
        <v>24646</v>
      </c>
      <c r="AW383" s="35" t="str">
        <f aca="false">HYPERLINK("http://dx.doi.org/10.1016/j.compbiomed.2020.104151","http://dx.doi.org/10.1016/j.compbiomed.2020.104151")</f>
        <v>http://dx.doi.org/10.1016/j.compbiomed.2020.104151</v>
      </c>
      <c r="AX383" s="31"/>
      <c r="AY383" s="31" t="n">
        <v>7</v>
      </c>
      <c r="AZ383" s="31" t="s">
        <v>19379</v>
      </c>
      <c r="BA383" s="31" t="s">
        <v>16366</v>
      </c>
      <c r="BB383" s="31" t="s">
        <v>19380</v>
      </c>
      <c r="BC383" s="31" t="s">
        <v>24647</v>
      </c>
      <c r="BD383" s="31" t="n">
        <v>33290932</v>
      </c>
      <c r="BE383" s="31"/>
      <c r="BF383" s="31" t="s">
        <v>16369</v>
      </c>
      <c r="BG383" s="31" t="s">
        <v>24648</v>
      </c>
      <c r="BH383" s="31" t="str">
        <f aca="false">HYPERLINK("https%3A%2F%2Fwww.webofscience.com%2Fwos%2Fwoscc%2Ffull-record%2FWOS:000613923800002","View Full Record in Web of Science")</f>
        <v>View Full Record in Web of Science</v>
      </c>
      <c r="BI383" s="31"/>
      <c r="BJ383" s="31"/>
      <c r="BK383" s="31"/>
      <c r="BL383" s="31"/>
      <c r="BM383" s="31"/>
      <c r="BN383" s="31"/>
      <c r="BO383" s="31"/>
      <c r="BP383" s="31"/>
      <c r="BQ383" s="31"/>
      <c r="BR383" s="31"/>
      <c r="BS383" s="31"/>
      <c r="BT383" s="31"/>
      <c r="BU383" s="31"/>
      <c r="BV383" s="31"/>
      <c r="BW383" s="31"/>
      <c r="BX383" s="31"/>
      <c r="BY383" s="31"/>
      <c r="BZ383" s="31"/>
      <c r="CA383" s="31"/>
      <c r="CB383" s="31"/>
      <c r="CC383" s="31"/>
      <c r="CD383" s="31"/>
      <c r="CE383" s="31"/>
      <c r="CF383" s="31"/>
    </row>
    <row r="384" customFormat="false" ht="15.75" hidden="false" customHeight="true" outlineLevel="0" collapsed="false">
      <c r="A384" s="31" t="s">
        <v>16335</v>
      </c>
      <c r="B384" s="31" t="s">
        <v>24649</v>
      </c>
      <c r="C384" s="31" t="s">
        <v>24650</v>
      </c>
      <c r="D384" s="34" t="s">
        <v>24651</v>
      </c>
      <c r="E384" s="31" t="n">
        <v>2021</v>
      </c>
      <c r="F384" s="33" t="s">
        <v>24652</v>
      </c>
      <c r="G384" s="33" t="s">
        <v>290</v>
      </c>
      <c r="H384" s="32" t="s">
        <v>3729</v>
      </c>
      <c r="I384" s="34"/>
      <c r="J384" s="34"/>
      <c r="K384" s="32" t="s">
        <v>16409</v>
      </c>
      <c r="L384" s="32" t="s">
        <v>3754</v>
      </c>
      <c r="M384" s="32" t="s">
        <v>24653</v>
      </c>
      <c r="N384" s="34"/>
      <c r="O384" s="34"/>
      <c r="P384" s="34" t="n">
        <v>0</v>
      </c>
      <c r="Q384" s="31" t="n">
        <v>0</v>
      </c>
      <c r="R384" s="31" t="s">
        <v>61</v>
      </c>
      <c r="S384" s="31" t="s">
        <v>62</v>
      </c>
      <c r="T384" s="31" t="s">
        <v>24403</v>
      </c>
      <c r="U384" s="31" t="n">
        <v>11</v>
      </c>
      <c r="V384" s="31" t="s">
        <v>16928</v>
      </c>
      <c r="W384" s="31"/>
      <c r="X384" s="31" t="s">
        <v>24654</v>
      </c>
      <c r="Y384" s="31" t="s">
        <v>24655</v>
      </c>
      <c r="Z384" s="31" t="s">
        <v>24656</v>
      </c>
      <c r="AA384" s="31" t="s">
        <v>24657</v>
      </c>
      <c r="AB384" s="31" t="s">
        <v>24658</v>
      </c>
      <c r="AC384" s="31" t="s">
        <v>24659</v>
      </c>
      <c r="AD384" s="31" t="s">
        <v>24660</v>
      </c>
      <c r="AE384" s="31" t="s">
        <v>24661</v>
      </c>
      <c r="AF384" s="31" t="s">
        <v>24662</v>
      </c>
      <c r="AG384" s="31" t="s">
        <v>24663</v>
      </c>
      <c r="AH384" s="31" t="s">
        <v>24664</v>
      </c>
      <c r="AI384" s="31" t="n">
        <v>73</v>
      </c>
      <c r="AJ384" s="31" t="n">
        <v>0</v>
      </c>
      <c r="AK384" s="31" t="n">
        <v>5</v>
      </c>
      <c r="AL384" s="31" t="s">
        <v>16938</v>
      </c>
      <c r="AM384" s="31" t="s">
        <v>16939</v>
      </c>
      <c r="AN384" s="31" t="s">
        <v>24415</v>
      </c>
      <c r="AO384" s="31"/>
      <c r="AP384" s="31" t="s">
        <v>24416</v>
      </c>
      <c r="AQ384" s="31" t="s">
        <v>24417</v>
      </c>
      <c r="AR384" s="31" t="s">
        <v>21014</v>
      </c>
      <c r="AS384" s="31"/>
      <c r="AT384" s="31"/>
      <c r="AU384" s="31" t="n">
        <v>688256</v>
      </c>
      <c r="AV384" s="31" t="s">
        <v>24665</v>
      </c>
      <c r="AW384" s="35" t="str">
        <f aca="false">HYPERLINK("http://dx.doi.org/10.3389/fcimb.2021.688256","http://dx.doi.org/10.3389/fcimb.2021.688256")</f>
        <v>http://dx.doi.org/10.3389/fcimb.2021.688256</v>
      </c>
      <c r="AX384" s="31"/>
      <c r="AY384" s="31" t="n">
        <v>17</v>
      </c>
      <c r="AZ384" s="31" t="s">
        <v>24420</v>
      </c>
      <c r="BA384" s="31" t="s">
        <v>16366</v>
      </c>
      <c r="BB384" s="31" t="s">
        <v>24420</v>
      </c>
      <c r="BC384" s="31" t="s">
        <v>24666</v>
      </c>
      <c r="BD384" s="31" t="n">
        <v>34268139</v>
      </c>
      <c r="BE384" s="31" t="s">
        <v>17143</v>
      </c>
      <c r="BF384" s="31" t="s">
        <v>16369</v>
      </c>
      <c r="BG384" s="31" t="s">
        <v>24667</v>
      </c>
      <c r="BH384" s="31" t="str">
        <f aca="false">HYPERLINK("https%3A%2F%2Fwww.webofscience.com%2Fwos%2Fwoscc%2Ffull-record%2FWOS:000672515000001","View Full Record in Web of Science")</f>
        <v>View Full Record in Web of Science</v>
      </c>
      <c r="BI384" s="31"/>
      <c r="BJ384" s="31"/>
      <c r="BK384" s="31"/>
      <c r="BL384" s="31"/>
      <c r="BM384" s="31"/>
      <c r="BN384" s="31"/>
      <c r="BO384" s="31"/>
      <c r="BP384" s="31"/>
      <c r="BQ384" s="31"/>
      <c r="BR384" s="31"/>
      <c r="BS384" s="31"/>
      <c r="BT384" s="31"/>
      <c r="BU384" s="31"/>
      <c r="BV384" s="31"/>
      <c r="BW384" s="31"/>
      <c r="BX384" s="31"/>
      <c r="BY384" s="31"/>
      <c r="BZ384" s="31"/>
      <c r="CA384" s="31"/>
      <c r="CB384" s="31"/>
      <c r="CC384" s="31"/>
      <c r="CD384" s="31"/>
      <c r="CE384" s="31"/>
      <c r="CF384" s="31"/>
    </row>
    <row r="385" customFormat="false" ht="15.75" hidden="false" customHeight="true" outlineLevel="0" collapsed="false">
      <c r="A385" s="31" t="s">
        <v>16335</v>
      </c>
      <c r="B385" s="31" t="s">
        <v>24668</v>
      </c>
      <c r="C385" s="31" t="s">
        <v>24669</v>
      </c>
      <c r="D385" s="34" t="s">
        <v>24670</v>
      </c>
      <c r="E385" s="31" t="n">
        <v>2021</v>
      </c>
      <c r="F385" s="33" t="s">
        <v>24671</v>
      </c>
      <c r="G385" s="33" t="s">
        <v>134</v>
      </c>
      <c r="H385" s="32" t="s">
        <v>23837</v>
      </c>
      <c r="I385" s="34"/>
      <c r="J385" s="32" t="s">
        <v>21109</v>
      </c>
      <c r="K385" s="32" t="s">
        <v>16409</v>
      </c>
      <c r="L385" s="34"/>
      <c r="M385" s="32" t="s">
        <v>16410</v>
      </c>
      <c r="N385" s="34"/>
      <c r="O385" s="34"/>
      <c r="P385" s="34" t="n">
        <v>11</v>
      </c>
      <c r="Q385" s="31" t="n">
        <v>11</v>
      </c>
      <c r="R385" s="31" t="s">
        <v>61</v>
      </c>
      <c r="S385" s="31" t="s">
        <v>62</v>
      </c>
      <c r="T385" s="31" t="s">
        <v>22251</v>
      </c>
      <c r="U385" s="31" t="n">
        <v>8</v>
      </c>
      <c r="V385" s="31" t="s">
        <v>22252</v>
      </c>
      <c r="W385" s="31" t="n">
        <v>5</v>
      </c>
      <c r="X385" s="31" t="s">
        <v>24672</v>
      </c>
      <c r="Y385" s="31"/>
      <c r="Z385" s="31" t="s">
        <v>24673</v>
      </c>
      <c r="AA385" s="31" t="s">
        <v>24674</v>
      </c>
      <c r="AB385" s="31" t="s">
        <v>24675</v>
      </c>
      <c r="AC385" s="31" t="s">
        <v>24676</v>
      </c>
      <c r="AD385" s="31" t="s">
        <v>24677</v>
      </c>
      <c r="AE385" s="31" t="s">
        <v>24678</v>
      </c>
      <c r="AF385" s="31"/>
      <c r="AG385" s="31"/>
      <c r="AH385" s="31"/>
      <c r="AI385" s="31" t="n">
        <v>37</v>
      </c>
      <c r="AJ385" s="31" t="n">
        <v>0</v>
      </c>
      <c r="AK385" s="31" t="n">
        <v>7</v>
      </c>
      <c r="AL385" s="31" t="s">
        <v>22264</v>
      </c>
      <c r="AM385" s="31" t="s">
        <v>22265</v>
      </c>
      <c r="AN385" s="31" t="s">
        <v>22266</v>
      </c>
      <c r="AO385" s="31" t="s">
        <v>22267</v>
      </c>
      <c r="AP385" s="31" t="s">
        <v>22268</v>
      </c>
      <c r="AQ385" s="31" t="s">
        <v>22269</v>
      </c>
      <c r="AR385" s="31" t="s">
        <v>16801</v>
      </c>
      <c r="AS385" s="31"/>
      <c r="AT385" s="31"/>
      <c r="AU385" s="31" t="n">
        <v>54502</v>
      </c>
      <c r="AV385" s="31" t="s">
        <v>24679</v>
      </c>
      <c r="AW385" s="35" t="str">
        <f aca="false">HYPERLINK("http://dx.doi.org/10.1117/1.JMI.8.5.054502","http://dx.doi.org/10.1117/1.JMI.8.5.054502")</f>
        <v>http://dx.doi.org/10.1117/1.JMI.8.5.054502</v>
      </c>
      <c r="AX385" s="31"/>
      <c r="AY385" s="31" t="n">
        <v>14</v>
      </c>
      <c r="AZ385" s="31" t="s">
        <v>16998</v>
      </c>
      <c r="BA385" s="31" t="s">
        <v>16684</v>
      </c>
      <c r="BB385" s="31" t="s">
        <v>16998</v>
      </c>
      <c r="BC385" s="31" t="s">
        <v>24680</v>
      </c>
      <c r="BD385" s="31" t="n">
        <v>34604441</v>
      </c>
      <c r="BE385" s="31" t="s">
        <v>18202</v>
      </c>
      <c r="BF385" s="31" t="s">
        <v>16369</v>
      </c>
      <c r="BG385" s="31" t="s">
        <v>24681</v>
      </c>
      <c r="BH385" s="31" t="str">
        <f aca="false">HYPERLINK("https%3A%2F%2Fwww.webofscience.com%2Fwos%2Fwoscc%2Ffull-record%2FWOS:000720829600021","View Full Record in Web of Science")</f>
        <v>View Full Record in Web of Science</v>
      </c>
      <c r="BI385" s="31"/>
      <c r="BJ385" s="31"/>
      <c r="BK385" s="31"/>
      <c r="BL385" s="31"/>
      <c r="BM385" s="31"/>
      <c r="BN385" s="31"/>
      <c r="BO385" s="31"/>
      <c r="BP385" s="31"/>
      <c r="BQ385" s="31"/>
      <c r="BR385" s="31"/>
      <c r="BS385" s="31"/>
      <c r="BT385" s="31"/>
      <c r="BU385" s="31"/>
      <c r="BV385" s="31"/>
      <c r="BW385" s="31"/>
      <c r="BX385" s="31"/>
      <c r="BY385" s="31"/>
      <c r="BZ385" s="31"/>
      <c r="CA385" s="31"/>
      <c r="CB385" s="31"/>
      <c r="CC385" s="31"/>
      <c r="CD385" s="31"/>
      <c r="CE385" s="31"/>
      <c r="CF385" s="31"/>
    </row>
    <row r="386" customFormat="false" ht="15.75" hidden="false" customHeight="true" outlineLevel="0" collapsed="false">
      <c r="A386" s="31" t="s">
        <v>16335</v>
      </c>
      <c r="B386" s="31" t="s">
        <v>24682</v>
      </c>
      <c r="C386" s="31" t="s">
        <v>24683</v>
      </c>
      <c r="D386" s="34" t="s">
        <v>24684</v>
      </c>
      <c r="E386" s="31" t="n">
        <v>2021</v>
      </c>
      <c r="F386" s="33" t="s">
        <v>24685</v>
      </c>
      <c r="G386" s="33" t="s">
        <v>134</v>
      </c>
      <c r="H386" s="32" t="s">
        <v>4812</v>
      </c>
      <c r="I386" s="34"/>
      <c r="J386" s="32" t="s">
        <v>22178</v>
      </c>
      <c r="K386" s="32" t="s">
        <v>16409</v>
      </c>
      <c r="L386" s="32" t="s">
        <v>3754</v>
      </c>
      <c r="M386" s="32" t="s">
        <v>24686</v>
      </c>
      <c r="N386" s="32" t="s">
        <v>24687</v>
      </c>
      <c r="O386" s="34"/>
      <c r="P386" s="34" t="n">
        <v>70</v>
      </c>
      <c r="Q386" s="31" t="n">
        <v>74</v>
      </c>
      <c r="R386" s="31" t="s">
        <v>61</v>
      </c>
      <c r="S386" s="31" t="s">
        <v>62</v>
      </c>
      <c r="T386" s="31" t="s">
        <v>18059</v>
      </c>
      <c r="U386" s="31" t="n">
        <v>22</v>
      </c>
      <c r="V386" s="31" t="s">
        <v>17599</v>
      </c>
      <c r="W386" s="31" t="n">
        <v>1</v>
      </c>
      <c r="X386" s="31" t="s">
        <v>24688</v>
      </c>
      <c r="Y386" s="31" t="s">
        <v>16816</v>
      </c>
      <c r="Z386" s="31" t="s">
        <v>24689</v>
      </c>
      <c r="AA386" s="31" t="s">
        <v>24690</v>
      </c>
      <c r="AB386" s="31" t="s">
        <v>24691</v>
      </c>
      <c r="AC386" s="31" t="s">
        <v>22184</v>
      </c>
      <c r="AD386" s="31" t="s">
        <v>24692</v>
      </c>
      <c r="AE386" s="31" t="s">
        <v>24693</v>
      </c>
      <c r="AF386" s="31"/>
      <c r="AG386" s="31"/>
      <c r="AH386" s="31"/>
      <c r="AI386" s="31" t="n">
        <v>55</v>
      </c>
      <c r="AJ386" s="31" t="n">
        <v>2</v>
      </c>
      <c r="AK386" s="31" t="n">
        <v>66</v>
      </c>
      <c r="AL386" s="31" t="s">
        <v>16821</v>
      </c>
      <c r="AM386" s="31" t="s">
        <v>17609</v>
      </c>
      <c r="AN386" s="31" t="s">
        <v>18070</v>
      </c>
      <c r="AO386" s="31"/>
      <c r="AP386" s="31" t="s">
        <v>18059</v>
      </c>
      <c r="AQ386" s="31" t="s">
        <v>18071</v>
      </c>
      <c r="AR386" s="31" t="s">
        <v>16942</v>
      </c>
      <c r="AS386" s="31"/>
      <c r="AT386" s="31"/>
      <c r="AU386" s="31" t="n">
        <v>112</v>
      </c>
      <c r="AV386" s="31" t="s">
        <v>24694</v>
      </c>
      <c r="AW386" s="35" t="str">
        <f aca="false">HYPERLINK("http://dx.doi.org/10.1186/s12859-021-04036-4","http://dx.doi.org/10.1186/s12859-021-04036-4")</f>
        <v>http://dx.doi.org/10.1186/s12859-021-04036-4</v>
      </c>
      <c r="AX386" s="31"/>
      <c r="AY386" s="31" t="n">
        <v>17</v>
      </c>
      <c r="AZ386" s="31" t="s">
        <v>18074</v>
      </c>
      <c r="BA386" s="31" t="s">
        <v>16366</v>
      </c>
      <c r="BB386" s="31" t="s">
        <v>18075</v>
      </c>
      <c r="BC386" s="31" t="s">
        <v>24695</v>
      </c>
      <c r="BD386" s="31" t="n">
        <v>33685401</v>
      </c>
      <c r="BE386" s="31" t="s">
        <v>17168</v>
      </c>
      <c r="BF386" s="31" t="s">
        <v>16369</v>
      </c>
      <c r="BG386" s="31" t="s">
        <v>24696</v>
      </c>
      <c r="BH386" s="31" t="str">
        <f aca="false">HYPERLINK("https%3A%2F%2Fwww.webofscience.com%2Fwos%2Fwoscc%2Ffull-record%2FWOS:000626671900001","View Full Record in Web of Science")</f>
        <v>View Full Record in Web of Science</v>
      </c>
      <c r="BI386" s="31"/>
      <c r="BJ386" s="31"/>
      <c r="BK386" s="31"/>
      <c r="BL386" s="31"/>
      <c r="BM386" s="31"/>
      <c r="BN386" s="31"/>
      <c r="BO386" s="31"/>
      <c r="BP386" s="31"/>
      <c r="BQ386" s="31"/>
      <c r="BR386" s="31"/>
      <c r="BS386" s="31"/>
      <c r="BT386" s="31"/>
      <c r="BU386" s="31"/>
      <c r="BV386" s="31"/>
      <c r="BW386" s="31"/>
      <c r="BX386" s="31"/>
      <c r="BY386" s="31"/>
      <c r="BZ386" s="31"/>
      <c r="CA386" s="31"/>
      <c r="CB386" s="31"/>
      <c r="CC386" s="31"/>
      <c r="CD386" s="31"/>
      <c r="CE386" s="31"/>
      <c r="CF386" s="31"/>
    </row>
    <row r="387" customFormat="false" ht="15.75" hidden="false" customHeight="true" outlineLevel="0" collapsed="false">
      <c r="A387" s="31" t="s">
        <v>16335</v>
      </c>
      <c r="B387" s="31" t="s">
        <v>24697</v>
      </c>
      <c r="C387" s="31" t="s">
        <v>24698</v>
      </c>
      <c r="D387" s="34" t="s">
        <v>24699</v>
      </c>
      <c r="E387" s="31" t="n">
        <v>2021</v>
      </c>
      <c r="F387" s="33" t="s">
        <v>24700</v>
      </c>
      <c r="G387" s="33" t="s">
        <v>134</v>
      </c>
      <c r="H387" s="32" t="s">
        <v>24701</v>
      </c>
      <c r="I387" s="34"/>
      <c r="J387" s="32" t="s">
        <v>24702</v>
      </c>
      <c r="K387" s="32" t="s">
        <v>24703</v>
      </c>
      <c r="L387" s="32" t="s">
        <v>3754</v>
      </c>
      <c r="M387" s="32" t="s">
        <v>24704</v>
      </c>
      <c r="N387" s="32" t="s">
        <v>24705</v>
      </c>
      <c r="O387" s="34"/>
      <c r="P387" s="34" t="n">
        <v>9</v>
      </c>
      <c r="Q387" s="31" t="n">
        <v>9</v>
      </c>
      <c r="R387" s="31" t="s">
        <v>61</v>
      </c>
      <c r="S387" s="31" t="s">
        <v>62</v>
      </c>
      <c r="T387" s="31" t="s">
        <v>19869</v>
      </c>
      <c r="U387" s="31" t="n">
        <v>19</v>
      </c>
      <c r="V387" s="31" t="s">
        <v>16349</v>
      </c>
      <c r="W387" s="31"/>
      <c r="X387" s="31" t="s">
        <v>24706</v>
      </c>
      <c r="Y387" s="31" t="s">
        <v>24707</v>
      </c>
      <c r="Z387" s="31" t="s">
        <v>24708</v>
      </c>
      <c r="AA387" s="31" t="s">
        <v>24709</v>
      </c>
      <c r="AB387" s="31" t="s">
        <v>24710</v>
      </c>
      <c r="AC387" s="31" t="s">
        <v>24711</v>
      </c>
      <c r="AD387" s="31" t="s">
        <v>24712</v>
      </c>
      <c r="AE387" s="31" t="s">
        <v>24713</v>
      </c>
      <c r="AF387" s="31" t="s">
        <v>24714</v>
      </c>
      <c r="AG387" s="31" t="s">
        <v>24715</v>
      </c>
      <c r="AH387" s="31" t="s">
        <v>24716</v>
      </c>
      <c r="AI387" s="31" t="n">
        <v>47</v>
      </c>
      <c r="AJ387" s="31" t="n">
        <v>1</v>
      </c>
      <c r="AK387" s="31" t="n">
        <v>9</v>
      </c>
      <c r="AL387" s="31" t="s">
        <v>16356</v>
      </c>
      <c r="AM387" s="31" t="s">
        <v>16357</v>
      </c>
      <c r="AN387" s="31" t="s">
        <v>19881</v>
      </c>
      <c r="AO387" s="31"/>
      <c r="AP387" s="31" t="s">
        <v>19882</v>
      </c>
      <c r="AQ387" s="31" t="s">
        <v>19883</v>
      </c>
      <c r="AR387" s="31"/>
      <c r="AS387" s="31" t="n">
        <v>3051</v>
      </c>
      <c r="AT387" s="31" t="n">
        <v>3057</v>
      </c>
      <c r="AU387" s="31"/>
      <c r="AV387" s="31" t="s">
        <v>24717</v>
      </c>
      <c r="AW387" s="35" t="str">
        <f aca="false">HYPERLINK("http://dx.doi.org/10.1016/j.csbj.2021.05.027","http://dx.doi.org/10.1016/j.csbj.2021.05.027")</f>
        <v>http://dx.doi.org/10.1016/j.csbj.2021.05.027</v>
      </c>
      <c r="AX387" s="31" t="s">
        <v>24718</v>
      </c>
      <c r="AY387" s="31" t="n">
        <v>7</v>
      </c>
      <c r="AZ387" s="31" t="s">
        <v>19885</v>
      </c>
      <c r="BA387" s="31" t="s">
        <v>16366</v>
      </c>
      <c r="BB387" s="31" t="s">
        <v>19885</v>
      </c>
      <c r="BC387" s="31" t="s">
        <v>24719</v>
      </c>
      <c r="BD387" s="31" t="n">
        <v>34136103</v>
      </c>
      <c r="BE387" s="31" t="s">
        <v>17143</v>
      </c>
      <c r="BF387" s="31" t="s">
        <v>16369</v>
      </c>
      <c r="BG387" s="31" t="s">
        <v>24720</v>
      </c>
      <c r="BH387" s="31" t="str">
        <f aca="false">HYPERLINK("https%3A%2F%2Fwww.webofscience.com%2Fwos%2Fwoscc%2Ffull-record%2FWOS:000684817100006","View Full Record in Web of Science")</f>
        <v>View Full Record in Web of Science</v>
      </c>
      <c r="BI387" s="31"/>
      <c r="BJ387" s="31"/>
      <c r="BK387" s="31"/>
      <c r="BL387" s="31"/>
      <c r="BM387" s="31"/>
      <c r="BN387" s="31"/>
      <c r="BO387" s="31"/>
      <c r="BP387" s="31"/>
      <c r="BQ387" s="31"/>
      <c r="BR387" s="31"/>
      <c r="BS387" s="31"/>
      <c r="BT387" s="31"/>
      <c r="BU387" s="31"/>
      <c r="BV387" s="31"/>
      <c r="BW387" s="31"/>
      <c r="BX387" s="31"/>
      <c r="BY387" s="31"/>
      <c r="BZ387" s="31"/>
      <c r="CA387" s="31"/>
      <c r="CB387" s="31"/>
      <c r="CC387" s="31"/>
      <c r="CD387" s="31"/>
      <c r="CE387" s="31"/>
      <c r="CF387" s="31"/>
    </row>
    <row r="388" customFormat="false" ht="15.75" hidden="false" customHeight="true" outlineLevel="0" collapsed="false">
      <c r="A388" s="31" t="s">
        <v>16335</v>
      </c>
      <c r="B388" s="31" t="s">
        <v>24721</v>
      </c>
      <c r="C388" s="31" t="s">
        <v>24722</v>
      </c>
      <c r="D388" s="34" t="s">
        <v>24723</v>
      </c>
      <c r="E388" s="31" t="n">
        <v>2021</v>
      </c>
      <c r="F388" s="33" t="s">
        <v>24724</v>
      </c>
      <c r="G388" s="33" t="s">
        <v>134</v>
      </c>
      <c r="H388" s="32" t="s">
        <v>24725</v>
      </c>
      <c r="I388" s="32" t="s">
        <v>4394</v>
      </c>
      <c r="J388" s="32" t="s">
        <v>22178</v>
      </c>
      <c r="K388" s="34"/>
      <c r="L388" s="32" t="s">
        <v>3754</v>
      </c>
      <c r="M388" s="34"/>
      <c r="N388" s="32" t="s">
        <v>24726</v>
      </c>
      <c r="O388" s="34"/>
      <c r="P388" s="34" t="n">
        <v>20</v>
      </c>
      <c r="Q388" s="31" t="n">
        <v>20</v>
      </c>
      <c r="R388" s="31" t="s">
        <v>61</v>
      </c>
      <c r="S388" s="31" t="s">
        <v>62</v>
      </c>
      <c r="T388" s="31" t="s">
        <v>16844</v>
      </c>
      <c r="U388" s="31" t="n">
        <v>15</v>
      </c>
      <c r="V388" s="31" t="s">
        <v>16845</v>
      </c>
      <c r="W388" s="31" t="n">
        <v>9</v>
      </c>
      <c r="X388" s="31"/>
      <c r="Y388" s="31"/>
      <c r="Z388" s="31" t="s">
        <v>24727</v>
      </c>
      <c r="AA388" s="31" t="s">
        <v>24728</v>
      </c>
      <c r="AB388" s="31" t="s">
        <v>24729</v>
      </c>
      <c r="AC388" s="31" t="s">
        <v>24730</v>
      </c>
      <c r="AD388" s="31" t="s">
        <v>24731</v>
      </c>
      <c r="AE388" s="31" t="s">
        <v>24732</v>
      </c>
      <c r="AF388" s="31" t="s">
        <v>24733</v>
      </c>
      <c r="AG388" s="31" t="s">
        <v>24734</v>
      </c>
      <c r="AH388" s="31" t="s">
        <v>24735</v>
      </c>
      <c r="AI388" s="31" t="n">
        <v>25</v>
      </c>
      <c r="AJ388" s="31" t="n">
        <v>1</v>
      </c>
      <c r="AK388" s="31" t="n">
        <v>17</v>
      </c>
      <c r="AL388" s="31" t="s">
        <v>16855</v>
      </c>
      <c r="AM388" s="31" t="s">
        <v>16856</v>
      </c>
      <c r="AN388" s="31" t="s">
        <v>16857</v>
      </c>
      <c r="AO388" s="31"/>
      <c r="AP388" s="31" t="s">
        <v>16858</v>
      </c>
      <c r="AQ388" s="31" t="s">
        <v>16859</v>
      </c>
      <c r="AR388" s="31" t="s">
        <v>16801</v>
      </c>
      <c r="AS388" s="31"/>
      <c r="AT388" s="31"/>
      <c r="AU388" s="31" t="s">
        <v>24736</v>
      </c>
      <c r="AV388" s="31" t="s">
        <v>24737</v>
      </c>
      <c r="AW388" s="35" t="str">
        <f aca="false">HYPERLINK("http://dx.doi.org/10.1371/journal.pntd.0009677","http://dx.doi.org/10.1371/journal.pntd.0009677")</f>
        <v>http://dx.doi.org/10.1371/journal.pntd.0009677</v>
      </c>
      <c r="AX388" s="31"/>
      <c r="AY388" s="31" t="n">
        <v>14</v>
      </c>
      <c r="AZ388" s="31" t="s">
        <v>16862</v>
      </c>
      <c r="BA388" s="31" t="s">
        <v>16366</v>
      </c>
      <c r="BB388" s="31" t="s">
        <v>16862</v>
      </c>
      <c r="BC388" s="31" t="s">
        <v>24738</v>
      </c>
      <c r="BD388" s="31" t="n">
        <v>34492039</v>
      </c>
      <c r="BE388" s="31" t="s">
        <v>19056</v>
      </c>
      <c r="BF388" s="31" t="s">
        <v>16369</v>
      </c>
      <c r="BG388" s="31" t="s">
        <v>24739</v>
      </c>
      <c r="BH388" s="31" t="str">
        <f aca="false">HYPERLINK("https%3A%2F%2Fwww.webofscience.com%2Fwos%2Fwoscc%2Ffull-record%2FWOS:000729033700004","View Full Record in Web of Science")</f>
        <v>View Full Record in Web of Science</v>
      </c>
      <c r="BI388" s="31"/>
      <c r="BJ388" s="31"/>
      <c r="BK388" s="31"/>
      <c r="BL388" s="31"/>
      <c r="BM388" s="31"/>
      <c r="BN388" s="31"/>
      <c r="BO388" s="31"/>
      <c r="BP388" s="31"/>
      <c r="BQ388" s="31"/>
      <c r="BR388" s="31"/>
      <c r="BS388" s="31"/>
      <c r="BT388" s="31"/>
      <c r="BU388" s="31"/>
      <c r="BV388" s="31"/>
      <c r="BW388" s="31"/>
      <c r="BX388" s="31"/>
      <c r="BY388" s="31"/>
      <c r="BZ388" s="31"/>
      <c r="CA388" s="31"/>
      <c r="CB388" s="31"/>
      <c r="CC388" s="31"/>
      <c r="CD388" s="31"/>
      <c r="CE388" s="31"/>
      <c r="CF388" s="31"/>
    </row>
    <row r="389" customFormat="false" ht="15.75" hidden="false" customHeight="true" outlineLevel="0" collapsed="false">
      <c r="A389" s="31" t="s">
        <v>16335</v>
      </c>
      <c r="B389" s="31" t="s">
        <v>24740</v>
      </c>
      <c r="C389" s="31" t="s">
        <v>24741</v>
      </c>
      <c r="D389" s="34" t="s">
        <v>24742</v>
      </c>
      <c r="E389" s="31" t="n">
        <v>2021</v>
      </c>
      <c r="F389" s="33" t="s">
        <v>24743</v>
      </c>
      <c r="G389" s="33" t="s">
        <v>134</v>
      </c>
      <c r="H389" s="32" t="s">
        <v>24744</v>
      </c>
      <c r="I389" s="32" t="s">
        <v>4101</v>
      </c>
      <c r="J389" s="32" t="s">
        <v>24745</v>
      </c>
      <c r="K389" s="32" t="s">
        <v>16840</v>
      </c>
      <c r="L389" s="34"/>
      <c r="M389" s="34"/>
      <c r="N389" s="34"/>
      <c r="O389" s="34"/>
      <c r="P389" s="34" t="n">
        <v>12</v>
      </c>
      <c r="Q389" s="31" t="n">
        <v>12</v>
      </c>
      <c r="R389" s="31" t="s">
        <v>61</v>
      </c>
      <c r="S389" s="31" t="s">
        <v>62</v>
      </c>
      <c r="T389" s="31" t="s">
        <v>16875</v>
      </c>
      <c r="U389" s="31" t="n">
        <v>215</v>
      </c>
      <c r="V389" s="31" t="s">
        <v>16349</v>
      </c>
      <c r="W389" s="31"/>
      <c r="X389" s="31" t="s">
        <v>24746</v>
      </c>
      <c r="Y389" s="31" t="s">
        <v>24747</v>
      </c>
      <c r="Z389" s="31" t="s">
        <v>24748</v>
      </c>
      <c r="AA389" s="31" t="s">
        <v>24749</v>
      </c>
      <c r="AB389" s="31" t="s">
        <v>24750</v>
      </c>
      <c r="AC389" s="31" t="s">
        <v>17744</v>
      </c>
      <c r="AD389" s="31" t="s">
        <v>24751</v>
      </c>
      <c r="AE389" s="31" t="s">
        <v>24752</v>
      </c>
      <c r="AF389" s="31" t="s">
        <v>24753</v>
      </c>
      <c r="AG389" s="31" t="s">
        <v>24754</v>
      </c>
      <c r="AH389" s="31" t="s">
        <v>24755</v>
      </c>
      <c r="AI389" s="31" t="n">
        <v>51</v>
      </c>
      <c r="AJ389" s="31" t="n">
        <v>1</v>
      </c>
      <c r="AK389" s="31" t="n">
        <v>20</v>
      </c>
      <c r="AL389" s="31" t="s">
        <v>16356</v>
      </c>
      <c r="AM389" s="31" t="s">
        <v>16357</v>
      </c>
      <c r="AN389" s="31" t="s">
        <v>16886</v>
      </c>
      <c r="AO389" s="31" t="s">
        <v>16887</v>
      </c>
      <c r="AP389" s="31" t="s">
        <v>16888</v>
      </c>
      <c r="AQ389" s="31" t="s">
        <v>1926</v>
      </c>
      <c r="AR389" s="31" t="s">
        <v>17248</v>
      </c>
      <c r="AS389" s="31"/>
      <c r="AT389" s="31"/>
      <c r="AU389" s="31" t="n">
        <v>105809</v>
      </c>
      <c r="AV389" s="31" t="s">
        <v>24756</v>
      </c>
      <c r="AW389" s="35" t="str">
        <f aca="false">HYPERLINK("http://dx.doi.org/10.1016/j.actatropica.2020.105809","http://dx.doi.org/10.1016/j.actatropica.2020.105809")</f>
        <v>http://dx.doi.org/10.1016/j.actatropica.2020.105809</v>
      </c>
      <c r="AX389" s="31" t="s">
        <v>22726</v>
      </c>
      <c r="AY389" s="31" t="n">
        <v>9</v>
      </c>
      <c r="AZ389" s="31" t="s">
        <v>16891</v>
      </c>
      <c r="BA389" s="31" t="s">
        <v>16366</v>
      </c>
      <c r="BB389" s="31" t="s">
        <v>16891</v>
      </c>
      <c r="BC389" s="31" t="s">
        <v>24757</v>
      </c>
      <c r="BD389" s="31" t="n">
        <v>33385364</v>
      </c>
      <c r="BE389" s="31" t="s">
        <v>18202</v>
      </c>
      <c r="BF389" s="31" t="s">
        <v>16369</v>
      </c>
      <c r="BG389" s="31" t="s">
        <v>24758</v>
      </c>
      <c r="BH389" s="31" t="str">
        <f aca="false">HYPERLINK("https%3A%2F%2Fwww.webofscience.com%2Fwos%2Fwoscc%2Ffull-record%2FWOS:000615981900007","View Full Record in Web of Science")</f>
        <v>View Full Record in Web of Science</v>
      </c>
      <c r="BI389" s="31"/>
      <c r="BJ389" s="31"/>
      <c r="BK389" s="31"/>
      <c r="BL389" s="31"/>
      <c r="BM389" s="31"/>
      <c r="BN389" s="31"/>
      <c r="BO389" s="31"/>
      <c r="BP389" s="31"/>
      <c r="BQ389" s="31"/>
      <c r="BR389" s="31"/>
      <c r="BS389" s="31"/>
      <c r="BT389" s="31"/>
      <c r="BU389" s="31"/>
      <c r="BV389" s="31"/>
      <c r="BW389" s="31"/>
      <c r="BX389" s="31"/>
      <c r="BY389" s="31"/>
      <c r="BZ389" s="31"/>
      <c r="CA389" s="31"/>
      <c r="CB389" s="31"/>
      <c r="CC389" s="31"/>
      <c r="CD389" s="31"/>
      <c r="CE389" s="31"/>
      <c r="CF389" s="31"/>
    </row>
    <row r="390" customFormat="false" ht="15.75" hidden="false" customHeight="true" outlineLevel="0" collapsed="false">
      <c r="A390" s="31" t="s">
        <v>16335</v>
      </c>
      <c r="B390" s="31" t="s">
        <v>24759</v>
      </c>
      <c r="C390" s="31" t="s">
        <v>24760</v>
      </c>
      <c r="D390" s="34" t="s">
        <v>24761</v>
      </c>
      <c r="E390" s="31" t="n">
        <v>2021</v>
      </c>
      <c r="F390" s="33" t="s">
        <v>24762</v>
      </c>
      <c r="G390" s="33" t="s">
        <v>134</v>
      </c>
      <c r="H390" s="32" t="s">
        <v>24763</v>
      </c>
      <c r="I390" s="32" t="s">
        <v>4931</v>
      </c>
      <c r="J390" s="32" t="s">
        <v>20887</v>
      </c>
      <c r="K390" s="34"/>
      <c r="L390" s="34"/>
      <c r="M390" s="34"/>
      <c r="N390" s="34"/>
      <c r="O390" s="34"/>
      <c r="P390" s="34" t="n">
        <v>8</v>
      </c>
      <c r="Q390" s="31" t="n">
        <v>8</v>
      </c>
      <c r="R390" s="31" t="s">
        <v>61</v>
      </c>
      <c r="S390" s="31" t="s">
        <v>62</v>
      </c>
      <c r="T390" s="31" t="s">
        <v>24764</v>
      </c>
      <c r="U390" s="31" t="n">
        <v>255</v>
      </c>
      <c r="V390" s="31" t="s">
        <v>16475</v>
      </c>
      <c r="W390" s="31" t="n">
        <v>1</v>
      </c>
      <c r="X390" s="31" t="s">
        <v>24765</v>
      </c>
      <c r="Y390" s="31" t="s">
        <v>24766</v>
      </c>
      <c r="Z390" s="31" t="s">
        <v>24767</v>
      </c>
      <c r="AA390" s="31" t="s">
        <v>24768</v>
      </c>
      <c r="AB390" s="31" t="s">
        <v>24769</v>
      </c>
      <c r="AC390" s="31" t="s">
        <v>24770</v>
      </c>
      <c r="AD390" s="31"/>
      <c r="AE390" s="31" t="s">
        <v>24771</v>
      </c>
      <c r="AF390" s="31" t="s">
        <v>24772</v>
      </c>
      <c r="AG390" s="31" t="s">
        <v>24773</v>
      </c>
      <c r="AH390" s="31" t="s">
        <v>24774</v>
      </c>
      <c r="AI390" s="31" t="n">
        <v>30</v>
      </c>
      <c r="AJ390" s="31" t="n">
        <v>1</v>
      </c>
      <c r="AK390" s="31" t="n">
        <v>15</v>
      </c>
      <c r="AL390" s="31" t="s">
        <v>16485</v>
      </c>
      <c r="AM390" s="31" t="s">
        <v>16486</v>
      </c>
      <c r="AN390" s="31" t="s">
        <v>24775</v>
      </c>
      <c r="AO390" s="31" t="s">
        <v>24776</v>
      </c>
      <c r="AP390" s="31" t="s">
        <v>24777</v>
      </c>
      <c r="AQ390" s="31" t="s">
        <v>24778</v>
      </c>
      <c r="AR390" s="31" t="s">
        <v>16801</v>
      </c>
      <c r="AS390" s="31" t="n">
        <v>62</v>
      </c>
      <c r="AT390" s="31" t="n">
        <v>71</v>
      </c>
      <c r="AU390" s="31"/>
      <c r="AV390" s="31" t="s">
        <v>24779</v>
      </c>
      <c r="AW390" s="35" t="str">
        <f aca="false">HYPERLINK("http://dx.doi.org/10.1002/path.5738","http://dx.doi.org/10.1002/path.5738")</f>
        <v>http://dx.doi.org/10.1002/path.5738</v>
      </c>
      <c r="AX390" s="31" t="s">
        <v>22383</v>
      </c>
      <c r="AY390" s="31" t="n">
        <v>10</v>
      </c>
      <c r="AZ390" s="31" t="s">
        <v>24780</v>
      </c>
      <c r="BA390" s="31" t="s">
        <v>16366</v>
      </c>
      <c r="BB390" s="31" t="s">
        <v>24780</v>
      </c>
      <c r="BC390" s="31" t="s">
        <v>24781</v>
      </c>
      <c r="BD390" s="31" t="n">
        <v>34096621</v>
      </c>
      <c r="BE390" s="31" t="s">
        <v>24782</v>
      </c>
      <c r="BF390" s="31" t="s">
        <v>16369</v>
      </c>
      <c r="BG390" s="31" t="s">
        <v>24783</v>
      </c>
      <c r="BH390" s="31" t="str">
        <f aca="false">HYPERLINK("https%3A%2F%2Fwww.webofscience.com%2Fwos%2Fwoscc%2Ffull-record%2FWOS:000667706000001","View Full Record in Web of Science")</f>
        <v>View Full Record in Web of Science</v>
      </c>
      <c r="BI390" s="31"/>
      <c r="BJ390" s="31"/>
      <c r="BK390" s="31"/>
      <c r="BL390" s="31"/>
      <c r="BM390" s="31"/>
      <c r="BN390" s="31"/>
      <c r="BO390" s="31"/>
      <c r="BP390" s="31"/>
      <c r="BQ390" s="31"/>
      <c r="BR390" s="31"/>
      <c r="BS390" s="31"/>
      <c r="BT390" s="31"/>
      <c r="BU390" s="31"/>
      <c r="BV390" s="31"/>
      <c r="BW390" s="31"/>
      <c r="BX390" s="31"/>
      <c r="BY390" s="31"/>
      <c r="BZ390" s="31"/>
      <c r="CA390" s="31"/>
      <c r="CB390" s="31"/>
      <c r="CC390" s="31"/>
      <c r="CD390" s="31"/>
      <c r="CE390" s="31"/>
      <c r="CF390" s="31"/>
    </row>
    <row r="391" customFormat="false" ht="15.75" hidden="false" customHeight="true" outlineLevel="0" collapsed="false">
      <c r="A391" s="31" t="s">
        <v>16335</v>
      </c>
      <c r="B391" s="31" t="s">
        <v>24784</v>
      </c>
      <c r="C391" s="31" t="s">
        <v>24785</v>
      </c>
      <c r="D391" s="34" t="s">
        <v>24786</v>
      </c>
      <c r="E391" s="31" t="n">
        <v>2021</v>
      </c>
      <c r="F391" s="33" t="s">
        <v>24787</v>
      </c>
      <c r="G391" s="33" t="s">
        <v>290</v>
      </c>
      <c r="H391" s="32" t="s">
        <v>24788</v>
      </c>
      <c r="I391" s="34"/>
      <c r="J391" s="34"/>
      <c r="K391" s="34"/>
      <c r="L391" s="34"/>
      <c r="M391" s="34"/>
      <c r="N391" s="34"/>
      <c r="O391" s="34"/>
      <c r="P391" s="34" t="n">
        <v>9</v>
      </c>
      <c r="Q391" s="31" t="n">
        <v>9</v>
      </c>
      <c r="R391" s="31" t="s">
        <v>61</v>
      </c>
      <c r="S391" s="31" t="s">
        <v>62</v>
      </c>
      <c r="T391" s="31" t="s">
        <v>19950</v>
      </c>
      <c r="U391" s="31" t="n">
        <v>220</v>
      </c>
      <c r="V391" s="31" t="s">
        <v>16632</v>
      </c>
      <c r="W391" s="31"/>
      <c r="X391" s="31" t="s">
        <v>24789</v>
      </c>
      <c r="Y391" s="31" t="s">
        <v>24790</v>
      </c>
      <c r="Z391" s="31" t="s">
        <v>24791</v>
      </c>
      <c r="AA391" s="31" t="s">
        <v>24792</v>
      </c>
      <c r="AB391" s="31" t="s">
        <v>24793</v>
      </c>
      <c r="AC391" s="31" t="s">
        <v>24794</v>
      </c>
      <c r="AD391" s="31" t="s">
        <v>24795</v>
      </c>
      <c r="AE391" s="31" t="s">
        <v>24796</v>
      </c>
      <c r="AF391" s="31" t="s">
        <v>24797</v>
      </c>
      <c r="AG391" s="31" t="s">
        <v>24798</v>
      </c>
      <c r="AH391" s="31" t="s">
        <v>24799</v>
      </c>
      <c r="AI391" s="31" t="n">
        <v>74</v>
      </c>
      <c r="AJ391" s="31" t="n">
        <v>1</v>
      </c>
      <c r="AK391" s="31" t="n">
        <v>14</v>
      </c>
      <c r="AL391" s="31" t="s">
        <v>16644</v>
      </c>
      <c r="AM391" s="31" t="s">
        <v>16645</v>
      </c>
      <c r="AN391" s="31" t="s">
        <v>19961</v>
      </c>
      <c r="AO391" s="31" t="s">
        <v>19962</v>
      </c>
      <c r="AP391" s="31" t="s">
        <v>19963</v>
      </c>
      <c r="AQ391" s="31" t="s">
        <v>12924</v>
      </c>
      <c r="AR391" s="31" t="s">
        <v>24800</v>
      </c>
      <c r="AS391" s="31"/>
      <c r="AT391" s="31"/>
      <c r="AU391" s="31" t="n">
        <v>113458</v>
      </c>
      <c r="AV391" s="31" t="s">
        <v>24801</v>
      </c>
      <c r="AW391" s="35" t="str">
        <f aca="false">HYPERLINK("http://dx.doi.org/10.1016/j.ejmech.2021.113458","http://dx.doi.org/10.1016/j.ejmech.2021.113458")</f>
        <v>http://dx.doi.org/10.1016/j.ejmech.2021.113458</v>
      </c>
      <c r="AX391" s="31" t="s">
        <v>24285</v>
      </c>
      <c r="AY391" s="31" t="n">
        <v>13</v>
      </c>
      <c r="AZ391" s="31" t="s">
        <v>19761</v>
      </c>
      <c r="BA391" s="31" t="s">
        <v>17799</v>
      </c>
      <c r="BB391" s="31" t="s">
        <v>18125</v>
      </c>
      <c r="BC391" s="31" t="s">
        <v>24802</v>
      </c>
      <c r="BD391" s="31" t="n">
        <v>33901901</v>
      </c>
      <c r="BE391" s="31" t="s">
        <v>22273</v>
      </c>
      <c r="BF391" s="31" t="s">
        <v>16369</v>
      </c>
      <c r="BG391" s="31" t="s">
        <v>24803</v>
      </c>
      <c r="BH391" s="31" t="str">
        <f aca="false">HYPERLINK("https%3A%2F%2Fwww.webofscience.com%2Fwos%2Fwoscc%2Ffull-record%2FWOS:000659148800020","View Full Record in Web of Science")</f>
        <v>View Full Record in Web of Science</v>
      </c>
      <c r="BI391" s="31"/>
      <c r="BJ391" s="31"/>
      <c r="BK391" s="31"/>
      <c r="BL391" s="31"/>
      <c r="BM391" s="31"/>
      <c r="BN391" s="31"/>
      <c r="BO391" s="31"/>
      <c r="BP391" s="31"/>
      <c r="BQ391" s="31"/>
      <c r="BR391" s="31"/>
      <c r="BS391" s="31"/>
      <c r="BT391" s="31"/>
      <c r="BU391" s="31"/>
      <c r="BV391" s="31"/>
      <c r="BW391" s="31"/>
      <c r="BX391" s="31"/>
      <c r="BY391" s="31"/>
      <c r="BZ391" s="31"/>
      <c r="CA391" s="31"/>
      <c r="CB391" s="31"/>
      <c r="CC391" s="31"/>
      <c r="CD391" s="31"/>
      <c r="CE391" s="31"/>
      <c r="CF391" s="31"/>
    </row>
    <row r="392" customFormat="false" ht="15.75" hidden="false" customHeight="true" outlineLevel="0" collapsed="false">
      <c r="A392" s="31" t="s">
        <v>16335</v>
      </c>
      <c r="B392" s="31" t="s">
        <v>24804</v>
      </c>
      <c r="C392" s="31" t="s">
        <v>24805</v>
      </c>
      <c r="D392" s="32" t="s">
        <v>24806</v>
      </c>
      <c r="E392" s="31" t="n">
        <v>2021</v>
      </c>
      <c r="F392" s="33" t="s">
        <v>24807</v>
      </c>
      <c r="G392" s="33" t="s">
        <v>134</v>
      </c>
      <c r="H392" s="32" t="s">
        <v>3920</v>
      </c>
      <c r="I392" s="34"/>
      <c r="J392" s="34"/>
      <c r="K392" s="32" t="s">
        <v>24808</v>
      </c>
      <c r="L392" s="34"/>
      <c r="M392" s="34"/>
      <c r="N392" s="34"/>
      <c r="O392" s="34"/>
      <c r="P392" s="34" t="n">
        <v>2</v>
      </c>
      <c r="Q392" s="31" t="n">
        <v>2</v>
      </c>
      <c r="R392" s="31" t="s">
        <v>61</v>
      </c>
      <c r="S392" s="31" t="s">
        <v>62</v>
      </c>
      <c r="T392" s="31" t="s">
        <v>24809</v>
      </c>
      <c r="U392" s="31" t="n">
        <v>12</v>
      </c>
      <c r="V392" s="31" t="s">
        <v>22934</v>
      </c>
      <c r="W392" s="31" t="s">
        <v>24810</v>
      </c>
      <c r="X392" s="31" t="s">
        <v>24811</v>
      </c>
      <c r="Y392" s="31"/>
      <c r="Z392" s="31" t="s">
        <v>24812</v>
      </c>
      <c r="AA392" s="31" t="s">
        <v>24813</v>
      </c>
      <c r="AB392" s="31" t="s">
        <v>24814</v>
      </c>
      <c r="AC392" s="31" t="s">
        <v>24815</v>
      </c>
      <c r="AD392" s="31" t="s">
        <v>24816</v>
      </c>
      <c r="AE392" s="31" t="s">
        <v>24817</v>
      </c>
      <c r="AF392" s="31"/>
      <c r="AG392" s="31"/>
      <c r="AH392" s="31"/>
      <c r="AI392" s="31" t="n">
        <v>54</v>
      </c>
      <c r="AJ392" s="31" t="n">
        <v>1</v>
      </c>
      <c r="AK392" s="31" t="n">
        <v>12</v>
      </c>
      <c r="AL392" s="31" t="s">
        <v>22946</v>
      </c>
      <c r="AM392" s="31" t="s">
        <v>22947</v>
      </c>
      <c r="AN392" s="31" t="s">
        <v>24818</v>
      </c>
      <c r="AO392" s="31" t="s">
        <v>24819</v>
      </c>
      <c r="AP392" s="31" t="s">
        <v>24820</v>
      </c>
      <c r="AQ392" s="31" t="s">
        <v>24821</v>
      </c>
      <c r="AR392" s="31"/>
      <c r="AS392" s="31" t="n">
        <v>148</v>
      </c>
      <c r="AT392" s="31" t="n">
        <v>155</v>
      </c>
      <c r="AU392" s="31"/>
      <c r="AV392" s="31"/>
      <c r="AW392" s="31"/>
      <c r="AX392" s="31"/>
      <c r="AY392" s="31" t="n">
        <v>8</v>
      </c>
      <c r="AZ392" s="31" t="s">
        <v>19943</v>
      </c>
      <c r="BA392" s="31" t="s">
        <v>16684</v>
      </c>
      <c r="BB392" s="31" t="s">
        <v>18429</v>
      </c>
      <c r="BC392" s="31" t="s">
        <v>24822</v>
      </c>
      <c r="BD392" s="31"/>
      <c r="BE392" s="31"/>
      <c r="BF392" s="31" t="s">
        <v>16369</v>
      </c>
      <c r="BG392" s="31" t="s">
        <v>24823</v>
      </c>
      <c r="BH392" s="31" t="str">
        <f aca="false">HYPERLINK("https%3A%2F%2Fwww.webofscience.com%2Fwos%2Fwoscc%2Ffull-record%2FWOS:000661890000008","View Full Record in Web of Science")</f>
        <v>View Full Record in Web of Science</v>
      </c>
      <c r="BI392" s="31"/>
      <c r="BJ392" s="31"/>
      <c r="BK392" s="31"/>
      <c r="BL392" s="31"/>
      <c r="BM392" s="31"/>
      <c r="BN392" s="31"/>
      <c r="BO392" s="31"/>
      <c r="BP392" s="31"/>
      <c r="BQ392" s="31"/>
      <c r="BR392" s="31"/>
      <c r="BS392" s="31" t="s">
        <v>16622</v>
      </c>
      <c r="BT392" s="31"/>
      <c r="BU392" s="31"/>
      <c r="BV392" s="31"/>
      <c r="BW392" s="31"/>
      <c r="BX392" s="31"/>
      <c r="BY392" s="31"/>
      <c r="BZ392" s="31"/>
      <c r="CA392" s="31"/>
      <c r="CB392" s="31"/>
      <c r="CC392" s="31"/>
      <c r="CD392" s="31"/>
      <c r="CE392" s="31"/>
      <c r="CF392" s="31"/>
    </row>
    <row r="393" customFormat="false" ht="15.75" hidden="false" customHeight="true" outlineLevel="0" collapsed="false">
      <c r="A393" s="31" t="s">
        <v>16335</v>
      </c>
      <c r="B393" s="31" t="s">
        <v>24824</v>
      </c>
      <c r="C393" s="31" t="s">
        <v>24825</v>
      </c>
      <c r="D393" s="32" t="s">
        <v>24826</v>
      </c>
      <c r="E393" s="31" t="n">
        <v>2021</v>
      </c>
      <c r="F393" s="33" t="s">
        <v>24827</v>
      </c>
      <c r="G393" s="33" t="s">
        <v>134</v>
      </c>
      <c r="H393" s="32" t="s">
        <v>24828</v>
      </c>
      <c r="I393" s="32" t="s">
        <v>24829</v>
      </c>
      <c r="J393" s="32" t="s">
        <v>16782</v>
      </c>
      <c r="K393" s="32" t="s">
        <v>17038</v>
      </c>
      <c r="L393" s="34"/>
      <c r="M393" s="34"/>
      <c r="N393" s="34"/>
      <c r="O393" s="34"/>
      <c r="P393" s="34" t="n">
        <v>0</v>
      </c>
      <c r="Q393" s="31" t="n">
        <v>0</v>
      </c>
      <c r="R393" s="31" t="s">
        <v>61</v>
      </c>
      <c r="S393" s="31" t="s">
        <v>62</v>
      </c>
      <c r="T393" s="31" t="s">
        <v>23622</v>
      </c>
      <c r="U393" s="31" t="n">
        <v>11</v>
      </c>
      <c r="V393" s="31" t="s">
        <v>19553</v>
      </c>
      <c r="W393" s="31" t="n">
        <v>9</v>
      </c>
      <c r="X393" s="31" t="s">
        <v>24830</v>
      </c>
      <c r="Y393" s="31" t="s">
        <v>24831</v>
      </c>
      <c r="Z393" s="31" t="s">
        <v>24832</v>
      </c>
      <c r="AA393" s="31" t="s">
        <v>24833</v>
      </c>
      <c r="AB393" s="31" t="s">
        <v>24834</v>
      </c>
      <c r="AC393" s="31" t="s">
        <v>24835</v>
      </c>
      <c r="AD393" s="31" t="s">
        <v>24836</v>
      </c>
      <c r="AE393" s="31" t="s">
        <v>24837</v>
      </c>
      <c r="AF393" s="31" t="s">
        <v>24838</v>
      </c>
      <c r="AG393" s="31" t="s">
        <v>24839</v>
      </c>
      <c r="AH393" s="31" t="s">
        <v>24840</v>
      </c>
      <c r="AI393" s="31" t="n">
        <v>119</v>
      </c>
      <c r="AJ393" s="31" t="n">
        <v>0</v>
      </c>
      <c r="AK393" s="31" t="n">
        <v>5</v>
      </c>
      <c r="AL393" s="31" t="s">
        <v>16821</v>
      </c>
      <c r="AM393" s="31" t="s">
        <v>19564</v>
      </c>
      <c r="AN393" s="31" t="s">
        <v>23632</v>
      </c>
      <c r="AO393" s="31"/>
      <c r="AP393" s="31" t="s">
        <v>23622</v>
      </c>
      <c r="AQ393" s="31" t="s">
        <v>23633</v>
      </c>
      <c r="AR393" s="31" t="s">
        <v>16801</v>
      </c>
      <c r="AS393" s="31"/>
      <c r="AT393" s="31"/>
      <c r="AU393" s="31" t="s">
        <v>24841</v>
      </c>
      <c r="AV393" s="31" t="s">
        <v>24842</v>
      </c>
      <c r="AW393" s="35" t="str">
        <f aca="false">HYPERLINK("http://dx.doi.org/10.1136/bmjopen-2020-046590","http://dx.doi.org/10.1136/bmjopen-2020-046590")</f>
        <v>http://dx.doi.org/10.1136/bmjopen-2020-046590</v>
      </c>
      <c r="AX393" s="31"/>
      <c r="AY393" s="31" t="n">
        <v>10</v>
      </c>
      <c r="AZ393" s="31" t="s">
        <v>16829</v>
      </c>
      <c r="BA393" s="31" t="s">
        <v>16366</v>
      </c>
      <c r="BB393" s="31" t="s">
        <v>16830</v>
      </c>
      <c r="BC393" s="31" t="s">
        <v>24843</v>
      </c>
      <c r="BD393" s="31" t="n">
        <v>34593486</v>
      </c>
      <c r="BE393" s="31" t="s">
        <v>17325</v>
      </c>
      <c r="BF393" s="31" t="s">
        <v>16369</v>
      </c>
      <c r="BG393" s="31" t="s">
        <v>24844</v>
      </c>
      <c r="BH393" s="31" t="str">
        <f aca="false">HYPERLINK("https%3A%2F%2Fwww.webofscience.com%2Fwos%2Fwoscc%2Ffull-record%2FWOS:000703167900024","View Full Record in Web of Science")</f>
        <v>View Full Record in Web of Science</v>
      </c>
      <c r="BI393" s="31"/>
      <c r="BJ393" s="31"/>
      <c r="BK393" s="31"/>
      <c r="BL393" s="31"/>
      <c r="BM393" s="31"/>
      <c r="BN393" s="31"/>
      <c r="BO393" s="31"/>
      <c r="BP393" s="31"/>
      <c r="BQ393" s="31"/>
      <c r="BR393" s="31"/>
      <c r="BS393" s="31"/>
      <c r="BT393" s="31"/>
      <c r="BU393" s="31"/>
      <c r="BV393" s="31"/>
      <c r="BW393" s="31"/>
      <c r="BX393" s="31"/>
      <c r="BY393" s="31"/>
      <c r="BZ393" s="31"/>
      <c r="CA393" s="31"/>
      <c r="CB393" s="31"/>
      <c r="CC393" s="31"/>
      <c r="CD393" s="31"/>
      <c r="CE393" s="31"/>
      <c r="CF393" s="31"/>
    </row>
    <row r="394" customFormat="false" ht="15.75" hidden="false" customHeight="true" outlineLevel="0" collapsed="false">
      <c r="A394" s="31" t="s">
        <v>16335</v>
      </c>
      <c r="B394" s="31" t="s">
        <v>24845</v>
      </c>
      <c r="C394" s="31" t="s">
        <v>24846</v>
      </c>
      <c r="D394" s="34" t="s">
        <v>24847</v>
      </c>
      <c r="E394" s="31" t="n">
        <v>2021</v>
      </c>
      <c r="F394" s="33" t="s">
        <v>24848</v>
      </c>
      <c r="G394" s="33" t="s">
        <v>134</v>
      </c>
      <c r="H394" s="32" t="s">
        <v>4101</v>
      </c>
      <c r="I394" s="32" t="s">
        <v>4101</v>
      </c>
      <c r="J394" s="32" t="s">
        <v>24849</v>
      </c>
      <c r="K394" s="32" t="s">
        <v>22778</v>
      </c>
      <c r="L394" s="34"/>
      <c r="M394" s="34"/>
      <c r="N394" s="34"/>
      <c r="O394" s="34"/>
      <c r="P394" s="34" t="n">
        <v>2</v>
      </c>
      <c r="Q394" s="31" t="n">
        <v>2</v>
      </c>
      <c r="R394" s="31" t="s">
        <v>61</v>
      </c>
      <c r="S394" s="31" t="s">
        <v>62</v>
      </c>
      <c r="T394" s="31" t="s">
        <v>24850</v>
      </c>
      <c r="U394" s="31" t="n">
        <v>68</v>
      </c>
      <c r="V394" s="31" t="s">
        <v>16475</v>
      </c>
      <c r="W394" s="31" t="n">
        <v>8</v>
      </c>
      <c r="X394" s="31" t="s">
        <v>24851</v>
      </c>
      <c r="Y394" s="31" t="s">
        <v>24852</v>
      </c>
      <c r="Z394" s="31" t="s">
        <v>24853</v>
      </c>
      <c r="AA394" s="31" t="s">
        <v>24854</v>
      </c>
      <c r="AB394" s="31" t="s">
        <v>24855</v>
      </c>
      <c r="AC394" s="31" t="s">
        <v>24856</v>
      </c>
      <c r="AD394" s="31" t="s">
        <v>24857</v>
      </c>
      <c r="AE394" s="31" t="s">
        <v>24858</v>
      </c>
      <c r="AF394" s="31" t="s">
        <v>24859</v>
      </c>
      <c r="AG394" s="31" t="s">
        <v>24860</v>
      </c>
      <c r="AH394" s="31" t="s">
        <v>24859</v>
      </c>
      <c r="AI394" s="31" t="n">
        <v>39</v>
      </c>
      <c r="AJ394" s="31" t="n">
        <v>0</v>
      </c>
      <c r="AK394" s="31" t="n">
        <v>2</v>
      </c>
      <c r="AL394" s="31" t="s">
        <v>16485</v>
      </c>
      <c r="AM394" s="31" t="s">
        <v>16486</v>
      </c>
      <c r="AN394" s="31" t="s">
        <v>24861</v>
      </c>
      <c r="AO394" s="31" t="s">
        <v>24862</v>
      </c>
      <c r="AP394" s="31" t="s">
        <v>24863</v>
      </c>
      <c r="AQ394" s="31" t="s">
        <v>24864</v>
      </c>
      <c r="AR394" s="31" t="s">
        <v>16649</v>
      </c>
      <c r="AS394" s="31" t="n">
        <v>955</v>
      </c>
      <c r="AT394" s="31" t="n">
        <v>964</v>
      </c>
      <c r="AU394" s="31"/>
      <c r="AV394" s="31" t="s">
        <v>24865</v>
      </c>
      <c r="AW394" s="35" t="str">
        <f aca="false">HYPERLINK("http://dx.doi.org/10.1111/zph.12888","http://dx.doi.org/10.1111/zph.12888")</f>
        <v>http://dx.doi.org/10.1111/zph.12888</v>
      </c>
      <c r="AX394" s="31" t="s">
        <v>22655</v>
      </c>
      <c r="AY394" s="31" t="n">
        <v>10</v>
      </c>
      <c r="AZ394" s="31" t="s">
        <v>24866</v>
      </c>
      <c r="BA394" s="31" t="s">
        <v>16366</v>
      </c>
      <c r="BB394" s="31" t="s">
        <v>24866</v>
      </c>
      <c r="BC394" s="31" t="s">
        <v>24867</v>
      </c>
      <c r="BD394" s="31" t="n">
        <v>34472209</v>
      </c>
      <c r="BE394" s="31"/>
      <c r="BF394" s="31" t="s">
        <v>16369</v>
      </c>
      <c r="BG394" s="31" t="s">
        <v>24868</v>
      </c>
      <c r="BH394" s="31" t="str">
        <f aca="false">HYPERLINK("https%3A%2F%2Fwww.webofscience.com%2Fwos%2Fwoscc%2Ffull-record%2FWOS:000691884500001","View Full Record in Web of Science")</f>
        <v>View Full Record in Web of Science</v>
      </c>
      <c r="BI394" s="31"/>
      <c r="BJ394" s="31"/>
      <c r="BK394" s="31"/>
      <c r="BL394" s="31"/>
      <c r="BM394" s="31"/>
      <c r="BN394" s="31"/>
      <c r="BO394" s="31"/>
      <c r="BP394" s="31"/>
      <c r="BQ394" s="31"/>
      <c r="BR394" s="31"/>
      <c r="BS394" s="31"/>
      <c r="BT394" s="31"/>
      <c r="BU394" s="31"/>
      <c r="BV394" s="31"/>
      <c r="BW394" s="31"/>
      <c r="BX394" s="31"/>
      <c r="BY394" s="31"/>
      <c r="BZ394" s="31"/>
      <c r="CA394" s="31"/>
      <c r="CB394" s="31"/>
      <c r="CC394" s="31"/>
      <c r="CD394" s="31"/>
      <c r="CE394" s="31"/>
      <c r="CF394" s="31"/>
    </row>
    <row r="395" customFormat="false" ht="15.75" hidden="false" customHeight="true" outlineLevel="0" collapsed="false">
      <c r="A395" s="31" t="s">
        <v>16335</v>
      </c>
      <c r="B395" s="31" t="s">
        <v>24869</v>
      </c>
      <c r="C395" s="31" t="s">
        <v>24870</v>
      </c>
      <c r="D395" s="34" t="s">
        <v>24871</v>
      </c>
      <c r="E395" s="31" t="n">
        <v>2021</v>
      </c>
      <c r="F395" s="33" t="s">
        <v>24872</v>
      </c>
      <c r="G395" s="33" t="s">
        <v>134</v>
      </c>
      <c r="H395" s="32" t="s">
        <v>24873</v>
      </c>
      <c r="I395" s="32" t="s">
        <v>21551</v>
      </c>
      <c r="J395" s="34"/>
      <c r="K395" s="32" t="s">
        <v>16409</v>
      </c>
      <c r="L395" s="34"/>
      <c r="M395" s="34"/>
      <c r="N395" s="34"/>
      <c r="O395" s="34"/>
      <c r="P395" s="34" t="n">
        <v>69</v>
      </c>
      <c r="Q395" s="31" t="n">
        <v>72</v>
      </c>
      <c r="R395" s="31" t="s">
        <v>61</v>
      </c>
      <c r="S395" s="31" t="s">
        <v>62</v>
      </c>
      <c r="T395" s="31" t="s">
        <v>24874</v>
      </c>
      <c r="U395" s="31" t="n">
        <v>4</v>
      </c>
      <c r="V395" s="31" t="s">
        <v>16414</v>
      </c>
      <c r="W395" s="31" t="n">
        <v>8</v>
      </c>
      <c r="X395" s="31"/>
      <c r="Y395" s="31" t="s">
        <v>24875</v>
      </c>
      <c r="Z395" s="31" t="s">
        <v>24876</v>
      </c>
      <c r="AA395" s="31" t="s">
        <v>24877</v>
      </c>
      <c r="AB395" s="31" t="s">
        <v>24878</v>
      </c>
      <c r="AC395" s="31" t="s">
        <v>24879</v>
      </c>
      <c r="AD395" s="31" t="s">
        <v>24880</v>
      </c>
      <c r="AE395" s="31" t="s">
        <v>24881</v>
      </c>
      <c r="AF395" s="31" t="s">
        <v>24882</v>
      </c>
      <c r="AG395" s="31" t="s">
        <v>24883</v>
      </c>
      <c r="AH395" s="31" t="s">
        <v>24884</v>
      </c>
      <c r="AI395" s="31" t="n">
        <v>43</v>
      </c>
      <c r="AJ395" s="31" t="n">
        <v>7</v>
      </c>
      <c r="AK395" s="31" t="n">
        <v>62</v>
      </c>
      <c r="AL395" s="31" t="s">
        <v>16421</v>
      </c>
      <c r="AM395" s="31" t="s">
        <v>16422</v>
      </c>
      <c r="AN395" s="31" t="s">
        <v>24885</v>
      </c>
      <c r="AO395" s="31"/>
      <c r="AP395" s="31" t="s">
        <v>24886</v>
      </c>
      <c r="AQ395" s="31" t="s">
        <v>24887</v>
      </c>
      <c r="AR395" s="31" t="s">
        <v>17837</v>
      </c>
      <c r="AS395" s="31" t="n">
        <v>615</v>
      </c>
      <c r="AT395" s="31" t="n">
        <v>624</v>
      </c>
      <c r="AU395" s="31"/>
      <c r="AV395" s="31" t="s">
        <v>24888</v>
      </c>
      <c r="AW395" s="35" t="str">
        <f aca="false">HYPERLINK("http://dx.doi.org/10.1038/s41928-021-00612-x","http://dx.doi.org/10.1038/s41928-021-00612-x")</f>
        <v>http://dx.doi.org/10.1038/s41928-021-00612-x</v>
      </c>
      <c r="AX395" s="31" t="s">
        <v>23651</v>
      </c>
      <c r="AY395" s="31" t="n">
        <v>10</v>
      </c>
      <c r="AZ395" s="31" t="s">
        <v>23990</v>
      </c>
      <c r="BA395" s="31" t="s">
        <v>16366</v>
      </c>
      <c r="BB395" s="31" t="s">
        <v>18429</v>
      </c>
      <c r="BC395" s="31" t="s">
        <v>24889</v>
      </c>
      <c r="BD395" s="31" t="n">
        <v>39651407</v>
      </c>
      <c r="BE395" s="31" t="s">
        <v>17966</v>
      </c>
      <c r="BF395" s="31" t="s">
        <v>16369</v>
      </c>
      <c r="BG395" s="31" t="s">
        <v>24890</v>
      </c>
      <c r="BH395" s="31" t="str">
        <f aca="false">HYPERLINK("https%3A%2F%2Fwww.webofscience.com%2Fwos%2Fwoscc%2Ffull-record%2FWOS:000680372400001","View Full Record in Web of Science")</f>
        <v>View Full Record in Web of Science</v>
      </c>
      <c r="BI395" s="31"/>
      <c r="BJ395" s="31"/>
      <c r="BK395" s="31"/>
      <c r="BL395" s="31"/>
      <c r="BM395" s="31"/>
      <c r="BN395" s="31"/>
      <c r="BO395" s="31"/>
      <c r="BP395" s="31"/>
      <c r="BQ395" s="31"/>
      <c r="BR395" s="31"/>
      <c r="BS395" s="31"/>
      <c r="BT395" s="31"/>
      <c r="BU395" s="31"/>
      <c r="BV395" s="31"/>
      <c r="BW395" s="31"/>
      <c r="BX395" s="31"/>
      <c r="BY395" s="31"/>
      <c r="BZ395" s="31"/>
      <c r="CA395" s="31"/>
      <c r="CB395" s="31"/>
      <c r="CC395" s="31"/>
      <c r="CD395" s="31"/>
      <c r="CE395" s="31"/>
      <c r="CF395" s="31"/>
    </row>
    <row r="396" customFormat="false" ht="15.75" hidden="false" customHeight="true" outlineLevel="0" collapsed="false">
      <c r="A396" s="31" t="s">
        <v>16335</v>
      </c>
      <c r="B396" s="31" t="s">
        <v>24891</v>
      </c>
      <c r="C396" s="31" t="s">
        <v>24892</v>
      </c>
      <c r="D396" s="34" t="s">
        <v>24893</v>
      </c>
      <c r="E396" s="31" t="n">
        <v>2021</v>
      </c>
      <c r="F396" s="33" t="s">
        <v>24894</v>
      </c>
      <c r="G396" s="33" t="s">
        <v>134</v>
      </c>
      <c r="H396" s="32" t="s">
        <v>4101</v>
      </c>
      <c r="I396" s="34"/>
      <c r="J396" s="34"/>
      <c r="K396" s="34"/>
      <c r="L396" s="34"/>
      <c r="M396" s="34"/>
      <c r="N396" s="34"/>
      <c r="O396" s="34"/>
      <c r="P396" s="34" t="n">
        <v>24</v>
      </c>
      <c r="Q396" s="31" t="n">
        <v>24</v>
      </c>
      <c r="R396" s="31" t="s">
        <v>61</v>
      </c>
      <c r="S396" s="31" t="s">
        <v>62</v>
      </c>
      <c r="T396" s="31" t="s">
        <v>24895</v>
      </c>
      <c r="U396" s="31" t="n">
        <v>172</v>
      </c>
      <c r="V396" s="31" t="s">
        <v>24896</v>
      </c>
      <c r="W396" s="31"/>
      <c r="X396" s="31" t="s">
        <v>24897</v>
      </c>
      <c r="Y396" s="31" t="s">
        <v>24898</v>
      </c>
      <c r="Z396" s="31" t="s">
        <v>24899</v>
      </c>
      <c r="AA396" s="31" t="s">
        <v>24900</v>
      </c>
      <c r="AB396" s="31" t="s">
        <v>24901</v>
      </c>
      <c r="AC396" s="31" t="s">
        <v>24902</v>
      </c>
      <c r="AD396" s="31" t="s">
        <v>24903</v>
      </c>
      <c r="AE396" s="31" t="s">
        <v>24904</v>
      </c>
      <c r="AF396" s="31" t="s">
        <v>24905</v>
      </c>
      <c r="AG396" s="31" t="s">
        <v>24906</v>
      </c>
      <c r="AH396" s="31" t="s">
        <v>24907</v>
      </c>
      <c r="AI396" s="31" t="n">
        <v>29</v>
      </c>
      <c r="AJ396" s="31" t="n">
        <v>14</v>
      </c>
      <c r="AK396" s="31" t="n">
        <v>102</v>
      </c>
      <c r="AL396" s="31" t="s">
        <v>16575</v>
      </c>
      <c r="AM396" s="31" t="s">
        <v>24908</v>
      </c>
      <c r="AN396" s="31" t="s">
        <v>24909</v>
      </c>
      <c r="AO396" s="31" t="s">
        <v>24910</v>
      </c>
      <c r="AP396" s="31" t="s">
        <v>24911</v>
      </c>
      <c r="AQ396" s="31" t="s">
        <v>7317</v>
      </c>
      <c r="AR396" s="31" t="s">
        <v>24912</v>
      </c>
      <c r="AS396" s="31"/>
      <c r="AT396" s="31"/>
      <c r="AU396" s="31" t="n">
        <v>112760</v>
      </c>
      <c r="AV396" s="31" t="s">
        <v>24913</v>
      </c>
      <c r="AW396" s="35" t="str">
        <f aca="false">HYPERLINK("http://dx.doi.org/10.1016/j.bios.2020.112760","http://dx.doi.org/10.1016/j.bios.2020.112760")</f>
        <v>http://dx.doi.org/10.1016/j.bios.2020.112760</v>
      </c>
      <c r="AX396" s="31"/>
      <c r="AY396" s="31" t="n">
        <v>6</v>
      </c>
      <c r="AZ396" s="31" t="s">
        <v>24914</v>
      </c>
      <c r="BA396" s="31" t="s">
        <v>16366</v>
      </c>
      <c r="BB396" s="31" t="s">
        <v>24915</v>
      </c>
      <c r="BC396" s="31" t="s">
        <v>24916</v>
      </c>
      <c r="BD396" s="31" t="n">
        <v>33197751</v>
      </c>
      <c r="BE396" s="31"/>
      <c r="BF396" s="31" t="s">
        <v>16369</v>
      </c>
      <c r="BG396" s="31" t="s">
        <v>24917</v>
      </c>
      <c r="BH396" s="31" t="str">
        <f aca="false">HYPERLINK("https%3A%2F%2Fwww.webofscience.com%2Fwos%2Fwoscc%2Ffull-record%2FWOS:000603555600006","View Full Record in Web of Science")</f>
        <v>View Full Record in Web of Science</v>
      </c>
      <c r="BI396" s="31"/>
      <c r="BJ396" s="31"/>
      <c r="BK396" s="31"/>
      <c r="BL396" s="31"/>
      <c r="BM396" s="31"/>
      <c r="BN396" s="31"/>
      <c r="BO396" s="31"/>
      <c r="BP396" s="31"/>
      <c r="BQ396" s="31"/>
      <c r="BR396" s="31"/>
      <c r="BS396" s="31"/>
      <c r="BT396" s="31"/>
      <c r="BU396" s="31"/>
      <c r="BV396" s="31"/>
      <c r="BW396" s="31"/>
      <c r="BX396" s="31"/>
      <c r="BY396" s="31"/>
      <c r="BZ396" s="31"/>
      <c r="CA396" s="31"/>
      <c r="CB396" s="31"/>
      <c r="CC396" s="31"/>
      <c r="CD396" s="31"/>
      <c r="CE396" s="31"/>
      <c r="CF396" s="31"/>
    </row>
    <row r="397" customFormat="false" ht="15.75" hidden="false" customHeight="true" outlineLevel="0" collapsed="false">
      <c r="A397" s="31" t="s">
        <v>16335</v>
      </c>
      <c r="B397" s="31" t="s">
        <v>24918</v>
      </c>
      <c r="C397" s="31" t="s">
        <v>24919</v>
      </c>
      <c r="D397" s="34" t="s">
        <v>24920</v>
      </c>
      <c r="E397" s="31" t="n">
        <v>2021</v>
      </c>
      <c r="F397" s="33" t="s">
        <v>24921</v>
      </c>
      <c r="G397" s="33" t="s">
        <v>393</v>
      </c>
      <c r="H397" s="32" t="s">
        <v>24922</v>
      </c>
      <c r="I397" s="32" t="s">
        <v>24923</v>
      </c>
      <c r="J397" s="34"/>
      <c r="K397" s="32" t="s">
        <v>16753</v>
      </c>
      <c r="L397" s="34"/>
      <c r="M397" s="34"/>
      <c r="N397" s="34"/>
      <c r="O397" s="34"/>
      <c r="P397" s="34" t="n">
        <v>16</v>
      </c>
      <c r="Q397" s="31" t="n">
        <v>17</v>
      </c>
      <c r="R397" s="31" t="s">
        <v>61</v>
      </c>
      <c r="S397" s="31" t="s">
        <v>62</v>
      </c>
      <c r="T397" s="31" t="s">
        <v>20113</v>
      </c>
      <c r="U397" s="31" t="n">
        <v>10</v>
      </c>
      <c r="V397" s="31" t="s">
        <v>17599</v>
      </c>
      <c r="W397" s="31" t="n">
        <v>1</v>
      </c>
      <c r="X397" s="31" t="s">
        <v>24924</v>
      </c>
      <c r="Y397" s="31" t="s">
        <v>24925</v>
      </c>
      <c r="Z397" s="31" t="s">
        <v>24926</v>
      </c>
      <c r="AA397" s="31" t="s">
        <v>24927</v>
      </c>
      <c r="AB397" s="31" t="s">
        <v>24928</v>
      </c>
      <c r="AC397" s="31" t="s">
        <v>24929</v>
      </c>
      <c r="AD397" s="31" t="s">
        <v>24930</v>
      </c>
      <c r="AE397" s="31" t="s">
        <v>24931</v>
      </c>
      <c r="AF397" s="31" t="s">
        <v>24932</v>
      </c>
      <c r="AG397" s="31" t="s">
        <v>24933</v>
      </c>
      <c r="AH397" s="31" t="s">
        <v>24934</v>
      </c>
      <c r="AI397" s="31" t="n">
        <v>40</v>
      </c>
      <c r="AJ397" s="31" t="n">
        <v>3</v>
      </c>
      <c r="AK397" s="31" t="n">
        <v>17</v>
      </c>
      <c r="AL397" s="31" t="s">
        <v>16821</v>
      </c>
      <c r="AM397" s="31" t="s">
        <v>17609</v>
      </c>
      <c r="AN397" s="31" t="s">
        <v>20124</v>
      </c>
      <c r="AO397" s="31" t="s">
        <v>20125</v>
      </c>
      <c r="AP397" s="31" t="s">
        <v>20126</v>
      </c>
      <c r="AQ397" s="31" t="s">
        <v>20127</v>
      </c>
      <c r="AR397" s="31" t="s">
        <v>24935</v>
      </c>
      <c r="AS397" s="31"/>
      <c r="AT397" s="31"/>
      <c r="AU397" s="31" t="n">
        <v>134</v>
      </c>
      <c r="AV397" s="31" t="s">
        <v>24936</v>
      </c>
      <c r="AW397" s="35" t="str">
        <f aca="false">HYPERLINK("http://dx.doi.org/10.1186/s40249-021-00919-z","http://dx.doi.org/10.1186/s40249-021-00919-z")</f>
        <v>http://dx.doi.org/10.1186/s40249-021-00919-z</v>
      </c>
      <c r="AX397" s="31"/>
      <c r="AY397" s="31" t="n">
        <v>12</v>
      </c>
      <c r="AZ397" s="31" t="s">
        <v>16862</v>
      </c>
      <c r="BA397" s="31" t="s">
        <v>16584</v>
      </c>
      <c r="BB397" s="31" t="s">
        <v>16862</v>
      </c>
      <c r="BC397" s="31" t="s">
        <v>24937</v>
      </c>
      <c r="BD397" s="31" t="n">
        <v>34895355</v>
      </c>
      <c r="BE397" s="31" t="s">
        <v>16832</v>
      </c>
      <c r="BF397" s="31" t="s">
        <v>16369</v>
      </c>
      <c r="BG397" s="31" t="s">
        <v>24938</v>
      </c>
      <c r="BH397" s="31" t="str">
        <f aca="false">HYPERLINK("https%3A%2F%2Fwww.webofscience.com%2Fwos%2Fwoscc%2Ffull-record%2FWOS:000729361600001","View Full Record in Web of Science")</f>
        <v>View Full Record in Web of Science</v>
      </c>
      <c r="BI397" s="31"/>
      <c r="BJ397" s="31"/>
      <c r="BK397" s="31"/>
      <c r="BL397" s="31"/>
      <c r="BM397" s="31"/>
      <c r="BN397" s="31"/>
      <c r="BO397" s="31"/>
      <c r="BP397" s="31"/>
      <c r="BQ397" s="31"/>
      <c r="BR397" s="31"/>
      <c r="BS397" s="31"/>
      <c r="BT397" s="31"/>
      <c r="BU397" s="31"/>
      <c r="BV397" s="31"/>
      <c r="BW397" s="31"/>
      <c r="BX397" s="31"/>
      <c r="BY397" s="31"/>
      <c r="BZ397" s="31"/>
      <c r="CA397" s="31"/>
      <c r="CB397" s="31"/>
      <c r="CC397" s="31"/>
      <c r="CD397" s="31"/>
      <c r="CE397" s="31"/>
      <c r="CF397" s="31"/>
    </row>
    <row r="398" customFormat="false" ht="15.75" hidden="false" customHeight="true" outlineLevel="0" collapsed="false">
      <c r="A398" s="31" t="s">
        <v>16335</v>
      </c>
      <c r="B398" s="31" t="s">
        <v>24939</v>
      </c>
      <c r="C398" s="31" t="s">
        <v>24940</v>
      </c>
      <c r="D398" s="34" t="s">
        <v>24941</v>
      </c>
      <c r="E398" s="31" t="n">
        <v>2021</v>
      </c>
      <c r="F398" s="33" t="s">
        <v>24942</v>
      </c>
      <c r="G398" s="33" t="s">
        <v>393</v>
      </c>
      <c r="H398" s="32" t="s">
        <v>24943</v>
      </c>
      <c r="I398" s="32" t="s">
        <v>24378</v>
      </c>
      <c r="J398" s="32" t="s">
        <v>22708</v>
      </c>
      <c r="K398" s="32" t="s">
        <v>24944</v>
      </c>
      <c r="L398" s="32" t="s">
        <v>3754</v>
      </c>
      <c r="M398" s="32" t="s">
        <v>24945</v>
      </c>
      <c r="N398" s="34"/>
      <c r="O398" s="34"/>
      <c r="P398" s="34" t="n">
        <v>1</v>
      </c>
      <c r="Q398" s="31" t="n">
        <v>1</v>
      </c>
      <c r="R398" s="31" t="s">
        <v>61</v>
      </c>
      <c r="S398" s="31" t="s">
        <v>62</v>
      </c>
      <c r="T398" s="31" t="s">
        <v>19506</v>
      </c>
      <c r="U398" s="31" t="n">
        <v>72</v>
      </c>
      <c r="V398" s="31" t="s">
        <v>16531</v>
      </c>
      <c r="W398" s="31"/>
      <c r="X398" s="31" t="s">
        <v>24946</v>
      </c>
      <c r="Y398" s="31" t="s">
        <v>24947</v>
      </c>
      <c r="Z398" s="31" t="s">
        <v>24948</v>
      </c>
      <c r="AA398" s="31" t="s">
        <v>24949</v>
      </c>
      <c r="AB398" s="31" t="s">
        <v>24950</v>
      </c>
      <c r="AC398" s="31" t="s">
        <v>24951</v>
      </c>
      <c r="AD398" s="31" t="s">
        <v>24952</v>
      </c>
      <c r="AE398" s="31" t="s">
        <v>24953</v>
      </c>
      <c r="AF398" s="31" t="s">
        <v>24954</v>
      </c>
      <c r="AG398" s="31" t="s">
        <v>24955</v>
      </c>
      <c r="AH398" s="31" t="s">
        <v>24956</v>
      </c>
      <c r="AI398" s="31" t="n">
        <v>49</v>
      </c>
      <c r="AJ398" s="31" t="n">
        <v>0</v>
      </c>
      <c r="AK398" s="31" t="n">
        <v>5</v>
      </c>
      <c r="AL398" s="31" t="s">
        <v>16539</v>
      </c>
      <c r="AM398" s="31" t="s">
        <v>16540</v>
      </c>
      <c r="AN398" s="31" t="s">
        <v>19517</v>
      </c>
      <c r="AO398" s="31" t="s">
        <v>19518</v>
      </c>
      <c r="AP398" s="31" t="s">
        <v>19519</v>
      </c>
      <c r="AQ398" s="31" t="s">
        <v>19520</v>
      </c>
      <c r="AR398" s="31" t="s">
        <v>19052</v>
      </c>
      <c r="AS398" s="31" t="s">
        <v>24957</v>
      </c>
      <c r="AT398" s="31" t="s">
        <v>24958</v>
      </c>
      <c r="AU398" s="31"/>
      <c r="AV398" s="31" t="s">
        <v>24959</v>
      </c>
      <c r="AW398" s="35" t="str">
        <f aca="false">HYPERLINK("http://dx.doi.org/10.1093/cid/ciab255","http://dx.doi.org/10.1093/cid/ciab255")</f>
        <v>http://dx.doi.org/10.1093/cid/ciab255</v>
      </c>
      <c r="AX398" s="31"/>
      <c r="AY398" s="31" t="n">
        <v>7</v>
      </c>
      <c r="AZ398" s="31" t="s">
        <v>19522</v>
      </c>
      <c r="BA398" s="31" t="s">
        <v>16366</v>
      </c>
      <c r="BB398" s="31" t="s">
        <v>19522</v>
      </c>
      <c r="BC398" s="31" t="s">
        <v>24960</v>
      </c>
      <c r="BD398" s="31" t="n">
        <v>33909066</v>
      </c>
      <c r="BE398" s="31" t="s">
        <v>17842</v>
      </c>
      <c r="BF398" s="31" t="s">
        <v>16369</v>
      </c>
      <c r="BG398" s="31" t="s">
        <v>24961</v>
      </c>
      <c r="BH398" s="31" t="str">
        <f aca="false">HYPERLINK("https%3A%2F%2Fwww.webofscience.com%2Fwos%2Fwoscc%2Ffull-record%2FWOS:000670824100006","View Full Record in Web of Science")</f>
        <v>View Full Record in Web of Science</v>
      </c>
      <c r="BI398" s="31"/>
      <c r="BJ398" s="31"/>
      <c r="BK398" s="31"/>
      <c r="BL398" s="31"/>
      <c r="BM398" s="31"/>
      <c r="BN398" s="31"/>
      <c r="BO398" s="31"/>
      <c r="BP398" s="31"/>
      <c r="BQ398" s="31"/>
      <c r="BR398" s="31" t="n">
        <v>3</v>
      </c>
      <c r="BS398" s="31"/>
      <c r="BT398" s="31"/>
      <c r="BU398" s="31"/>
      <c r="BV398" s="31"/>
      <c r="BW398" s="31"/>
      <c r="BX398" s="31"/>
      <c r="BY398" s="31"/>
      <c r="BZ398" s="31"/>
      <c r="CA398" s="31"/>
      <c r="CB398" s="31"/>
      <c r="CC398" s="31"/>
      <c r="CD398" s="31"/>
      <c r="CE398" s="31"/>
      <c r="CF398" s="31"/>
    </row>
    <row r="399" customFormat="false" ht="15.75" hidden="false" customHeight="true" outlineLevel="0" collapsed="false">
      <c r="A399" s="31" t="s">
        <v>16335</v>
      </c>
      <c r="B399" s="31" t="s">
        <v>24962</v>
      </c>
      <c r="C399" s="31" t="s">
        <v>24963</v>
      </c>
      <c r="D399" s="34" t="s">
        <v>24964</v>
      </c>
      <c r="E399" s="31" t="n">
        <v>2021</v>
      </c>
      <c r="F399" s="33" t="s">
        <v>24965</v>
      </c>
      <c r="G399" s="33" t="s">
        <v>393</v>
      </c>
      <c r="H399" s="32" t="s">
        <v>24966</v>
      </c>
      <c r="I399" s="34"/>
      <c r="J399" s="32" t="s">
        <v>24399</v>
      </c>
      <c r="K399" s="32" t="s">
        <v>16409</v>
      </c>
      <c r="L399" s="32" t="s">
        <v>3754</v>
      </c>
      <c r="M399" s="32" t="s">
        <v>24967</v>
      </c>
      <c r="N399" s="34"/>
      <c r="O399" s="34"/>
      <c r="P399" s="34" t="n">
        <v>15</v>
      </c>
      <c r="Q399" s="31" t="n">
        <v>16</v>
      </c>
      <c r="R399" s="31" t="s">
        <v>61</v>
      </c>
      <c r="S399" s="31" t="s">
        <v>62</v>
      </c>
      <c r="T399" s="31" t="s">
        <v>17598</v>
      </c>
      <c r="U399" s="31" t="n">
        <v>20</v>
      </c>
      <c r="V399" s="31" t="s">
        <v>17599</v>
      </c>
      <c r="W399" s="31" t="n">
        <v>1</v>
      </c>
      <c r="X399" s="31" t="s">
        <v>24968</v>
      </c>
      <c r="Y399" s="31" t="s">
        <v>24969</v>
      </c>
      <c r="Z399" s="31" t="s">
        <v>24970</v>
      </c>
      <c r="AA399" s="31" t="s">
        <v>24971</v>
      </c>
      <c r="AB399" s="31" t="s">
        <v>24972</v>
      </c>
      <c r="AC399" s="31" t="s">
        <v>24973</v>
      </c>
      <c r="AD399" s="31" t="s">
        <v>24974</v>
      </c>
      <c r="AE399" s="31" t="s">
        <v>24975</v>
      </c>
      <c r="AF399" s="31" t="s">
        <v>24976</v>
      </c>
      <c r="AG399" s="31" t="s">
        <v>24977</v>
      </c>
      <c r="AH399" s="31" t="s">
        <v>24978</v>
      </c>
      <c r="AI399" s="31" t="n">
        <v>48</v>
      </c>
      <c r="AJ399" s="31" t="n">
        <v>0</v>
      </c>
      <c r="AK399" s="31" t="n">
        <v>10</v>
      </c>
      <c r="AL399" s="31" t="s">
        <v>16821</v>
      </c>
      <c r="AM399" s="31" t="s">
        <v>17609</v>
      </c>
      <c r="AN399" s="31"/>
      <c r="AO399" s="31" t="s">
        <v>17610</v>
      </c>
      <c r="AP399" s="31" t="s">
        <v>17611</v>
      </c>
      <c r="AQ399" s="31" t="s">
        <v>914</v>
      </c>
      <c r="AR399" s="31" t="s">
        <v>24979</v>
      </c>
      <c r="AS399" s="31"/>
      <c r="AT399" s="31"/>
      <c r="AU399" s="31" t="n">
        <v>270</v>
      </c>
      <c r="AV399" s="31" t="s">
        <v>24980</v>
      </c>
      <c r="AW399" s="35" t="str">
        <f aca="false">HYPERLINK("http://dx.doi.org/10.1186/s12936-021-03788-x","http://dx.doi.org/10.1186/s12936-021-03788-x")</f>
        <v>http://dx.doi.org/10.1186/s12936-021-03788-x</v>
      </c>
      <c r="AX399" s="31"/>
      <c r="AY399" s="31" t="n">
        <v>9</v>
      </c>
      <c r="AZ399" s="31" t="s">
        <v>16862</v>
      </c>
      <c r="BA399" s="31" t="s">
        <v>16366</v>
      </c>
      <c r="BB399" s="31" t="s">
        <v>16862</v>
      </c>
      <c r="BC399" s="31" t="s">
        <v>24981</v>
      </c>
      <c r="BD399" s="31" t="n">
        <v>34126997</v>
      </c>
      <c r="BE399" s="31" t="s">
        <v>17143</v>
      </c>
      <c r="BF399" s="31" t="s">
        <v>16369</v>
      </c>
      <c r="BG399" s="31" t="s">
        <v>24982</v>
      </c>
      <c r="BH399" s="31" t="str">
        <f aca="false">HYPERLINK("https%3A%2F%2Fwww.webofscience.com%2Fwos%2Fwoscc%2Ffull-record%2FWOS:000663642500001","View Full Record in Web of Science")</f>
        <v>View Full Record in Web of Science</v>
      </c>
      <c r="BI399" s="31"/>
      <c r="BJ399" s="31"/>
      <c r="BK399" s="31"/>
      <c r="BL399" s="31"/>
      <c r="BM399" s="31"/>
      <c r="BN399" s="31"/>
      <c r="BO399" s="31"/>
      <c r="BP399" s="31"/>
      <c r="BQ399" s="31"/>
      <c r="BR399" s="31"/>
      <c r="BS399" s="31"/>
      <c r="BT399" s="31"/>
      <c r="BU399" s="31"/>
      <c r="BV399" s="31"/>
      <c r="BW399" s="31"/>
      <c r="BX399" s="31"/>
      <c r="BY399" s="31"/>
      <c r="BZ399" s="31"/>
      <c r="CA399" s="31"/>
      <c r="CB399" s="31"/>
      <c r="CC399" s="31"/>
      <c r="CD399" s="31"/>
      <c r="CE399" s="31"/>
      <c r="CF399" s="31"/>
    </row>
    <row r="400" customFormat="false" ht="15.75" hidden="false" customHeight="true" outlineLevel="0" collapsed="false">
      <c r="A400" s="31" t="s">
        <v>16335</v>
      </c>
      <c r="B400" s="31" t="s">
        <v>24983</v>
      </c>
      <c r="C400" s="31" t="s">
        <v>24984</v>
      </c>
      <c r="D400" s="34" t="s">
        <v>24985</v>
      </c>
      <c r="E400" s="31" t="n">
        <v>2021</v>
      </c>
      <c r="F400" s="33" t="s">
        <v>24986</v>
      </c>
      <c r="G400" s="33" t="s">
        <v>393</v>
      </c>
      <c r="H400" s="32" t="s">
        <v>24987</v>
      </c>
      <c r="I400" s="32" t="s">
        <v>24987</v>
      </c>
      <c r="J400" s="32" t="s">
        <v>24988</v>
      </c>
      <c r="K400" s="32" t="s">
        <v>16840</v>
      </c>
      <c r="L400" s="32" t="s">
        <v>3754</v>
      </c>
      <c r="M400" s="34"/>
      <c r="N400" s="34"/>
      <c r="O400" s="34"/>
      <c r="P400" s="34" t="n">
        <v>4</v>
      </c>
      <c r="Q400" s="31" t="n">
        <v>4</v>
      </c>
      <c r="R400" s="31" t="s">
        <v>61</v>
      </c>
      <c r="S400" s="31" t="s">
        <v>62</v>
      </c>
      <c r="T400" s="31" t="s">
        <v>24989</v>
      </c>
      <c r="U400" s="31" t="n">
        <v>2021</v>
      </c>
      <c r="V400" s="31" t="s">
        <v>16475</v>
      </c>
      <c r="W400" s="31"/>
      <c r="X400" s="31"/>
      <c r="Y400" s="31" t="s">
        <v>24293</v>
      </c>
      <c r="Z400" s="31" t="s">
        <v>24990</v>
      </c>
      <c r="AA400" s="31" t="s">
        <v>24991</v>
      </c>
      <c r="AB400" s="31" t="s">
        <v>24992</v>
      </c>
      <c r="AC400" s="31" t="s">
        <v>24993</v>
      </c>
      <c r="AD400" s="31"/>
      <c r="AE400" s="31" t="s">
        <v>24994</v>
      </c>
      <c r="AF400" s="31" t="s">
        <v>24995</v>
      </c>
      <c r="AG400" s="31" t="s">
        <v>24996</v>
      </c>
      <c r="AH400" s="31" t="s">
        <v>24997</v>
      </c>
      <c r="AI400" s="31" t="n">
        <v>20</v>
      </c>
      <c r="AJ400" s="31" t="n">
        <v>1</v>
      </c>
      <c r="AK400" s="31" t="n">
        <v>2</v>
      </c>
      <c r="AL400" s="31" t="s">
        <v>16485</v>
      </c>
      <c r="AM400" s="31" t="s">
        <v>16486</v>
      </c>
      <c r="AN400" s="31" t="s">
        <v>24998</v>
      </c>
      <c r="AO400" s="31" t="s">
        <v>24999</v>
      </c>
      <c r="AP400" s="31" t="s">
        <v>25000</v>
      </c>
      <c r="AQ400" s="31" t="s">
        <v>25001</v>
      </c>
      <c r="AR400" s="31" t="s">
        <v>16912</v>
      </c>
      <c r="AS400" s="31"/>
      <c r="AT400" s="31"/>
      <c r="AU400" s="31" t="n">
        <v>4173303</v>
      </c>
      <c r="AV400" s="31" t="s">
        <v>25002</v>
      </c>
      <c r="AW400" s="35" t="str">
        <f aca="false">HYPERLINK("http://dx.doi.org/10.1155/2021/4173303","http://dx.doi.org/10.1155/2021/4173303")</f>
        <v>http://dx.doi.org/10.1155/2021/4173303</v>
      </c>
      <c r="AX400" s="31"/>
      <c r="AY400" s="31" t="n">
        <v>5</v>
      </c>
      <c r="AZ400" s="31" t="s">
        <v>17774</v>
      </c>
      <c r="BA400" s="31" t="s">
        <v>16366</v>
      </c>
      <c r="BB400" s="31" t="s">
        <v>17774</v>
      </c>
      <c r="BC400" s="31" t="s">
        <v>25003</v>
      </c>
      <c r="BD400" s="31" t="n">
        <v>34691194</v>
      </c>
      <c r="BE400" s="31" t="s">
        <v>17143</v>
      </c>
      <c r="BF400" s="31" t="s">
        <v>16369</v>
      </c>
      <c r="BG400" s="31" t="s">
        <v>25004</v>
      </c>
      <c r="BH400" s="31" t="str">
        <f aca="false">HYPERLINK("https%3A%2F%2Fwww.webofscience.com%2Fwos%2Fwoscc%2Ffull-record%2FWOS:000713182200001","View Full Record in Web of Science")</f>
        <v>View Full Record in Web of Science</v>
      </c>
      <c r="BI400" s="31"/>
      <c r="BJ400" s="31"/>
      <c r="BK400" s="31"/>
      <c r="BL400" s="31"/>
      <c r="BM400" s="31"/>
      <c r="BN400" s="31"/>
      <c r="BO400" s="31"/>
      <c r="BP400" s="31"/>
      <c r="BQ400" s="31"/>
      <c r="BR400" s="31"/>
      <c r="BS400" s="31"/>
      <c r="BT400" s="31"/>
      <c r="BU400" s="31"/>
      <c r="BV400" s="31"/>
      <c r="BW400" s="31"/>
      <c r="BX400" s="31"/>
      <c r="BY400" s="31"/>
      <c r="BZ400" s="31"/>
      <c r="CA400" s="31"/>
      <c r="CB400" s="31"/>
      <c r="CC400" s="31"/>
      <c r="CD400" s="31"/>
      <c r="CE400" s="31"/>
      <c r="CF400" s="31"/>
    </row>
    <row r="401" customFormat="false" ht="15.75" hidden="false" customHeight="true" outlineLevel="0" collapsed="false">
      <c r="A401" s="31" t="s">
        <v>16335</v>
      </c>
      <c r="B401" s="31" t="s">
        <v>25005</v>
      </c>
      <c r="C401" s="31" t="s">
        <v>25006</v>
      </c>
      <c r="D401" s="34" t="s">
        <v>25007</v>
      </c>
      <c r="E401" s="31" t="n">
        <v>2020</v>
      </c>
      <c r="F401" s="33" t="s">
        <v>25008</v>
      </c>
      <c r="G401" s="33" t="s">
        <v>1230</v>
      </c>
      <c r="H401" s="32" t="s">
        <v>25009</v>
      </c>
      <c r="I401" s="32" t="s">
        <v>25010</v>
      </c>
      <c r="J401" s="32" t="s">
        <v>24399</v>
      </c>
      <c r="K401" s="32" t="s">
        <v>16409</v>
      </c>
      <c r="L401" s="32" t="s">
        <v>21024</v>
      </c>
      <c r="M401" s="32" t="s">
        <v>25011</v>
      </c>
      <c r="N401" s="34"/>
      <c r="O401" s="34"/>
      <c r="P401" s="34" t="n">
        <v>4</v>
      </c>
      <c r="Q401" s="31" t="n">
        <v>4</v>
      </c>
      <c r="R401" s="31" t="s">
        <v>61</v>
      </c>
      <c r="S401" s="31" t="s">
        <v>62</v>
      </c>
      <c r="T401" s="31" t="s">
        <v>25012</v>
      </c>
      <c r="U401" s="31" t="n">
        <v>16</v>
      </c>
      <c r="V401" s="31" t="s">
        <v>16845</v>
      </c>
      <c r="W401" s="31" t="n">
        <v>10</v>
      </c>
      <c r="X401" s="31"/>
      <c r="Y401" s="31" t="s">
        <v>25013</v>
      </c>
      <c r="Z401" s="31" t="s">
        <v>25014</v>
      </c>
      <c r="AA401" s="31" t="s">
        <v>25015</v>
      </c>
      <c r="AB401" s="31" t="s">
        <v>25016</v>
      </c>
      <c r="AC401" s="31" t="s">
        <v>23317</v>
      </c>
      <c r="AD401" s="31" t="s">
        <v>25017</v>
      </c>
      <c r="AE401" s="31" t="s">
        <v>25018</v>
      </c>
      <c r="AF401" s="31" t="s">
        <v>25019</v>
      </c>
      <c r="AG401" s="31" t="s">
        <v>25020</v>
      </c>
      <c r="AH401" s="31" t="s">
        <v>25021</v>
      </c>
      <c r="AI401" s="31" t="n">
        <v>54</v>
      </c>
      <c r="AJ401" s="31" t="n">
        <v>0</v>
      </c>
      <c r="AK401" s="31" t="n">
        <v>6</v>
      </c>
      <c r="AL401" s="31" t="s">
        <v>16855</v>
      </c>
      <c r="AM401" s="31" t="s">
        <v>16856</v>
      </c>
      <c r="AN401" s="31" t="s">
        <v>25022</v>
      </c>
      <c r="AO401" s="31"/>
      <c r="AP401" s="31" t="s">
        <v>25023</v>
      </c>
      <c r="AQ401" s="31" t="s">
        <v>25024</v>
      </c>
      <c r="AR401" s="31" t="s">
        <v>16615</v>
      </c>
      <c r="AS401" s="31"/>
      <c r="AT401" s="31"/>
      <c r="AU401" s="31" t="s">
        <v>25025</v>
      </c>
      <c r="AV401" s="31" t="s">
        <v>25026</v>
      </c>
      <c r="AW401" s="35" t="str">
        <f aca="false">HYPERLINK("http://dx.doi.org/10.1371/journal.pgen.1009037","http://dx.doi.org/10.1371/journal.pgen.1009037")</f>
        <v>http://dx.doi.org/10.1371/journal.pgen.1009037</v>
      </c>
      <c r="AX401" s="31"/>
      <c r="AY401" s="31" t="n">
        <v>23</v>
      </c>
      <c r="AZ401" s="31" t="s">
        <v>25027</v>
      </c>
      <c r="BA401" s="31" t="s">
        <v>16366</v>
      </c>
      <c r="BB401" s="31" t="s">
        <v>25027</v>
      </c>
      <c r="BC401" s="31" t="s">
        <v>25028</v>
      </c>
      <c r="BD401" s="31" t="n">
        <v>33035220</v>
      </c>
      <c r="BE401" s="31" t="s">
        <v>17168</v>
      </c>
      <c r="BF401" s="31" t="s">
        <v>16369</v>
      </c>
      <c r="BG401" s="31" t="s">
        <v>25029</v>
      </c>
      <c r="BH401" s="31" t="str">
        <f aca="false">HYPERLINK("https%3A%2F%2Fwww.webofscience.com%2Fwos%2Fwoscc%2Ffull-record%2FWOS:000582197900001","View Full Record in Web of Science")</f>
        <v>View Full Record in Web of Science</v>
      </c>
      <c r="BI401" s="31"/>
      <c r="BJ401" s="31"/>
      <c r="BK401" s="31"/>
      <c r="BL401" s="31"/>
      <c r="BM401" s="31"/>
      <c r="BN401" s="31"/>
      <c r="BO401" s="31"/>
      <c r="BP401" s="31"/>
      <c r="BQ401" s="31"/>
      <c r="BR401" s="31"/>
      <c r="BS401" s="31"/>
      <c r="BT401" s="31"/>
      <c r="BU401" s="31"/>
      <c r="BV401" s="31"/>
      <c r="BW401" s="31"/>
      <c r="BX401" s="31"/>
      <c r="BY401" s="31"/>
      <c r="BZ401" s="31"/>
      <c r="CA401" s="31"/>
      <c r="CB401" s="31"/>
      <c r="CC401" s="31"/>
      <c r="CD401" s="31"/>
      <c r="CE401" s="31"/>
      <c r="CF401" s="31"/>
    </row>
    <row r="402" customFormat="false" ht="15.75" hidden="false" customHeight="true" outlineLevel="0" collapsed="false">
      <c r="A402" s="31" t="s">
        <v>16335</v>
      </c>
      <c r="B402" s="31" t="s">
        <v>25030</v>
      </c>
      <c r="C402" s="31" t="s">
        <v>25031</v>
      </c>
      <c r="D402" s="34" t="s">
        <v>25032</v>
      </c>
      <c r="E402" s="31" t="n">
        <v>2020</v>
      </c>
      <c r="F402" s="33" t="s">
        <v>25033</v>
      </c>
      <c r="G402" s="33" t="s">
        <v>134</v>
      </c>
      <c r="H402" s="32" t="s">
        <v>24096</v>
      </c>
      <c r="I402" s="32" t="s">
        <v>16751</v>
      </c>
      <c r="J402" s="32" t="s">
        <v>20887</v>
      </c>
      <c r="K402" s="32" t="s">
        <v>16409</v>
      </c>
      <c r="L402" s="32" t="s">
        <v>3754</v>
      </c>
      <c r="M402" s="32" t="s">
        <v>25034</v>
      </c>
      <c r="N402" s="32" t="s">
        <v>25035</v>
      </c>
      <c r="O402" s="34"/>
      <c r="P402" s="34" t="n">
        <v>26</v>
      </c>
      <c r="Q402" s="31" t="n">
        <v>27</v>
      </c>
      <c r="R402" s="31" t="s">
        <v>61</v>
      </c>
      <c r="S402" s="31" t="s">
        <v>62</v>
      </c>
      <c r="T402" s="31" t="s">
        <v>25036</v>
      </c>
      <c r="U402" s="31" t="n">
        <v>22</v>
      </c>
      <c r="V402" s="31" t="s">
        <v>4048</v>
      </c>
      <c r="W402" s="31" t="n">
        <v>6</v>
      </c>
      <c r="X402" s="31" t="s">
        <v>25037</v>
      </c>
      <c r="Y402" s="31" t="s">
        <v>16816</v>
      </c>
      <c r="Z402" s="31" t="s">
        <v>25038</v>
      </c>
      <c r="AA402" s="31" t="s">
        <v>25039</v>
      </c>
      <c r="AB402" s="31" t="s">
        <v>25040</v>
      </c>
      <c r="AC402" s="31" t="s">
        <v>25041</v>
      </c>
      <c r="AD402" s="31" t="s">
        <v>24103</v>
      </c>
      <c r="AE402" s="31" t="s">
        <v>25042</v>
      </c>
      <c r="AF402" s="31"/>
      <c r="AG402" s="31"/>
      <c r="AH402" s="31"/>
      <c r="AI402" s="31" t="n">
        <v>24</v>
      </c>
      <c r="AJ402" s="31" t="n">
        <v>0</v>
      </c>
      <c r="AK402" s="31" t="n">
        <v>12</v>
      </c>
      <c r="AL402" s="31" t="s">
        <v>16769</v>
      </c>
      <c r="AM402" s="31" t="s">
        <v>16770</v>
      </c>
      <c r="AN402" s="31"/>
      <c r="AO402" s="31" t="s">
        <v>25043</v>
      </c>
      <c r="AP402" s="31" t="s">
        <v>25044</v>
      </c>
      <c r="AQ402" s="31" t="s">
        <v>25045</v>
      </c>
      <c r="AR402" s="31" t="s">
        <v>16683</v>
      </c>
      <c r="AS402" s="31"/>
      <c r="AT402" s="31"/>
      <c r="AU402" s="31" t="n">
        <v>657</v>
      </c>
      <c r="AV402" s="31" t="s">
        <v>25046</v>
      </c>
      <c r="AW402" s="35" t="str">
        <f aca="false">HYPERLINK("http://dx.doi.org/10.3390/e22060657","http://dx.doi.org/10.3390/e22060657")</f>
        <v>http://dx.doi.org/10.3390/e22060657</v>
      </c>
      <c r="AX402" s="31"/>
      <c r="AY402" s="31" t="n">
        <v>16</v>
      </c>
      <c r="AZ402" s="31" t="s">
        <v>16460</v>
      </c>
      <c r="BA402" s="31" t="s">
        <v>16366</v>
      </c>
      <c r="BB402" s="31" t="s">
        <v>16461</v>
      </c>
      <c r="BC402" s="31" t="s">
        <v>25047</v>
      </c>
      <c r="BD402" s="31" t="n">
        <v>33286429</v>
      </c>
      <c r="BE402" s="31" t="s">
        <v>16832</v>
      </c>
      <c r="BF402" s="31" t="s">
        <v>16369</v>
      </c>
      <c r="BG402" s="31" t="s">
        <v>25048</v>
      </c>
      <c r="BH402" s="31" t="str">
        <f aca="false">HYPERLINK("https%3A%2F%2Fwww.webofscience.com%2Fwos%2Fwoscc%2Ffull-record%2FWOS:000551068700001","View Full Record in Web of Science")</f>
        <v>View Full Record in Web of Science</v>
      </c>
      <c r="BI402" s="31"/>
      <c r="BJ402" s="31"/>
      <c r="BK402" s="31"/>
      <c r="BL402" s="31"/>
      <c r="BM402" s="31"/>
      <c r="BN402" s="31"/>
      <c r="BO402" s="31"/>
      <c r="BP402" s="31"/>
      <c r="BQ402" s="31"/>
      <c r="BR402" s="31"/>
      <c r="BS402" s="31"/>
      <c r="BT402" s="31"/>
      <c r="BU402" s="31"/>
      <c r="BV402" s="31"/>
      <c r="BW402" s="31"/>
      <c r="BX402" s="31"/>
      <c r="BY402" s="31"/>
      <c r="BZ402" s="31"/>
      <c r="CA402" s="31"/>
      <c r="CB402" s="31"/>
      <c r="CC402" s="31"/>
      <c r="CD402" s="31"/>
      <c r="CE402" s="31"/>
      <c r="CF402" s="31"/>
    </row>
    <row r="403" customFormat="false" ht="15.75" hidden="false" customHeight="true" outlineLevel="0" collapsed="false">
      <c r="A403" s="31" t="s">
        <v>16335</v>
      </c>
      <c r="B403" s="31" t="s">
        <v>25049</v>
      </c>
      <c r="C403" s="31" t="s">
        <v>25050</v>
      </c>
      <c r="D403" s="34" t="s">
        <v>25051</v>
      </c>
      <c r="E403" s="31" t="n">
        <v>2020</v>
      </c>
      <c r="F403" s="33" t="s">
        <v>25052</v>
      </c>
      <c r="G403" s="33" t="s">
        <v>290</v>
      </c>
      <c r="H403" s="32" t="s">
        <v>24039</v>
      </c>
      <c r="I403" s="32" t="s">
        <v>24039</v>
      </c>
      <c r="J403" s="32" t="s">
        <v>20887</v>
      </c>
      <c r="K403" s="32" t="s">
        <v>16409</v>
      </c>
      <c r="L403" s="32" t="s">
        <v>25053</v>
      </c>
      <c r="M403" s="32" t="s">
        <v>25054</v>
      </c>
      <c r="N403" s="34"/>
      <c r="O403" s="34"/>
      <c r="P403" s="34" t="n">
        <v>30</v>
      </c>
      <c r="Q403" s="31" t="n">
        <v>29</v>
      </c>
      <c r="R403" s="31" t="s">
        <v>61</v>
      </c>
      <c r="S403" s="31" t="s">
        <v>62</v>
      </c>
      <c r="T403" s="31" t="s">
        <v>25055</v>
      </c>
      <c r="U403" s="31" t="n">
        <v>6</v>
      </c>
      <c r="V403" s="31" t="s">
        <v>18987</v>
      </c>
      <c r="W403" s="31" t="n">
        <v>39</v>
      </c>
      <c r="X403" s="31"/>
      <c r="Y403" s="31" t="s">
        <v>25056</v>
      </c>
      <c r="Z403" s="31" t="s">
        <v>25057</v>
      </c>
      <c r="AA403" s="31" t="s">
        <v>25058</v>
      </c>
      <c r="AB403" s="31" t="s">
        <v>25059</v>
      </c>
      <c r="AC403" s="31" t="s">
        <v>25060</v>
      </c>
      <c r="AD403" s="31" t="s">
        <v>25061</v>
      </c>
      <c r="AE403" s="31" t="s">
        <v>25062</v>
      </c>
      <c r="AF403" s="31" t="s">
        <v>25063</v>
      </c>
      <c r="AG403" s="31" t="s">
        <v>25064</v>
      </c>
      <c r="AH403" s="31" t="s">
        <v>25065</v>
      </c>
      <c r="AI403" s="31" t="n">
        <v>33</v>
      </c>
      <c r="AJ403" s="31" t="n">
        <v>0</v>
      </c>
      <c r="AK403" s="31" t="n">
        <v>22</v>
      </c>
      <c r="AL403" s="31" t="s">
        <v>18329</v>
      </c>
      <c r="AM403" s="31" t="s">
        <v>18998</v>
      </c>
      <c r="AN403" s="31" t="s">
        <v>25066</v>
      </c>
      <c r="AO403" s="31"/>
      <c r="AP403" s="31" t="s">
        <v>25067</v>
      </c>
      <c r="AQ403" s="31" t="s">
        <v>25068</v>
      </c>
      <c r="AR403" s="31" t="s">
        <v>16801</v>
      </c>
      <c r="AS403" s="31"/>
      <c r="AT403" s="31"/>
      <c r="AU403" s="31" t="s">
        <v>25069</v>
      </c>
      <c r="AV403" s="31" t="s">
        <v>25070</v>
      </c>
      <c r="AW403" s="35" t="str">
        <f aca="false">HYPERLINK("http://dx.doi.org/10.1126/sciadv.aba9338","http://dx.doi.org/10.1126/sciadv.aba9338")</f>
        <v>http://dx.doi.org/10.1126/sciadv.aba9338</v>
      </c>
      <c r="AX403" s="31"/>
      <c r="AY403" s="31" t="n">
        <v>8</v>
      </c>
      <c r="AZ403" s="31" t="s">
        <v>16428</v>
      </c>
      <c r="BA403" s="31" t="s">
        <v>16366</v>
      </c>
      <c r="BB403" s="31" t="s">
        <v>16429</v>
      </c>
      <c r="BC403" s="31" t="s">
        <v>25071</v>
      </c>
      <c r="BD403" s="31" t="n">
        <v>32978158</v>
      </c>
      <c r="BE403" s="31" t="s">
        <v>21499</v>
      </c>
      <c r="BF403" s="31" t="s">
        <v>16369</v>
      </c>
      <c r="BG403" s="31" t="s">
        <v>25072</v>
      </c>
      <c r="BH403" s="31" t="str">
        <f aca="false">HYPERLINK("https%3A%2F%2Fwww.webofscience.com%2Fwos%2Fwoscc%2Ffull-record%2FWOS:000575531700011","View Full Record in Web of Science")</f>
        <v>View Full Record in Web of Science</v>
      </c>
      <c r="BI403" s="31"/>
      <c r="BJ403" s="31"/>
      <c r="BK403" s="31"/>
      <c r="BL403" s="31"/>
      <c r="BM403" s="31"/>
      <c r="BN403" s="31"/>
      <c r="BO403" s="31"/>
      <c r="BP403" s="31"/>
      <c r="BQ403" s="31"/>
      <c r="BR403" s="31"/>
      <c r="BS403" s="31"/>
      <c r="BT403" s="31"/>
      <c r="BU403" s="31"/>
      <c r="BV403" s="31"/>
      <c r="BW403" s="31"/>
      <c r="BX403" s="31"/>
      <c r="BY403" s="31"/>
      <c r="BZ403" s="31"/>
      <c r="CA403" s="31"/>
      <c r="CB403" s="31"/>
      <c r="CC403" s="31"/>
      <c r="CD403" s="31"/>
      <c r="CE403" s="31"/>
      <c r="CF403" s="31"/>
    </row>
    <row r="404" customFormat="false" ht="15.75" hidden="false" customHeight="true" outlineLevel="0" collapsed="false">
      <c r="A404" s="31" t="s">
        <v>16335</v>
      </c>
      <c r="B404" s="31" t="s">
        <v>25073</v>
      </c>
      <c r="C404" s="31" t="s">
        <v>25074</v>
      </c>
      <c r="D404" s="34" t="s">
        <v>25075</v>
      </c>
      <c r="E404" s="31" t="n">
        <v>2020</v>
      </c>
      <c r="F404" s="33" t="s">
        <v>25076</v>
      </c>
      <c r="G404" s="33" t="s">
        <v>1230</v>
      </c>
      <c r="H404" s="32" t="s">
        <v>25077</v>
      </c>
      <c r="I404" s="32" t="s">
        <v>17005</v>
      </c>
      <c r="J404" s="34"/>
      <c r="K404" s="32" t="s">
        <v>16840</v>
      </c>
      <c r="L404" s="34"/>
      <c r="M404" s="34"/>
      <c r="N404" s="34"/>
      <c r="O404" s="34"/>
      <c r="P404" s="34" t="n">
        <v>23</v>
      </c>
      <c r="Q404" s="31" t="n">
        <v>25</v>
      </c>
      <c r="R404" s="31" t="s">
        <v>61</v>
      </c>
      <c r="S404" s="31" t="s">
        <v>62</v>
      </c>
      <c r="T404" s="31" t="s">
        <v>16383</v>
      </c>
      <c r="U404" s="31" t="n">
        <v>8</v>
      </c>
      <c r="V404" s="31" t="s">
        <v>16384</v>
      </c>
      <c r="W404" s="31"/>
      <c r="X404" s="31" t="s">
        <v>25078</v>
      </c>
      <c r="Y404" s="31" t="s">
        <v>25079</v>
      </c>
      <c r="Z404" s="31" t="s">
        <v>25080</v>
      </c>
      <c r="AA404" s="31" t="s">
        <v>25081</v>
      </c>
      <c r="AB404" s="31" t="s">
        <v>25082</v>
      </c>
      <c r="AC404" s="31" t="s">
        <v>25083</v>
      </c>
      <c r="AD404" s="31" t="s">
        <v>25084</v>
      </c>
      <c r="AE404" s="31" t="s">
        <v>25085</v>
      </c>
      <c r="AF404" s="31" t="s">
        <v>25086</v>
      </c>
      <c r="AG404" s="31" t="s">
        <v>25087</v>
      </c>
      <c r="AH404" s="31" t="s">
        <v>25088</v>
      </c>
      <c r="AI404" s="31" t="n">
        <v>48</v>
      </c>
      <c r="AJ404" s="31" t="n">
        <v>2</v>
      </c>
      <c r="AK404" s="31" t="n">
        <v>21</v>
      </c>
      <c r="AL404" s="31" t="s">
        <v>16395</v>
      </c>
      <c r="AM404" s="31" t="s">
        <v>16396</v>
      </c>
      <c r="AN404" s="31" t="s">
        <v>16397</v>
      </c>
      <c r="AO404" s="31"/>
      <c r="AP404" s="31" t="s">
        <v>16383</v>
      </c>
      <c r="AQ404" s="31" t="s">
        <v>186</v>
      </c>
      <c r="AR404" s="31"/>
      <c r="AS404" s="31" t="n">
        <v>52713</v>
      </c>
      <c r="AT404" s="31" t="n">
        <v>52725</v>
      </c>
      <c r="AU404" s="31"/>
      <c r="AV404" s="31" t="s">
        <v>25089</v>
      </c>
      <c r="AW404" s="35" t="str">
        <f aca="false">HYPERLINK("http://dx.doi.org/10.1109/ACCESS.2020.2980634","http://dx.doi.org/10.1109/ACCESS.2020.2980634")</f>
        <v>http://dx.doi.org/10.1109/ACCESS.2020.2980634</v>
      </c>
      <c r="AX404" s="31"/>
      <c r="AY404" s="31" t="n">
        <v>13</v>
      </c>
      <c r="AZ404" s="31" t="s">
        <v>16399</v>
      </c>
      <c r="BA404" s="31" t="s">
        <v>16366</v>
      </c>
      <c r="BB404" s="31" t="s">
        <v>16400</v>
      </c>
      <c r="BC404" s="31" t="s">
        <v>25090</v>
      </c>
      <c r="BD404" s="31"/>
      <c r="BE404" s="31" t="s">
        <v>16431</v>
      </c>
      <c r="BF404" s="31" t="s">
        <v>16369</v>
      </c>
      <c r="BG404" s="31" t="s">
        <v>25091</v>
      </c>
      <c r="BH404" s="31" t="str">
        <f aca="false">HYPERLINK("https%3A%2F%2Fwww.webofscience.com%2Fwos%2Fwoscc%2Ffull-record%2FWOS:000524748500128","View Full Record in Web of Science")</f>
        <v>View Full Record in Web of Science</v>
      </c>
      <c r="BI404" s="31"/>
      <c r="BJ404" s="31"/>
      <c r="BK404" s="31"/>
      <c r="BL404" s="31"/>
      <c r="BM404" s="31"/>
      <c r="BN404" s="31"/>
      <c r="BO404" s="31"/>
      <c r="BP404" s="31"/>
      <c r="BQ404" s="31"/>
      <c r="BR404" s="31"/>
      <c r="BS404" s="31"/>
      <c r="BT404" s="31"/>
      <c r="BU404" s="31"/>
      <c r="BV404" s="31"/>
      <c r="BW404" s="31"/>
      <c r="BX404" s="31"/>
      <c r="BY404" s="31"/>
      <c r="BZ404" s="31"/>
      <c r="CA404" s="31"/>
      <c r="CB404" s="31"/>
      <c r="CC404" s="31"/>
      <c r="CD404" s="31"/>
      <c r="CE404" s="31"/>
      <c r="CF404" s="31"/>
    </row>
    <row r="405" customFormat="false" ht="15.75" hidden="false" customHeight="true" outlineLevel="0" collapsed="false">
      <c r="A405" s="31" t="s">
        <v>16335</v>
      </c>
      <c r="B405" s="31" t="s">
        <v>25092</v>
      </c>
      <c r="C405" s="31" t="s">
        <v>25093</v>
      </c>
      <c r="D405" s="34" t="s">
        <v>25094</v>
      </c>
      <c r="E405" s="31" t="n">
        <v>2020</v>
      </c>
      <c r="F405" s="33" t="s">
        <v>25095</v>
      </c>
      <c r="G405" s="33" t="s">
        <v>134</v>
      </c>
      <c r="H405" s="32" t="s">
        <v>21551</v>
      </c>
      <c r="I405" s="32" t="s">
        <v>21551</v>
      </c>
      <c r="J405" s="34"/>
      <c r="K405" s="32" t="s">
        <v>16409</v>
      </c>
      <c r="L405" s="34"/>
      <c r="M405" s="34"/>
      <c r="N405" s="34"/>
      <c r="O405" s="34"/>
      <c r="P405" s="34" t="n">
        <v>25</v>
      </c>
      <c r="Q405" s="31" t="n">
        <v>25</v>
      </c>
      <c r="R405" s="31" t="s">
        <v>61</v>
      </c>
      <c r="S405" s="31" t="s">
        <v>62</v>
      </c>
      <c r="T405" s="31" t="s">
        <v>25096</v>
      </c>
      <c r="U405" s="31" t="n">
        <v>2</v>
      </c>
      <c r="V405" s="31" t="s">
        <v>18720</v>
      </c>
      <c r="W405" s="31" t="n">
        <v>7</v>
      </c>
      <c r="X405" s="31" t="s">
        <v>25097</v>
      </c>
      <c r="Y405" s="31"/>
      <c r="Z405" s="31" t="s">
        <v>25098</v>
      </c>
      <c r="AA405" s="31" t="s">
        <v>25099</v>
      </c>
      <c r="AB405" s="31" t="s">
        <v>25100</v>
      </c>
      <c r="AC405" s="31" t="s">
        <v>25101</v>
      </c>
      <c r="AD405" s="31"/>
      <c r="AE405" s="31" t="s">
        <v>25102</v>
      </c>
      <c r="AF405" s="31" t="s">
        <v>25103</v>
      </c>
      <c r="AG405" s="31" t="s">
        <v>25104</v>
      </c>
      <c r="AH405" s="31" t="s">
        <v>25105</v>
      </c>
      <c r="AI405" s="31" t="n">
        <v>26</v>
      </c>
      <c r="AJ405" s="31" t="n">
        <v>0</v>
      </c>
      <c r="AK405" s="31" t="n">
        <v>17</v>
      </c>
      <c r="AL405" s="31" t="s">
        <v>18732</v>
      </c>
      <c r="AM405" s="31" t="s">
        <v>18733</v>
      </c>
      <c r="AN405" s="31" t="s">
        <v>25106</v>
      </c>
      <c r="AO405" s="31" t="s">
        <v>25107</v>
      </c>
      <c r="AP405" s="31" t="s">
        <v>25108</v>
      </c>
      <c r="AQ405" s="31" t="s">
        <v>25109</v>
      </c>
      <c r="AR405" s="31" t="s">
        <v>25110</v>
      </c>
      <c r="AS405" s="31"/>
      <c r="AT405" s="31"/>
      <c r="AU405" s="31" t="n">
        <v>1255</v>
      </c>
      <c r="AV405" s="31" t="s">
        <v>25111</v>
      </c>
      <c r="AW405" s="35" t="str">
        <f aca="false">HYPERLINK("http://dx.doi.org/10.1007/s42452-020-3000-0","http://dx.doi.org/10.1007/s42452-020-3000-0")</f>
        <v>http://dx.doi.org/10.1007/s42452-020-3000-0</v>
      </c>
      <c r="AX405" s="31"/>
      <c r="AY405" s="31" t="n">
        <v>7</v>
      </c>
      <c r="AZ405" s="31" t="s">
        <v>16428</v>
      </c>
      <c r="BA405" s="31" t="s">
        <v>16684</v>
      </c>
      <c r="BB405" s="31" t="s">
        <v>16429</v>
      </c>
      <c r="BC405" s="31" t="s">
        <v>25112</v>
      </c>
      <c r="BD405" s="31"/>
      <c r="BE405" s="31" t="s">
        <v>17463</v>
      </c>
      <c r="BF405" s="31" t="s">
        <v>16369</v>
      </c>
      <c r="BG405" s="31" t="s">
        <v>25113</v>
      </c>
      <c r="BH405" s="31" t="str">
        <f aca="false">HYPERLINK("https%3A%2F%2Fwww.webofscience.com%2Fwos%2Fwoscc%2Ffull-record%2FWOS:000543373600003","View Full Record in Web of Science")</f>
        <v>View Full Record in Web of Science</v>
      </c>
      <c r="BI405" s="31"/>
      <c r="BJ405" s="31"/>
      <c r="BK405" s="31"/>
      <c r="BL405" s="31"/>
      <c r="BM405" s="31"/>
      <c r="BN405" s="31"/>
      <c r="BO405" s="31"/>
      <c r="BP405" s="31"/>
      <c r="BQ405" s="31"/>
      <c r="BR405" s="31"/>
      <c r="BS405" s="31"/>
      <c r="BT405" s="31"/>
      <c r="BU405" s="31"/>
      <c r="BV405" s="31"/>
      <c r="BW405" s="31"/>
      <c r="BX405" s="31"/>
      <c r="BY405" s="31"/>
      <c r="BZ405" s="31"/>
      <c r="CA405" s="31"/>
      <c r="CB405" s="31"/>
      <c r="CC405" s="31"/>
      <c r="CD405" s="31"/>
      <c r="CE405" s="31"/>
      <c r="CF405" s="31"/>
    </row>
    <row r="406" customFormat="false" ht="15.75" hidden="false" customHeight="true" outlineLevel="0" collapsed="false">
      <c r="A406" s="31" t="s">
        <v>16335</v>
      </c>
      <c r="B406" s="31" t="s">
        <v>25114</v>
      </c>
      <c r="C406" s="31" t="s">
        <v>25115</v>
      </c>
      <c r="D406" s="34" t="s">
        <v>25116</v>
      </c>
      <c r="E406" s="31" t="n">
        <v>2020</v>
      </c>
      <c r="F406" s="33" t="s">
        <v>25117</v>
      </c>
      <c r="G406" s="33" t="s">
        <v>134</v>
      </c>
      <c r="H406" s="32" t="s">
        <v>17036</v>
      </c>
      <c r="I406" s="32" t="s">
        <v>3715</v>
      </c>
      <c r="J406" s="32" t="s">
        <v>20887</v>
      </c>
      <c r="K406" s="32" t="s">
        <v>16409</v>
      </c>
      <c r="L406" s="32" t="s">
        <v>3754</v>
      </c>
      <c r="M406" s="32" t="s">
        <v>25118</v>
      </c>
      <c r="N406" s="32" t="s">
        <v>25119</v>
      </c>
      <c r="O406" s="34"/>
      <c r="P406" s="34" t="n">
        <v>2</v>
      </c>
      <c r="Q406" s="31" t="n">
        <v>2</v>
      </c>
      <c r="R406" s="31" t="s">
        <v>61</v>
      </c>
      <c r="S406" s="31" t="s">
        <v>62</v>
      </c>
      <c r="T406" s="31" t="s">
        <v>25120</v>
      </c>
      <c r="U406" s="31" t="n">
        <v>39</v>
      </c>
      <c r="V406" s="31" t="s">
        <v>19530</v>
      </c>
      <c r="W406" s="31" t="n">
        <v>5</v>
      </c>
      <c r="X406" s="31" t="s">
        <v>25121</v>
      </c>
      <c r="Y406" s="31" t="s">
        <v>25122</v>
      </c>
      <c r="Z406" s="31" t="s">
        <v>25123</v>
      </c>
      <c r="AA406" s="31" t="s">
        <v>20633</v>
      </c>
      <c r="AB406" s="31" t="s">
        <v>25124</v>
      </c>
      <c r="AC406" s="31" t="s">
        <v>25125</v>
      </c>
      <c r="AD406" s="31"/>
      <c r="AE406" s="31"/>
      <c r="AF406" s="31"/>
      <c r="AG406" s="31"/>
      <c r="AH406" s="31"/>
      <c r="AI406" s="31" t="n">
        <v>51</v>
      </c>
      <c r="AJ406" s="31" t="n">
        <v>2</v>
      </c>
      <c r="AK406" s="31" t="n">
        <v>13</v>
      </c>
      <c r="AL406" s="31" t="s">
        <v>16356</v>
      </c>
      <c r="AM406" s="31" t="s">
        <v>19538</v>
      </c>
      <c r="AN406" s="31" t="s">
        <v>25126</v>
      </c>
      <c r="AO406" s="31" t="s">
        <v>25127</v>
      </c>
      <c r="AP406" s="31" t="s">
        <v>25128</v>
      </c>
      <c r="AQ406" s="31" t="s">
        <v>25129</v>
      </c>
      <c r="AR406" s="31"/>
      <c r="AS406" s="31" t="n">
        <v>7961</v>
      </c>
      <c r="AT406" s="31" t="n">
        <v>7976</v>
      </c>
      <c r="AU406" s="31"/>
      <c r="AV406" s="31" t="s">
        <v>25130</v>
      </c>
      <c r="AW406" s="35" t="str">
        <f aca="false">HYPERLINK("http://dx.doi.org/10.3233/JIFS-201427","http://dx.doi.org/10.3233/JIFS-201427")</f>
        <v>http://dx.doi.org/10.3233/JIFS-201427</v>
      </c>
      <c r="AX406" s="31"/>
      <c r="AY406" s="31" t="n">
        <v>16</v>
      </c>
      <c r="AZ406" s="31" t="s">
        <v>16365</v>
      </c>
      <c r="BA406" s="31" t="s">
        <v>16584</v>
      </c>
      <c r="BB406" s="31" t="s">
        <v>16367</v>
      </c>
      <c r="BC406" s="31" t="s">
        <v>25131</v>
      </c>
      <c r="BD406" s="31"/>
      <c r="BE406" s="31"/>
      <c r="BF406" s="31" t="s">
        <v>16369</v>
      </c>
      <c r="BG406" s="31" t="s">
        <v>25132</v>
      </c>
      <c r="BH406" s="31" t="str">
        <f aca="false">HYPERLINK("https%3A%2F%2Fwww.webofscience.com%2Fwos%2Fwoscc%2Ffull-record%2FWOS:000595520600144","View Full Record in Web of Science")</f>
        <v>View Full Record in Web of Science</v>
      </c>
      <c r="BI406" s="31"/>
      <c r="BJ406" s="31"/>
      <c r="BK406" s="31"/>
      <c r="BL406" s="31"/>
      <c r="BM406" s="31"/>
      <c r="BN406" s="31"/>
      <c r="BO406" s="31"/>
      <c r="BP406" s="31"/>
      <c r="BQ406" s="31"/>
      <c r="BR406" s="31"/>
      <c r="BS406" s="31"/>
      <c r="BT406" s="31"/>
      <c r="BU406" s="31"/>
      <c r="BV406" s="31"/>
      <c r="BW406" s="31"/>
      <c r="BX406" s="31"/>
      <c r="BY406" s="31"/>
      <c r="BZ406" s="31"/>
      <c r="CA406" s="31"/>
      <c r="CB406" s="31"/>
      <c r="CC406" s="31"/>
      <c r="CD406" s="31"/>
      <c r="CE406" s="31"/>
      <c r="CF406" s="31"/>
    </row>
    <row r="407" customFormat="false" ht="15.75" hidden="false" customHeight="true" outlineLevel="0" collapsed="false">
      <c r="A407" s="31" t="s">
        <v>16335</v>
      </c>
      <c r="B407" s="31" t="s">
        <v>25133</v>
      </c>
      <c r="C407" s="31" t="s">
        <v>25134</v>
      </c>
      <c r="D407" s="34" t="s">
        <v>25135</v>
      </c>
      <c r="E407" s="31" t="n">
        <v>2020</v>
      </c>
      <c r="F407" s="33" t="s">
        <v>25136</v>
      </c>
      <c r="G407" s="33" t="s">
        <v>134</v>
      </c>
      <c r="H407" s="32" t="s">
        <v>25137</v>
      </c>
      <c r="I407" s="32" t="s">
        <v>17036</v>
      </c>
      <c r="J407" s="32" t="s">
        <v>20887</v>
      </c>
      <c r="K407" s="32" t="s">
        <v>17038</v>
      </c>
      <c r="L407" s="32" t="s">
        <v>3754</v>
      </c>
      <c r="M407" s="32" t="s">
        <v>22447</v>
      </c>
      <c r="N407" s="34"/>
      <c r="O407" s="34"/>
      <c r="P407" s="34" t="n">
        <v>21</v>
      </c>
      <c r="Q407" s="31" t="n">
        <v>22</v>
      </c>
      <c r="R407" s="31" t="s">
        <v>61</v>
      </c>
      <c r="S407" s="31" t="s">
        <v>62</v>
      </c>
      <c r="T407" s="31" t="s">
        <v>18343</v>
      </c>
      <c r="U407" s="31" t="n">
        <v>20</v>
      </c>
      <c r="V407" s="31" t="s">
        <v>4048</v>
      </c>
      <c r="W407" s="31" t="n">
        <v>12</v>
      </c>
      <c r="X407" s="31" t="s">
        <v>25138</v>
      </c>
      <c r="Y407" s="31" t="s">
        <v>25139</v>
      </c>
      <c r="Z407" s="31" t="s">
        <v>25140</v>
      </c>
      <c r="AA407" s="31" t="s">
        <v>25141</v>
      </c>
      <c r="AB407" s="31" t="s">
        <v>25142</v>
      </c>
      <c r="AC407" s="31" t="s">
        <v>25143</v>
      </c>
      <c r="AD407" s="31" t="s">
        <v>25144</v>
      </c>
      <c r="AE407" s="31" t="s">
        <v>25145</v>
      </c>
      <c r="AF407" s="31"/>
      <c r="AG407" s="31"/>
      <c r="AH407" s="31"/>
      <c r="AI407" s="31" t="n">
        <v>44</v>
      </c>
      <c r="AJ407" s="31" t="n">
        <v>0</v>
      </c>
      <c r="AK407" s="31" t="n">
        <v>8</v>
      </c>
      <c r="AL407" s="31" t="s">
        <v>16769</v>
      </c>
      <c r="AM407" s="31" t="s">
        <v>16770</v>
      </c>
      <c r="AN407" s="31"/>
      <c r="AO407" s="31" t="s">
        <v>18354</v>
      </c>
      <c r="AP407" s="31" t="s">
        <v>18355</v>
      </c>
      <c r="AQ407" s="31" t="s">
        <v>18356</v>
      </c>
      <c r="AR407" s="31" t="s">
        <v>16683</v>
      </c>
      <c r="AS407" s="31"/>
      <c r="AT407" s="31"/>
      <c r="AU407" s="31" t="n">
        <v>3482</v>
      </c>
      <c r="AV407" s="31" t="s">
        <v>25146</v>
      </c>
      <c r="AW407" s="35" t="str">
        <f aca="false">HYPERLINK("http://dx.doi.org/10.3390/s20123482","http://dx.doi.org/10.3390/s20123482")</f>
        <v>http://dx.doi.org/10.3390/s20123482</v>
      </c>
      <c r="AX407" s="31"/>
      <c r="AY407" s="31" t="n">
        <v>18</v>
      </c>
      <c r="AZ407" s="31" t="s">
        <v>18358</v>
      </c>
      <c r="BA407" s="31" t="s">
        <v>16366</v>
      </c>
      <c r="BB407" s="31" t="s">
        <v>18359</v>
      </c>
      <c r="BC407" s="31" t="s">
        <v>25147</v>
      </c>
      <c r="BD407" s="31" t="n">
        <v>32575656</v>
      </c>
      <c r="BE407" s="31" t="s">
        <v>19056</v>
      </c>
      <c r="BF407" s="31" t="s">
        <v>16369</v>
      </c>
      <c r="BG407" s="31" t="s">
        <v>25148</v>
      </c>
      <c r="BH407" s="31" t="str">
        <f aca="false">HYPERLINK("https%3A%2F%2Fwww.webofscience.com%2Fwos%2Fwoscc%2Ffull-record%2FWOS:000553114100001","View Full Record in Web of Science")</f>
        <v>View Full Record in Web of Science</v>
      </c>
      <c r="BI407" s="31"/>
      <c r="BJ407" s="31"/>
      <c r="BK407" s="31"/>
      <c r="BL407" s="31"/>
      <c r="BM407" s="31"/>
      <c r="BN407" s="31"/>
      <c r="BO407" s="31"/>
      <c r="BP407" s="31"/>
      <c r="BQ407" s="31"/>
      <c r="BR407" s="31"/>
      <c r="BS407" s="31"/>
      <c r="BT407" s="31"/>
      <c r="BU407" s="31"/>
      <c r="BV407" s="31"/>
      <c r="BW407" s="31"/>
      <c r="BX407" s="31"/>
      <c r="BY407" s="31"/>
      <c r="BZ407" s="31"/>
      <c r="CA407" s="31"/>
      <c r="CB407" s="31"/>
      <c r="CC407" s="31"/>
      <c r="CD407" s="31"/>
      <c r="CE407" s="31"/>
      <c r="CF407" s="31"/>
    </row>
    <row r="408" customFormat="false" ht="15.75" hidden="false" customHeight="true" outlineLevel="0" collapsed="false">
      <c r="A408" s="31" t="s">
        <v>16335</v>
      </c>
      <c r="B408" s="31" t="s">
        <v>25149</v>
      </c>
      <c r="C408" s="31" t="s">
        <v>25150</v>
      </c>
      <c r="D408" s="34" t="s">
        <v>25151</v>
      </c>
      <c r="E408" s="31" t="n">
        <v>2020</v>
      </c>
      <c r="F408" s="33" t="s">
        <v>25152</v>
      </c>
      <c r="G408" s="33" t="s">
        <v>134</v>
      </c>
      <c r="H408" s="32" t="s">
        <v>25153</v>
      </c>
      <c r="I408" s="32" t="s">
        <v>3715</v>
      </c>
      <c r="J408" s="32" t="s">
        <v>20887</v>
      </c>
      <c r="K408" s="32" t="s">
        <v>16409</v>
      </c>
      <c r="L408" s="32" t="s">
        <v>3754</v>
      </c>
      <c r="M408" s="32" t="s">
        <v>22447</v>
      </c>
      <c r="N408" s="32" t="s">
        <v>25154</v>
      </c>
      <c r="O408" s="34"/>
      <c r="P408" s="34" t="n">
        <v>52</v>
      </c>
      <c r="Q408" s="31" t="n">
        <v>52</v>
      </c>
      <c r="R408" s="31" t="s">
        <v>61</v>
      </c>
      <c r="S408" s="31" t="s">
        <v>62</v>
      </c>
      <c r="T408" s="31" t="s">
        <v>16383</v>
      </c>
      <c r="U408" s="31" t="n">
        <v>8</v>
      </c>
      <c r="V408" s="31" t="s">
        <v>16384</v>
      </c>
      <c r="W408" s="31"/>
      <c r="X408" s="31" t="s">
        <v>25155</v>
      </c>
      <c r="Y408" s="31" t="s">
        <v>25156</v>
      </c>
      <c r="Z408" s="31" t="s">
        <v>25157</v>
      </c>
      <c r="AA408" s="31" t="s">
        <v>25158</v>
      </c>
      <c r="AB408" s="31" t="s">
        <v>25159</v>
      </c>
      <c r="AC408" s="31" t="s">
        <v>25160</v>
      </c>
      <c r="AD408" s="31" t="s">
        <v>25161</v>
      </c>
      <c r="AE408" s="31" t="s">
        <v>25162</v>
      </c>
      <c r="AF408" s="31" t="s">
        <v>25163</v>
      </c>
      <c r="AG408" s="31" t="s">
        <v>25164</v>
      </c>
      <c r="AH408" s="31" t="s">
        <v>25165</v>
      </c>
      <c r="AI408" s="31" t="n">
        <v>52</v>
      </c>
      <c r="AJ408" s="31" t="n">
        <v>0</v>
      </c>
      <c r="AK408" s="31" t="n">
        <v>11</v>
      </c>
      <c r="AL408" s="31" t="s">
        <v>16395</v>
      </c>
      <c r="AM408" s="31" t="s">
        <v>16396</v>
      </c>
      <c r="AN408" s="31" t="s">
        <v>16397</v>
      </c>
      <c r="AO408" s="31"/>
      <c r="AP408" s="31" t="s">
        <v>16383</v>
      </c>
      <c r="AQ408" s="31" t="s">
        <v>186</v>
      </c>
      <c r="AR408" s="31"/>
      <c r="AS408" s="31" t="n">
        <v>93782</v>
      </c>
      <c r="AT408" s="31" t="n">
        <v>93792</v>
      </c>
      <c r="AU408" s="31"/>
      <c r="AV408" s="31" t="s">
        <v>25166</v>
      </c>
      <c r="AW408" s="35" t="str">
        <f aca="false">HYPERLINK("http://dx.doi.org/10.1109/ACCESS.2020.2994810","http://dx.doi.org/10.1109/ACCESS.2020.2994810")</f>
        <v>http://dx.doi.org/10.1109/ACCESS.2020.2994810</v>
      </c>
      <c r="AX408" s="31"/>
      <c r="AY408" s="31" t="n">
        <v>11</v>
      </c>
      <c r="AZ408" s="31" t="s">
        <v>16399</v>
      </c>
      <c r="BA408" s="31" t="s">
        <v>16366</v>
      </c>
      <c r="BB408" s="31" t="s">
        <v>16400</v>
      </c>
      <c r="BC408" s="31" t="s">
        <v>25167</v>
      </c>
      <c r="BD408" s="31"/>
      <c r="BE408" s="31" t="s">
        <v>17752</v>
      </c>
      <c r="BF408" s="31" t="s">
        <v>16369</v>
      </c>
      <c r="BG408" s="31" t="s">
        <v>25168</v>
      </c>
      <c r="BH408" s="31" t="str">
        <f aca="false">HYPERLINK("https%3A%2F%2Fwww.webofscience.com%2Fwos%2Fwoscc%2Ffull-record%2FWOS:000541121800064","View Full Record in Web of Science")</f>
        <v>View Full Record in Web of Science</v>
      </c>
      <c r="BI408" s="31"/>
      <c r="BJ408" s="31"/>
      <c r="BK408" s="31"/>
      <c r="BL408" s="31"/>
      <c r="BM408" s="31"/>
      <c r="BN408" s="31"/>
      <c r="BO408" s="31"/>
      <c r="BP408" s="31"/>
      <c r="BQ408" s="31"/>
      <c r="BR408" s="31"/>
      <c r="BS408" s="31"/>
      <c r="BT408" s="31"/>
      <c r="BU408" s="31"/>
      <c r="BV408" s="31"/>
      <c r="BW408" s="31"/>
      <c r="BX408" s="31"/>
      <c r="BY408" s="31"/>
      <c r="BZ408" s="31"/>
      <c r="CA408" s="31"/>
      <c r="CB408" s="31"/>
      <c r="CC408" s="31"/>
      <c r="CD408" s="31"/>
      <c r="CE408" s="31"/>
      <c r="CF408" s="31"/>
    </row>
    <row r="409" customFormat="false" ht="15.75" hidden="false" customHeight="true" outlineLevel="0" collapsed="false">
      <c r="A409" s="31" t="s">
        <v>16335</v>
      </c>
      <c r="B409" s="31" t="s">
        <v>25169</v>
      </c>
      <c r="C409" s="31" t="s">
        <v>25170</v>
      </c>
      <c r="D409" s="34" t="s">
        <v>25171</v>
      </c>
      <c r="E409" s="31" t="n">
        <v>2020</v>
      </c>
      <c r="F409" s="33" t="s">
        <v>25172</v>
      </c>
      <c r="G409" s="33" t="s">
        <v>134</v>
      </c>
      <c r="H409" s="32" t="s">
        <v>17036</v>
      </c>
      <c r="I409" s="32" t="s">
        <v>3715</v>
      </c>
      <c r="J409" s="32" t="s">
        <v>20887</v>
      </c>
      <c r="K409" s="32" t="s">
        <v>16409</v>
      </c>
      <c r="L409" s="32" t="s">
        <v>3754</v>
      </c>
      <c r="M409" s="32" t="s">
        <v>25173</v>
      </c>
      <c r="N409" s="32" t="s">
        <v>25174</v>
      </c>
      <c r="O409" s="34"/>
      <c r="P409" s="34" t="n">
        <v>22</v>
      </c>
      <c r="Q409" s="31" t="n">
        <v>23</v>
      </c>
      <c r="R409" s="31" t="s">
        <v>61</v>
      </c>
      <c r="S409" s="31" t="s">
        <v>62</v>
      </c>
      <c r="T409" s="31" t="s">
        <v>25175</v>
      </c>
      <c r="U409" s="31" t="n">
        <v>12</v>
      </c>
      <c r="V409" s="31" t="s">
        <v>16443</v>
      </c>
      <c r="W409" s="31" t="n">
        <v>2</v>
      </c>
      <c r="X409" s="31" t="s">
        <v>25176</v>
      </c>
      <c r="Y409" s="31" t="s">
        <v>25177</v>
      </c>
      <c r="Z409" s="31" t="s">
        <v>25178</v>
      </c>
      <c r="AA409" s="31" t="s">
        <v>25179</v>
      </c>
      <c r="AB409" s="31" t="s">
        <v>25180</v>
      </c>
      <c r="AC409" s="31" t="s">
        <v>25181</v>
      </c>
      <c r="AD409" s="31" t="s">
        <v>25182</v>
      </c>
      <c r="AE409" s="31"/>
      <c r="AF409" s="31" t="s">
        <v>25183</v>
      </c>
      <c r="AG409" s="31" t="s">
        <v>25184</v>
      </c>
      <c r="AH409" s="31" t="s">
        <v>25185</v>
      </c>
      <c r="AI409" s="31" t="n">
        <v>52</v>
      </c>
      <c r="AJ409" s="31" t="n">
        <v>0</v>
      </c>
      <c r="AK409" s="31" t="n">
        <v>19</v>
      </c>
      <c r="AL409" s="31" t="s">
        <v>16453</v>
      </c>
      <c r="AM409" s="31" t="s">
        <v>16454</v>
      </c>
      <c r="AN409" s="31" t="s">
        <v>25186</v>
      </c>
      <c r="AO409" s="31" t="s">
        <v>25187</v>
      </c>
      <c r="AP409" s="31" t="s">
        <v>25188</v>
      </c>
      <c r="AQ409" s="31" t="s">
        <v>25189</v>
      </c>
      <c r="AR409" s="31" t="s">
        <v>16683</v>
      </c>
      <c r="AS409" s="31" t="n">
        <v>217</v>
      </c>
      <c r="AT409" s="31" t="n">
        <v>225</v>
      </c>
      <c r="AU409" s="31"/>
      <c r="AV409" s="31" t="s">
        <v>25190</v>
      </c>
      <c r="AW409" s="35" t="str">
        <f aca="false">HYPERLINK("http://dx.doi.org/10.1007/s12539-020-00367-7","http://dx.doi.org/10.1007/s12539-020-00367-7")</f>
        <v>http://dx.doi.org/10.1007/s12539-020-00367-7</v>
      </c>
      <c r="AX409" s="31" t="s">
        <v>25191</v>
      </c>
      <c r="AY409" s="31" t="n">
        <v>9</v>
      </c>
      <c r="AZ409" s="31" t="s">
        <v>18246</v>
      </c>
      <c r="BA409" s="31" t="s">
        <v>16366</v>
      </c>
      <c r="BB409" s="31" t="s">
        <v>18246</v>
      </c>
      <c r="BC409" s="31" t="s">
        <v>25192</v>
      </c>
      <c r="BD409" s="31" t="n">
        <v>32394271</v>
      </c>
      <c r="BE409" s="31"/>
      <c r="BF409" s="31" t="s">
        <v>16369</v>
      </c>
      <c r="BG409" s="31" t="s">
        <v>25193</v>
      </c>
      <c r="BH409" s="31" t="str">
        <f aca="false">HYPERLINK("https%3A%2F%2Fwww.webofscience.com%2Fwos%2Fwoscc%2Ffull-record%2FWOS:000531739900001","View Full Record in Web of Science")</f>
        <v>View Full Record in Web of Science</v>
      </c>
      <c r="BI409" s="31"/>
      <c r="BJ409" s="31"/>
      <c r="BK409" s="31"/>
      <c r="BL409" s="31"/>
      <c r="BM409" s="31"/>
      <c r="BN409" s="31"/>
      <c r="BO409" s="31"/>
      <c r="BP409" s="31"/>
      <c r="BQ409" s="31"/>
      <c r="BR409" s="31"/>
      <c r="BS409" s="31"/>
      <c r="BT409" s="31"/>
      <c r="BU409" s="31"/>
      <c r="BV409" s="31"/>
      <c r="BW409" s="31"/>
      <c r="BX409" s="31"/>
      <c r="BY409" s="31"/>
      <c r="BZ409" s="31"/>
      <c r="CA409" s="31"/>
      <c r="CB409" s="31"/>
      <c r="CC409" s="31"/>
      <c r="CD409" s="31"/>
      <c r="CE409" s="31"/>
      <c r="CF409" s="31"/>
    </row>
    <row r="410" customFormat="false" ht="15.75" hidden="false" customHeight="true" outlineLevel="0" collapsed="false">
      <c r="A410" s="31" t="s">
        <v>16335</v>
      </c>
      <c r="B410" s="31" t="s">
        <v>25194</v>
      </c>
      <c r="C410" s="31" t="s">
        <v>25195</v>
      </c>
      <c r="D410" s="34" t="s">
        <v>25196</v>
      </c>
      <c r="E410" s="31" t="n">
        <v>2020</v>
      </c>
      <c r="F410" s="33" t="s">
        <v>25197</v>
      </c>
      <c r="G410" s="33" t="s">
        <v>134</v>
      </c>
      <c r="H410" s="32" t="s">
        <v>21289</v>
      </c>
      <c r="I410" s="32" t="s">
        <v>21289</v>
      </c>
      <c r="J410" s="32" t="s">
        <v>20887</v>
      </c>
      <c r="K410" s="32" t="s">
        <v>25198</v>
      </c>
      <c r="L410" s="34"/>
      <c r="M410" s="34"/>
      <c r="N410" s="34"/>
      <c r="O410" s="34"/>
      <c r="P410" s="34" t="n">
        <v>10</v>
      </c>
      <c r="Q410" s="31" t="n">
        <v>12</v>
      </c>
      <c r="R410" s="31" t="s">
        <v>61</v>
      </c>
      <c r="S410" s="31" t="s">
        <v>62</v>
      </c>
      <c r="T410" s="31" t="s">
        <v>25199</v>
      </c>
      <c r="U410" s="31" t="n">
        <v>3</v>
      </c>
      <c r="V410" s="31" t="s">
        <v>25200</v>
      </c>
      <c r="W410" s="31" t="n">
        <v>2</v>
      </c>
      <c r="X410" s="31"/>
      <c r="Y410" s="31"/>
      <c r="Z410" s="31" t="s">
        <v>25201</v>
      </c>
      <c r="AA410" s="31" t="s">
        <v>25202</v>
      </c>
      <c r="AB410" s="31" t="s">
        <v>25203</v>
      </c>
      <c r="AC410" s="31" t="s">
        <v>25204</v>
      </c>
      <c r="AD410" s="31" t="s">
        <v>25205</v>
      </c>
      <c r="AE410" s="31" t="s">
        <v>25206</v>
      </c>
      <c r="AF410" s="31"/>
      <c r="AG410" s="31"/>
      <c r="AH410" s="31"/>
      <c r="AI410" s="31" t="n">
        <v>35</v>
      </c>
      <c r="AJ410" s="31" t="n">
        <v>1</v>
      </c>
      <c r="AK410" s="31" t="n">
        <v>8</v>
      </c>
      <c r="AL410" s="31" t="s">
        <v>25207</v>
      </c>
      <c r="AM410" s="31" t="s">
        <v>25208</v>
      </c>
      <c r="AN410" s="31" t="s">
        <v>25209</v>
      </c>
      <c r="AO410" s="31"/>
      <c r="AP410" s="31" t="s">
        <v>25210</v>
      </c>
      <c r="AQ410" s="31" t="s">
        <v>25211</v>
      </c>
      <c r="AR410" s="31" t="s">
        <v>16362</v>
      </c>
      <c r="AS410" s="31"/>
      <c r="AT410" s="31"/>
      <c r="AU410" s="31" t="s">
        <v>25212</v>
      </c>
      <c r="AV410" s="31" t="s">
        <v>25213</v>
      </c>
      <c r="AW410" s="35" t="str">
        <f aca="false">HYPERLINK("http://dx.doi.org/10.1001/jamanetworkopen.2020.0206","http://dx.doi.org/10.1001/jamanetworkopen.2020.0206")</f>
        <v>http://dx.doi.org/10.1001/jamanetworkopen.2020.0206</v>
      </c>
      <c r="AX410" s="31"/>
      <c r="AY410" s="31" t="n">
        <v>12</v>
      </c>
      <c r="AZ410" s="31" t="s">
        <v>16829</v>
      </c>
      <c r="BA410" s="31" t="s">
        <v>16366</v>
      </c>
      <c r="BB410" s="31" t="s">
        <v>16830</v>
      </c>
      <c r="BC410" s="31" t="s">
        <v>25214</v>
      </c>
      <c r="BD410" s="31" t="n">
        <v>32108895</v>
      </c>
      <c r="BE410" s="31" t="s">
        <v>16832</v>
      </c>
      <c r="BF410" s="31" t="s">
        <v>16369</v>
      </c>
      <c r="BG410" s="31" t="s">
        <v>25215</v>
      </c>
      <c r="BH410" s="31" t="str">
        <f aca="false">HYPERLINK("https%3A%2F%2Fwww.webofscience.com%2Fwos%2Fwoscc%2Ffull-record%2FWOS:000518622400009","View Full Record in Web of Science")</f>
        <v>View Full Record in Web of Science</v>
      </c>
      <c r="BI410" s="31"/>
      <c r="BJ410" s="31"/>
      <c r="BK410" s="31"/>
      <c r="BL410" s="31"/>
      <c r="BM410" s="31"/>
      <c r="BN410" s="31"/>
      <c r="BO410" s="31"/>
      <c r="BP410" s="31"/>
      <c r="BQ410" s="31"/>
      <c r="BR410" s="31"/>
      <c r="BS410" s="31"/>
      <c r="BT410" s="31"/>
      <c r="BU410" s="31"/>
      <c r="BV410" s="31"/>
      <c r="BW410" s="31"/>
      <c r="BX410" s="31"/>
      <c r="BY410" s="31"/>
      <c r="BZ410" s="31"/>
      <c r="CA410" s="31"/>
      <c r="CB410" s="31"/>
      <c r="CC410" s="31"/>
      <c r="CD410" s="31"/>
      <c r="CE410" s="31"/>
      <c r="CF410" s="31"/>
    </row>
    <row r="411" customFormat="false" ht="15.75" hidden="false" customHeight="true" outlineLevel="0" collapsed="false">
      <c r="A411" s="31" t="s">
        <v>16335</v>
      </c>
      <c r="B411" s="31" t="s">
        <v>25216</v>
      </c>
      <c r="C411" s="31" t="s">
        <v>25217</v>
      </c>
      <c r="D411" s="34" t="s">
        <v>25218</v>
      </c>
      <c r="E411" s="31" t="n">
        <v>2020</v>
      </c>
      <c r="F411" s="33" t="s">
        <v>25219</v>
      </c>
      <c r="G411" s="33" t="s">
        <v>134</v>
      </c>
      <c r="H411" s="32" t="s">
        <v>16721</v>
      </c>
      <c r="I411" s="34"/>
      <c r="J411" s="32" t="s">
        <v>21109</v>
      </c>
      <c r="K411" s="32" t="s">
        <v>16409</v>
      </c>
      <c r="L411" s="34"/>
      <c r="M411" s="32" t="s">
        <v>25220</v>
      </c>
      <c r="N411" s="32" t="s">
        <v>25221</v>
      </c>
      <c r="O411" s="34"/>
      <c r="P411" s="34" t="n">
        <v>17</v>
      </c>
      <c r="Q411" s="31" t="n">
        <v>18</v>
      </c>
      <c r="R411" s="31" t="s">
        <v>61</v>
      </c>
      <c r="S411" s="31" t="s">
        <v>62</v>
      </c>
      <c r="T411" s="31" t="s">
        <v>25222</v>
      </c>
      <c r="U411" s="31" t="n">
        <v>5</v>
      </c>
      <c r="V411" s="31" t="s">
        <v>16384</v>
      </c>
      <c r="W411" s="31" t="n">
        <v>2</v>
      </c>
      <c r="X411" s="31" t="s">
        <v>25223</v>
      </c>
      <c r="Y411" s="31"/>
      <c r="Z411" s="31" t="s">
        <v>25224</v>
      </c>
      <c r="AA411" s="31" t="s">
        <v>25225</v>
      </c>
      <c r="AB411" s="31" t="s">
        <v>25226</v>
      </c>
      <c r="AC411" s="31" t="s">
        <v>25227</v>
      </c>
      <c r="AD411" s="31" t="s">
        <v>25228</v>
      </c>
      <c r="AE411" s="31" t="s">
        <v>25229</v>
      </c>
      <c r="AF411" s="31" t="s">
        <v>25230</v>
      </c>
      <c r="AG411" s="31" t="s">
        <v>25231</v>
      </c>
      <c r="AH411" s="31" t="s">
        <v>25232</v>
      </c>
      <c r="AI411" s="31" t="n">
        <v>12</v>
      </c>
      <c r="AJ411" s="31" t="n">
        <v>0</v>
      </c>
      <c r="AK411" s="31" t="n">
        <v>28</v>
      </c>
      <c r="AL411" s="31" t="s">
        <v>16395</v>
      </c>
      <c r="AM411" s="31" t="s">
        <v>16396</v>
      </c>
      <c r="AN411" s="31" t="s">
        <v>25233</v>
      </c>
      <c r="AO411" s="31"/>
      <c r="AP411" s="31" t="s">
        <v>25234</v>
      </c>
      <c r="AQ411" s="31" t="s">
        <v>25235</v>
      </c>
      <c r="AR411" s="31" t="s">
        <v>17772</v>
      </c>
      <c r="AS411" s="31" t="n">
        <v>1047</v>
      </c>
      <c r="AT411" s="31" t="n">
        <v>1054</v>
      </c>
      <c r="AU411" s="31"/>
      <c r="AV411" s="31" t="s">
        <v>25236</v>
      </c>
      <c r="AW411" s="35" t="str">
        <f aca="false">HYPERLINK("http://dx.doi.org/10.1109/LRA.2020.2967290","http://dx.doi.org/10.1109/LRA.2020.2967290")</f>
        <v>http://dx.doi.org/10.1109/LRA.2020.2967290</v>
      </c>
      <c r="AX411" s="31"/>
      <c r="AY411" s="31" t="n">
        <v>8</v>
      </c>
      <c r="AZ411" s="31" t="s">
        <v>25237</v>
      </c>
      <c r="BA411" s="31" t="s">
        <v>16366</v>
      </c>
      <c r="BB411" s="31" t="s">
        <v>25237</v>
      </c>
      <c r="BC411" s="31" t="s">
        <v>25238</v>
      </c>
      <c r="BD411" s="31"/>
      <c r="BE411" s="31"/>
      <c r="BF411" s="31" t="s">
        <v>16369</v>
      </c>
      <c r="BG411" s="31" t="s">
        <v>25239</v>
      </c>
      <c r="BH411" s="31" t="str">
        <f aca="false">HYPERLINK("https%3A%2F%2Fwww.webofscience.com%2Fwos%2Fwoscc%2Ffull-record%2FWOS:000511836600001","View Full Record in Web of Science")</f>
        <v>View Full Record in Web of Science</v>
      </c>
      <c r="BI411" s="31"/>
      <c r="BJ411" s="31"/>
      <c r="BK411" s="31"/>
      <c r="BL411" s="31"/>
      <c r="BM411" s="31"/>
      <c r="BN411" s="31"/>
      <c r="BO411" s="31"/>
      <c r="BP411" s="31"/>
      <c r="BQ411" s="31"/>
      <c r="BR411" s="31"/>
      <c r="BS411" s="31"/>
      <c r="BT411" s="31"/>
      <c r="BU411" s="31"/>
      <c r="BV411" s="31"/>
      <c r="BW411" s="31"/>
      <c r="BX411" s="31"/>
      <c r="BY411" s="31"/>
      <c r="BZ411" s="31"/>
      <c r="CA411" s="31"/>
      <c r="CB411" s="31"/>
      <c r="CC411" s="31"/>
      <c r="CD411" s="31"/>
      <c r="CE411" s="31"/>
      <c r="CF411" s="31"/>
    </row>
    <row r="412" customFormat="false" ht="15.75" hidden="false" customHeight="true" outlineLevel="0" collapsed="false">
      <c r="A412" s="31" t="s">
        <v>16335</v>
      </c>
      <c r="B412" s="31" t="s">
        <v>25240</v>
      </c>
      <c r="C412" s="31" t="s">
        <v>25241</v>
      </c>
      <c r="D412" s="34" t="s">
        <v>25242</v>
      </c>
      <c r="E412" s="31" t="n">
        <v>2020</v>
      </c>
      <c r="F412" s="33" t="s">
        <v>25243</v>
      </c>
      <c r="G412" s="33" t="s">
        <v>1230</v>
      </c>
      <c r="H412" s="32" t="s">
        <v>25244</v>
      </c>
      <c r="I412" s="32" t="s">
        <v>25245</v>
      </c>
      <c r="J412" s="34"/>
      <c r="K412" s="32" t="s">
        <v>17573</v>
      </c>
      <c r="L412" s="34"/>
      <c r="M412" s="34"/>
      <c r="N412" s="32" t="s">
        <v>25246</v>
      </c>
      <c r="O412" s="34"/>
      <c r="P412" s="34" t="n">
        <v>8</v>
      </c>
      <c r="Q412" s="31" t="n">
        <v>9</v>
      </c>
      <c r="R412" s="31" t="s">
        <v>61</v>
      </c>
      <c r="S412" s="31" t="s">
        <v>62</v>
      </c>
      <c r="T412" s="31" t="s">
        <v>25247</v>
      </c>
      <c r="U412" s="31" t="n">
        <v>197</v>
      </c>
      <c r="V412" s="31" t="s">
        <v>16349</v>
      </c>
      <c r="W412" s="31"/>
      <c r="X412" s="31" t="s">
        <v>25248</v>
      </c>
      <c r="Y412" s="31" t="s">
        <v>25249</v>
      </c>
      <c r="Z412" s="31" t="s">
        <v>25250</v>
      </c>
      <c r="AA412" s="31" t="s">
        <v>25251</v>
      </c>
      <c r="AB412" s="31" t="s">
        <v>25252</v>
      </c>
      <c r="AC412" s="31" t="s">
        <v>25253</v>
      </c>
      <c r="AD412" s="31" t="s">
        <v>25254</v>
      </c>
      <c r="AE412" s="31" t="s">
        <v>25255</v>
      </c>
      <c r="AF412" s="31"/>
      <c r="AG412" s="31"/>
      <c r="AH412" s="31"/>
      <c r="AI412" s="31" t="n">
        <v>72</v>
      </c>
      <c r="AJ412" s="31" t="n">
        <v>0</v>
      </c>
      <c r="AK412" s="31" t="n">
        <v>9</v>
      </c>
      <c r="AL412" s="31" t="s">
        <v>16356</v>
      </c>
      <c r="AM412" s="31" t="s">
        <v>16357</v>
      </c>
      <c r="AN412" s="31" t="s">
        <v>25256</v>
      </c>
      <c r="AO412" s="31" t="s">
        <v>25257</v>
      </c>
      <c r="AP412" s="31" t="s">
        <v>25258</v>
      </c>
      <c r="AQ412" s="31" t="s">
        <v>25259</v>
      </c>
      <c r="AR412" s="31" t="s">
        <v>18585</v>
      </c>
      <c r="AS412" s="31"/>
      <c r="AT412" s="31"/>
      <c r="AU412" s="31" t="n">
        <v>103914</v>
      </c>
      <c r="AV412" s="31" t="s">
        <v>25260</v>
      </c>
      <c r="AW412" s="35" t="str">
        <f aca="false">HYPERLINK("http://dx.doi.org/10.1016/j.chemolab.2019.103914","http://dx.doi.org/10.1016/j.chemolab.2019.103914")</f>
        <v>http://dx.doi.org/10.1016/j.chemolab.2019.103914</v>
      </c>
      <c r="AX412" s="31"/>
      <c r="AY412" s="31" t="n">
        <v>9</v>
      </c>
      <c r="AZ412" s="31" t="s">
        <v>25261</v>
      </c>
      <c r="BA412" s="31" t="s">
        <v>16366</v>
      </c>
      <c r="BB412" s="31" t="s">
        <v>25262</v>
      </c>
      <c r="BC412" s="31" t="s">
        <v>25263</v>
      </c>
      <c r="BD412" s="31"/>
      <c r="BE412" s="31"/>
      <c r="BF412" s="31" t="s">
        <v>16369</v>
      </c>
      <c r="BG412" s="31" t="s">
        <v>25264</v>
      </c>
      <c r="BH412" s="31" t="str">
        <f aca="false">HYPERLINK("https%3A%2F%2Fwww.webofscience.com%2Fwos%2Fwoscc%2Ffull-record%2FWOS:000514255700002","View Full Record in Web of Science")</f>
        <v>View Full Record in Web of Science</v>
      </c>
      <c r="BI412" s="31"/>
      <c r="BJ412" s="31"/>
      <c r="BK412" s="31"/>
      <c r="BL412" s="31"/>
      <c r="BM412" s="31"/>
      <c r="BN412" s="31"/>
      <c r="BO412" s="31"/>
      <c r="BP412" s="31"/>
      <c r="BQ412" s="31"/>
      <c r="BR412" s="31"/>
      <c r="BS412" s="31"/>
      <c r="BT412" s="31"/>
      <c r="BU412" s="31"/>
      <c r="BV412" s="31"/>
      <c r="BW412" s="31"/>
      <c r="BX412" s="31"/>
      <c r="BY412" s="31"/>
      <c r="BZ412" s="31"/>
      <c r="CA412" s="31"/>
      <c r="CB412" s="31"/>
      <c r="CC412" s="31"/>
      <c r="CD412" s="31"/>
      <c r="CE412" s="31"/>
      <c r="CF412" s="31"/>
    </row>
    <row r="413" customFormat="false" ht="15.75" hidden="false" customHeight="true" outlineLevel="0" collapsed="false">
      <c r="A413" s="31" t="s">
        <v>16335</v>
      </c>
      <c r="B413" s="31" t="s">
        <v>25265</v>
      </c>
      <c r="C413" s="31" t="s">
        <v>25266</v>
      </c>
      <c r="D413" s="34" t="s">
        <v>25267</v>
      </c>
      <c r="E413" s="31" t="n">
        <v>2020</v>
      </c>
      <c r="F413" s="33" t="s">
        <v>25268</v>
      </c>
      <c r="G413" s="33" t="s">
        <v>1230</v>
      </c>
      <c r="H413" s="32" t="s">
        <v>16661</v>
      </c>
      <c r="I413" s="32" t="s">
        <v>16661</v>
      </c>
      <c r="J413" s="34"/>
      <c r="K413" s="32" t="s">
        <v>25269</v>
      </c>
      <c r="L413" s="34"/>
      <c r="M413" s="34"/>
      <c r="N413" s="34"/>
      <c r="O413" s="34"/>
      <c r="P413" s="34" t="n">
        <v>10</v>
      </c>
      <c r="Q413" s="31" t="n">
        <v>10</v>
      </c>
      <c r="R413" s="31" t="s">
        <v>61</v>
      </c>
      <c r="S413" s="31" t="s">
        <v>62</v>
      </c>
      <c r="T413" s="31" t="s">
        <v>16844</v>
      </c>
      <c r="U413" s="31" t="n">
        <v>14</v>
      </c>
      <c r="V413" s="31" t="s">
        <v>16845</v>
      </c>
      <c r="W413" s="31" t="n">
        <v>6</v>
      </c>
      <c r="X413" s="31"/>
      <c r="Y413" s="31" t="s">
        <v>25270</v>
      </c>
      <c r="Z413" s="31" t="s">
        <v>25271</v>
      </c>
      <c r="AA413" s="31" t="s">
        <v>25272</v>
      </c>
      <c r="AB413" s="31" t="s">
        <v>25273</v>
      </c>
      <c r="AC413" s="31" t="s">
        <v>25274</v>
      </c>
      <c r="AD413" s="31" t="s">
        <v>25275</v>
      </c>
      <c r="AE413" s="31" t="s">
        <v>25276</v>
      </c>
      <c r="AF413" s="31"/>
      <c r="AG413" s="31"/>
      <c r="AH413" s="31"/>
      <c r="AI413" s="31" t="n">
        <v>58</v>
      </c>
      <c r="AJ413" s="31" t="n">
        <v>1</v>
      </c>
      <c r="AK413" s="31" t="n">
        <v>6</v>
      </c>
      <c r="AL413" s="31" t="s">
        <v>16855</v>
      </c>
      <c r="AM413" s="31" t="s">
        <v>16856</v>
      </c>
      <c r="AN413" s="31" t="s">
        <v>16857</v>
      </c>
      <c r="AO413" s="31"/>
      <c r="AP413" s="31" t="s">
        <v>16858</v>
      </c>
      <c r="AQ413" s="31" t="s">
        <v>16859</v>
      </c>
      <c r="AR413" s="31" t="s">
        <v>16683</v>
      </c>
      <c r="AS413" s="31"/>
      <c r="AT413" s="31"/>
      <c r="AU413" s="31" t="s">
        <v>25277</v>
      </c>
      <c r="AV413" s="31" t="s">
        <v>25278</v>
      </c>
      <c r="AW413" s="35" t="str">
        <f aca="false">HYPERLINK("http://dx.doi.org/10.1371/journal.pntd.0008281","http://dx.doi.org/10.1371/journal.pntd.0008281")</f>
        <v>http://dx.doi.org/10.1371/journal.pntd.0008281</v>
      </c>
      <c r="AX413" s="31"/>
      <c r="AY413" s="31" t="n">
        <v>18</v>
      </c>
      <c r="AZ413" s="31" t="s">
        <v>16862</v>
      </c>
      <c r="BA413" s="31" t="s">
        <v>16366</v>
      </c>
      <c r="BB413" s="31" t="s">
        <v>16862</v>
      </c>
      <c r="BC413" s="31" t="s">
        <v>25279</v>
      </c>
      <c r="BD413" s="31" t="n">
        <v>32492017</v>
      </c>
      <c r="BE413" s="31" t="s">
        <v>16832</v>
      </c>
      <c r="BF413" s="31" t="s">
        <v>16369</v>
      </c>
      <c r="BG413" s="31" t="s">
        <v>25280</v>
      </c>
      <c r="BH413" s="31" t="str">
        <f aca="false">HYPERLINK("https%3A%2F%2Fwww.webofscience.com%2Fwos%2Fwoscc%2Ffull-record%2FWOS:000559723300003","View Full Record in Web of Science")</f>
        <v>View Full Record in Web of Science</v>
      </c>
      <c r="BI413" s="31"/>
      <c r="BJ413" s="31"/>
      <c r="BK413" s="31"/>
      <c r="BL413" s="31"/>
      <c r="BM413" s="31"/>
      <c r="BN413" s="31"/>
      <c r="BO413" s="31"/>
      <c r="BP413" s="31"/>
      <c r="BQ413" s="31"/>
      <c r="BR413" s="31"/>
      <c r="BS413" s="31"/>
      <c r="BT413" s="31"/>
      <c r="BU413" s="31"/>
      <c r="BV413" s="31"/>
      <c r="BW413" s="31"/>
      <c r="BX413" s="31"/>
      <c r="BY413" s="31"/>
      <c r="BZ413" s="31"/>
      <c r="CA413" s="31"/>
      <c r="CB413" s="31"/>
      <c r="CC413" s="31"/>
      <c r="CD413" s="31"/>
      <c r="CE413" s="31"/>
      <c r="CF413" s="31"/>
    </row>
    <row r="414" customFormat="false" ht="15.75" hidden="false" customHeight="true" outlineLevel="0" collapsed="false">
      <c r="A414" s="31" t="s">
        <v>16335</v>
      </c>
      <c r="B414" s="31" t="s">
        <v>25281</v>
      </c>
      <c r="C414" s="31" t="s">
        <v>25282</v>
      </c>
      <c r="D414" s="34" t="s">
        <v>25283</v>
      </c>
      <c r="E414" s="31" t="n">
        <v>2020</v>
      </c>
      <c r="F414" s="33" t="s">
        <v>25284</v>
      </c>
      <c r="G414" s="33" t="s">
        <v>290</v>
      </c>
      <c r="H414" s="32" t="s">
        <v>3920</v>
      </c>
      <c r="I414" s="34"/>
      <c r="J414" s="34"/>
      <c r="K414" s="32" t="s">
        <v>23114</v>
      </c>
      <c r="L414" s="34"/>
      <c r="M414" s="32" t="s">
        <v>25285</v>
      </c>
      <c r="N414" s="34"/>
      <c r="O414" s="34"/>
      <c r="P414" s="34" t="n">
        <v>4</v>
      </c>
      <c r="Q414" s="31" t="n">
        <v>4</v>
      </c>
      <c r="R414" s="31" t="s">
        <v>61</v>
      </c>
      <c r="S414" s="31" t="s">
        <v>62</v>
      </c>
      <c r="T414" s="31" t="s">
        <v>17233</v>
      </c>
      <c r="U414" s="31" t="n">
        <v>32</v>
      </c>
      <c r="V414" s="31" t="s">
        <v>17234</v>
      </c>
      <c r="W414" s="31" t="n">
        <v>15</v>
      </c>
      <c r="X414" s="31" t="s">
        <v>25286</v>
      </c>
      <c r="Y414" s="31" t="s">
        <v>25287</v>
      </c>
      <c r="Z414" s="31" t="s">
        <v>25288</v>
      </c>
      <c r="AA414" s="31" t="s">
        <v>25289</v>
      </c>
      <c r="AB414" s="31" t="s">
        <v>25290</v>
      </c>
      <c r="AC414" s="31" t="s">
        <v>25291</v>
      </c>
      <c r="AD414" s="31" t="s">
        <v>25292</v>
      </c>
      <c r="AE414" s="31" t="s">
        <v>25293</v>
      </c>
      <c r="AF414" s="31" t="s">
        <v>25294</v>
      </c>
      <c r="AG414" s="31" t="s">
        <v>25295</v>
      </c>
      <c r="AH414" s="31" t="s">
        <v>25296</v>
      </c>
      <c r="AI414" s="31" t="n">
        <v>30</v>
      </c>
      <c r="AJ414" s="31" t="n">
        <v>2</v>
      </c>
      <c r="AK414" s="31" t="n">
        <v>13</v>
      </c>
      <c r="AL414" s="31" t="s">
        <v>16821</v>
      </c>
      <c r="AM414" s="31" t="s">
        <v>17244</v>
      </c>
      <c r="AN414" s="31" t="s">
        <v>17245</v>
      </c>
      <c r="AO414" s="31" t="s">
        <v>17246</v>
      </c>
      <c r="AP414" s="31" t="s">
        <v>17247</v>
      </c>
      <c r="AQ414" s="31" t="s">
        <v>458</v>
      </c>
      <c r="AR414" s="31" t="s">
        <v>17837</v>
      </c>
      <c r="AS414" s="31" t="n">
        <v>11311</v>
      </c>
      <c r="AT414" s="31" t="n">
        <v>11328</v>
      </c>
      <c r="AU414" s="31"/>
      <c r="AV414" s="31" t="s">
        <v>25297</v>
      </c>
      <c r="AW414" s="35" t="str">
        <f aca="false">HYPERLINK("http://dx.doi.org/10.1007/s00521-019-04626-7","http://dx.doi.org/10.1007/s00521-019-04626-7")</f>
        <v>http://dx.doi.org/10.1007/s00521-019-04626-7</v>
      </c>
      <c r="AX414" s="31" t="s">
        <v>25298</v>
      </c>
      <c r="AY414" s="31" t="n">
        <v>18</v>
      </c>
      <c r="AZ414" s="31" t="s">
        <v>16365</v>
      </c>
      <c r="BA414" s="31" t="s">
        <v>16366</v>
      </c>
      <c r="BB414" s="31" t="s">
        <v>16367</v>
      </c>
      <c r="BC414" s="31" t="s">
        <v>25299</v>
      </c>
      <c r="BD414" s="31"/>
      <c r="BE414" s="31"/>
      <c r="BF414" s="31" t="s">
        <v>16369</v>
      </c>
      <c r="BG414" s="31" t="s">
        <v>25300</v>
      </c>
      <c r="BH414" s="31" t="str">
        <f aca="false">HYPERLINK("https%3A%2F%2Fwww.webofscience.com%2Fwos%2Fwoscc%2Ffull-record%2FWOS:000516112000001","View Full Record in Web of Science")</f>
        <v>View Full Record in Web of Science</v>
      </c>
      <c r="BI414" s="31"/>
      <c r="BJ414" s="31"/>
      <c r="BK414" s="31"/>
      <c r="BL414" s="31"/>
      <c r="BM414" s="31"/>
      <c r="BN414" s="31"/>
      <c r="BO414" s="31"/>
      <c r="BP414" s="31"/>
      <c r="BQ414" s="31"/>
      <c r="BR414" s="31"/>
      <c r="BS414" s="31"/>
      <c r="BT414" s="31"/>
      <c r="BU414" s="31"/>
      <c r="BV414" s="31"/>
      <c r="BW414" s="31"/>
      <c r="BX414" s="31"/>
      <c r="BY414" s="31"/>
      <c r="BZ414" s="31"/>
      <c r="CA414" s="31"/>
      <c r="CB414" s="31"/>
      <c r="CC414" s="31"/>
      <c r="CD414" s="31"/>
      <c r="CE414" s="31"/>
      <c r="CF414" s="31"/>
    </row>
    <row r="415" customFormat="false" ht="15.75" hidden="false" customHeight="true" outlineLevel="0" collapsed="false">
      <c r="A415" s="31" t="s">
        <v>16335</v>
      </c>
      <c r="B415" s="31" t="s">
        <v>25301</v>
      </c>
      <c r="C415" s="31" t="s">
        <v>25302</v>
      </c>
      <c r="D415" s="34" t="s">
        <v>25303</v>
      </c>
      <c r="E415" s="31" t="n">
        <v>2020</v>
      </c>
      <c r="F415" s="33" t="s">
        <v>25304</v>
      </c>
      <c r="G415" s="33" t="s">
        <v>134</v>
      </c>
      <c r="H415" s="32" t="s">
        <v>21245</v>
      </c>
      <c r="I415" s="34"/>
      <c r="J415" s="34"/>
      <c r="K415" s="32" t="s">
        <v>25198</v>
      </c>
      <c r="L415" s="34"/>
      <c r="M415" s="32" t="s">
        <v>25305</v>
      </c>
      <c r="N415" s="34"/>
      <c r="O415" s="34"/>
      <c r="P415" s="34" t="n">
        <v>18</v>
      </c>
      <c r="Q415" s="31" t="n">
        <v>19</v>
      </c>
      <c r="R415" s="31" t="s">
        <v>61</v>
      </c>
      <c r="S415" s="31" t="s">
        <v>62</v>
      </c>
      <c r="T415" s="31" t="s">
        <v>20504</v>
      </c>
      <c r="U415" s="31" t="n">
        <v>8</v>
      </c>
      <c r="V415" s="31" t="s">
        <v>20505</v>
      </c>
      <c r="W415" s="31"/>
      <c r="X415" s="31" t="s">
        <v>25306</v>
      </c>
      <c r="Y415" s="31" t="s">
        <v>16816</v>
      </c>
      <c r="Z415" s="31" t="s">
        <v>25307</v>
      </c>
      <c r="AA415" s="31" t="s">
        <v>25308</v>
      </c>
      <c r="AB415" s="31" t="s">
        <v>25309</v>
      </c>
      <c r="AC415" s="31" t="s">
        <v>25310</v>
      </c>
      <c r="AD415" s="31" t="s">
        <v>25311</v>
      </c>
      <c r="AE415" s="31" t="s">
        <v>25312</v>
      </c>
      <c r="AF415" s="31" t="s">
        <v>25313</v>
      </c>
      <c r="AG415" s="31" t="s">
        <v>25313</v>
      </c>
      <c r="AH415" s="31" t="s">
        <v>25314</v>
      </c>
      <c r="AI415" s="31" t="n">
        <v>44</v>
      </c>
      <c r="AJ415" s="31" t="n">
        <v>0</v>
      </c>
      <c r="AK415" s="31" t="n">
        <v>19</v>
      </c>
      <c r="AL415" s="31" t="s">
        <v>16821</v>
      </c>
      <c r="AM415" s="31" t="s">
        <v>20514</v>
      </c>
      <c r="AN415" s="31" t="s">
        <v>20515</v>
      </c>
      <c r="AO415" s="31"/>
      <c r="AP415" s="31" t="s">
        <v>20504</v>
      </c>
      <c r="AQ415" s="31" t="s">
        <v>2022</v>
      </c>
      <c r="AR415" s="31" t="s">
        <v>25315</v>
      </c>
      <c r="AS415" s="31"/>
      <c r="AT415" s="31"/>
      <c r="AU415" s="31" t="s">
        <v>25316</v>
      </c>
      <c r="AV415" s="31" t="s">
        <v>25317</v>
      </c>
      <c r="AW415" s="35" t="str">
        <f aca="false">HYPERLINK("http://dx.doi.org/10.7717/peerj.9674","http://dx.doi.org/10.7717/peerj.9674")</f>
        <v>http://dx.doi.org/10.7717/peerj.9674</v>
      </c>
      <c r="AX415" s="31"/>
      <c r="AY415" s="31" t="n">
        <v>20</v>
      </c>
      <c r="AZ415" s="31" t="s">
        <v>16428</v>
      </c>
      <c r="BA415" s="31" t="s">
        <v>16366</v>
      </c>
      <c r="BB415" s="31" t="s">
        <v>16429</v>
      </c>
      <c r="BC415" s="31" t="s">
        <v>25318</v>
      </c>
      <c r="BD415" s="31" t="n">
        <v>32832279</v>
      </c>
      <c r="BE415" s="31" t="s">
        <v>17143</v>
      </c>
      <c r="BF415" s="31" t="s">
        <v>16369</v>
      </c>
      <c r="BG415" s="31" t="s">
        <v>25319</v>
      </c>
      <c r="BH415" s="31" t="str">
        <f aca="false">HYPERLINK("https%3A%2F%2Fwww.webofscience.com%2Fwos%2Fwoscc%2Ffull-record%2FWOS:000555317300009","View Full Record in Web of Science")</f>
        <v>View Full Record in Web of Science</v>
      </c>
      <c r="BI415" s="31"/>
      <c r="BJ415" s="31"/>
      <c r="BK415" s="31"/>
      <c r="BL415" s="31"/>
      <c r="BM415" s="31"/>
      <c r="BN415" s="31"/>
      <c r="BO415" s="31"/>
      <c r="BP415" s="31"/>
      <c r="BQ415" s="31"/>
      <c r="BR415" s="31"/>
      <c r="BS415" s="31"/>
      <c r="BT415" s="31"/>
      <c r="BU415" s="31"/>
      <c r="BV415" s="31"/>
      <c r="BW415" s="31"/>
      <c r="BX415" s="31"/>
      <c r="BY415" s="31"/>
      <c r="BZ415" s="31"/>
      <c r="CA415" s="31"/>
      <c r="CB415" s="31"/>
      <c r="CC415" s="31"/>
      <c r="CD415" s="31"/>
      <c r="CE415" s="31"/>
      <c r="CF415" s="31"/>
    </row>
    <row r="416" customFormat="false" ht="15.75" hidden="false" customHeight="true" outlineLevel="0" collapsed="false">
      <c r="A416" s="31" t="s">
        <v>16335</v>
      </c>
      <c r="B416" s="31" t="s">
        <v>25320</v>
      </c>
      <c r="C416" s="31" t="s">
        <v>25321</v>
      </c>
      <c r="D416" s="34" t="s">
        <v>25322</v>
      </c>
      <c r="E416" s="31" t="n">
        <v>2020</v>
      </c>
      <c r="F416" s="33" t="s">
        <v>25323</v>
      </c>
      <c r="G416" s="33" t="s">
        <v>134</v>
      </c>
      <c r="H416" s="32" t="s">
        <v>5021</v>
      </c>
      <c r="I416" s="32" t="s">
        <v>5021</v>
      </c>
      <c r="J416" s="34"/>
      <c r="K416" s="32" t="s">
        <v>16409</v>
      </c>
      <c r="L416" s="34"/>
      <c r="M416" s="32" t="s">
        <v>25324</v>
      </c>
      <c r="N416" s="34"/>
      <c r="O416" s="34"/>
      <c r="P416" s="34" t="n">
        <v>12</v>
      </c>
      <c r="Q416" s="31" t="n">
        <v>12</v>
      </c>
      <c r="R416" s="31" t="s">
        <v>61</v>
      </c>
      <c r="S416" s="31" t="s">
        <v>62</v>
      </c>
      <c r="T416" s="31" t="s">
        <v>16383</v>
      </c>
      <c r="U416" s="31" t="n">
        <v>8</v>
      </c>
      <c r="V416" s="31" t="s">
        <v>16384</v>
      </c>
      <c r="W416" s="31"/>
      <c r="X416" s="31" t="s">
        <v>25325</v>
      </c>
      <c r="Y416" s="31" t="s">
        <v>25326</v>
      </c>
      <c r="Z416" s="31" t="s">
        <v>25327</v>
      </c>
      <c r="AA416" s="31" t="s">
        <v>25328</v>
      </c>
      <c r="AB416" s="31" t="s">
        <v>25329</v>
      </c>
      <c r="AC416" s="31" t="s">
        <v>25330</v>
      </c>
      <c r="AD416" s="31" t="s">
        <v>25331</v>
      </c>
      <c r="AE416" s="31" t="s">
        <v>25332</v>
      </c>
      <c r="AF416" s="31" t="s">
        <v>25333</v>
      </c>
      <c r="AG416" s="31" t="s">
        <v>25333</v>
      </c>
      <c r="AH416" s="31" t="s">
        <v>25334</v>
      </c>
      <c r="AI416" s="31" t="n">
        <v>67</v>
      </c>
      <c r="AJ416" s="31" t="n">
        <v>1</v>
      </c>
      <c r="AK416" s="31" t="n">
        <v>18</v>
      </c>
      <c r="AL416" s="31" t="s">
        <v>16395</v>
      </c>
      <c r="AM416" s="31" t="s">
        <v>16396</v>
      </c>
      <c r="AN416" s="31" t="s">
        <v>16397</v>
      </c>
      <c r="AO416" s="31"/>
      <c r="AP416" s="31" t="s">
        <v>16383</v>
      </c>
      <c r="AQ416" s="31" t="s">
        <v>186</v>
      </c>
      <c r="AR416" s="31"/>
      <c r="AS416" s="31" t="n">
        <v>78663</v>
      </c>
      <c r="AT416" s="31" t="n">
        <v>78682</v>
      </c>
      <c r="AU416" s="31"/>
      <c r="AV416" s="31" t="s">
        <v>25335</v>
      </c>
      <c r="AW416" s="35" t="str">
        <f aca="false">HYPERLINK("http://dx.doi.org/10.1109/ACCESS.2020.2990497","http://dx.doi.org/10.1109/ACCESS.2020.2990497")</f>
        <v>http://dx.doi.org/10.1109/ACCESS.2020.2990497</v>
      </c>
      <c r="AX416" s="31"/>
      <c r="AY416" s="31" t="n">
        <v>20</v>
      </c>
      <c r="AZ416" s="31" t="s">
        <v>16399</v>
      </c>
      <c r="BA416" s="31" t="s">
        <v>16366</v>
      </c>
      <c r="BB416" s="31" t="s">
        <v>16400</v>
      </c>
      <c r="BC416" s="31" t="s">
        <v>25336</v>
      </c>
      <c r="BD416" s="31"/>
      <c r="BE416" s="31" t="s">
        <v>16431</v>
      </c>
      <c r="BF416" s="31" t="s">
        <v>16369</v>
      </c>
      <c r="BG416" s="31" t="s">
        <v>25337</v>
      </c>
      <c r="BH416" s="31" t="str">
        <f aca="false">HYPERLINK("https%3A%2F%2Fwww.webofscience.com%2Fwos%2Fwoscc%2Ffull-record%2FWOS:000531907000015","View Full Record in Web of Science")</f>
        <v>View Full Record in Web of Science</v>
      </c>
      <c r="BI416" s="31"/>
      <c r="BJ416" s="31"/>
      <c r="BK416" s="31"/>
      <c r="BL416" s="31"/>
      <c r="BM416" s="31"/>
      <c r="BN416" s="31"/>
      <c r="BO416" s="31"/>
      <c r="BP416" s="31"/>
      <c r="BQ416" s="31"/>
      <c r="BR416" s="31"/>
      <c r="BS416" s="31"/>
      <c r="BT416" s="31"/>
      <c r="BU416" s="31"/>
      <c r="BV416" s="31"/>
      <c r="BW416" s="31"/>
      <c r="BX416" s="31"/>
      <c r="BY416" s="31"/>
      <c r="BZ416" s="31"/>
      <c r="CA416" s="31"/>
      <c r="CB416" s="31"/>
      <c r="CC416" s="31"/>
      <c r="CD416" s="31"/>
      <c r="CE416" s="31"/>
      <c r="CF416" s="31"/>
    </row>
    <row r="417" customFormat="false" ht="15.75" hidden="false" customHeight="true" outlineLevel="0" collapsed="false">
      <c r="A417" s="31" t="s">
        <v>16335</v>
      </c>
      <c r="B417" s="31" t="s">
        <v>25338</v>
      </c>
      <c r="C417" s="31" t="s">
        <v>25339</v>
      </c>
      <c r="D417" s="34" t="s">
        <v>25340</v>
      </c>
      <c r="E417" s="31" t="n">
        <v>2020</v>
      </c>
      <c r="F417" s="33" t="s">
        <v>25341</v>
      </c>
      <c r="G417" s="33" t="s">
        <v>1230</v>
      </c>
      <c r="H417" s="32" t="s">
        <v>25342</v>
      </c>
      <c r="I417" s="34"/>
      <c r="J417" s="32" t="s">
        <v>25343</v>
      </c>
      <c r="K417" s="32" t="s">
        <v>25344</v>
      </c>
      <c r="L417" s="34"/>
      <c r="M417" s="32" t="s">
        <v>16410</v>
      </c>
      <c r="N417" s="34"/>
      <c r="O417" s="34"/>
      <c r="P417" s="34" t="n">
        <v>142</v>
      </c>
      <c r="Q417" s="31" t="n">
        <v>145</v>
      </c>
      <c r="R417" s="31" t="s">
        <v>61</v>
      </c>
      <c r="S417" s="31" t="s">
        <v>62</v>
      </c>
      <c r="T417" s="31" t="s">
        <v>16383</v>
      </c>
      <c r="U417" s="31" t="n">
        <v>8</v>
      </c>
      <c r="V417" s="31" t="s">
        <v>16384</v>
      </c>
      <c r="W417" s="31"/>
      <c r="X417" s="31" t="s">
        <v>25345</v>
      </c>
      <c r="Y417" s="31"/>
      <c r="Z417" s="31" t="s">
        <v>25346</v>
      </c>
      <c r="AA417" s="31" t="s">
        <v>25347</v>
      </c>
      <c r="AB417" s="31" t="s">
        <v>25348</v>
      </c>
      <c r="AC417" s="31" t="s">
        <v>25349</v>
      </c>
      <c r="AD417" s="31" t="s">
        <v>25350</v>
      </c>
      <c r="AE417" s="31" t="s">
        <v>25351</v>
      </c>
      <c r="AF417" s="31" t="s">
        <v>25352</v>
      </c>
      <c r="AG417" s="31" t="s">
        <v>25353</v>
      </c>
      <c r="AH417" s="31" t="s">
        <v>25354</v>
      </c>
      <c r="AI417" s="31" t="n">
        <v>58</v>
      </c>
      <c r="AJ417" s="31" t="n">
        <v>4</v>
      </c>
      <c r="AK417" s="31" t="n">
        <v>58</v>
      </c>
      <c r="AL417" s="31" t="s">
        <v>16395</v>
      </c>
      <c r="AM417" s="31" t="s">
        <v>16396</v>
      </c>
      <c r="AN417" s="31" t="s">
        <v>16397</v>
      </c>
      <c r="AO417" s="31"/>
      <c r="AP417" s="31" t="s">
        <v>16383</v>
      </c>
      <c r="AQ417" s="31" t="s">
        <v>186</v>
      </c>
      <c r="AR417" s="31"/>
      <c r="AS417" s="31" t="n">
        <v>123649</v>
      </c>
      <c r="AT417" s="31" t="n">
        <v>123661</v>
      </c>
      <c r="AU417" s="31"/>
      <c r="AV417" s="31" t="s">
        <v>25355</v>
      </c>
      <c r="AW417" s="35" t="str">
        <f aca="false">HYPERLINK("http://dx.doi.org/10.1109/ACCESS.2020.3005687","http://dx.doi.org/10.1109/ACCESS.2020.3005687")</f>
        <v>http://dx.doi.org/10.1109/ACCESS.2020.3005687</v>
      </c>
      <c r="AX417" s="31"/>
      <c r="AY417" s="31" t="n">
        <v>13</v>
      </c>
      <c r="AZ417" s="31" t="s">
        <v>16399</v>
      </c>
      <c r="BA417" s="31" t="s">
        <v>16366</v>
      </c>
      <c r="BB417" s="31" t="s">
        <v>16400</v>
      </c>
      <c r="BC417" s="31" t="s">
        <v>25356</v>
      </c>
      <c r="BD417" s="31"/>
      <c r="BE417" s="31" t="s">
        <v>17752</v>
      </c>
      <c r="BF417" s="31" t="s">
        <v>16369</v>
      </c>
      <c r="BG417" s="31" t="s">
        <v>25357</v>
      </c>
      <c r="BH417" s="31" t="str">
        <f aca="false">HYPERLINK("https%3A%2F%2Fwww.webofscience.com%2Fwos%2Fwoscc%2Ffull-record%2FWOS:000554571600001","View Full Record in Web of Science")</f>
        <v>View Full Record in Web of Science</v>
      </c>
      <c r="BI417" s="31"/>
      <c r="BJ417" s="31"/>
      <c r="BK417" s="31"/>
      <c r="BL417" s="31"/>
      <c r="BM417" s="31"/>
      <c r="BN417" s="31"/>
      <c r="BO417" s="31"/>
      <c r="BP417" s="31"/>
      <c r="BQ417" s="31"/>
      <c r="BR417" s="31"/>
      <c r="BS417" s="31"/>
      <c r="BT417" s="31"/>
      <c r="BU417" s="31"/>
      <c r="BV417" s="31"/>
      <c r="BW417" s="31"/>
      <c r="BX417" s="31"/>
      <c r="BY417" s="31"/>
      <c r="BZ417" s="31"/>
      <c r="CA417" s="31"/>
      <c r="CB417" s="31"/>
      <c r="CC417" s="31"/>
      <c r="CD417" s="31"/>
      <c r="CE417" s="31"/>
      <c r="CF417" s="31"/>
    </row>
    <row r="418" customFormat="false" ht="15.75" hidden="false" customHeight="true" outlineLevel="0" collapsed="false">
      <c r="A418" s="31" t="s">
        <v>16335</v>
      </c>
      <c r="B418" s="31" t="s">
        <v>25358</v>
      </c>
      <c r="C418" s="31" t="s">
        <v>25359</v>
      </c>
      <c r="D418" s="34" t="s">
        <v>25360</v>
      </c>
      <c r="E418" s="31" t="n">
        <v>2020</v>
      </c>
      <c r="F418" s="33" t="s">
        <v>25361</v>
      </c>
      <c r="G418" s="33" t="s">
        <v>134</v>
      </c>
      <c r="H418" s="32" t="s">
        <v>3920</v>
      </c>
      <c r="I418" s="32" t="s">
        <v>3920</v>
      </c>
      <c r="J418" s="34"/>
      <c r="K418" s="32" t="s">
        <v>16409</v>
      </c>
      <c r="L418" s="32" t="s">
        <v>3754</v>
      </c>
      <c r="M418" s="34"/>
      <c r="N418" s="34"/>
      <c r="O418" s="34"/>
      <c r="P418" s="34" t="n">
        <v>87</v>
      </c>
      <c r="Q418" s="31" t="n">
        <v>91</v>
      </c>
      <c r="R418" s="31" t="s">
        <v>61</v>
      </c>
      <c r="S418" s="31" t="s">
        <v>62</v>
      </c>
      <c r="T418" s="31" t="s">
        <v>20765</v>
      </c>
      <c r="U418" s="31" t="n">
        <v>79</v>
      </c>
      <c r="V418" s="31" t="s">
        <v>16600</v>
      </c>
      <c r="W418" s="31" t="s">
        <v>25362</v>
      </c>
      <c r="X418" s="31" t="s">
        <v>25363</v>
      </c>
      <c r="Y418" s="31" t="s">
        <v>25364</v>
      </c>
      <c r="Z418" s="31" t="s">
        <v>25365</v>
      </c>
      <c r="AA418" s="31" t="s">
        <v>25366</v>
      </c>
      <c r="AB418" s="31" t="s">
        <v>25367</v>
      </c>
      <c r="AC418" s="31" t="s">
        <v>25368</v>
      </c>
      <c r="AD418" s="31" t="s">
        <v>25369</v>
      </c>
      <c r="AE418" s="31" t="s">
        <v>25370</v>
      </c>
      <c r="AF418" s="31"/>
      <c r="AG418" s="31"/>
      <c r="AH418" s="31"/>
      <c r="AI418" s="31" t="n">
        <v>49</v>
      </c>
      <c r="AJ418" s="31" t="n">
        <v>0</v>
      </c>
      <c r="AK418" s="31" t="n">
        <v>34</v>
      </c>
      <c r="AL418" s="31" t="s">
        <v>16609</v>
      </c>
      <c r="AM418" s="31" t="s">
        <v>16610</v>
      </c>
      <c r="AN418" s="31" t="s">
        <v>20774</v>
      </c>
      <c r="AO418" s="31" t="s">
        <v>20775</v>
      </c>
      <c r="AP418" s="31" t="s">
        <v>20776</v>
      </c>
      <c r="AQ418" s="31" t="s">
        <v>20777</v>
      </c>
      <c r="AR418" s="31" t="s">
        <v>16683</v>
      </c>
      <c r="AS418" s="31" t="n">
        <v>15297</v>
      </c>
      <c r="AT418" s="31" t="n">
        <v>15317</v>
      </c>
      <c r="AU418" s="31"/>
      <c r="AV418" s="31" t="s">
        <v>25371</v>
      </c>
      <c r="AW418" s="35" t="str">
        <f aca="false">HYPERLINK("http://dx.doi.org/10.1007/s11042-019-7162-y","http://dx.doi.org/10.1007/s11042-019-7162-y")</f>
        <v>http://dx.doi.org/10.1007/s11042-019-7162-y</v>
      </c>
      <c r="AX418" s="31"/>
      <c r="AY418" s="31" t="n">
        <v>21</v>
      </c>
      <c r="AZ418" s="31" t="s">
        <v>20780</v>
      </c>
      <c r="BA418" s="31" t="s">
        <v>16366</v>
      </c>
      <c r="BB418" s="31" t="s">
        <v>16973</v>
      </c>
      <c r="BC418" s="31" t="s">
        <v>25372</v>
      </c>
      <c r="BD418" s="31"/>
      <c r="BE418" s="31"/>
      <c r="BF418" s="31" t="s">
        <v>16369</v>
      </c>
      <c r="BG418" s="31" t="s">
        <v>25373</v>
      </c>
      <c r="BH418" s="31" t="str">
        <f aca="false">HYPERLINK("https%3A%2F%2Fwww.webofscience.com%2Fwos%2Fwoscc%2Ffull-record%2FWOS:000538675900053","View Full Record in Web of Science")</f>
        <v>View Full Record in Web of Science</v>
      </c>
      <c r="BI418" s="31"/>
      <c r="BJ418" s="31"/>
      <c r="BK418" s="31"/>
      <c r="BL418" s="31"/>
      <c r="BM418" s="31"/>
      <c r="BN418" s="31"/>
      <c r="BO418" s="31"/>
      <c r="BP418" s="31"/>
      <c r="BQ418" s="31"/>
      <c r="BR418" s="31"/>
      <c r="BS418" s="31"/>
      <c r="BT418" s="31"/>
      <c r="BU418" s="31"/>
      <c r="BV418" s="31"/>
      <c r="BW418" s="31"/>
      <c r="BX418" s="31"/>
      <c r="BY418" s="31"/>
      <c r="BZ418" s="31"/>
      <c r="CA418" s="31"/>
      <c r="CB418" s="31"/>
      <c r="CC418" s="31"/>
      <c r="CD418" s="31"/>
      <c r="CE418" s="31"/>
      <c r="CF418" s="31"/>
    </row>
    <row r="419" customFormat="false" ht="15.75" hidden="false" customHeight="true" outlineLevel="0" collapsed="false">
      <c r="A419" s="31" t="s">
        <v>16335</v>
      </c>
      <c r="B419" s="31" t="s">
        <v>25374</v>
      </c>
      <c r="C419" s="31" t="s">
        <v>25375</v>
      </c>
      <c r="D419" s="34" t="s">
        <v>25376</v>
      </c>
      <c r="E419" s="31" t="n">
        <v>2020</v>
      </c>
      <c r="F419" s="33" t="s">
        <v>25377</v>
      </c>
      <c r="G419" s="33" t="s">
        <v>134</v>
      </c>
      <c r="H419" s="32" t="s">
        <v>3715</v>
      </c>
      <c r="I419" s="32" t="s">
        <v>3715</v>
      </c>
      <c r="J419" s="32" t="s">
        <v>20887</v>
      </c>
      <c r="K419" s="32" t="s">
        <v>25198</v>
      </c>
      <c r="L419" s="32" t="s">
        <v>3754</v>
      </c>
      <c r="M419" s="32"/>
      <c r="N419" s="34"/>
      <c r="O419" s="34"/>
      <c r="P419" s="34" t="n">
        <v>66</v>
      </c>
      <c r="Q419" s="31" t="n">
        <v>67</v>
      </c>
      <c r="R419" s="31" t="s">
        <v>61</v>
      </c>
      <c r="S419" s="31" t="s">
        <v>62</v>
      </c>
      <c r="T419" s="31" t="s">
        <v>18629</v>
      </c>
      <c r="U419" s="31" t="n">
        <v>10</v>
      </c>
      <c r="V419" s="31" t="s">
        <v>4048</v>
      </c>
      <c r="W419" s="31" t="n">
        <v>5</v>
      </c>
      <c r="X419" s="31" t="s">
        <v>25378</v>
      </c>
      <c r="Y419" s="31" t="s">
        <v>25379</v>
      </c>
      <c r="Z419" s="31" t="s">
        <v>25380</v>
      </c>
      <c r="AA419" s="31" t="s">
        <v>25381</v>
      </c>
      <c r="AB419" s="31" t="s">
        <v>25382</v>
      </c>
      <c r="AC419" s="31" t="s">
        <v>25383</v>
      </c>
      <c r="AD419" s="31" t="s">
        <v>25384</v>
      </c>
      <c r="AE419" s="31" t="s">
        <v>25385</v>
      </c>
      <c r="AF419" s="31"/>
      <c r="AG419" s="31"/>
      <c r="AH419" s="31"/>
      <c r="AI419" s="31" t="n">
        <v>80</v>
      </c>
      <c r="AJ419" s="31" t="n">
        <v>0</v>
      </c>
      <c r="AK419" s="31" t="n">
        <v>18</v>
      </c>
      <c r="AL419" s="31" t="s">
        <v>16769</v>
      </c>
      <c r="AM419" s="31" t="s">
        <v>16770</v>
      </c>
      <c r="AN419" s="31"/>
      <c r="AO419" s="31" t="s">
        <v>18636</v>
      </c>
      <c r="AP419" s="31" t="s">
        <v>18629</v>
      </c>
      <c r="AQ419" s="31" t="s">
        <v>849</v>
      </c>
      <c r="AR419" s="31" t="s">
        <v>17056</v>
      </c>
      <c r="AS419" s="31"/>
      <c r="AT419" s="31"/>
      <c r="AU419" s="31" t="n">
        <v>329</v>
      </c>
      <c r="AV419" s="31" t="s">
        <v>25386</v>
      </c>
      <c r="AW419" s="35" t="str">
        <f aca="false">HYPERLINK("http://dx.doi.org/10.3390/diagnostics10050329","http://dx.doi.org/10.3390/diagnostics10050329")</f>
        <v>http://dx.doi.org/10.3390/diagnostics10050329</v>
      </c>
      <c r="AX419" s="31"/>
      <c r="AY419" s="31" t="n">
        <v>22</v>
      </c>
      <c r="AZ419" s="31" t="s">
        <v>16829</v>
      </c>
      <c r="BA419" s="31" t="s">
        <v>16366</v>
      </c>
      <c r="BB419" s="31" t="s">
        <v>16830</v>
      </c>
      <c r="BC419" s="31" t="s">
        <v>25387</v>
      </c>
      <c r="BD419" s="31" t="n">
        <v>32443868</v>
      </c>
      <c r="BE419" s="31" t="s">
        <v>17143</v>
      </c>
      <c r="BF419" s="31" t="s">
        <v>16369</v>
      </c>
      <c r="BG419" s="31" t="s">
        <v>25388</v>
      </c>
      <c r="BH419" s="31" t="str">
        <f aca="false">HYPERLINK("https%3A%2F%2Fwww.webofscience.com%2Fwos%2Fwoscc%2Ffull-record%2FWOS:000541022500048","View Full Record in Web of Science")</f>
        <v>View Full Record in Web of Science</v>
      </c>
      <c r="BI419" s="31"/>
      <c r="BJ419" s="31"/>
      <c r="BK419" s="31"/>
      <c r="BL419" s="31"/>
      <c r="BM419" s="31"/>
      <c r="BN419" s="31"/>
      <c r="BO419" s="31"/>
      <c r="BP419" s="31"/>
      <c r="BQ419" s="31"/>
      <c r="BR419" s="31"/>
      <c r="BS419" s="31"/>
      <c r="BT419" s="31"/>
      <c r="BU419" s="31"/>
      <c r="BV419" s="31"/>
      <c r="BW419" s="31"/>
      <c r="BX419" s="31"/>
      <c r="BY419" s="31"/>
      <c r="BZ419" s="31"/>
      <c r="CA419" s="31"/>
      <c r="CB419" s="31"/>
      <c r="CC419" s="31"/>
      <c r="CD419" s="31"/>
      <c r="CE419" s="31"/>
      <c r="CF419" s="31"/>
    </row>
    <row r="420" customFormat="false" ht="15.75" hidden="false" customHeight="true" outlineLevel="0" collapsed="false">
      <c r="A420" s="31" t="s">
        <v>16335</v>
      </c>
      <c r="B420" s="31" t="s">
        <v>25389</v>
      </c>
      <c r="C420" s="31" t="s">
        <v>25390</v>
      </c>
      <c r="D420" s="34" t="s">
        <v>25391</v>
      </c>
      <c r="E420" s="31" t="n">
        <v>2020</v>
      </c>
      <c r="F420" s="33" t="s">
        <v>25392</v>
      </c>
      <c r="G420" s="33" t="s">
        <v>134</v>
      </c>
      <c r="H420" s="32" t="s">
        <v>25393</v>
      </c>
      <c r="I420" s="32" t="s">
        <v>3715</v>
      </c>
      <c r="J420" s="32" t="s">
        <v>20887</v>
      </c>
      <c r="K420" s="32" t="s">
        <v>25198</v>
      </c>
      <c r="L420" s="34"/>
      <c r="M420" s="32" t="s">
        <v>25394</v>
      </c>
      <c r="N420" s="32" t="s">
        <v>25395</v>
      </c>
      <c r="O420" s="34"/>
      <c r="P420" s="34" t="n">
        <v>95</v>
      </c>
      <c r="Q420" s="31" t="n">
        <v>96</v>
      </c>
      <c r="R420" s="31" t="s">
        <v>61</v>
      </c>
      <c r="S420" s="31" t="s">
        <v>62</v>
      </c>
      <c r="T420" s="31" t="s">
        <v>24222</v>
      </c>
      <c r="U420" s="31" t="n">
        <v>24</v>
      </c>
      <c r="V420" s="31" t="s">
        <v>16384</v>
      </c>
      <c r="W420" s="31" t="n">
        <v>5</v>
      </c>
      <c r="X420" s="31" t="s">
        <v>25396</v>
      </c>
      <c r="Y420" s="31"/>
      <c r="Z420" s="31" t="s">
        <v>25397</v>
      </c>
      <c r="AA420" s="31" t="s">
        <v>25398</v>
      </c>
      <c r="AB420" s="31" t="s">
        <v>25399</v>
      </c>
      <c r="AC420" s="31" t="s">
        <v>25400</v>
      </c>
      <c r="AD420" s="31" t="s">
        <v>25401</v>
      </c>
      <c r="AE420" s="31" t="s">
        <v>25402</v>
      </c>
      <c r="AF420" s="31" t="s">
        <v>25403</v>
      </c>
      <c r="AG420" s="31" t="s">
        <v>25404</v>
      </c>
      <c r="AH420" s="31" t="s">
        <v>25405</v>
      </c>
      <c r="AI420" s="31" t="n">
        <v>33</v>
      </c>
      <c r="AJ420" s="31" t="n">
        <v>0</v>
      </c>
      <c r="AK420" s="31" t="n">
        <v>30</v>
      </c>
      <c r="AL420" s="31" t="s">
        <v>16395</v>
      </c>
      <c r="AM420" s="31" t="s">
        <v>16396</v>
      </c>
      <c r="AN420" s="31" t="s">
        <v>24233</v>
      </c>
      <c r="AO420" s="31" t="s">
        <v>24234</v>
      </c>
      <c r="AP420" s="31" t="s">
        <v>24235</v>
      </c>
      <c r="AQ420" s="31" t="s">
        <v>24236</v>
      </c>
      <c r="AR420" s="31" t="s">
        <v>17056</v>
      </c>
      <c r="AS420" s="31" t="n">
        <v>1427</v>
      </c>
      <c r="AT420" s="31" t="n">
        <v>1438</v>
      </c>
      <c r="AU420" s="31"/>
      <c r="AV420" s="31" t="s">
        <v>25406</v>
      </c>
      <c r="AW420" s="35" t="str">
        <f aca="false">HYPERLINK("http://dx.doi.org/10.1109/JBHI.2019.2939121","http://dx.doi.org/10.1109/JBHI.2019.2939121")</f>
        <v>http://dx.doi.org/10.1109/JBHI.2019.2939121</v>
      </c>
      <c r="AX420" s="31"/>
      <c r="AY420" s="31" t="n">
        <v>12</v>
      </c>
      <c r="AZ420" s="31" t="s">
        <v>24238</v>
      </c>
      <c r="BA420" s="31" t="s">
        <v>16366</v>
      </c>
      <c r="BB420" s="31" t="s">
        <v>24239</v>
      </c>
      <c r="BC420" s="31" t="s">
        <v>25407</v>
      </c>
      <c r="BD420" s="31" t="n">
        <v>31545747</v>
      </c>
      <c r="BE420" s="31" t="s">
        <v>16654</v>
      </c>
      <c r="BF420" s="31" t="s">
        <v>16369</v>
      </c>
      <c r="BG420" s="31" t="s">
        <v>25408</v>
      </c>
      <c r="BH420" s="31" t="str">
        <f aca="false">HYPERLINK("https%3A%2F%2Fwww.webofscience.com%2Fwos%2Fwoscc%2Ffull-record%2FWOS:000535614100018","View Full Record in Web of Science")</f>
        <v>View Full Record in Web of Science</v>
      </c>
      <c r="BI420" s="31"/>
      <c r="BJ420" s="31"/>
      <c r="BK420" s="31"/>
      <c r="BL420" s="31"/>
      <c r="BM420" s="31"/>
      <c r="BN420" s="31"/>
      <c r="BO420" s="31"/>
      <c r="BP420" s="31"/>
      <c r="BQ420" s="31"/>
      <c r="BR420" s="31"/>
      <c r="BS420" s="31"/>
      <c r="BT420" s="31"/>
      <c r="BU420" s="31"/>
      <c r="BV420" s="31"/>
      <c r="BW420" s="31"/>
      <c r="BX420" s="31"/>
      <c r="BY420" s="31"/>
      <c r="BZ420" s="31"/>
      <c r="CA420" s="31"/>
      <c r="CB420" s="31"/>
      <c r="CC420" s="31"/>
      <c r="CD420" s="31"/>
      <c r="CE420" s="31"/>
      <c r="CF420" s="31"/>
    </row>
    <row r="421" customFormat="false" ht="15.75" hidden="false" customHeight="true" outlineLevel="0" collapsed="false">
      <c r="A421" s="31" t="s">
        <v>16335</v>
      </c>
      <c r="B421" s="31" t="s">
        <v>25409</v>
      </c>
      <c r="C421" s="31" t="s">
        <v>25410</v>
      </c>
      <c r="D421" s="34" t="s">
        <v>25411</v>
      </c>
      <c r="E421" s="31" t="n">
        <v>2020</v>
      </c>
      <c r="F421" s="33" t="s">
        <v>25412</v>
      </c>
      <c r="G421" s="33" t="s">
        <v>290</v>
      </c>
      <c r="H421" s="32" t="s">
        <v>25413</v>
      </c>
      <c r="I421" s="34"/>
      <c r="J421" s="34"/>
      <c r="K421" s="32" t="s">
        <v>16409</v>
      </c>
      <c r="L421" s="34"/>
      <c r="M421" s="34"/>
      <c r="N421" s="34"/>
      <c r="O421" s="34"/>
      <c r="P421" s="34" t="n">
        <v>37</v>
      </c>
      <c r="Q421" s="31" t="n">
        <v>39</v>
      </c>
      <c r="R421" s="31" t="s">
        <v>61</v>
      </c>
      <c r="S421" s="31" t="s">
        <v>62</v>
      </c>
      <c r="T421" s="31" t="s">
        <v>25414</v>
      </c>
      <c r="U421" s="31" t="n">
        <v>16</v>
      </c>
      <c r="V421" s="31" t="s">
        <v>16845</v>
      </c>
      <c r="W421" s="31" t="n">
        <v>2</v>
      </c>
      <c r="X421" s="31"/>
      <c r="Y421" s="31" t="s">
        <v>25415</v>
      </c>
      <c r="Z421" s="31" t="s">
        <v>25416</v>
      </c>
      <c r="AA421" s="31" t="s">
        <v>25417</v>
      </c>
      <c r="AB421" s="31" t="s">
        <v>25418</v>
      </c>
      <c r="AC421" s="31" t="s">
        <v>21072</v>
      </c>
      <c r="AD421" s="31" t="s">
        <v>25419</v>
      </c>
      <c r="AE421" s="31" t="s">
        <v>25420</v>
      </c>
      <c r="AF421" s="31" t="s">
        <v>25421</v>
      </c>
      <c r="AG421" s="31" t="s">
        <v>25422</v>
      </c>
      <c r="AH421" s="31" t="s">
        <v>25423</v>
      </c>
      <c r="AI421" s="31" t="n">
        <v>68</v>
      </c>
      <c r="AJ421" s="31" t="n">
        <v>0</v>
      </c>
      <c r="AK421" s="31" t="n">
        <v>18</v>
      </c>
      <c r="AL421" s="31" t="s">
        <v>16855</v>
      </c>
      <c r="AM421" s="31" t="s">
        <v>16856</v>
      </c>
      <c r="AN421" s="31" t="s">
        <v>25424</v>
      </c>
      <c r="AO421" s="31" t="s">
        <v>25425</v>
      </c>
      <c r="AP421" s="31" t="s">
        <v>25426</v>
      </c>
      <c r="AQ421" s="31" t="s">
        <v>511</v>
      </c>
      <c r="AR421" s="31" t="s">
        <v>16970</v>
      </c>
      <c r="AS421" s="31"/>
      <c r="AT421" s="31"/>
      <c r="AU421" s="31" t="s">
        <v>25427</v>
      </c>
      <c r="AV421" s="31" t="s">
        <v>25428</v>
      </c>
      <c r="AW421" s="35" t="str">
        <f aca="false">HYPERLINK("http://dx.doi.org/10.1371/journal.pcbi.1007025","http://dx.doi.org/10.1371/journal.pcbi.1007025")</f>
        <v>http://dx.doi.org/10.1371/journal.pcbi.1007025</v>
      </c>
      <c r="AX421" s="31"/>
      <c r="AY421" s="31" t="n">
        <v>21</v>
      </c>
      <c r="AZ421" s="31" t="s">
        <v>25429</v>
      </c>
      <c r="BA421" s="31" t="s">
        <v>16366</v>
      </c>
      <c r="BB421" s="31" t="s">
        <v>25430</v>
      </c>
      <c r="BC421" s="31" t="s">
        <v>25431</v>
      </c>
      <c r="BD421" s="31" t="n">
        <v>32069285</v>
      </c>
      <c r="BE421" s="31" t="s">
        <v>16832</v>
      </c>
      <c r="BF421" s="31" t="s">
        <v>16369</v>
      </c>
      <c r="BG421" s="31" t="s">
        <v>25432</v>
      </c>
      <c r="BH421" s="31" t="str">
        <f aca="false">HYPERLINK("https%3A%2F%2Fwww.webofscience.com%2Fwos%2Fwoscc%2Ffull-record%2FWOS:000526725200035","View Full Record in Web of Science")</f>
        <v>View Full Record in Web of Science</v>
      </c>
      <c r="BI421" s="31"/>
      <c r="BJ421" s="31"/>
      <c r="BK421" s="31"/>
      <c r="BL421" s="31"/>
      <c r="BM421" s="31"/>
      <c r="BN421" s="31"/>
      <c r="BO421" s="31"/>
      <c r="BP421" s="31"/>
      <c r="BQ421" s="31"/>
      <c r="BR421" s="31"/>
      <c r="BS421" s="31"/>
      <c r="BT421" s="31"/>
      <c r="BU421" s="31"/>
      <c r="BV421" s="31"/>
      <c r="BW421" s="31"/>
      <c r="BX421" s="31"/>
      <c r="BY421" s="31"/>
      <c r="BZ421" s="31"/>
      <c r="CA421" s="31"/>
      <c r="CB421" s="31"/>
      <c r="CC421" s="31"/>
      <c r="CD421" s="31"/>
      <c r="CE421" s="31"/>
      <c r="CF421" s="31"/>
    </row>
    <row r="422" customFormat="false" ht="15.75" hidden="false" customHeight="true" outlineLevel="0" collapsed="false">
      <c r="A422" s="31" t="s">
        <v>16335</v>
      </c>
      <c r="B422" s="31" t="s">
        <v>25433</v>
      </c>
      <c r="C422" s="31" t="s">
        <v>25434</v>
      </c>
      <c r="D422" s="34" t="s">
        <v>25435</v>
      </c>
      <c r="E422" s="31" t="n">
        <v>2020</v>
      </c>
      <c r="F422" s="33" t="s">
        <v>25436</v>
      </c>
      <c r="G422" s="33" t="s">
        <v>290</v>
      </c>
      <c r="H422" s="32" t="s">
        <v>3992</v>
      </c>
      <c r="I422" s="34"/>
      <c r="J422" s="34"/>
      <c r="K422" s="32" t="s">
        <v>25198</v>
      </c>
      <c r="L422" s="32" t="s">
        <v>3754</v>
      </c>
      <c r="M422" s="32" t="s">
        <v>25437</v>
      </c>
      <c r="N422" s="34"/>
      <c r="O422" s="34"/>
      <c r="P422" s="34" t="n">
        <v>36</v>
      </c>
      <c r="Q422" s="31" t="n">
        <v>39</v>
      </c>
      <c r="R422" s="31" t="s">
        <v>61</v>
      </c>
      <c r="S422" s="31" t="s">
        <v>62</v>
      </c>
      <c r="T422" s="31" t="s">
        <v>19669</v>
      </c>
      <c r="U422" s="31" t="n">
        <v>10</v>
      </c>
      <c r="V422" s="31" t="s">
        <v>16928</v>
      </c>
      <c r="W422" s="31"/>
      <c r="X422" s="31" t="s">
        <v>25438</v>
      </c>
      <c r="Y422" s="31" t="s">
        <v>25439</v>
      </c>
      <c r="Z422" s="31" t="s">
        <v>25440</v>
      </c>
      <c r="AA422" s="31" t="s">
        <v>25441</v>
      </c>
      <c r="AB422" s="31" t="s">
        <v>25442</v>
      </c>
      <c r="AC422" s="31" t="s">
        <v>25443</v>
      </c>
      <c r="AD422" s="31" t="s">
        <v>25444</v>
      </c>
      <c r="AE422" s="31" t="s">
        <v>25445</v>
      </c>
      <c r="AF422" s="31" t="s">
        <v>25446</v>
      </c>
      <c r="AG422" s="31" t="s">
        <v>25446</v>
      </c>
      <c r="AH422" s="31" t="s">
        <v>25447</v>
      </c>
      <c r="AI422" s="31" t="n">
        <v>66</v>
      </c>
      <c r="AJ422" s="31" t="n">
        <v>1</v>
      </c>
      <c r="AK422" s="31" t="n">
        <v>29</v>
      </c>
      <c r="AL422" s="31" t="s">
        <v>16938</v>
      </c>
      <c r="AM422" s="31" t="s">
        <v>16939</v>
      </c>
      <c r="AN422" s="31"/>
      <c r="AO422" s="31" t="s">
        <v>19681</v>
      </c>
      <c r="AP422" s="31" t="s">
        <v>19682</v>
      </c>
      <c r="AQ422" s="31" t="s">
        <v>4584</v>
      </c>
      <c r="AR422" s="31" t="s">
        <v>24912</v>
      </c>
      <c r="AS422" s="31"/>
      <c r="AT422" s="31"/>
      <c r="AU422" s="31" t="n">
        <v>1526</v>
      </c>
      <c r="AV422" s="31" t="s">
        <v>25448</v>
      </c>
      <c r="AW422" s="35" t="str">
        <f aca="false">HYPERLINK("http://dx.doi.org/10.3389/fphar.2019.01526","http://dx.doi.org/10.3389/fphar.2019.01526")</f>
        <v>http://dx.doi.org/10.3389/fphar.2019.01526</v>
      </c>
      <c r="AX422" s="31"/>
      <c r="AY422" s="31" t="n">
        <v>13</v>
      </c>
      <c r="AZ422" s="31" t="s">
        <v>18125</v>
      </c>
      <c r="BA422" s="31" t="s">
        <v>16366</v>
      </c>
      <c r="BB422" s="31" t="s">
        <v>18125</v>
      </c>
      <c r="BC422" s="31" t="s">
        <v>25449</v>
      </c>
      <c r="BD422" s="31" t="n">
        <v>32009951</v>
      </c>
      <c r="BE422" s="31" t="s">
        <v>17143</v>
      </c>
      <c r="BF422" s="31" t="s">
        <v>16369</v>
      </c>
      <c r="BG422" s="31" t="s">
        <v>25450</v>
      </c>
      <c r="BH422" s="31" t="str">
        <f aca="false">HYPERLINK("https%3A%2F%2Fwww.webofscience.com%2Fwos%2Fwoscc%2Ffull-record%2FWOS:000509951000001","View Full Record in Web of Science")</f>
        <v>View Full Record in Web of Science</v>
      </c>
      <c r="BI422" s="31"/>
      <c r="BJ422" s="31"/>
      <c r="BK422" s="31"/>
      <c r="BL422" s="31"/>
      <c r="BM422" s="31"/>
      <c r="BN422" s="31"/>
      <c r="BO422" s="31"/>
      <c r="BP422" s="31"/>
      <c r="BQ422" s="31"/>
      <c r="BR422" s="31"/>
      <c r="BS422" s="31"/>
      <c r="BT422" s="31"/>
      <c r="BU422" s="31"/>
      <c r="BV422" s="31"/>
      <c r="BW422" s="31"/>
      <c r="BX422" s="31"/>
      <c r="BY422" s="31"/>
      <c r="BZ422" s="31"/>
      <c r="CA422" s="31"/>
      <c r="CB422" s="31"/>
      <c r="CC422" s="31"/>
      <c r="CD422" s="31"/>
      <c r="CE422" s="31"/>
      <c r="CF422" s="31"/>
    </row>
    <row r="423" customFormat="false" ht="15.75" hidden="false" customHeight="true" outlineLevel="0" collapsed="false">
      <c r="A423" s="31" t="s">
        <v>16335</v>
      </c>
      <c r="B423" s="31" t="s">
        <v>25451</v>
      </c>
      <c r="C423" s="31" t="s">
        <v>25452</v>
      </c>
      <c r="D423" s="34" t="s">
        <v>25453</v>
      </c>
      <c r="E423" s="31" t="n">
        <v>2020</v>
      </c>
      <c r="F423" s="33" t="s">
        <v>25454</v>
      </c>
      <c r="G423" s="33" t="s">
        <v>1230</v>
      </c>
      <c r="H423" s="32" t="s">
        <v>25455</v>
      </c>
      <c r="I423" s="34"/>
      <c r="J423" s="32" t="s">
        <v>25456</v>
      </c>
      <c r="K423" s="32" t="s">
        <v>16409</v>
      </c>
      <c r="L423" s="32" t="s">
        <v>3754</v>
      </c>
      <c r="M423" s="32" t="s">
        <v>25457</v>
      </c>
      <c r="N423" s="32" t="s">
        <v>25458</v>
      </c>
      <c r="O423" s="34"/>
      <c r="P423" s="34" t="n">
        <v>23</v>
      </c>
      <c r="Q423" s="31" t="n">
        <v>25</v>
      </c>
      <c r="R423" s="31" t="s">
        <v>61</v>
      </c>
      <c r="S423" s="31" t="s">
        <v>62</v>
      </c>
      <c r="T423" s="31" t="s">
        <v>16844</v>
      </c>
      <c r="U423" s="31" t="n">
        <v>14</v>
      </c>
      <c r="V423" s="31" t="s">
        <v>16845</v>
      </c>
      <c r="W423" s="31" t="n">
        <v>12</v>
      </c>
      <c r="X423" s="31"/>
      <c r="Y423" s="31" t="s">
        <v>25459</v>
      </c>
      <c r="Z423" s="31" t="s">
        <v>25460</v>
      </c>
      <c r="AA423" s="31" t="s">
        <v>25461</v>
      </c>
      <c r="AB423" s="31" t="s">
        <v>25462</v>
      </c>
      <c r="AC423" s="31" t="s">
        <v>25463</v>
      </c>
      <c r="AD423" s="31" t="s">
        <v>25464</v>
      </c>
      <c r="AE423" s="31" t="s">
        <v>25465</v>
      </c>
      <c r="AF423" s="31" t="s">
        <v>25466</v>
      </c>
      <c r="AG423" s="31" t="s">
        <v>25467</v>
      </c>
      <c r="AH423" s="31" t="s">
        <v>25468</v>
      </c>
      <c r="AI423" s="31" t="n">
        <v>53</v>
      </c>
      <c r="AJ423" s="31" t="n">
        <v>1</v>
      </c>
      <c r="AK423" s="31" t="n">
        <v>14</v>
      </c>
      <c r="AL423" s="31" t="s">
        <v>16855</v>
      </c>
      <c r="AM423" s="31" t="s">
        <v>16856</v>
      </c>
      <c r="AN423" s="31" t="s">
        <v>16857</v>
      </c>
      <c r="AO423" s="31"/>
      <c r="AP423" s="31" t="s">
        <v>16858</v>
      </c>
      <c r="AQ423" s="31" t="s">
        <v>16859</v>
      </c>
      <c r="AR423" s="31" t="s">
        <v>16649</v>
      </c>
      <c r="AS423" s="31"/>
      <c r="AT423" s="31"/>
      <c r="AU423" s="31" t="s">
        <v>25469</v>
      </c>
      <c r="AV423" s="31" t="s">
        <v>25470</v>
      </c>
      <c r="AW423" s="35" t="str">
        <f aca="false">HYPERLINK("http://dx.doi.org/10.1371/journal.pntd.0008904","http://dx.doi.org/10.1371/journal.pntd.0008904")</f>
        <v>http://dx.doi.org/10.1371/journal.pntd.0008904</v>
      </c>
      <c r="AX423" s="31"/>
      <c r="AY423" s="31" t="n">
        <v>21</v>
      </c>
      <c r="AZ423" s="31" t="s">
        <v>16862</v>
      </c>
      <c r="BA423" s="31" t="s">
        <v>16366</v>
      </c>
      <c r="BB423" s="31" t="s">
        <v>16862</v>
      </c>
      <c r="BC423" s="31" t="s">
        <v>25471</v>
      </c>
      <c r="BD423" s="31" t="n">
        <v>33332415</v>
      </c>
      <c r="BE423" s="31" t="s">
        <v>19056</v>
      </c>
      <c r="BF423" s="31" t="s">
        <v>16369</v>
      </c>
      <c r="BG423" s="31" t="s">
        <v>25472</v>
      </c>
      <c r="BH423" s="31" t="str">
        <f aca="false">HYPERLINK("https%3A%2F%2Fwww.webofscience.com%2Fwos%2Fwoscc%2Ffull-record%2FWOS:000601174600002","View Full Record in Web of Science")</f>
        <v>View Full Record in Web of Science</v>
      </c>
      <c r="BI423" s="31"/>
      <c r="BJ423" s="31"/>
      <c r="BK423" s="31"/>
      <c r="BL423" s="31"/>
      <c r="BM423" s="31"/>
      <c r="BN423" s="31"/>
      <c r="BO423" s="31"/>
      <c r="BP423" s="31"/>
      <c r="BQ423" s="31"/>
      <c r="BR423" s="31"/>
      <c r="BS423" s="31"/>
      <c r="BT423" s="31"/>
      <c r="BU423" s="31"/>
      <c r="BV423" s="31"/>
      <c r="BW423" s="31"/>
      <c r="BX423" s="31"/>
      <c r="BY423" s="31"/>
      <c r="BZ423" s="31"/>
      <c r="CA423" s="31"/>
      <c r="CB423" s="31"/>
      <c r="CC423" s="31"/>
      <c r="CD423" s="31"/>
      <c r="CE423" s="31"/>
      <c r="CF423" s="31"/>
    </row>
    <row r="424" customFormat="false" ht="15.75" hidden="false" customHeight="true" outlineLevel="0" collapsed="false">
      <c r="A424" s="31" t="s">
        <v>16335</v>
      </c>
      <c r="B424" s="31" t="s">
        <v>25473</v>
      </c>
      <c r="C424" s="31" t="s">
        <v>25474</v>
      </c>
      <c r="D424" s="34" t="s">
        <v>25475</v>
      </c>
      <c r="E424" s="31" t="n">
        <v>2020</v>
      </c>
      <c r="F424" s="33" t="s">
        <v>25476</v>
      </c>
      <c r="G424" s="33" t="s">
        <v>1230</v>
      </c>
      <c r="H424" s="32" t="s">
        <v>17036</v>
      </c>
      <c r="I424" s="32" t="s">
        <v>17036</v>
      </c>
      <c r="J424" s="34"/>
      <c r="K424" s="32" t="s">
        <v>25477</v>
      </c>
      <c r="L424" s="34"/>
      <c r="M424" s="34"/>
      <c r="N424" s="34"/>
      <c r="O424" s="34"/>
      <c r="P424" s="34" t="n">
        <v>11</v>
      </c>
      <c r="Q424" s="31" t="n">
        <v>13</v>
      </c>
      <c r="R424" s="31" t="s">
        <v>61</v>
      </c>
      <c r="S424" s="31" t="s">
        <v>62</v>
      </c>
      <c r="T424" s="31" t="s">
        <v>16844</v>
      </c>
      <c r="U424" s="31" t="n">
        <v>14</v>
      </c>
      <c r="V424" s="31" t="s">
        <v>16845</v>
      </c>
      <c r="W424" s="31" t="n">
        <v>12</v>
      </c>
      <c r="X424" s="31"/>
      <c r="Y424" s="31" t="s">
        <v>25478</v>
      </c>
      <c r="Z424" s="31" t="s">
        <v>25479</v>
      </c>
      <c r="AA424" s="31" t="s">
        <v>25480</v>
      </c>
      <c r="AB424" s="31" t="s">
        <v>25481</v>
      </c>
      <c r="AC424" s="31" t="s">
        <v>25482</v>
      </c>
      <c r="AD424" s="31" t="s">
        <v>25483</v>
      </c>
      <c r="AE424" s="31" t="s">
        <v>25484</v>
      </c>
      <c r="AF424" s="31" t="s">
        <v>25485</v>
      </c>
      <c r="AG424" s="31" t="s">
        <v>25486</v>
      </c>
      <c r="AH424" s="31" t="s">
        <v>25487</v>
      </c>
      <c r="AI424" s="31" t="n">
        <v>44</v>
      </c>
      <c r="AJ424" s="31" t="n">
        <v>3</v>
      </c>
      <c r="AK424" s="31" t="n">
        <v>24</v>
      </c>
      <c r="AL424" s="31" t="s">
        <v>16855</v>
      </c>
      <c r="AM424" s="31" t="s">
        <v>16856</v>
      </c>
      <c r="AN424" s="31" t="s">
        <v>16857</v>
      </c>
      <c r="AO424" s="31"/>
      <c r="AP424" s="31" t="s">
        <v>16858</v>
      </c>
      <c r="AQ424" s="31" t="s">
        <v>16859</v>
      </c>
      <c r="AR424" s="31" t="s">
        <v>16649</v>
      </c>
      <c r="AS424" s="31"/>
      <c r="AT424" s="31"/>
      <c r="AU424" s="31" t="s">
        <v>25488</v>
      </c>
      <c r="AV424" s="31" t="s">
        <v>25489</v>
      </c>
      <c r="AW424" s="35" t="str">
        <f aca="false">HYPERLINK("http://dx.doi.org/10.1371/journal.pntd.0008924","http://dx.doi.org/10.1371/journal.pntd.0008924")</f>
        <v>http://dx.doi.org/10.1371/journal.pntd.0008924</v>
      </c>
      <c r="AX424" s="31"/>
      <c r="AY424" s="31" t="n">
        <v>22</v>
      </c>
      <c r="AZ424" s="31" t="s">
        <v>16862</v>
      </c>
      <c r="BA424" s="31" t="s">
        <v>16366</v>
      </c>
      <c r="BB424" s="31" t="s">
        <v>16862</v>
      </c>
      <c r="BC424" s="31" t="s">
        <v>25490</v>
      </c>
      <c r="BD424" s="31" t="n">
        <v>33347463</v>
      </c>
      <c r="BE424" s="31" t="s">
        <v>17143</v>
      </c>
      <c r="BF424" s="31" t="s">
        <v>16369</v>
      </c>
      <c r="BG424" s="31" t="s">
        <v>25491</v>
      </c>
      <c r="BH424" s="31" t="str">
        <f aca="false">HYPERLINK("https%3A%2F%2Fwww.webofscience.com%2Fwos%2Fwoscc%2Ffull-record%2FWOS:000602974200005","View Full Record in Web of Science")</f>
        <v>View Full Record in Web of Science</v>
      </c>
      <c r="BI424" s="31"/>
      <c r="BJ424" s="31"/>
      <c r="BK424" s="31"/>
      <c r="BL424" s="31"/>
      <c r="BM424" s="31"/>
      <c r="BN424" s="31"/>
      <c r="BO424" s="31"/>
      <c r="BP424" s="31"/>
      <c r="BQ424" s="31"/>
      <c r="BR424" s="31"/>
      <c r="BS424" s="31"/>
      <c r="BT424" s="31"/>
      <c r="BU424" s="31"/>
      <c r="BV424" s="31"/>
      <c r="BW424" s="31"/>
      <c r="BX424" s="31"/>
      <c r="BY424" s="31"/>
      <c r="BZ424" s="31"/>
      <c r="CA424" s="31"/>
      <c r="CB424" s="31"/>
      <c r="CC424" s="31"/>
      <c r="CD424" s="31"/>
      <c r="CE424" s="31"/>
      <c r="CF424" s="31"/>
    </row>
    <row r="425" customFormat="false" ht="15.75" hidden="false" customHeight="true" outlineLevel="0" collapsed="false">
      <c r="A425" s="31" t="s">
        <v>16335</v>
      </c>
      <c r="B425" s="31" t="s">
        <v>25492</v>
      </c>
      <c r="C425" s="31" t="s">
        <v>25493</v>
      </c>
      <c r="D425" s="34" t="s">
        <v>25494</v>
      </c>
      <c r="E425" s="31" t="n">
        <v>2020</v>
      </c>
      <c r="F425" s="33" t="s">
        <v>25495</v>
      </c>
      <c r="G425" s="33" t="s">
        <v>1230</v>
      </c>
      <c r="H425" s="32" t="s">
        <v>25496</v>
      </c>
      <c r="I425" s="32" t="s">
        <v>4101</v>
      </c>
      <c r="J425" s="34"/>
      <c r="K425" s="32" t="s">
        <v>22363</v>
      </c>
      <c r="L425" s="34"/>
      <c r="M425" s="32" t="s">
        <v>25497</v>
      </c>
      <c r="N425" s="34"/>
      <c r="O425" s="34"/>
      <c r="P425" s="34" t="n">
        <v>7</v>
      </c>
      <c r="Q425" s="31" t="n">
        <v>8</v>
      </c>
      <c r="R425" s="31" t="s">
        <v>61</v>
      </c>
      <c r="S425" s="31" t="s">
        <v>62</v>
      </c>
      <c r="T425" s="31" t="s">
        <v>25498</v>
      </c>
      <c r="U425" s="31" t="n">
        <v>31</v>
      </c>
      <c r="V425" s="31" t="s">
        <v>16475</v>
      </c>
      <c r="W425" s="31" t="n">
        <v>7</v>
      </c>
      <c r="X425" s="31" t="s">
        <v>25499</v>
      </c>
      <c r="Y425" s="31" t="s">
        <v>25500</v>
      </c>
      <c r="Z425" s="31" t="s">
        <v>25501</v>
      </c>
      <c r="AA425" s="31" t="s">
        <v>25502</v>
      </c>
      <c r="AB425" s="31" t="s">
        <v>25503</v>
      </c>
      <c r="AC425" s="31" t="s">
        <v>25504</v>
      </c>
      <c r="AD425" s="31" t="s">
        <v>25505</v>
      </c>
      <c r="AE425" s="31" t="s">
        <v>25506</v>
      </c>
      <c r="AF425" s="31" t="s">
        <v>25507</v>
      </c>
      <c r="AG425" s="31" t="s">
        <v>25508</v>
      </c>
      <c r="AH425" s="31" t="s">
        <v>25509</v>
      </c>
      <c r="AI425" s="31" t="n">
        <v>58</v>
      </c>
      <c r="AJ425" s="31" t="n">
        <v>0</v>
      </c>
      <c r="AK425" s="31" t="n">
        <v>28</v>
      </c>
      <c r="AL425" s="31" t="s">
        <v>16485</v>
      </c>
      <c r="AM425" s="31" t="s">
        <v>16486</v>
      </c>
      <c r="AN425" s="31" t="s">
        <v>25510</v>
      </c>
      <c r="AO425" s="31" t="s">
        <v>25511</v>
      </c>
      <c r="AP425" s="31" t="s">
        <v>25498</v>
      </c>
      <c r="AQ425" s="31" t="s">
        <v>25512</v>
      </c>
      <c r="AR425" s="31" t="s">
        <v>17139</v>
      </c>
      <c r="AS425" s="31"/>
      <c r="AT425" s="31"/>
      <c r="AU425" s="31"/>
      <c r="AV425" s="31" t="s">
        <v>25513</v>
      </c>
      <c r="AW425" s="35" t="str">
        <f aca="false">HYPERLINK("http://dx.doi.org/10.1002/env.2629","http://dx.doi.org/10.1002/env.2629")</f>
        <v>http://dx.doi.org/10.1002/env.2629</v>
      </c>
      <c r="AX425" s="31" t="s">
        <v>25191</v>
      </c>
      <c r="AY425" s="31" t="n">
        <v>13</v>
      </c>
      <c r="AZ425" s="31" t="s">
        <v>25514</v>
      </c>
      <c r="BA425" s="31" t="s">
        <v>16366</v>
      </c>
      <c r="BB425" s="31" t="s">
        <v>25515</v>
      </c>
      <c r="BC425" s="31" t="s">
        <v>25516</v>
      </c>
      <c r="BD425" s="31"/>
      <c r="BE425" s="31" t="s">
        <v>17409</v>
      </c>
      <c r="BF425" s="31" t="s">
        <v>16369</v>
      </c>
      <c r="BG425" s="31" t="s">
        <v>25517</v>
      </c>
      <c r="BH425" s="31" t="str">
        <f aca="false">HYPERLINK("https%3A%2F%2Fwww.webofscience.com%2Fwos%2Fwoscc%2Ffull-record%2FWOS:000530086100001","View Full Record in Web of Science")</f>
        <v>View Full Record in Web of Science</v>
      </c>
      <c r="BI425" s="31"/>
      <c r="BJ425" s="31"/>
      <c r="BK425" s="31"/>
      <c r="BL425" s="31"/>
      <c r="BM425" s="31"/>
      <c r="BN425" s="31"/>
      <c r="BO425" s="31"/>
      <c r="BP425" s="31"/>
      <c r="BQ425" s="31"/>
      <c r="BR425" s="31"/>
      <c r="BS425" s="31"/>
      <c r="BT425" s="31"/>
      <c r="BU425" s="31"/>
      <c r="BV425" s="31"/>
      <c r="BW425" s="31"/>
      <c r="BX425" s="31"/>
      <c r="BY425" s="31"/>
      <c r="BZ425" s="31"/>
      <c r="CA425" s="31"/>
      <c r="CB425" s="31"/>
      <c r="CC425" s="31"/>
      <c r="CD425" s="31"/>
      <c r="CE425" s="31"/>
      <c r="CF425" s="31"/>
    </row>
    <row r="426" customFormat="false" ht="15.75" hidden="false" customHeight="true" outlineLevel="0" collapsed="false">
      <c r="A426" s="31" t="s">
        <v>16335</v>
      </c>
      <c r="B426" s="31" t="s">
        <v>25518</v>
      </c>
      <c r="C426" s="31" t="s">
        <v>25519</v>
      </c>
      <c r="D426" s="34" t="s">
        <v>25520</v>
      </c>
      <c r="E426" s="31" t="n">
        <v>2020</v>
      </c>
      <c r="F426" s="33" t="s">
        <v>25521</v>
      </c>
      <c r="G426" s="33" t="s">
        <v>393</v>
      </c>
      <c r="H426" s="32" t="s">
        <v>24763</v>
      </c>
      <c r="I426" s="34"/>
      <c r="J426" s="32" t="s">
        <v>20887</v>
      </c>
      <c r="K426" s="32" t="s">
        <v>16409</v>
      </c>
      <c r="L426" s="34"/>
      <c r="M426" s="32" t="s">
        <v>25522</v>
      </c>
      <c r="N426" s="34"/>
      <c r="O426" s="34"/>
      <c r="P426" s="34" t="n">
        <v>34</v>
      </c>
      <c r="Q426" s="31" t="n">
        <v>35</v>
      </c>
      <c r="R426" s="31" t="s">
        <v>61</v>
      </c>
      <c r="S426" s="31" t="s">
        <v>62</v>
      </c>
      <c r="T426" s="31" t="s">
        <v>25523</v>
      </c>
      <c r="U426" s="31" t="n">
        <v>95</v>
      </c>
      <c r="V426" s="31" t="s">
        <v>16475</v>
      </c>
      <c r="W426" s="31" t="n">
        <v>8</v>
      </c>
      <c r="X426" s="31"/>
      <c r="Y426" s="31" t="s">
        <v>25524</v>
      </c>
      <c r="Z426" s="31" t="s">
        <v>25525</v>
      </c>
      <c r="AA426" s="31" t="s">
        <v>25526</v>
      </c>
      <c r="AB426" s="31" t="s">
        <v>25527</v>
      </c>
      <c r="AC426" s="31" t="s">
        <v>25528</v>
      </c>
      <c r="AD426" s="31"/>
      <c r="AE426" s="31" t="s">
        <v>25529</v>
      </c>
      <c r="AF426" s="31" t="s">
        <v>25530</v>
      </c>
      <c r="AG426" s="31" t="s">
        <v>25531</v>
      </c>
      <c r="AH426" s="31" t="s">
        <v>25532</v>
      </c>
      <c r="AI426" s="31" t="n">
        <v>32</v>
      </c>
      <c r="AJ426" s="31" t="n">
        <v>0</v>
      </c>
      <c r="AK426" s="31" t="n">
        <v>10</v>
      </c>
      <c r="AL426" s="31" t="s">
        <v>16485</v>
      </c>
      <c r="AM426" s="31" t="s">
        <v>16486</v>
      </c>
      <c r="AN426" s="31" t="s">
        <v>25533</v>
      </c>
      <c r="AO426" s="31" t="s">
        <v>25534</v>
      </c>
      <c r="AP426" s="31" t="s">
        <v>25535</v>
      </c>
      <c r="AQ426" s="31" t="s">
        <v>25536</v>
      </c>
      <c r="AR426" s="31" t="s">
        <v>17837</v>
      </c>
      <c r="AS426" s="31" t="n">
        <v>883</v>
      </c>
      <c r="AT426" s="31" t="n">
        <v>891</v>
      </c>
      <c r="AU426" s="31"/>
      <c r="AV426" s="31" t="s">
        <v>25537</v>
      </c>
      <c r="AW426" s="35" t="str">
        <f aca="false">HYPERLINK("http://dx.doi.org/10.1002/ajh.25827","http://dx.doi.org/10.1002/ajh.25827")</f>
        <v>http://dx.doi.org/10.1002/ajh.25827</v>
      </c>
      <c r="AX426" s="31" t="s">
        <v>25538</v>
      </c>
      <c r="AY426" s="31" t="n">
        <v>9</v>
      </c>
      <c r="AZ426" s="31" t="s">
        <v>25539</v>
      </c>
      <c r="BA426" s="31" t="s">
        <v>16366</v>
      </c>
      <c r="BB426" s="31" t="s">
        <v>25539</v>
      </c>
      <c r="BC426" s="31" t="s">
        <v>25540</v>
      </c>
      <c r="BD426" s="31" t="n">
        <v>32282969</v>
      </c>
      <c r="BE426" s="31" t="s">
        <v>17842</v>
      </c>
      <c r="BF426" s="31" t="s">
        <v>16369</v>
      </c>
      <c r="BG426" s="31" t="s">
        <v>25541</v>
      </c>
      <c r="BH426" s="31" t="str">
        <f aca="false">HYPERLINK("https%3A%2F%2Fwww.webofscience.com%2Fwos%2Fwoscc%2Ffull-record%2FWOS:000529616700001","View Full Record in Web of Science")</f>
        <v>View Full Record in Web of Science</v>
      </c>
      <c r="BI426" s="31"/>
      <c r="BJ426" s="31"/>
      <c r="BK426" s="31"/>
      <c r="BL426" s="31"/>
      <c r="BM426" s="31"/>
      <c r="BN426" s="31"/>
      <c r="BO426" s="31"/>
      <c r="BP426" s="31"/>
      <c r="BQ426" s="31"/>
      <c r="BR426" s="31"/>
      <c r="BS426" s="31"/>
      <c r="BT426" s="31"/>
      <c r="BU426" s="31"/>
      <c r="BV426" s="31"/>
      <c r="BW426" s="31"/>
      <c r="BX426" s="31"/>
      <c r="BY426" s="31"/>
      <c r="BZ426" s="31"/>
      <c r="CA426" s="31"/>
      <c r="CB426" s="31"/>
      <c r="CC426" s="31"/>
      <c r="CD426" s="31"/>
      <c r="CE426" s="31"/>
      <c r="CF426" s="31"/>
    </row>
    <row r="427" customFormat="false" ht="15.75" hidden="false" customHeight="true" outlineLevel="0" collapsed="false">
      <c r="A427" s="31" t="s">
        <v>16335</v>
      </c>
      <c r="B427" s="31" t="s">
        <v>25542</v>
      </c>
      <c r="C427" s="31" t="s">
        <v>25543</v>
      </c>
      <c r="D427" s="34" t="s">
        <v>25544</v>
      </c>
      <c r="E427" s="31" t="n">
        <v>2020</v>
      </c>
      <c r="F427" s="33" t="s">
        <v>25545</v>
      </c>
      <c r="G427" s="33" t="s">
        <v>1230</v>
      </c>
      <c r="H427" s="32" t="s">
        <v>16721</v>
      </c>
      <c r="I427" s="32" t="s">
        <v>25546</v>
      </c>
      <c r="J427" s="34"/>
      <c r="K427" s="32" t="s">
        <v>23114</v>
      </c>
      <c r="L427" s="34"/>
      <c r="M427" s="32" t="s">
        <v>25547</v>
      </c>
      <c r="N427" s="34"/>
      <c r="O427" s="34"/>
      <c r="P427" s="34" t="n">
        <v>2</v>
      </c>
      <c r="Q427" s="31" t="n">
        <v>2</v>
      </c>
      <c r="R427" s="31" t="s">
        <v>61</v>
      </c>
      <c r="S427" s="31" t="s">
        <v>62</v>
      </c>
      <c r="T427" s="31" t="s">
        <v>25548</v>
      </c>
      <c r="U427" s="31" t="n">
        <v>112</v>
      </c>
      <c r="V427" s="31" t="s">
        <v>16475</v>
      </c>
      <c r="W427" s="31" t="n">
        <v>18</v>
      </c>
      <c r="X427" s="31" t="s">
        <v>25549</v>
      </c>
      <c r="Y427" s="31" t="s">
        <v>25550</v>
      </c>
      <c r="Z427" s="31" t="s">
        <v>25551</v>
      </c>
      <c r="AA427" s="31" t="s">
        <v>25552</v>
      </c>
      <c r="AB427" s="31" t="s">
        <v>25553</v>
      </c>
      <c r="AC427" s="31" t="s">
        <v>25554</v>
      </c>
      <c r="AD427" s="31"/>
      <c r="AE427" s="31" t="s">
        <v>25555</v>
      </c>
      <c r="AF427" s="31" t="s">
        <v>25556</v>
      </c>
      <c r="AG427" s="31" t="s">
        <v>25557</v>
      </c>
      <c r="AH427" s="31" t="s">
        <v>25556</v>
      </c>
      <c r="AI427" s="31" t="n">
        <v>15</v>
      </c>
      <c r="AJ427" s="31" t="n">
        <v>0</v>
      </c>
      <c r="AK427" s="31" t="n">
        <v>5</v>
      </c>
      <c r="AL427" s="31" t="s">
        <v>16485</v>
      </c>
      <c r="AM427" s="31" t="s">
        <v>16486</v>
      </c>
      <c r="AN427" s="31" t="s">
        <v>25558</v>
      </c>
      <c r="AO427" s="31"/>
      <c r="AP427" s="31" t="s">
        <v>25559</v>
      </c>
      <c r="AQ427" s="31" t="s">
        <v>25560</v>
      </c>
      <c r="AR427" s="31" t="s">
        <v>17139</v>
      </c>
      <c r="AS427" s="31" t="n">
        <v>1450</v>
      </c>
      <c r="AT427" s="31" t="n">
        <v>1460</v>
      </c>
      <c r="AU427" s="31"/>
      <c r="AV427" s="31" t="s">
        <v>25561</v>
      </c>
      <c r="AW427" s="35" t="str">
        <f aca="false">HYPERLINK("http://dx.doi.org/10.1002/bdr2.1767","http://dx.doi.org/10.1002/bdr2.1767")</f>
        <v>http://dx.doi.org/10.1002/bdr2.1767</v>
      </c>
      <c r="AX427" s="31" t="s">
        <v>25562</v>
      </c>
      <c r="AY427" s="31" t="n">
        <v>11</v>
      </c>
      <c r="AZ427" s="31" t="s">
        <v>25563</v>
      </c>
      <c r="BA427" s="31" t="s">
        <v>16366</v>
      </c>
      <c r="BB427" s="31" t="s">
        <v>25563</v>
      </c>
      <c r="BC427" s="31" t="s">
        <v>25564</v>
      </c>
      <c r="BD427" s="31" t="n">
        <v>32815300</v>
      </c>
      <c r="BE427" s="31" t="s">
        <v>17966</v>
      </c>
      <c r="BF427" s="31" t="s">
        <v>16369</v>
      </c>
      <c r="BG427" s="31" t="s">
        <v>25565</v>
      </c>
      <c r="BH427" s="31" t="str">
        <f aca="false">HYPERLINK("https%3A%2F%2Fwww.webofscience.com%2Fwos%2Fwoscc%2Ffull-record%2FWOS:000560702200001","View Full Record in Web of Science")</f>
        <v>View Full Record in Web of Science</v>
      </c>
      <c r="BI427" s="31"/>
      <c r="BJ427" s="31"/>
      <c r="BK427" s="31"/>
      <c r="BL427" s="31"/>
      <c r="BM427" s="31"/>
      <c r="BN427" s="31"/>
      <c r="BO427" s="31"/>
      <c r="BP427" s="31"/>
      <c r="BQ427" s="31"/>
      <c r="BR427" s="31"/>
      <c r="BS427" s="31"/>
      <c r="BT427" s="31"/>
      <c r="BU427" s="31"/>
      <c r="BV427" s="31"/>
      <c r="BW427" s="31"/>
      <c r="BX427" s="31"/>
      <c r="BY427" s="31"/>
      <c r="BZ427" s="31"/>
      <c r="CA427" s="31"/>
      <c r="CB427" s="31"/>
      <c r="CC427" s="31"/>
      <c r="CD427" s="31"/>
      <c r="CE427" s="31"/>
      <c r="CF427" s="31"/>
    </row>
    <row r="428" customFormat="false" ht="15.75" hidden="false" customHeight="true" outlineLevel="0" collapsed="false">
      <c r="A428" s="31" t="s">
        <v>16335</v>
      </c>
      <c r="B428" s="31" t="s">
        <v>25566</v>
      </c>
      <c r="C428" s="31" t="s">
        <v>25567</v>
      </c>
      <c r="D428" s="34" t="s">
        <v>25568</v>
      </c>
      <c r="E428" s="31" t="n">
        <v>2020</v>
      </c>
      <c r="F428" s="33" t="s">
        <v>25569</v>
      </c>
      <c r="G428" s="33" t="s">
        <v>134</v>
      </c>
      <c r="H428" s="32" t="s">
        <v>25570</v>
      </c>
      <c r="I428" s="32" t="s">
        <v>25571</v>
      </c>
      <c r="J428" s="34"/>
      <c r="K428" s="32" t="s">
        <v>17573</v>
      </c>
      <c r="L428" s="34"/>
      <c r="M428" s="34"/>
      <c r="N428" s="34"/>
      <c r="O428" s="34"/>
      <c r="P428" s="34" t="n">
        <v>6</v>
      </c>
      <c r="Q428" s="31" t="n">
        <v>6</v>
      </c>
      <c r="R428" s="31" t="s">
        <v>61</v>
      </c>
      <c r="S428" s="31" t="s">
        <v>62</v>
      </c>
      <c r="T428" s="31" t="s">
        <v>16413</v>
      </c>
      <c r="U428" s="31" t="n">
        <v>10</v>
      </c>
      <c r="V428" s="31" t="s">
        <v>16414</v>
      </c>
      <c r="W428" s="31" t="n">
        <v>1</v>
      </c>
      <c r="X428" s="31"/>
      <c r="Y428" s="31" t="s">
        <v>25572</v>
      </c>
      <c r="Z428" s="31" t="s">
        <v>25573</v>
      </c>
      <c r="AA428" s="31" t="s">
        <v>25574</v>
      </c>
      <c r="AB428" s="31" t="s">
        <v>25575</v>
      </c>
      <c r="AC428" s="31" t="s">
        <v>25576</v>
      </c>
      <c r="AD428" s="31" t="s">
        <v>25577</v>
      </c>
      <c r="AE428" s="31" t="s">
        <v>25578</v>
      </c>
      <c r="AF428" s="31" t="s">
        <v>25579</v>
      </c>
      <c r="AG428" s="31" t="s">
        <v>25580</v>
      </c>
      <c r="AH428" s="31" t="s">
        <v>25581</v>
      </c>
      <c r="AI428" s="31" t="n">
        <v>64</v>
      </c>
      <c r="AJ428" s="31" t="n">
        <v>0</v>
      </c>
      <c r="AK428" s="31" t="n">
        <v>0</v>
      </c>
      <c r="AL428" s="31" t="s">
        <v>16421</v>
      </c>
      <c r="AM428" s="31" t="s">
        <v>16422</v>
      </c>
      <c r="AN428" s="31" t="s">
        <v>16423</v>
      </c>
      <c r="AO428" s="31"/>
      <c r="AP428" s="31" t="s">
        <v>16424</v>
      </c>
      <c r="AQ428" s="31" t="s">
        <v>16425</v>
      </c>
      <c r="AR428" s="31" t="s">
        <v>25582</v>
      </c>
      <c r="AS428" s="31"/>
      <c r="AT428" s="31"/>
      <c r="AU428" s="31" t="n">
        <v>13296</v>
      </c>
      <c r="AV428" s="31" t="s">
        <v>25583</v>
      </c>
      <c r="AW428" s="35" t="str">
        <f aca="false">HYPERLINK("http://dx.doi.org/10.1038/s41598-020-69921-z","http://dx.doi.org/10.1038/s41598-020-69921-z")</f>
        <v>http://dx.doi.org/10.1038/s41598-020-69921-z</v>
      </c>
      <c r="AX428" s="31"/>
      <c r="AY428" s="31" t="n">
        <v>14</v>
      </c>
      <c r="AZ428" s="31" t="s">
        <v>16428</v>
      </c>
      <c r="BA428" s="31" t="s">
        <v>16366</v>
      </c>
      <c r="BB428" s="31" t="s">
        <v>16429</v>
      </c>
      <c r="BC428" s="31" t="s">
        <v>25584</v>
      </c>
      <c r="BD428" s="31" t="n">
        <v>32764546</v>
      </c>
      <c r="BE428" s="31" t="s">
        <v>17143</v>
      </c>
      <c r="BF428" s="31" t="s">
        <v>16369</v>
      </c>
      <c r="BG428" s="31" t="s">
        <v>25585</v>
      </c>
      <c r="BH428" s="31" t="str">
        <f aca="false">HYPERLINK("https%3A%2F%2Fwww.webofscience.com%2Fwos%2Fwoscc%2Ffull-record%2FWOS:000573235600078","View Full Record in Web of Science")</f>
        <v>View Full Record in Web of Science</v>
      </c>
      <c r="BI428" s="31"/>
      <c r="BJ428" s="31"/>
      <c r="BK428" s="31"/>
      <c r="BL428" s="31"/>
      <c r="BM428" s="31"/>
      <c r="BN428" s="31"/>
      <c r="BO428" s="31"/>
      <c r="BP428" s="31"/>
      <c r="BQ428" s="31"/>
      <c r="BR428" s="31"/>
      <c r="BS428" s="31"/>
      <c r="BT428" s="31"/>
      <c r="BU428" s="31"/>
      <c r="BV428" s="31"/>
      <c r="BW428" s="31"/>
      <c r="BX428" s="31"/>
      <c r="BY428" s="31"/>
      <c r="BZ428" s="31"/>
      <c r="CA428" s="31"/>
      <c r="CB428" s="31"/>
      <c r="CC428" s="31"/>
      <c r="CD428" s="31"/>
      <c r="CE428" s="31"/>
      <c r="CF428" s="31"/>
    </row>
    <row r="429" customFormat="false" ht="15.75" hidden="false" customHeight="true" outlineLevel="0" collapsed="false">
      <c r="A429" s="31" t="s">
        <v>16335</v>
      </c>
      <c r="B429" s="31" t="s">
        <v>25586</v>
      </c>
      <c r="C429" s="31" t="s">
        <v>25587</v>
      </c>
      <c r="D429" s="34" t="s">
        <v>25588</v>
      </c>
      <c r="E429" s="31" t="n">
        <v>2020</v>
      </c>
      <c r="F429" s="33" t="s">
        <v>25589</v>
      </c>
      <c r="G429" s="33" t="s">
        <v>134</v>
      </c>
      <c r="H429" s="32" t="s">
        <v>17035</v>
      </c>
      <c r="I429" s="32" t="s">
        <v>25590</v>
      </c>
      <c r="J429" s="32" t="s">
        <v>20887</v>
      </c>
      <c r="K429" s="32" t="s">
        <v>16409</v>
      </c>
      <c r="L429" s="34"/>
      <c r="M429" s="32" t="s">
        <v>16410</v>
      </c>
      <c r="N429" s="32" t="s">
        <v>25591</v>
      </c>
      <c r="O429" s="34"/>
      <c r="P429" s="34" t="n">
        <v>33</v>
      </c>
      <c r="Q429" s="31" t="n">
        <v>33</v>
      </c>
      <c r="R429" s="31" t="s">
        <v>61</v>
      </c>
      <c r="S429" s="31" t="s">
        <v>62</v>
      </c>
      <c r="T429" s="31" t="s">
        <v>25592</v>
      </c>
      <c r="U429" s="31" t="n">
        <v>2020</v>
      </c>
      <c r="V429" s="31" t="s">
        <v>22911</v>
      </c>
      <c r="W429" s="31"/>
      <c r="X429" s="31"/>
      <c r="Y429" s="31" t="s">
        <v>25593</v>
      </c>
      <c r="Z429" s="31" t="s">
        <v>25594</v>
      </c>
      <c r="AA429" s="31" t="s">
        <v>25595</v>
      </c>
      <c r="AB429" s="31" t="s">
        <v>25596</v>
      </c>
      <c r="AC429" s="31" t="s">
        <v>25597</v>
      </c>
      <c r="AD429" s="31" t="s">
        <v>25598</v>
      </c>
      <c r="AE429" s="31" t="s">
        <v>25599</v>
      </c>
      <c r="AF429" s="31" t="s">
        <v>25600</v>
      </c>
      <c r="AG429" s="31" t="s">
        <v>25601</v>
      </c>
      <c r="AH429" s="31" t="s">
        <v>25602</v>
      </c>
      <c r="AI429" s="31" t="n">
        <v>47</v>
      </c>
      <c r="AJ429" s="31" t="n">
        <v>3</v>
      </c>
      <c r="AK429" s="31" t="n">
        <v>8</v>
      </c>
      <c r="AL429" s="31" t="s">
        <v>16821</v>
      </c>
      <c r="AM429" s="31" t="s">
        <v>22918</v>
      </c>
      <c r="AN429" s="31" t="s">
        <v>25603</v>
      </c>
      <c r="AO429" s="31" t="s">
        <v>25604</v>
      </c>
      <c r="AP429" s="31" t="s">
        <v>25605</v>
      </c>
      <c r="AQ429" s="31" t="s">
        <v>25606</v>
      </c>
      <c r="AR429" s="31" t="s">
        <v>25607</v>
      </c>
      <c r="AS429" s="31"/>
      <c r="AT429" s="31"/>
      <c r="AU429" s="31" t="n">
        <v>8895429</v>
      </c>
      <c r="AV429" s="31" t="s">
        <v>25608</v>
      </c>
      <c r="AW429" s="35" t="str">
        <f aca="false">HYPERLINK("http://dx.doi.org/10.1155/2020/8895429","http://dx.doi.org/10.1155/2020/8895429")</f>
        <v>http://dx.doi.org/10.1155/2020/8895429</v>
      </c>
      <c r="AX429" s="31"/>
      <c r="AY429" s="31" t="n">
        <v>15</v>
      </c>
      <c r="AZ429" s="31" t="s">
        <v>16399</v>
      </c>
      <c r="BA429" s="31" t="s">
        <v>16366</v>
      </c>
      <c r="BB429" s="31" t="s">
        <v>16400</v>
      </c>
      <c r="BC429" s="31" t="s">
        <v>25609</v>
      </c>
      <c r="BD429" s="31"/>
      <c r="BE429" s="31" t="s">
        <v>16431</v>
      </c>
      <c r="BF429" s="31" t="s">
        <v>16369</v>
      </c>
      <c r="BG429" s="31" t="s">
        <v>25610</v>
      </c>
      <c r="BH429" s="31" t="str">
        <f aca="false">HYPERLINK("https%3A%2F%2Fwww.webofscience.com%2Fwos%2Fwoscc%2Ffull-record%2FWOS:000552380000001","View Full Record in Web of Science")</f>
        <v>View Full Record in Web of Science</v>
      </c>
      <c r="BI429" s="31"/>
      <c r="BJ429" s="31"/>
      <c r="BK429" s="31"/>
      <c r="BL429" s="31"/>
      <c r="BM429" s="31"/>
      <c r="BN429" s="31"/>
      <c r="BO429" s="31"/>
      <c r="BP429" s="31"/>
      <c r="BQ429" s="31"/>
      <c r="BR429" s="31"/>
      <c r="BS429" s="31"/>
      <c r="BT429" s="31"/>
      <c r="BU429" s="31"/>
      <c r="BV429" s="31"/>
      <c r="BW429" s="31"/>
      <c r="BX429" s="31"/>
      <c r="BY429" s="31"/>
      <c r="BZ429" s="31"/>
      <c r="CA429" s="31"/>
      <c r="CB429" s="31"/>
      <c r="CC429" s="31"/>
      <c r="CD429" s="31"/>
      <c r="CE429" s="31"/>
      <c r="CF429" s="31"/>
    </row>
    <row r="430" customFormat="false" ht="15.75" hidden="false" customHeight="true" outlineLevel="0" collapsed="false">
      <c r="A430" s="31" t="s">
        <v>16335</v>
      </c>
      <c r="B430" s="31" t="s">
        <v>25611</v>
      </c>
      <c r="C430" s="31" t="s">
        <v>25612</v>
      </c>
      <c r="D430" s="34" t="s">
        <v>25613</v>
      </c>
      <c r="E430" s="31" t="n">
        <v>2020</v>
      </c>
      <c r="F430" s="33" t="s">
        <v>25614</v>
      </c>
      <c r="G430" s="33" t="s">
        <v>134</v>
      </c>
      <c r="H430" s="32" t="s">
        <v>25615</v>
      </c>
      <c r="I430" s="32" t="s">
        <v>5040</v>
      </c>
      <c r="J430" s="34"/>
      <c r="K430" s="32" t="s">
        <v>16409</v>
      </c>
      <c r="L430" s="34"/>
      <c r="M430" s="32" t="s">
        <v>25616</v>
      </c>
      <c r="N430" s="34"/>
      <c r="O430" s="34"/>
      <c r="P430" s="34" t="n">
        <v>17</v>
      </c>
      <c r="Q430" s="31" t="n">
        <v>17</v>
      </c>
      <c r="R430" s="31" t="s">
        <v>61</v>
      </c>
      <c r="S430" s="31" t="s">
        <v>62</v>
      </c>
      <c r="T430" s="31" t="s">
        <v>18150</v>
      </c>
      <c r="U430" s="31" t="n">
        <v>18</v>
      </c>
      <c r="V430" s="31" t="s">
        <v>17599</v>
      </c>
      <c r="W430" s="31" t="n">
        <v>1</v>
      </c>
      <c r="X430" s="31" t="s">
        <v>25617</v>
      </c>
      <c r="Y430" s="31" t="s">
        <v>25618</v>
      </c>
      <c r="Z430" s="31" t="s">
        <v>25619</v>
      </c>
      <c r="AA430" s="31" t="s">
        <v>25620</v>
      </c>
      <c r="AB430" s="31" t="s">
        <v>25621</v>
      </c>
      <c r="AC430" s="31" t="s">
        <v>25622</v>
      </c>
      <c r="AD430" s="31" t="s">
        <v>25623</v>
      </c>
      <c r="AE430" s="31" t="s">
        <v>25624</v>
      </c>
      <c r="AF430" s="31" t="s">
        <v>25625</v>
      </c>
      <c r="AG430" s="31" t="s">
        <v>25626</v>
      </c>
      <c r="AH430" s="31" t="s">
        <v>25627</v>
      </c>
      <c r="AI430" s="31" t="n">
        <v>49</v>
      </c>
      <c r="AJ430" s="31" t="n">
        <v>0</v>
      </c>
      <c r="AK430" s="31" t="n">
        <v>10</v>
      </c>
      <c r="AL430" s="31" t="s">
        <v>16821</v>
      </c>
      <c r="AM430" s="31" t="s">
        <v>17609</v>
      </c>
      <c r="AN430" s="31" t="s">
        <v>18162</v>
      </c>
      <c r="AO430" s="31"/>
      <c r="AP430" s="31" t="s">
        <v>18163</v>
      </c>
      <c r="AQ430" s="31" t="s">
        <v>12775</v>
      </c>
      <c r="AR430" s="31" t="s">
        <v>25628</v>
      </c>
      <c r="AS430" s="31"/>
      <c r="AT430" s="31"/>
      <c r="AU430" s="31" t="n">
        <v>375</v>
      </c>
      <c r="AV430" s="31" t="s">
        <v>25629</v>
      </c>
      <c r="AW430" s="35" t="str">
        <f aca="false">HYPERLINK("http://dx.doi.org/10.1186/s12916-020-01823-3","http://dx.doi.org/10.1186/s12916-020-01823-3")</f>
        <v>http://dx.doi.org/10.1186/s12916-020-01823-3</v>
      </c>
      <c r="AX430" s="31"/>
      <c r="AY430" s="31" t="n">
        <v>16</v>
      </c>
      <c r="AZ430" s="31" t="s">
        <v>16829</v>
      </c>
      <c r="BA430" s="31" t="s">
        <v>16366</v>
      </c>
      <c r="BB430" s="31" t="s">
        <v>16830</v>
      </c>
      <c r="BC430" s="31" t="s">
        <v>25630</v>
      </c>
      <c r="BD430" s="31" t="n">
        <v>33250058</v>
      </c>
      <c r="BE430" s="31" t="s">
        <v>25631</v>
      </c>
      <c r="BF430" s="31" t="s">
        <v>16369</v>
      </c>
      <c r="BG430" s="31" t="s">
        <v>25632</v>
      </c>
      <c r="BH430" s="31" t="str">
        <f aca="false">HYPERLINK("https%3A%2F%2Fwww.webofscience.com%2Fwos%2Fwoscc%2Ffull-record%2FWOS:000596498900001","View Full Record in Web of Science")</f>
        <v>View Full Record in Web of Science</v>
      </c>
      <c r="BI430" s="31"/>
      <c r="BJ430" s="31"/>
      <c r="BK430" s="31"/>
      <c r="BL430" s="31"/>
      <c r="BM430" s="31"/>
      <c r="BN430" s="31"/>
      <c r="BO430" s="31"/>
      <c r="BP430" s="31"/>
      <c r="BQ430" s="31"/>
      <c r="BR430" s="31"/>
      <c r="BS430" s="31"/>
      <c r="BT430" s="31"/>
      <c r="BU430" s="31"/>
      <c r="BV430" s="31"/>
      <c r="BW430" s="31"/>
      <c r="BX430" s="31"/>
      <c r="BY430" s="31"/>
      <c r="BZ430" s="31"/>
      <c r="CA430" s="31"/>
      <c r="CB430" s="31"/>
      <c r="CC430" s="31"/>
      <c r="CD430" s="31"/>
      <c r="CE430" s="31"/>
      <c r="CF430" s="31"/>
    </row>
    <row r="431" customFormat="false" ht="15.75" hidden="false" customHeight="true" outlineLevel="0" collapsed="false">
      <c r="A431" s="31" t="s">
        <v>16335</v>
      </c>
      <c r="B431" s="31" t="s">
        <v>25633</v>
      </c>
      <c r="C431" s="31" t="s">
        <v>25634</v>
      </c>
      <c r="D431" s="34" t="s">
        <v>25635</v>
      </c>
      <c r="E431" s="31" t="n">
        <v>2020</v>
      </c>
      <c r="F431" s="33" t="s">
        <v>25636</v>
      </c>
      <c r="G431" s="33" t="s">
        <v>1230</v>
      </c>
      <c r="H431" s="32" t="s">
        <v>16751</v>
      </c>
      <c r="I431" s="34"/>
      <c r="J431" s="34"/>
      <c r="K431" s="32" t="s">
        <v>25637</v>
      </c>
      <c r="L431" s="34"/>
      <c r="M431" s="32" t="s">
        <v>25638</v>
      </c>
      <c r="N431" s="34"/>
      <c r="O431" s="34"/>
      <c r="P431" s="34" t="n">
        <v>37</v>
      </c>
      <c r="Q431" s="31" t="n">
        <v>38</v>
      </c>
      <c r="R431" s="31" t="s">
        <v>61</v>
      </c>
      <c r="S431" s="31" t="s">
        <v>62</v>
      </c>
      <c r="T431" s="31" t="s">
        <v>25639</v>
      </c>
      <c r="U431" s="31" t="n">
        <v>112</v>
      </c>
      <c r="V431" s="31" t="s">
        <v>16349</v>
      </c>
      <c r="W431" s="31"/>
      <c r="X431" s="31" t="s">
        <v>25640</v>
      </c>
      <c r="Y431" s="31" t="s">
        <v>25641</v>
      </c>
      <c r="Z431" s="31" t="s">
        <v>25642</v>
      </c>
      <c r="AA431" s="31" t="s">
        <v>25643</v>
      </c>
      <c r="AB431" s="31" t="s">
        <v>25644</v>
      </c>
      <c r="AC431" s="31" t="s">
        <v>25645</v>
      </c>
      <c r="AD431" s="31" t="s">
        <v>25646</v>
      </c>
      <c r="AE431" s="31"/>
      <c r="AF431" s="31" t="s">
        <v>25647</v>
      </c>
      <c r="AG431" s="31" t="s">
        <v>25648</v>
      </c>
      <c r="AH431" s="31" t="s">
        <v>25649</v>
      </c>
      <c r="AI431" s="31" t="n">
        <v>92</v>
      </c>
      <c r="AJ431" s="31" t="n">
        <v>1</v>
      </c>
      <c r="AK431" s="31" t="n">
        <v>57</v>
      </c>
      <c r="AL431" s="31" t="s">
        <v>16356</v>
      </c>
      <c r="AM431" s="31" t="s">
        <v>16357</v>
      </c>
      <c r="AN431" s="31" t="s">
        <v>25650</v>
      </c>
      <c r="AO431" s="31" t="s">
        <v>25651</v>
      </c>
      <c r="AP431" s="31" t="s">
        <v>25652</v>
      </c>
      <c r="AQ431" s="31" t="s">
        <v>25653</v>
      </c>
      <c r="AR431" s="31" t="s">
        <v>17139</v>
      </c>
      <c r="AS431" s="31" t="n">
        <v>641</v>
      </c>
      <c r="AT431" s="31" t="n">
        <v>657</v>
      </c>
      <c r="AU431" s="31"/>
      <c r="AV431" s="31" t="s">
        <v>25654</v>
      </c>
      <c r="AW431" s="35" t="str">
        <f aca="false">HYPERLINK("http://dx.doi.org/10.1016/j.future.2020.06.019","http://dx.doi.org/10.1016/j.future.2020.06.019")</f>
        <v>http://dx.doi.org/10.1016/j.future.2020.06.019</v>
      </c>
      <c r="AX431" s="31"/>
      <c r="AY431" s="31" t="n">
        <v>17</v>
      </c>
      <c r="AZ431" s="31" t="s">
        <v>17057</v>
      </c>
      <c r="BA431" s="31" t="s">
        <v>16584</v>
      </c>
      <c r="BB431" s="31" t="s">
        <v>16367</v>
      </c>
      <c r="BC431" s="31" t="s">
        <v>25655</v>
      </c>
      <c r="BD431" s="31" t="n">
        <v>32572291</v>
      </c>
      <c r="BE431" s="31" t="s">
        <v>18202</v>
      </c>
      <c r="BF431" s="31" t="s">
        <v>16369</v>
      </c>
      <c r="BG431" s="31" t="s">
        <v>25656</v>
      </c>
      <c r="BH431" s="31" t="str">
        <f aca="false">HYPERLINK("https%3A%2F%2Fwww.webofscience.com%2Fwos%2Fwoscc%2Ffull-record%2FWOS:000567825900012","View Full Record in Web of Science")</f>
        <v>View Full Record in Web of Science</v>
      </c>
      <c r="BI431" s="31"/>
      <c r="BJ431" s="31"/>
      <c r="BK431" s="31"/>
      <c r="BL431" s="31"/>
      <c r="BM431" s="31"/>
      <c r="BN431" s="31"/>
      <c r="BO431" s="31"/>
      <c r="BP431" s="31"/>
      <c r="BQ431" s="31"/>
      <c r="BR431" s="31"/>
      <c r="BS431" s="31"/>
      <c r="BT431" s="31"/>
      <c r="BU431" s="31"/>
      <c r="BV431" s="31"/>
      <c r="BW431" s="31"/>
      <c r="BX431" s="31"/>
      <c r="BY431" s="31"/>
      <c r="BZ431" s="31"/>
      <c r="CA431" s="31"/>
      <c r="CB431" s="31"/>
      <c r="CC431" s="31"/>
      <c r="CD431" s="31"/>
      <c r="CE431" s="31"/>
      <c r="CF431" s="31"/>
    </row>
    <row r="432" customFormat="false" ht="15.75" hidden="false" customHeight="true" outlineLevel="0" collapsed="false">
      <c r="A432" s="31" t="s">
        <v>16335</v>
      </c>
      <c r="B432" s="31" t="s">
        <v>25657</v>
      </c>
      <c r="C432" s="31" t="s">
        <v>25658</v>
      </c>
      <c r="D432" s="34" t="s">
        <v>25659</v>
      </c>
      <c r="E432" s="31" t="n">
        <v>2020</v>
      </c>
      <c r="F432" s="33" t="s">
        <v>25660</v>
      </c>
      <c r="G432" s="33" t="s">
        <v>393</v>
      </c>
      <c r="H432" s="32" t="s">
        <v>25661</v>
      </c>
      <c r="I432" s="34"/>
      <c r="J432" s="34"/>
      <c r="K432" s="34"/>
      <c r="L432" s="32" t="s">
        <v>25662</v>
      </c>
      <c r="M432" s="34"/>
      <c r="N432" s="34"/>
      <c r="O432" s="34"/>
      <c r="P432" s="34" t="n">
        <v>8</v>
      </c>
      <c r="Q432" s="31" t="n">
        <v>8</v>
      </c>
      <c r="R432" s="31" t="s">
        <v>61</v>
      </c>
      <c r="S432" s="31" t="s">
        <v>62</v>
      </c>
      <c r="T432" s="31" t="s">
        <v>25663</v>
      </c>
      <c r="U432" s="31" t="n">
        <v>2020</v>
      </c>
      <c r="V432" s="31" t="s">
        <v>17360</v>
      </c>
      <c r="W432" s="31"/>
      <c r="X432" s="31"/>
      <c r="Y432" s="31" t="s">
        <v>25664</v>
      </c>
      <c r="Z432" s="31" t="s">
        <v>25665</v>
      </c>
      <c r="AA432" s="31" t="s">
        <v>25666</v>
      </c>
      <c r="AB432" s="31" t="s">
        <v>25667</v>
      </c>
      <c r="AC432" s="31" t="s">
        <v>25668</v>
      </c>
      <c r="AD432" s="31" t="s">
        <v>25669</v>
      </c>
      <c r="AE432" s="31" t="s">
        <v>25670</v>
      </c>
      <c r="AF432" s="31" t="s">
        <v>25671</v>
      </c>
      <c r="AG432" s="31" t="s">
        <v>25672</v>
      </c>
      <c r="AH432" s="31" t="s">
        <v>25673</v>
      </c>
      <c r="AI432" s="31" t="n">
        <v>81</v>
      </c>
      <c r="AJ432" s="31" t="n">
        <v>2</v>
      </c>
      <c r="AK432" s="31" t="n">
        <v>16</v>
      </c>
      <c r="AL432" s="31" t="s">
        <v>16821</v>
      </c>
      <c r="AM432" s="31" t="s">
        <v>17371</v>
      </c>
      <c r="AN432" s="31" t="s">
        <v>25674</v>
      </c>
      <c r="AO432" s="31" t="s">
        <v>25675</v>
      </c>
      <c r="AP432" s="31" t="s">
        <v>25676</v>
      </c>
      <c r="AQ432" s="31" t="s">
        <v>25677</v>
      </c>
      <c r="AR432" s="31" t="s">
        <v>19826</v>
      </c>
      <c r="AS432" s="31"/>
      <c r="AT432" s="31"/>
      <c r="AU432" s="31" t="n">
        <v>7627290</v>
      </c>
      <c r="AV432" s="31" t="s">
        <v>25678</v>
      </c>
      <c r="AW432" s="35" t="str">
        <f aca="false">HYPERLINK("http://dx.doi.org/10.1155/2020/7627290","http://dx.doi.org/10.1155/2020/7627290")</f>
        <v>http://dx.doi.org/10.1155/2020/7627290</v>
      </c>
      <c r="AX432" s="31"/>
      <c r="AY432" s="31" t="n">
        <v>13</v>
      </c>
      <c r="AZ432" s="31" t="s">
        <v>25679</v>
      </c>
      <c r="BA432" s="31" t="s">
        <v>16366</v>
      </c>
      <c r="BB432" s="31" t="s">
        <v>16367</v>
      </c>
      <c r="BC432" s="31" t="s">
        <v>25680</v>
      </c>
      <c r="BD432" s="31"/>
      <c r="BE432" s="31" t="s">
        <v>16431</v>
      </c>
      <c r="BF432" s="31" t="s">
        <v>16369</v>
      </c>
      <c r="BG432" s="31" t="s">
        <v>25681</v>
      </c>
      <c r="BH432" s="31" t="str">
        <f aca="false">HYPERLINK("https%3A%2F%2Fwww.webofscience.com%2Fwos%2Fwoscc%2Ffull-record%2FWOS:000598502200001","View Full Record in Web of Science")</f>
        <v>View Full Record in Web of Science</v>
      </c>
      <c r="BI432" s="31"/>
      <c r="BJ432" s="31"/>
      <c r="BK432" s="31"/>
      <c r="BL432" s="31"/>
      <c r="BM432" s="31"/>
      <c r="BN432" s="31"/>
      <c r="BO432" s="31"/>
      <c r="BP432" s="31"/>
      <c r="BQ432" s="31"/>
      <c r="BR432" s="31"/>
      <c r="BS432" s="31"/>
      <c r="BT432" s="31"/>
      <c r="BU432" s="31"/>
      <c r="BV432" s="31"/>
      <c r="BW432" s="31"/>
      <c r="BX432" s="31"/>
      <c r="BY432" s="31"/>
      <c r="BZ432" s="31"/>
      <c r="CA432" s="31"/>
      <c r="CB432" s="31"/>
      <c r="CC432" s="31"/>
      <c r="CD432" s="31"/>
      <c r="CE432" s="31"/>
      <c r="CF432" s="31"/>
    </row>
    <row r="433" customFormat="false" ht="15.75" hidden="false" customHeight="true" outlineLevel="0" collapsed="false">
      <c r="A433" s="31" t="s">
        <v>16335</v>
      </c>
      <c r="B433" s="31" t="s">
        <v>25682</v>
      </c>
      <c r="C433" s="31" t="s">
        <v>25683</v>
      </c>
      <c r="D433" s="34" t="s">
        <v>25684</v>
      </c>
      <c r="E433" s="31" t="n">
        <v>2020</v>
      </c>
      <c r="F433" s="33" t="s">
        <v>25685</v>
      </c>
      <c r="G433" s="33" t="s">
        <v>1230</v>
      </c>
      <c r="H433" s="32" t="s">
        <v>25686</v>
      </c>
      <c r="I433" s="32" t="s">
        <v>25687</v>
      </c>
      <c r="J433" s="32" t="s">
        <v>25688</v>
      </c>
      <c r="K433" s="32" t="s">
        <v>25689</v>
      </c>
      <c r="L433" s="34"/>
      <c r="M433" s="32" t="s">
        <v>25690</v>
      </c>
      <c r="N433" s="34"/>
      <c r="O433" s="34"/>
      <c r="P433" s="34" t="n">
        <v>12</v>
      </c>
      <c r="Q433" s="31" t="n">
        <v>15</v>
      </c>
      <c r="R433" s="31" t="s">
        <v>61</v>
      </c>
      <c r="S433" s="31" t="s">
        <v>62</v>
      </c>
      <c r="T433" s="31" t="s">
        <v>25414</v>
      </c>
      <c r="U433" s="31" t="n">
        <v>16</v>
      </c>
      <c r="V433" s="31" t="s">
        <v>16845</v>
      </c>
      <c r="W433" s="31" t="n">
        <v>8</v>
      </c>
      <c r="X433" s="31"/>
      <c r="Y433" s="31" t="s">
        <v>25691</v>
      </c>
      <c r="Z433" s="31" t="s">
        <v>25692</v>
      </c>
      <c r="AA433" s="31" t="s">
        <v>25693</v>
      </c>
      <c r="AB433" s="31" t="s">
        <v>25694</v>
      </c>
      <c r="AC433" s="31" t="s">
        <v>25695</v>
      </c>
      <c r="AD433" s="31"/>
      <c r="AE433" s="31" t="s">
        <v>25696</v>
      </c>
      <c r="AF433" s="31" t="s">
        <v>25697</v>
      </c>
      <c r="AG433" s="31" t="s">
        <v>25698</v>
      </c>
      <c r="AH433" s="31" t="s">
        <v>25699</v>
      </c>
      <c r="AI433" s="31" t="n">
        <v>30</v>
      </c>
      <c r="AJ433" s="31" t="n">
        <v>2</v>
      </c>
      <c r="AK433" s="31" t="n">
        <v>9</v>
      </c>
      <c r="AL433" s="31" t="s">
        <v>16855</v>
      </c>
      <c r="AM433" s="31" t="s">
        <v>16856</v>
      </c>
      <c r="AN433" s="31" t="s">
        <v>25424</v>
      </c>
      <c r="AO433" s="31" t="s">
        <v>25425</v>
      </c>
      <c r="AP433" s="31" t="s">
        <v>25426</v>
      </c>
      <c r="AQ433" s="31" t="s">
        <v>511</v>
      </c>
      <c r="AR433" s="31" t="s">
        <v>17837</v>
      </c>
      <c r="AS433" s="31"/>
      <c r="AT433" s="31"/>
      <c r="AU433" s="31" t="s">
        <v>25700</v>
      </c>
      <c r="AV433" s="31" t="s">
        <v>25701</v>
      </c>
      <c r="AW433" s="35" t="str">
        <f aca="false">HYPERLINK("http://dx.doi.org/10.1371/journal.pcbi.1008117","http://dx.doi.org/10.1371/journal.pcbi.1008117")</f>
        <v>http://dx.doi.org/10.1371/journal.pcbi.1008117</v>
      </c>
      <c r="AX433" s="31"/>
      <c r="AY433" s="31" t="n">
        <v>19</v>
      </c>
      <c r="AZ433" s="31" t="s">
        <v>25429</v>
      </c>
      <c r="BA433" s="31" t="s">
        <v>16584</v>
      </c>
      <c r="BB433" s="31" t="s">
        <v>25430</v>
      </c>
      <c r="BC433" s="31" t="s">
        <v>25702</v>
      </c>
      <c r="BD433" s="31" t="n">
        <v>32804932</v>
      </c>
      <c r="BE433" s="31" t="s">
        <v>19056</v>
      </c>
      <c r="BF433" s="31" t="s">
        <v>16369</v>
      </c>
      <c r="BG433" s="31" t="s">
        <v>25703</v>
      </c>
      <c r="BH433" s="31" t="str">
        <f aca="false">HYPERLINK("https%3A%2F%2Fwww.webofscience.com%2Fwos%2Fwoscc%2Ffull-record%2FWOS:000563933400003","View Full Record in Web of Science")</f>
        <v>View Full Record in Web of Science</v>
      </c>
      <c r="BI433" s="31"/>
      <c r="BJ433" s="31"/>
      <c r="BK433" s="31"/>
      <c r="BL433" s="31"/>
      <c r="BM433" s="31"/>
      <c r="BN433" s="31"/>
      <c r="BO433" s="31"/>
      <c r="BP433" s="31"/>
      <c r="BQ433" s="31"/>
      <c r="BR433" s="31"/>
      <c r="BS433" s="31"/>
      <c r="BT433" s="31"/>
      <c r="BU433" s="31"/>
      <c r="BV433" s="31"/>
      <c r="BW433" s="31"/>
      <c r="BX433" s="31"/>
      <c r="BY433" s="31"/>
      <c r="BZ433" s="31"/>
      <c r="CA433" s="31"/>
      <c r="CB433" s="31"/>
      <c r="CC433" s="31"/>
      <c r="CD433" s="31"/>
      <c r="CE433" s="31"/>
      <c r="CF433" s="31"/>
    </row>
    <row r="434" customFormat="false" ht="15.75" hidden="false" customHeight="true" outlineLevel="0" collapsed="false">
      <c r="A434" s="31" t="s">
        <v>16335</v>
      </c>
      <c r="B434" s="31" t="s">
        <v>25704</v>
      </c>
      <c r="C434" s="31" t="s">
        <v>25705</v>
      </c>
      <c r="D434" s="34" t="s">
        <v>25706</v>
      </c>
      <c r="E434" s="31" t="n">
        <v>2020</v>
      </c>
      <c r="F434" s="33" t="s">
        <v>25707</v>
      </c>
      <c r="G434" s="33" t="s">
        <v>134</v>
      </c>
      <c r="H434" s="32" t="s">
        <v>25708</v>
      </c>
      <c r="I434" s="34"/>
      <c r="J434" s="32" t="s">
        <v>17620</v>
      </c>
      <c r="K434" s="32" t="s">
        <v>16409</v>
      </c>
      <c r="L434" s="34"/>
      <c r="M434" s="32" t="s">
        <v>25709</v>
      </c>
      <c r="N434" s="32" t="s">
        <v>25710</v>
      </c>
      <c r="O434" s="34"/>
      <c r="P434" s="34" t="n">
        <v>24</v>
      </c>
      <c r="Q434" s="31" t="n">
        <v>24</v>
      </c>
      <c r="R434" s="31" t="s">
        <v>61</v>
      </c>
      <c r="S434" s="31" t="s">
        <v>62</v>
      </c>
      <c r="T434" s="31" t="s">
        <v>25711</v>
      </c>
      <c r="U434" s="31" t="n">
        <v>33</v>
      </c>
      <c r="V434" s="31" t="s">
        <v>16600</v>
      </c>
      <c r="W434" s="31" t="n">
        <v>3</v>
      </c>
      <c r="X434" s="31" t="s">
        <v>25712</v>
      </c>
      <c r="Y434" s="31"/>
      <c r="Z434" s="31" t="s">
        <v>25713</v>
      </c>
      <c r="AA434" s="31" t="s">
        <v>25714</v>
      </c>
      <c r="AB434" s="31" t="s">
        <v>25715</v>
      </c>
      <c r="AC434" s="31" t="s">
        <v>25716</v>
      </c>
      <c r="AD434" s="31" t="s">
        <v>25717</v>
      </c>
      <c r="AE434" s="31" t="s">
        <v>25718</v>
      </c>
      <c r="AF434" s="31"/>
      <c r="AG434" s="31"/>
      <c r="AH434" s="31"/>
      <c r="AI434" s="31" t="n">
        <v>30</v>
      </c>
      <c r="AJ434" s="31" t="n">
        <v>2</v>
      </c>
      <c r="AK434" s="31" t="n">
        <v>13</v>
      </c>
      <c r="AL434" s="31" t="s">
        <v>16990</v>
      </c>
      <c r="AM434" s="31" t="s">
        <v>16991</v>
      </c>
      <c r="AN434" s="31" t="s">
        <v>25719</v>
      </c>
      <c r="AO434" s="31" t="s">
        <v>25720</v>
      </c>
      <c r="AP434" s="31" t="s">
        <v>25721</v>
      </c>
      <c r="AQ434" s="31" t="s">
        <v>25722</v>
      </c>
      <c r="AR434" s="31" t="s">
        <v>16683</v>
      </c>
      <c r="AS434" s="31" t="n">
        <v>763</v>
      </c>
      <c r="AT434" s="31" t="n">
        <v>775</v>
      </c>
      <c r="AU434" s="31"/>
      <c r="AV434" s="31" t="s">
        <v>25723</v>
      </c>
      <c r="AW434" s="35" t="str">
        <f aca="false">HYPERLINK("http://dx.doi.org/10.1007/s10278-019-00284-2","http://dx.doi.org/10.1007/s10278-019-00284-2")</f>
        <v>http://dx.doi.org/10.1007/s10278-019-00284-2</v>
      </c>
      <c r="AX434" s="31"/>
      <c r="AY434" s="31" t="n">
        <v>13</v>
      </c>
      <c r="AZ434" s="31" t="s">
        <v>16998</v>
      </c>
      <c r="BA434" s="31" t="s">
        <v>16366</v>
      </c>
      <c r="BB434" s="31" t="s">
        <v>16998</v>
      </c>
      <c r="BC434" s="31" t="s">
        <v>25724</v>
      </c>
      <c r="BD434" s="31" t="n">
        <v>31974686</v>
      </c>
      <c r="BE434" s="31" t="s">
        <v>18202</v>
      </c>
      <c r="BF434" s="31" t="s">
        <v>16369</v>
      </c>
      <c r="BG434" s="31" t="s">
        <v>25725</v>
      </c>
      <c r="BH434" s="31" t="str">
        <f aca="false">HYPERLINK("https%3A%2F%2Fwww.webofscience.com%2Fwos%2Fwoscc%2Ffull-record%2FWOS:000536114300020","View Full Record in Web of Science")</f>
        <v>View Full Record in Web of Science</v>
      </c>
      <c r="BI434" s="31"/>
      <c r="BJ434" s="31"/>
      <c r="BK434" s="31"/>
      <c r="BL434" s="31"/>
      <c r="BM434" s="31"/>
      <c r="BN434" s="31"/>
      <c r="BO434" s="31"/>
      <c r="BP434" s="31"/>
      <c r="BQ434" s="31"/>
      <c r="BR434" s="31"/>
      <c r="BS434" s="31"/>
      <c r="BT434" s="31"/>
      <c r="BU434" s="31"/>
      <c r="BV434" s="31"/>
      <c r="BW434" s="31"/>
      <c r="BX434" s="31"/>
      <c r="BY434" s="31"/>
      <c r="BZ434" s="31"/>
      <c r="CA434" s="31"/>
      <c r="CB434" s="31"/>
      <c r="CC434" s="31"/>
      <c r="CD434" s="31"/>
      <c r="CE434" s="31"/>
      <c r="CF434" s="31"/>
    </row>
    <row r="435" customFormat="false" ht="15.75" hidden="false" customHeight="true" outlineLevel="0" collapsed="false">
      <c r="A435" s="31" t="s">
        <v>16335</v>
      </c>
      <c r="B435" s="31" t="s">
        <v>25726</v>
      </c>
      <c r="C435" s="31" t="s">
        <v>25727</v>
      </c>
      <c r="D435" s="34" t="s">
        <v>25728</v>
      </c>
      <c r="E435" s="31" t="n">
        <v>2020</v>
      </c>
      <c r="F435" s="33" t="s">
        <v>25729</v>
      </c>
      <c r="G435" s="33" t="s">
        <v>1230</v>
      </c>
      <c r="H435" s="32" t="s">
        <v>4101</v>
      </c>
      <c r="I435" s="32" t="s">
        <v>4101</v>
      </c>
      <c r="J435" s="34"/>
      <c r="K435" s="32" t="s">
        <v>25730</v>
      </c>
      <c r="L435" s="32" t="s">
        <v>25731</v>
      </c>
      <c r="M435" s="32" t="s">
        <v>25732</v>
      </c>
      <c r="N435" s="34"/>
      <c r="O435" s="34"/>
      <c r="P435" s="34" t="n">
        <v>5</v>
      </c>
      <c r="Q435" s="31" t="n">
        <v>5</v>
      </c>
      <c r="R435" s="31" t="s">
        <v>61</v>
      </c>
      <c r="S435" s="31" t="s">
        <v>62</v>
      </c>
      <c r="T435" s="31" t="s">
        <v>25733</v>
      </c>
      <c r="U435" s="31" t="n">
        <v>17</v>
      </c>
      <c r="V435" s="31" t="s">
        <v>4048</v>
      </c>
      <c r="W435" s="31" t="n">
        <v>10</v>
      </c>
      <c r="X435" s="31" t="s">
        <v>25734</v>
      </c>
      <c r="Y435" s="31" t="s">
        <v>25735</v>
      </c>
      <c r="Z435" s="31" t="s">
        <v>25736</v>
      </c>
      <c r="AA435" s="31" t="s">
        <v>25737</v>
      </c>
      <c r="AB435" s="31" t="s">
        <v>25738</v>
      </c>
      <c r="AC435" s="31" t="s">
        <v>25739</v>
      </c>
      <c r="AD435" s="31" t="s">
        <v>25740</v>
      </c>
      <c r="AE435" s="31" t="s">
        <v>25741</v>
      </c>
      <c r="AF435" s="31" t="s">
        <v>25742</v>
      </c>
      <c r="AG435" s="31" t="s">
        <v>25743</v>
      </c>
      <c r="AH435" s="31" t="s">
        <v>25744</v>
      </c>
      <c r="AI435" s="31" t="n">
        <v>58</v>
      </c>
      <c r="AJ435" s="31" t="n">
        <v>0</v>
      </c>
      <c r="AK435" s="31" t="n">
        <v>7</v>
      </c>
      <c r="AL435" s="31" t="s">
        <v>16769</v>
      </c>
      <c r="AM435" s="31" t="s">
        <v>16770</v>
      </c>
      <c r="AN435" s="31"/>
      <c r="AO435" s="31" t="s">
        <v>25745</v>
      </c>
      <c r="AP435" s="31" t="s">
        <v>25746</v>
      </c>
      <c r="AQ435" s="31" t="s">
        <v>126</v>
      </c>
      <c r="AR435" s="31" t="s">
        <v>17056</v>
      </c>
      <c r="AS435" s="31"/>
      <c r="AT435" s="31"/>
      <c r="AU435" s="31" t="n">
        <v>3718</v>
      </c>
      <c r="AV435" s="31" t="s">
        <v>25747</v>
      </c>
      <c r="AW435" s="35" t="str">
        <f aca="false">HYPERLINK("http://dx.doi.org/10.3390/ijerph17103718","http://dx.doi.org/10.3390/ijerph17103718")</f>
        <v>http://dx.doi.org/10.3390/ijerph17103718</v>
      </c>
      <c r="AX435" s="31"/>
      <c r="AY435" s="31" t="n">
        <v>23</v>
      </c>
      <c r="AZ435" s="31" t="s">
        <v>25748</v>
      </c>
      <c r="BA435" s="31" t="s">
        <v>16584</v>
      </c>
      <c r="BB435" s="31" t="s">
        <v>25749</v>
      </c>
      <c r="BC435" s="31" t="s">
        <v>25750</v>
      </c>
      <c r="BD435" s="31" t="n">
        <v>32466153</v>
      </c>
      <c r="BE435" s="31" t="s">
        <v>16832</v>
      </c>
      <c r="BF435" s="31" t="s">
        <v>16369</v>
      </c>
      <c r="BG435" s="31" t="s">
        <v>25751</v>
      </c>
      <c r="BH435" s="31" t="str">
        <f aca="false">HYPERLINK("https%3A%2F%2Fwww.webofscience.com%2Fwos%2Fwoscc%2Ffull-record%2FWOS:000539300900375","View Full Record in Web of Science")</f>
        <v>View Full Record in Web of Science</v>
      </c>
      <c r="BI435" s="31"/>
      <c r="BJ435" s="31"/>
      <c r="BK435" s="31"/>
      <c r="BL435" s="31"/>
      <c r="BM435" s="31"/>
      <c r="BN435" s="31"/>
      <c r="BO435" s="31"/>
      <c r="BP435" s="31"/>
      <c r="BQ435" s="31"/>
      <c r="BR435" s="31"/>
      <c r="BS435" s="31"/>
      <c r="BT435" s="31"/>
      <c r="BU435" s="31"/>
      <c r="BV435" s="31"/>
      <c r="BW435" s="31"/>
      <c r="BX435" s="31"/>
      <c r="BY435" s="31"/>
      <c r="BZ435" s="31"/>
      <c r="CA435" s="31"/>
      <c r="CB435" s="31"/>
      <c r="CC435" s="31"/>
      <c r="CD435" s="31"/>
      <c r="CE435" s="31"/>
      <c r="CF435" s="31"/>
    </row>
    <row r="436" customFormat="false" ht="15.75" hidden="false" customHeight="true" outlineLevel="0" collapsed="false">
      <c r="A436" s="31" t="s">
        <v>16335</v>
      </c>
      <c r="B436" s="31" t="s">
        <v>25752</v>
      </c>
      <c r="C436" s="31" t="s">
        <v>25753</v>
      </c>
      <c r="D436" s="34" t="s">
        <v>25754</v>
      </c>
      <c r="E436" s="31" t="n">
        <v>2020</v>
      </c>
      <c r="F436" s="33" t="s">
        <v>25755</v>
      </c>
      <c r="G436" s="33" t="s">
        <v>134</v>
      </c>
      <c r="H436" s="32" t="s">
        <v>24096</v>
      </c>
      <c r="I436" s="34"/>
      <c r="J436" s="32" t="s">
        <v>20887</v>
      </c>
      <c r="K436" s="32" t="s">
        <v>25198</v>
      </c>
      <c r="L436" s="34"/>
      <c r="M436" s="34"/>
      <c r="N436" s="32" t="s">
        <v>25756</v>
      </c>
      <c r="O436" s="34"/>
      <c r="P436" s="34" t="n">
        <v>22</v>
      </c>
      <c r="Q436" s="31" t="n">
        <v>23</v>
      </c>
      <c r="R436" s="31" t="s">
        <v>61</v>
      </c>
      <c r="S436" s="31" t="s">
        <v>62</v>
      </c>
      <c r="T436" s="31" t="s">
        <v>25757</v>
      </c>
      <c r="U436" s="31" t="n">
        <v>73</v>
      </c>
      <c r="V436" s="31" t="s">
        <v>19553</v>
      </c>
      <c r="W436" s="31" t="n">
        <v>10</v>
      </c>
      <c r="X436" s="31" t="s">
        <v>25758</v>
      </c>
      <c r="Y436" s="31" t="s">
        <v>25759</v>
      </c>
      <c r="Z436" s="31" t="s">
        <v>25760</v>
      </c>
      <c r="AA436" s="31" t="s">
        <v>25761</v>
      </c>
      <c r="AB436" s="31" t="s">
        <v>25762</v>
      </c>
      <c r="AC436" s="31" t="s">
        <v>25763</v>
      </c>
      <c r="AD436" s="31" t="s">
        <v>25764</v>
      </c>
      <c r="AE436" s="31" t="s">
        <v>25765</v>
      </c>
      <c r="AF436" s="31"/>
      <c r="AG436" s="31"/>
      <c r="AH436" s="31"/>
      <c r="AI436" s="31" t="n">
        <v>40</v>
      </c>
      <c r="AJ436" s="31" t="n">
        <v>0</v>
      </c>
      <c r="AK436" s="31" t="n">
        <v>13</v>
      </c>
      <c r="AL436" s="31" t="s">
        <v>16821</v>
      </c>
      <c r="AM436" s="31" t="s">
        <v>19564</v>
      </c>
      <c r="AN436" s="31" t="s">
        <v>25766</v>
      </c>
      <c r="AO436" s="31" t="s">
        <v>25767</v>
      </c>
      <c r="AP436" s="31" t="s">
        <v>25768</v>
      </c>
      <c r="AQ436" s="31" t="s">
        <v>25769</v>
      </c>
      <c r="AR436" s="31" t="s">
        <v>16615</v>
      </c>
      <c r="AS436" s="31" t="n">
        <v>665</v>
      </c>
      <c r="AT436" s="31" t="n">
        <v>670</v>
      </c>
      <c r="AU436" s="31"/>
      <c r="AV436" s="31" t="s">
        <v>25770</v>
      </c>
      <c r="AW436" s="35" t="str">
        <f aca="false">HYPERLINK("http://dx.doi.org/10.1136/jclinpath-2019-206419","http://dx.doi.org/10.1136/jclinpath-2019-206419")</f>
        <v>http://dx.doi.org/10.1136/jclinpath-2019-206419</v>
      </c>
      <c r="AX436" s="31"/>
      <c r="AY436" s="31" t="n">
        <v>6</v>
      </c>
      <c r="AZ436" s="31" t="s">
        <v>16744</v>
      </c>
      <c r="BA436" s="31" t="s">
        <v>16366</v>
      </c>
      <c r="BB436" s="31" t="s">
        <v>16744</v>
      </c>
      <c r="BC436" s="31" t="s">
        <v>25771</v>
      </c>
      <c r="BD436" s="31" t="n">
        <v>32179558</v>
      </c>
      <c r="BE436" s="31"/>
      <c r="BF436" s="31" t="s">
        <v>16369</v>
      </c>
      <c r="BG436" s="31" t="s">
        <v>25772</v>
      </c>
      <c r="BH436" s="31" t="str">
        <f aca="false">HYPERLINK("https%3A%2F%2Fwww.webofscience.com%2Fwos%2Fwoscc%2Ffull-record%2FWOS:000576298200013","View Full Record in Web of Science")</f>
        <v>View Full Record in Web of Science</v>
      </c>
      <c r="BI436" s="31"/>
      <c r="BJ436" s="31"/>
      <c r="BK436" s="31"/>
      <c r="BL436" s="31"/>
      <c r="BM436" s="31"/>
      <c r="BN436" s="31"/>
      <c r="BO436" s="31"/>
      <c r="BP436" s="31"/>
      <c r="BQ436" s="31"/>
      <c r="BR436" s="31"/>
      <c r="BS436" s="31"/>
      <c r="BT436" s="31"/>
      <c r="BU436" s="31"/>
      <c r="BV436" s="31"/>
      <c r="BW436" s="31"/>
      <c r="BX436" s="31"/>
      <c r="BY436" s="31"/>
      <c r="BZ436" s="31"/>
      <c r="CA436" s="31"/>
      <c r="CB436" s="31"/>
      <c r="CC436" s="31"/>
      <c r="CD436" s="31"/>
      <c r="CE436" s="31"/>
      <c r="CF436" s="31"/>
    </row>
    <row r="437" customFormat="false" ht="15.75" hidden="false" customHeight="true" outlineLevel="0" collapsed="false">
      <c r="A437" s="31" t="s">
        <v>16335</v>
      </c>
      <c r="B437" s="31" t="s">
        <v>25773</v>
      </c>
      <c r="C437" s="31" t="s">
        <v>25774</v>
      </c>
      <c r="D437" s="34" t="s">
        <v>25775</v>
      </c>
      <c r="E437" s="31" t="n">
        <v>2020</v>
      </c>
      <c r="F437" s="33" t="s">
        <v>25776</v>
      </c>
      <c r="G437" s="33" t="s">
        <v>134</v>
      </c>
      <c r="H437" s="32" t="s">
        <v>25777</v>
      </c>
      <c r="I437" s="32" t="s">
        <v>24522</v>
      </c>
      <c r="J437" s="34"/>
      <c r="K437" s="32" t="s">
        <v>25778</v>
      </c>
      <c r="L437" s="34"/>
      <c r="M437" s="34"/>
      <c r="N437" s="34"/>
      <c r="O437" s="34"/>
      <c r="P437" s="34" t="n">
        <v>14</v>
      </c>
      <c r="Q437" s="31" t="n">
        <v>14</v>
      </c>
      <c r="R437" s="31" t="s">
        <v>61</v>
      </c>
      <c r="S437" s="31" t="s">
        <v>62</v>
      </c>
      <c r="T437" s="31" t="s">
        <v>16844</v>
      </c>
      <c r="U437" s="31" t="n">
        <v>14</v>
      </c>
      <c r="V437" s="31" t="s">
        <v>16845</v>
      </c>
      <c r="W437" s="31" t="n">
        <v>2</v>
      </c>
      <c r="X437" s="31"/>
      <c r="Y437" s="31" t="s">
        <v>25779</v>
      </c>
      <c r="Z437" s="31" t="s">
        <v>25780</v>
      </c>
      <c r="AA437" s="31" t="s">
        <v>25781</v>
      </c>
      <c r="AB437" s="31" t="s">
        <v>25782</v>
      </c>
      <c r="AC437" s="31" t="s">
        <v>25783</v>
      </c>
      <c r="AD437" s="31" t="s">
        <v>25784</v>
      </c>
      <c r="AE437" s="31" t="s">
        <v>25785</v>
      </c>
      <c r="AF437" s="31" t="s">
        <v>25786</v>
      </c>
      <c r="AG437" s="31" t="s">
        <v>25787</v>
      </c>
      <c r="AH437" s="31" t="s">
        <v>25788</v>
      </c>
      <c r="AI437" s="31" t="n">
        <v>67</v>
      </c>
      <c r="AJ437" s="31" t="n">
        <v>1</v>
      </c>
      <c r="AK437" s="31" t="n">
        <v>10</v>
      </c>
      <c r="AL437" s="31" t="s">
        <v>16855</v>
      </c>
      <c r="AM437" s="31" t="s">
        <v>16856</v>
      </c>
      <c r="AN437" s="31" t="s">
        <v>16857</v>
      </c>
      <c r="AO437" s="31"/>
      <c r="AP437" s="31" t="s">
        <v>16858</v>
      </c>
      <c r="AQ437" s="31" t="s">
        <v>16859</v>
      </c>
      <c r="AR437" s="31" t="s">
        <v>16970</v>
      </c>
      <c r="AS437" s="31"/>
      <c r="AT437" s="31"/>
      <c r="AU437" s="31" t="s">
        <v>25789</v>
      </c>
      <c r="AV437" s="31" t="s">
        <v>25790</v>
      </c>
      <c r="AW437" s="35" t="str">
        <f aca="false">HYPERLINK("http://dx.doi.org/10.1371/journal.pntd.0007969","http://dx.doi.org/10.1371/journal.pntd.0007969")</f>
        <v>http://dx.doi.org/10.1371/journal.pntd.0007969</v>
      </c>
      <c r="AX437" s="31"/>
      <c r="AY437" s="31" t="n">
        <v>20</v>
      </c>
      <c r="AZ437" s="31" t="s">
        <v>16862</v>
      </c>
      <c r="BA437" s="31" t="s">
        <v>16366</v>
      </c>
      <c r="BB437" s="31" t="s">
        <v>16862</v>
      </c>
      <c r="BC437" s="31" t="s">
        <v>25791</v>
      </c>
      <c r="BD437" s="31" t="n">
        <v>32059026</v>
      </c>
      <c r="BE437" s="31" t="s">
        <v>17168</v>
      </c>
      <c r="BF437" s="31" t="s">
        <v>16369</v>
      </c>
      <c r="BG437" s="31" t="s">
        <v>25792</v>
      </c>
      <c r="BH437" s="31" t="str">
        <f aca="false">HYPERLINK("https%3A%2F%2Fwww.webofscience.com%2Fwos%2Fwoscc%2Ffull-record%2FWOS:000519231700011","View Full Record in Web of Science")</f>
        <v>View Full Record in Web of Science</v>
      </c>
      <c r="BI437" s="31"/>
      <c r="BJ437" s="31"/>
      <c r="BK437" s="31"/>
      <c r="BL437" s="31"/>
      <c r="BM437" s="31"/>
      <c r="BN437" s="31"/>
      <c r="BO437" s="31"/>
      <c r="BP437" s="31"/>
      <c r="BQ437" s="31"/>
      <c r="BR437" s="31"/>
      <c r="BS437" s="31"/>
      <c r="BT437" s="31"/>
      <c r="BU437" s="31"/>
      <c r="BV437" s="31"/>
      <c r="BW437" s="31"/>
      <c r="BX437" s="31"/>
      <c r="BY437" s="31"/>
      <c r="BZ437" s="31"/>
      <c r="CA437" s="31"/>
      <c r="CB437" s="31"/>
      <c r="CC437" s="31"/>
      <c r="CD437" s="31"/>
      <c r="CE437" s="31"/>
      <c r="CF437" s="31"/>
    </row>
    <row r="438" customFormat="false" ht="15.75" hidden="false" customHeight="true" outlineLevel="0" collapsed="false">
      <c r="A438" s="31" t="s">
        <v>16335</v>
      </c>
      <c r="B438" s="31" t="s">
        <v>25793</v>
      </c>
      <c r="C438" s="31" t="s">
        <v>25794</v>
      </c>
      <c r="D438" s="34" t="s">
        <v>25795</v>
      </c>
      <c r="E438" s="31" t="n">
        <v>2020</v>
      </c>
      <c r="F438" s="33" t="s">
        <v>25796</v>
      </c>
      <c r="G438" s="33" t="s">
        <v>134</v>
      </c>
      <c r="H438" s="32" t="s">
        <v>25797</v>
      </c>
      <c r="I438" s="32" t="s">
        <v>21551</v>
      </c>
      <c r="J438" s="32" t="s">
        <v>22178</v>
      </c>
      <c r="K438" s="32" t="s">
        <v>16409</v>
      </c>
      <c r="L438" s="32" t="s">
        <v>21024</v>
      </c>
      <c r="M438" s="34"/>
      <c r="N438" s="32" t="s">
        <v>25798</v>
      </c>
      <c r="O438" s="34"/>
      <c r="P438" s="34" t="n">
        <v>33</v>
      </c>
      <c r="Q438" s="31" t="n">
        <v>34</v>
      </c>
      <c r="R438" s="31" t="s">
        <v>61</v>
      </c>
      <c r="S438" s="31" t="s">
        <v>62</v>
      </c>
      <c r="T438" s="31" t="s">
        <v>16383</v>
      </c>
      <c r="U438" s="31" t="n">
        <v>8</v>
      </c>
      <c r="V438" s="31" t="s">
        <v>16384</v>
      </c>
      <c r="W438" s="31"/>
      <c r="X438" s="31" t="s">
        <v>25799</v>
      </c>
      <c r="Y438" s="31" t="s">
        <v>25800</v>
      </c>
      <c r="Z438" s="31" t="s">
        <v>25801</v>
      </c>
      <c r="AA438" s="31" t="s">
        <v>25802</v>
      </c>
      <c r="AB438" s="31" t="s">
        <v>25803</v>
      </c>
      <c r="AC438" s="31" t="s">
        <v>25804</v>
      </c>
      <c r="AD438" s="31" t="s">
        <v>25805</v>
      </c>
      <c r="AE438" s="31" t="s">
        <v>25806</v>
      </c>
      <c r="AF438" s="31"/>
      <c r="AG438" s="31"/>
      <c r="AH438" s="31"/>
      <c r="AI438" s="31" t="n">
        <v>62</v>
      </c>
      <c r="AJ438" s="31" t="n">
        <v>0</v>
      </c>
      <c r="AK438" s="31" t="n">
        <v>13</v>
      </c>
      <c r="AL438" s="31" t="s">
        <v>16395</v>
      </c>
      <c r="AM438" s="31" t="s">
        <v>16396</v>
      </c>
      <c r="AN438" s="31" t="s">
        <v>16397</v>
      </c>
      <c r="AO438" s="31"/>
      <c r="AP438" s="31" t="s">
        <v>16383</v>
      </c>
      <c r="AQ438" s="31" t="s">
        <v>186</v>
      </c>
      <c r="AR438" s="31"/>
      <c r="AS438" s="31" t="n">
        <v>94936</v>
      </c>
      <c r="AT438" s="31" t="n">
        <v>94946</v>
      </c>
      <c r="AU438" s="31"/>
      <c r="AV438" s="31" t="s">
        <v>25807</v>
      </c>
      <c r="AW438" s="35" t="str">
        <f aca="false">HYPERLINK("http://dx.doi.org/10.1109/ACCESS.2020.2996022","http://dx.doi.org/10.1109/ACCESS.2020.2996022")</f>
        <v>http://dx.doi.org/10.1109/ACCESS.2020.2996022</v>
      </c>
      <c r="AX438" s="31"/>
      <c r="AY438" s="31" t="n">
        <v>11</v>
      </c>
      <c r="AZ438" s="31" t="s">
        <v>16399</v>
      </c>
      <c r="BA438" s="31" t="s">
        <v>16584</v>
      </c>
      <c r="BB438" s="31" t="s">
        <v>16400</v>
      </c>
      <c r="BC438" s="31" t="s">
        <v>25808</v>
      </c>
      <c r="BD438" s="31"/>
      <c r="BE438" s="31" t="s">
        <v>16431</v>
      </c>
      <c r="BF438" s="31" t="s">
        <v>16369</v>
      </c>
      <c r="BG438" s="31" t="s">
        <v>25809</v>
      </c>
      <c r="BH438" s="31" t="str">
        <f aca="false">HYPERLINK("https%3A%2F%2Fwww.webofscience.com%2Fwos%2Fwoscc%2Ffull-record%2FWOS:000541126800015","View Full Record in Web of Science")</f>
        <v>View Full Record in Web of Science</v>
      </c>
      <c r="BI438" s="31"/>
      <c r="BJ438" s="31"/>
      <c r="BK438" s="31"/>
      <c r="BL438" s="31"/>
      <c r="BM438" s="31"/>
      <c r="BN438" s="31"/>
      <c r="BO438" s="31"/>
      <c r="BP438" s="31"/>
      <c r="BQ438" s="31"/>
      <c r="BR438" s="31"/>
      <c r="BS438" s="31"/>
      <c r="BT438" s="31"/>
      <c r="BU438" s="31"/>
      <c r="BV438" s="31"/>
      <c r="BW438" s="31"/>
      <c r="BX438" s="31"/>
      <c r="BY438" s="31"/>
      <c r="BZ438" s="31"/>
      <c r="CA438" s="31"/>
      <c r="CB438" s="31"/>
      <c r="CC438" s="31"/>
      <c r="CD438" s="31"/>
      <c r="CE438" s="31"/>
      <c r="CF438" s="31"/>
    </row>
    <row r="439" customFormat="false" ht="15.75" hidden="false" customHeight="true" outlineLevel="0" collapsed="false">
      <c r="A439" s="31" t="s">
        <v>16335</v>
      </c>
      <c r="B439" s="31" t="s">
        <v>25810</v>
      </c>
      <c r="C439" s="31" t="s">
        <v>25811</v>
      </c>
      <c r="D439" s="34" t="s">
        <v>25812</v>
      </c>
      <c r="E439" s="31" t="n">
        <v>2020</v>
      </c>
      <c r="F439" s="33" t="s">
        <v>25813</v>
      </c>
      <c r="G439" s="33" t="s">
        <v>134</v>
      </c>
      <c r="H439" s="32" t="s">
        <v>17036</v>
      </c>
      <c r="I439" s="34"/>
      <c r="J439" s="34"/>
      <c r="K439" s="32" t="s">
        <v>16753</v>
      </c>
      <c r="L439" s="34"/>
      <c r="M439" s="32" t="s">
        <v>25814</v>
      </c>
      <c r="N439" s="32" t="s">
        <v>25815</v>
      </c>
      <c r="O439" s="34"/>
      <c r="P439" s="34" t="n">
        <v>3</v>
      </c>
      <c r="Q439" s="31" t="n">
        <v>3</v>
      </c>
      <c r="R439" s="31" t="s">
        <v>61</v>
      </c>
      <c r="S439" s="31" t="s">
        <v>62</v>
      </c>
      <c r="T439" s="31" t="s">
        <v>18414</v>
      </c>
      <c r="U439" s="31" t="n">
        <v>60</v>
      </c>
      <c r="V439" s="31" t="s">
        <v>18415</v>
      </c>
      <c r="W439" s="31"/>
      <c r="X439" s="31" t="s">
        <v>25816</v>
      </c>
      <c r="Y439" s="31" t="s">
        <v>25817</v>
      </c>
      <c r="Z439" s="31" t="s">
        <v>25818</v>
      </c>
      <c r="AA439" s="31" t="s">
        <v>25819</v>
      </c>
      <c r="AB439" s="31" t="s">
        <v>25820</v>
      </c>
      <c r="AC439" s="31" t="s">
        <v>25821</v>
      </c>
      <c r="AD439" s="31"/>
      <c r="AE439" s="31" t="s">
        <v>25822</v>
      </c>
      <c r="AF439" s="31" t="s">
        <v>25823</v>
      </c>
      <c r="AG439" s="31" t="s">
        <v>20570</v>
      </c>
      <c r="AH439" s="31" t="s">
        <v>25824</v>
      </c>
      <c r="AI439" s="31" t="n">
        <v>31</v>
      </c>
      <c r="AJ439" s="31" t="n">
        <v>3</v>
      </c>
      <c r="AK439" s="31" t="n">
        <v>15</v>
      </c>
      <c r="AL439" s="31" t="s">
        <v>16575</v>
      </c>
      <c r="AM439" s="31" t="s">
        <v>22438</v>
      </c>
      <c r="AN439" s="31" t="s">
        <v>18423</v>
      </c>
      <c r="AO439" s="31" t="s">
        <v>18424</v>
      </c>
      <c r="AP439" s="31" t="s">
        <v>18425</v>
      </c>
      <c r="AQ439" s="31" t="s">
        <v>7616</v>
      </c>
      <c r="AR439" s="31" t="s">
        <v>20025</v>
      </c>
      <c r="AS439" s="31"/>
      <c r="AT439" s="31"/>
      <c r="AU439" s="31" t="n">
        <v>101944</v>
      </c>
      <c r="AV439" s="31" t="s">
        <v>25825</v>
      </c>
      <c r="AW439" s="35" t="str">
        <f aca="false">HYPERLINK("http://dx.doi.org/10.1016/j.bspc.2020.101944","http://dx.doi.org/10.1016/j.bspc.2020.101944")</f>
        <v>http://dx.doi.org/10.1016/j.bspc.2020.101944</v>
      </c>
      <c r="AX439" s="31"/>
      <c r="AY439" s="31" t="n">
        <v>7</v>
      </c>
      <c r="AZ439" s="31" t="s">
        <v>18428</v>
      </c>
      <c r="BA439" s="31" t="s">
        <v>16366</v>
      </c>
      <c r="BB439" s="31" t="s">
        <v>18429</v>
      </c>
      <c r="BC439" s="31" t="s">
        <v>25826</v>
      </c>
      <c r="BD439" s="31"/>
      <c r="BE439" s="31"/>
      <c r="BF439" s="31" t="s">
        <v>16369</v>
      </c>
      <c r="BG439" s="31" t="s">
        <v>25827</v>
      </c>
      <c r="BH439" s="31" t="str">
        <f aca="false">HYPERLINK("https%3A%2F%2Fwww.webofscience.com%2Fwos%2Fwoscc%2Ffull-record%2FWOS:000540302000007","View Full Record in Web of Science")</f>
        <v>View Full Record in Web of Science</v>
      </c>
      <c r="BI439" s="31"/>
      <c r="BJ439" s="31"/>
      <c r="BK439" s="31"/>
      <c r="BL439" s="31"/>
      <c r="BM439" s="31"/>
      <c r="BN439" s="31"/>
      <c r="BO439" s="31"/>
      <c r="BP439" s="31"/>
      <c r="BQ439" s="31"/>
      <c r="BR439" s="31"/>
      <c r="BS439" s="31"/>
      <c r="BT439" s="31"/>
      <c r="BU439" s="31"/>
      <c r="BV439" s="31"/>
      <c r="BW439" s="31"/>
      <c r="BX439" s="31"/>
      <c r="BY439" s="31"/>
      <c r="BZ439" s="31"/>
      <c r="CA439" s="31"/>
      <c r="CB439" s="31"/>
      <c r="CC439" s="31"/>
      <c r="CD439" s="31"/>
      <c r="CE439" s="31"/>
      <c r="CF439" s="31"/>
    </row>
    <row r="440" customFormat="false" ht="15.75" hidden="false" customHeight="true" outlineLevel="0" collapsed="false">
      <c r="A440" s="31" t="s">
        <v>16335</v>
      </c>
      <c r="B440" s="31" t="s">
        <v>25828</v>
      </c>
      <c r="C440" s="31" t="s">
        <v>25829</v>
      </c>
      <c r="D440" s="34" t="s">
        <v>25830</v>
      </c>
      <c r="E440" s="31" t="n">
        <v>2020</v>
      </c>
      <c r="F440" s="33" t="s">
        <v>25831</v>
      </c>
      <c r="G440" s="33" t="s">
        <v>1230</v>
      </c>
      <c r="H440" s="32" t="s">
        <v>25342</v>
      </c>
      <c r="I440" s="34"/>
      <c r="J440" s="32" t="s">
        <v>24399</v>
      </c>
      <c r="K440" s="32" t="s">
        <v>25832</v>
      </c>
      <c r="L440" s="32" t="s">
        <v>21024</v>
      </c>
      <c r="M440" s="32" t="s">
        <v>25833</v>
      </c>
      <c r="N440" s="34"/>
      <c r="O440" s="34"/>
      <c r="P440" s="34" t="n">
        <v>12</v>
      </c>
      <c r="Q440" s="31" t="n">
        <v>13</v>
      </c>
      <c r="R440" s="31" t="s">
        <v>17848</v>
      </c>
      <c r="S440" s="31" t="s">
        <v>62</v>
      </c>
      <c r="T440" s="31" t="s">
        <v>24430</v>
      </c>
      <c r="U440" s="31" t="n">
        <v>20</v>
      </c>
      <c r="V440" s="31" t="s">
        <v>17599</v>
      </c>
      <c r="W440" s="31"/>
      <c r="X440" s="31" t="s">
        <v>25834</v>
      </c>
      <c r="Y440" s="31" t="s">
        <v>25835</v>
      </c>
      <c r="Z440" s="31" t="s">
        <v>25836</v>
      </c>
      <c r="AA440" s="31" t="s">
        <v>25837</v>
      </c>
      <c r="AB440" s="31" t="s">
        <v>25838</v>
      </c>
      <c r="AC440" s="31" t="s">
        <v>25839</v>
      </c>
      <c r="AD440" s="31" t="s">
        <v>25840</v>
      </c>
      <c r="AE440" s="31" t="s">
        <v>25841</v>
      </c>
      <c r="AF440" s="31"/>
      <c r="AG440" s="31"/>
      <c r="AH440" s="31"/>
      <c r="AI440" s="31" t="n">
        <v>37</v>
      </c>
      <c r="AJ440" s="31" t="n">
        <v>1</v>
      </c>
      <c r="AK440" s="31" t="n">
        <v>11</v>
      </c>
      <c r="AL440" s="31" t="s">
        <v>16821</v>
      </c>
      <c r="AM440" s="31" t="s">
        <v>17609</v>
      </c>
      <c r="AN440" s="31"/>
      <c r="AO440" s="31" t="s">
        <v>24442</v>
      </c>
      <c r="AP440" s="31" t="s">
        <v>24443</v>
      </c>
      <c r="AQ440" s="31" t="s">
        <v>24444</v>
      </c>
      <c r="AR440" s="31" t="s">
        <v>25842</v>
      </c>
      <c r="AS440" s="31"/>
      <c r="AT440" s="31"/>
      <c r="AU440" s="31" t="n">
        <v>141</v>
      </c>
      <c r="AV440" s="31" t="s">
        <v>25843</v>
      </c>
      <c r="AW440" s="35" t="str">
        <f aca="false">HYPERLINK("http://dx.doi.org/10.1186/s12911-020-01150-w","http://dx.doi.org/10.1186/s12911-020-01150-w")</f>
        <v>http://dx.doi.org/10.1186/s12911-020-01150-w</v>
      </c>
      <c r="AX440" s="31"/>
      <c r="AY440" s="31" t="n">
        <v>18</v>
      </c>
      <c r="AZ440" s="31" t="s">
        <v>24447</v>
      </c>
      <c r="BA440" s="31" t="s">
        <v>17867</v>
      </c>
      <c r="BB440" s="31" t="s">
        <v>24447</v>
      </c>
      <c r="BC440" s="31" t="s">
        <v>25844</v>
      </c>
      <c r="BD440" s="31" t="n">
        <v>32819347</v>
      </c>
      <c r="BE440" s="31" t="s">
        <v>17143</v>
      </c>
      <c r="BF440" s="31" t="s">
        <v>16369</v>
      </c>
      <c r="BG440" s="31" t="s">
        <v>25845</v>
      </c>
      <c r="BH440" s="31" t="str">
        <f aca="false">HYPERLINK("https%3A%2F%2Fwww.webofscience.com%2Fwos%2Fwoscc%2Ffull-record%2FWOS:000566994400002","View Full Record in Web of Science")</f>
        <v>View Full Record in Web of Science</v>
      </c>
      <c r="BI440" s="31"/>
      <c r="BJ440" s="31"/>
      <c r="BK440" s="31"/>
      <c r="BL440" s="31"/>
      <c r="BM440" s="31"/>
      <c r="BN440" s="31"/>
      <c r="BO440" s="31"/>
      <c r="BP440" s="31"/>
      <c r="BQ440" s="31"/>
      <c r="BR440" s="31" t="n">
        <v>5</v>
      </c>
      <c r="BS440" s="31" t="s">
        <v>16622</v>
      </c>
      <c r="BT440" s="31"/>
      <c r="BU440" s="31"/>
      <c r="BV440" s="31"/>
      <c r="BW440" s="31"/>
      <c r="BX440" s="31"/>
      <c r="BY440" s="31"/>
      <c r="BZ440" s="31"/>
      <c r="CA440" s="31"/>
      <c r="CB440" s="31" t="s">
        <v>25846</v>
      </c>
      <c r="CC440" s="31" t="s">
        <v>25847</v>
      </c>
      <c r="CD440" s="31" t="s">
        <v>25848</v>
      </c>
      <c r="CE440" s="31"/>
      <c r="CF440" s="31"/>
    </row>
    <row r="441" customFormat="false" ht="15.75" hidden="false" customHeight="true" outlineLevel="0" collapsed="false">
      <c r="A441" s="31" t="s">
        <v>16335</v>
      </c>
      <c r="B441" s="31" t="s">
        <v>25849</v>
      </c>
      <c r="C441" s="31" t="s">
        <v>25850</v>
      </c>
      <c r="D441" s="34" t="s">
        <v>25851</v>
      </c>
      <c r="E441" s="31" t="n">
        <v>2019</v>
      </c>
      <c r="F441" s="33" t="s">
        <v>25852</v>
      </c>
      <c r="G441" s="33" t="s">
        <v>134</v>
      </c>
      <c r="H441" s="32" t="s">
        <v>21847</v>
      </c>
      <c r="I441" s="32" t="s">
        <v>21847</v>
      </c>
      <c r="J441" s="34"/>
      <c r="K441" s="32" t="s">
        <v>21898</v>
      </c>
      <c r="L441" s="34"/>
      <c r="M441" s="34"/>
      <c r="N441" s="32" t="s">
        <v>25853</v>
      </c>
      <c r="O441" s="34"/>
      <c r="P441" s="34" t="n">
        <v>21</v>
      </c>
      <c r="Q441" s="31" t="n">
        <v>21</v>
      </c>
      <c r="R441" s="31" t="s">
        <v>61</v>
      </c>
      <c r="S441" s="31" t="s">
        <v>62</v>
      </c>
      <c r="T441" s="31" t="s">
        <v>16844</v>
      </c>
      <c r="U441" s="31" t="n">
        <v>13</v>
      </c>
      <c r="V441" s="31" t="s">
        <v>16845</v>
      </c>
      <c r="W441" s="31" t="n">
        <v>6</v>
      </c>
      <c r="X441" s="31"/>
      <c r="Y441" s="31" t="s">
        <v>25854</v>
      </c>
      <c r="Z441" s="31" t="s">
        <v>25855</v>
      </c>
      <c r="AA441" s="31" t="s">
        <v>25856</v>
      </c>
      <c r="AB441" s="31" t="s">
        <v>25857</v>
      </c>
      <c r="AC441" s="31" t="s">
        <v>25858</v>
      </c>
      <c r="AD441" s="31" t="s">
        <v>25859</v>
      </c>
      <c r="AE441" s="31" t="s">
        <v>25860</v>
      </c>
      <c r="AF441" s="31" t="s">
        <v>25861</v>
      </c>
      <c r="AG441" s="31" t="s">
        <v>25862</v>
      </c>
      <c r="AH441" s="31" t="s">
        <v>25863</v>
      </c>
      <c r="AI441" s="31" t="n">
        <v>54</v>
      </c>
      <c r="AJ441" s="31" t="n">
        <v>0</v>
      </c>
      <c r="AK441" s="31" t="n">
        <v>1</v>
      </c>
      <c r="AL441" s="31" t="s">
        <v>16855</v>
      </c>
      <c r="AM441" s="31" t="s">
        <v>16856</v>
      </c>
      <c r="AN441" s="31" t="s">
        <v>16857</v>
      </c>
      <c r="AO441" s="31"/>
      <c r="AP441" s="31" t="s">
        <v>16858</v>
      </c>
      <c r="AQ441" s="31" t="s">
        <v>16859</v>
      </c>
      <c r="AR441" s="31" t="s">
        <v>16683</v>
      </c>
      <c r="AS441" s="31"/>
      <c r="AT441" s="31"/>
      <c r="AU441" s="31" t="s">
        <v>25864</v>
      </c>
      <c r="AV441" s="31" t="s">
        <v>25865</v>
      </c>
      <c r="AW441" s="35" t="str">
        <f aca="false">HYPERLINK("http://dx.doi.org/10.1371/journal.pntd.0007400","http://dx.doi.org/10.1371/journal.pntd.0007400")</f>
        <v>http://dx.doi.org/10.1371/journal.pntd.0007400</v>
      </c>
      <c r="AX441" s="31"/>
      <c r="AY441" s="31" t="n">
        <v>22</v>
      </c>
      <c r="AZ441" s="31" t="s">
        <v>16862</v>
      </c>
      <c r="BA441" s="31" t="s">
        <v>16366</v>
      </c>
      <c r="BB441" s="31" t="s">
        <v>16862</v>
      </c>
      <c r="BC441" s="31" t="s">
        <v>25866</v>
      </c>
      <c r="BD441" s="31" t="n">
        <v>31181059</v>
      </c>
      <c r="BE441" s="31" t="s">
        <v>17168</v>
      </c>
      <c r="BF441" s="31" t="s">
        <v>16369</v>
      </c>
      <c r="BG441" s="31" t="s">
        <v>25867</v>
      </c>
      <c r="BH441" s="31" t="str">
        <f aca="false">HYPERLINK("https%3A%2F%2Fwww.webofscience.com%2Fwos%2Fwoscc%2Ffull-record%2FWOS:000473779100022","View Full Record in Web of Science")</f>
        <v>View Full Record in Web of Science</v>
      </c>
      <c r="BI441" s="31"/>
      <c r="BJ441" s="31"/>
      <c r="BK441" s="31"/>
      <c r="BL441" s="31"/>
      <c r="BM441" s="31"/>
      <c r="BN441" s="31"/>
      <c r="BO441" s="31"/>
      <c r="BP441" s="31"/>
      <c r="BQ441" s="31"/>
      <c r="BR441" s="31"/>
      <c r="BS441" s="31"/>
      <c r="BT441" s="31"/>
      <c r="BU441" s="31"/>
      <c r="BV441" s="31"/>
      <c r="BW441" s="31"/>
      <c r="BX441" s="31"/>
      <c r="BY441" s="31"/>
      <c r="BZ441" s="31"/>
      <c r="CA441" s="31"/>
      <c r="CB441" s="31"/>
      <c r="CC441" s="31"/>
      <c r="CD441" s="31"/>
      <c r="CE441" s="31"/>
      <c r="CF441" s="31"/>
    </row>
    <row r="442" customFormat="false" ht="15.75" hidden="false" customHeight="true" outlineLevel="0" collapsed="false">
      <c r="A442" s="31" t="s">
        <v>16335</v>
      </c>
      <c r="B442" s="31" t="s">
        <v>25868</v>
      </c>
      <c r="C442" s="31" t="s">
        <v>25869</v>
      </c>
      <c r="D442" s="34" t="s">
        <v>25870</v>
      </c>
      <c r="E442" s="31" t="n">
        <v>2019</v>
      </c>
      <c r="F442" s="33" t="s">
        <v>25871</v>
      </c>
      <c r="G442" s="33" t="s">
        <v>1230</v>
      </c>
      <c r="H442" s="32" t="s">
        <v>25872</v>
      </c>
      <c r="I442" s="32"/>
      <c r="J442" s="34"/>
      <c r="K442" s="32" t="s">
        <v>25198</v>
      </c>
      <c r="L442" s="32" t="s">
        <v>3754</v>
      </c>
      <c r="M442" s="32" t="s">
        <v>25873</v>
      </c>
      <c r="N442" s="32" t="s">
        <v>25874</v>
      </c>
      <c r="O442" s="34"/>
      <c r="P442" s="34" t="n">
        <v>63</v>
      </c>
      <c r="Q442" s="31" t="n">
        <v>66</v>
      </c>
      <c r="R442" s="31" t="s">
        <v>61</v>
      </c>
      <c r="S442" s="31" t="s">
        <v>62</v>
      </c>
      <c r="T442" s="31" t="s">
        <v>25875</v>
      </c>
      <c r="U442" s="31" t="n">
        <v>11</v>
      </c>
      <c r="V442" s="31" t="s">
        <v>4048</v>
      </c>
      <c r="W442" s="31" t="n">
        <v>5</v>
      </c>
      <c r="X442" s="31" t="s">
        <v>25876</v>
      </c>
      <c r="Y442" s="31" t="s">
        <v>25877</v>
      </c>
      <c r="Z442" s="31" t="s">
        <v>25878</v>
      </c>
      <c r="AA442" s="31" t="s">
        <v>25879</v>
      </c>
      <c r="AB442" s="31" t="s">
        <v>25880</v>
      </c>
      <c r="AC442" s="31" t="s">
        <v>25881</v>
      </c>
      <c r="AD442" s="31" t="s">
        <v>25882</v>
      </c>
      <c r="AE442" s="31" t="s">
        <v>25883</v>
      </c>
      <c r="AF442" s="31" t="s">
        <v>25884</v>
      </c>
      <c r="AG442" s="31" t="s">
        <v>25885</v>
      </c>
      <c r="AH442" s="31" t="s">
        <v>25886</v>
      </c>
      <c r="AI442" s="31" t="n">
        <v>100</v>
      </c>
      <c r="AJ442" s="31" t="n">
        <v>2</v>
      </c>
      <c r="AK442" s="31" t="n">
        <v>48</v>
      </c>
      <c r="AL442" s="31" t="s">
        <v>16769</v>
      </c>
      <c r="AM442" s="31" t="s">
        <v>16770</v>
      </c>
      <c r="AN442" s="31"/>
      <c r="AO442" s="31" t="s">
        <v>25887</v>
      </c>
      <c r="AP442" s="31" t="s">
        <v>25888</v>
      </c>
      <c r="AQ442" s="31" t="s">
        <v>25889</v>
      </c>
      <c r="AR442" s="31" t="s">
        <v>20049</v>
      </c>
      <c r="AS442" s="31"/>
      <c r="AT442" s="31"/>
      <c r="AU442" s="31" t="n">
        <v>593</v>
      </c>
      <c r="AV442" s="31" t="s">
        <v>25890</v>
      </c>
      <c r="AW442" s="35" t="str">
        <f aca="false">HYPERLINK("http://dx.doi.org/10.3390/rs11050593","http://dx.doi.org/10.3390/rs11050593")</f>
        <v>http://dx.doi.org/10.3390/rs11050593</v>
      </c>
      <c r="AX442" s="31"/>
      <c r="AY442" s="31" t="n">
        <v>25</v>
      </c>
      <c r="AZ442" s="31" t="s">
        <v>25891</v>
      </c>
      <c r="BA442" s="31" t="s">
        <v>16366</v>
      </c>
      <c r="BB442" s="31" t="s">
        <v>25892</v>
      </c>
      <c r="BC442" s="31" t="s">
        <v>25893</v>
      </c>
      <c r="BD442" s="31"/>
      <c r="BE442" s="31" t="s">
        <v>19320</v>
      </c>
      <c r="BF442" s="31" t="s">
        <v>16369</v>
      </c>
      <c r="BG442" s="31" t="s">
        <v>25894</v>
      </c>
      <c r="BH442" s="31" t="str">
        <f aca="false">HYPERLINK("https%3A%2F%2Fwww.webofscience.com%2Fwos%2Fwoscc%2Ffull-record%2FWOS:000462544500121","View Full Record in Web of Science")</f>
        <v>View Full Record in Web of Science</v>
      </c>
      <c r="BI442" s="31"/>
      <c r="BJ442" s="31"/>
      <c r="BK442" s="31"/>
      <c r="BL442" s="31"/>
      <c r="BM442" s="31"/>
      <c r="BN442" s="31"/>
      <c r="BO442" s="31"/>
      <c r="BP442" s="31"/>
      <c r="BQ442" s="31"/>
      <c r="BR442" s="31"/>
      <c r="BS442" s="31"/>
      <c r="BT442" s="31"/>
      <c r="BU442" s="31"/>
      <c r="BV442" s="31"/>
      <c r="BW442" s="31"/>
      <c r="BX442" s="31"/>
      <c r="BY442" s="31"/>
      <c r="BZ442" s="31"/>
      <c r="CA442" s="31"/>
      <c r="CB442" s="31"/>
      <c r="CC442" s="31"/>
      <c r="CD442" s="31"/>
      <c r="CE442" s="31"/>
      <c r="CF442" s="31"/>
    </row>
    <row r="443" customFormat="false" ht="15.75" hidden="false" customHeight="true" outlineLevel="0" collapsed="false">
      <c r="A443" s="31" t="s">
        <v>16335</v>
      </c>
      <c r="B443" s="31" t="s">
        <v>25895</v>
      </c>
      <c r="C443" s="31" t="s">
        <v>25896</v>
      </c>
      <c r="D443" s="34" t="s">
        <v>25897</v>
      </c>
      <c r="E443" s="31" t="n">
        <v>2019</v>
      </c>
      <c r="F443" s="33" t="s">
        <v>25898</v>
      </c>
      <c r="G443" s="33" t="s">
        <v>349</v>
      </c>
      <c r="H443" s="32" t="s">
        <v>25899</v>
      </c>
      <c r="I443" s="32" t="s">
        <v>25900</v>
      </c>
      <c r="J443" s="34"/>
      <c r="K443" s="32" t="s">
        <v>16409</v>
      </c>
      <c r="L443" s="34"/>
      <c r="M443" s="34"/>
      <c r="N443" s="34"/>
      <c r="O443" s="34"/>
      <c r="P443" s="34" t="n">
        <v>0</v>
      </c>
      <c r="Q443" s="31" t="n">
        <v>0</v>
      </c>
      <c r="R443" s="31" t="s">
        <v>61</v>
      </c>
      <c r="S443" s="31" t="s">
        <v>62</v>
      </c>
      <c r="T443" s="31" t="s">
        <v>25901</v>
      </c>
      <c r="U443" s="31" t="n">
        <v>15</v>
      </c>
      <c r="V443" s="31" t="s">
        <v>24163</v>
      </c>
      <c r="W443" s="31" t="n">
        <v>2</v>
      </c>
      <c r="X443" s="31" t="s">
        <v>25902</v>
      </c>
      <c r="Y443" s="31" t="s">
        <v>25903</v>
      </c>
      <c r="Z443" s="31" t="s">
        <v>25904</v>
      </c>
      <c r="AA443" s="31" t="s">
        <v>25905</v>
      </c>
      <c r="AB443" s="31" t="s">
        <v>25906</v>
      </c>
      <c r="AC443" s="31" t="s">
        <v>25907</v>
      </c>
      <c r="AD443" s="31"/>
      <c r="AE443" s="31"/>
      <c r="AF443" s="31"/>
      <c r="AG443" s="31"/>
      <c r="AH443" s="31"/>
      <c r="AI443" s="31" t="n">
        <v>33</v>
      </c>
      <c r="AJ443" s="31" t="n">
        <v>0</v>
      </c>
      <c r="AK443" s="31" t="n">
        <v>2</v>
      </c>
      <c r="AL443" s="31" t="s">
        <v>16421</v>
      </c>
      <c r="AM443" s="31" t="s">
        <v>24172</v>
      </c>
      <c r="AN443" s="31" t="s">
        <v>25908</v>
      </c>
      <c r="AO443" s="31" t="s">
        <v>25909</v>
      </c>
      <c r="AP443" s="31" t="s">
        <v>25910</v>
      </c>
      <c r="AQ443" s="31" t="s">
        <v>25911</v>
      </c>
      <c r="AR443" s="31" t="s">
        <v>17139</v>
      </c>
      <c r="AS443" s="31"/>
      <c r="AT443" s="31"/>
      <c r="AU443" s="31" t="n">
        <v>20170076</v>
      </c>
      <c r="AV443" s="31" t="s">
        <v>25912</v>
      </c>
      <c r="AW443" s="35" t="str">
        <f aca="false">HYPERLINK("http://dx.doi.org/10.1515/ijb-2017-0076","http://dx.doi.org/10.1515/ijb-2017-0076")</f>
        <v>http://dx.doi.org/10.1515/ijb-2017-0076</v>
      </c>
      <c r="AX443" s="31"/>
      <c r="AY443" s="31" t="n">
        <v>19</v>
      </c>
      <c r="AZ443" s="31" t="s">
        <v>25913</v>
      </c>
      <c r="BA443" s="31" t="s">
        <v>16366</v>
      </c>
      <c r="BB443" s="31" t="s">
        <v>25914</v>
      </c>
      <c r="BC443" s="31" t="s">
        <v>25915</v>
      </c>
      <c r="BD443" s="31" t="n">
        <v>31226099</v>
      </c>
      <c r="BE443" s="31" t="s">
        <v>16620</v>
      </c>
      <c r="BF443" s="31" t="s">
        <v>16369</v>
      </c>
      <c r="BG443" s="31" t="s">
        <v>25916</v>
      </c>
      <c r="BH443" s="31" t="str">
        <f aca="false">HYPERLINK("https%3A%2F%2Fwww.webofscience.com%2Fwos%2Fwoscc%2Ffull-record%2FWOS:000501557800006","View Full Record in Web of Science")</f>
        <v>View Full Record in Web of Science</v>
      </c>
      <c r="BI443" s="31"/>
      <c r="BJ443" s="31"/>
      <c r="BK443" s="31"/>
      <c r="BL443" s="31"/>
      <c r="BM443" s="31"/>
      <c r="BN443" s="31"/>
      <c r="BO443" s="31"/>
      <c r="BP443" s="31"/>
      <c r="BQ443" s="31"/>
      <c r="BR443" s="31"/>
      <c r="BS443" s="31" t="s">
        <v>16622</v>
      </c>
      <c r="BT443" s="31"/>
      <c r="BU443" s="31"/>
      <c r="BV443" s="31"/>
      <c r="BW443" s="31"/>
      <c r="BX443" s="31"/>
      <c r="BY443" s="31"/>
      <c r="BZ443" s="31"/>
      <c r="CA443" s="31"/>
      <c r="CB443" s="31"/>
      <c r="CC443" s="31"/>
      <c r="CD443" s="31"/>
      <c r="CE443" s="31"/>
      <c r="CF443" s="31"/>
    </row>
    <row r="444" customFormat="false" ht="15.75" hidden="false" customHeight="true" outlineLevel="0" collapsed="false">
      <c r="A444" s="31" t="s">
        <v>16335</v>
      </c>
      <c r="B444" s="31" t="s">
        <v>25917</v>
      </c>
      <c r="C444" s="31" t="s">
        <v>25918</v>
      </c>
      <c r="D444" s="34" t="s">
        <v>25919</v>
      </c>
      <c r="E444" s="31" t="n">
        <v>2019</v>
      </c>
      <c r="F444" s="33" t="s">
        <v>25920</v>
      </c>
      <c r="G444" s="33" t="s">
        <v>1230</v>
      </c>
      <c r="H444" s="32" t="s">
        <v>20809</v>
      </c>
      <c r="I444" s="34"/>
      <c r="J444" s="34"/>
      <c r="K444" s="32" t="s">
        <v>16840</v>
      </c>
      <c r="L444" s="34"/>
      <c r="M444" s="34"/>
      <c r="N444" s="34"/>
      <c r="O444" s="34"/>
      <c r="P444" s="34" t="n">
        <v>43</v>
      </c>
      <c r="Q444" s="31" t="n">
        <v>45</v>
      </c>
      <c r="R444" s="31" t="s">
        <v>61</v>
      </c>
      <c r="S444" s="31" t="s">
        <v>62</v>
      </c>
      <c r="T444" s="31" t="s">
        <v>25921</v>
      </c>
      <c r="U444" s="31" t="n">
        <v>12</v>
      </c>
      <c r="V444" s="31" t="s">
        <v>17387</v>
      </c>
      <c r="W444" s="31" t="n">
        <v>1</v>
      </c>
      <c r="X444" s="31" t="s">
        <v>25922</v>
      </c>
      <c r="Y444" s="31" t="s">
        <v>21880</v>
      </c>
      <c r="Z444" s="31" t="s">
        <v>25923</v>
      </c>
      <c r="AA444" s="31" t="s">
        <v>25924</v>
      </c>
      <c r="AB444" s="31" t="s">
        <v>25925</v>
      </c>
      <c r="AC444" s="31" t="s">
        <v>25926</v>
      </c>
      <c r="AD444" s="31" t="s">
        <v>25927</v>
      </c>
      <c r="AE444" s="31" t="s">
        <v>25928</v>
      </c>
      <c r="AF444" s="31" t="s">
        <v>25929</v>
      </c>
      <c r="AG444" s="31" t="s">
        <v>25930</v>
      </c>
      <c r="AH444" s="31" t="s">
        <v>25931</v>
      </c>
      <c r="AI444" s="31" t="n">
        <v>33</v>
      </c>
      <c r="AJ444" s="31" t="n">
        <v>1</v>
      </c>
      <c r="AK444" s="31" t="n">
        <v>22</v>
      </c>
      <c r="AL444" s="31" t="s">
        <v>17398</v>
      </c>
      <c r="AM444" s="31" t="s">
        <v>17399</v>
      </c>
      <c r="AN444" s="31" t="s">
        <v>25932</v>
      </c>
      <c r="AO444" s="31"/>
      <c r="AP444" s="31" t="s">
        <v>25921</v>
      </c>
      <c r="AQ444" s="31" t="s">
        <v>25933</v>
      </c>
      <c r="AR444" s="31" t="s">
        <v>25934</v>
      </c>
      <c r="AS444" s="31"/>
      <c r="AT444" s="31"/>
      <c r="AU444" s="31" t="n">
        <v>1552652</v>
      </c>
      <c r="AV444" s="31" t="s">
        <v>25935</v>
      </c>
      <c r="AW444" s="35" t="str">
        <f aca="false">HYPERLINK("http://dx.doi.org/10.1080/16549716.2018.1552652","http://dx.doi.org/10.1080/16549716.2018.1552652")</f>
        <v>http://dx.doi.org/10.1080/16549716.2018.1552652</v>
      </c>
      <c r="AX444" s="31"/>
      <c r="AY444" s="31" t="n">
        <v>8</v>
      </c>
      <c r="AZ444" s="31" t="s">
        <v>16583</v>
      </c>
      <c r="BA444" s="31" t="s">
        <v>16584</v>
      </c>
      <c r="BB444" s="31" t="s">
        <v>16583</v>
      </c>
      <c r="BC444" s="31" t="s">
        <v>25936</v>
      </c>
      <c r="BD444" s="31" t="n">
        <v>31154985</v>
      </c>
      <c r="BE444" s="31" t="s">
        <v>17143</v>
      </c>
      <c r="BF444" s="31" t="s">
        <v>16369</v>
      </c>
      <c r="BG444" s="31" t="s">
        <v>25937</v>
      </c>
      <c r="BH444" s="31" t="str">
        <f aca="false">HYPERLINK("https%3A%2F%2Fwww.webofscience.com%2Fwos%2Fwoscc%2Ffull-record%2FWOS:000455509000001","View Full Record in Web of Science")</f>
        <v>View Full Record in Web of Science</v>
      </c>
      <c r="BI444" s="31"/>
      <c r="BJ444" s="31"/>
      <c r="BK444" s="31"/>
      <c r="BL444" s="31"/>
      <c r="BM444" s="31"/>
      <c r="BN444" s="31"/>
      <c r="BO444" s="31"/>
      <c r="BP444" s="31"/>
      <c r="BQ444" s="31"/>
      <c r="BR444" s="31"/>
      <c r="BS444" s="31"/>
      <c r="BT444" s="31"/>
      <c r="BU444" s="31"/>
      <c r="BV444" s="31"/>
      <c r="BW444" s="31"/>
      <c r="BX444" s="31"/>
      <c r="BY444" s="31"/>
      <c r="BZ444" s="31"/>
      <c r="CA444" s="31"/>
      <c r="CB444" s="31"/>
      <c r="CC444" s="31"/>
      <c r="CD444" s="31"/>
      <c r="CE444" s="31"/>
      <c r="CF444" s="31"/>
    </row>
    <row r="445" customFormat="false" ht="15.75" hidden="false" customHeight="true" outlineLevel="0" collapsed="false">
      <c r="A445" s="31" t="s">
        <v>16335</v>
      </c>
      <c r="B445" s="31" t="s">
        <v>25938</v>
      </c>
      <c r="C445" s="31" t="s">
        <v>25939</v>
      </c>
      <c r="D445" s="34" t="s">
        <v>25940</v>
      </c>
      <c r="E445" s="31" t="n">
        <v>2019</v>
      </c>
      <c r="F445" s="33" t="s">
        <v>25941</v>
      </c>
      <c r="G445" s="33" t="s">
        <v>1230</v>
      </c>
      <c r="H445" s="32" t="s">
        <v>25942</v>
      </c>
      <c r="I445" s="32" t="s">
        <v>25943</v>
      </c>
      <c r="J445" s="34"/>
      <c r="K445" s="32" t="s">
        <v>17573</v>
      </c>
      <c r="L445" s="34"/>
      <c r="M445" s="32" t="s">
        <v>25944</v>
      </c>
      <c r="N445" s="34"/>
      <c r="O445" s="34"/>
      <c r="P445" s="34" t="n">
        <v>33</v>
      </c>
      <c r="Q445" s="31" t="n">
        <v>34</v>
      </c>
      <c r="R445" s="31" t="s">
        <v>61</v>
      </c>
      <c r="S445" s="31" t="s">
        <v>62</v>
      </c>
      <c r="T445" s="31" t="s">
        <v>22641</v>
      </c>
      <c r="U445" s="31" t="n">
        <v>56</v>
      </c>
      <c r="V445" s="31" t="s">
        <v>16531</v>
      </c>
      <c r="W445" s="31" t="n">
        <v>5</v>
      </c>
      <c r="X445" s="31" t="s">
        <v>25945</v>
      </c>
      <c r="Y445" s="31" t="s">
        <v>25946</v>
      </c>
      <c r="Z445" s="31" t="s">
        <v>25947</v>
      </c>
      <c r="AA445" s="31" t="s">
        <v>25948</v>
      </c>
      <c r="AB445" s="31" t="s">
        <v>25949</v>
      </c>
      <c r="AC445" s="31" t="s">
        <v>25950</v>
      </c>
      <c r="AD445" s="31" t="s">
        <v>25951</v>
      </c>
      <c r="AE445" s="31" t="s">
        <v>25952</v>
      </c>
      <c r="AF445" s="31" t="s">
        <v>25953</v>
      </c>
      <c r="AG445" s="31" t="s">
        <v>25954</v>
      </c>
      <c r="AH445" s="31" t="s">
        <v>25955</v>
      </c>
      <c r="AI445" s="31" t="n">
        <v>22</v>
      </c>
      <c r="AJ445" s="31" t="n">
        <v>1</v>
      </c>
      <c r="AK445" s="31" t="n">
        <v>25</v>
      </c>
      <c r="AL445" s="31" t="s">
        <v>16539</v>
      </c>
      <c r="AM445" s="31" t="s">
        <v>16540</v>
      </c>
      <c r="AN445" s="31" t="s">
        <v>22650</v>
      </c>
      <c r="AO445" s="31" t="s">
        <v>22651</v>
      </c>
      <c r="AP445" s="31" t="s">
        <v>22652</v>
      </c>
      <c r="AQ445" s="31" t="s">
        <v>22653</v>
      </c>
      <c r="AR445" s="31" t="s">
        <v>16801</v>
      </c>
      <c r="AS445" s="31" t="n">
        <v>1404</v>
      </c>
      <c r="AT445" s="31" t="n">
        <v>1410</v>
      </c>
      <c r="AU445" s="31"/>
      <c r="AV445" s="31" t="s">
        <v>25956</v>
      </c>
      <c r="AW445" s="35" t="str">
        <f aca="false">HYPERLINK("http://dx.doi.org/10.1093/jme/tjz065","http://dx.doi.org/10.1093/jme/tjz065")</f>
        <v>http://dx.doi.org/10.1093/jme/tjz065</v>
      </c>
      <c r="AX445" s="31"/>
      <c r="AY445" s="31" t="n">
        <v>7</v>
      </c>
      <c r="AZ445" s="31" t="s">
        <v>22656</v>
      </c>
      <c r="BA445" s="31" t="s">
        <v>16366</v>
      </c>
      <c r="BB445" s="31" t="s">
        <v>22656</v>
      </c>
      <c r="BC445" s="31" t="s">
        <v>25957</v>
      </c>
      <c r="BD445" s="31" t="n">
        <v>31121052</v>
      </c>
      <c r="BE445" s="31" t="s">
        <v>17409</v>
      </c>
      <c r="BF445" s="31" t="s">
        <v>16369</v>
      </c>
      <c r="BG445" s="31" t="s">
        <v>25958</v>
      </c>
      <c r="BH445" s="31" t="str">
        <f aca="false">HYPERLINK("https%3A%2F%2Fwww.webofscience.com%2Fwos%2Fwoscc%2Ffull-record%2FWOS:000492054500034","View Full Record in Web of Science")</f>
        <v>View Full Record in Web of Science</v>
      </c>
      <c r="BI445" s="31"/>
      <c r="BJ445" s="31"/>
      <c r="BK445" s="31"/>
      <c r="BL445" s="31"/>
      <c r="BM445" s="31"/>
      <c r="BN445" s="31"/>
      <c r="BO445" s="31"/>
      <c r="BP445" s="31"/>
      <c r="BQ445" s="31"/>
      <c r="BR445" s="31"/>
      <c r="BS445" s="31"/>
      <c r="BT445" s="31"/>
      <c r="BU445" s="31"/>
      <c r="BV445" s="31"/>
      <c r="BW445" s="31"/>
      <c r="BX445" s="31"/>
      <c r="BY445" s="31"/>
      <c r="BZ445" s="31"/>
      <c r="CA445" s="31"/>
      <c r="CB445" s="31"/>
      <c r="CC445" s="31"/>
      <c r="CD445" s="31"/>
      <c r="CE445" s="31"/>
      <c r="CF445" s="31"/>
    </row>
    <row r="446" customFormat="false" ht="15.75" hidden="false" customHeight="true" outlineLevel="0" collapsed="false">
      <c r="A446" s="31" t="s">
        <v>16335</v>
      </c>
      <c r="B446" s="31" t="s">
        <v>25959</v>
      </c>
      <c r="C446" s="31" t="s">
        <v>25960</v>
      </c>
      <c r="D446" s="34" t="s">
        <v>25961</v>
      </c>
      <c r="E446" s="31" t="n">
        <v>2019</v>
      </c>
      <c r="F446" s="33" t="s">
        <v>25962</v>
      </c>
      <c r="G446" s="33" t="s">
        <v>1230</v>
      </c>
      <c r="H446" s="32" t="s">
        <v>25963</v>
      </c>
      <c r="I446" s="32" t="s">
        <v>22885</v>
      </c>
      <c r="J446" s="34"/>
      <c r="K446" s="32" t="s">
        <v>25198</v>
      </c>
      <c r="L446" s="32" t="s">
        <v>3754</v>
      </c>
      <c r="M446" s="34"/>
      <c r="N446" s="34"/>
      <c r="O446" s="34"/>
      <c r="P446" s="34" t="n">
        <v>35</v>
      </c>
      <c r="Q446" s="31" t="n">
        <v>39</v>
      </c>
      <c r="R446" s="31" t="s">
        <v>61</v>
      </c>
      <c r="S446" s="31" t="s">
        <v>62</v>
      </c>
      <c r="T446" s="31" t="s">
        <v>17598</v>
      </c>
      <c r="U446" s="31" t="n">
        <v>18</v>
      </c>
      <c r="V446" s="31" t="s">
        <v>17599</v>
      </c>
      <c r="W446" s="31" t="n">
        <v>1</v>
      </c>
      <c r="X446" s="31" t="s">
        <v>25964</v>
      </c>
      <c r="Y446" s="31" t="s">
        <v>25965</v>
      </c>
      <c r="Z446" s="31" t="s">
        <v>25966</v>
      </c>
      <c r="AA446" s="31" t="s">
        <v>25967</v>
      </c>
      <c r="AB446" s="31" t="s">
        <v>25968</v>
      </c>
      <c r="AC446" s="31" t="s">
        <v>25969</v>
      </c>
      <c r="AD446" s="31" t="s">
        <v>25970</v>
      </c>
      <c r="AE446" s="31" t="s">
        <v>25971</v>
      </c>
      <c r="AF446" s="31" t="s">
        <v>25972</v>
      </c>
      <c r="AG446" s="31" t="s">
        <v>25973</v>
      </c>
      <c r="AH446" s="31" t="s">
        <v>25974</v>
      </c>
      <c r="AI446" s="31" t="n">
        <v>63</v>
      </c>
      <c r="AJ446" s="31" t="n">
        <v>1</v>
      </c>
      <c r="AK446" s="31" t="n">
        <v>16</v>
      </c>
      <c r="AL446" s="31" t="s">
        <v>16821</v>
      </c>
      <c r="AM446" s="31" t="s">
        <v>17609</v>
      </c>
      <c r="AN446" s="31"/>
      <c r="AO446" s="31" t="s">
        <v>17610</v>
      </c>
      <c r="AP446" s="31" t="s">
        <v>17611</v>
      </c>
      <c r="AQ446" s="31" t="s">
        <v>914</v>
      </c>
      <c r="AR446" s="31" t="s">
        <v>18871</v>
      </c>
      <c r="AS446" s="31"/>
      <c r="AT446" s="31"/>
      <c r="AU446" s="31" t="n">
        <v>341</v>
      </c>
      <c r="AV446" s="31" t="s">
        <v>25975</v>
      </c>
      <c r="AW446" s="35" t="str">
        <f aca="false">HYPERLINK("http://dx.doi.org/10.1186/s12936-019-2982-9","http://dx.doi.org/10.1186/s12936-019-2982-9")</f>
        <v>http://dx.doi.org/10.1186/s12936-019-2982-9</v>
      </c>
      <c r="AX446" s="31"/>
      <c r="AY446" s="31" t="n">
        <v>13</v>
      </c>
      <c r="AZ446" s="31" t="s">
        <v>16862</v>
      </c>
      <c r="BA446" s="31" t="s">
        <v>16366</v>
      </c>
      <c r="BB446" s="31" t="s">
        <v>16862</v>
      </c>
      <c r="BC446" s="31" t="s">
        <v>25976</v>
      </c>
      <c r="BD446" s="31" t="n">
        <v>31590669</v>
      </c>
      <c r="BE446" s="31" t="s">
        <v>25977</v>
      </c>
      <c r="BF446" s="31" t="s">
        <v>16369</v>
      </c>
      <c r="BG446" s="31" t="s">
        <v>25978</v>
      </c>
      <c r="BH446" s="31" t="str">
        <f aca="false">HYPERLINK("https%3A%2F%2Fwww.webofscience.com%2Fwos%2Fwoscc%2Ffull-record%2FWOS:000489127800003","View Full Record in Web of Science")</f>
        <v>View Full Record in Web of Science</v>
      </c>
      <c r="BI446" s="31"/>
      <c r="BJ446" s="31"/>
      <c r="BK446" s="31"/>
      <c r="BL446" s="31"/>
      <c r="BM446" s="31"/>
      <c r="BN446" s="31"/>
      <c r="BO446" s="31"/>
      <c r="BP446" s="31"/>
      <c r="BQ446" s="31"/>
      <c r="BR446" s="31"/>
      <c r="BS446" s="31"/>
      <c r="BT446" s="31"/>
      <c r="BU446" s="31"/>
      <c r="BV446" s="31"/>
      <c r="BW446" s="31"/>
      <c r="BX446" s="31"/>
      <c r="BY446" s="31"/>
      <c r="BZ446" s="31"/>
      <c r="CA446" s="31"/>
      <c r="CB446" s="31"/>
      <c r="CC446" s="31"/>
      <c r="CD446" s="31"/>
      <c r="CE446" s="31"/>
      <c r="CF446" s="31"/>
    </row>
    <row r="447" customFormat="false" ht="15.75" hidden="false" customHeight="true" outlineLevel="0" collapsed="false">
      <c r="A447" s="31" t="s">
        <v>16335</v>
      </c>
      <c r="B447" s="31" t="s">
        <v>25979</v>
      </c>
      <c r="C447" s="31" t="s">
        <v>25980</v>
      </c>
      <c r="D447" s="34" t="s">
        <v>25981</v>
      </c>
      <c r="E447" s="31" t="n">
        <v>2019</v>
      </c>
      <c r="F447" s="33" t="s">
        <v>25982</v>
      </c>
      <c r="G447" s="33" t="s">
        <v>134</v>
      </c>
      <c r="H447" s="32" t="s">
        <v>4101</v>
      </c>
      <c r="I447" s="34"/>
      <c r="J447" s="34"/>
      <c r="K447" s="32" t="s">
        <v>22030</v>
      </c>
      <c r="L447" s="34"/>
      <c r="M447" s="34"/>
      <c r="N447" s="34"/>
      <c r="O447" s="34"/>
      <c r="P447" s="34" t="n">
        <v>21</v>
      </c>
      <c r="Q447" s="31" t="n">
        <v>22</v>
      </c>
      <c r="R447" s="31" t="s">
        <v>61</v>
      </c>
      <c r="S447" s="31" t="s">
        <v>62</v>
      </c>
      <c r="T447" s="31" t="s">
        <v>17694</v>
      </c>
      <c r="U447" s="31" t="n">
        <v>2019</v>
      </c>
      <c r="V447" s="31" t="s">
        <v>17360</v>
      </c>
      <c r="W447" s="31"/>
      <c r="X447" s="31"/>
      <c r="Y447" s="31" t="s">
        <v>25983</v>
      </c>
      <c r="Z447" s="31" t="s">
        <v>25984</v>
      </c>
      <c r="AA447" s="31" t="s">
        <v>25985</v>
      </c>
      <c r="AB447" s="31" t="s">
        <v>25986</v>
      </c>
      <c r="AC447" s="31" t="s">
        <v>25987</v>
      </c>
      <c r="AD447" s="31" t="s">
        <v>25988</v>
      </c>
      <c r="AE447" s="31" t="s">
        <v>25989</v>
      </c>
      <c r="AF447" s="31" t="s">
        <v>25990</v>
      </c>
      <c r="AG447" s="31" t="s">
        <v>25991</v>
      </c>
      <c r="AH447" s="31" t="s">
        <v>25992</v>
      </c>
      <c r="AI447" s="31" t="n">
        <v>33</v>
      </c>
      <c r="AJ447" s="31" t="n">
        <v>0</v>
      </c>
      <c r="AK447" s="31" t="n">
        <v>3</v>
      </c>
      <c r="AL447" s="31" t="s">
        <v>16821</v>
      </c>
      <c r="AM447" s="31" t="s">
        <v>17371</v>
      </c>
      <c r="AN447" s="31" t="s">
        <v>17705</v>
      </c>
      <c r="AO447" s="31" t="s">
        <v>17706</v>
      </c>
      <c r="AP447" s="31" t="s">
        <v>17707</v>
      </c>
      <c r="AQ447" s="31" t="s">
        <v>17708</v>
      </c>
      <c r="AR447" s="31" t="s">
        <v>25993</v>
      </c>
      <c r="AS447" s="31"/>
      <c r="AT447" s="31"/>
      <c r="AU447" s="31" t="n">
        <v>8240784</v>
      </c>
      <c r="AV447" s="31" t="s">
        <v>25994</v>
      </c>
      <c r="AW447" s="35" t="str">
        <f aca="false">HYPERLINK("http://dx.doi.org/10.1155/2019/8240784","http://dx.doi.org/10.1155/2019/8240784")</f>
        <v>http://dx.doi.org/10.1155/2019/8240784</v>
      </c>
      <c r="AX447" s="31"/>
      <c r="AY447" s="31" t="n">
        <v>7</v>
      </c>
      <c r="AZ447" s="31" t="s">
        <v>17711</v>
      </c>
      <c r="BA447" s="31" t="s">
        <v>16366</v>
      </c>
      <c r="BB447" s="31" t="s">
        <v>17712</v>
      </c>
      <c r="BC447" s="31" t="s">
        <v>25995</v>
      </c>
      <c r="BD447" s="31" t="n">
        <v>31428648</v>
      </c>
      <c r="BE447" s="31" t="s">
        <v>17117</v>
      </c>
      <c r="BF447" s="31" t="s">
        <v>16369</v>
      </c>
      <c r="BG447" s="31" t="s">
        <v>25996</v>
      </c>
      <c r="BH447" s="31" t="str">
        <f aca="false">HYPERLINK("https%3A%2F%2Fwww.webofscience.com%2Fwos%2Fwoscc%2Ffull-record%2FWOS:000478947300001","View Full Record in Web of Science")</f>
        <v>View Full Record in Web of Science</v>
      </c>
      <c r="BI447" s="31"/>
      <c r="BJ447" s="31"/>
      <c r="BK447" s="31"/>
      <c r="BL447" s="31"/>
      <c r="BM447" s="31"/>
      <c r="BN447" s="31"/>
      <c r="BO447" s="31"/>
      <c r="BP447" s="31"/>
      <c r="BQ447" s="31"/>
      <c r="BR447" s="31"/>
      <c r="BS447" s="31"/>
      <c r="BT447" s="31"/>
      <c r="BU447" s="31"/>
      <c r="BV447" s="31"/>
      <c r="BW447" s="31"/>
      <c r="BX447" s="31"/>
      <c r="BY447" s="31"/>
      <c r="BZ447" s="31"/>
      <c r="CA447" s="31"/>
      <c r="CB447" s="31"/>
      <c r="CC447" s="31"/>
      <c r="CD447" s="31"/>
      <c r="CE447" s="31"/>
      <c r="CF447" s="31"/>
    </row>
    <row r="448" customFormat="false" ht="15.75" hidden="false" customHeight="true" outlineLevel="0" collapsed="false">
      <c r="A448" s="31" t="s">
        <v>16335</v>
      </c>
      <c r="B448" s="31" t="s">
        <v>25997</v>
      </c>
      <c r="C448" s="31" t="s">
        <v>25998</v>
      </c>
      <c r="D448" s="34" t="s">
        <v>25999</v>
      </c>
      <c r="E448" s="31" t="n">
        <v>2019</v>
      </c>
      <c r="F448" s="33" t="s">
        <v>26000</v>
      </c>
      <c r="G448" s="33" t="s">
        <v>1230</v>
      </c>
      <c r="H448" s="32" t="s">
        <v>3920</v>
      </c>
      <c r="I448" s="34"/>
      <c r="J448" s="34"/>
      <c r="K448" s="32" t="s">
        <v>16840</v>
      </c>
      <c r="L448" s="34"/>
      <c r="M448" s="34"/>
      <c r="N448" s="34"/>
      <c r="O448" s="34"/>
      <c r="P448" s="34" t="n">
        <v>51</v>
      </c>
      <c r="Q448" s="31" t="n">
        <v>54</v>
      </c>
      <c r="R448" s="31" t="s">
        <v>61</v>
      </c>
      <c r="S448" s="31" t="s">
        <v>62</v>
      </c>
      <c r="T448" s="31" t="s">
        <v>26001</v>
      </c>
      <c r="U448" s="31" t="n">
        <v>527</v>
      </c>
      <c r="V448" s="31" t="s">
        <v>16349</v>
      </c>
      <c r="W448" s="31"/>
      <c r="X448" s="31" t="s">
        <v>26002</v>
      </c>
      <c r="Y448" s="31" t="s">
        <v>26003</v>
      </c>
      <c r="Z448" s="31" t="s">
        <v>26004</v>
      </c>
      <c r="AA448" s="31" t="s">
        <v>26005</v>
      </c>
      <c r="AB448" s="31" t="s">
        <v>26006</v>
      </c>
      <c r="AC448" s="31" t="s">
        <v>26007</v>
      </c>
      <c r="AD448" s="31" t="s">
        <v>26008</v>
      </c>
      <c r="AE448" s="31" t="s">
        <v>26009</v>
      </c>
      <c r="AF448" s="31" t="s">
        <v>26010</v>
      </c>
      <c r="AG448" s="31" t="s">
        <v>26010</v>
      </c>
      <c r="AH448" s="31" t="s">
        <v>26011</v>
      </c>
      <c r="AI448" s="31" t="n">
        <v>35</v>
      </c>
      <c r="AJ448" s="31" t="n">
        <v>2</v>
      </c>
      <c r="AK448" s="31" t="n">
        <v>21</v>
      </c>
      <c r="AL448" s="31" t="s">
        <v>16356</v>
      </c>
      <c r="AM448" s="31" t="s">
        <v>16357</v>
      </c>
      <c r="AN448" s="31" t="s">
        <v>26012</v>
      </c>
      <c r="AO448" s="31" t="s">
        <v>26013</v>
      </c>
      <c r="AP448" s="31" t="s">
        <v>26014</v>
      </c>
      <c r="AQ448" s="31" t="s">
        <v>26015</v>
      </c>
      <c r="AR448" s="31" t="s">
        <v>20191</v>
      </c>
      <c r="AS448" s="31"/>
      <c r="AT448" s="31"/>
      <c r="AU448" s="31" t="n">
        <v>121266</v>
      </c>
      <c r="AV448" s="31" t="s">
        <v>26016</v>
      </c>
      <c r="AW448" s="35" t="str">
        <f aca="false">HYPERLINK("http://dx.doi.org/10.1016/j.physa.2019.121266","http://dx.doi.org/10.1016/j.physa.2019.121266")</f>
        <v>http://dx.doi.org/10.1016/j.physa.2019.121266</v>
      </c>
      <c r="AX448" s="31"/>
      <c r="AY448" s="31" t="n">
        <v>8</v>
      </c>
      <c r="AZ448" s="31" t="s">
        <v>16460</v>
      </c>
      <c r="BA448" s="31" t="s">
        <v>16366</v>
      </c>
      <c r="BB448" s="31" t="s">
        <v>16461</v>
      </c>
      <c r="BC448" s="31" t="s">
        <v>26017</v>
      </c>
      <c r="BD448" s="31"/>
      <c r="BE448" s="31" t="s">
        <v>17409</v>
      </c>
      <c r="BF448" s="31" t="s">
        <v>16369</v>
      </c>
      <c r="BG448" s="31" t="s">
        <v>26018</v>
      </c>
      <c r="BH448" s="31" t="str">
        <f aca="false">HYPERLINK("https%3A%2F%2Fwww.webofscience.com%2Fwos%2Fwoscc%2Ffull-record%2FWOS:000480625700084","View Full Record in Web of Science")</f>
        <v>View Full Record in Web of Science</v>
      </c>
      <c r="BI448" s="31"/>
      <c r="BJ448" s="31"/>
      <c r="BK448" s="31"/>
      <c r="BL448" s="31"/>
      <c r="BM448" s="31"/>
      <c r="BN448" s="31"/>
      <c r="BO448" s="31"/>
      <c r="BP448" s="31"/>
      <c r="BQ448" s="31"/>
      <c r="BR448" s="31"/>
      <c r="BS448" s="31"/>
      <c r="BT448" s="31"/>
      <c r="BU448" s="31"/>
      <c r="BV448" s="31"/>
      <c r="BW448" s="31"/>
      <c r="BX448" s="31"/>
      <c r="BY448" s="31"/>
      <c r="BZ448" s="31"/>
      <c r="CA448" s="31"/>
      <c r="CB448" s="31"/>
      <c r="CC448" s="31"/>
      <c r="CD448" s="31"/>
      <c r="CE448" s="31"/>
      <c r="CF448" s="31"/>
    </row>
    <row r="449" customFormat="false" ht="15.75" hidden="false" customHeight="true" outlineLevel="0" collapsed="false">
      <c r="A449" s="31" t="s">
        <v>16335</v>
      </c>
      <c r="B449" s="31" t="s">
        <v>26019</v>
      </c>
      <c r="C449" s="31" t="s">
        <v>26020</v>
      </c>
      <c r="D449" s="34" t="s">
        <v>26021</v>
      </c>
      <c r="E449" s="31" t="n">
        <v>2019</v>
      </c>
      <c r="F449" s="33" t="s">
        <v>26022</v>
      </c>
      <c r="G449" s="33" t="s">
        <v>1230</v>
      </c>
      <c r="H449" s="32" t="s">
        <v>3992</v>
      </c>
      <c r="I449" s="34"/>
      <c r="J449" s="34"/>
      <c r="K449" s="32" t="s">
        <v>26023</v>
      </c>
      <c r="L449" s="32" t="s">
        <v>3754</v>
      </c>
      <c r="M449" s="32" t="s">
        <v>26024</v>
      </c>
      <c r="N449" s="34"/>
      <c r="O449" s="34"/>
      <c r="P449" s="34" t="n">
        <v>23</v>
      </c>
      <c r="Q449" s="31" t="n">
        <v>26</v>
      </c>
      <c r="R449" s="31" t="s">
        <v>61</v>
      </c>
      <c r="S449" s="31" t="s">
        <v>62</v>
      </c>
      <c r="T449" s="31" t="s">
        <v>24057</v>
      </c>
      <c r="U449" s="31" t="n">
        <v>5</v>
      </c>
      <c r="V449" s="31" t="s">
        <v>24058</v>
      </c>
      <c r="W449" s="31" t="n">
        <v>2</v>
      </c>
      <c r="X449" s="31" t="s">
        <v>26025</v>
      </c>
      <c r="Y449" s="31" t="s">
        <v>26026</v>
      </c>
      <c r="Z449" s="31" t="s">
        <v>26027</v>
      </c>
      <c r="AA449" s="31" t="s">
        <v>26028</v>
      </c>
      <c r="AB449" s="31" t="s">
        <v>26029</v>
      </c>
      <c r="AC449" s="31" t="s">
        <v>26030</v>
      </c>
      <c r="AD449" s="31" t="s">
        <v>26031</v>
      </c>
      <c r="AE449" s="31" t="s">
        <v>26032</v>
      </c>
      <c r="AF449" s="31"/>
      <c r="AG449" s="31"/>
      <c r="AH449" s="31"/>
      <c r="AI449" s="31" t="n">
        <v>59</v>
      </c>
      <c r="AJ449" s="31" t="n">
        <v>1</v>
      </c>
      <c r="AK449" s="31" t="n">
        <v>17</v>
      </c>
      <c r="AL449" s="31" t="s">
        <v>24069</v>
      </c>
      <c r="AM449" s="31" t="s">
        <v>24552</v>
      </c>
      <c r="AN449" s="31" t="s">
        <v>24071</v>
      </c>
      <c r="AO449" s="31"/>
      <c r="AP449" s="31" t="s">
        <v>24072</v>
      </c>
      <c r="AQ449" s="31" t="s">
        <v>24073</v>
      </c>
      <c r="AR449" s="31" t="s">
        <v>26033</v>
      </c>
      <c r="AS449" s="31" t="n">
        <v>78</v>
      </c>
      <c r="AT449" s="31" t="n">
        <v>96</v>
      </c>
      <c r="AU449" s="31" t="s">
        <v>26034</v>
      </c>
      <c r="AV449" s="31" t="s">
        <v>26035</v>
      </c>
      <c r="AW449" s="35" t="str">
        <f aca="false">HYPERLINK("http://dx.doi.org/10.2196/11036","http://dx.doi.org/10.2196/11036")</f>
        <v>http://dx.doi.org/10.2196/11036</v>
      </c>
      <c r="AX449" s="31"/>
      <c r="AY449" s="31" t="n">
        <v>19</v>
      </c>
      <c r="AZ449" s="31" t="s">
        <v>16583</v>
      </c>
      <c r="BA449" s="31" t="s">
        <v>16584</v>
      </c>
      <c r="BB449" s="31" t="s">
        <v>16583</v>
      </c>
      <c r="BC449" s="31" t="s">
        <v>26036</v>
      </c>
      <c r="BD449" s="31" t="n">
        <v>31165711</v>
      </c>
      <c r="BE449" s="31" t="s">
        <v>16832</v>
      </c>
      <c r="BF449" s="31" t="s">
        <v>16369</v>
      </c>
      <c r="BG449" s="31" t="s">
        <v>26037</v>
      </c>
      <c r="BH449" s="31" t="str">
        <f aca="false">HYPERLINK("https%3A%2F%2Fwww.webofscience.com%2Fwos%2Fwoscc%2Ffull-record%2FWOS:000526816400007","View Full Record in Web of Science")</f>
        <v>View Full Record in Web of Science</v>
      </c>
      <c r="BI449" s="31"/>
      <c r="BJ449" s="31"/>
      <c r="BK449" s="31"/>
      <c r="BL449" s="31"/>
      <c r="BM449" s="31"/>
      <c r="BN449" s="31"/>
      <c r="BO449" s="31"/>
      <c r="BP449" s="31"/>
      <c r="BQ449" s="31"/>
      <c r="BR449" s="31"/>
      <c r="BS449" s="31"/>
      <c r="BT449" s="31"/>
      <c r="BU449" s="31"/>
      <c r="BV449" s="31"/>
      <c r="BW449" s="31"/>
      <c r="BX449" s="31"/>
      <c r="BY449" s="31"/>
      <c r="BZ449" s="31"/>
      <c r="CA449" s="31"/>
      <c r="CB449" s="31"/>
      <c r="CC449" s="31"/>
      <c r="CD449" s="31"/>
      <c r="CE449" s="31"/>
      <c r="CF449" s="31"/>
    </row>
    <row r="450" customFormat="false" ht="15.75" hidden="false" customHeight="true" outlineLevel="0" collapsed="false">
      <c r="A450" s="31" t="s">
        <v>16335</v>
      </c>
      <c r="B450" s="31" t="s">
        <v>26038</v>
      </c>
      <c r="C450" s="31" t="s">
        <v>26039</v>
      </c>
      <c r="D450" s="34" t="s">
        <v>26040</v>
      </c>
      <c r="E450" s="31" t="n">
        <v>2019</v>
      </c>
      <c r="F450" s="33" t="s">
        <v>26041</v>
      </c>
      <c r="G450" s="33" t="s">
        <v>1230</v>
      </c>
      <c r="H450" s="32" t="s">
        <v>3992</v>
      </c>
      <c r="I450" s="34"/>
      <c r="J450" s="34"/>
      <c r="K450" s="32" t="s">
        <v>22363</v>
      </c>
      <c r="L450" s="32" t="s">
        <v>3754</v>
      </c>
      <c r="M450" s="34"/>
      <c r="N450" s="34"/>
      <c r="O450" s="34"/>
      <c r="P450" s="34" t="n">
        <v>28</v>
      </c>
      <c r="Q450" s="31" t="n">
        <v>31</v>
      </c>
      <c r="R450" s="31" t="s">
        <v>61</v>
      </c>
      <c r="S450" s="31" t="s">
        <v>62</v>
      </c>
      <c r="T450" s="31" t="s">
        <v>26042</v>
      </c>
      <c r="U450" s="31" t="n">
        <v>21</v>
      </c>
      <c r="V450" s="31" t="s">
        <v>24058</v>
      </c>
      <c r="W450" s="31" t="n">
        <v>5</v>
      </c>
      <c r="X450" s="31" t="s">
        <v>26043</v>
      </c>
      <c r="Y450" s="31" t="s">
        <v>26044</v>
      </c>
      <c r="Z450" s="31" t="s">
        <v>26045</v>
      </c>
      <c r="AA450" s="31" t="s">
        <v>26046</v>
      </c>
      <c r="AB450" s="31" t="s">
        <v>26047</v>
      </c>
      <c r="AC450" s="31" t="s">
        <v>26048</v>
      </c>
      <c r="AD450" s="31"/>
      <c r="AE450" s="31"/>
      <c r="AF450" s="31"/>
      <c r="AG450" s="31"/>
      <c r="AH450" s="31"/>
      <c r="AI450" s="31" t="n">
        <v>74</v>
      </c>
      <c r="AJ450" s="31" t="n">
        <v>0</v>
      </c>
      <c r="AK450" s="31" t="n">
        <v>20</v>
      </c>
      <c r="AL450" s="31" t="s">
        <v>24069</v>
      </c>
      <c r="AM450" s="31" t="s">
        <v>24552</v>
      </c>
      <c r="AN450" s="31" t="s">
        <v>26049</v>
      </c>
      <c r="AO450" s="31"/>
      <c r="AP450" s="31" t="s">
        <v>26050</v>
      </c>
      <c r="AQ450" s="31" t="s">
        <v>26051</v>
      </c>
      <c r="AR450" s="31" t="s">
        <v>16826</v>
      </c>
      <c r="AS450" s="31"/>
      <c r="AT450" s="31"/>
      <c r="AU450" s="31" t="s">
        <v>26052</v>
      </c>
      <c r="AV450" s="31" t="s">
        <v>26053</v>
      </c>
      <c r="AW450" s="35" t="str">
        <f aca="false">HYPERLINK("http://dx.doi.org/10.2196/13090","http://dx.doi.org/10.2196/13090")</f>
        <v>http://dx.doi.org/10.2196/13090</v>
      </c>
      <c r="AX450" s="31"/>
      <c r="AY450" s="31" t="n">
        <v>16</v>
      </c>
      <c r="AZ450" s="31" t="s">
        <v>17687</v>
      </c>
      <c r="BA450" s="31" t="s">
        <v>16584</v>
      </c>
      <c r="BB450" s="31" t="s">
        <v>17687</v>
      </c>
      <c r="BC450" s="31" t="s">
        <v>26054</v>
      </c>
      <c r="BD450" s="31" t="n">
        <v>31094347</v>
      </c>
      <c r="BE450" s="31" t="s">
        <v>19320</v>
      </c>
      <c r="BF450" s="31" t="s">
        <v>16369</v>
      </c>
      <c r="BG450" s="31" t="s">
        <v>26055</v>
      </c>
      <c r="BH450" s="31" t="str">
        <f aca="false">HYPERLINK("https%3A%2F%2Fwww.webofscience.com%2Fwos%2Fwoscc%2Ffull-record%2FWOS:000468100500001","View Full Record in Web of Science")</f>
        <v>View Full Record in Web of Science</v>
      </c>
      <c r="BI450" s="31"/>
      <c r="BJ450" s="31"/>
      <c r="BK450" s="31"/>
      <c r="BL450" s="31"/>
      <c r="BM450" s="31"/>
      <c r="BN450" s="31"/>
      <c r="BO450" s="31"/>
      <c r="BP450" s="31"/>
      <c r="BQ450" s="31"/>
      <c r="BR450" s="31"/>
      <c r="BS450" s="31"/>
      <c r="BT450" s="31"/>
      <c r="BU450" s="31"/>
      <c r="BV450" s="31"/>
      <c r="BW450" s="31"/>
      <c r="BX450" s="31"/>
      <c r="BY450" s="31"/>
      <c r="BZ450" s="31"/>
      <c r="CA450" s="31"/>
      <c r="CB450" s="31"/>
      <c r="CC450" s="31"/>
      <c r="CD450" s="31"/>
      <c r="CE450" s="31"/>
      <c r="CF450" s="31"/>
    </row>
    <row r="451" customFormat="false" ht="15.75" hidden="false" customHeight="true" outlineLevel="0" collapsed="false">
      <c r="A451" s="31" t="s">
        <v>16335</v>
      </c>
      <c r="B451" s="31" t="s">
        <v>26056</v>
      </c>
      <c r="C451" s="31" t="s">
        <v>26057</v>
      </c>
      <c r="D451" s="34" t="s">
        <v>26058</v>
      </c>
      <c r="E451" s="31" t="n">
        <v>2019</v>
      </c>
      <c r="F451" s="33" t="s">
        <v>26059</v>
      </c>
      <c r="G451" s="33" t="s">
        <v>134</v>
      </c>
      <c r="H451" s="32" t="s">
        <v>16721</v>
      </c>
      <c r="I451" s="32" t="s">
        <v>16721</v>
      </c>
      <c r="J451" s="32" t="s">
        <v>20887</v>
      </c>
      <c r="K451" s="32" t="s">
        <v>16409</v>
      </c>
      <c r="L451" s="34"/>
      <c r="M451" s="34"/>
      <c r="N451" s="34"/>
      <c r="O451" s="34"/>
      <c r="P451" s="34" t="n">
        <v>7</v>
      </c>
      <c r="Q451" s="31" t="n">
        <v>7</v>
      </c>
      <c r="R451" s="31" t="s">
        <v>61</v>
      </c>
      <c r="S451" s="31" t="s">
        <v>62</v>
      </c>
      <c r="T451" s="31" t="s">
        <v>25036</v>
      </c>
      <c r="U451" s="31" t="n">
        <v>21</v>
      </c>
      <c r="V451" s="31" t="s">
        <v>4048</v>
      </c>
      <c r="W451" s="31" t="n">
        <v>11</v>
      </c>
      <c r="X451" s="31" t="s">
        <v>26060</v>
      </c>
      <c r="Y451" s="31" t="s">
        <v>26061</v>
      </c>
      <c r="Z451" s="31" t="s">
        <v>26062</v>
      </c>
      <c r="AA451" s="31" t="s">
        <v>26063</v>
      </c>
      <c r="AB451" s="31" t="s">
        <v>26064</v>
      </c>
      <c r="AC451" s="31" t="s">
        <v>26065</v>
      </c>
      <c r="AD451" s="31" t="s">
        <v>26066</v>
      </c>
      <c r="AE451" s="31" t="s">
        <v>26067</v>
      </c>
      <c r="AF451" s="31" t="s">
        <v>26068</v>
      </c>
      <c r="AG451" s="31" t="s">
        <v>26069</v>
      </c>
      <c r="AH451" s="31" t="s">
        <v>26070</v>
      </c>
      <c r="AI451" s="31" t="n">
        <v>53</v>
      </c>
      <c r="AJ451" s="31" t="n">
        <v>0</v>
      </c>
      <c r="AK451" s="31" t="n">
        <v>4</v>
      </c>
      <c r="AL451" s="31" t="s">
        <v>16769</v>
      </c>
      <c r="AM451" s="31" t="s">
        <v>16770</v>
      </c>
      <c r="AN451" s="31"/>
      <c r="AO451" s="31" t="s">
        <v>25043</v>
      </c>
      <c r="AP451" s="31" t="s">
        <v>25044</v>
      </c>
      <c r="AQ451" s="31" t="s">
        <v>25045</v>
      </c>
      <c r="AR451" s="31" t="s">
        <v>17139</v>
      </c>
      <c r="AS451" s="31"/>
      <c r="AT451" s="31"/>
      <c r="AU451" s="31" t="n">
        <v>1062</v>
      </c>
      <c r="AV451" s="31" t="s">
        <v>26071</v>
      </c>
      <c r="AW451" s="35" t="str">
        <f aca="false">HYPERLINK("http://dx.doi.org/10.3390/e21111062","http://dx.doi.org/10.3390/e21111062")</f>
        <v>http://dx.doi.org/10.3390/e21111062</v>
      </c>
      <c r="AX451" s="31"/>
      <c r="AY451" s="31" t="n">
        <v>16</v>
      </c>
      <c r="AZ451" s="31" t="s">
        <v>16460</v>
      </c>
      <c r="BA451" s="31" t="s">
        <v>16366</v>
      </c>
      <c r="BB451" s="31" t="s">
        <v>16461</v>
      </c>
      <c r="BC451" s="31" t="s">
        <v>26072</v>
      </c>
      <c r="BD451" s="31"/>
      <c r="BE451" s="31" t="s">
        <v>19320</v>
      </c>
      <c r="BF451" s="31" t="s">
        <v>16369</v>
      </c>
      <c r="BG451" s="31" t="s">
        <v>26073</v>
      </c>
      <c r="BH451" s="31" t="str">
        <f aca="false">HYPERLINK("https%3A%2F%2Fwww.webofscience.com%2Fwos%2Fwoscc%2Ffull-record%2FWOS:000502145000035","View Full Record in Web of Science")</f>
        <v>View Full Record in Web of Science</v>
      </c>
      <c r="BI451" s="31"/>
      <c r="BJ451" s="31"/>
      <c r="BK451" s="31"/>
      <c r="BL451" s="31"/>
      <c r="BM451" s="31"/>
      <c r="BN451" s="31"/>
      <c r="BO451" s="31"/>
      <c r="BP451" s="31"/>
      <c r="BQ451" s="31"/>
      <c r="BR451" s="31"/>
      <c r="BS451" s="31"/>
      <c r="BT451" s="31"/>
      <c r="BU451" s="31"/>
      <c r="BV451" s="31"/>
      <c r="BW451" s="31"/>
      <c r="BX451" s="31"/>
      <c r="BY451" s="31"/>
      <c r="BZ451" s="31"/>
      <c r="CA451" s="31"/>
      <c r="CB451" s="31"/>
      <c r="CC451" s="31"/>
      <c r="CD451" s="31"/>
      <c r="CE451" s="31"/>
      <c r="CF451" s="31"/>
    </row>
    <row r="452" customFormat="false" ht="15.75" hidden="false" customHeight="true" outlineLevel="0" collapsed="false">
      <c r="A452" s="31" t="s">
        <v>16335</v>
      </c>
      <c r="B452" s="31" t="s">
        <v>26074</v>
      </c>
      <c r="C452" s="31" t="s">
        <v>26075</v>
      </c>
      <c r="D452" s="34" t="s">
        <v>26076</v>
      </c>
      <c r="E452" s="31" t="n">
        <v>2019</v>
      </c>
      <c r="F452" s="33" t="s">
        <v>26077</v>
      </c>
      <c r="G452" s="33" t="s">
        <v>134</v>
      </c>
      <c r="H452" s="32" t="s">
        <v>26078</v>
      </c>
      <c r="I452" s="32" t="s">
        <v>5021</v>
      </c>
      <c r="J452" s="34"/>
      <c r="K452" s="32" t="s">
        <v>16409</v>
      </c>
      <c r="L452" s="34"/>
      <c r="M452" s="34"/>
      <c r="N452" s="34"/>
      <c r="O452" s="34"/>
      <c r="P452" s="34" t="n">
        <v>40</v>
      </c>
      <c r="Q452" s="31" t="n">
        <v>42</v>
      </c>
      <c r="R452" s="31" t="s">
        <v>61</v>
      </c>
      <c r="S452" s="31" t="s">
        <v>62</v>
      </c>
      <c r="T452" s="31" t="s">
        <v>17598</v>
      </c>
      <c r="U452" s="31" t="n">
        <v>18</v>
      </c>
      <c r="V452" s="31" t="s">
        <v>17599</v>
      </c>
      <c r="W452" s="31" t="n">
        <v>1</v>
      </c>
      <c r="X452" s="31" t="s">
        <v>26079</v>
      </c>
      <c r="Y452" s="31" t="s">
        <v>26080</v>
      </c>
      <c r="Z452" s="31" t="s">
        <v>26081</v>
      </c>
      <c r="AA452" s="31" t="s">
        <v>26082</v>
      </c>
      <c r="AB452" s="31" t="s">
        <v>26083</v>
      </c>
      <c r="AC452" s="31" t="s">
        <v>26084</v>
      </c>
      <c r="AD452" s="31" t="s">
        <v>26085</v>
      </c>
      <c r="AE452" s="31" t="s">
        <v>26086</v>
      </c>
      <c r="AF452" s="31" t="s">
        <v>26087</v>
      </c>
      <c r="AG452" s="31" t="s">
        <v>26088</v>
      </c>
      <c r="AH452" s="31" t="s">
        <v>26089</v>
      </c>
      <c r="AI452" s="31" t="n">
        <v>21</v>
      </c>
      <c r="AJ452" s="31" t="n">
        <v>0</v>
      </c>
      <c r="AK452" s="31" t="n">
        <v>9</v>
      </c>
      <c r="AL452" s="31" t="s">
        <v>16821</v>
      </c>
      <c r="AM452" s="31" t="s">
        <v>17609</v>
      </c>
      <c r="AN452" s="31"/>
      <c r="AO452" s="31" t="s">
        <v>17610</v>
      </c>
      <c r="AP452" s="31" t="s">
        <v>17611</v>
      </c>
      <c r="AQ452" s="31" t="s">
        <v>914</v>
      </c>
      <c r="AR452" s="31" t="s">
        <v>26090</v>
      </c>
      <c r="AS452" s="31"/>
      <c r="AT452" s="31"/>
      <c r="AU452" s="31" t="n">
        <v>348</v>
      </c>
      <c r="AV452" s="31" t="s">
        <v>26091</v>
      </c>
      <c r="AW452" s="35" t="str">
        <f aca="false">HYPERLINK("http://dx.doi.org/10.1186/s12936-019-2945-1","http://dx.doi.org/10.1186/s12936-019-2945-1")</f>
        <v>http://dx.doi.org/10.1186/s12936-019-2945-1</v>
      </c>
      <c r="AX452" s="31"/>
      <c r="AY452" s="31" t="n">
        <v>11</v>
      </c>
      <c r="AZ452" s="31" t="s">
        <v>16862</v>
      </c>
      <c r="BA452" s="31" t="s">
        <v>16366</v>
      </c>
      <c r="BB452" s="31" t="s">
        <v>16862</v>
      </c>
      <c r="BC452" s="31" t="s">
        <v>26092</v>
      </c>
      <c r="BD452" s="31" t="n">
        <v>31619246</v>
      </c>
      <c r="BE452" s="31" t="s">
        <v>17143</v>
      </c>
      <c r="BF452" s="31" t="s">
        <v>16369</v>
      </c>
      <c r="BG452" s="31" t="s">
        <v>26093</v>
      </c>
      <c r="BH452" s="31" t="str">
        <f aca="false">HYPERLINK("https%3A%2F%2Fwww.webofscience.com%2Fwos%2Fwoscc%2Ffull-record%2FWOS:000494986400001","View Full Record in Web of Science")</f>
        <v>View Full Record in Web of Science</v>
      </c>
      <c r="BI452" s="31"/>
      <c r="BJ452" s="31"/>
      <c r="BK452" s="31"/>
      <c r="BL452" s="31"/>
      <c r="BM452" s="31"/>
      <c r="BN452" s="31"/>
      <c r="BO452" s="31"/>
      <c r="BP452" s="31"/>
      <c r="BQ452" s="31"/>
      <c r="BR452" s="31"/>
      <c r="BS452" s="31"/>
      <c r="BT452" s="31"/>
      <c r="BU452" s="31"/>
      <c r="BV452" s="31"/>
      <c r="BW452" s="31"/>
      <c r="BX452" s="31"/>
      <c r="BY452" s="31"/>
      <c r="BZ452" s="31"/>
      <c r="CA452" s="31"/>
      <c r="CB452" s="31"/>
      <c r="CC452" s="31"/>
      <c r="CD452" s="31"/>
      <c r="CE452" s="31"/>
      <c r="CF452" s="31"/>
    </row>
    <row r="453" customFormat="false" ht="15.75" hidden="false" customHeight="true" outlineLevel="0" collapsed="false">
      <c r="A453" s="31" t="s">
        <v>16335</v>
      </c>
      <c r="B453" s="31" t="s">
        <v>26094</v>
      </c>
      <c r="C453" s="31" t="s">
        <v>26095</v>
      </c>
      <c r="D453" s="34" t="s">
        <v>26096</v>
      </c>
      <c r="E453" s="31" t="n">
        <v>2019</v>
      </c>
      <c r="F453" s="33" t="s">
        <v>26097</v>
      </c>
      <c r="G453" s="33" t="s">
        <v>1230</v>
      </c>
      <c r="H453" s="32" t="s">
        <v>21245</v>
      </c>
      <c r="I453" s="32" t="s">
        <v>21245</v>
      </c>
      <c r="J453" s="34"/>
      <c r="K453" s="34"/>
      <c r="L453" s="34"/>
      <c r="M453" s="34"/>
      <c r="N453" s="34"/>
      <c r="O453" s="34"/>
      <c r="P453" s="34" t="n">
        <v>19</v>
      </c>
      <c r="Q453" s="31" t="n">
        <v>23</v>
      </c>
      <c r="R453" s="31" t="s">
        <v>61</v>
      </c>
      <c r="S453" s="31" t="s">
        <v>62</v>
      </c>
      <c r="T453" s="31" t="s">
        <v>18519</v>
      </c>
      <c r="U453" s="31" t="n">
        <v>14</v>
      </c>
      <c r="V453" s="31" t="s">
        <v>16845</v>
      </c>
      <c r="W453" s="31" t="n">
        <v>10</v>
      </c>
      <c r="X453" s="31"/>
      <c r="Y453" s="31" t="s">
        <v>26098</v>
      </c>
      <c r="Z453" s="31" t="s">
        <v>26099</v>
      </c>
      <c r="AA453" s="31" t="s">
        <v>26100</v>
      </c>
      <c r="AB453" s="31" t="s">
        <v>26101</v>
      </c>
      <c r="AC453" s="31" t="s">
        <v>26102</v>
      </c>
      <c r="AD453" s="31" t="s">
        <v>26103</v>
      </c>
      <c r="AE453" s="31" t="s">
        <v>26104</v>
      </c>
      <c r="AF453" s="31" t="s">
        <v>26105</v>
      </c>
      <c r="AG453" s="31" t="s">
        <v>26105</v>
      </c>
      <c r="AH453" s="31" t="s">
        <v>26106</v>
      </c>
      <c r="AI453" s="31" t="n">
        <v>54</v>
      </c>
      <c r="AJ453" s="31" t="n">
        <v>1</v>
      </c>
      <c r="AK453" s="31" t="n">
        <v>14</v>
      </c>
      <c r="AL453" s="31" t="s">
        <v>16855</v>
      </c>
      <c r="AM453" s="31" t="s">
        <v>16856</v>
      </c>
      <c r="AN453" s="31" t="s">
        <v>18530</v>
      </c>
      <c r="AO453" s="31"/>
      <c r="AP453" s="31" t="s">
        <v>18519</v>
      </c>
      <c r="AQ453" s="31" t="s">
        <v>18531</v>
      </c>
      <c r="AR453" s="31" t="s">
        <v>26107</v>
      </c>
      <c r="AS453" s="31"/>
      <c r="AT453" s="31"/>
      <c r="AU453" s="31" t="s">
        <v>26108</v>
      </c>
      <c r="AV453" s="31" t="s">
        <v>26109</v>
      </c>
      <c r="AW453" s="35" t="str">
        <f aca="false">HYPERLINK("http://dx.doi.org/10.1371/journal.pone.0223821","http://dx.doi.org/10.1371/journal.pone.0223821")</f>
        <v>http://dx.doi.org/10.1371/journal.pone.0223821</v>
      </c>
      <c r="AX453" s="31"/>
      <c r="AY453" s="31" t="n">
        <v>23</v>
      </c>
      <c r="AZ453" s="31" t="s">
        <v>16428</v>
      </c>
      <c r="BA453" s="31" t="s">
        <v>16366</v>
      </c>
      <c r="BB453" s="31" t="s">
        <v>16429</v>
      </c>
      <c r="BC453" s="31" t="s">
        <v>26110</v>
      </c>
      <c r="BD453" s="31" t="n">
        <v>31622396</v>
      </c>
      <c r="BE453" s="31" t="s">
        <v>17143</v>
      </c>
      <c r="BF453" s="31" t="s">
        <v>16369</v>
      </c>
      <c r="BG453" s="31" t="s">
        <v>26111</v>
      </c>
      <c r="BH453" s="31" t="str">
        <f aca="false">HYPERLINK("https%3A%2F%2Fwww.webofscience.com%2Fwos%2Fwoscc%2Ffull-record%2FWOS:000532567300048","View Full Record in Web of Science")</f>
        <v>View Full Record in Web of Science</v>
      </c>
      <c r="BI453" s="31"/>
      <c r="BJ453" s="31"/>
      <c r="BK453" s="31"/>
      <c r="BL453" s="31"/>
      <c r="BM453" s="31"/>
      <c r="BN453" s="31"/>
      <c r="BO453" s="31"/>
      <c r="BP453" s="31"/>
      <c r="BQ453" s="31"/>
      <c r="BR453" s="31"/>
      <c r="BS453" s="31"/>
      <c r="BT453" s="31"/>
      <c r="BU453" s="31"/>
      <c r="BV453" s="31"/>
      <c r="BW453" s="31"/>
      <c r="BX453" s="31"/>
      <c r="BY453" s="31"/>
      <c r="BZ453" s="31"/>
      <c r="CA453" s="31"/>
      <c r="CB453" s="31"/>
      <c r="CC453" s="31"/>
      <c r="CD453" s="31"/>
      <c r="CE453" s="31"/>
      <c r="CF453" s="31"/>
    </row>
    <row r="454" customFormat="false" ht="15.75" hidden="false" customHeight="true" outlineLevel="0" collapsed="false">
      <c r="A454" s="31" t="s">
        <v>16335</v>
      </c>
      <c r="B454" s="31" t="s">
        <v>26112</v>
      </c>
      <c r="C454" s="31" t="s">
        <v>26113</v>
      </c>
      <c r="D454" s="34" t="s">
        <v>26114</v>
      </c>
      <c r="E454" s="31" t="n">
        <v>2019</v>
      </c>
      <c r="F454" s="33" t="s">
        <v>26115</v>
      </c>
      <c r="G454" s="33" t="s">
        <v>5868</v>
      </c>
      <c r="H454" s="32"/>
      <c r="I454" s="34"/>
      <c r="J454" s="34"/>
      <c r="K454" s="34"/>
      <c r="L454" s="34"/>
      <c r="M454" s="34"/>
      <c r="N454" s="34"/>
      <c r="O454" s="34"/>
      <c r="P454" s="34" t="n">
        <v>23</v>
      </c>
      <c r="Q454" s="31" t="n">
        <v>25</v>
      </c>
      <c r="R454" s="31" t="s">
        <v>61</v>
      </c>
      <c r="S454" s="31" t="s">
        <v>62</v>
      </c>
      <c r="T454" s="31" t="s">
        <v>26116</v>
      </c>
      <c r="U454" s="31" t="n">
        <v>9</v>
      </c>
      <c r="V454" s="31" t="s">
        <v>26117</v>
      </c>
      <c r="W454" s="31" t="n">
        <v>2</v>
      </c>
      <c r="X454" s="31" t="s">
        <v>26118</v>
      </c>
      <c r="Y454" s="31" t="s">
        <v>26119</v>
      </c>
      <c r="Z454" s="31" t="s">
        <v>26120</v>
      </c>
      <c r="AA454" s="31" t="s">
        <v>26121</v>
      </c>
      <c r="AB454" s="31" t="s">
        <v>26122</v>
      </c>
      <c r="AC454" s="31" t="s">
        <v>26123</v>
      </c>
      <c r="AD454" s="31" t="s">
        <v>26124</v>
      </c>
      <c r="AE454" s="31" t="s">
        <v>26125</v>
      </c>
      <c r="AF454" s="31" t="s">
        <v>26126</v>
      </c>
      <c r="AG454" s="31" t="s">
        <v>26126</v>
      </c>
      <c r="AH454" s="31" t="s">
        <v>26127</v>
      </c>
      <c r="AI454" s="31" t="n">
        <v>34</v>
      </c>
      <c r="AJ454" s="31" t="n">
        <v>0</v>
      </c>
      <c r="AK454" s="31" t="n">
        <v>6</v>
      </c>
      <c r="AL454" s="31" t="s">
        <v>16821</v>
      </c>
      <c r="AM454" s="31" t="s">
        <v>26128</v>
      </c>
      <c r="AN454" s="31" t="s">
        <v>26129</v>
      </c>
      <c r="AO454" s="31"/>
      <c r="AP454" s="31" t="s">
        <v>26130</v>
      </c>
      <c r="AQ454" s="31" t="s">
        <v>26131</v>
      </c>
      <c r="AR454" s="31" t="s">
        <v>16683</v>
      </c>
      <c r="AS454" s="31" t="n">
        <v>319</v>
      </c>
      <c r="AT454" s="31" t="n">
        <v>328</v>
      </c>
      <c r="AU454" s="31"/>
      <c r="AV454" s="31" t="s">
        <v>26132</v>
      </c>
      <c r="AW454" s="35" t="str">
        <f aca="false">HYPERLINK("http://dx.doi.org/10.2166/washdev.2019.147","http://dx.doi.org/10.2166/washdev.2019.147")</f>
        <v>http://dx.doi.org/10.2166/washdev.2019.147</v>
      </c>
      <c r="AX454" s="31"/>
      <c r="AY454" s="31" t="n">
        <v>10</v>
      </c>
      <c r="AZ454" s="31" t="s">
        <v>26133</v>
      </c>
      <c r="BA454" s="31" t="s">
        <v>16366</v>
      </c>
      <c r="BB454" s="31" t="s">
        <v>26133</v>
      </c>
      <c r="BC454" s="31" t="s">
        <v>26134</v>
      </c>
      <c r="BD454" s="31"/>
      <c r="BE454" s="31" t="s">
        <v>16431</v>
      </c>
      <c r="BF454" s="31" t="s">
        <v>16369</v>
      </c>
      <c r="BG454" s="31" t="s">
        <v>26135</v>
      </c>
      <c r="BH454" s="31" t="str">
        <f aca="false">HYPERLINK("https%3A%2F%2Fwww.webofscience.com%2Fwos%2Fwoscc%2Ffull-record%2FWOS:000482702400012","View Full Record in Web of Science")</f>
        <v>View Full Record in Web of Science</v>
      </c>
      <c r="BI454" s="31"/>
      <c r="BJ454" s="31"/>
      <c r="BK454" s="31"/>
      <c r="BL454" s="31"/>
      <c r="BM454" s="31"/>
      <c r="BN454" s="31"/>
      <c r="BO454" s="31"/>
      <c r="BP454" s="31"/>
      <c r="BQ454" s="31"/>
      <c r="BR454" s="31"/>
      <c r="BS454" s="31"/>
      <c r="BT454" s="31"/>
      <c r="BU454" s="31"/>
      <c r="BV454" s="31"/>
      <c r="BW454" s="31"/>
      <c r="BX454" s="31"/>
      <c r="BY454" s="31"/>
      <c r="BZ454" s="31"/>
      <c r="CA454" s="31"/>
      <c r="CB454" s="31"/>
      <c r="CC454" s="31"/>
      <c r="CD454" s="31"/>
      <c r="CE454" s="31"/>
      <c r="CF454" s="31"/>
    </row>
    <row r="455" customFormat="false" ht="15.75" hidden="false" customHeight="true" outlineLevel="0" collapsed="false">
      <c r="A455" s="31" t="s">
        <v>16335</v>
      </c>
      <c r="B455" s="31" t="s">
        <v>26136</v>
      </c>
      <c r="C455" s="31" t="s">
        <v>26137</v>
      </c>
      <c r="D455" s="34" t="s">
        <v>26138</v>
      </c>
      <c r="E455" s="31" t="n">
        <v>2019</v>
      </c>
      <c r="F455" s="33" t="s">
        <v>26139</v>
      </c>
      <c r="G455" s="33" t="s">
        <v>134</v>
      </c>
      <c r="H455" s="32"/>
      <c r="I455" s="32" t="s">
        <v>3715</v>
      </c>
      <c r="J455" s="32" t="s">
        <v>20887</v>
      </c>
      <c r="K455" s="32" t="s">
        <v>25198</v>
      </c>
      <c r="L455" s="34"/>
      <c r="M455" s="32" t="s">
        <v>26140</v>
      </c>
      <c r="N455" s="34"/>
      <c r="O455" s="34"/>
      <c r="P455" s="34" t="n">
        <v>90</v>
      </c>
      <c r="Q455" s="31" t="n">
        <v>93</v>
      </c>
      <c r="R455" s="31" t="s">
        <v>61</v>
      </c>
      <c r="S455" s="31" t="s">
        <v>62</v>
      </c>
      <c r="T455" s="31" t="s">
        <v>20504</v>
      </c>
      <c r="U455" s="31" t="n">
        <v>7</v>
      </c>
      <c r="V455" s="31" t="s">
        <v>20505</v>
      </c>
      <c r="W455" s="31"/>
      <c r="X455" s="31" t="s">
        <v>26141</v>
      </c>
      <c r="Y455" s="31" t="s">
        <v>19040</v>
      </c>
      <c r="Z455" s="31" t="s">
        <v>26142</v>
      </c>
      <c r="AA455" s="31" t="s">
        <v>26143</v>
      </c>
      <c r="AB455" s="31" t="s">
        <v>26144</v>
      </c>
      <c r="AC455" s="31" t="s">
        <v>26145</v>
      </c>
      <c r="AD455" s="31" t="s">
        <v>26146</v>
      </c>
      <c r="AE455" s="31" t="s">
        <v>26147</v>
      </c>
      <c r="AF455" s="31" t="s">
        <v>26148</v>
      </c>
      <c r="AG455" s="31" t="s">
        <v>26149</v>
      </c>
      <c r="AH455" s="31" t="s">
        <v>26150</v>
      </c>
      <c r="AI455" s="31" t="n">
        <v>30</v>
      </c>
      <c r="AJ455" s="31" t="n">
        <v>2</v>
      </c>
      <c r="AK455" s="31" t="n">
        <v>23</v>
      </c>
      <c r="AL455" s="31" t="s">
        <v>16821</v>
      </c>
      <c r="AM455" s="31" t="s">
        <v>20514</v>
      </c>
      <c r="AN455" s="31" t="s">
        <v>20515</v>
      </c>
      <c r="AO455" s="31"/>
      <c r="AP455" s="31" t="s">
        <v>20504</v>
      </c>
      <c r="AQ455" s="31" t="s">
        <v>2022</v>
      </c>
      <c r="AR455" s="31" t="s">
        <v>26151</v>
      </c>
      <c r="AS455" s="31"/>
      <c r="AT455" s="31"/>
      <c r="AU455" s="31" t="s">
        <v>26152</v>
      </c>
      <c r="AV455" s="31" t="s">
        <v>26153</v>
      </c>
      <c r="AW455" s="35" t="str">
        <f aca="false">HYPERLINK("http://dx.doi.org/10.7717/peerj.6977","http://dx.doi.org/10.7717/peerj.6977")</f>
        <v>http://dx.doi.org/10.7717/peerj.6977</v>
      </c>
      <c r="AX455" s="31"/>
      <c r="AY455" s="31" t="n">
        <v>16</v>
      </c>
      <c r="AZ455" s="31" t="s">
        <v>16428</v>
      </c>
      <c r="BA455" s="31" t="s">
        <v>16366</v>
      </c>
      <c r="BB455" s="31" t="s">
        <v>16429</v>
      </c>
      <c r="BC455" s="31" t="s">
        <v>26154</v>
      </c>
      <c r="BD455" s="31" t="n">
        <v>31179181</v>
      </c>
      <c r="BE455" s="31" t="s">
        <v>16832</v>
      </c>
      <c r="BF455" s="31" t="s">
        <v>16369</v>
      </c>
      <c r="BG455" s="31" t="s">
        <v>26155</v>
      </c>
      <c r="BH455" s="31" t="str">
        <f aca="false">HYPERLINK("https%3A%2F%2Fwww.webofscience.com%2Fwos%2Fwoscc%2Ffull-record%2FWOS:000469213500004","View Full Record in Web of Science")</f>
        <v>View Full Record in Web of Science</v>
      </c>
      <c r="BI455" s="31"/>
      <c r="BJ455" s="31"/>
      <c r="BK455" s="31"/>
      <c r="BL455" s="31"/>
      <c r="BM455" s="31"/>
      <c r="BN455" s="31"/>
      <c r="BO455" s="31"/>
      <c r="BP455" s="31"/>
      <c r="BQ455" s="31"/>
      <c r="BR455" s="31"/>
      <c r="BS455" s="31"/>
      <c r="BT455" s="31"/>
      <c r="BU455" s="31"/>
      <c r="BV455" s="31"/>
      <c r="BW455" s="31"/>
      <c r="BX455" s="31"/>
      <c r="BY455" s="31"/>
      <c r="BZ455" s="31"/>
      <c r="CA455" s="31"/>
      <c r="CB455" s="31"/>
      <c r="CC455" s="31"/>
      <c r="CD455" s="31"/>
      <c r="CE455" s="31"/>
      <c r="CF455" s="31"/>
    </row>
    <row r="456" customFormat="false" ht="15.75" hidden="false" customHeight="true" outlineLevel="0" collapsed="false">
      <c r="A456" s="31" t="s">
        <v>16335</v>
      </c>
      <c r="B456" s="31" t="s">
        <v>26156</v>
      </c>
      <c r="C456" s="31" t="s">
        <v>26157</v>
      </c>
      <c r="D456" s="34" t="s">
        <v>26158</v>
      </c>
      <c r="E456" s="31" t="n">
        <v>2019</v>
      </c>
      <c r="F456" s="33" t="s">
        <v>26159</v>
      </c>
      <c r="G456" s="33" t="s">
        <v>134</v>
      </c>
      <c r="H456" s="32"/>
      <c r="I456" s="32" t="s">
        <v>4101</v>
      </c>
      <c r="J456" s="34"/>
      <c r="K456" s="32" t="s">
        <v>16840</v>
      </c>
      <c r="L456" s="34"/>
      <c r="M456" s="32" t="s">
        <v>26160</v>
      </c>
      <c r="N456" s="32" t="s">
        <v>26161</v>
      </c>
      <c r="O456" s="34"/>
      <c r="P456" s="34" t="n">
        <v>39</v>
      </c>
      <c r="Q456" s="31" t="n">
        <v>41</v>
      </c>
      <c r="R456" s="31" t="s">
        <v>61</v>
      </c>
      <c r="S456" s="31" t="s">
        <v>62</v>
      </c>
      <c r="T456" s="31" t="s">
        <v>26162</v>
      </c>
      <c r="U456" s="31" t="n">
        <v>66</v>
      </c>
      <c r="V456" s="31" t="s">
        <v>16384</v>
      </c>
      <c r="W456" s="31" t="n">
        <v>10</v>
      </c>
      <c r="X456" s="31" t="s">
        <v>26163</v>
      </c>
      <c r="Y456" s="31" t="s">
        <v>26164</v>
      </c>
      <c r="Z456" s="31" t="s">
        <v>26165</v>
      </c>
      <c r="AA456" s="31" t="s">
        <v>26166</v>
      </c>
      <c r="AB456" s="31" t="s">
        <v>26167</v>
      </c>
      <c r="AC456" s="31" t="s">
        <v>26168</v>
      </c>
      <c r="AD456" s="31" t="s">
        <v>26169</v>
      </c>
      <c r="AE456" s="31" t="s">
        <v>26170</v>
      </c>
      <c r="AF456" s="31" t="s">
        <v>26171</v>
      </c>
      <c r="AG456" s="31" t="s">
        <v>26172</v>
      </c>
      <c r="AH456" s="31" t="s">
        <v>26173</v>
      </c>
      <c r="AI456" s="31" t="n">
        <v>81</v>
      </c>
      <c r="AJ456" s="31" t="n">
        <v>0</v>
      </c>
      <c r="AK456" s="31" t="n">
        <v>20</v>
      </c>
      <c r="AL456" s="31" t="s">
        <v>16395</v>
      </c>
      <c r="AM456" s="31" t="s">
        <v>16396</v>
      </c>
      <c r="AN456" s="31" t="s">
        <v>26174</v>
      </c>
      <c r="AO456" s="31" t="s">
        <v>26175</v>
      </c>
      <c r="AP456" s="31" t="s">
        <v>26176</v>
      </c>
      <c r="AQ456" s="31" t="s">
        <v>26177</v>
      </c>
      <c r="AR456" s="31" t="s">
        <v>16615</v>
      </c>
      <c r="AS456" s="31" t="n">
        <v>2861</v>
      </c>
      <c r="AT456" s="31" t="n">
        <v>2868</v>
      </c>
      <c r="AU456" s="31"/>
      <c r="AV456" s="31" t="s">
        <v>26178</v>
      </c>
      <c r="AW456" s="35" t="str">
        <f aca="false">HYPERLINK("http://dx.doi.org/10.1109/TBME.2019.2897285","http://dx.doi.org/10.1109/TBME.2019.2897285")</f>
        <v>http://dx.doi.org/10.1109/TBME.2019.2897285</v>
      </c>
      <c r="AX456" s="31"/>
      <c r="AY456" s="31" t="n">
        <v>8</v>
      </c>
      <c r="AZ456" s="31" t="s">
        <v>18428</v>
      </c>
      <c r="BA456" s="31" t="s">
        <v>16366</v>
      </c>
      <c r="BB456" s="31" t="s">
        <v>18429</v>
      </c>
      <c r="BC456" s="31" t="s">
        <v>26179</v>
      </c>
      <c r="BD456" s="31" t="n">
        <v>30716030</v>
      </c>
      <c r="BE456" s="31"/>
      <c r="BF456" s="31" t="s">
        <v>16369</v>
      </c>
      <c r="BG456" s="31" t="s">
        <v>26180</v>
      </c>
      <c r="BH456" s="31" t="str">
        <f aca="false">HYPERLINK("https%3A%2F%2Fwww.webofscience.com%2Fwos%2Fwoscc%2Ffull-record%2FWOS:000487192000017","View Full Record in Web of Science")</f>
        <v>View Full Record in Web of Science</v>
      </c>
      <c r="BI456" s="31"/>
      <c r="BJ456" s="31"/>
      <c r="BK456" s="31"/>
      <c r="BL456" s="31"/>
      <c r="BM456" s="31"/>
      <c r="BN456" s="31"/>
      <c r="BO456" s="31"/>
      <c r="BP456" s="31"/>
      <c r="BQ456" s="31"/>
      <c r="BR456" s="31"/>
      <c r="BS456" s="31"/>
      <c r="BT456" s="31"/>
      <c r="BU456" s="31"/>
      <c r="BV456" s="31"/>
      <c r="BW456" s="31"/>
      <c r="BX456" s="31"/>
      <c r="BY456" s="31"/>
      <c r="BZ456" s="31"/>
      <c r="CA456" s="31"/>
      <c r="CB456" s="31"/>
      <c r="CC456" s="31"/>
      <c r="CD456" s="31"/>
      <c r="CE456" s="31"/>
      <c r="CF456" s="31"/>
    </row>
    <row r="457" customFormat="false" ht="15.75" hidden="false" customHeight="true" outlineLevel="0" collapsed="false">
      <c r="A457" s="31" t="s">
        <v>16335</v>
      </c>
      <c r="B457" s="31" t="s">
        <v>26181</v>
      </c>
      <c r="C457" s="31" t="s">
        <v>26182</v>
      </c>
      <c r="D457" s="34" t="s">
        <v>26183</v>
      </c>
      <c r="E457" s="31" t="n">
        <v>2018</v>
      </c>
      <c r="F457" s="33" t="s">
        <v>26184</v>
      </c>
      <c r="G457" s="33" t="s">
        <v>134</v>
      </c>
      <c r="H457" s="32" t="s">
        <v>4101</v>
      </c>
      <c r="I457" s="32" t="s">
        <v>4101</v>
      </c>
      <c r="J457" s="32" t="s">
        <v>26185</v>
      </c>
      <c r="K457" s="32" t="s">
        <v>22363</v>
      </c>
      <c r="L457" s="34"/>
      <c r="M457" s="34"/>
      <c r="N457" s="34"/>
      <c r="O457" s="34"/>
      <c r="P457" s="34" t="n">
        <v>21</v>
      </c>
      <c r="Q457" s="31" t="n">
        <v>23</v>
      </c>
      <c r="R457" s="31" t="s">
        <v>61</v>
      </c>
      <c r="S457" s="31" t="s">
        <v>62</v>
      </c>
      <c r="T457" s="31" t="s">
        <v>19303</v>
      </c>
      <c r="U457" s="31" t="n">
        <v>6</v>
      </c>
      <c r="V457" s="31" t="s">
        <v>16928</v>
      </c>
      <c r="W457" s="31"/>
      <c r="X457" s="31"/>
      <c r="Y457" s="31" t="s">
        <v>26186</v>
      </c>
      <c r="Z457" s="31" t="s">
        <v>26187</v>
      </c>
      <c r="AA457" s="31" t="s">
        <v>26188</v>
      </c>
      <c r="AB457" s="31" t="s">
        <v>26189</v>
      </c>
      <c r="AC457" s="31" t="s">
        <v>26190</v>
      </c>
      <c r="AD457" s="31" t="s">
        <v>26191</v>
      </c>
      <c r="AE457" s="31" t="s">
        <v>26192</v>
      </c>
      <c r="AF457" s="31" t="s">
        <v>26193</v>
      </c>
      <c r="AG457" s="31" t="s">
        <v>26194</v>
      </c>
      <c r="AH457" s="31" t="s">
        <v>26195</v>
      </c>
      <c r="AI457" s="31" t="n">
        <v>41</v>
      </c>
      <c r="AJ457" s="31" t="n">
        <v>0</v>
      </c>
      <c r="AK457" s="31" t="n">
        <v>13</v>
      </c>
      <c r="AL457" s="31" t="s">
        <v>16938</v>
      </c>
      <c r="AM457" s="31" t="s">
        <v>16939</v>
      </c>
      <c r="AN457" s="31" t="s">
        <v>19313</v>
      </c>
      <c r="AO457" s="31"/>
      <c r="AP457" s="31" t="s">
        <v>19314</v>
      </c>
      <c r="AQ457" s="31" t="s">
        <v>14304</v>
      </c>
      <c r="AR457" s="31" t="s">
        <v>26196</v>
      </c>
      <c r="AS457" s="31"/>
      <c r="AT457" s="31"/>
      <c r="AU457" s="31" t="n">
        <v>31</v>
      </c>
      <c r="AV457" s="31" t="s">
        <v>26197</v>
      </c>
      <c r="AW457" s="35" t="str">
        <f aca="false">HYPERLINK("http://dx.doi.org/10.3389/fbioe.2018.00031","http://dx.doi.org/10.3389/fbioe.2018.00031")</f>
        <v>http://dx.doi.org/10.3389/fbioe.2018.00031</v>
      </c>
      <c r="AX457" s="31"/>
      <c r="AY457" s="31" t="n">
        <v>11</v>
      </c>
      <c r="AZ457" s="31" t="s">
        <v>19317</v>
      </c>
      <c r="BA457" s="31" t="s">
        <v>16366</v>
      </c>
      <c r="BB457" s="31" t="s">
        <v>19318</v>
      </c>
      <c r="BC457" s="31" t="s">
        <v>26198</v>
      </c>
      <c r="BD457" s="31" t="n">
        <v>29696139</v>
      </c>
      <c r="BE457" s="31" t="s">
        <v>17143</v>
      </c>
      <c r="BF457" s="31" t="s">
        <v>16369</v>
      </c>
      <c r="BG457" s="31" t="s">
        <v>26199</v>
      </c>
      <c r="BH457" s="31" t="str">
        <f aca="false">HYPERLINK("https%3A%2F%2Fwww.webofscience.com%2Fwos%2Fwoscc%2Ffull-record%2FWOS:000440267300001","View Full Record in Web of Science")</f>
        <v>View Full Record in Web of Science</v>
      </c>
      <c r="BI457" s="31"/>
      <c r="BJ457" s="31"/>
      <c r="BK457" s="31"/>
      <c r="BL457" s="31"/>
      <c r="BM457" s="31"/>
      <c r="BN457" s="31"/>
      <c r="BO457" s="31"/>
      <c r="BP457" s="31"/>
      <c r="BQ457" s="31"/>
      <c r="BR457" s="31"/>
      <c r="BS457" s="31"/>
      <c r="BT457" s="31"/>
      <c r="BU457" s="31"/>
      <c r="BV457" s="31"/>
      <c r="BW457" s="31"/>
      <c r="BX457" s="31"/>
      <c r="BY457" s="31" t="s">
        <v>26200</v>
      </c>
      <c r="BZ457" s="31"/>
      <c r="CA457" s="31"/>
      <c r="CB457" s="31"/>
      <c r="CC457" s="31"/>
      <c r="CD457" s="31"/>
      <c r="CE457" s="31"/>
      <c r="CF457" s="31"/>
    </row>
    <row r="458" customFormat="false" ht="15.75" hidden="false" customHeight="true" outlineLevel="0" collapsed="false">
      <c r="A458" s="31" t="s">
        <v>16335</v>
      </c>
      <c r="B458" s="31" t="s">
        <v>26201</v>
      </c>
      <c r="C458" s="31" t="s">
        <v>26202</v>
      </c>
      <c r="D458" s="34" t="s">
        <v>26203</v>
      </c>
      <c r="E458" s="31" t="n">
        <v>2018</v>
      </c>
      <c r="F458" s="33" t="s">
        <v>26204</v>
      </c>
      <c r="G458" s="33" t="s">
        <v>134</v>
      </c>
      <c r="H458" s="32" t="s">
        <v>4101</v>
      </c>
      <c r="I458" s="34"/>
      <c r="J458" s="34"/>
      <c r="K458" s="34"/>
      <c r="L458" s="34"/>
      <c r="M458" s="34"/>
      <c r="N458" s="34"/>
      <c r="O458" s="34"/>
      <c r="P458" s="34" t="n">
        <v>9</v>
      </c>
      <c r="Q458" s="31" t="n">
        <v>10</v>
      </c>
      <c r="R458" s="31" t="s">
        <v>61</v>
      </c>
      <c r="S458" s="31" t="s">
        <v>62</v>
      </c>
      <c r="T458" s="31" t="s">
        <v>16844</v>
      </c>
      <c r="U458" s="31" t="n">
        <v>12</v>
      </c>
      <c r="V458" s="31" t="s">
        <v>16845</v>
      </c>
      <c r="W458" s="31" t="n">
        <v>2</v>
      </c>
      <c r="X458" s="31"/>
      <c r="Y458" s="31" t="s">
        <v>26205</v>
      </c>
      <c r="Z458" s="31" t="s">
        <v>26206</v>
      </c>
      <c r="AA458" s="31" t="s">
        <v>26207</v>
      </c>
      <c r="AB458" s="31" t="s">
        <v>26208</v>
      </c>
      <c r="AC458" s="31" t="s">
        <v>26209</v>
      </c>
      <c r="AD458" s="31" t="s">
        <v>26210</v>
      </c>
      <c r="AE458" s="31" t="s">
        <v>26211</v>
      </c>
      <c r="AF458" s="31" t="s">
        <v>26212</v>
      </c>
      <c r="AG458" s="31" t="s">
        <v>26213</v>
      </c>
      <c r="AH458" s="31" t="s">
        <v>26214</v>
      </c>
      <c r="AI458" s="31" t="n">
        <v>65</v>
      </c>
      <c r="AJ458" s="31" t="n">
        <v>0</v>
      </c>
      <c r="AK458" s="31" t="n">
        <v>2</v>
      </c>
      <c r="AL458" s="31" t="s">
        <v>16855</v>
      </c>
      <c r="AM458" s="31" t="s">
        <v>16856</v>
      </c>
      <c r="AN458" s="31" t="s">
        <v>16857</v>
      </c>
      <c r="AO458" s="31"/>
      <c r="AP458" s="31" t="s">
        <v>16858</v>
      </c>
      <c r="AQ458" s="31" t="s">
        <v>16859</v>
      </c>
      <c r="AR458" s="31" t="s">
        <v>16970</v>
      </c>
      <c r="AS458" s="31"/>
      <c r="AT458" s="31"/>
      <c r="AU458" s="31" t="s">
        <v>26215</v>
      </c>
      <c r="AV458" s="31" t="s">
        <v>26216</v>
      </c>
      <c r="AW458" s="35" t="str">
        <f aca="false">HYPERLINK("http://dx.doi.org/10.1371/journal.pntd.0006140","http://dx.doi.org/10.1371/journal.pntd.0006140")</f>
        <v>http://dx.doi.org/10.1371/journal.pntd.0006140</v>
      </c>
      <c r="AX458" s="31"/>
      <c r="AY458" s="31" t="n">
        <v>23</v>
      </c>
      <c r="AZ458" s="31" t="s">
        <v>16862</v>
      </c>
      <c r="BA458" s="31" t="s">
        <v>16366</v>
      </c>
      <c r="BB458" s="31" t="s">
        <v>16862</v>
      </c>
      <c r="BC458" s="31" t="s">
        <v>26217</v>
      </c>
      <c r="BD458" s="31" t="n">
        <v>29462135</v>
      </c>
      <c r="BE458" s="31" t="s">
        <v>17168</v>
      </c>
      <c r="BF458" s="31" t="s">
        <v>16369</v>
      </c>
      <c r="BG458" s="31" t="s">
        <v>26218</v>
      </c>
      <c r="BH458" s="31" t="str">
        <f aca="false">HYPERLINK("https%3A%2F%2Fwww.webofscience.com%2Fwos%2Fwoscc%2Ffull-record%2FWOS:000427279700003","View Full Record in Web of Science")</f>
        <v>View Full Record in Web of Science</v>
      </c>
      <c r="BI458" s="31"/>
      <c r="BJ458" s="31"/>
      <c r="BK458" s="31"/>
      <c r="BL458" s="31"/>
      <c r="BM458" s="31"/>
      <c r="BN458" s="31"/>
      <c r="BO458" s="31"/>
      <c r="BP458" s="31"/>
      <c r="BQ458" s="31"/>
      <c r="BR458" s="31"/>
      <c r="BS458" s="31"/>
      <c r="BT458" s="31"/>
      <c r="BU458" s="31"/>
      <c r="BV458" s="31"/>
      <c r="BW458" s="31"/>
      <c r="BX458" s="31"/>
      <c r="BY458" s="31"/>
      <c r="BZ458" s="31"/>
      <c r="CA458" s="31"/>
      <c r="CB458" s="31"/>
      <c r="CC458" s="31"/>
      <c r="CD458" s="31"/>
      <c r="CE458" s="31"/>
      <c r="CF458" s="31"/>
    </row>
    <row r="459" customFormat="false" ht="15.75" hidden="false" customHeight="true" outlineLevel="0" collapsed="false">
      <c r="A459" s="31" t="s">
        <v>16335</v>
      </c>
      <c r="B459" s="31" t="s">
        <v>26219</v>
      </c>
      <c r="C459" s="31" t="s">
        <v>26220</v>
      </c>
      <c r="D459" s="34" t="s">
        <v>26221</v>
      </c>
      <c r="E459" s="31" t="n">
        <v>2018</v>
      </c>
      <c r="F459" s="33" t="s">
        <v>26222</v>
      </c>
      <c r="G459" s="33" t="s">
        <v>1230</v>
      </c>
      <c r="H459" s="32" t="s">
        <v>22684</v>
      </c>
      <c r="I459" s="32" t="s">
        <v>4931</v>
      </c>
      <c r="J459" s="34"/>
      <c r="K459" s="34"/>
      <c r="L459" s="34"/>
      <c r="M459" s="34"/>
      <c r="N459" s="34"/>
      <c r="O459" s="34"/>
      <c r="P459" s="34" t="n">
        <v>4</v>
      </c>
      <c r="Q459" s="31" t="n">
        <v>5</v>
      </c>
      <c r="R459" s="31" t="s">
        <v>61</v>
      </c>
      <c r="S459" s="31" t="s">
        <v>62</v>
      </c>
      <c r="T459" s="31" t="s">
        <v>26223</v>
      </c>
      <c r="U459" s="31" t="n">
        <v>112</v>
      </c>
      <c r="V459" s="31" t="s">
        <v>16563</v>
      </c>
      <c r="W459" s="31" t="n">
        <v>5</v>
      </c>
      <c r="X459" s="31" t="s">
        <v>26224</v>
      </c>
      <c r="Y459" s="31" t="s">
        <v>26225</v>
      </c>
      <c r="Z459" s="31" t="s">
        <v>26226</v>
      </c>
      <c r="AA459" s="31" t="s">
        <v>26227</v>
      </c>
      <c r="AB459" s="31" t="s">
        <v>26228</v>
      </c>
      <c r="AC459" s="31" t="s">
        <v>26229</v>
      </c>
      <c r="AD459" s="31" t="s">
        <v>26230</v>
      </c>
      <c r="AE459" s="31" t="s">
        <v>26231</v>
      </c>
      <c r="AF459" s="31" t="s">
        <v>26232</v>
      </c>
      <c r="AG459" s="31" t="s">
        <v>26233</v>
      </c>
      <c r="AH459" s="31" t="s">
        <v>26234</v>
      </c>
      <c r="AI459" s="31" t="n">
        <v>32</v>
      </c>
      <c r="AJ459" s="31" t="n">
        <v>2</v>
      </c>
      <c r="AK459" s="31" t="n">
        <v>5</v>
      </c>
      <c r="AL459" s="31" t="s">
        <v>16575</v>
      </c>
      <c r="AM459" s="31" t="s">
        <v>16576</v>
      </c>
      <c r="AN459" s="31" t="s">
        <v>26235</v>
      </c>
      <c r="AO459" s="31" t="s">
        <v>26236</v>
      </c>
      <c r="AP459" s="31" t="s">
        <v>26237</v>
      </c>
      <c r="AQ459" s="31" t="s">
        <v>26238</v>
      </c>
      <c r="AR459" s="31" t="s">
        <v>17056</v>
      </c>
      <c r="AS459" s="31" t="n">
        <v>230</v>
      </c>
      <c r="AT459" s="31" t="n">
        <v>237</v>
      </c>
      <c r="AU459" s="31"/>
      <c r="AV459" s="31" t="s">
        <v>26239</v>
      </c>
      <c r="AW459" s="35" t="str">
        <f aca="false">HYPERLINK("http://dx.doi.org/10.1093/trstmh/try047","http://dx.doi.org/10.1093/trstmh/try047")</f>
        <v>http://dx.doi.org/10.1093/trstmh/try047</v>
      </c>
      <c r="AX459" s="31"/>
      <c r="AY459" s="31" t="n">
        <v>8</v>
      </c>
      <c r="AZ459" s="31" t="s">
        <v>17774</v>
      </c>
      <c r="BA459" s="31" t="s">
        <v>16366</v>
      </c>
      <c r="BB459" s="31" t="s">
        <v>17774</v>
      </c>
      <c r="BC459" s="31" t="s">
        <v>26240</v>
      </c>
      <c r="BD459" s="31" t="n">
        <v>29868729</v>
      </c>
      <c r="BE459" s="31"/>
      <c r="BF459" s="31" t="s">
        <v>16369</v>
      </c>
      <c r="BG459" s="31" t="s">
        <v>26241</v>
      </c>
      <c r="BH459" s="31" t="str">
        <f aca="false">HYPERLINK("https%3A%2F%2Fwww.webofscience.com%2Fwos%2Fwoscc%2Ffull-record%2FWOS:000438331500004","View Full Record in Web of Science")</f>
        <v>View Full Record in Web of Science</v>
      </c>
      <c r="BI459" s="31"/>
      <c r="BJ459" s="31"/>
      <c r="BK459" s="31"/>
      <c r="BL459" s="31"/>
      <c r="BM459" s="31"/>
      <c r="BN459" s="31"/>
      <c r="BO459" s="31"/>
      <c r="BP459" s="31"/>
      <c r="BQ459" s="31"/>
      <c r="BR459" s="31"/>
      <c r="BS459" s="31"/>
      <c r="BT459" s="31"/>
      <c r="BU459" s="31"/>
      <c r="BV459" s="31"/>
      <c r="BW459" s="31"/>
      <c r="BX459" s="31"/>
      <c r="BY459" s="31"/>
      <c r="BZ459" s="31"/>
      <c r="CA459" s="31"/>
      <c r="CB459" s="31"/>
      <c r="CC459" s="31"/>
      <c r="CD459" s="31"/>
      <c r="CE459" s="31"/>
      <c r="CF459" s="31"/>
    </row>
    <row r="460" customFormat="false" ht="15.75" hidden="false" customHeight="true" outlineLevel="0" collapsed="false">
      <c r="A460" s="31" t="s">
        <v>16335</v>
      </c>
      <c r="B460" s="31" t="s">
        <v>26242</v>
      </c>
      <c r="C460" s="31" t="s">
        <v>26243</v>
      </c>
      <c r="D460" s="34" t="s">
        <v>26244</v>
      </c>
      <c r="E460" s="31" t="n">
        <v>2018</v>
      </c>
      <c r="F460" s="33" t="s">
        <v>26245</v>
      </c>
      <c r="G460" s="33" t="s">
        <v>290</v>
      </c>
      <c r="H460" s="32" t="s">
        <v>24788</v>
      </c>
      <c r="I460" s="34"/>
      <c r="J460" s="34"/>
      <c r="K460" s="34"/>
      <c r="L460" s="34"/>
      <c r="M460" s="34"/>
      <c r="N460" s="34"/>
      <c r="O460" s="34"/>
      <c r="P460" s="34" t="n">
        <v>13</v>
      </c>
      <c r="Q460" s="31" t="n">
        <v>13</v>
      </c>
      <c r="R460" s="31" t="s">
        <v>61</v>
      </c>
      <c r="S460" s="31" t="s">
        <v>62</v>
      </c>
      <c r="T460" s="31" t="s">
        <v>26246</v>
      </c>
      <c r="U460" s="31" t="n">
        <v>17</v>
      </c>
      <c r="V460" s="31" t="s">
        <v>19148</v>
      </c>
      <c r="W460" s="31" t="n">
        <v>3</v>
      </c>
      <c r="X460" s="31" t="s">
        <v>26247</v>
      </c>
      <c r="Y460" s="31" t="s">
        <v>26248</v>
      </c>
      <c r="Z460" s="31" t="s">
        <v>26249</v>
      </c>
      <c r="AA460" s="31" t="s">
        <v>26250</v>
      </c>
      <c r="AB460" s="31" t="s">
        <v>26251</v>
      </c>
      <c r="AC460" s="31" t="s">
        <v>26252</v>
      </c>
      <c r="AD460" s="31" t="s">
        <v>26253</v>
      </c>
      <c r="AE460" s="31" t="s">
        <v>26254</v>
      </c>
      <c r="AF460" s="31" t="s">
        <v>26255</v>
      </c>
      <c r="AG460" s="31" t="s">
        <v>26256</v>
      </c>
      <c r="AH460" s="31" t="s">
        <v>26257</v>
      </c>
      <c r="AI460" s="31" t="n">
        <v>42</v>
      </c>
      <c r="AJ460" s="31" t="n">
        <v>1</v>
      </c>
      <c r="AK460" s="31" t="n">
        <v>8</v>
      </c>
      <c r="AL460" s="31" t="s">
        <v>18329</v>
      </c>
      <c r="AM460" s="31" t="s">
        <v>19160</v>
      </c>
      <c r="AN460" s="31" t="s">
        <v>26258</v>
      </c>
      <c r="AO460" s="31" t="s">
        <v>26259</v>
      </c>
      <c r="AP460" s="31" t="s">
        <v>26260</v>
      </c>
      <c r="AQ460" s="31" t="s">
        <v>26261</v>
      </c>
      <c r="AR460" s="31" t="s">
        <v>17248</v>
      </c>
      <c r="AS460" s="31" t="n">
        <v>1258</v>
      </c>
      <c r="AT460" s="31" t="n">
        <v>1268</v>
      </c>
      <c r="AU460" s="31"/>
      <c r="AV460" s="31" t="s">
        <v>26262</v>
      </c>
      <c r="AW460" s="35" t="str">
        <f aca="false">HYPERLINK("http://dx.doi.org/10.1021/acs.jproteome.7b00861","http://dx.doi.org/10.1021/acs.jproteome.7b00861")</f>
        <v>http://dx.doi.org/10.1021/acs.jproteome.7b00861</v>
      </c>
      <c r="AX460" s="31"/>
      <c r="AY460" s="31" t="n">
        <v>11</v>
      </c>
      <c r="AZ460" s="31" t="s">
        <v>22754</v>
      </c>
      <c r="BA460" s="31" t="s">
        <v>16366</v>
      </c>
      <c r="BB460" s="31" t="s">
        <v>16652</v>
      </c>
      <c r="BC460" s="31" t="s">
        <v>26263</v>
      </c>
      <c r="BD460" s="31" t="n">
        <v>29336158</v>
      </c>
      <c r="BE460" s="31"/>
      <c r="BF460" s="31" t="s">
        <v>16369</v>
      </c>
      <c r="BG460" s="31" t="s">
        <v>26264</v>
      </c>
      <c r="BH460" s="31" t="str">
        <f aca="false">HYPERLINK("https%3A%2F%2Fwww.webofscience.com%2Fwos%2Fwoscc%2Ffull-record%2FWOS:000426804300029","View Full Record in Web of Science")</f>
        <v>View Full Record in Web of Science</v>
      </c>
      <c r="BI460" s="31"/>
      <c r="BJ460" s="31"/>
      <c r="BK460" s="31"/>
      <c r="BL460" s="31"/>
      <c r="BM460" s="31"/>
      <c r="BN460" s="31"/>
      <c r="BO460" s="31"/>
      <c r="BP460" s="31"/>
      <c r="BQ460" s="31"/>
      <c r="BR460" s="31"/>
      <c r="BS460" s="31"/>
      <c r="BT460" s="31"/>
      <c r="BU460" s="31"/>
      <c r="BV460" s="31"/>
      <c r="BW460" s="31"/>
      <c r="BX460" s="31"/>
      <c r="BY460" s="31"/>
      <c r="BZ460" s="31"/>
      <c r="CA460" s="31"/>
      <c r="CB460" s="31"/>
      <c r="CC460" s="31"/>
      <c r="CD460" s="31"/>
      <c r="CE460" s="31"/>
      <c r="CF460" s="31"/>
    </row>
    <row r="461" customFormat="false" ht="15.75" hidden="false" customHeight="true" outlineLevel="0" collapsed="false">
      <c r="A461" s="31" t="s">
        <v>16335</v>
      </c>
      <c r="B461" s="31" t="s">
        <v>26265</v>
      </c>
      <c r="C461" s="31" t="s">
        <v>26266</v>
      </c>
      <c r="D461" s="34" t="s">
        <v>26267</v>
      </c>
      <c r="E461" s="31" t="n">
        <v>2018</v>
      </c>
      <c r="F461" s="33" t="s">
        <v>26268</v>
      </c>
      <c r="G461" s="33" t="s">
        <v>1230</v>
      </c>
      <c r="H461" s="32" t="s">
        <v>26269</v>
      </c>
      <c r="I461" s="32" t="s">
        <v>16341</v>
      </c>
      <c r="J461" s="34"/>
      <c r="K461" s="32" t="s">
        <v>22030</v>
      </c>
      <c r="L461" s="34"/>
      <c r="M461" s="34"/>
      <c r="N461" s="34"/>
      <c r="O461" s="34"/>
      <c r="P461" s="34" t="n">
        <v>7</v>
      </c>
      <c r="Q461" s="31" t="n">
        <v>8</v>
      </c>
      <c r="R461" s="31" t="s">
        <v>61</v>
      </c>
      <c r="S461" s="31" t="s">
        <v>62</v>
      </c>
      <c r="T461" s="31" t="s">
        <v>22641</v>
      </c>
      <c r="U461" s="31" t="n">
        <v>55</v>
      </c>
      <c r="V461" s="31" t="s">
        <v>16531</v>
      </c>
      <c r="W461" s="31" t="n">
        <v>4</v>
      </c>
      <c r="X461" s="31" t="s">
        <v>26270</v>
      </c>
      <c r="Y461" s="31" t="s">
        <v>26271</v>
      </c>
      <c r="Z461" s="31" t="s">
        <v>26272</v>
      </c>
      <c r="AA461" s="31" t="s">
        <v>26273</v>
      </c>
      <c r="AB461" s="31" t="s">
        <v>26274</v>
      </c>
      <c r="AC461" s="31" t="s">
        <v>26275</v>
      </c>
      <c r="AD461" s="31" t="s">
        <v>26276</v>
      </c>
      <c r="AE461" s="31" t="s">
        <v>26277</v>
      </c>
      <c r="AF461" s="31"/>
      <c r="AG461" s="31"/>
      <c r="AH461" s="31"/>
      <c r="AI461" s="31" t="n">
        <v>19</v>
      </c>
      <c r="AJ461" s="31" t="n">
        <v>0</v>
      </c>
      <c r="AK461" s="31" t="n">
        <v>3</v>
      </c>
      <c r="AL461" s="31" t="s">
        <v>16539</v>
      </c>
      <c r="AM461" s="31" t="s">
        <v>16540</v>
      </c>
      <c r="AN461" s="31" t="s">
        <v>22650</v>
      </c>
      <c r="AO461" s="31" t="s">
        <v>22651</v>
      </c>
      <c r="AP461" s="31" t="s">
        <v>22652</v>
      </c>
      <c r="AQ461" s="31" t="s">
        <v>22653</v>
      </c>
      <c r="AR461" s="31" t="s">
        <v>20025</v>
      </c>
      <c r="AS461" s="31" t="n">
        <v>1040</v>
      </c>
      <c r="AT461" s="31" t="n">
        <v>1042</v>
      </c>
      <c r="AU461" s="31"/>
      <c r="AV461" s="31" t="s">
        <v>26278</v>
      </c>
      <c r="AW461" s="35" t="str">
        <f aca="false">HYPERLINK("http://dx.doi.org/10.1093/jme/tjy003","http://dx.doi.org/10.1093/jme/tjy003")</f>
        <v>http://dx.doi.org/10.1093/jme/tjy003</v>
      </c>
      <c r="AX461" s="31"/>
      <c r="AY461" s="31" t="n">
        <v>3</v>
      </c>
      <c r="AZ461" s="31" t="s">
        <v>22656</v>
      </c>
      <c r="BA461" s="31" t="s">
        <v>16366</v>
      </c>
      <c r="BB461" s="31" t="s">
        <v>22656</v>
      </c>
      <c r="BC461" s="31" t="s">
        <v>26279</v>
      </c>
      <c r="BD461" s="31" t="n">
        <v>29415246</v>
      </c>
      <c r="BE461" s="31"/>
      <c r="BF461" s="31" t="s">
        <v>16369</v>
      </c>
      <c r="BG461" s="31" t="s">
        <v>26280</v>
      </c>
      <c r="BH461" s="31" t="str">
        <f aca="false">HYPERLINK("https%3A%2F%2Fwww.webofscience.com%2Fwos%2Fwoscc%2Ffull-record%2FWOS:000438232000037","View Full Record in Web of Science")</f>
        <v>View Full Record in Web of Science</v>
      </c>
      <c r="BI461" s="31"/>
      <c r="BJ461" s="31"/>
      <c r="BK461" s="31"/>
      <c r="BL461" s="31"/>
      <c r="BM461" s="31"/>
      <c r="BN461" s="31"/>
      <c r="BO461" s="31"/>
      <c r="BP461" s="31"/>
      <c r="BQ461" s="31"/>
      <c r="BR461" s="31"/>
      <c r="BS461" s="31"/>
      <c r="BT461" s="31"/>
      <c r="BU461" s="31"/>
      <c r="BV461" s="31"/>
      <c r="BW461" s="31"/>
      <c r="BX461" s="31"/>
      <c r="BY461" s="31"/>
      <c r="BZ461" s="31"/>
      <c r="CA461" s="31"/>
      <c r="CB461" s="31"/>
      <c r="CC461" s="31"/>
      <c r="CD461" s="31"/>
      <c r="CE461" s="31"/>
      <c r="CF461" s="31"/>
    </row>
    <row r="462" customFormat="false" ht="15.75" hidden="false" customHeight="true" outlineLevel="0" collapsed="false">
      <c r="A462" s="31" t="s">
        <v>16335</v>
      </c>
      <c r="B462" s="31" t="s">
        <v>26281</v>
      </c>
      <c r="C462" s="31" t="s">
        <v>26282</v>
      </c>
      <c r="D462" s="34" t="s">
        <v>26283</v>
      </c>
      <c r="E462" s="31" t="n">
        <v>2018</v>
      </c>
      <c r="F462" s="33" t="s">
        <v>26284</v>
      </c>
      <c r="G462" s="33" t="s">
        <v>134</v>
      </c>
      <c r="H462" s="32" t="s">
        <v>26285</v>
      </c>
      <c r="I462" s="34"/>
      <c r="J462" s="34"/>
      <c r="K462" s="34"/>
      <c r="L462" s="34"/>
      <c r="M462" s="32" t="s">
        <v>26286</v>
      </c>
      <c r="N462" s="32" t="s">
        <v>26287</v>
      </c>
      <c r="O462" s="34"/>
      <c r="P462" s="34" t="n">
        <v>214</v>
      </c>
      <c r="Q462" s="31" t="n">
        <v>239</v>
      </c>
      <c r="R462" s="31" t="s">
        <v>61</v>
      </c>
      <c r="S462" s="31" t="s">
        <v>62</v>
      </c>
      <c r="T462" s="31" t="s">
        <v>18901</v>
      </c>
      <c r="U462" s="31" t="n">
        <v>48</v>
      </c>
      <c r="V462" s="31" t="s">
        <v>16349</v>
      </c>
      <c r="W462" s="31"/>
      <c r="X462" s="31" t="s">
        <v>26288</v>
      </c>
      <c r="Y462" s="31"/>
      <c r="Z462" s="31" t="s">
        <v>26289</v>
      </c>
      <c r="AA462" s="31" t="s">
        <v>26290</v>
      </c>
      <c r="AB462" s="31" t="s">
        <v>26291</v>
      </c>
      <c r="AC462" s="31" t="s">
        <v>26292</v>
      </c>
      <c r="AD462" s="31"/>
      <c r="AE462" s="31" t="s">
        <v>26293</v>
      </c>
      <c r="AF462" s="31" t="s">
        <v>26294</v>
      </c>
      <c r="AG462" s="31" t="s">
        <v>26295</v>
      </c>
      <c r="AH462" s="31" t="s">
        <v>26296</v>
      </c>
      <c r="AI462" s="31" t="n">
        <v>35</v>
      </c>
      <c r="AJ462" s="31" t="n">
        <v>1</v>
      </c>
      <c r="AK462" s="31" t="n">
        <v>61</v>
      </c>
      <c r="AL462" s="31" t="s">
        <v>16356</v>
      </c>
      <c r="AM462" s="31" t="s">
        <v>16357</v>
      </c>
      <c r="AN462" s="31" t="s">
        <v>18912</v>
      </c>
      <c r="AO462" s="31" t="s">
        <v>18913</v>
      </c>
      <c r="AP462" s="31" t="s">
        <v>18914</v>
      </c>
      <c r="AQ462" s="31" t="s">
        <v>18915</v>
      </c>
      <c r="AR462" s="31" t="s">
        <v>17139</v>
      </c>
      <c r="AS462" s="31" t="n">
        <v>257</v>
      </c>
      <c r="AT462" s="31" t="n">
        <v>268</v>
      </c>
      <c r="AU462" s="31"/>
      <c r="AV462" s="31" t="s">
        <v>26297</v>
      </c>
      <c r="AW462" s="35" t="str">
        <f aca="false">HYPERLINK("http://dx.doi.org/10.1016/j.ecoinf.2018.10.002","http://dx.doi.org/10.1016/j.ecoinf.2018.10.002")</f>
        <v>http://dx.doi.org/10.1016/j.ecoinf.2018.10.002</v>
      </c>
      <c r="AX462" s="31"/>
      <c r="AY462" s="31" t="n">
        <v>12</v>
      </c>
      <c r="AZ462" s="31" t="s">
        <v>18917</v>
      </c>
      <c r="BA462" s="31" t="s">
        <v>16366</v>
      </c>
      <c r="BB462" s="31" t="s">
        <v>17115</v>
      </c>
      <c r="BC462" s="31" t="s">
        <v>26298</v>
      </c>
      <c r="BD462" s="31"/>
      <c r="BE462" s="31" t="s">
        <v>23327</v>
      </c>
      <c r="BF462" s="31" t="s">
        <v>16369</v>
      </c>
      <c r="BG462" s="31" t="s">
        <v>26299</v>
      </c>
      <c r="BH462" s="31" t="str">
        <f aca="false">HYPERLINK("https%3A%2F%2Fwww.webofscience.com%2Fwos%2Fwoscc%2Ffull-record%2FWOS:000453641900025","View Full Record in Web of Science")</f>
        <v>View Full Record in Web of Science</v>
      </c>
      <c r="BI462" s="31"/>
      <c r="BJ462" s="31"/>
      <c r="BK462" s="31"/>
      <c r="BL462" s="31"/>
      <c r="BM462" s="31"/>
      <c r="BN462" s="31"/>
      <c r="BO462" s="31"/>
      <c r="BP462" s="31"/>
      <c r="BQ462" s="31"/>
      <c r="BR462" s="31"/>
      <c r="BS462" s="31"/>
      <c r="BT462" s="31"/>
      <c r="BU462" s="31"/>
      <c r="BV462" s="31"/>
      <c r="BW462" s="31"/>
      <c r="BX462" s="31"/>
      <c r="BY462" s="31"/>
      <c r="BZ462" s="31"/>
      <c r="CA462" s="31"/>
      <c r="CB462" s="31"/>
      <c r="CC462" s="31"/>
      <c r="CD462" s="31"/>
      <c r="CE462" s="31"/>
      <c r="CF462" s="31"/>
    </row>
    <row r="463" customFormat="false" ht="15.75" hidden="false" customHeight="true" outlineLevel="0" collapsed="false">
      <c r="A463" s="31" t="s">
        <v>16335</v>
      </c>
      <c r="B463" s="31" t="s">
        <v>26300</v>
      </c>
      <c r="C463" s="31" t="s">
        <v>26301</v>
      </c>
      <c r="D463" s="34" t="s">
        <v>26302</v>
      </c>
      <c r="E463" s="31" t="n">
        <v>2018</v>
      </c>
      <c r="F463" s="33" t="s">
        <v>26303</v>
      </c>
      <c r="G463" s="33" t="s">
        <v>290</v>
      </c>
      <c r="H463" s="32" t="s">
        <v>26304</v>
      </c>
      <c r="I463" s="34"/>
      <c r="J463" s="34"/>
      <c r="K463" s="34"/>
      <c r="L463" s="34"/>
      <c r="M463" s="32" t="s">
        <v>26305</v>
      </c>
      <c r="N463" s="34"/>
      <c r="O463" s="34"/>
      <c r="P463" s="34" t="n">
        <v>875</v>
      </c>
      <c r="Q463" s="31" t="n">
        <v>947</v>
      </c>
      <c r="R463" s="31" t="s">
        <v>61</v>
      </c>
      <c r="S463" s="31" t="s">
        <v>62</v>
      </c>
      <c r="T463" s="31" t="s">
        <v>26306</v>
      </c>
      <c r="U463" s="31" t="n">
        <v>4</v>
      </c>
      <c r="V463" s="31" t="s">
        <v>19148</v>
      </c>
      <c r="W463" s="31" t="n">
        <v>1</v>
      </c>
      <c r="X463" s="31"/>
      <c r="Y463" s="31" t="s">
        <v>26307</v>
      </c>
      <c r="Z463" s="31" t="s">
        <v>26308</v>
      </c>
      <c r="AA463" s="31" t="s">
        <v>26309</v>
      </c>
      <c r="AB463" s="31" t="s">
        <v>26310</v>
      </c>
      <c r="AC463" s="31" t="s">
        <v>26311</v>
      </c>
      <c r="AD463" s="31" t="s">
        <v>26312</v>
      </c>
      <c r="AE463" s="31" t="s">
        <v>26313</v>
      </c>
      <c r="AF463" s="31" t="s">
        <v>26314</v>
      </c>
      <c r="AG463" s="31" t="s">
        <v>26315</v>
      </c>
      <c r="AH463" s="31" t="s">
        <v>26316</v>
      </c>
      <c r="AI463" s="31" t="n">
        <v>75</v>
      </c>
      <c r="AJ463" s="31" t="n">
        <v>13</v>
      </c>
      <c r="AK463" s="31" t="n">
        <v>228</v>
      </c>
      <c r="AL463" s="31" t="s">
        <v>18329</v>
      </c>
      <c r="AM463" s="31" t="s">
        <v>19160</v>
      </c>
      <c r="AN463" s="31" t="s">
        <v>26317</v>
      </c>
      <c r="AO463" s="31" t="s">
        <v>26318</v>
      </c>
      <c r="AP463" s="31" t="s">
        <v>26319</v>
      </c>
      <c r="AQ463" s="31" t="s">
        <v>26320</v>
      </c>
      <c r="AR463" s="31" t="s">
        <v>16458</v>
      </c>
      <c r="AS463" s="31" t="n">
        <v>120</v>
      </c>
      <c r="AT463" s="31" t="n">
        <v>131</v>
      </c>
      <c r="AU463" s="31"/>
      <c r="AV463" s="31" t="s">
        <v>26321</v>
      </c>
      <c r="AW463" s="35" t="str">
        <f aca="false">HYPERLINK("http://dx.doi.org/10.1021/acscentsci.7b00512","http://dx.doi.org/10.1021/acscentsci.7b00512")</f>
        <v>http://dx.doi.org/10.1021/acscentsci.7b00512</v>
      </c>
      <c r="AX463" s="31"/>
      <c r="AY463" s="31" t="n">
        <v>12</v>
      </c>
      <c r="AZ463" s="31" t="s">
        <v>17347</v>
      </c>
      <c r="BA463" s="31" t="s">
        <v>16366</v>
      </c>
      <c r="BB463" s="31" t="s">
        <v>17348</v>
      </c>
      <c r="BC463" s="31" t="s">
        <v>26322</v>
      </c>
      <c r="BD463" s="31" t="n">
        <v>29392184</v>
      </c>
      <c r="BE463" s="31" t="s">
        <v>16832</v>
      </c>
      <c r="BF463" s="31" t="s">
        <v>16369</v>
      </c>
      <c r="BG463" s="31" t="s">
        <v>26323</v>
      </c>
      <c r="BH463" s="31" t="str">
        <f aca="false">HYPERLINK("https%3A%2F%2Fwww.webofscience.com%2Fwos%2Fwoscc%2Ffull-record%2FWOS:000423170700014","View Full Record in Web of Science")</f>
        <v>View Full Record in Web of Science</v>
      </c>
      <c r="BI463" s="31"/>
      <c r="BJ463" s="31"/>
      <c r="BK463" s="31"/>
      <c r="BL463" s="31"/>
      <c r="BM463" s="31" t="s">
        <v>26324</v>
      </c>
      <c r="BN463" s="31" t="s">
        <v>26325</v>
      </c>
      <c r="BO463" s="31"/>
      <c r="BP463" s="31"/>
      <c r="BQ463" s="31"/>
      <c r="BR463" s="31"/>
      <c r="BS463" s="31"/>
      <c r="BT463" s="31"/>
      <c r="BU463" s="31"/>
      <c r="BV463" s="31"/>
      <c r="BW463" s="31"/>
      <c r="BX463" s="31"/>
      <c r="BY463" s="31"/>
      <c r="BZ463" s="31"/>
      <c r="CA463" s="31"/>
      <c r="CB463" s="31"/>
      <c r="CC463" s="31"/>
      <c r="CD463" s="31"/>
      <c r="CE463" s="31"/>
      <c r="CF463" s="31"/>
    </row>
    <row r="464" customFormat="false" ht="15.75" hidden="false" customHeight="true" outlineLevel="0" collapsed="false">
      <c r="A464" s="31" t="s">
        <v>16335</v>
      </c>
      <c r="B464" s="31" t="s">
        <v>26326</v>
      </c>
      <c r="C464" s="31" t="s">
        <v>26327</v>
      </c>
      <c r="D464" s="34" t="s">
        <v>26328</v>
      </c>
      <c r="E464" s="31" t="n">
        <v>2018</v>
      </c>
      <c r="F464" s="33" t="s">
        <v>26329</v>
      </c>
      <c r="G464" s="33" t="s">
        <v>1230</v>
      </c>
      <c r="H464" s="32" t="s">
        <v>26330</v>
      </c>
      <c r="I464" s="32" t="s">
        <v>16661</v>
      </c>
      <c r="J464" s="34"/>
      <c r="K464" s="32" t="s">
        <v>22030</v>
      </c>
      <c r="L464" s="34"/>
      <c r="M464" s="34"/>
      <c r="N464" s="34"/>
      <c r="O464" s="34"/>
      <c r="P464" s="34" t="n">
        <v>17</v>
      </c>
      <c r="Q464" s="31" t="n">
        <v>18</v>
      </c>
      <c r="R464" s="31" t="s">
        <v>61</v>
      </c>
      <c r="S464" s="31" t="s">
        <v>62</v>
      </c>
      <c r="T464" s="31" t="s">
        <v>16413</v>
      </c>
      <c r="U464" s="31" t="n">
        <v>8</v>
      </c>
      <c r="V464" s="31" t="s">
        <v>16414</v>
      </c>
      <c r="W464" s="31"/>
      <c r="X464" s="31"/>
      <c r="Y464" s="31" t="s">
        <v>26331</v>
      </c>
      <c r="Z464" s="31" t="s">
        <v>26332</v>
      </c>
      <c r="AA464" s="31" t="s">
        <v>26333</v>
      </c>
      <c r="AB464" s="31" t="s">
        <v>26334</v>
      </c>
      <c r="AC464" s="31" t="s">
        <v>26335</v>
      </c>
      <c r="AD464" s="31" t="s">
        <v>26336</v>
      </c>
      <c r="AE464" s="31" t="s">
        <v>26337</v>
      </c>
      <c r="AF464" s="31" t="s">
        <v>26338</v>
      </c>
      <c r="AG464" s="31" t="s">
        <v>26339</v>
      </c>
      <c r="AH464" s="31" t="s">
        <v>26340</v>
      </c>
      <c r="AI464" s="31" t="n">
        <v>105</v>
      </c>
      <c r="AJ464" s="31" t="n">
        <v>0</v>
      </c>
      <c r="AK464" s="31" t="n">
        <v>1</v>
      </c>
      <c r="AL464" s="31" t="s">
        <v>16421</v>
      </c>
      <c r="AM464" s="31" t="s">
        <v>16422</v>
      </c>
      <c r="AN464" s="31" t="s">
        <v>16423</v>
      </c>
      <c r="AO464" s="31"/>
      <c r="AP464" s="31" t="s">
        <v>16424</v>
      </c>
      <c r="AQ464" s="31" t="s">
        <v>16425</v>
      </c>
      <c r="AR464" s="31" t="s">
        <v>17563</v>
      </c>
      <c r="AS464" s="31"/>
      <c r="AT464" s="31"/>
      <c r="AU464" s="31" t="n">
        <v>17336</v>
      </c>
      <c r="AV464" s="31" t="s">
        <v>26341</v>
      </c>
      <c r="AW464" s="35" t="str">
        <f aca="false">HYPERLINK("http://dx.doi.org/10.1038/s41598-018-35778-6","http://dx.doi.org/10.1038/s41598-018-35778-6")</f>
        <v>http://dx.doi.org/10.1038/s41598-018-35778-6</v>
      </c>
      <c r="AX464" s="31"/>
      <c r="AY464" s="31" t="n">
        <v>16</v>
      </c>
      <c r="AZ464" s="31" t="s">
        <v>16428</v>
      </c>
      <c r="BA464" s="31" t="s">
        <v>16366</v>
      </c>
      <c r="BB464" s="31" t="s">
        <v>16429</v>
      </c>
      <c r="BC464" s="31" t="s">
        <v>26342</v>
      </c>
      <c r="BD464" s="31" t="n">
        <v>30478412</v>
      </c>
      <c r="BE464" s="31" t="s">
        <v>17143</v>
      </c>
      <c r="BF464" s="31" t="s">
        <v>16369</v>
      </c>
      <c r="BG464" s="31" t="s">
        <v>26343</v>
      </c>
      <c r="BH464" s="31" t="str">
        <f aca="false">HYPERLINK("https%3A%2F%2Fwww.webofscience.com%2Fwos%2Fwoscc%2Ffull-record%2FWOS:000451182100008","View Full Record in Web of Science")</f>
        <v>View Full Record in Web of Science</v>
      </c>
      <c r="BI464" s="31"/>
      <c r="BJ464" s="31"/>
      <c r="BK464" s="31"/>
      <c r="BL464" s="31"/>
      <c r="BM464" s="31"/>
      <c r="BN464" s="31"/>
      <c r="BO464" s="31"/>
      <c r="BP464" s="31"/>
      <c r="BQ464" s="31"/>
      <c r="BR464" s="31"/>
      <c r="BS464" s="31"/>
      <c r="BT464" s="31"/>
      <c r="BU464" s="31"/>
      <c r="BV464" s="31"/>
      <c r="BW464" s="31"/>
      <c r="BX464" s="31"/>
      <c r="BY464" s="31"/>
      <c r="BZ464" s="31"/>
      <c r="CA464" s="31"/>
      <c r="CB464" s="31"/>
      <c r="CC464" s="31"/>
      <c r="CD464" s="31"/>
      <c r="CE464" s="31"/>
      <c r="CF464" s="31"/>
    </row>
    <row r="465" customFormat="false" ht="15.75" hidden="false" customHeight="true" outlineLevel="0" collapsed="false">
      <c r="A465" s="31" t="s">
        <v>16335</v>
      </c>
      <c r="B465" s="31" t="s">
        <v>26344</v>
      </c>
      <c r="C465" s="31" t="s">
        <v>26345</v>
      </c>
      <c r="D465" s="34" t="s">
        <v>26346</v>
      </c>
      <c r="E465" s="31" t="n">
        <v>2018</v>
      </c>
      <c r="F465" s="33" t="s">
        <v>26347</v>
      </c>
      <c r="G465" s="33" t="s">
        <v>290</v>
      </c>
      <c r="H465" s="32" t="s">
        <v>26348</v>
      </c>
      <c r="I465" s="34"/>
      <c r="J465" s="34"/>
      <c r="K465" s="34"/>
      <c r="L465" s="34"/>
      <c r="M465" s="34"/>
      <c r="N465" s="34"/>
      <c r="O465" s="34"/>
      <c r="P465" s="34" t="n">
        <v>24</v>
      </c>
      <c r="Q465" s="31" t="n">
        <v>24</v>
      </c>
      <c r="R465" s="31" t="s">
        <v>61</v>
      </c>
      <c r="S465" s="31" t="s">
        <v>62</v>
      </c>
      <c r="T465" s="31" t="s">
        <v>26349</v>
      </c>
      <c r="U465" s="31" t="n">
        <v>72</v>
      </c>
      <c r="V465" s="31" t="s">
        <v>18415</v>
      </c>
      <c r="W465" s="31"/>
      <c r="X465" s="31" t="s">
        <v>26350</v>
      </c>
      <c r="Y465" s="31" t="s">
        <v>26351</v>
      </c>
      <c r="Z465" s="31" t="s">
        <v>26352</v>
      </c>
      <c r="AA465" s="31" t="s">
        <v>26353</v>
      </c>
      <c r="AB465" s="31" t="s">
        <v>26354</v>
      </c>
      <c r="AC465" s="31" t="s">
        <v>26355</v>
      </c>
      <c r="AD465" s="31" t="s">
        <v>26356</v>
      </c>
      <c r="AE465" s="31" t="s">
        <v>26357</v>
      </c>
      <c r="AF465" s="31" t="s">
        <v>26358</v>
      </c>
      <c r="AG465" s="31" t="s">
        <v>26359</v>
      </c>
      <c r="AH465" s="31" t="s">
        <v>26360</v>
      </c>
      <c r="AI465" s="31" t="n">
        <v>109</v>
      </c>
      <c r="AJ465" s="31" t="n">
        <v>1</v>
      </c>
      <c r="AK465" s="31" t="n">
        <v>16</v>
      </c>
      <c r="AL465" s="31" t="s">
        <v>16575</v>
      </c>
      <c r="AM465" s="31" t="s">
        <v>22438</v>
      </c>
      <c r="AN465" s="31" t="s">
        <v>26361</v>
      </c>
      <c r="AO465" s="31" t="s">
        <v>26362</v>
      </c>
      <c r="AP465" s="31" t="s">
        <v>26363</v>
      </c>
      <c r="AQ465" s="31" t="s">
        <v>179</v>
      </c>
      <c r="AR465" s="31" t="s">
        <v>16970</v>
      </c>
      <c r="AS465" s="31" t="n">
        <v>136</v>
      </c>
      <c r="AT465" s="31" t="n">
        <v>149</v>
      </c>
      <c r="AU465" s="31"/>
      <c r="AV465" s="31" t="s">
        <v>26364</v>
      </c>
      <c r="AW465" s="35" t="str">
        <f aca="false">HYPERLINK("http://dx.doi.org/10.1016/j.compbiolchem.2017.12.002","http://dx.doi.org/10.1016/j.compbiolchem.2017.12.002")</f>
        <v>http://dx.doi.org/10.1016/j.compbiolchem.2017.12.002</v>
      </c>
      <c r="AX465" s="31"/>
      <c r="AY465" s="31" t="n">
        <v>14</v>
      </c>
      <c r="AZ465" s="31" t="s">
        <v>26365</v>
      </c>
      <c r="BA465" s="31" t="s">
        <v>16366</v>
      </c>
      <c r="BB465" s="31" t="s">
        <v>26366</v>
      </c>
      <c r="BC465" s="31" t="s">
        <v>26367</v>
      </c>
      <c r="BD465" s="31" t="n">
        <v>29277258</v>
      </c>
      <c r="BE465" s="31"/>
      <c r="BF465" s="31" t="s">
        <v>16369</v>
      </c>
      <c r="BG465" s="31" t="s">
        <v>26368</v>
      </c>
      <c r="BH465" s="31" t="str">
        <f aca="false">HYPERLINK("https%3A%2F%2Fwww.webofscience.com%2Fwos%2Fwoscc%2Ffull-record%2FWOS:000425081800015","View Full Record in Web of Science")</f>
        <v>View Full Record in Web of Science</v>
      </c>
      <c r="BI465" s="31"/>
      <c r="BJ465" s="31"/>
      <c r="BK465" s="31"/>
      <c r="BL465" s="31"/>
      <c r="BM465" s="31"/>
      <c r="BN465" s="31"/>
      <c r="BO465" s="31"/>
      <c r="BP465" s="31"/>
      <c r="BQ465" s="31"/>
      <c r="BR465" s="31"/>
      <c r="BS465" s="31"/>
      <c r="BT465" s="31"/>
      <c r="BU465" s="31"/>
      <c r="BV465" s="31"/>
      <c r="BW465" s="31"/>
      <c r="BX465" s="31"/>
      <c r="BY465" s="31"/>
      <c r="BZ465" s="31"/>
      <c r="CA465" s="31"/>
      <c r="CB465" s="31"/>
      <c r="CC465" s="31"/>
      <c r="CD465" s="31"/>
      <c r="CE465" s="31"/>
      <c r="CF465" s="31"/>
    </row>
    <row r="466" customFormat="false" ht="15.75" hidden="false" customHeight="true" outlineLevel="0" collapsed="false">
      <c r="A466" s="31" t="s">
        <v>16335</v>
      </c>
      <c r="B466" s="31" t="s">
        <v>26369</v>
      </c>
      <c r="C466" s="31" t="s">
        <v>26370</v>
      </c>
      <c r="D466" s="34" t="s">
        <v>26371</v>
      </c>
      <c r="E466" s="31" t="n">
        <v>2018</v>
      </c>
      <c r="F466" s="33" t="s">
        <v>26372</v>
      </c>
      <c r="G466" s="33" t="s">
        <v>1230</v>
      </c>
      <c r="H466" s="32" t="s">
        <v>26373</v>
      </c>
      <c r="I466" s="34"/>
      <c r="J466" s="34"/>
      <c r="K466" s="32" t="s">
        <v>22030</v>
      </c>
      <c r="L466" s="34"/>
      <c r="M466" s="32" t="s">
        <v>26374</v>
      </c>
      <c r="N466" s="34"/>
      <c r="O466" s="34"/>
      <c r="P466" s="34" t="n">
        <v>46</v>
      </c>
      <c r="Q466" s="31" t="n">
        <v>49</v>
      </c>
      <c r="R466" s="31" t="s">
        <v>61</v>
      </c>
      <c r="S466" s="31" t="s">
        <v>62</v>
      </c>
      <c r="T466" s="31" t="s">
        <v>16875</v>
      </c>
      <c r="U466" s="31" t="n">
        <v>188</v>
      </c>
      <c r="V466" s="31" t="s">
        <v>16349</v>
      </c>
      <c r="W466" s="31"/>
      <c r="X466" s="31" t="s">
        <v>26375</v>
      </c>
      <c r="Y466" s="31" t="s">
        <v>26376</v>
      </c>
      <c r="Z466" s="31" t="s">
        <v>26377</v>
      </c>
      <c r="AA466" s="31" t="s">
        <v>26378</v>
      </c>
      <c r="AB466" s="31" t="s">
        <v>26379</v>
      </c>
      <c r="AC466" s="31" t="s">
        <v>26380</v>
      </c>
      <c r="AD466" s="31" t="s">
        <v>26381</v>
      </c>
      <c r="AE466" s="31" t="s">
        <v>26382</v>
      </c>
      <c r="AF466" s="31" t="s">
        <v>26383</v>
      </c>
      <c r="AG466" s="31" t="s">
        <v>26383</v>
      </c>
      <c r="AH466" s="31" t="s">
        <v>26384</v>
      </c>
      <c r="AI466" s="31" t="n">
        <v>46</v>
      </c>
      <c r="AJ466" s="31" t="n">
        <v>0</v>
      </c>
      <c r="AK466" s="31" t="n">
        <v>43</v>
      </c>
      <c r="AL466" s="31" t="s">
        <v>16356</v>
      </c>
      <c r="AM466" s="31" t="s">
        <v>16357</v>
      </c>
      <c r="AN466" s="31" t="s">
        <v>16886</v>
      </c>
      <c r="AO466" s="31" t="s">
        <v>16887</v>
      </c>
      <c r="AP466" s="31" t="s">
        <v>16888</v>
      </c>
      <c r="AQ466" s="31" t="s">
        <v>1926</v>
      </c>
      <c r="AR466" s="31" t="s">
        <v>16649</v>
      </c>
      <c r="AS466" s="31" t="n">
        <v>187</v>
      </c>
      <c r="AT466" s="31" t="n">
        <v>194</v>
      </c>
      <c r="AU466" s="31"/>
      <c r="AV466" s="31" t="s">
        <v>26385</v>
      </c>
      <c r="AW466" s="35" t="str">
        <f aca="false">HYPERLINK("http://dx.doi.org/10.1016/j.actatropica.2018.09.004","http://dx.doi.org/10.1016/j.actatropica.2018.09.004")</f>
        <v>http://dx.doi.org/10.1016/j.actatropica.2018.09.004</v>
      </c>
      <c r="AX466" s="31"/>
      <c r="AY466" s="31" t="n">
        <v>8</v>
      </c>
      <c r="AZ466" s="31" t="s">
        <v>16891</v>
      </c>
      <c r="BA466" s="31" t="s">
        <v>16366</v>
      </c>
      <c r="BB466" s="31" t="s">
        <v>16891</v>
      </c>
      <c r="BC466" s="31" t="s">
        <v>26386</v>
      </c>
      <c r="BD466" s="31" t="n">
        <v>30201488</v>
      </c>
      <c r="BE466" s="31"/>
      <c r="BF466" s="31" t="s">
        <v>16369</v>
      </c>
      <c r="BG466" s="31" t="s">
        <v>26387</v>
      </c>
      <c r="BH466" s="31" t="str">
        <f aca="false">HYPERLINK("https%3A%2F%2Fwww.webofscience.com%2Fwos%2Fwoscc%2Ffull-record%2FWOS:000448093000023","View Full Record in Web of Science")</f>
        <v>View Full Record in Web of Science</v>
      </c>
      <c r="BI466" s="31"/>
      <c r="BJ466" s="31"/>
      <c r="BK466" s="31"/>
      <c r="BL466" s="31"/>
      <c r="BM466" s="31"/>
      <c r="BN466" s="31"/>
      <c r="BO466" s="31"/>
      <c r="BP466" s="31"/>
      <c r="BQ466" s="31"/>
      <c r="BR466" s="31"/>
      <c r="BS466" s="31"/>
      <c r="BT466" s="31"/>
      <c r="BU466" s="31"/>
      <c r="BV466" s="31"/>
      <c r="BW466" s="31"/>
      <c r="BX466" s="31"/>
      <c r="BY466" s="31"/>
      <c r="BZ466" s="31"/>
      <c r="CA466" s="31"/>
      <c r="CB466" s="31"/>
      <c r="CC466" s="31"/>
      <c r="CD466" s="31"/>
      <c r="CE466" s="31"/>
      <c r="CF466" s="31"/>
    </row>
    <row r="467" customFormat="false" ht="15.75" hidden="false" customHeight="true" outlineLevel="0" collapsed="false">
      <c r="A467" s="31" t="s">
        <v>16335</v>
      </c>
      <c r="B467" s="31" t="s">
        <v>26388</v>
      </c>
      <c r="C467" s="31" t="s">
        <v>26389</v>
      </c>
      <c r="D467" s="34" t="s">
        <v>26390</v>
      </c>
      <c r="E467" s="31" t="n">
        <v>2018</v>
      </c>
      <c r="F467" s="33" t="s">
        <v>26391</v>
      </c>
      <c r="G467" s="33" t="s">
        <v>134</v>
      </c>
      <c r="H467" s="32" t="s">
        <v>24633</v>
      </c>
      <c r="I467" s="34"/>
      <c r="J467" s="34"/>
      <c r="K467" s="32" t="s">
        <v>16409</v>
      </c>
      <c r="L467" s="34"/>
      <c r="M467" s="34"/>
      <c r="N467" s="34"/>
      <c r="O467" s="34"/>
      <c r="P467" s="34" t="n">
        <v>47</v>
      </c>
      <c r="Q467" s="31" t="n">
        <v>51</v>
      </c>
      <c r="R467" s="31" t="s">
        <v>61</v>
      </c>
      <c r="S467" s="31" t="s">
        <v>62</v>
      </c>
      <c r="T467" s="31" t="s">
        <v>26392</v>
      </c>
      <c r="U467" s="31" t="n">
        <v>11</v>
      </c>
      <c r="V467" s="31" t="s">
        <v>18105</v>
      </c>
      <c r="W467" s="31" t="n">
        <v>9</v>
      </c>
      <c r="X467" s="31" t="s">
        <v>26393</v>
      </c>
      <c r="Y467" s="31" t="s">
        <v>26394</v>
      </c>
      <c r="Z467" s="31" t="s">
        <v>26395</v>
      </c>
      <c r="AA467" s="31" t="s">
        <v>26396</v>
      </c>
      <c r="AB467" s="31" t="s">
        <v>26397</v>
      </c>
      <c r="AC467" s="31" t="s">
        <v>26398</v>
      </c>
      <c r="AD467" s="31" t="s">
        <v>26399</v>
      </c>
      <c r="AE467" s="31" t="s">
        <v>26400</v>
      </c>
      <c r="AF467" s="31" t="s">
        <v>26401</v>
      </c>
      <c r="AG467" s="31" t="s">
        <v>26402</v>
      </c>
      <c r="AH467" s="31" t="s">
        <v>26403</v>
      </c>
      <c r="AI467" s="31" t="n">
        <v>46</v>
      </c>
      <c r="AJ467" s="31" t="n">
        <v>0</v>
      </c>
      <c r="AK467" s="31" t="n">
        <v>25</v>
      </c>
      <c r="AL467" s="31" t="s">
        <v>18117</v>
      </c>
      <c r="AM467" s="31" t="s">
        <v>18118</v>
      </c>
      <c r="AN467" s="31" t="s">
        <v>26404</v>
      </c>
      <c r="AO467" s="31" t="s">
        <v>26405</v>
      </c>
      <c r="AP467" s="31" t="s">
        <v>26406</v>
      </c>
      <c r="AQ467" s="31" t="s">
        <v>14120</v>
      </c>
      <c r="AR467" s="31" t="s">
        <v>16801</v>
      </c>
      <c r="AS467" s="31"/>
      <c r="AT467" s="31"/>
      <c r="AU467" s="31" t="s">
        <v>26407</v>
      </c>
      <c r="AV467" s="31" t="s">
        <v>26408</v>
      </c>
      <c r="AW467" s="35" t="str">
        <f aca="false">HYPERLINK("http://dx.doi.org/10.1002/jbio.201800101","http://dx.doi.org/10.1002/jbio.201800101")</f>
        <v>http://dx.doi.org/10.1002/jbio.201800101</v>
      </c>
      <c r="AX467" s="31"/>
      <c r="AY467" s="31" t="n">
        <v>9</v>
      </c>
      <c r="AZ467" s="31" t="s">
        <v>26409</v>
      </c>
      <c r="BA467" s="31" t="s">
        <v>16366</v>
      </c>
      <c r="BB467" s="31" t="s">
        <v>26410</v>
      </c>
      <c r="BC467" s="31" t="s">
        <v>26411</v>
      </c>
      <c r="BD467" s="31" t="n">
        <v>29676064</v>
      </c>
      <c r="BE467" s="31"/>
      <c r="BF467" s="31" t="s">
        <v>16369</v>
      </c>
      <c r="BG467" s="31" t="s">
        <v>26412</v>
      </c>
      <c r="BH467" s="31" t="str">
        <f aca="false">HYPERLINK("https%3A%2F%2Fwww.webofscience.com%2Fwos%2Fwoscc%2Ffull-record%2FWOS:000443944500024","View Full Record in Web of Science")</f>
        <v>View Full Record in Web of Science</v>
      </c>
      <c r="BI467" s="31"/>
      <c r="BJ467" s="31"/>
      <c r="BK467" s="31"/>
      <c r="BL467" s="31"/>
      <c r="BM467" s="31"/>
      <c r="BN467" s="31"/>
      <c r="BO467" s="31"/>
      <c r="BP467" s="31"/>
      <c r="BQ467" s="31"/>
      <c r="BR467" s="31"/>
      <c r="BS467" s="31"/>
      <c r="BT467" s="31"/>
      <c r="BU467" s="31"/>
      <c r="BV467" s="31"/>
      <c r="BW467" s="31"/>
      <c r="BX467" s="31"/>
      <c r="BY467" s="31"/>
      <c r="BZ467" s="31"/>
      <c r="CA467" s="31"/>
      <c r="CB467" s="31"/>
      <c r="CC467" s="31"/>
      <c r="CD467" s="31"/>
      <c r="CE467" s="31"/>
      <c r="CF467" s="31"/>
    </row>
    <row r="468" customFormat="false" ht="15.75" hidden="false" customHeight="true" outlineLevel="0" collapsed="false">
      <c r="A468" s="31" t="s">
        <v>16335</v>
      </c>
      <c r="B468" s="31" t="s">
        <v>26413</v>
      </c>
      <c r="C468" s="31" t="s">
        <v>26414</v>
      </c>
      <c r="D468" s="34" t="s">
        <v>26415</v>
      </c>
      <c r="E468" s="31" t="n">
        <v>2018</v>
      </c>
      <c r="F468" s="33" t="s">
        <v>26416</v>
      </c>
      <c r="G468" s="33" t="s">
        <v>1230</v>
      </c>
      <c r="H468" s="32" t="s">
        <v>17036</v>
      </c>
      <c r="I468" s="34"/>
      <c r="J468" s="34"/>
      <c r="K468" s="34"/>
      <c r="L468" s="34"/>
      <c r="M468" s="32" t="s">
        <v>26417</v>
      </c>
      <c r="N468" s="34"/>
      <c r="O468" s="34"/>
      <c r="P468" s="34" t="n">
        <v>71</v>
      </c>
      <c r="Q468" s="31" t="n">
        <v>76</v>
      </c>
      <c r="R468" s="31" t="s">
        <v>61</v>
      </c>
      <c r="S468" s="31" t="s">
        <v>62</v>
      </c>
      <c r="T468" s="31" t="s">
        <v>16875</v>
      </c>
      <c r="U468" s="31" t="n">
        <v>178</v>
      </c>
      <c r="V468" s="31" t="s">
        <v>16349</v>
      </c>
      <c r="W468" s="31"/>
      <c r="X468" s="31" t="s">
        <v>26418</v>
      </c>
      <c r="Y468" s="31" t="s">
        <v>26419</v>
      </c>
      <c r="Z468" s="31" t="s">
        <v>26420</v>
      </c>
      <c r="AA468" s="31" t="s">
        <v>26421</v>
      </c>
      <c r="AB468" s="31" t="s">
        <v>26422</v>
      </c>
      <c r="AC468" s="31" t="s">
        <v>26423</v>
      </c>
      <c r="AD468" s="31" t="s">
        <v>26424</v>
      </c>
      <c r="AE468" s="31" t="s">
        <v>26425</v>
      </c>
      <c r="AF468" s="31" t="s">
        <v>26426</v>
      </c>
      <c r="AG468" s="31" t="s">
        <v>26427</v>
      </c>
      <c r="AH468" s="31" t="s">
        <v>26428</v>
      </c>
      <c r="AI468" s="31" t="n">
        <v>56</v>
      </c>
      <c r="AJ468" s="31" t="n">
        <v>5</v>
      </c>
      <c r="AK468" s="31" t="n">
        <v>75</v>
      </c>
      <c r="AL468" s="31" t="s">
        <v>16356</v>
      </c>
      <c r="AM468" s="31" t="s">
        <v>16357</v>
      </c>
      <c r="AN468" s="31" t="s">
        <v>16886</v>
      </c>
      <c r="AO468" s="31" t="s">
        <v>16887</v>
      </c>
      <c r="AP468" s="31" t="s">
        <v>16888</v>
      </c>
      <c r="AQ468" s="31" t="s">
        <v>1926</v>
      </c>
      <c r="AR468" s="31" t="s">
        <v>16970</v>
      </c>
      <c r="AS468" s="31" t="n">
        <v>155</v>
      </c>
      <c r="AT468" s="31" t="n">
        <v>162</v>
      </c>
      <c r="AU468" s="31"/>
      <c r="AV468" s="31" t="s">
        <v>26429</v>
      </c>
      <c r="AW468" s="35" t="str">
        <f aca="false">HYPERLINK("http://dx.doi.org/10.1016/j.actatropica.2017.11.020","http://dx.doi.org/10.1016/j.actatropica.2017.11.020")</f>
        <v>http://dx.doi.org/10.1016/j.actatropica.2017.11.020</v>
      </c>
      <c r="AX468" s="31"/>
      <c r="AY468" s="31" t="n">
        <v>8</v>
      </c>
      <c r="AZ468" s="31" t="s">
        <v>16891</v>
      </c>
      <c r="BA468" s="31" t="s">
        <v>16366</v>
      </c>
      <c r="BB468" s="31" t="s">
        <v>16891</v>
      </c>
      <c r="BC468" s="31" t="s">
        <v>26430</v>
      </c>
      <c r="BD468" s="31" t="n">
        <v>29191515</v>
      </c>
      <c r="BE468" s="31"/>
      <c r="BF468" s="31" t="s">
        <v>16369</v>
      </c>
      <c r="BG468" s="31" t="s">
        <v>26431</v>
      </c>
      <c r="BH468" s="31" t="str">
        <f aca="false">HYPERLINK("https%3A%2F%2Fwww.webofscience.com%2Fwos%2Fwoscc%2Ffull-record%2FWOS:000423644300025","View Full Record in Web of Science")</f>
        <v>View Full Record in Web of Science</v>
      </c>
      <c r="BI468" s="31"/>
      <c r="BJ468" s="31"/>
      <c r="BK468" s="31"/>
      <c r="BL468" s="31"/>
      <c r="BM468" s="31"/>
      <c r="BN468" s="31"/>
      <c r="BO468" s="31"/>
      <c r="BP468" s="31"/>
      <c r="BQ468" s="31"/>
      <c r="BR468" s="31"/>
      <c r="BS468" s="31"/>
      <c r="BT468" s="31"/>
      <c r="BU468" s="31"/>
      <c r="BV468" s="31"/>
      <c r="BW468" s="31"/>
      <c r="BX468" s="31"/>
      <c r="BY468" s="31"/>
      <c r="BZ468" s="31"/>
      <c r="CA468" s="31"/>
      <c r="CB468" s="31"/>
      <c r="CC468" s="31"/>
      <c r="CD468" s="31"/>
      <c r="CE468" s="31"/>
      <c r="CF468" s="31"/>
    </row>
    <row r="469" customFormat="false" ht="15.75" hidden="false" customHeight="true" outlineLevel="0" collapsed="false">
      <c r="A469" s="31" t="s">
        <v>16335</v>
      </c>
      <c r="B469" s="31" t="s">
        <v>26432</v>
      </c>
      <c r="C469" s="31" t="s">
        <v>26433</v>
      </c>
      <c r="D469" s="34" t="s">
        <v>26434</v>
      </c>
      <c r="E469" s="31" t="n">
        <v>2018</v>
      </c>
      <c r="F469" s="33" t="s">
        <v>26435</v>
      </c>
      <c r="G469" s="33" t="s">
        <v>1230</v>
      </c>
      <c r="H469" s="32" t="s">
        <v>17036</v>
      </c>
      <c r="I469" s="34"/>
      <c r="J469" s="34"/>
      <c r="K469" s="32" t="s">
        <v>26023</v>
      </c>
      <c r="L469" s="34"/>
      <c r="M469" s="32" t="s">
        <v>26436</v>
      </c>
      <c r="N469" s="34"/>
      <c r="O469" s="34"/>
      <c r="P469" s="34" t="n">
        <v>33</v>
      </c>
      <c r="Q469" s="31" t="n">
        <v>37</v>
      </c>
      <c r="R469" s="31" t="s">
        <v>61</v>
      </c>
      <c r="S469" s="31" t="s">
        <v>62</v>
      </c>
      <c r="T469" s="31" t="s">
        <v>16875</v>
      </c>
      <c r="U469" s="31" t="n">
        <v>185</v>
      </c>
      <c r="V469" s="31" t="s">
        <v>16349</v>
      </c>
      <c r="W469" s="31"/>
      <c r="X469" s="31" t="s">
        <v>26437</v>
      </c>
      <c r="Y469" s="31" t="s">
        <v>26438</v>
      </c>
      <c r="Z469" s="31" t="s">
        <v>26439</v>
      </c>
      <c r="AA469" s="31" t="s">
        <v>26421</v>
      </c>
      <c r="AB469" s="31" t="s">
        <v>26440</v>
      </c>
      <c r="AC469" s="31" t="s">
        <v>26441</v>
      </c>
      <c r="AD469" s="31" t="s">
        <v>26424</v>
      </c>
      <c r="AE469" s="31" t="s">
        <v>26425</v>
      </c>
      <c r="AF469" s="31" t="s">
        <v>26426</v>
      </c>
      <c r="AG469" s="31" t="s">
        <v>26427</v>
      </c>
      <c r="AH469" s="31" t="s">
        <v>26442</v>
      </c>
      <c r="AI469" s="31" t="n">
        <v>63</v>
      </c>
      <c r="AJ469" s="31" t="n">
        <v>2</v>
      </c>
      <c r="AK469" s="31" t="n">
        <v>59</v>
      </c>
      <c r="AL469" s="31" t="s">
        <v>16356</v>
      </c>
      <c r="AM469" s="31" t="s">
        <v>16357</v>
      </c>
      <c r="AN469" s="31" t="s">
        <v>16886</v>
      </c>
      <c r="AO469" s="31" t="s">
        <v>16887</v>
      </c>
      <c r="AP469" s="31" t="s">
        <v>16888</v>
      </c>
      <c r="AQ469" s="31" t="s">
        <v>1926</v>
      </c>
      <c r="AR469" s="31" t="s">
        <v>16801</v>
      </c>
      <c r="AS469" s="31" t="n">
        <v>391</v>
      </c>
      <c r="AT469" s="31" t="n">
        <v>399</v>
      </c>
      <c r="AU469" s="31"/>
      <c r="AV469" s="31" t="s">
        <v>26443</v>
      </c>
      <c r="AW469" s="35" t="str">
        <f aca="false">HYPERLINK("http://dx.doi.org/10.1016/j.actatropica.2018.06.021","http://dx.doi.org/10.1016/j.actatropica.2018.06.021")</f>
        <v>http://dx.doi.org/10.1016/j.actatropica.2018.06.021</v>
      </c>
      <c r="AX469" s="31"/>
      <c r="AY469" s="31" t="n">
        <v>9</v>
      </c>
      <c r="AZ469" s="31" t="s">
        <v>16891</v>
      </c>
      <c r="BA469" s="31" t="s">
        <v>16366</v>
      </c>
      <c r="BB469" s="31" t="s">
        <v>16891</v>
      </c>
      <c r="BC469" s="31" t="s">
        <v>26444</v>
      </c>
      <c r="BD469" s="31" t="n">
        <v>29932934</v>
      </c>
      <c r="BE469" s="31"/>
      <c r="BF469" s="31" t="s">
        <v>16369</v>
      </c>
      <c r="BG469" s="31" t="s">
        <v>26445</v>
      </c>
      <c r="BH469" s="31" t="str">
        <f aca="false">HYPERLINK("https%3A%2F%2Fwww.webofscience.com%2Fwos%2Fwoscc%2Ffull-record%2FWOS:000440126000054","View Full Record in Web of Science")</f>
        <v>View Full Record in Web of Science</v>
      </c>
      <c r="BI469" s="31"/>
      <c r="BJ469" s="31"/>
      <c r="BK469" s="31"/>
      <c r="BL469" s="31"/>
      <c r="BM469" s="31"/>
      <c r="BN469" s="31"/>
      <c r="BO469" s="31"/>
      <c r="BP469" s="31"/>
      <c r="BQ469" s="31"/>
      <c r="BR469" s="31"/>
      <c r="BS469" s="31"/>
      <c r="BT469" s="31"/>
      <c r="BU469" s="31"/>
      <c r="BV469" s="31"/>
      <c r="BW469" s="31"/>
      <c r="BX469" s="31"/>
      <c r="BY469" s="31"/>
      <c r="BZ469" s="31"/>
      <c r="CA469" s="31"/>
      <c r="CB469" s="31"/>
      <c r="CC469" s="31"/>
      <c r="CD469" s="31"/>
      <c r="CE469" s="31"/>
      <c r="CF469" s="31"/>
    </row>
    <row r="470" customFormat="false" ht="15.75" hidden="false" customHeight="true" outlineLevel="0" collapsed="false">
      <c r="A470" s="31" t="s">
        <v>16335</v>
      </c>
      <c r="B470" s="31" t="s">
        <v>26446</v>
      </c>
      <c r="C470" s="31" t="s">
        <v>26447</v>
      </c>
      <c r="D470" s="34" t="s">
        <v>26448</v>
      </c>
      <c r="E470" s="31" t="n">
        <v>2018</v>
      </c>
      <c r="F470" s="33" t="s">
        <v>26449</v>
      </c>
      <c r="G470" s="33" t="s">
        <v>1230</v>
      </c>
      <c r="H470" s="32" t="s">
        <v>26450</v>
      </c>
      <c r="I470" s="34"/>
      <c r="J470" s="34"/>
      <c r="K470" s="32" t="s">
        <v>16840</v>
      </c>
      <c r="L470" s="34"/>
      <c r="M470" s="34"/>
      <c r="N470" s="34"/>
      <c r="O470" s="34"/>
      <c r="P470" s="34" t="n">
        <v>62</v>
      </c>
      <c r="Q470" s="31" t="n">
        <v>64</v>
      </c>
      <c r="R470" s="31" t="s">
        <v>61</v>
      </c>
      <c r="S470" s="31" t="s">
        <v>62</v>
      </c>
      <c r="T470" s="31" t="s">
        <v>16875</v>
      </c>
      <c r="U470" s="31" t="n">
        <v>185</v>
      </c>
      <c r="V470" s="31" t="s">
        <v>26451</v>
      </c>
      <c r="W470" s="31"/>
      <c r="X470" s="31" t="s">
        <v>26452</v>
      </c>
      <c r="Y470" s="31" t="s">
        <v>26453</v>
      </c>
      <c r="Z470" s="31" t="s">
        <v>26454</v>
      </c>
      <c r="AA470" s="31" t="s">
        <v>26455</v>
      </c>
      <c r="AB470" s="31" t="s">
        <v>26456</v>
      </c>
      <c r="AC470" s="31" t="s">
        <v>26457</v>
      </c>
      <c r="AD470" s="31" t="s">
        <v>26458</v>
      </c>
      <c r="AE470" s="31" t="s">
        <v>26459</v>
      </c>
      <c r="AF470" s="31"/>
      <c r="AG470" s="31"/>
      <c r="AH470" s="31"/>
      <c r="AI470" s="31" t="n">
        <v>51</v>
      </c>
      <c r="AJ470" s="31" t="n">
        <v>1</v>
      </c>
      <c r="AK470" s="31" t="n">
        <v>44</v>
      </c>
      <c r="AL470" s="31" t="s">
        <v>16356</v>
      </c>
      <c r="AM470" s="31" t="s">
        <v>26460</v>
      </c>
      <c r="AN470" s="31" t="s">
        <v>16886</v>
      </c>
      <c r="AO470" s="31" t="s">
        <v>16887</v>
      </c>
      <c r="AP470" s="31" t="s">
        <v>16888</v>
      </c>
      <c r="AQ470" s="31" t="s">
        <v>1926</v>
      </c>
      <c r="AR470" s="31" t="s">
        <v>16801</v>
      </c>
      <c r="AS470" s="31" t="n">
        <v>167</v>
      </c>
      <c r="AT470" s="31" t="n">
        <v>175</v>
      </c>
      <c r="AU470" s="31"/>
      <c r="AV470" s="31" t="s">
        <v>26461</v>
      </c>
      <c r="AW470" s="35" t="str">
        <f aca="false">HYPERLINK("http://dx.doi.org/10.1016/j.actatropica.2018.05.003","http://dx.doi.org/10.1016/j.actatropica.2018.05.003")</f>
        <v>http://dx.doi.org/10.1016/j.actatropica.2018.05.003</v>
      </c>
      <c r="AX470" s="31"/>
      <c r="AY470" s="31" t="n">
        <v>9</v>
      </c>
      <c r="AZ470" s="31" t="s">
        <v>16891</v>
      </c>
      <c r="BA470" s="31" t="s">
        <v>16366</v>
      </c>
      <c r="BB470" s="31" t="s">
        <v>16891</v>
      </c>
      <c r="BC470" s="31" t="s">
        <v>26444</v>
      </c>
      <c r="BD470" s="31" t="n">
        <v>29777650</v>
      </c>
      <c r="BE470" s="31" t="s">
        <v>17409</v>
      </c>
      <c r="BF470" s="31" t="s">
        <v>16369</v>
      </c>
      <c r="BG470" s="31" t="s">
        <v>26462</v>
      </c>
      <c r="BH470" s="31" t="str">
        <f aca="false">HYPERLINK("https%3A%2F%2Fwww.webofscience.com%2Fwos%2Fwoscc%2Ffull-record%2FWOS:000440126000023","View Full Record in Web of Science")</f>
        <v>View Full Record in Web of Science</v>
      </c>
      <c r="BI470" s="31"/>
      <c r="BJ470" s="31"/>
      <c r="BK470" s="31"/>
      <c r="BL470" s="31"/>
      <c r="BM470" s="31"/>
      <c r="BN470" s="31"/>
      <c r="BO470" s="31"/>
      <c r="BP470" s="31"/>
      <c r="BQ470" s="31"/>
      <c r="BR470" s="31"/>
      <c r="BS470" s="31"/>
      <c r="BT470" s="31"/>
      <c r="BU470" s="31"/>
      <c r="BV470" s="31"/>
      <c r="BW470" s="31"/>
      <c r="BX470" s="31"/>
      <c r="BY470" s="31"/>
      <c r="BZ470" s="31"/>
      <c r="CA470" s="31"/>
      <c r="CB470" s="31"/>
      <c r="CC470" s="31"/>
      <c r="CD470" s="31"/>
      <c r="CE470" s="31"/>
      <c r="CF470" s="31"/>
    </row>
    <row r="471" customFormat="false" ht="15.75" hidden="false" customHeight="true" outlineLevel="0" collapsed="false">
      <c r="A471" s="31" t="s">
        <v>16335</v>
      </c>
      <c r="B471" s="31" t="s">
        <v>26463</v>
      </c>
      <c r="C471" s="31" t="s">
        <v>26464</v>
      </c>
      <c r="D471" s="34" t="s">
        <v>26465</v>
      </c>
      <c r="E471" s="31" t="n">
        <v>2018</v>
      </c>
      <c r="F471" s="33" t="s">
        <v>26466</v>
      </c>
      <c r="G471" s="33" t="s">
        <v>134</v>
      </c>
      <c r="H471" s="32" t="s">
        <v>25496</v>
      </c>
      <c r="I471" s="34"/>
      <c r="J471" s="34"/>
      <c r="K471" s="34"/>
      <c r="L471" s="34"/>
      <c r="M471" s="34"/>
      <c r="N471" s="34"/>
      <c r="O471" s="34"/>
      <c r="P471" s="34" t="n">
        <v>43</v>
      </c>
      <c r="Q471" s="31" t="n">
        <v>51</v>
      </c>
      <c r="R471" s="31" t="s">
        <v>61</v>
      </c>
      <c r="S471" s="31" t="s">
        <v>62</v>
      </c>
      <c r="T471" s="31" t="s">
        <v>26467</v>
      </c>
      <c r="U471" s="31" t="n">
        <v>7</v>
      </c>
      <c r="V471" s="31" t="s">
        <v>16814</v>
      </c>
      <c r="W471" s="31"/>
      <c r="X471" s="31"/>
      <c r="Y471" s="31" t="s">
        <v>26468</v>
      </c>
      <c r="Z471" s="31" t="s">
        <v>26469</v>
      </c>
      <c r="AA471" s="31" t="s">
        <v>26470</v>
      </c>
      <c r="AB471" s="31" t="s">
        <v>26471</v>
      </c>
      <c r="AC471" s="31" t="s">
        <v>26472</v>
      </c>
      <c r="AD471" s="31" t="s">
        <v>26473</v>
      </c>
      <c r="AE471" s="31" t="s">
        <v>26474</v>
      </c>
      <c r="AF471" s="31" t="s">
        <v>26475</v>
      </c>
      <c r="AG471" s="31" t="s">
        <v>26476</v>
      </c>
      <c r="AH471" s="31" t="s">
        <v>26477</v>
      </c>
      <c r="AI471" s="31" t="n">
        <v>59</v>
      </c>
      <c r="AJ471" s="31" t="n">
        <v>0</v>
      </c>
      <c r="AK471" s="31" t="n">
        <v>15</v>
      </c>
      <c r="AL471" s="31" t="s">
        <v>16821</v>
      </c>
      <c r="AM471" s="31" t="s">
        <v>16822</v>
      </c>
      <c r="AN471" s="31" t="s">
        <v>26478</v>
      </c>
      <c r="AO471" s="31" t="s">
        <v>26479</v>
      </c>
      <c r="AP471" s="31" t="s">
        <v>26480</v>
      </c>
      <c r="AQ471" s="31" t="s">
        <v>26481</v>
      </c>
      <c r="AR471" s="31" t="s">
        <v>26482</v>
      </c>
      <c r="AS471" s="31"/>
      <c r="AT471" s="31"/>
      <c r="AU471" s="31" t="n">
        <v>108</v>
      </c>
      <c r="AV471" s="31" t="s">
        <v>26483</v>
      </c>
      <c r="AW471" s="35" t="str">
        <f aca="false">HYPERLINK("http://dx.doi.org/10.1038/s41377-018-0110-1","http://dx.doi.org/10.1038/s41377-018-0110-1")</f>
        <v>http://dx.doi.org/10.1038/s41377-018-0110-1</v>
      </c>
      <c r="AX471" s="31"/>
      <c r="AY471" s="31" t="n">
        <v>18</v>
      </c>
      <c r="AZ471" s="31" t="s">
        <v>23349</v>
      </c>
      <c r="BA471" s="31" t="s">
        <v>16366</v>
      </c>
      <c r="BB471" s="31" t="s">
        <v>23349</v>
      </c>
      <c r="BC471" s="31" t="s">
        <v>26484</v>
      </c>
      <c r="BD471" s="31" t="n">
        <v>30564314</v>
      </c>
      <c r="BE471" s="31" t="s">
        <v>17143</v>
      </c>
      <c r="BF471" s="31" t="s">
        <v>16369</v>
      </c>
      <c r="BG471" s="31" t="s">
        <v>26485</v>
      </c>
      <c r="BH471" s="31" t="str">
        <f aca="false">HYPERLINK("https%3A%2F%2Fwww.webofscience.com%2Fwos%2Fwoscc%2Ffull-record%2FWOS:000452920800005","View Full Record in Web of Science")</f>
        <v>View Full Record in Web of Science</v>
      </c>
      <c r="BI471" s="31"/>
      <c r="BJ471" s="31"/>
      <c r="BK471" s="31"/>
      <c r="BL471" s="31"/>
      <c r="BM471" s="31"/>
      <c r="BN471" s="31"/>
      <c r="BO471" s="31"/>
      <c r="BP471" s="31"/>
      <c r="BQ471" s="31"/>
      <c r="BR471" s="31"/>
      <c r="BS471" s="31"/>
      <c r="BT471" s="31"/>
      <c r="BU471" s="31"/>
      <c r="BV471" s="31"/>
      <c r="BW471" s="31"/>
      <c r="BX471" s="31"/>
      <c r="BY471" s="31"/>
      <c r="BZ471" s="31"/>
      <c r="CA471" s="31"/>
      <c r="CB471" s="31"/>
      <c r="CC471" s="31"/>
      <c r="CD471" s="31"/>
      <c r="CE471" s="31"/>
      <c r="CF471" s="31"/>
    </row>
    <row r="472" customFormat="false" ht="15.75" hidden="false" customHeight="true" outlineLevel="0" collapsed="false">
      <c r="A472" s="31" t="s">
        <v>16335</v>
      </c>
      <c r="B472" s="31" t="s">
        <v>26486</v>
      </c>
      <c r="C472" s="31" t="s">
        <v>26487</v>
      </c>
      <c r="D472" s="34" t="s">
        <v>26488</v>
      </c>
      <c r="E472" s="31" t="n">
        <v>2018</v>
      </c>
      <c r="F472" s="33" t="s">
        <v>26489</v>
      </c>
      <c r="G472" s="33" t="s">
        <v>1230</v>
      </c>
      <c r="H472" s="32" t="s">
        <v>21245</v>
      </c>
      <c r="I472" s="32" t="s">
        <v>26490</v>
      </c>
      <c r="J472" s="34"/>
      <c r="K472" s="34"/>
      <c r="L472" s="34"/>
      <c r="M472" s="34"/>
      <c r="N472" s="34"/>
      <c r="O472" s="34"/>
      <c r="P472" s="34" t="n">
        <v>21</v>
      </c>
      <c r="Q472" s="31" t="n">
        <v>21</v>
      </c>
      <c r="R472" s="31" t="s">
        <v>61</v>
      </c>
      <c r="S472" s="31" t="s">
        <v>62</v>
      </c>
      <c r="T472" s="31" t="s">
        <v>18519</v>
      </c>
      <c r="U472" s="31" t="n">
        <v>13</v>
      </c>
      <c r="V472" s="31" t="s">
        <v>16845</v>
      </c>
      <c r="W472" s="31" t="n">
        <v>9</v>
      </c>
      <c r="X472" s="31"/>
      <c r="Y472" s="31" t="s">
        <v>26491</v>
      </c>
      <c r="Z472" s="31" t="s">
        <v>26492</v>
      </c>
      <c r="AA472" s="31" t="s">
        <v>26493</v>
      </c>
      <c r="AB472" s="31" t="s">
        <v>26494</v>
      </c>
      <c r="AC472" s="31" t="s">
        <v>26495</v>
      </c>
      <c r="AD472" s="31"/>
      <c r="AE472" s="31" t="s">
        <v>26496</v>
      </c>
      <c r="AF472" s="31" t="s">
        <v>26497</v>
      </c>
      <c r="AG472" s="31" t="s">
        <v>26498</v>
      </c>
      <c r="AH472" s="31" t="s">
        <v>26499</v>
      </c>
      <c r="AI472" s="31" t="n">
        <v>25</v>
      </c>
      <c r="AJ472" s="31" t="n">
        <v>0</v>
      </c>
      <c r="AK472" s="31" t="n">
        <v>5</v>
      </c>
      <c r="AL472" s="31" t="s">
        <v>16855</v>
      </c>
      <c r="AM472" s="31" t="s">
        <v>16856</v>
      </c>
      <c r="AN472" s="31" t="s">
        <v>18530</v>
      </c>
      <c r="AO472" s="31"/>
      <c r="AP472" s="31" t="s">
        <v>18519</v>
      </c>
      <c r="AQ472" s="31" t="s">
        <v>18531</v>
      </c>
      <c r="AR472" s="31" t="s">
        <v>20006</v>
      </c>
      <c r="AS472" s="31"/>
      <c r="AT472" s="31"/>
      <c r="AU472" s="31" t="s">
        <v>26500</v>
      </c>
      <c r="AV472" s="31" t="s">
        <v>26501</v>
      </c>
      <c r="AW472" s="35" t="str">
        <f aca="false">HYPERLINK("http://dx.doi.org/10.1371/journal.pone.0204399","http://dx.doi.org/10.1371/journal.pone.0204399")</f>
        <v>http://dx.doi.org/10.1371/journal.pone.0204399</v>
      </c>
      <c r="AX472" s="31"/>
      <c r="AY472" s="31" t="n">
        <v>10</v>
      </c>
      <c r="AZ472" s="31" t="s">
        <v>16428</v>
      </c>
      <c r="BA472" s="31" t="s">
        <v>16366</v>
      </c>
      <c r="BB472" s="31" t="s">
        <v>16429</v>
      </c>
      <c r="BC472" s="31" t="s">
        <v>26502</v>
      </c>
      <c r="BD472" s="31" t="n">
        <v>30240429</v>
      </c>
      <c r="BE472" s="31" t="s">
        <v>21499</v>
      </c>
      <c r="BF472" s="31" t="s">
        <v>16369</v>
      </c>
      <c r="BG472" s="31" t="s">
        <v>26503</v>
      </c>
      <c r="BH472" s="31" t="str">
        <f aca="false">HYPERLINK("https%3A%2F%2Fwww.webofscience.com%2Fwos%2Fwoscc%2Ffull-record%2FWOS:000445329700046","View Full Record in Web of Science")</f>
        <v>View Full Record in Web of Science</v>
      </c>
      <c r="BI472" s="31"/>
      <c r="BJ472" s="31"/>
      <c r="BK472" s="31"/>
      <c r="BL472" s="31"/>
      <c r="BM472" s="31"/>
      <c r="BN472" s="31"/>
      <c r="BO472" s="31"/>
      <c r="BP472" s="31"/>
      <c r="BQ472" s="31"/>
      <c r="BR472" s="31"/>
      <c r="BS472" s="31"/>
      <c r="BT472" s="31"/>
      <c r="BU472" s="31"/>
      <c r="BV472" s="31"/>
      <c r="BW472" s="31"/>
      <c r="BX472" s="31"/>
      <c r="BY472" s="31"/>
      <c r="BZ472" s="31"/>
      <c r="CA472" s="31"/>
      <c r="CB472" s="31"/>
      <c r="CC472" s="31"/>
      <c r="CD472" s="31"/>
      <c r="CE472" s="31"/>
      <c r="CF472" s="31"/>
    </row>
    <row r="473" customFormat="false" ht="15.75" hidden="false" customHeight="true" outlineLevel="0" collapsed="false">
      <c r="A473" s="31" t="s">
        <v>16335</v>
      </c>
      <c r="B473" s="31" t="s">
        <v>26504</v>
      </c>
      <c r="C473" s="31" t="s">
        <v>26505</v>
      </c>
      <c r="D473" s="34" t="s">
        <v>26506</v>
      </c>
      <c r="E473" s="31" t="n">
        <v>2018</v>
      </c>
      <c r="F473" s="33" t="s">
        <v>26507</v>
      </c>
      <c r="G473" s="33" t="s">
        <v>134</v>
      </c>
      <c r="H473" s="32" t="s">
        <v>26508</v>
      </c>
      <c r="I473" s="34"/>
      <c r="J473" s="34"/>
      <c r="K473" s="32" t="s">
        <v>26509</v>
      </c>
      <c r="L473" s="34"/>
      <c r="M473" s="34"/>
      <c r="N473" s="34"/>
      <c r="O473" s="34"/>
      <c r="P473" s="34" t="n">
        <v>5</v>
      </c>
      <c r="Q473" s="31" t="n">
        <v>5</v>
      </c>
      <c r="R473" s="31" t="s">
        <v>61</v>
      </c>
      <c r="S473" s="31" t="s">
        <v>62</v>
      </c>
      <c r="T473" s="31" t="s">
        <v>18519</v>
      </c>
      <c r="U473" s="31" t="n">
        <v>13</v>
      </c>
      <c r="V473" s="31" t="s">
        <v>16845</v>
      </c>
      <c r="W473" s="31" t="n">
        <v>7</v>
      </c>
      <c r="X473" s="31"/>
      <c r="Y473" s="31" t="s">
        <v>26510</v>
      </c>
      <c r="Z473" s="31" t="s">
        <v>26511</v>
      </c>
      <c r="AA473" s="31" t="s">
        <v>26512</v>
      </c>
      <c r="AB473" s="31" t="s">
        <v>26513</v>
      </c>
      <c r="AC473" s="31" t="s">
        <v>26514</v>
      </c>
      <c r="AD473" s="31" t="s">
        <v>26515</v>
      </c>
      <c r="AE473" s="31" t="s">
        <v>26516</v>
      </c>
      <c r="AF473" s="31"/>
      <c r="AG473" s="31"/>
      <c r="AH473" s="31"/>
      <c r="AI473" s="31" t="n">
        <v>25</v>
      </c>
      <c r="AJ473" s="31" t="n">
        <v>0</v>
      </c>
      <c r="AK473" s="31" t="n">
        <v>6</v>
      </c>
      <c r="AL473" s="31" t="s">
        <v>16855</v>
      </c>
      <c r="AM473" s="31" t="s">
        <v>16856</v>
      </c>
      <c r="AN473" s="31" t="s">
        <v>18530</v>
      </c>
      <c r="AO473" s="31"/>
      <c r="AP473" s="31" t="s">
        <v>18519</v>
      </c>
      <c r="AQ473" s="31" t="s">
        <v>18531</v>
      </c>
      <c r="AR473" s="31" t="s">
        <v>26517</v>
      </c>
      <c r="AS473" s="31"/>
      <c r="AT473" s="31"/>
      <c r="AU473" s="31" t="s">
        <v>26518</v>
      </c>
      <c r="AV473" s="31" t="s">
        <v>26519</v>
      </c>
      <c r="AW473" s="35" t="str">
        <f aca="false">HYPERLINK("http://dx.doi.org/10.1371/journal.pone.0200168","http://dx.doi.org/10.1371/journal.pone.0200168")</f>
        <v>http://dx.doi.org/10.1371/journal.pone.0200168</v>
      </c>
      <c r="AX473" s="31"/>
      <c r="AY473" s="31" t="n">
        <v>12</v>
      </c>
      <c r="AZ473" s="31" t="s">
        <v>16428</v>
      </c>
      <c r="BA473" s="31" t="s">
        <v>16366</v>
      </c>
      <c r="BB473" s="31" t="s">
        <v>16429</v>
      </c>
      <c r="BC473" s="31" t="s">
        <v>26520</v>
      </c>
      <c r="BD473" s="31" t="n">
        <v>29979796</v>
      </c>
      <c r="BE473" s="31" t="s">
        <v>16944</v>
      </c>
      <c r="BF473" s="31" t="s">
        <v>16369</v>
      </c>
      <c r="BG473" s="31" t="s">
        <v>26521</v>
      </c>
      <c r="BH473" s="31" t="str">
        <f aca="false">HYPERLINK("https%3A%2F%2Fwww.webofscience.com%2Fwos%2Fwoscc%2Ffull-record%2FWOS:000437809500071","View Full Record in Web of Science")</f>
        <v>View Full Record in Web of Science</v>
      </c>
      <c r="BI473" s="31"/>
      <c r="BJ473" s="31"/>
      <c r="BK473" s="31"/>
      <c r="BL473" s="31"/>
      <c r="BM473" s="31"/>
      <c r="BN473" s="31"/>
      <c r="BO473" s="31"/>
      <c r="BP473" s="31"/>
      <c r="BQ473" s="31"/>
      <c r="BR473" s="31"/>
      <c r="BS473" s="31"/>
      <c r="BT473" s="31"/>
      <c r="BU473" s="31"/>
      <c r="BV473" s="31"/>
      <c r="BW473" s="31"/>
      <c r="BX473" s="31"/>
      <c r="BY473" s="31"/>
      <c r="BZ473" s="31"/>
      <c r="CA473" s="31"/>
      <c r="CB473" s="31"/>
      <c r="CC473" s="31"/>
      <c r="CD473" s="31"/>
      <c r="CE473" s="31"/>
      <c r="CF473" s="31"/>
    </row>
    <row r="474" customFormat="false" ht="15.75" hidden="false" customHeight="true" outlineLevel="0" collapsed="false">
      <c r="A474" s="31" t="s">
        <v>16335</v>
      </c>
      <c r="B474" s="31" t="s">
        <v>26522</v>
      </c>
      <c r="C474" s="31" t="s">
        <v>26523</v>
      </c>
      <c r="D474" s="34" t="s">
        <v>26524</v>
      </c>
      <c r="E474" s="31" t="n">
        <v>2018</v>
      </c>
      <c r="F474" s="33" t="s">
        <v>26525</v>
      </c>
      <c r="G474" s="33" t="s">
        <v>134</v>
      </c>
      <c r="H474" s="32" t="s">
        <v>26526</v>
      </c>
      <c r="I474" s="32" t="s">
        <v>3715</v>
      </c>
      <c r="J474" s="34"/>
      <c r="K474" s="32" t="s">
        <v>16409</v>
      </c>
      <c r="L474" s="34"/>
      <c r="M474" s="32" t="s">
        <v>26527</v>
      </c>
      <c r="N474" s="34"/>
      <c r="O474" s="34"/>
      <c r="P474" s="34" t="n">
        <v>235</v>
      </c>
      <c r="Q474" s="31" t="n">
        <v>248</v>
      </c>
      <c r="R474" s="31" t="s">
        <v>61</v>
      </c>
      <c r="S474" s="31" t="s">
        <v>62</v>
      </c>
      <c r="T474" s="31" t="s">
        <v>20504</v>
      </c>
      <c r="U474" s="31" t="n">
        <v>6</v>
      </c>
      <c r="V474" s="31" t="s">
        <v>20505</v>
      </c>
      <c r="W474" s="31"/>
      <c r="X474" s="31" t="s">
        <v>26528</v>
      </c>
      <c r="Y474" s="31"/>
      <c r="Z474" s="31" t="s">
        <v>26529</v>
      </c>
      <c r="AA474" s="31" t="s">
        <v>26530</v>
      </c>
      <c r="AB474" s="31" t="s">
        <v>26531</v>
      </c>
      <c r="AC474" s="31" t="s">
        <v>26145</v>
      </c>
      <c r="AD474" s="31" t="s">
        <v>26532</v>
      </c>
      <c r="AE474" s="31" t="s">
        <v>26533</v>
      </c>
      <c r="AF474" s="31" t="s">
        <v>26534</v>
      </c>
      <c r="AG474" s="31" t="s">
        <v>26535</v>
      </c>
      <c r="AH474" s="31" t="s">
        <v>26536</v>
      </c>
      <c r="AI474" s="31" t="n">
        <v>45</v>
      </c>
      <c r="AJ474" s="31" t="n">
        <v>1</v>
      </c>
      <c r="AK474" s="31" t="n">
        <v>32</v>
      </c>
      <c r="AL474" s="31" t="s">
        <v>16821</v>
      </c>
      <c r="AM474" s="31" t="s">
        <v>20514</v>
      </c>
      <c r="AN474" s="31" t="s">
        <v>20515</v>
      </c>
      <c r="AO474" s="31"/>
      <c r="AP474" s="31" t="s">
        <v>20504</v>
      </c>
      <c r="AQ474" s="31" t="s">
        <v>2022</v>
      </c>
      <c r="AR474" s="31" t="s">
        <v>18693</v>
      </c>
      <c r="AS474" s="31"/>
      <c r="AT474" s="31"/>
      <c r="AU474" s="31" t="s">
        <v>26537</v>
      </c>
      <c r="AV474" s="31" t="s">
        <v>26538</v>
      </c>
      <c r="AW474" s="35" t="str">
        <f aca="false">HYPERLINK("http://dx.doi.org/10.7717/peerj.4568","http://dx.doi.org/10.7717/peerj.4568")</f>
        <v>http://dx.doi.org/10.7717/peerj.4568</v>
      </c>
      <c r="AX474" s="31"/>
      <c r="AY474" s="31" t="n">
        <v>17</v>
      </c>
      <c r="AZ474" s="31" t="s">
        <v>16428</v>
      </c>
      <c r="BA474" s="31" t="s">
        <v>16366</v>
      </c>
      <c r="BB474" s="31" t="s">
        <v>16429</v>
      </c>
      <c r="BC474" s="31" t="s">
        <v>26539</v>
      </c>
      <c r="BD474" s="31" t="n">
        <v>29682411</v>
      </c>
      <c r="BE474" s="31" t="s">
        <v>19056</v>
      </c>
      <c r="BF474" s="31" t="s">
        <v>16369</v>
      </c>
      <c r="BG474" s="31" t="s">
        <v>26540</v>
      </c>
      <c r="BH474" s="31" t="str">
        <f aca="false">HYPERLINK("https%3A%2F%2Fwww.webofscience.com%2Fwos%2Fwoscc%2Ffull-record%2FWOS:000430306100002","View Full Record in Web of Science")</f>
        <v>View Full Record in Web of Science</v>
      </c>
      <c r="BI474" s="31"/>
      <c r="BJ474" s="31"/>
      <c r="BK474" s="31"/>
      <c r="BL474" s="31"/>
      <c r="BM474" s="31"/>
      <c r="BN474" s="31"/>
      <c r="BO474" s="31"/>
      <c r="BP474" s="31"/>
      <c r="BQ474" s="31"/>
      <c r="BR474" s="31"/>
      <c r="BS474" s="31"/>
      <c r="BT474" s="31"/>
      <c r="BU474" s="31"/>
      <c r="BV474" s="31"/>
      <c r="BW474" s="31"/>
      <c r="BX474" s="31"/>
      <c r="BY474" s="31"/>
      <c r="BZ474" s="31"/>
      <c r="CA474" s="31"/>
      <c r="CB474" s="31"/>
      <c r="CC474" s="31"/>
      <c r="CD474" s="31"/>
      <c r="CE474" s="31"/>
      <c r="CF474" s="31"/>
    </row>
    <row r="475" customFormat="false" ht="15.75" hidden="false" customHeight="true" outlineLevel="0" collapsed="false">
      <c r="A475" s="31" t="s">
        <v>16335</v>
      </c>
      <c r="B475" s="31" t="s">
        <v>26541</v>
      </c>
      <c r="C475" s="31" t="s">
        <v>26542</v>
      </c>
      <c r="D475" s="34" t="s">
        <v>26543</v>
      </c>
      <c r="E475" s="31" t="n">
        <v>2018</v>
      </c>
      <c r="F475" s="33" t="s">
        <v>26544</v>
      </c>
      <c r="G475" s="33" t="s">
        <v>1230</v>
      </c>
      <c r="H475" s="32" t="s">
        <v>26545</v>
      </c>
      <c r="I475" s="32" t="s">
        <v>24116</v>
      </c>
      <c r="J475" s="34"/>
      <c r="K475" s="32" t="s">
        <v>16753</v>
      </c>
      <c r="L475" s="34"/>
      <c r="M475" s="34"/>
      <c r="N475" s="34"/>
      <c r="O475" s="34"/>
      <c r="P475" s="34" t="n">
        <v>12</v>
      </c>
      <c r="Q475" s="31" t="n">
        <v>13</v>
      </c>
      <c r="R475" s="31" t="s">
        <v>61</v>
      </c>
      <c r="S475" s="31" t="s">
        <v>62</v>
      </c>
      <c r="T475" s="31" t="s">
        <v>18082</v>
      </c>
      <c r="U475" s="31" t="n">
        <v>11</v>
      </c>
      <c r="V475" s="31" t="s">
        <v>17599</v>
      </c>
      <c r="W475" s="31"/>
      <c r="X475" s="31" t="s">
        <v>26546</v>
      </c>
      <c r="Y475" s="31" t="s">
        <v>26547</v>
      </c>
      <c r="Z475" s="31" t="s">
        <v>26548</v>
      </c>
      <c r="AA475" s="31" t="s">
        <v>26549</v>
      </c>
      <c r="AB475" s="31" t="s">
        <v>26550</v>
      </c>
      <c r="AC475" s="31" t="s">
        <v>26551</v>
      </c>
      <c r="AD475" s="31" t="s">
        <v>26552</v>
      </c>
      <c r="AE475" s="31" t="s">
        <v>26553</v>
      </c>
      <c r="AF475" s="31" t="s">
        <v>26554</v>
      </c>
      <c r="AG475" s="31" t="s">
        <v>26555</v>
      </c>
      <c r="AH475" s="31" t="s">
        <v>26556</v>
      </c>
      <c r="AI475" s="31" t="n">
        <v>36</v>
      </c>
      <c r="AJ475" s="31" t="n">
        <v>0</v>
      </c>
      <c r="AK475" s="31" t="n">
        <v>7</v>
      </c>
      <c r="AL475" s="31" t="s">
        <v>16821</v>
      </c>
      <c r="AM475" s="31" t="s">
        <v>17609</v>
      </c>
      <c r="AN475" s="31" t="s">
        <v>18094</v>
      </c>
      <c r="AO475" s="31"/>
      <c r="AP475" s="31" t="s">
        <v>18095</v>
      </c>
      <c r="AQ475" s="31" t="s">
        <v>1044</v>
      </c>
      <c r="AR475" s="31" t="s">
        <v>26557</v>
      </c>
      <c r="AS475" s="31"/>
      <c r="AT475" s="31"/>
      <c r="AU475" s="31" t="n">
        <v>30</v>
      </c>
      <c r="AV475" s="31" t="s">
        <v>26558</v>
      </c>
      <c r="AW475" s="35" t="str">
        <f aca="false">HYPERLINK("http://dx.doi.org/10.1186/s13071-017-2592-8","http://dx.doi.org/10.1186/s13071-017-2592-8")</f>
        <v>http://dx.doi.org/10.1186/s13071-017-2592-8</v>
      </c>
      <c r="AX475" s="31"/>
      <c r="AY475" s="31" t="n">
        <v>10</v>
      </c>
      <c r="AZ475" s="31" t="s">
        <v>16891</v>
      </c>
      <c r="BA475" s="31" t="s">
        <v>16366</v>
      </c>
      <c r="BB475" s="31" t="s">
        <v>16891</v>
      </c>
      <c r="BC475" s="31" t="s">
        <v>26559</v>
      </c>
      <c r="BD475" s="31" t="n">
        <v>29316983</v>
      </c>
      <c r="BE475" s="31" t="s">
        <v>17143</v>
      </c>
      <c r="BF475" s="31" t="s">
        <v>16369</v>
      </c>
      <c r="BG475" s="31" t="s">
        <v>26560</v>
      </c>
      <c r="BH475" s="31" t="str">
        <f aca="false">HYPERLINK("https%3A%2F%2Fwww.webofscience.com%2Fwos%2Fwoscc%2Ffull-record%2FWOS:000419686300001","View Full Record in Web of Science")</f>
        <v>View Full Record in Web of Science</v>
      </c>
      <c r="BI475" s="31"/>
      <c r="BJ475" s="31"/>
      <c r="BK475" s="31"/>
      <c r="BL475" s="31"/>
      <c r="BM475" s="31"/>
      <c r="BN475" s="31"/>
      <c r="BO475" s="31"/>
      <c r="BP475" s="31"/>
      <c r="BQ475" s="31"/>
      <c r="BR475" s="31"/>
      <c r="BS475" s="31"/>
      <c r="BT475" s="31"/>
      <c r="BU475" s="31"/>
      <c r="BV475" s="31"/>
      <c r="BW475" s="31"/>
      <c r="BX475" s="31"/>
      <c r="BY475" s="31"/>
      <c r="BZ475" s="31"/>
      <c r="CA475" s="31"/>
      <c r="CB475" s="31"/>
      <c r="CC475" s="31"/>
      <c r="CD475" s="31"/>
      <c r="CE475" s="31"/>
      <c r="CF475" s="31"/>
    </row>
    <row r="476" customFormat="false" ht="15.75" hidden="false" customHeight="true" outlineLevel="0" collapsed="false">
      <c r="A476" s="31" t="s">
        <v>16335</v>
      </c>
      <c r="B476" s="31" t="s">
        <v>26561</v>
      </c>
      <c r="C476" s="31" t="s">
        <v>26562</v>
      </c>
      <c r="D476" s="34" t="s">
        <v>26563</v>
      </c>
      <c r="E476" s="31" t="n">
        <v>2018</v>
      </c>
      <c r="F476" s="33" t="s">
        <v>26564</v>
      </c>
      <c r="G476" s="33" t="s">
        <v>134</v>
      </c>
      <c r="H476" s="32" t="s">
        <v>26565</v>
      </c>
      <c r="I476" s="32" t="s">
        <v>4394</v>
      </c>
      <c r="J476" s="34"/>
      <c r="K476" s="32" t="s">
        <v>16409</v>
      </c>
      <c r="L476" s="34"/>
      <c r="M476" s="34"/>
      <c r="N476" s="34"/>
      <c r="O476" s="34"/>
      <c r="P476" s="34" t="n">
        <v>54</v>
      </c>
      <c r="Q476" s="31" t="n">
        <v>60</v>
      </c>
      <c r="R476" s="31" t="s">
        <v>61</v>
      </c>
      <c r="S476" s="31" t="s">
        <v>62</v>
      </c>
      <c r="T476" s="31" t="s">
        <v>19120</v>
      </c>
      <c r="U476" s="31" t="n">
        <v>115</v>
      </c>
      <c r="V476" s="31" t="s">
        <v>19121</v>
      </c>
      <c r="W476" s="31" t="n">
        <v>22</v>
      </c>
      <c r="X476" s="31" t="s">
        <v>26566</v>
      </c>
      <c r="Y476" s="31" t="s">
        <v>26567</v>
      </c>
      <c r="Z476" s="31" t="s">
        <v>26568</v>
      </c>
      <c r="AA476" s="31" t="s">
        <v>26569</v>
      </c>
      <c r="AB476" s="31" t="s">
        <v>26570</v>
      </c>
      <c r="AC476" s="31" t="s">
        <v>26571</v>
      </c>
      <c r="AD476" s="31" t="s">
        <v>26572</v>
      </c>
      <c r="AE476" s="31" t="s">
        <v>26573</v>
      </c>
      <c r="AF476" s="31" t="s">
        <v>26574</v>
      </c>
      <c r="AG476" s="31" t="s">
        <v>26575</v>
      </c>
      <c r="AH476" s="31" t="s">
        <v>26576</v>
      </c>
      <c r="AI476" s="31" t="n">
        <v>43</v>
      </c>
      <c r="AJ476" s="31" t="n">
        <v>1</v>
      </c>
      <c r="AK476" s="31" t="n">
        <v>31</v>
      </c>
      <c r="AL476" s="31" t="s">
        <v>18329</v>
      </c>
      <c r="AM476" s="31" t="s">
        <v>19133</v>
      </c>
      <c r="AN476" s="31" t="s">
        <v>19134</v>
      </c>
      <c r="AO476" s="31" t="s">
        <v>19135</v>
      </c>
      <c r="AP476" s="31" t="s">
        <v>19136</v>
      </c>
      <c r="AQ476" s="31" t="s">
        <v>19137</v>
      </c>
      <c r="AR476" s="31" t="s">
        <v>26577</v>
      </c>
      <c r="AS476" s="31" t="n">
        <v>5780</v>
      </c>
      <c r="AT476" s="31" t="n">
        <v>5785</v>
      </c>
      <c r="AU476" s="31"/>
      <c r="AV476" s="31" t="s">
        <v>26578</v>
      </c>
      <c r="AW476" s="35" t="str">
        <f aca="false">HYPERLINK("http://dx.doi.org/10.1073/pnas.1801512115","http://dx.doi.org/10.1073/pnas.1801512115")</f>
        <v>http://dx.doi.org/10.1073/pnas.1801512115</v>
      </c>
      <c r="AX476" s="31"/>
      <c r="AY476" s="31" t="n">
        <v>6</v>
      </c>
      <c r="AZ476" s="31" t="s">
        <v>16428</v>
      </c>
      <c r="BA476" s="31" t="s">
        <v>16366</v>
      </c>
      <c r="BB476" s="31" t="s">
        <v>16429</v>
      </c>
      <c r="BC476" s="31" t="s">
        <v>26579</v>
      </c>
      <c r="BD476" s="31" t="n">
        <v>29760095</v>
      </c>
      <c r="BE476" s="31" t="s">
        <v>17842</v>
      </c>
      <c r="BF476" s="31" t="s">
        <v>16369</v>
      </c>
      <c r="BG476" s="31" t="s">
        <v>26580</v>
      </c>
      <c r="BH476" s="31" t="str">
        <f aca="false">HYPERLINK("https%3A%2F%2Fwww.webofscience.com%2Fwos%2Fwoscc%2Ffull-record%2FWOS:000433283700068","View Full Record in Web of Science")</f>
        <v>View Full Record in Web of Science</v>
      </c>
      <c r="BI476" s="31"/>
      <c r="BJ476" s="31"/>
      <c r="BK476" s="31"/>
      <c r="BL476" s="31"/>
      <c r="BM476" s="31"/>
      <c r="BN476" s="31"/>
      <c r="BO476" s="31"/>
      <c r="BP476" s="31"/>
      <c r="BQ476" s="31"/>
      <c r="BR476" s="31"/>
      <c r="BS476" s="31"/>
      <c r="BT476" s="31"/>
      <c r="BU476" s="31"/>
      <c r="BV476" s="31"/>
      <c r="BW476" s="31"/>
      <c r="BX476" s="31"/>
      <c r="BY476" s="31"/>
      <c r="BZ476" s="31"/>
      <c r="CA476" s="31"/>
      <c r="CB476" s="31"/>
      <c r="CC476" s="31"/>
      <c r="CD476" s="31"/>
      <c r="CE476" s="31"/>
      <c r="CF476" s="31"/>
    </row>
    <row r="477" customFormat="false" ht="15.75" hidden="false" customHeight="true" outlineLevel="0" collapsed="false">
      <c r="A477" s="31" t="s">
        <v>16335</v>
      </c>
      <c r="B477" s="31" t="s">
        <v>26581</v>
      </c>
      <c r="C477" s="31" t="s">
        <v>26582</v>
      </c>
      <c r="D477" s="34" t="s">
        <v>26583</v>
      </c>
      <c r="E477" s="31" t="n">
        <v>2017</v>
      </c>
      <c r="F477" s="33" t="s">
        <v>26584</v>
      </c>
      <c r="G477" s="33" t="s">
        <v>134</v>
      </c>
      <c r="H477" s="32" t="s">
        <v>3920</v>
      </c>
      <c r="I477" s="34"/>
      <c r="J477" s="34"/>
      <c r="K477" s="34"/>
      <c r="L477" s="34"/>
      <c r="M477" s="34"/>
      <c r="N477" s="34"/>
      <c r="O477" s="34"/>
      <c r="P477" s="34" t="n">
        <v>7</v>
      </c>
      <c r="Q477" s="31" t="n">
        <v>10</v>
      </c>
      <c r="R477" s="31" t="s">
        <v>61</v>
      </c>
      <c r="S477" s="31" t="s">
        <v>62</v>
      </c>
      <c r="T477" s="31" t="s">
        <v>23818</v>
      </c>
      <c r="U477" s="31" t="n">
        <v>2017</v>
      </c>
      <c r="V477" s="31" t="s">
        <v>17360</v>
      </c>
      <c r="W477" s="31"/>
      <c r="X477" s="31"/>
      <c r="Y477" s="31" t="s">
        <v>26585</v>
      </c>
      <c r="Z477" s="31" t="s">
        <v>26586</v>
      </c>
      <c r="AA477" s="31" t="s">
        <v>26587</v>
      </c>
      <c r="AB477" s="31" t="s">
        <v>26588</v>
      </c>
      <c r="AC477" s="31" t="s">
        <v>26589</v>
      </c>
      <c r="AD477" s="31" t="s">
        <v>26590</v>
      </c>
      <c r="AE477" s="31" t="s">
        <v>26591</v>
      </c>
      <c r="AF477" s="31" t="s">
        <v>26592</v>
      </c>
      <c r="AG477" s="31" t="s">
        <v>26592</v>
      </c>
      <c r="AH477" s="31" t="s">
        <v>26593</v>
      </c>
      <c r="AI477" s="31" t="n">
        <v>29</v>
      </c>
      <c r="AJ477" s="31" t="n">
        <v>0</v>
      </c>
      <c r="AK477" s="31" t="n">
        <v>6</v>
      </c>
      <c r="AL477" s="31" t="s">
        <v>16821</v>
      </c>
      <c r="AM477" s="31" t="s">
        <v>17371</v>
      </c>
      <c r="AN477" s="31" t="s">
        <v>23826</v>
      </c>
      <c r="AO477" s="31" t="s">
        <v>23827</v>
      </c>
      <c r="AP477" s="31" t="s">
        <v>23828</v>
      </c>
      <c r="AQ477" s="31" t="s">
        <v>23829</v>
      </c>
      <c r="AR477" s="31"/>
      <c r="AS477" s="31"/>
      <c r="AT477" s="31"/>
      <c r="AU477" s="31" t="n">
        <v>5707162</v>
      </c>
      <c r="AV477" s="31" t="s">
        <v>26594</v>
      </c>
      <c r="AW477" s="35" t="str">
        <f aca="false">HYPERLINK("http://dx.doi.org/10.1155/2017/5707162","http://dx.doi.org/10.1155/2017/5707162")</f>
        <v>http://dx.doi.org/10.1155/2017/5707162</v>
      </c>
      <c r="AX477" s="31"/>
      <c r="AY477" s="31" t="n">
        <v>6</v>
      </c>
      <c r="AZ477" s="31" t="s">
        <v>18469</v>
      </c>
      <c r="BA477" s="31" t="s">
        <v>16366</v>
      </c>
      <c r="BB477" s="31" t="s">
        <v>18469</v>
      </c>
      <c r="BC477" s="31" t="s">
        <v>26595</v>
      </c>
      <c r="BD477" s="31" t="n">
        <v>29359037</v>
      </c>
      <c r="BE477" s="31" t="s">
        <v>21499</v>
      </c>
      <c r="BF477" s="31" t="s">
        <v>16369</v>
      </c>
      <c r="BG477" s="31" t="s">
        <v>26596</v>
      </c>
      <c r="BH477" s="31" t="str">
        <f aca="false">HYPERLINK("https%3A%2F%2Fwww.webofscience.com%2Fwos%2Fwoscc%2Ffull-record%2FWOS:000416099800001","View Full Record in Web of Science")</f>
        <v>View Full Record in Web of Science</v>
      </c>
      <c r="BI477" s="31"/>
      <c r="BJ477" s="31"/>
      <c r="BK477" s="31"/>
      <c r="BL477" s="31"/>
      <c r="BM477" s="31"/>
      <c r="BN477" s="31"/>
      <c r="BO477" s="31"/>
      <c r="BP477" s="31"/>
      <c r="BQ477" s="31"/>
      <c r="BR477" s="31"/>
      <c r="BS477" s="31"/>
      <c r="BT477" s="31"/>
      <c r="BU477" s="31"/>
      <c r="BV477" s="31"/>
      <c r="BW477" s="31"/>
      <c r="BX477" s="31"/>
      <c r="BY477" s="31"/>
      <c r="BZ477" s="31"/>
      <c r="CA477" s="31"/>
      <c r="CB477" s="31"/>
      <c r="CC477" s="31"/>
      <c r="CD477" s="31"/>
      <c r="CE477" s="31"/>
      <c r="CF477" s="31"/>
    </row>
    <row r="478" customFormat="false" ht="15.75" hidden="false" customHeight="true" outlineLevel="0" collapsed="false">
      <c r="A478" s="31" t="s">
        <v>16335</v>
      </c>
      <c r="B478" s="31" t="s">
        <v>26597</v>
      </c>
      <c r="C478" s="31" t="s">
        <v>26598</v>
      </c>
      <c r="D478" s="34" t="s">
        <v>26599</v>
      </c>
      <c r="E478" s="31" t="n">
        <v>2017</v>
      </c>
      <c r="F478" s="33" t="s">
        <v>26600</v>
      </c>
      <c r="G478" s="33" t="s">
        <v>290</v>
      </c>
      <c r="H478" s="32" t="s">
        <v>3992</v>
      </c>
      <c r="I478" s="34"/>
      <c r="J478" s="34"/>
      <c r="K478" s="34"/>
      <c r="L478" s="34"/>
      <c r="M478" s="32" t="s">
        <v>26601</v>
      </c>
      <c r="N478" s="34"/>
      <c r="O478" s="34"/>
      <c r="P478" s="34" t="n">
        <v>218</v>
      </c>
      <c r="Q478" s="31" t="n">
        <v>236</v>
      </c>
      <c r="R478" s="31" t="s">
        <v>61</v>
      </c>
      <c r="S478" s="31" t="s">
        <v>62</v>
      </c>
      <c r="T478" s="31" t="s">
        <v>26602</v>
      </c>
      <c r="U478" s="31" t="n">
        <v>14</v>
      </c>
      <c r="V478" s="31" t="s">
        <v>19148</v>
      </c>
      <c r="W478" s="31" t="n">
        <v>12</v>
      </c>
      <c r="X478" s="31" t="s">
        <v>26603</v>
      </c>
      <c r="Y478" s="31" t="s">
        <v>26604</v>
      </c>
      <c r="Z478" s="31" t="s">
        <v>26605</v>
      </c>
      <c r="AA478" s="31" t="s">
        <v>26606</v>
      </c>
      <c r="AB478" s="31" t="s">
        <v>26607</v>
      </c>
      <c r="AC478" s="31" t="s">
        <v>26608</v>
      </c>
      <c r="AD478" s="31" t="s">
        <v>26609</v>
      </c>
      <c r="AE478" s="31" t="s">
        <v>26610</v>
      </c>
      <c r="AF478" s="31" t="s">
        <v>26611</v>
      </c>
      <c r="AG478" s="31" t="s">
        <v>26612</v>
      </c>
      <c r="AH478" s="31" t="s">
        <v>26613</v>
      </c>
      <c r="AI478" s="31" t="n">
        <v>121</v>
      </c>
      <c r="AJ478" s="31" t="n">
        <v>10</v>
      </c>
      <c r="AK478" s="31" t="n">
        <v>231</v>
      </c>
      <c r="AL478" s="31" t="s">
        <v>18329</v>
      </c>
      <c r="AM478" s="31" t="s">
        <v>19160</v>
      </c>
      <c r="AN478" s="31" t="s">
        <v>26614</v>
      </c>
      <c r="AO478" s="31" t="s">
        <v>26615</v>
      </c>
      <c r="AP478" s="31" t="s">
        <v>26616</v>
      </c>
      <c r="AQ478" s="31" t="s">
        <v>26617</v>
      </c>
      <c r="AR478" s="31" t="s">
        <v>16649</v>
      </c>
      <c r="AS478" s="31" t="n">
        <v>4462</v>
      </c>
      <c r="AT478" s="31" t="n">
        <v>4475</v>
      </c>
      <c r="AU478" s="31"/>
      <c r="AV478" s="31" t="s">
        <v>26618</v>
      </c>
      <c r="AW478" s="35" t="str">
        <f aca="false">HYPERLINK("http://dx.doi.org/10.1021/acs.molpharmaceut.7b00578","http://dx.doi.org/10.1021/acs.molpharmaceut.7b00578")</f>
        <v>http://dx.doi.org/10.1021/acs.molpharmaceut.7b00578</v>
      </c>
      <c r="AX478" s="31"/>
      <c r="AY478" s="31" t="n">
        <v>14</v>
      </c>
      <c r="AZ478" s="31" t="s">
        <v>26619</v>
      </c>
      <c r="BA478" s="31" t="s">
        <v>16366</v>
      </c>
      <c r="BB478" s="31" t="s">
        <v>26620</v>
      </c>
      <c r="BC478" s="31" t="s">
        <v>26621</v>
      </c>
      <c r="BD478" s="31" t="n">
        <v>29096442</v>
      </c>
      <c r="BE478" s="31" t="s">
        <v>17966</v>
      </c>
      <c r="BF478" s="31" t="s">
        <v>16369</v>
      </c>
      <c r="BG478" s="31" t="s">
        <v>26622</v>
      </c>
      <c r="BH478" s="31" t="str">
        <f aca="false">HYPERLINK("https%3A%2F%2Fwww.webofscience.com%2Fwos%2Fwoscc%2Ffull-record%2FWOS:000417342400033","View Full Record in Web of Science")</f>
        <v>View Full Record in Web of Science</v>
      </c>
      <c r="BI478" s="31"/>
      <c r="BJ478" s="31"/>
      <c r="BK478" s="31"/>
      <c r="BL478" s="31"/>
      <c r="BM478" s="31" t="s">
        <v>26324</v>
      </c>
      <c r="BN478" s="31" t="s">
        <v>26325</v>
      </c>
      <c r="BO478" s="31"/>
      <c r="BP478" s="31"/>
      <c r="BQ478" s="31"/>
      <c r="BR478" s="31"/>
      <c r="BS478" s="31"/>
      <c r="BT478" s="31"/>
      <c r="BU478" s="31"/>
      <c r="BV478" s="31"/>
      <c r="BW478" s="31"/>
      <c r="BX478" s="31"/>
      <c r="BY478" s="31"/>
      <c r="BZ478" s="31"/>
      <c r="CA478" s="31"/>
      <c r="CB478" s="31"/>
      <c r="CC478" s="31"/>
      <c r="CD478" s="31"/>
      <c r="CE478" s="31"/>
      <c r="CF478" s="31"/>
    </row>
    <row r="479" customFormat="false" ht="15.75" hidden="false" customHeight="true" outlineLevel="0" collapsed="false">
      <c r="A479" s="31" t="s">
        <v>16335</v>
      </c>
      <c r="B479" s="31" t="s">
        <v>26623</v>
      </c>
      <c r="C479" s="31" t="s">
        <v>26624</v>
      </c>
      <c r="D479" s="34" t="s">
        <v>26625</v>
      </c>
      <c r="E479" s="31" t="n">
        <v>2017</v>
      </c>
      <c r="F479" s="33" t="s">
        <v>26626</v>
      </c>
      <c r="G479" s="33" t="s">
        <v>134</v>
      </c>
      <c r="H479" s="32" t="s">
        <v>26627</v>
      </c>
      <c r="I479" s="32" t="s">
        <v>26628</v>
      </c>
      <c r="J479" s="34"/>
      <c r="K479" s="32" t="s">
        <v>25198</v>
      </c>
      <c r="L479" s="34"/>
      <c r="M479" s="34"/>
      <c r="N479" s="32" t="s">
        <v>26629</v>
      </c>
      <c r="O479" s="34"/>
      <c r="P479" s="34" t="n">
        <v>19</v>
      </c>
      <c r="Q479" s="31" t="n">
        <v>23</v>
      </c>
      <c r="R479" s="31" t="s">
        <v>61</v>
      </c>
      <c r="S479" s="31" t="s">
        <v>62</v>
      </c>
      <c r="T479" s="31" t="s">
        <v>18322</v>
      </c>
      <c r="U479" s="31" t="n">
        <v>55</v>
      </c>
      <c r="V479" s="31" t="s">
        <v>18323</v>
      </c>
      <c r="W479" s="31" t="n">
        <v>3</v>
      </c>
      <c r="X479" s="31" t="s">
        <v>26630</v>
      </c>
      <c r="Y479" s="31" t="s">
        <v>26631</v>
      </c>
      <c r="Z479" s="31" t="s">
        <v>26632</v>
      </c>
      <c r="AA479" s="31"/>
      <c r="AB479" s="31" t="s">
        <v>26633</v>
      </c>
      <c r="AC479" s="31" t="s">
        <v>26634</v>
      </c>
      <c r="AD479" s="31" t="s">
        <v>26635</v>
      </c>
      <c r="AE479" s="31" t="s">
        <v>26636</v>
      </c>
      <c r="AF479" s="31"/>
      <c r="AG479" s="31"/>
      <c r="AH479" s="31"/>
      <c r="AI479" s="31" t="n">
        <v>20</v>
      </c>
      <c r="AJ479" s="31" t="n">
        <v>0</v>
      </c>
      <c r="AK479" s="31" t="n">
        <v>9</v>
      </c>
      <c r="AL479" s="31" t="s">
        <v>18329</v>
      </c>
      <c r="AM479" s="31" t="s">
        <v>18330</v>
      </c>
      <c r="AN479" s="31" t="s">
        <v>18331</v>
      </c>
      <c r="AO479" s="31" t="s">
        <v>18332</v>
      </c>
      <c r="AP479" s="31" t="s">
        <v>18333</v>
      </c>
      <c r="AQ479" s="31" t="s">
        <v>11553</v>
      </c>
      <c r="AR479" s="31" t="s">
        <v>17248</v>
      </c>
      <c r="AS479" s="31" t="n">
        <v>768</v>
      </c>
      <c r="AT479" s="31" t="n">
        <v>775</v>
      </c>
      <c r="AU479" s="31"/>
      <c r="AV479" s="31" t="s">
        <v>26637</v>
      </c>
      <c r="AW479" s="35" t="str">
        <f aca="false">HYPERLINK("http://dx.doi.org/10.1128/JCM.02155-16","http://dx.doi.org/10.1128/JCM.02155-16")</f>
        <v>http://dx.doi.org/10.1128/JCM.02155-16</v>
      </c>
      <c r="AX479" s="31"/>
      <c r="AY479" s="31" t="n">
        <v>8</v>
      </c>
      <c r="AZ479" s="31" t="s">
        <v>18336</v>
      </c>
      <c r="BA479" s="31" t="s">
        <v>16366</v>
      </c>
      <c r="BB479" s="31" t="s">
        <v>18336</v>
      </c>
      <c r="BC479" s="31" t="s">
        <v>26638</v>
      </c>
      <c r="BD479" s="31" t="n">
        <v>27974542</v>
      </c>
      <c r="BE479" s="31" t="s">
        <v>16620</v>
      </c>
      <c r="BF479" s="31" t="s">
        <v>16369</v>
      </c>
      <c r="BG479" s="31" t="s">
        <v>26639</v>
      </c>
      <c r="BH479" s="31" t="str">
        <f aca="false">HYPERLINK("https%3A%2F%2Fwww.webofscience.com%2Fwos%2Fwoscc%2Ffull-record%2FWOS:000397595300014","View Full Record in Web of Science")</f>
        <v>View Full Record in Web of Science</v>
      </c>
      <c r="BI479" s="31"/>
      <c r="BJ479" s="31"/>
      <c r="BK479" s="31"/>
      <c r="BL479" s="31"/>
      <c r="BM479" s="31"/>
      <c r="BN479" s="31"/>
      <c r="BO479" s="31"/>
      <c r="BP479" s="31"/>
      <c r="BQ479" s="31"/>
      <c r="BR479" s="31"/>
      <c r="BS479" s="31"/>
      <c r="BT479" s="31"/>
      <c r="BU479" s="31"/>
      <c r="BV479" s="31"/>
      <c r="BW479" s="31"/>
      <c r="BX479" s="31"/>
      <c r="BY479" s="31"/>
      <c r="BZ479" s="31"/>
      <c r="CA479" s="31"/>
      <c r="CB479" s="31"/>
      <c r="CC479" s="31"/>
      <c r="CD479" s="31"/>
      <c r="CE479" s="31"/>
      <c r="CF479" s="31"/>
    </row>
    <row r="480" customFormat="false" ht="15.75" hidden="false" customHeight="true" outlineLevel="0" collapsed="false">
      <c r="A480" s="31" t="s">
        <v>16335</v>
      </c>
      <c r="B480" s="31" t="s">
        <v>26640</v>
      </c>
      <c r="C480" s="31" t="s">
        <v>26641</v>
      </c>
      <c r="D480" s="34" t="s">
        <v>26642</v>
      </c>
      <c r="E480" s="31" t="n">
        <v>2017</v>
      </c>
      <c r="F480" s="33" t="s">
        <v>26643</v>
      </c>
      <c r="G480" s="33" t="s">
        <v>134</v>
      </c>
      <c r="H480" s="32" t="s">
        <v>26644</v>
      </c>
      <c r="I480" s="32" t="s">
        <v>26645</v>
      </c>
      <c r="J480" s="32" t="s">
        <v>26646</v>
      </c>
      <c r="K480" s="34"/>
      <c r="L480" s="34"/>
      <c r="M480" s="34"/>
      <c r="N480" s="34"/>
      <c r="O480" s="34"/>
      <c r="P480" s="34" t="n">
        <v>61</v>
      </c>
      <c r="Q480" s="31" t="n">
        <v>66</v>
      </c>
      <c r="R480" s="31" t="s">
        <v>61</v>
      </c>
      <c r="S480" s="31" t="s">
        <v>62</v>
      </c>
      <c r="T480" s="31" t="s">
        <v>25921</v>
      </c>
      <c r="U480" s="31" t="n">
        <v>10</v>
      </c>
      <c r="V480" s="31" t="s">
        <v>17387</v>
      </c>
      <c r="W480" s="31"/>
      <c r="X480" s="31" t="s">
        <v>26647</v>
      </c>
      <c r="Y480" s="31" t="s">
        <v>26648</v>
      </c>
      <c r="Z480" s="31" t="s">
        <v>26649</v>
      </c>
      <c r="AA480" s="31" t="s">
        <v>26650</v>
      </c>
      <c r="AB480" s="31" t="s">
        <v>26651</v>
      </c>
      <c r="AC480" s="31" t="s">
        <v>26652</v>
      </c>
      <c r="AD480" s="31" t="s">
        <v>19179</v>
      </c>
      <c r="AE480" s="31" t="s">
        <v>26653</v>
      </c>
      <c r="AF480" s="31" t="s">
        <v>26654</v>
      </c>
      <c r="AG480" s="31" t="s">
        <v>26655</v>
      </c>
      <c r="AH480" s="31" t="s">
        <v>26656</v>
      </c>
      <c r="AI480" s="31" t="n">
        <v>38</v>
      </c>
      <c r="AJ480" s="31" t="n">
        <v>3</v>
      </c>
      <c r="AK480" s="31" t="n">
        <v>20</v>
      </c>
      <c r="AL480" s="31" t="s">
        <v>17398</v>
      </c>
      <c r="AM480" s="31" t="s">
        <v>17399</v>
      </c>
      <c r="AN480" s="31" t="s">
        <v>25932</v>
      </c>
      <c r="AO480" s="31"/>
      <c r="AP480" s="31" t="s">
        <v>25921</v>
      </c>
      <c r="AQ480" s="31" t="s">
        <v>25933</v>
      </c>
      <c r="AR480" s="31"/>
      <c r="AS480" s="31"/>
      <c r="AT480" s="31"/>
      <c r="AU480" s="31" t="n">
        <v>1337325</v>
      </c>
      <c r="AV480" s="31" t="s">
        <v>26657</v>
      </c>
      <c r="AW480" s="35" t="str">
        <f aca="false">HYPERLINK("http://dx.doi.org/10.1080/16549716.2017.1337325","http://dx.doi.org/10.1080/16549716.2017.1337325")</f>
        <v>http://dx.doi.org/10.1080/16549716.2017.1337325</v>
      </c>
      <c r="AX480" s="31"/>
      <c r="AY480" s="31" t="n">
        <v>9</v>
      </c>
      <c r="AZ480" s="31" t="s">
        <v>16583</v>
      </c>
      <c r="BA480" s="31" t="s">
        <v>16584</v>
      </c>
      <c r="BB480" s="31" t="s">
        <v>16583</v>
      </c>
      <c r="BC480" s="31" t="s">
        <v>26658</v>
      </c>
      <c r="BD480" s="31" t="n">
        <v>28838305</v>
      </c>
      <c r="BE480" s="31" t="s">
        <v>17143</v>
      </c>
      <c r="BF480" s="31" t="s">
        <v>16369</v>
      </c>
      <c r="BG480" s="31" t="s">
        <v>26659</v>
      </c>
      <c r="BH480" s="31" t="str">
        <f aca="false">HYPERLINK("https%3A%2F%2Fwww.webofscience.com%2Fwos%2Fwoscc%2Ffull-record%2FWOS:000417200700010","View Full Record in Web of Science")</f>
        <v>View Full Record in Web of Science</v>
      </c>
      <c r="BI480" s="31"/>
      <c r="BJ480" s="31"/>
      <c r="BK480" s="31"/>
      <c r="BL480" s="31"/>
      <c r="BM480" s="31"/>
      <c r="BN480" s="31"/>
      <c r="BO480" s="31"/>
      <c r="BP480" s="31"/>
      <c r="BQ480" s="31"/>
      <c r="BR480" s="31" t="n">
        <v>3</v>
      </c>
      <c r="BS480" s="31"/>
      <c r="BT480" s="31"/>
      <c r="BU480" s="31"/>
      <c r="BV480" s="31"/>
      <c r="BW480" s="31"/>
      <c r="BX480" s="31"/>
      <c r="BY480" s="31"/>
      <c r="BZ480" s="31"/>
      <c r="CA480" s="31"/>
      <c r="CB480" s="31"/>
      <c r="CC480" s="31"/>
      <c r="CD480" s="31"/>
      <c r="CE480" s="31"/>
      <c r="CF480" s="31"/>
    </row>
    <row r="481" customFormat="false" ht="15.75" hidden="false" customHeight="true" outlineLevel="0" collapsed="false">
      <c r="A481" s="31" t="s">
        <v>16335</v>
      </c>
      <c r="B481" s="31" t="s">
        <v>26660</v>
      </c>
      <c r="C481" s="31" t="s">
        <v>26661</v>
      </c>
      <c r="D481" s="34" t="s">
        <v>26662</v>
      </c>
      <c r="E481" s="31" t="n">
        <v>2017</v>
      </c>
      <c r="F481" s="33" t="s">
        <v>26663</v>
      </c>
      <c r="G481" s="33" t="s">
        <v>134</v>
      </c>
      <c r="H481" s="32" t="s">
        <v>3920</v>
      </c>
      <c r="I481" s="32" t="s">
        <v>3920</v>
      </c>
      <c r="J481" s="34"/>
      <c r="K481" s="32" t="s">
        <v>16409</v>
      </c>
      <c r="L481" s="32" t="s">
        <v>3754</v>
      </c>
      <c r="M481" s="32" t="s">
        <v>26664</v>
      </c>
      <c r="N481" s="32" t="s">
        <v>26665</v>
      </c>
      <c r="O481" s="34"/>
      <c r="P481" s="34" t="n">
        <v>6</v>
      </c>
      <c r="Q481" s="31" t="n">
        <v>6</v>
      </c>
      <c r="R481" s="31" t="s">
        <v>61</v>
      </c>
      <c r="S481" s="31" t="s">
        <v>62</v>
      </c>
      <c r="T481" s="31" t="s">
        <v>26666</v>
      </c>
      <c r="U481" s="31" t="n">
        <v>41</v>
      </c>
      <c r="V481" s="31" t="s">
        <v>16600</v>
      </c>
      <c r="W481" s="31" t="n">
        <v>12</v>
      </c>
      <c r="X481" s="31" t="s">
        <v>26667</v>
      </c>
      <c r="Y481" s="31" t="s">
        <v>26668</v>
      </c>
      <c r="Z481" s="31" t="s">
        <v>26669</v>
      </c>
      <c r="AA481" s="31" t="s">
        <v>26670</v>
      </c>
      <c r="AB481" s="31" t="s">
        <v>26671</v>
      </c>
      <c r="AC481" s="31" t="s">
        <v>26672</v>
      </c>
      <c r="AD481" s="31" t="s">
        <v>26673</v>
      </c>
      <c r="AE481" s="31" t="s">
        <v>26674</v>
      </c>
      <c r="AF481" s="31" t="s">
        <v>26675</v>
      </c>
      <c r="AG481" s="31" t="s">
        <v>26676</v>
      </c>
      <c r="AH481" s="31" t="s">
        <v>26677</v>
      </c>
      <c r="AI481" s="31" t="n">
        <v>51</v>
      </c>
      <c r="AJ481" s="31" t="n">
        <v>0</v>
      </c>
      <c r="AK481" s="31" t="n">
        <v>25</v>
      </c>
      <c r="AL481" s="31" t="s">
        <v>16990</v>
      </c>
      <c r="AM481" s="31" t="s">
        <v>16991</v>
      </c>
      <c r="AN481" s="31" t="s">
        <v>26678</v>
      </c>
      <c r="AO481" s="31" t="s">
        <v>26679</v>
      </c>
      <c r="AP481" s="31" t="s">
        <v>26680</v>
      </c>
      <c r="AQ481" s="31" t="s">
        <v>14152</v>
      </c>
      <c r="AR481" s="31" t="s">
        <v>16649</v>
      </c>
      <c r="AS481" s="31"/>
      <c r="AT481" s="31"/>
      <c r="AU481" s="31" t="n">
        <v>192</v>
      </c>
      <c r="AV481" s="31" t="s">
        <v>26681</v>
      </c>
      <c r="AW481" s="35" t="str">
        <f aca="false">HYPERLINK("http://dx.doi.org/10.1007/s10916-017-0834-0","http://dx.doi.org/10.1007/s10916-017-0834-0")</f>
        <v>http://dx.doi.org/10.1007/s10916-017-0834-0</v>
      </c>
      <c r="AX481" s="31"/>
      <c r="AY481" s="31" t="n">
        <v>18</v>
      </c>
      <c r="AZ481" s="31" t="s">
        <v>17687</v>
      </c>
      <c r="BA481" s="31" t="s">
        <v>16366</v>
      </c>
      <c r="BB481" s="31" t="s">
        <v>17687</v>
      </c>
      <c r="BC481" s="31" t="s">
        <v>26682</v>
      </c>
      <c r="BD481" s="31" t="n">
        <v>29075939</v>
      </c>
      <c r="BE481" s="31"/>
      <c r="BF481" s="31" t="s">
        <v>16369</v>
      </c>
      <c r="BG481" s="31" t="s">
        <v>26683</v>
      </c>
      <c r="BH481" s="31" t="str">
        <f aca="false">HYPERLINK("https%3A%2F%2Fwww.webofscience.com%2Fwos%2Fwoscc%2Ffull-record%2FWOS:000413673900008","View Full Record in Web of Science")</f>
        <v>View Full Record in Web of Science</v>
      </c>
      <c r="BI481" s="31"/>
      <c r="BJ481" s="31"/>
      <c r="BK481" s="31"/>
      <c r="BL481" s="31"/>
      <c r="BM481" s="31"/>
      <c r="BN481" s="31"/>
      <c r="BO481" s="31"/>
      <c r="BP481" s="31"/>
      <c r="BQ481" s="31"/>
      <c r="BR481" s="31"/>
      <c r="BS481" s="31"/>
      <c r="BT481" s="31"/>
      <c r="BU481" s="31"/>
      <c r="BV481" s="31"/>
      <c r="BW481" s="31"/>
      <c r="BX481" s="31"/>
      <c r="BY481" s="31"/>
      <c r="BZ481" s="31"/>
      <c r="CA481" s="31"/>
      <c r="CB481" s="31"/>
      <c r="CC481" s="31"/>
      <c r="CD481" s="31"/>
      <c r="CE481" s="31"/>
      <c r="CF481" s="31"/>
    </row>
    <row r="482" customFormat="false" ht="15.75" hidden="false" customHeight="true" outlineLevel="0" collapsed="false">
      <c r="A482" s="31" t="s">
        <v>16335</v>
      </c>
      <c r="B482" s="31" t="s">
        <v>26684</v>
      </c>
      <c r="C482" s="31" t="s">
        <v>26685</v>
      </c>
      <c r="D482" s="34" t="s">
        <v>26686</v>
      </c>
      <c r="E482" s="31" t="n">
        <v>2016</v>
      </c>
      <c r="F482" s="33" t="s">
        <v>26687</v>
      </c>
      <c r="G482" s="33" t="s">
        <v>1230</v>
      </c>
      <c r="H482" s="32" t="s">
        <v>5021</v>
      </c>
      <c r="I482" s="32" t="s">
        <v>5021</v>
      </c>
      <c r="J482" s="34"/>
      <c r="K482" s="32" t="s">
        <v>16840</v>
      </c>
      <c r="L482" s="34"/>
      <c r="M482" s="34"/>
      <c r="N482" s="34"/>
      <c r="O482" s="34"/>
      <c r="P482" s="34" t="n">
        <v>46</v>
      </c>
      <c r="Q482" s="31" t="n">
        <v>49</v>
      </c>
      <c r="R482" s="31" t="s">
        <v>61</v>
      </c>
      <c r="S482" s="31" t="s">
        <v>62</v>
      </c>
      <c r="T482" s="31" t="s">
        <v>18059</v>
      </c>
      <c r="U482" s="31" t="n">
        <v>17</v>
      </c>
      <c r="V482" s="31" t="s">
        <v>17599</v>
      </c>
      <c r="W482" s="31"/>
      <c r="X482" s="31" t="s">
        <v>26688</v>
      </c>
      <c r="Y482" s="31" t="s">
        <v>26689</v>
      </c>
      <c r="Z482" s="31" t="s">
        <v>26690</v>
      </c>
      <c r="AA482" s="31" t="s">
        <v>26691</v>
      </c>
      <c r="AB482" s="31" t="s">
        <v>26692</v>
      </c>
      <c r="AC482" s="31" t="s">
        <v>26693</v>
      </c>
      <c r="AD482" s="31" t="s">
        <v>26694</v>
      </c>
      <c r="AE482" s="31" t="s">
        <v>26695</v>
      </c>
      <c r="AF482" s="31" t="s">
        <v>26696</v>
      </c>
      <c r="AG482" s="31" t="s">
        <v>26697</v>
      </c>
      <c r="AH482" s="31" t="s">
        <v>26698</v>
      </c>
      <c r="AI482" s="31" t="n">
        <v>38</v>
      </c>
      <c r="AJ482" s="31" t="n">
        <v>1</v>
      </c>
      <c r="AK482" s="31" t="n">
        <v>60</v>
      </c>
      <c r="AL482" s="31" t="s">
        <v>16821</v>
      </c>
      <c r="AM482" s="31" t="s">
        <v>17609</v>
      </c>
      <c r="AN482" s="31" t="s">
        <v>18070</v>
      </c>
      <c r="AO482" s="31"/>
      <c r="AP482" s="31" t="s">
        <v>18059</v>
      </c>
      <c r="AQ482" s="31" t="s">
        <v>18071</v>
      </c>
      <c r="AR482" s="31" t="s">
        <v>18693</v>
      </c>
      <c r="AS482" s="31"/>
      <c r="AT482" s="31"/>
      <c r="AU482" s="31" t="n">
        <v>166</v>
      </c>
      <c r="AV482" s="31" t="s">
        <v>26699</v>
      </c>
      <c r="AW482" s="35" t="str">
        <f aca="false">HYPERLINK("http://dx.doi.org/10.1186/s12859-016-1034-5","http://dx.doi.org/10.1186/s12859-016-1034-5")</f>
        <v>http://dx.doi.org/10.1186/s12859-016-1034-5</v>
      </c>
      <c r="AX482" s="31"/>
      <c r="AY482" s="31" t="n">
        <v>9</v>
      </c>
      <c r="AZ482" s="31" t="s">
        <v>18074</v>
      </c>
      <c r="BA482" s="31" t="s">
        <v>16366</v>
      </c>
      <c r="BB482" s="31" t="s">
        <v>18075</v>
      </c>
      <c r="BC482" s="31" t="s">
        <v>26700</v>
      </c>
      <c r="BD482" s="31" t="n">
        <v>27083696</v>
      </c>
      <c r="BE482" s="31" t="s">
        <v>16832</v>
      </c>
      <c r="BF482" s="31" t="s">
        <v>16369</v>
      </c>
      <c r="BG482" s="31" t="s">
        <v>26701</v>
      </c>
      <c r="BH482" s="31" t="str">
        <f aca="false">HYPERLINK("https%3A%2F%2Fwww.webofscience.com%2Fwos%2Fwoscc%2Ffull-record%2FWOS:000374280500003","View Full Record in Web of Science")</f>
        <v>View Full Record in Web of Science</v>
      </c>
      <c r="BI482" s="31"/>
      <c r="BJ482" s="31"/>
      <c r="BK482" s="31"/>
      <c r="BL482" s="31"/>
      <c r="BM482" s="31"/>
      <c r="BN482" s="31"/>
      <c r="BO482" s="31"/>
      <c r="BP482" s="31"/>
      <c r="BQ482" s="31"/>
      <c r="BR482" s="31"/>
      <c r="BS482" s="31"/>
      <c r="BT482" s="31"/>
      <c r="BU482" s="31"/>
      <c r="BV482" s="31"/>
      <c r="BW482" s="31"/>
      <c r="BX482" s="31"/>
      <c r="BY482" s="31"/>
      <c r="BZ482" s="31"/>
      <c r="CA482" s="31"/>
      <c r="CB482" s="31"/>
      <c r="CC482" s="31"/>
      <c r="CD482" s="31"/>
      <c r="CE482" s="31"/>
      <c r="CF482" s="31"/>
    </row>
    <row r="483" customFormat="false" ht="15.75" hidden="false" customHeight="true" outlineLevel="0" collapsed="false">
      <c r="A483" s="31" t="s">
        <v>16335</v>
      </c>
      <c r="B483" s="31" t="s">
        <v>26702</v>
      </c>
      <c r="C483" s="31" t="s">
        <v>26703</v>
      </c>
      <c r="D483" s="34" t="s">
        <v>26704</v>
      </c>
      <c r="E483" s="31" t="n">
        <v>2016</v>
      </c>
      <c r="F483" s="33" t="s">
        <v>26705</v>
      </c>
      <c r="G483" s="33" t="s">
        <v>290</v>
      </c>
      <c r="H483" s="32"/>
      <c r="I483" s="34"/>
      <c r="J483" s="34"/>
      <c r="K483" s="32" t="s">
        <v>26706</v>
      </c>
      <c r="L483" s="34"/>
      <c r="M483" s="32" t="s">
        <v>26707</v>
      </c>
      <c r="N483" s="34"/>
      <c r="O483" s="34"/>
      <c r="P483" s="34" t="n">
        <v>3</v>
      </c>
      <c r="Q483" s="31" t="n">
        <v>3</v>
      </c>
      <c r="R483" s="31" t="s">
        <v>61</v>
      </c>
      <c r="S483" s="31" t="s">
        <v>62</v>
      </c>
      <c r="T483" s="31" t="s">
        <v>26708</v>
      </c>
      <c r="U483" s="31" t="n">
        <v>12</v>
      </c>
      <c r="V483" s="31" t="s">
        <v>26709</v>
      </c>
      <c r="W483" s="31" t="n">
        <v>1</v>
      </c>
      <c r="X483" s="31" t="s">
        <v>26710</v>
      </c>
      <c r="Y483" s="31" t="s">
        <v>26711</v>
      </c>
      <c r="Z483" s="31" t="s">
        <v>26712</v>
      </c>
      <c r="AA483" s="31" t="s">
        <v>26713</v>
      </c>
      <c r="AB483" s="31" t="s">
        <v>26714</v>
      </c>
      <c r="AC483" s="31" t="s">
        <v>26715</v>
      </c>
      <c r="AD483" s="31"/>
      <c r="AE483" s="31" t="s">
        <v>26716</v>
      </c>
      <c r="AF483" s="31" t="s">
        <v>26717</v>
      </c>
      <c r="AG483" s="31" t="s">
        <v>26717</v>
      </c>
      <c r="AH483" s="31" t="s">
        <v>26718</v>
      </c>
      <c r="AI483" s="31" t="n">
        <v>52</v>
      </c>
      <c r="AJ483" s="31" t="n">
        <v>0</v>
      </c>
      <c r="AK483" s="31" t="n">
        <v>7</v>
      </c>
      <c r="AL483" s="31" t="s">
        <v>26719</v>
      </c>
      <c r="AM483" s="31" t="s">
        <v>26720</v>
      </c>
      <c r="AN483" s="31" t="s">
        <v>26721</v>
      </c>
      <c r="AO483" s="31" t="s">
        <v>26722</v>
      </c>
      <c r="AP483" s="31" t="s">
        <v>26723</v>
      </c>
      <c r="AQ483" s="31" t="s">
        <v>26724</v>
      </c>
      <c r="AR483" s="31"/>
      <c r="AS483" s="31" t="n">
        <v>52</v>
      </c>
      <c r="AT483" s="31" t="n">
        <v>61</v>
      </c>
      <c r="AU483" s="31"/>
      <c r="AV483" s="31" t="s">
        <v>26725</v>
      </c>
      <c r="AW483" s="35" t="str">
        <f aca="false">HYPERLINK("http://dx.doi.org/10.2174/1573409912999160112113539","http://dx.doi.org/10.2174/1573409912999160112113539")</f>
        <v>http://dx.doi.org/10.2174/1573409912999160112113539</v>
      </c>
      <c r="AX483" s="31"/>
      <c r="AY483" s="31" t="n">
        <v>10</v>
      </c>
      <c r="AZ483" s="31" t="s">
        <v>26726</v>
      </c>
      <c r="BA483" s="31" t="s">
        <v>16366</v>
      </c>
      <c r="BB483" s="31" t="s">
        <v>26727</v>
      </c>
      <c r="BC483" s="31" t="s">
        <v>26728</v>
      </c>
      <c r="BD483" s="31" t="n">
        <v>26777113</v>
      </c>
      <c r="BE483" s="31"/>
      <c r="BF483" s="31" t="s">
        <v>16369</v>
      </c>
      <c r="BG483" s="31" t="s">
        <v>26729</v>
      </c>
      <c r="BH483" s="31" t="str">
        <f aca="false">HYPERLINK("https%3A%2F%2Fwww.webofscience.com%2Fwos%2Fwoscc%2Ffull-record%2FWOS:000372550900006","View Full Record in Web of Science")</f>
        <v>View Full Record in Web of Science</v>
      </c>
      <c r="BI483" s="31"/>
      <c r="BJ483" s="31"/>
      <c r="BK483" s="31"/>
      <c r="BL483" s="31"/>
      <c r="BM483" s="31"/>
      <c r="BN483" s="31"/>
      <c r="BO483" s="31"/>
      <c r="BP483" s="31"/>
      <c r="BQ483" s="31"/>
      <c r="BR483" s="31"/>
      <c r="BS483" s="31"/>
      <c r="BT483" s="31"/>
      <c r="BU483" s="31"/>
      <c r="BV483" s="31"/>
      <c r="BW483" s="31"/>
      <c r="BX483" s="31"/>
      <c r="BY483" s="31"/>
      <c r="BZ483" s="31"/>
      <c r="CA483" s="31"/>
      <c r="CB483" s="31"/>
      <c r="CC483" s="31"/>
      <c r="CD483" s="31"/>
      <c r="CE483" s="31"/>
      <c r="CF483" s="31"/>
    </row>
    <row r="484" customFormat="false" ht="15.75" hidden="false" customHeight="true" outlineLevel="0" collapsed="false">
      <c r="A484" s="31" t="s">
        <v>16335</v>
      </c>
      <c r="B484" s="31" t="s">
        <v>26730</v>
      </c>
      <c r="C484" s="31" t="s">
        <v>26731</v>
      </c>
      <c r="D484" s="34" t="s">
        <v>26732</v>
      </c>
      <c r="E484" s="31" t="n">
        <v>2015</v>
      </c>
      <c r="F484" s="33" t="s">
        <v>26733</v>
      </c>
      <c r="G484" s="33" t="s">
        <v>290</v>
      </c>
      <c r="H484" s="32"/>
      <c r="I484" s="34"/>
      <c r="J484" s="34"/>
      <c r="K484" s="34"/>
      <c r="L484" s="34"/>
      <c r="M484" s="34"/>
      <c r="N484" s="34"/>
      <c r="O484" s="34"/>
      <c r="P484" s="34" t="n">
        <v>10</v>
      </c>
      <c r="Q484" s="31" t="n">
        <v>10</v>
      </c>
      <c r="R484" s="31" t="s">
        <v>61</v>
      </c>
      <c r="S484" s="31" t="s">
        <v>62</v>
      </c>
      <c r="T484" s="31" t="s">
        <v>26734</v>
      </c>
      <c r="U484" s="31" t="n">
        <v>18</v>
      </c>
      <c r="V484" s="31" t="s">
        <v>26709</v>
      </c>
      <c r="W484" s="31" t="n">
        <v>8</v>
      </c>
      <c r="X484" s="31" t="s">
        <v>26735</v>
      </c>
      <c r="Y484" s="31" t="s">
        <v>26736</v>
      </c>
      <c r="Z484" s="31" t="s">
        <v>26737</v>
      </c>
      <c r="AA484" s="31" t="s">
        <v>26738</v>
      </c>
      <c r="AB484" s="31" t="s">
        <v>26739</v>
      </c>
      <c r="AC484" s="31" t="s">
        <v>26740</v>
      </c>
      <c r="AD484" s="31" t="s">
        <v>26741</v>
      </c>
      <c r="AE484" s="31" t="s">
        <v>26742</v>
      </c>
      <c r="AF484" s="31" t="s">
        <v>18114</v>
      </c>
      <c r="AG484" s="31" t="s">
        <v>18115</v>
      </c>
      <c r="AH484" s="31" t="s">
        <v>26743</v>
      </c>
      <c r="AI484" s="31" t="n">
        <v>92</v>
      </c>
      <c r="AJ484" s="31" t="n">
        <v>1</v>
      </c>
      <c r="AK484" s="31" t="n">
        <v>27</v>
      </c>
      <c r="AL484" s="31" t="s">
        <v>26719</v>
      </c>
      <c r="AM484" s="31" t="s">
        <v>26720</v>
      </c>
      <c r="AN484" s="31" t="s">
        <v>26744</v>
      </c>
      <c r="AO484" s="31" t="s">
        <v>26745</v>
      </c>
      <c r="AP484" s="31" t="s">
        <v>26746</v>
      </c>
      <c r="AQ484" s="31" t="s">
        <v>26747</v>
      </c>
      <c r="AR484" s="31"/>
      <c r="AS484" s="31" t="n">
        <v>819</v>
      </c>
      <c r="AT484" s="31" t="n">
        <v>829</v>
      </c>
      <c r="AU484" s="31"/>
      <c r="AV484" s="31" t="s">
        <v>26748</v>
      </c>
      <c r="AW484" s="35" t="str">
        <f aca="false">HYPERLINK("http://dx.doi.org/10.2174/1386207318666150803141219","http://dx.doi.org/10.2174/1386207318666150803141219")</f>
        <v>http://dx.doi.org/10.2174/1386207318666150803141219</v>
      </c>
      <c r="AX484" s="31"/>
      <c r="AY484" s="31" t="n">
        <v>11</v>
      </c>
      <c r="AZ484" s="31" t="s">
        <v>26749</v>
      </c>
      <c r="BA484" s="31" t="s">
        <v>16366</v>
      </c>
      <c r="BB484" s="31" t="s">
        <v>23056</v>
      </c>
      <c r="BC484" s="31" t="s">
        <v>26750</v>
      </c>
      <c r="BD484" s="31" t="n">
        <v>26234510</v>
      </c>
      <c r="BE484" s="31"/>
      <c r="BF484" s="31" t="s">
        <v>16369</v>
      </c>
      <c r="BG484" s="31" t="s">
        <v>26751</v>
      </c>
      <c r="BH484" s="31" t="str">
        <f aca="false">HYPERLINK("https%3A%2F%2Fwww.webofscience.com%2Fwos%2Fwoscc%2Ffull-record%2FWOS:000360935600011","View Full Record in Web of Science")</f>
        <v>View Full Record in Web of Science</v>
      </c>
      <c r="BI484" s="31"/>
      <c r="BJ484" s="31"/>
      <c r="BK484" s="31"/>
      <c r="BL484" s="31"/>
      <c r="BM484" s="31"/>
      <c r="BN484" s="31"/>
      <c r="BO484" s="31"/>
      <c r="BP484" s="31"/>
      <c r="BQ484" s="31"/>
      <c r="BR484" s="31"/>
      <c r="BS484" s="31"/>
      <c r="BT484" s="31"/>
      <c r="BU484" s="31"/>
      <c r="BV484" s="31"/>
      <c r="BW484" s="31"/>
      <c r="BX484" s="31"/>
      <c r="BY484" s="31"/>
      <c r="BZ484" s="31"/>
      <c r="CA484" s="31"/>
      <c r="CB484" s="31"/>
      <c r="CC484" s="31"/>
      <c r="CD484" s="31"/>
      <c r="CE484" s="31"/>
      <c r="CF484" s="31"/>
    </row>
    <row r="485" customFormat="false" ht="15.75" hidden="false" customHeight="true" outlineLevel="0" collapsed="false">
      <c r="A485" s="31" t="s">
        <v>16335</v>
      </c>
      <c r="B485" s="31" t="s">
        <v>26752</v>
      </c>
      <c r="C485" s="31" t="s">
        <v>26753</v>
      </c>
      <c r="D485" s="34" t="s">
        <v>26754</v>
      </c>
      <c r="E485" s="31" t="n">
        <v>2015</v>
      </c>
      <c r="F485" s="33" t="s">
        <v>26755</v>
      </c>
      <c r="G485" s="33" t="s">
        <v>290</v>
      </c>
      <c r="H485" s="32" t="s">
        <v>3729</v>
      </c>
      <c r="I485" s="34"/>
      <c r="J485" s="34"/>
      <c r="K485" s="34"/>
      <c r="L485" s="34"/>
      <c r="M485" s="34"/>
      <c r="N485" s="34"/>
      <c r="O485" s="34"/>
      <c r="P485" s="34" t="n">
        <v>18</v>
      </c>
      <c r="Q485" s="31" t="n">
        <v>18</v>
      </c>
      <c r="R485" s="31" t="s">
        <v>61</v>
      </c>
      <c r="S485" s="31" t="s">
        <v>62</v>
      </c>
      <c r="T485" s="31" t="s">
        <v>26756</v>
      </c>
      <c r="U485" s="31" t="n">
        <v>23</v>
      </c>
      <c r="V485" s="31" t="s">
        <v>18274</v>
      </c>
      <c r="W485" s="31" t="n">
        <v>16</v>
      </c>
      <c r="X485" s="31" t="s">
        <v>26757</v>
      </c>
      <c r="Y485" s="31" t="s">
        <v>26758</v>
      </c>
      <c r="Z485" s="31" t="s">
        <v>26759</v>
      </c>
      <c r="AA485" s="31" t="s">
        <v>26760</v>
      </c>
      <c r="AB485" s="31" t="s">
        <v>26761</v>
      </c>
      <c r="AC485" s="31" t="s">
        <v>26762</v>
      </c>
      <c r="AD485" s="31"/>
      <c r="AE485" s="31" t="s">
        <v>26763</v>
      </c>
      <c r="AF485" s="31" t="s">
        <v>26764</v>
      </c>
      <c r="AG485" s="31" t="s">
        <v>26765</v>
      </c>
      <c r="AH485" s="31" t="s">
        <v>26766</v>
      </c>
      <c r="AI485" s="31" t="n">
        <v>46</v>
      </c>
      <c r="AJ485" s="31" t="n">
        <v>1</v>
      </c>
      <c r="AK485" s="31" t="n">
        <v>11</v>
      </c>
      <c r="AL485" s="31" t="s">
        <v>16575</v>
      </c>
      <c r="AM485" s="31" t="s">
        <v>18284</v>
      </c>
      <c r="AN485" s="31" t="s">
        <v>26767</v>
      </c>
      <c r="AO485" s="31" t="s">
        <v>26768</v>
      </c>
      <c r="AP485" s="31" t="s">
        <v>26769</v>
      </c>
      <c r="AQ485" s="31" t="s">
        <v>26770</v>
      </c>
      <c r="AR485" s="31" t="s">
        <v>26771</v>
      </c>
      <c r="AS485" s="31" t="n">
        <v>5210</v>
      </c>
      <c r="AT485" s="31" t="n">
        <v>5217</v>
      </c>
      <c r="AU485" s="31"/>
      <c r="AV485" s="31" t="s">
        <v>26772</v>
      </c>
      <c r="AW485" s="35" t="str">
        <f aca="false">HYPERLINK("http://dx.doi.org/10.1016/j.bmc.2014.12.020","http://dx.doi.org/10.1016/j.bmc.2014.12.020")</f>
        <v>http://dx.doi.org/10.1016/j.bmc.2014.12.020</v>
      </c>
      <c r="AX485" s="31"/>
      <c r="AY485" s="31" t="n">
        <v>8</v>
      </c>
      <c r="AZ485" s="31" t="s">
        <v>26773</v>
      </c>
      <c r="BA485" s="31" t="s">
        <v>16366</v>
      </c>
      <c r="BB485" s="31" t="s">
        <v>26774</v>
      </c>
      <c r="BC485" s="31" t="s">
        <v>26775</v>
      </c>
      <c r="BD485" s="31" t="n">
        <v>25573118</v>
      </c>
      <c r="BE485" s="31" t="s">
        <v>17966</v>
      </c>
      <c r="BF485" s="31" t="s">
        <v>16369</v>
      </c>
      <c r="BG485" s="31" t="s">
        <v>26776</v>
      </c>
      <c r="BH485" s="31" t="str">
        <f aca="false">HYPERLINK("https%3A%2F%2Fwww.webofscience.com%2Fwos%2Fwoscc%2Ffull-record%2FWOS:000359299100014","View Full Record in Web of Science")</f>
        <v>View Full Record in Web of Science</v>
      </c>
      <c r="BI485" s="31"/>
      <c r="BJ485" s="31"/>
      <c r="BK485" s="31"/>
      <c r="BL485" s="31"/>
      <c r="BM485" s="31"/>
      <c r="BN485" s="31"/>
      <c r="BO485" s="31"/>
      <c r="BP485" s="31"/>
      <c r="BQ485" s="31"/>
      <c r="BR485" s="31"/>
      <c r="BS485" s="31"/>
      <c r="BT485" s="31"/>
      <c r="BU485" s="31"/>
      <c r="BV485" s="31"/>
      <c r="BW485" s="31"/>
      <c r="BX485" s="31"/>
      <c r="BY485" s="31"/>
      <c r="BZ485" s="31"/>
      <c r="CA485" s="31"/>
      <c r="CB485" s="31"/>
      <c r="CC485" s="31"/>
      <c r="CD485" s="31"/>
      <c r="CE485" s="31"/>
      <c r="CF485" s="31"/>
    </row>
    <row r="486" customFormat="false" ht="15.75" hidden="false" customHeight="true" outlineLevel="0" collapsed="false">
      <c r="A486" s="31" t="s">
        <v>16335</v>
      </c>
      <c r="B486" s="31" t="s">
        <v>26777</v>
      </c>
      <c r="C486" s="31" t="s">
        <v>26778</v>
      </c>
      <c r="D486" s="34" t="s">
        <v>26779</v>
      </c>
      <c r="E486" s="31" t="n">
        <v>2015</v>
      </c>
      <c r="F486" s="33" t="s">
        <v>26780</v>
      </c>
      <c r="G486" s="33" t="s">
        <v>290</v>
      </c>
      <c r="H486" s="32" t="s">
        <v>26781</v>
      </c>
      <c r="I486" s="34"/>
      <c r="J486" s="34"/>
      <c r="K486" s="34"/>
      <c r="L486" s="34"/>
      <c r="M486" s="34"/>
      <c r="N486" s="34"/>
      <c r="O486" s="34"/>
      <c r="P486" s="34" t="n">
        <v>90</v>
      </c>
      <c r="Q486" s="31" t="n">
        <v>105</v>
      </c>
      <c r="R486" s="31" t="s">
        <v>61</v>
      </c>
      <c r="S486" s="31" t="s">
        <v>62</v>
      </c>
      <c r="T486" s="31" t="s">
        <v>23900</v>
      </c>
      <c r="U486" s="31" t="n">
        <v>12</v>
      </c>
      <c r="V486" s="31" t="s">
        <v>23901</v>
      </c>
      <c r="W486" s="31" t="n">
        <v>104</v>
      </c>
      <c r="X486" s="31" t="s">
        <v>26782</v>
      </c>
      <c r="Y486" s="31" t="s">
        <v>26783</v>
      </c>
      <c r="Z486" s="31" t="s">
        <v>26784</v>
      </c>
      <c r="AA486" s="31" t="s">
        <v>26785</v>
      </c>
      <c r="AB486" s="31" t="s">
        <v>26786</v>
      </c>
      <c r="AC486" s="31" t="s">
        <v>26787</v>
      </c>
      <c r="AD486" s="31" t="s">
        <v>26788</v>
      </c>
      <c r="AE486" s="31" t="s">
        <v>26789</v>
      </c>
      <c r="AF486" s="31" t="s">
        <v>26790</v>
      </c>
      <c r="AG486" s="31" t="s">
        <v>26791</v>
      </c>
      <c r="AH486" s="31" t="s">
        <v>26792</v>
      </c>
      <c r="AI486" s="31" t="n">
        <v>31</v>
      </c>
      <c r="AJ486" s="31" t="n">
        <v>0</v>
      </c>
      <c r="AK486" s="31" t="n">
        <v>36</v>
      </c>
      <c r="AL486" s="31" t="s">
        <v>16821</v>
      </c>
      <c r="AM486" s="31" t="s">
        <v>23912</v>
      </c>
      <c r="AN486" s="31" t="s">
        <v>23913</v>
      </c>
      <c r="AO486" s="31" t="s">
        <v>23914</v>
      </c>
      <c r="AP486" s="31" t="s">
        <v>23915</v>
      </c>
      <c r="AQ486" s="31" t="s">
        <v>23916</v>
      </c>
      <c r="AR486" s="31" t="s">
        <v>18072</v>
      </c>
      <c r="AS486" s="31"/>
      <c r="AT486" s="31"/>
      <c r="AU486" s="31" t="n">
        <v>20141289</v>
      </c>
      <c r="AV486" s="31" t="s">
        <v>26793</v>
      </c>
      <c r="AW486" s="35" t="str">
        <f aca="false">HYPERLINK("http://dx.doi.org/10.1098/rsif.2014.1289","http://dx.doi.org/10.1098/rsif.2014.1289")</f>
        <v>http://dx.doi.org/10.1098/rsif.2014.1289</v>
      </c>
      <c r="AX486" s="31"/>
      <c r="AY486" s="31" t="n">
        <v>9</v>
      </c>
      <c r="AZ486" s="31" t="s">
        <v>16428</v>
      </c>
      <c r="BA486" s="31" t="s">
        <v>16366</v>
      </c>
      <c r="BB486" s="31" t="s">
        <v>16429</v>
      </c>
      <c r="BC486" s="31" t="s">
        <v>26794</v>
      </c>
      <c r="BD486" s="31" t="n">
        <v>25652463</v>
      </c>
      <c r="BE486" s="31" t="s">
        <v>26795</v>
      </c>
      <c r="BF486" s="31" t="s">
        <v>16369</v>
      </c>
      <c r="BG486" s="31" t="s">
        <v>26796</v>
      </c>
      <c r="BH486" s="31" t="str">
        <f aca="false">HYPERLINK("https%3A%2F%2Fwww.webofscience.com%2Fwos%2Fwoscc%2Ffull-record%2FWOS:000351227000030","View Full Record in Web of Science")</f>
        <v>View Full Record in Web of Science</v>
      </c>
      <c r="BI486" s="31"/>
      <c r="BJ486" s="31"/>
      <c r="BK486" s="31"/>
      <c r="BL486" s="31"/>
      <c r="BM486" s="31"/>
      <c r="BN486" s="31"/>
      <c r="BO486" s="31"/>
      <c r="BP486" s="31"/>
      <c r="BQ486" s="31"/>
      <c r="BR486" s="31"/>
      <c r="BS486" s="31"/>
      <c r="BT486" s="31"/>
      <c r="BU486" s="31"/>
      <c r="BV486" s="31"/>
      <c r="BW486" s="31"/>
      <c r="BX486" s="31"/>
      <c r="BY486" s="31"/>
      <c r="BZ486" s="31"/>
      <c r="CA486" s="31"/>
      <c r="CB486" s="31"/>
      <c r="CC486" s="31"/>
      <c r="CD486" s="31"/>
      <c r="CE486" s="31"/>
      <c r="CF486" s="31"/>
    </row>
    <row r="487" customFormat="false" ht="15.75" hidden="false" customHeight="true" outlineLevel="0" collapsed="false">
      <c r="A487" s="31" t="s">
        <v>16335</v>
      </c>
      <c r="B487" s="31" t="s">
        <v>26797</v>
      </c>
      <c r="C487" s="31" t="s">
        <v>26798</v>
      </c>
      <c r="D487" s="34" t="s">
        <v>26799</v>
      </c>
      <c r="E487" s="31" t="n">
        <v>2015</v>
      </c>
      <c r="F487" s="33" t="s">
        <v>26800</v>
      </c>
      <c r="G487" s="33" t="s">
        <v>290</v>
      </c>
      <c r="H487" s="32" t="s">
        <v>3920</v>
      </c>
      <c r="I487" s="34"/>
      <c r="J487" s="34"/>
      <c r="K487" s="34"/>
      <c r="L487" s="34"/>
      <c r="M487" s="32" t="s">
        <v>26801</v>
      </c>
      <c r="N487" s="34"/>
      <c r="O487" s="34"/>
      <c r="P487" s="34" t="n">
        <v>8</v>
      </c>
      <c r="Q487" s="31" t="n">
        <v>9</v>
      </c>
      <c r="R487" s="31" t="s">
        <v>61</v>
      </c>
      <c r="S487" s="31" t="s">
        <v>62</v>
      </c>
      <c r="T487" s="31" t="s">
        <v>26802</v>
      </c>
      <c r="U487" s="31" t="n">
        <v>34</v>
      </c>
      <c r="V487" s="31" t="s">
        <v>18105</v>
      </c>
      <c r="W487" s="31" t="n">
        <v>10</v>
      </c>
      <c r="X487" s="31" t="s">
        <v>26803</v>
      </c>
      <c r="Y487" s="31" t="s">
        <v>26804</v>
      </c>
      <c r="Z487" s="31" t="s">
        <v>26805</v>
      </c>
      <c r="AA487" s="31" t="s">
        <v>26806</v>
      </c>
      <c r="AB487" s="31" t="s">
        <v>26807</v>
      </c>
      <c r="AC487" s="31" t="s">
        <v>26808</v>
      </c>
      <c r="AD487" s="31" t="s">
        <v>26809</v>
      </c>
      <c r="AE487" s="31" t="s">
        <v>26810</v>
      </c>
      <c r="AF487" s="31"/>
      <c r="AG487" s="31"/>
      <c r="AH487" s="31"/>
      <c r="AI487" s="31" t="n">
        <v>67</v>
      </c>
      <c r="AJ487" s="31" t="n">
        <v>0</v>
      </c>
      <c r="AK487" s="31" t="n">
        <v>7</v>
      </c>
      <c r="AL487" s="31" t="s">
        <v>18117</v>
      </c>
      <c r="AM487" s="31" t="s">
        <v>18118</v>
      </c>
      <c r="AN487" s="31" t="s">
        <v>26811</v>
      </c>
      <c r="AO487" s="31" t="s">
        <v>26812</v>
      </c>
      <c r="AP487" s="31" t="s">
        <v>26813</v>
      </c>
      <c r="AQ487" s="31" t="s">
        <v>26814</v>
      </c>
      <c r="AR487" s="31" t="s">
        <v>16615</v>
      </c>
      <c r="AS487" s="31" t="n">
        <v>655</v>
      </c>
      <c r="AT487" s="31" t="n">
        <v>664</v>
      </c>
      <c r="AU487" s="31"/>
      <c r="AV487" s="31" t="s">
        <v>26815</v>
      </c>
      <c r="AW487" s="35" t="str">
        <f aca="false">HYPERLINK("http://dx.doi.org/10.1002/minf.201400139","http://dx.doi.org/10.1002/minf.201400139")</f>
        <v>http://dx.doi.org/10.1002/minf.201400139</v>
      </c>
      <c r="AX487" s="31"/>
      <c r="AY487" s="31" t="n">
        <v>10</v>
      </c>
      <c r="AZ487" s="31" t="s">
        <v>26816</v>
      </c>
      <c r="BA487" s="31" t="s">
        <v>16366</v>
      </c>
      <c r="BB487" s="31" t="s">
        <v>26817</v>
      </c>
      <c r="BC487" s="31" t="s">
        <v>26818</v>
      </c>
      <c r="BD487" s="31" t="n">
        <v>27490966</v>
      </c>
      <c r="BE487" s="31"/>
      <c r="BF487" s="31" t="s">
        <v>16369</v>
      </c>
      <c r="BG487" s="31" t="s">
        <v>26819</v>
      </c>
      <c r="BH487" s="31" t="str">
        <f aca="false">HYPERLINK("https%3A%2F%2Fwww.webofscience.com%2Fwos%2Fwoscc%2Ffull-record%2FWOS:000365319900001","View Full Record in Web of Science")</f>
        <v>View Full Record in Web of Science</v>
      </c>
      <c r="BI487" s="31"/>
      <c r="BJ487" s="31"/>
      <c r="BK487" s="31"/>
      <c r="BL487" s="31"/>
      <c r="BM487" s="31"/>
      <c r="BN487" s="31"/>
      <c r="BO487" s="31"/>
      <c r="BP487" s="31"/>
      <c r="BQ487" s="31"/>
      <c r="BR487" s="31"/>
      <c r="BS487" s="31"/>
      <c r="BT487" s="31"/>
      <c r="BU487" s="31"/>
      <c r="BV487" s="31"/>
      <c r="BW487" s="31"/>
      <c r="BX487" s="31"/>
      <c r="BY487" s="31"/>
      <c r="BZ487" s="31"/>
      <c r="CA487" s="31"/>
      <c r="CB487" s="31"/>
      <c r="CC487" s="31"/>
      <c r="CD487" s="31"/>
      <c r="CE487" s="31"/>
      <c r="CF487" s="31"/>
    </row>
    <row r="488" customFormat="false" ht="15.75" hidden="false" customHeight="true" outlineLevel="0" collapsed="false">
      <c r="A488" s="31" t="s">
        <v>16335</v>
      </c>
      <c r="B488" s="31" t="s">
        <v>26820</v>
      </c>
      <c r="C488" s="31" t="s">
        <v>26821</v>
      </c>
      <c r="D488" s="34" t="s">
        <v>26822</v>
      </c>
      <c r="E488" s="31" t="n">
        <v>2015</v>
      </c>
      <c r="F488" s="33" t="s">
        <v>26823</v>
      </c>
      <c r="G488" s="33" t="s">
        <v>1230</v>
      </c>
      <c r="H488" s="32" t="s">
        <v>26824</v>
      </c>
      <c r="I488" s="32" t="s">
        <v>16661</v>
      </c>
      <c r="J488" s="34"/>
      <c r="K488" s="32" t="s">
        <v>16840</v>
      </c>
      <c r="L488" s="34"/>
      <c r="M488" s="34"/>
      <c r="N488" s="34"/>
      <c r="O488" s="34"/>
      <c r="P488" s="34" t="n">
        <v>37</v>
      </c>
      <c r="Q488" s="31" t="n">
        <v>39</v>
      </c>
      <c r="R488" s="31" t="s">
        <v>61</v>
      </c>
      <c r="S488" s="31" t="s">
        <v>62</v>
      </c>
      <c r="T488" s="31" t="s">
        <v>26825</v>
      </c>
      <c r="U488" s="31" t="n">
        <v>40</v>
      </c>
      <c r="V488" s="31" t="s">
        <v>18415</v>
      </c>
      <c r="W488" s="31"/>
      <c r="X488" s="31" t="s">
        <v>26826</v>
      </c>
      <c r="Y488" s="31" t="s">
        <v>26827</v>
      </c>
      <c r="Z488" s="31" t="s">
        <v>26828</v>
      </c>
      <c r="AA488" s="31" t="s">
        <v>26829</v>
      </c>
      <c r="AB488" s="31" t="s">
        <v>26830</v>
      </c>
      <c r="AC488" s="31" t="s">
        <v>26831</v>
      </c>
      <c r="AD488" s="31" t="s">
        <v>26832</v>
      </c>
      <c r="AE488" s="31" t="s">
        <v>26833</v>
      </c>
      <c r="AF488" s="31" t="s">
        <v>26834</v>
      </c>
      <c r="AG488" s="31" t="s">
        <v>26835</v>
      </c>
      <c r="AH488" s="31" t="s">
        <v>26836</v>
      </c>
      <c r="AI488" s="31" t="n">
        <v>90</v>
      </c>
      <c r="AJ488" s="31" t="n">
        <v>0</v>
      </c>
      <c r="AK488" s="31" t="n">
        <v>5</v>
      </c>
      <c r="AL488" s="31" t="s">
        <v>16575</v>
      </c>
      <c r="AM488" s="31" t="s">
        <v>22438</v>
      </c>
      <c r="AN488" s="31" t="s">
        <v>26837</v>
      </c>
      <c r="AO488" s="31" t="s">
        <v>26838</v>
      </c>
      <c r="AP488" s="31" t="s">
        <v>26839</v>
      </c>
      <c r="AQ488" s="31" t="s">
        <v>26840</v>
      </c>
      <c r="AR488" s="31" t="s">
        <v>17139</v>
      </c>
      <c r="AS488" s="31" t="n">
        <v>45</v>
      </c>
      <c r="AT488" s="31" t="n">
        <v>53</v>
      </c>
      <c r="AU488" s="31"/>
      <c r="AV488" s="31" t="s">
        <v>26841</v>
      </c>
      <c r="AW488" s="35" t="str">
        <f aca="false">HYPERLINK("http://dx.doi.org/10.1016/j.ijid.2015.07.027","http://dx.doi.org/10.1016/j.ijid.2015.07.027")</f>
        <v>http://dx.doi.org/10.1016/j.ijid.2015.07.027</v>
      </c>
      <c r="AX488" s="31"/>
      <c r="AY488" s="31" t="n">
        <v>9</v>
      </c>
      <c r="AZ488" s="31" t="s">
        <v>8184</v>
      </c>
      <c r="BA488" s="31" t="s">
        <v>16366</v>
      </c>
      <c r="BB488" s="31" t="s">
        <v>8184</v>
      </c>
      <c r="BC488" s="31" t="s">
        <v>26842</v>
      </c>
      <c r="BD488" s="31" t="n">
        <v>26255888</v>
      </c>
      <c r="BE488" s="31" t="s">
        <v>16431</v>
      </c>
      <c r="BF488" s="31" t="s">
        <v>16369</v>
      </c>
      <c r="BG488" s="31" t="s">
        <v>26843</v>
      </c>
      <c r="BH488" s="31" t="str">
        <f aca="false">HYPERLINK("https%3A%2F%2Fwww.webofscience.com%2Fwos%2Fwoscc%2Ffull-record%2FWOS:000365624800010","View Full Record in Web of Science")</f>
        <v>View Full Record in Web of Science</v>
      </c>
      <c r="BI488" s="31"/>
      <c r="BJ488" s="31"/>
      <c r="BK488" s="31"/>
      <c r="BL488" s="31"/>
      <c r="BM488" s="31"/>
      <c r="BN488" s="31"/>
      <c r="BO488" s="31"/>
      <c r="BP488" s="31"/>
      <c r="BQ488" s="31"/>
      <c r="BR488" s="31"/>
      <c r="BS488" s="31"/>
      <c r="BT488" s="31"/>
      <c r="BU488" s="31"/>
      <c r="BV488" s="31"/>
      <c r="BW488" s="31"/>
      <c r="BX488" s="31"/>
      <c r="BY488" s="31"/>
      <c r="BZ488" s="31"/>
      <c r="CA488" s="31"/>
      <c r="CB488" s="31"/>
      <c r="CC488" s="31"/>
      <c r="CD488" s="31"/>
      <c r="CE488" s="31"/>
      <c r="CF488" s="31"/>
    </row>
    <row r="489" customFormat="false" ht="15.75" hidden="false" customHeight="true" outlineLevel="0" collapsed="false">
      <c r="A489" s="31" t="s">
        <v>16335</v>
      </c>
      <c r="B489" s="31" t="s">
        <v>26844</v>
      </c>
      <c r="C489" s="31" t="s">
        <v>26845</v>
      </c>
      <c r="D489" s="34" t="s">
        <v>26846</v>
      </c>
      <c r="E489" s="31" t="n">
        <v>2015</v>
      </c>
      <c r="F489" s="33" t="s">
        <v>26847</v>
      </c>
      <c r="G489" s="33" t="s">
        <v>290</v>
      </c>
      <c r="H489" s="32" t="s">
        <v>21245</v>
      </c>
      <c r="I489" s="34"/>
      <c r="J489" s="32" t="s">
        <v>26848</v>
      </c>
      <c r="K489" s="32" t="s">
        <v>17573</v>
      </c>
      <c r="L489" s="34"/>
      <c r="M489" s="34"/>
      <c r="N489" s="34"/>
      <c r="O489" s="34"/>
      <c r="P489" s="34" t="n">
        <v>59</v>
      </c>
      <c r="Q489" s="31" t="n">
        <v>60</v>
      </c>
      <c r="R489" s="31" t="s">
        <v>61</v>
      </c>
      <c r="S489" s="31" t="s">
        <v>62</v>
      </c>
      <c r="T489" s="31" t="s">
        <v>16844</v>
      </c>
      <c r="U489" s="31" t="n">
        <v>9</v>
      </c>
      <c r="V489" s="31" t="s">
        <v>16845</v>
      </c>
      <c r="W489" s="31" t="n">
        <v>6</v>
      </c>
      <c r="X489" s="31"/>
      <c r="Y489" s="31" t="s">
        <v>26849</v>
      </c>
      <c r="Z489" s="31" t="s">
        <v>26850</v>
      </c>
      <c r="AA489" s="31" t="s">
        <v>26851</v>
      </c>
      <c r="AB489" s="31" t="s">
        <v>26852</v>
      </c>
      <c r="AC489" s="31" t="s">
        <v>26853</v>
      </c>
      <c r="AD489" s="31" t="s">
        <v>26854</v>
      </c>
      <c r="AE489" s="31" t="s">
        <v>26855</v>
      </c>
      <c r="AF489" s="31" t="s">
        <v>26856</v>
      </c>
      <c r="AG489" s="31" t="s">
        <v>26857</v>
      </c>
      <c r="AH489" s="31" t="s">
        <v>26858</v>
      </c>
      <c r="AI489" s="31" t="n">
        <v>90</v>
      </c>
      <c r="AJ489" s="31" t="n">
        <v>0</v>
      </c>
      <c r="AK489" s="31" t="n">
        <v>25</v>
      </c>
      <c r="AL489" s="31" t="s">
        <v>16855</v>
      </c>
      <c r="AM489" s="31" t="s">
        <v>16856</v>
      </c>
      <c r="AN489" s="31" t="s">
        <v>16857</v>
      </c>
      <c r="AO489" s="31"/>
      <c r="AP489" s="31" t="s">
        <v>16858</v>
      </c>
      <c r="AQ489" s="31" t="s">
        <v>16859</v>
      </c>
      <c r="AR489" s="31" t="s">
        <v>16683</v>
      </c>
      <c r="AS489" s="31"/>
      <c r="AT489" s="31"/>
      <c r="AU489" s="31" t="s">
        <v>26859</v>
      </c>
      <c r="AV489" s="31" t="s">
        <v>26860</v>
      </c>
      <c r="AW489" s="35" t="str">
        <f aca="false">HYPERLINK("http://dx.doi.org/10.1371/journal.pntd.0003878","http://dx.doi.org/10.1371/journal.pntd.0003878")</f>
        <v>http://dx.doi.org/10.1371/journal.pntd.0003878</v>
      </c>
      <c r="AX489" s="31"/>
      <c r="AY489" s="31" t="n">
        <v>18</v>
      </c>
      <c r="AZ489" s="31" t="s">
        <v>16862</v>
      </c>
      <c r="BA489" s="31" t="s">
        <v>16366</v>
      </c>
      <c r="BB489" s="31" t="s">
        <v>16862</v>
      </c>
      <c r="BC489" s="31" t="s">
        <v>26861</v>
      </c>
      <c r="BD489" s="31" t="n">
        <v>26114876</v>
      </c>
      <c r="BE489" s="31" t="s">
        <v>17168</v>
      </c>
      <c r="BF489" s="31" t="s">
        <v>16369</v>
      </c>
      <c r="BG489" s="31" t="s">
        <v>26862</v>
      </c>
      <c r="BH489" s="31" t="str">
        <f aca="false">HYPERLINK("https%3A%2F%2Fwww.webofscience.com%2Fwos%2Fwoscc%2Ffull-record%2FWOS:000357398100060","View Full Record in Web of Science")</f>
        <v>View Full Record in Web of Science</v>
      </c>
      <c r="BI489" s="31"/>
      <c r="BJ489" s="31"/>
      <c r="BK489" s="31"/>
      <c r="BL489" s="31"/>
      <c r="BM489" s="31"/>
      <c r="BN489" s="31"/>
      <c r="BO489" s="31"/>
      <c r="BP489" s="31"/>
      <c r="BQ489" s="31"/>
      <c r="BR489" s="31"/>
      <c r="BS489" s="31"/>
      <c r="BT489" s="31"/>
      <c r="BU489" s="31"/>
      <c r="BV489" s="31"/>
      <c r="BW489" s="31"/>
      <c r="BX489" s="31"/>
      <c r="BY489" s="31"/>
      <c r="BZ489" s="31"/>
      <c r="CA489" s="31"/>
      <c r="CB489" s="31"/>
      <c r="CC489" s="31"/>
      <c r="CD489" s="31"/>
      <c r="CE489" s="31"/>
      <c r="CF489" s="31"/>
    </row>
  </sheetData>
  <hyperlinks>
    <hyperlink ref="F129" r:id="rId1" display="In the domain of medical image analysis, deep learning models are heralding a revolution, especially in detecting complex and nuanced features characteristic of diseases like tumors and cancers. However, the robustness and adaptability of these models across varied imaging conditions and magnifications remain a formidable challenge. This paper introduces the Fourier Adaptive Recognition System (FARS), a pioneering model primarily engineered to address adaptability in malarial parasite recognition. Yet, the foundational principles guiding FARS lend themselves seamlessly to broader applications, including tumor and cancer diagnostics. FARS capitalizes on the untapped potential of transitioning from bounding box labels to richer semantic segmentation labels, enabling a more refined examination of microscopy slides. With the integration of adversarial training and the Color Domain Aware Fourier Domain Adaptation (F2DA), the model ensures consistent feature extraction across diverse microscopy configurations. The further inclusion of categorydependent context attention amplifies FARS's cross-domain versatility. Evidenced by a substantial elevation in cross-magnification performance from 31.3% mAP to 55.19% mAP and a 15.68% boost in cross-domain adaptability, FARS positions itself as a significant advancement in malarial parasite recognition. Furthermore, the core methodologies of FARS can serve as a blueprint for enhancing precision in other realms of medical image analysis, especially in the complex terrains of tumor and cancer imaging. The code is available at; https://github.com/Mr-TalhaIlyas/FARS."/>
  </hyperlinks>
  <printOptions headings="false" gridLines="false" gridLinesSet="true" horizontalCentered="false" verticalCentered="false"/>
  <pageMargins left="0.747916666666667" right="0.747916666666667" top="0.984027777777778" bottom="0.984027777777778" header="0.511811023622047" footer="0.511811023622047"/>
  <pageSetup paperSize="1" scale="100" fitToWidth="1" fitToHeight="1" pageOrder="downThenOver" orientation="portrait" blackAndWhite="false" draft="false" cellComments="none" horizontalDpi="300" verticalDpi="300" copies="1"/>
  <headerFooter differentFirst="false" differentOddEven="false">
    <oddHeader/>
    <oddFooter/>
  </headerFooter>
</worksheet>
</file>

<file path=docProps/app.xml><?xml version="1.0" encoding="utf-8"?>
<Properties xmlns="http://schemas.openxmlformats.org/officeDocument/2006/extended-properties" xmlns:vt="http://schemas.openxmlformats.org/officeDocument/2006/docPropsVTypes">
  <Template/>
  <TotalTime>5</TotalTime>
  <Application>LibreOffice/25.2.2.2$MacOSX_X86_64 LibreOffice_project/7370d4be9e3cf6031a51beef54ff3bda878e3fac</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dc:description/>
  <dc:language>en-US</dc:language>
  <cp:lastModifiedBy/>
  <dcterms:modified xsi:type="dcterms:W3CDTF">2025-07-26T19:53:32Z</dcterms:modified>
  <cp:revision>5</cp:revision>
  <dc:subject/>
  <dc:title/>
</cp:coreProperties>
</file>

<file path=docProps/custom.xml><?xml version="1.0" encoding="utf-8"?>
<Properties xmlns="http://schemas.openxmlformats.org/officeDocument/2006/custom-properties" xmlns:vt="http://schemas.openxmlformats.org/officeDocument/2006/docPropsVTypes"/>
</file>